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"10400614911"</f>
        <v/>
      </c>
      <c r="C2" t="inlineStr">
        <is>
          <t>ACNAWAY 3 in 1 Acne Sun Serum Sunscreen Serum with SPF 50+ PA+++ ONLY FOR ACNE SKIN 50gr</t>
        </is>
      </c>
      <c r="D2" t="inlineStr">
        <is>
          <t>Miss Glam Damar</t>
        </is>
      </c>
      <c r="E2" t="n">
        <v>4</v>
      </c>
      <c r="F2" t="n">
        <v>0.02</v>
      </c>
      <c r="G2" t="n">
        <v>1</v>
      </c>
      <c r="H2" t="n">
        <v>4</v>
      </c>
      <c r="I2" t="n">
        <v>21</v>
      </c>
      <c r="J2" t="n">
        <v>1</v>
      </c>
      <c r="K2" t="n">
        <v>0</v>
      </c>
      <c r="L2" t="n">
        <v>60333</v>
      </c>
      <c r="M2" t="n">
        <v>75000</v>
      </c>
      <c r="N2" t="n">
        <v>91</v>
      </c>
      <c r="O2" t="n">
        <v>0.91</v>
      </c>
      <c r="P2" t="n">
        <v>0</v>
      </c>
      <c r="Q2" t="n">
        <v>0.02</v>
      </c>
      <c r="R2" t="n">
        <v>1</v>
      </c>
      <c r="S2" t="n">
        <v>1500</v>
      </c>
      <c r="T2" t="n">
        <v>21</v>
      </c>
      <c r="U2" t="n">
        <v>22</v>
      </c>
      <c r="V2" t="n">
        <v>30</v>
      </c>
      <c r="W2" t="n">
        <v>1</v>
      </c>
      <c r="X2" t="n">
        <v>200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2797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21</v>
      </c>
      <c r="AL2" t="inlineStr">
        <is>
          <t>Miss Glam Damar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"10400517459"</f>
        <v/>
      </c>
      <c r="C3" t="inlineStr">
        <is>
          <t>ACNAWAY Mugwort Daily Sunscreen Only For Acne Skin 50ml</t>
        </is>
      </c>
      <c r="D3" t="inlineStr">
        <is>
          <t>Miss Glam Damar</t>
        </is>
      </c>
      <c r="E3" t="n">
        <v>8</v>
      </c>
      <c r="F3" t="n">
        <v>0.07000000000000001</v>
      </c>
      <c r="G3" t="n">
        <v>1</v>
      </c>
      <c r="H3" t="n">
        <v>4</v>
      </c>
      <c r="I3" t="n">
        <v>21</v>
      </c>
      <c r="J3" t="n">
        <v>1</v>
      </c>
      <c r="K3" t="n">
        <v>0</v>
      </c>
      <c r="L3" t="n">
        <v>32445</v>
      </c>
      <c r="M3" t="n">
        <v>43000</v>
      </c>
      <c r="N3" t="n">
        <v>91</v>
      </c>
      <c r="O3" t="n">
        <v>0.91</v>
      </c>
      <c r="P3" t="n">
        <v>0</v>
      </c>
      <c r="Q3" t="n">
        <v>0.07000000000000001</v>
      </c>
      <c r="R3" t="n">
        <v>1</v>
      </c>
      <c r="S3" t="n">
        <v>3010</v>
      </c>
      <c r="T3" t="n">
        <v>21</v>
      </c>
      <c r="U3" t="n">
        <v>22</v>
      </c>
      <c r="V3" t="n">
        <v>30</v>
      </c>
      <c r="W3" t="n">
        <v>3</v>
      </c>
      <c r="X3" t="n">
        <v>114.2857142857143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2797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21</v>
      </c>
      <c r="AL3" t="inlineStr">
        <is>
          <t>Miss Glam Damar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Damar</t>
        </is>
      </c>
      <c r="E4" t="n">
        <v>7</v>
      </c>
      <c r="F4" t="n">
        <v>0.6734</v>
      </c>
      <c r="G4" t="n">
        <v>3.64</v>
      </c>
      <c r="H4" t="n">
        <v>4</v>
      </c>
      <c r="I4" t="n">
        <v>21</v>
      </c>
      <c r="J4" t="n">
        <v>1</v>
      </c>
      <c r="K4" t="n">
        <v>0</v>
      </c>
      <c r="L4" t="n">
        <v>31930</v>
      </c>
      <c r="M4" t="n">
        <v>45000</v>
      </c>
      <c r="N4" t="n">
        <v>91</v>
      </c>
      <c r="O4" t="n">
        <v>0.91</v>
      </c>
      <c r="P4" t="n">
        <v>1</v>
      </c>
      <c r="Q4" t="n">
        <v>0.37</v>
      </c>
      <c r="R4" t="n">
        <v>2</v>
      </c>
      <c r="S4" t="n">
        <v>30303</v>
      </c>
      <c r="T4" t="n">
        <v>74</v>
      </c>
      <c r="U4" t="n">
        <v>77</v>
      </c>
      <c r="V4" t="n">
        <v>30</v>
      </c>
      <c r="W4" t="n">
        <v>21</v>
      </c>
      <c r="X4" t="n">
        <v>10.3950103950104</v>
      </c>
      <c r="Y4" t="n">
        <v>1</v>
      </c>
      <c r="Z4" t="n">
        <v>14</v>
      </c>
      <c r="AA4" t="n">
        <v>8</v>
      </c>
      <c r="AB4" t="n">
        <v>6</v>
      </c>
      <c r="AC4" t="n">
        <v>6</v>
      </c>
      <c r="AD4" t="n">
        <v>255440</v>
      </c>
      <c r="AE4" t="n">
        <v>191580</v>
      </c>
      <c r="AF4" t="n">
        <v>2797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21</v>
      </c>
      <c r="AL4" t="inlineStr">
        <is>
          <t>Miss Glam Damar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"10500637717"</f>
        <v/>
      </c>
      <c r="C5" t="inlineStr">
        <is>
          <t>ACNAWAY Mugwort Gel Mask Anti Pores Masker Gel Masker Mugwort Wash off mask 50gr</t>
        </is>
      </c>
      <c r="D5" t="inlineStr">
        <is>
          <t>Miss Glam Damar</t>
        </is>
      </c>
      <c r="E5" t="n">
        <v>4</v>
      </c>
      <c r="F5" t="n">
        <v>0.4459</v>
      </c>
      <c r="G5" t="n">
        <v>7.28</v>
      </c>
      <c r="H5" t="n">
        <v>4</v>
      </c>
      <c r="I5" t="n">
        <v>21</v>
      </c>
      <c r="J5" t="n">
        <v>1</v>
      </c>
      <c r="K5" t="n">
        <v>15</v>
      </c>
      <c r="L5" t="n">
        <v>33887</v>
      </c>
      <c r="M5" t="n">
        <v>47000</v>
      </c>
      <c r="N5" t="n">
        <v>91</v>
      </c>
      <c r="O5" t="n">
        <v>0.91</v>
      </c>
      <c r="P5" t="n">
        <v>1</v>
      </c>
      <c r="Q5" t="n">
        <v>0.5600000000000001</v>
      </c>
      <c r="R5" t="n">
        <v>4</v>
      </c>
      <c r="S5" t="n">
        <v>20957.3</v>
      </c>
      <c r="T5" t="n">
        <v>152</v>
      </c>
      <c r="U5" t="n">
        <v>154</v>
      </c>
      <c r="V5" t="n">
        <v>30</v>
      </c>
      <c r="W5" t="n">
        <v>14</v>
      </c>
      <c r="X5" t="n">
        <v>8.970621215519174</v>
      </c>
      <c r="Y5" t="n">
        <v>1</v>
      </c>
      <c r="Z5" t="n">
        <v>0</v>
      </c>
      <c r="AA5" t="n">
        <v>5</v>
      </c>
      <c r="AB5" t="n">
        <v>0</v>
      </c>
      <c r="AC5" t="n">
        <v>0</v>
      </c>
      <c r="AD5" t="n">
        <v>169435</v>
      </c>
      <c r="AE5" t="n">
        <v>0</v>
      </c>
      <c r="AF5" t="n">
        <v>2797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21</v>
      </c>
      <c r="AL5" t="inlineStr">
        <is>
          <t>Miss Glam Damar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ACNAWAY</t>
        </is>
      </c>
      <c r="B6" s="2">
        <f>"10300721756"</f>
        <v/>
      </c>
      <c r="C6" t="inlineStr">
        <is>
          <t>ACNAWAY Mugwort Water Gel Moisturizer with Mugwort + Centella + Panthenol ONLY FOR ACNE SKIN 30gr</t>
        </is>
      </c>
      <c r="D6" t="inlineStr">
        <is>
          <t>Miss Glam Damar</t>
        </is>
      </c>
      <c r="E6" t="n">
        <v>4</v>
      </c>
      <c r="F6" t="n">
        <v>0.5096000000000001</v>
      </c>
      <c r="G6" t="n">
        <v>4.55</v>
      </c>
      <c r="H6" t="n">
        <v>4</v>
      </c>
      <c r="I6" t="n">
        <v>21</v>
      </c>
      <c r="J6" t="n">
        <v>1</v>
      </c>
      <c r="K6" t="n">
        <v>0</v>
      </c>
      <c r="L6" t="n">
        <v>32445</v>
      </c>
      <c r="M6" t="n">
        <v>47000</v>
      </c>
      <c r="N6" t="n">
        <v>91</v>
      </c>
      <c r="O6" t="n">
        <v>0.91</v>
      </c>
      <c r="P6" t="n">
        <v>1</v>
      </c>
      <c r="Q6" t="n">
        <v>0.37</v>
      </c>
      <c r="R6" t="n">
        <v>2</v>
      </c>
      <c r="S6" t="n">
        <v>23951.2</v>
      </c>
      <c r="T6" t="n">
        <v>94</v>
      </c>
      <c r="U6" t="n">
        <v>97</v>
      </c>
      <c r="V6" t="n">
        <v>30</v>
      </c>
      <c r="W6" t="n">
        <v>16</v>
      </c>
      <c r="X6" t="n">
        <v>7.849293563579277</v>
      </c>
      <c r="Y6" t="n">
        <v>1</v>
      </c>
      <c r="Z6" t="n">
        <v>12</v>
      </c>
      <c r="AA6" t="n">
        <v>7</v>
      </c>
      <c r="AB6" t="n">
        <v>5</v>
      </c>
      <c r="AC6" t="n">
        <v>5</v>
      </c>
      <c r="AD6" t="n">
        <v>227115</v>
      </c>
      <c r="AE6" t="n">
        <v>162225</v>
      </c>
      <c r="AF6" t="n">
        <v>2797</v>
      </c>
      <c r="AG6" t="n">
        <v>1</v>
      </c>
      <c r="AH6" t="inlineStr">
        <is>
          <t>PT. BERSAMA DISTRIVERSA INDONESIA (DC CIPUTAT)</t>
        </is>
      </c>
      <c r="AI6" t="n">
        <v>1480</v>
      </c>
      <c r="AJ6" t="inlineStr">
        <is>
          <t>ACNAWAY</t>
        </is>
      </c>
      <c r="AK6" t="n">
        <v>21</v>
      </c>
      <c r="AL6" t="inlineStr">
        <is>
          <t>Miss Glam Damar</t>
        </is>
      </c>
      <c r="AM6" t="n">
        <v>2</v>
      </c>
      <c r="AN6" t="n">
        <v>500000</v>
      </c>
      <c r="AO6" t="n">
        <v>0</v>
      </c>
      <c r="AP6" t="inlineStr"/>
      <c r="AQ6" t="inlineStr"/>
    </row>
    <row r="7">
      <c r="A7" t="inlineStr">
        <is>
          <t>ACNEMED</t>
        </is>
      </c>
      <c r="B7" s="2">
        <f>"8995232702063"</f>
        <v/>
      </c>
      <c r="C7" t="inlineStr">
        <is>
          <t>ACNEMED Acne Care Series Treatment 18gr</t>
        </is>
      </c>
      <c r="D7" t="inlineStr">
        <is>
          <t>Miss Glam Damar</t>
        </is>
      </c>
      <c r="E7" t="n">
        <v>0</v>
      </c>
      <c r="F7" t="n">
        <v>0.1</v>
      </c>
      <c r="G7" t="n">
        <v>1</v>
      </c>
      <c r="H7" t="n">
        <v>4</v>
      </c>
      <c r="I7" t="n">
        <v>8</v>
      </c>
      <c r="J7" t="n">
        <v>3</v>
      </c>
      <c r="K7" t="n">
        <v>0</v>
      </c>
      <c r="L7" t="n">
        <v>26557</v>
      </c>
      <c r="M7" t="n">
        <v>33000</v>
      </c>
      <c r="N7" t="n">
        <v>91</v>
      </c>
      <c r="O7" t="n">
        <v>0.91</v>
      </c>
      <c r="P7" t="n">
        <v>0</v>
      </c>
      <c r="Q7" t="n">
        <v>0.1</v>
      </c>
      <c r="R7" t="n">
        <v>1</v>
      </c>
      <c r="S7" t="n">
        <v>3300</v>
      </c>
      <c r="T7" t="n">
        <v>8</v>
      </c>
      <c r="U7" t="n">
        <v>9</v>
      </c>
      <c r="V7" t="n">
        <v>30</v>
      </c>
      <c r="W7" t="n">
        <v>3</v>
      </c>
      <c r="X7" t="n">
        <v>0</v>
      </c>
      <c r="Y7" t="n">
        <v>1</v>
      </c>
      <c r="Z7" t="n">
        <v>3</v>
      </c>
      <c r="AA7" t="n">
        <v>1</v>
      </c>
      <c r="AB7" t="n">
        <v>2</v>
      </c>
      <c r="AC7" t="n">
        <v>3</v>
      </c>
      <c r="AD7" t="n">
        <v>26557</v>
      </c>
      <c r="AE7" t="n">
        <v>79671</v>
      </c>
      <c r="AF7" t="n">
        <v>11994</v>
      </c>
      <c r="AG7" t="n">
        <v>109</v>
      </c>
      <c r="AH7" t="inlineStr">
        <is>
          <t>PT. PENTA VALENT - PPN (PDG)</t>
        </is>
      </c>
      <c r="AI7" t="n">
        <v>32</v>
      </c>
      <c r="AJ7" t="inlineStr">
        <is>
          <t>ACNEMED</t>
        </is>
      </c>
      <c r="AK7" t="n">
        <v>21</v>
      </c>
      <c r="AL7" t="inlineStr">
        <is>
          <t>Miss Glam Damar</t>
        </is>
      </c>
      <c r="AM7" t="n">
        <v>1</v>
      </c>
      <c r="AN7" t="n">
        <v>500000</v>
      </c>
      <c r="AO7" t="n">
        <v>0</v>
      </c>
      <c r="AP7" t="inlineStr"/>
      <c r="AQ7" t="inlineStr"/>
    </row>
    <row r="8">
      <c r="A8" t="inlineStr">
        <is>
          <t>ACNEMED</t>
        </is>
      </c>
      <c r="B8" s="2">
        <f>"8995232702124"</f>
        <v/>
      </c>
      <c r="C8" t="inlineStr">
        <is>
          <t>ACNEMED Facial Wash For Oily Skin 100gr</t>
        </is>
      </c>
      <c r="D8" t="inlineStr">
        <is>
          <t>Miss Glam Damar</t>
        </is>
      </c>
      <c r="E8" t="n">
        <v>0</v>
      </c>
      <c r="F8" t="n">
        <v>0.0728</v>
      </c>
      <c r="G8" t="n">
        <v>0.91</v>
      </c>
      <c r="H8" t="n">
        <v>4</v>
      </c>
      <c r="I8" t="n">
        <v>8</v>
      </c>
      <c r="J8" t="n">
        <v>3</v>
      </c>
      <c r="K8" t="n">
        <v>0</v>
      </c>
      <c r="L8" t="n">
        <v>30220</v>
      </c>
      <c r="M8" t="n">
        <v>37000</v>
      </c>
      <c r="N8" t="n">
        <v>91</v>
      </c>
      <c r="O8" t="n">
        <v>0.91</v>
      </c>
      <c r="P8" t="n">
        <v>1</v>
      </c>
      <c r="Q8" t="n">
        <v>0.09</v>
      </c>
      <c r="R8" t="n">
        <v>1</v>
      </c>
      <c r="S8" t="n">
        <v>2693.6</v>
      </c>
      <c r="T8" t="n">
        <v>7</v>
      </c>
      <c r="U8" t="n">
        <v>8</v>
      </c>
      <c r="V8" t="n">
        <v>30</v>
      </c>
      <c r="W8" t="n">
        <v>3</v>
      </c>
      <c r="X8" t="n">
        <v>0</v>
      </c>
      <c r="Y8" t="n">
        <v>1</v>
      </c>
      <c r="Z8" t="n">
        <v>3</v>
      </c>
      <c r="AA8" t="n">
        <v>1</v>
      </c>
      <c r="AB8" t="n">
        <v>2</v>
      </c>
      <c r="AC8" t="n">
        <v>3</v>
      </c>
      <c r="AD8" t="n">
        <v>30220</v>
      </c>
      <c r="AE8" t="n">
        <v>90660</v>
      </c>
      <c r="AF8" t="n">
        <v>11994</v>
      </c>
      <c r="AG8" t="n">
        <v>109</v>
      </c>
      <c r="AH8" t="inlineStr">
        <is>
          <t>PT. PENTA VALENT - PPN (PDG)</t>
        </is>
      </c>
      <c r="AI8" t="n">
        <v>32</v>
      </c>
      <c r="AJ8" t="inlineStr">
        <is>
          <t>ACNEMED</t>
        </is>
      </c>
      <c r="AK8" t="n">
        <v>21</v>
      </c>
      <c r="AL8" t="inlineStr">
        <is>
          <t>Miss Glam Damar</t>
        </is>
      </c>
      <c r="AM8" t="n">
        <v>1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"8992821102372"</f>
        <v/>
      </c>
      <c r="C9" t="inlineStr">
        <is>
          <t>ACNES Complete White Face Wash 100gr</t>
        </is>
      </c>
      <c r="D9" t="inlineStr">
        <is>
          <t>Miss Glam Damar</t>
        </is>
      </c>
      <c r="E9" t="n">
        <v>12</v>
      </c>
      <c r="F9" t="n">
        <v>0.7826</v>
      </c>
      <c r="G9" t="n">
        <v>3.64</v>
      </c>
      <c r="H9" t="n">
        <v>3</v>
      </c>
      <c r="I9" t="n">
        <v>14</v>
      </c>
      <c r="J9" t="n">
        <v>3</v>
      </c>
      <c r="K9" t="n">
        <v>0</v>
      </c>
      <c r="L9" t="n">
        <v>26623</v>
      </c>
      <c r="M9" t="n">
        <v>33500</v>
      </c>
      <c r="N9" t="n">
        <v>91</v>
      </c>
      <c r="O9" t="n">
        <v>0.91</v>
      </c>
      <c r="P9" t="n">
        <v>1</v>
      </c>
      <c r="Q9" t="n">
        <v>0.27</v>
      </c>
      <c r="R9" t="n">
        <v>2</v>
      </c>
      <c r="S9" t="n">
        <v>26217.1</v>
      </c>
      <c r="T9" t="n">
        <v>49</v>
      </c>
      <c r="U9" t="n">
        <v>52</v>
      </c>
      <c r="V9" t="n">
        <v>30</v>
      </c>
      <c r="W9" t="n">
        <v>24</v>
      </c>
      <c r="X9" t="n">
        <v>15.33350370559673</v>
      </c>
      <c r="Y9" t="n">
        <v>1</v>
      </c>
      <c r="Z9" t="n">
        <v>12</v>
      </c>
      <c r="AA9" t="n">
        <v>0</v>
      </c>
      <c r="AB9" t="n">
        <v>12</v>
      </c>
      <c r="AC9" t="n">
        <v>12</v>
      </c>
      <c r="AD9" t="n">
        <v>0</v>
      </c>
      <c r="AE9" t="n">
        <v>319476</v>
      </c>
      <c r="AF9" t="n">
        <v>10977</v>
      </c>
      <c r="AG9" t="n">
        <v>33</v>
      </c>
      <c r="AH9" t="inlineStr">
        <is>
          <t>PT. MENSA BINASUKSES - PPN (PDG)</t>
        </is>
      </c>
      <c r="AI9" t="n">
        <v>33</v>
      </c>
      <c r="AJ9" t="inlineStr">
        <is>
          <t>ACNES</t>
        </is>
      </c>
      <c r="AK9" t="n">
        <v>21</v>
      </c>
      <c r="AL9" t="inlineStr">
        <is>
          <t>Miss Glam Damar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"8992821102365"</f>
        <v/>
      </c>
      <c r="C10" t="inlineStr">
        <is>
          <t>ACNES Complete White Face Wash 50gr</t>
        </is>
      </c>
      <c r="D10" t="inlineStr">
        <is>
          <t>Miss Glam Damar</t>
        </is>
      </c>
      <c r="E10" t="n">
        <v>16</v>
      </c>
      <c r="F10" t="n">
        <v>1.2467</v>
      </c>
      <c r="G10" t="n">
        <v>4.55</v>
      </c>
      <c r="H10" t="n">
        <v>3</v>
      </c>
      <c r="I10" t="n">
        <v>14</v>
      </c>
      <c r="J10" t="n">
        <v>3</v>
      </c>
      <c r="K10" t="n">
        <v>0</v>
      </c>
      <c r="L10" t="n">
        <v>15974</v>
      </c>
      <c r="M10" t="n">
        <v>19500</v>
      </c>
      <c r="N10" t="n">
        <v>91</v>
      </c>
      <c r="O10" t="n">
        <v>0.91</v>
      </c>
      <c r="P10" t="n">
        <v>1</v>
      </c>
      <c r="Q10" t="n">
        <v>0.66</v>
      </c>
      <c r="R10" t="n">
        <v>3</v>
      </c>
      <c r="S10" t="n">
        <v>24310.65</v>
      </c>
      <c r="T10" t="n">
        <v>60</v>
      </c>
      <c r="U10" t="n">
        <v>64</v>
      </c>
      <c r="V10" t="n">
        <v>30</v>
      </c>
      <c r="W10" t="n">
        <v>38</v>
      </c>
      <c r="X10" t="n">
        <v>12.83388144702013</v>
      </c>
      <c r="Y10" t="n">
        <v>1</v>
      </c>
      <c r="Z10" t="n">
        <v>22</v>
      </c>
      <c r="AA10" t="n">
        <v>2</v>
      </c>
      <c r="AB10" t="n">
        <v>20</v>
      </c>
      <c r="AC10" t="n">
        <v>20</v>
      </c>
      <c r="AD10" t="n">
        <v>31948</v>
      </c>
      <c r="AE10" t="n">
        <v>319480</v>
      </c>
      <c r="AF10" t="n">
        <v>10977</v>
      </c>
      <c r="AG10" t="n">
        <v>33</v>
      </c>
      <c r="AH10" t="inlineStr">
        <is>
          <t>PT. MENSA BINASUKSES - PPN (PDG)</t>
        </is>
      </c>
      <c r="AI10" t="n">
        <v>33</v>
      </c>
      <c r="AJ10" t="inlineStr">
        <is>
          <t>ACNES</t>
        </is>
      </c>
      <c r="AK10" t="n">
        <v>21</v>
      </c>
      <c r="AL10" t="inlineStr">
        <is>
          <t>Miss Glam Damar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"8992821100309"</f>
        <v/>
      </c>
      <c r="C11" t="inlineStr">
        <is>
          <t>ACNES Creamy Wash 100gr</t>
        </is>
      </c>
      <c r="D11" t="inlineStr">
        <is>
          <t>Miss Glam Damar</t>
        </is>
      </c>
      <c r="E11" t="n">
        <v>42</v>
      </c>
      <c r="F11" t="n">
        <v>1.3104</v>
      </c>
      <c r="G11" t="n">
        <v>5.46</v>
      </c>
      <c r="H11" t="n">
        <v>3</v>
      </c>
      <c r="I11" t="n">
        <v>14</v>
      </c>
      <c r="J11" t="n">
        <v>3</v>
      </c>
      <c r="K11" t="n">
        <v>0</v>
      </c>
      <c r="L11" t="n">
        <v>25395</v>
      </c>
      <c r="M11" t="n">
        <v>31000</v>
      </c>
      <c r="N11" t="n">
        <v>91</v>
      </c>
      <c r="O11" t="n">
        <v>0.91</v>
      </c>
      <c r="P11" t="n">
        <v>1</v>
      </c>
      <c r="Q11" t="n">
        <v>0.73</v>
      </c>
      <c r="R11" t="n">
        <v>3</v>
      </c>
      <c r="S11" t="n">
        <v>40622.4</v>
      </c>
      <c r="T11" t="n">
        <v>73</v>
      </c>
      <c r="U11" t="n">
        <v>77</v>
      </c>
      <c r="V11" t="n">
        <v>30</v>
      </c>
      <c r="W11" t="n">
        <v>40</v>
      </c>
      <c r="X11" t="n">
        <v>32.05128205128205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10977</v>
      </c>
      <c r="AG11" t="n">
        <v>33</v>
      </c>
      <c r="AH11" t="inlineStr">
        <is>
          <t>PT. MENSA BINASUKSES - PPN (PDG)</t>
        </is>
      </c>
      <c r="AI11" t="n">
        <v>33</v>
      </c>
      <c r="AJ11" t="inlineStr">
        <is>
          <t>ACNES</t>
        </is>
      </c>
      <c r="AK11" t="n">
        <v>21</v>
      </c>
      <c r="AL11" t="inlineStr">
        <is>
          <t>Miss Glam Damar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"8992821100392"</f>
        <v/>
      </c>
      <c r="C12" t="inlineStr">
        <is>
          <t>ACNES Creamy Wash 50gr</t>
        </is>
      </c>
      <c r="D12" t="inlineStr">
        <is>
          <t>Miss Glam Damar</t>
        </is>
      </c>
      <c r="E12" t="n">
        <v>21</v>
      </c>
      <c r="F12" t="n">
        <v>1.1921</v>
      </c>
      <c r="G12" t="n">
        <v>4.55</v>
      </c>
      <c r="H12" t="n">
        <v>3</v>
      </c>
      <c r="I12" t="n">
        <v>14</v>
      </c>
      <c r="J12" t="n">
        <v>3</v>
      </c>
      <c r="K12" t="n">
        <v>0</v>
      </c>
      <c r="L12" t="n">
        <v>15155</v>
      </c>
      <c r="M12" t="n">
        <v>18500</v>
      </c>
      <c r="N12" t="n">
        <v>91</v>
      </c>
      <c r="O12" t="n">
        <v>0.91</v>
      </c>
      <c r="P12" t="n">
        <v>1</v>
      </c>
      <c r="Q12" t="n">
        <v>0.64</v>
      </c>
      <c r="R12" t="n">
        <v>5</v>
      </c>
      <c r="S12" t="n">
        <v>22053.85</v>
      </c>
      <c r="T12" t="n">
        <v>61</v>
      </c>
      <c r="U12" t="n">
        <v>65</v>
      </c>
      <c r="V12" t="n">
        <v>30</v>
      </c>
      <c r="W12" t="n">
        <v>36</v>
      </c>
      <c r="X12" t="n">
        <v>17.6159718144451</v>
      </c>
      <c r="Y12" t="n">
        <v>1</v>
      </c>
      <c r="Z12" t="n">
        <v>15</v>
      </c>
      <c r="AA12" t="n">
        <v>0</v>
      </c>
      <c r="AB12" t="n">
        <v>15</v>
      </c>
      <c r="AC12" t="n">
        <v>15</v>
      </c>
      <c r="AD12" t="n">
        <v>0</v>
      </c>
      <c r="AE12" t="n">
        <v>227325</v>
      </c>
      <c r="AF12" t="n">
        <v>10977</v>
      </c>
      <c r="AG12" t="n">
        <v>33</v>
      </c>
      <c r="AH12" t="inlineStr">
        <is>
          <t>PT. MENSA BINASUKSES - PPN (PDG)</t>
        </is>
      </c>
      <c r="AI12" t="n">
        <v>33</v>
      </c>
      <c r="AJ12" t="inlineStr">
        <is>
          <t>ACNES</t>
        </is>
      </c>
      <c r="AK12" t="n">
        <v>21</v>
      </c>
      <c r="AL12" t="inlineStr">
        <is>
          <t>Miss Glam Damar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"8992821102396"</f>
        <v/>
      </c>
      <c r="C13" t="inlineStr">
        <is>
          <t>ACNES Deep Pore Cleanser Face Wash 100g</t>
        </is>
      </c>
      <c r="D13" t="inlineStr">
        <is>
          <t>Miss Glam Damar</t>
        </is>
      </c>
      <c r="E13" t="n">
        <v>41</v>
      </c>
      <c r="F13" t="n">
        <v>0.8190000000000001</v>
      </c>
      <c r="G13" t="n">
        <v>4.55</v>
      </c>
      <c r="H13" t="n">
        <v>3</v>
      </c>
      <c r="I13" t="n">
        <v>14</v>
      </c>
      <c r="J13" t="n">
        <v>3</v>
      </c>
      <c r="K13" t="n">
        <v>0</v>
      </c>
      <c r="L13" t="n">
        <v>26623</v>
      </c>
      <c r="M13" t="n">
        <v>32500</v>
      </c>
      <c r="N13" t="n">
        <v>91</v>
      </c>
      <c r="O13" t="n">
        <v>0.91</v>
      </c>
      <c r="P13" t="n">
        <v>1</v>
      </c>
      <c r="Q13" t="n">
        <v>0.59</v>
      </c>
      <c r="R13" t="n">
        <v>3</v>
      </c>
      <c r="S13" t="n">
        <v>26617.5</v>
      </c>
      <c r="T13" t="n">
        <v>62</v>
      </c>
      <c r="U13" t="n">
        <v>65</v>
      </c>
      <c r="V13" t="n">
        <v>30</v>
      </c>
      <c r="W13" t="n">
        <v>25</v>
      </c>
      <c r="X13" t="n">
        <v>50.06105006105006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10977</v>
      </c>
      <c r="AG13" t="n">
        <v>33</v>
      </c>
      <c r="AH13" t="inlineStr">
        <is>
          <t>PT. MENSA BINASUKSES - PPN (PDG)</t>
        </is>
      </c>
      <c r="AI13" t="n">
        <v>33</v>
      </c>
      <c r="AJ13" t="inlineStr">
        <is>
          <t>ACNES</t>
        </is>
      </c>
      <c r="AK13" t="n">
        <v>21</v>
      </c>
      <c r="AL13" t="inlineStr">
        <is>
          <t>Miss Glam Damar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"8992821102389"</f>
        <v/>
      </c>
      <c r="C14" t="inlineStr">
        <is>
          <t>ACNES Deep Pore Cleanser Face Wash 50gr</t>
        </is>
      </c>
      <c r="D14" t="inlineStr">
        <is>
          <t>Miss Glam Damar</t>
        </is>
      </c>
      <c r="E14" t="n">
        <v>20</v>
      </c>
      <c r="F14" t="n">
        <v>0.9828000000000001</v>
      </c>
      <c r="G14" t="n">
        <v>3.64</v>
      </c>
      <c r="H14" t="n">
        <v>3</v>
      </c>
      <c r="I14" t="n">
        <v>14</v>
      </c>
      <c r="J14" t="n">
        <v>3</v>
      </c>
      <c r="K14" t="n">
        <v>0</v>
      </c>
      <c r="L14" t="n">
        <v>15974</v>
      </c>
      <c r="M14" t="n">
        <v>19500</v>
      </c>
      <c r="N14" t="n">
        <v>91</v>
      </c>
      <c r="O14" t="n">
        <v>0.91</v>
      </c>
      <c r="P14" t="n">
        <v>1</v>
      </c>
      <c r="Q14" t="n">
        <v>0.54</v>
      </c>
      <c r="R14" t="n">
        <v>3</v>
      </c>
      <c r="S14" t="n">
        <v>19164.6</v>
      </c>
      <c r="T14" t="n">
        <v>49</v>
      </c>
      <c r="U14" t="n">
        <v>52</v>
      </c>
      <c r="V14" t="n">
        <v>30</v>
      </c>
      <c r="W14" t="n">
        <v>30</v>
      </c>
      <c r="X14" t="n">
        <v>20.35002035002035</v>
      </c>
      <c r="Y14" t="n">
        <v>1</v>
      </c>
      <c r="Z14" t="n">
        <v>10</v>
      </c>
      <c r="AA14" t="n">
        <v>0</v>
      </c>
      <c r="AB14" t="n">
        <v>10</v>
      </c>
      <c r="AC14" t="n">
        <v>10</v>
      </c>
      <c r="AD14" t="n">
        <v>0</v>
      </c>
      <c r="AE14" t="n">
        <v>159740</v>
      </c>
      <c r="AF14" t="n">
        <v>10977</v>
      </c>
      <c r="AG14" t="n">
        <v>33</v>
      </c>
      <c r="AH14" t="inlineStr">
        <is>
          <t>PT. MENSA BINASUKSES - PPN (PDG)</t>
        </is>
      </c>
      <c r="AI14" t="n">
        <v>33</v>
      </c>
      <c r="AJ14" t="inlineStr">
        <is>
          <t>ACNES</t>
        </is>
      </c>
      <c r="AK14" t="n">
        <v>21</v>
      </c>
      <c r="AL14" t="inlineStr">
        <is>
          <t>Miss Glam Damar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"8992821103508"</f>
        <v/>
      </c>
      <c r="C15" t="inlineStr">
        <is>
          <t>ACNES Derma Care Gentle Cleanser 120g</t>
        </is>
      </c>
      <c r="D15" t="inlineStr">
        <is>
          <t>Miss Glam Damar</t>
        </is>
      </c>
      <c r="E15" t="n">
        <v>3</v>
      </c>
      <c r="F15" t="n">
        <v>0.04550000000000001</v>
      </c>
      <c r="G15" t="n">
        <v>0.91</v>
      </c>
      <c r="H15" t="n">
        <v>3</v>
      </c>
      <c r="I15" t="n">
        <v>14</v>
      </c>
      <c r="J15" t="n">
        <v>3</v>
      </c>
      <c r="K15" t="n">
        <v>0</v>
      </c>
      <c r="L15" t="n">
        <v>50789</v>
      </c>
      <c r="M15" t="n">
        <v>62000</v>
      </c>
      <c r="N15" t="n">
        <v>91</v>
      </c>
      <c r="O15" t="n">
        <v>0.91</v>
      </c>
      <c r="P15" t="n">
        <v>1</v>
      </c>
      <c r="Q15" t="n">
        <v>0.02</v>
      </c>
      <c r="R15" t="n">
        <v>1</v>
      </c>
      <c r="S15" t="n">
        <v>2821</v>
      </c>
      <c r="T15" t="n">
        <v>13</v>
      </c>
      <c r="U15" t="n">
        <v>14</v>
      </c>
      <c r="V15" t="n">
        <v>30</v>
      </c>
      <c r="W15" t="n">
        <v>2</v>
      </c>
      <c r="X15" t="n">
        <v>65.93406593406593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10977</v>
      </c>
      <c r="AG15" t="n">
        <v>33</v>
      </c>
      <c r="AH15" t="inlineStr">
        <is>
          <t>PT. MENSA BINASUKSES - PPN (PDG)</t>
        </is>
      </c>
      <c r="AI15" t="n">
        <v>33</v>
      </c>
      <c r="AJ15" t="inlineStr">
        <is>
          <t>ACNES</t>
        </is>
      </c>
      <c r="AK15" t="n">
        <v>21</v>
      </c>
      <c r="AL15" t="inlineStr">
        <is>
          <t>Miss Glam Damar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"8992821102358"</f>
        <v/>
      </c>
      <c r="C16" t="inlineStr">
        <is>
          <t>ACNES Oil Control Face Wash 100gr</t>
        </is>
      </c>
      <c r="D16" t="inlineStr">
        <is>
          <t>Miss Glam Damar</t>
        </is>
      </c>
      <c r="E16" t="n">
        <v>11</v>
      </c>
      <c r="F16" t="n">
        <v>0.7280000000000001</v>
      </c>
      <c r="G16" t="n">
        <v>2.73</v>
      </c>
      <c r="H16" t="n">
        <v>3</v>
      </c>
      <c r="I16" t="n">
        <v>14</v>
      </c>
      <c r="J16" t="n">
        <v>3</v>
      </c>
      <c r="K16" t="n">
        <v>0</v>
      </c>
      <c r="L16" t="n">
        <v>26623</v>
      </c>
      <c r="M16" t="n">
        <v>32500</v>
      </c>
      <c r="N16" t="n">
        <v>91</v>
      </c>
      <c r="O16" t="n">
        <v>0.91</v>
      </c>
      <c r="P16" t="n">
        <v>1</v>
      </c>
      <c r="Q16" t="n">
        <v>0.32</v>
      </c>
      <c r="R16" t="n">
        <v>2</v>
      </c>
      <c r="S16" t="n">
        <v>23660</v>
      </c>
      <c r="T16" t="n">
        <v>37</v>
      </c>
      <c r="U16" t="n">
        <v>40</v>
      </c>
      <c r="V16" t="n">
        <v>30</v>
      </c>
      <c r="W16" t="n">
        <v>22</v>
      </c>
      <c r="X16" t="n">
        <v>15.10989010989011</v>
      </c>
      <c r="Y16" t="n">
        <v>1</v>
      </c>
      <c r="Z16" t="n">
        <v>11</v>
      </c>
      <c r="AA16" t="n">
        <v>0</v>
      </c>
      <c r="AB16" t="n">
        <v>11</v>
      </c>
      <c r="AC16" t="n">
        <v>11</v>
      </c>
      <c r="AD16" t="n">
        <v>0</v>
      </c>
      <c r="AE16" t="n">
        <v>292853</v>
      </c>
      <c r="AF16" t="n">
        <v>10977</v>
      </c>
      <c r="AG16" t="n">
        <v>33</v>
      </c>
      <c r="AH16" t="inlineStr">
        <is>
          <t>PT. MENSA BINASUKSES - PPN (PDG)</t>
        </is>
      </c>
      <c r="AI16" t="n">
        <v>33</v>
      </c>
      <c r="AJ16" t="inlineStr">
        <is>
          <t>ACNES</t>
        </is>
      </c>
      <c r="AK16" t="n">
        <v>21</v>
      </c>
      <c r="AL16" t="inlineStr">
        <is>
          <t>Miss Glam Damar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"8992821102341"</f>
        <v/>
      </c>
      <c r="C17" t="inlineStr">
        <is>
          <t>ACNES Oil Control Face Wash 50gr</t>
        </is>
      </c>
      <c r="D17" t="inlineStr">
        <is>
          <t>Miss Glam Damar</t>
        </is>
      </c>
      <c r="E17" t="n">
        <v>4</v>
      </c>
      <c r="F17" t="n">
        <v>0.9373</v>
      </c>
      <c r="G17" t="n">
        <v>3.64</v>
      </c>
      <c r="H17" t="n">
        <v>3</v>
      </c>
      <c r="I17" t="n">
        <v>14</v>
      </c>
      <c r="J17" t="n">
        <v>3</v>
      </c>
      <c r="K17" t="n">
        <v>0</v>
      </c>
      <c r="L17" t="n">
        <v>15974</v>
      </c>
      <c r="M17" t="n">
        <v>19500</v>
      </c>
      <c r="N17" t="n">
        <v>91</v>
      </c>
      <c r="O17" t="n">
        <v>0.91</v>
      </c>
      <c r="P17" t="n">
        <v>1</v>
      </c>
      <c r="Q17" t="n">
        <v>0.36</v>
      </c>
      <c r="R17" t="n">
        <v>3</v>
      </c>
      <c r="S17" t="n">
        <v>18277.35</v>
      </c>
      <c r="T17" t="n">
        <v>49</v>
      </c>
      <c r="U17" t="n">
        <v>52</v>
      </c>
      <c r="V17" t="n">
        <v>30</v>
      </c>
      <c r="W17" t="n">
        <v>29</v>
      </c>
      <c r="X17" t="n">
        <v>4.267577083111064</v>
      </c>
      <c r="Y17" t="n">
        <v>1</v>
      </c>
      <c r="Z17" t="n">
        <v>25</v>
      </c>
      <c r="AA17" t="n">
        <v>10</v>
      </c>
      <c r="AB17" t="n">
        <v>15</v>
      </c>
      <c r="AC17" t="n">
        <v>15</v>
      </c>
      <c r="AD17" t="n">
        <v>159740</v>
      </c>
      <c r="AE17" t="n">
        <v>239610</v>
      </c>
      <c r="AF17" t="n">
        <v>10977</v>
      </c>
      <c r="AG17" t="n">
        <v>33</v>
      </c>
      <c r="AH17" t="inlineStr">
        <is>
          <t>PT. MENSA BINASUKSES - PPN (PDG)</t>
        </is>
      </c>
      <c r="AI17" t="n">
        <v>33</v>
      </c>
      <c r="AJ17" t="inlineStr">
        <is>
          <t>ACNES</t>
        </is>
      </c>
      <c r="AK17" t="n">
        <v>21</v>
      </c>
      <c r="AL17" t="inlineStr">
        <is>
          <t>Miss Glam Damar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"8992821100354"</f>
        <v/>
      </c>
      <c r="C18" t="inlineStr">
        <is>
          <t>ACNES Oil Control Film isi 50</t>
        </is>
      </c>
      <c r="D18" t="inlineStr">
        <is>
          <t>Miss Glam Damar</t>
        </is>
      </c>
      <c r="E18" t="n">
        <v>7</v>
      </c>
      <c r="F18" t="n">
        <v>0.1274</v>
      </c>
      <c r="G18" t="n">
        <v>1.82</v>
      </c>
      <c r="H18" t="n">
        <v>3</v>
      </c>
      <c r="I18" t="n">
        <v>14</v>
      </c>
      <c r="J18" t="n">
        <v>3</v>
      </c>
      <c r="K18" t="n">
        <v>0</v>
      </c>
      <c r="L18" t="n">
        <v>28671</v>
      </c>
      <c r="M18" t="n">
        <v>35000</v>
      </c>
      <c r="N18" t="n">
        <v>91</v>
      </c>
      <c r="O18" t="n">
        <v>0.91</v>
      </c>
      <c r="P18" t="n">
        <v>1</v>
      </c>
      <c r="Q18" t="n">
        <v>0.2</v>
      </c>
      <c r="R18" t="n">
        <v>2</v>
      </c>
      <c r="S18" t="n">
        <v>4459.000000000001</v>
      </c>
      <c r="T18" t="n">
        <v>26</v>
      </c>
      <c r="U18" t="n">
        <v>27</v>
      </c>
      <c r="V18" t="n">
        <v>30</v>
      </c>
      <c r="W18" t="n">
        <v>4</v>
      </c>
      <c r="X18" t="n">
        <v>54.94505494505494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10977</v>
      </c>
      <c r="AG18" t="n">
        <v>33</v>
      </c>
      <c r="AH18" t="inlineStr">
        <is>
          <t>PT. MENSA BINASUKSES - PPN (PDG)</t>
        </is>
      </c>
      <c r="AI18" t="n">
        <v>33</v>
      </c>
      <c r="AJ18" t="inlineStr">
        <is>
          <t>ACNES</t>
        </is>
      </c>
      <c r="AK18" t="n">
        <v>21</v>
      </c>
      <c r="AL18" t="inlineStr">
        <is>
          <t>Miss Glam Damar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"8992821100675"</f>
        <v/>
      </c>
      <c r="C19" t="inlineStr">
        <is>
          <t>ACNES Point Clear Roll On 9ml</t>
        </is>
      </c>
      <c r="D19" t="inlineStr">
        <is>
          <t>Miss Glam Damar</t>
        </is>
      </c>
      <c r="E19" t="n">
        <v>1</v>
      </c>
      <c r="F19" t="n">
        <v>0.0546</v>
      </c>
      <c r="G19" t="n">
        <v>0.91</v>
      </c>
      <c r="H19" t="n">
        <v>3</v>
      </c>
      <c r="I19" t="n">
        <v>14</v>
      </c>
      <c r="J19" t="n">
        <v>3</v>
      </c>
      <c r="K19" t="n">
        <v>0</v>
      </c>
      <c r="L19" t="n">
        <v>22937</v>
      </c>
      <c r="M19" t="n">
        <v>28500</v>
      </c>
      <c r="N19" t="n">
        <v>91</v>
      </c>
      <c r="O19" t="n">
        <v>0.91</v>
      </c>
      <c r="P19" t="n">
        <v>1</v>
      </c>
      <c r="Q19" t="n">
        <v>0.25</v>
      </c>
      <c r="R19" t="n">
        <v>2</v>
      </c>
      <c r="S19" t="n">
        <v>1556.1</v>
      </c>
      <c r="T19" t="n">
        <v>13</v>
      </c>
      <c r="U19" t="n">
        <v>14</v>
      </c>
      <c r="V19" t="n">
        <v>30</v>
      </c>
      <c r="W19" t="n">
        <v>2</v>
      </c>
      <c r="X19" t="n">
        <v>18.31501831501831</v>
      </c>
      <c r="Y19" t="n">
        <v>1</v>
      </c>
      <c r="Z19" t="n">
        <v>1</v>
      </c>
      <c r="AA19" t="n">
        <v>0</v>
      </c>
      <c r="AB19" t="n">
        <v>1</v>
      </c>
      <c r="AC19" t="n">
        <v>3</v>
      </c>
      <c r="AD19" t="n">
        <v>0</v>
      </c>
      <c r="AE19" t="n">
        <v>68811</v>
      </c>
      <c r="AF19" t="n">
        <v>10977</v>
      </c>
      <c r="AG19" t="n">
        <v>33</v>
      </c>
      <c r="AH19" t="inlineStr">
        <is>
          <t>PT. MENSA BINASUKSES - PPN (PDG)</t>
        </is>
      </c>
      <c r="AI19" t="n">
        <v>33</v>
      </c>
      <c r="AJ19" t="inlineStr">
        <is>
          <t>ACNES</t>
        </is>
      </c>
      <c r="AK19" t="n">
        <v>21</v>
      </c>
      <c r="AL19" t="inlineStr">
        <is>
          <t>Miss Glam Damar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"8992821101375"</f>
        <v/>
      </c>
      <c r="C20" t="inlineStr">
        <is>
          <t>ACNES Pore Strips 3 Sheets</t>
        </is>
      </c>
      <c r="D20" t="inlineStr">
        <is>
          <t>Miss Glam Damar</t>
        </is>
      </c>
      <c r="E20" t="n">
        <v>9</v>
      </c>
      <c r="F20" t="n">
        <v>0.06370000000000001</v>
      </c>
      <c r="G20" t="n">
        <v>0.91</v>
      </c>
      <c r="H20" t="n">
        <v>3</v>
      </c>
      <c r="I20" t="n">
        <v>14</v>
      </c>
      <c r="J20" t="n">
        <v>3</v>
      </c>
      <c r="K20" t="n">
        <v>0</v>
      </c>
      <c r="L20" t="n">
        <v>13107</v>
      </c>
      <c r="M20" t="n">
        <v>16000</v>
      </c>
      <c r="N20" t="n">
        <v>91</v>
      </c>
      <c r="O20" t="n">
        <v>0.91</v>
      </c>
      <c r="P20" t="n">
        <v>1</v>
      </c>
      <c r="Q20" t="n">
        <v>0.27</v>
      </c>
      <c r="R20" t="n">
        <v>2</v>
      </c>
      <c r="S20" t="n">
        <v>1019.2</v>
      </c>
      <c r="T20" t="n">
        <v>13</v>
      </c>
      <c r="U20" t="n">
        <v>14</v>
      </c>
      <c r="V20" t="n">
        <v>30</v>
      </c>
      <c r="W20" t="n">
        <v>2</v>
      </c>
      <c r="X20" t="n">
        <v>141.287284144427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10977</v>
      </c>
      <c r="AG20" t="n">
        <v>33</v>
      </c>
      <c r="AH20" t="inlineStr">
        <is>
          <t>PT. MENSA BINASUKSES - PPN (PDG)</t>
        </is>
      </c>
      <c r="AI20" t="n">
        <v>33</v>
      </c>
      <c r="AJ20" t="inlineStr">
        <is>
          <t>ACNES</t>
        </is>
      </c>
      <c r="AK20" t="n">
        <v>21</v>
      </c>
      <c r="AL20" t="inlineStr">
        <is>
          <t>Miss Glam Damar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"8992821100415"</f>
        <v/>
      </c>
      <c r="C21" t="inlineStr">
        <is>
          <t>ACNES Sealing Jell 9gr</t>
        </is>
      </c>
      <c r="D21" t="inlineStr">
        <is>
          <t>Miss Glam Damar</t>
        </is>
      </c>
      <c r="E21" t="n">
        <v>7</v>
      </c>
      <c r="F21" t="n">
        <v>1.3377</v>
      </c>
      <c r="G21" t="n">
        <v>5.46</v>
      </c>
      <c r="H21" t="n">
        <v>3</v>
      </c>
      <c r="I21" t="n">
        <v>14</v>
      </c>
      <c r="J21" t="n">
        <v>3</v>
      </c>
      <c r="K21" t="n">
        <v>0</v>
      </c>
      <c r="L21" t="n">
        <v>17612</v>
      </c>
      <c r="M21" t="n">
        <v>21500</v>
      </c>
      <c r="N21" t="n">
        <v>91</v>
      </c>
      <c r="O21" t="n">
        <v>0.91</v>
      </c>
      <c r="P21" t="n">
        <v>1</v>
      </c>
      <c r="Q21" t="n">
        <v>0.63</v>
      </c>
      <c r="R21" t="n">
        <v>3</v>
      </c>
      <c r="S21" t="n">
        <v>28760.55</v>
      </c>
      <c r="T21" t="n">
        <v>73</v>
      </c>
      <c r="U21" t="n">
        <v>78</v>
      </c>
      <c r="V21" t="n">
        <v>30</v>
      </c>
      <c r="W21" t="n">
        <v>41</v>
      </c>
      <c r="X21" t="n">
        <v>5.232862375719519</v>
      </c>
      <c r="Y21" t="n">
        <v>1</v>
      </c>
      <c r="Z21" t="n">
        <v>34</v>
      </c>
      <c r="AA21" t="n">
        <v>12</v>
      </c>
      <c r="AB21" t="n">
        <v>22</v>
      </c>
      <c r="AC21" t="n">
        <v>22</v>
      </c>
      <c r="AD21" t="n">
        <v>211344</v>
      </c>
      <c r="AE21" t="n">
        <v>387464</v>
      </c>
      <c r="AF21" t="n">
        <v>10977</v>
      </c>
      <c r="AG21" t="n">
        <v>33</v>
      </c>
      <c r="AH21" t="inlineStr">
        <is>
          <t>PT. MENSA BINASUKSES - PPN (PDG)</t>
        </is>
      </c>
      <c r="AI21" t="n">
        <v>33</v>
      </c>
      <c r="AJ21" t="inlineStr">
        <is>
          <t>ACNES</t>
        </is>
      </c>
      <c r="AK21" t="n">
        <v>21</v>
      </c>
      <c r="AL21" t="inlineStr">
        <is>
          <t>Miss Glam Damar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"8992821100323"</f>
        <v/>
      </c>
      <c r="C22" t="inlineStr">
        <is>
          <t>ACNES Sealing Jell Gel 18gr</t>
        </is>
      </c>
      <c r="D22" t="inlineStr">
        <is>
          <t>Miss Glam Damar</t>
        </is>
      </c>
      <c r="E22" t="n">
        <v>2</v>
      </c>
      <c r="F22" t="n">
        <v>0.06370000000000001</v>
      </c>
      <c r="G22" t="n">
        <v>0.91</v>
      </c>
      <c r="H22" t="n">
        <v>3</v>
      </c>
      <c r="I22" t="n">
        <v>14</v>
      </c>
      <c r="J22" t="n">
        <v>3</v>
      </c>
      <c r="K22" t="n">
        <v>0</v>
      </c>
      <c r="L22" t="n">
        <v>27852</v>
      </c>
      <c r="M22" t="n">
        <v>34000</v>
      </c>
      <c r="N22" t="n">
        <v>91</v>
      </c>
      <c r="O22" t="n">
        <v>0.91</v>
      </c>
      <c r="P22" t="n">
        <v>1</v>
      </c>
      <c r="Q22" t="n">
        <v>0.07000000000000001</v>
      </c>
      <c r="R22" t="n">
        <v>1</v>
      </c>
      <c r="S22" t="n">
        <v>2165.8</v>
      </c>
      <c r="T22" t="n">
        <v>13</v>
      </c>
      <c r="U22" t="n">
        <v>14</v>
      </c>
      <c r="V22" t="n">
        <v>30</v>
      </c>
      <c r="W22" t="n">
        <v>2</v>
      </c>
      <c r="X22" t="n">
        <v>31.39717425431711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10977</v>
      </c>
      <c r="AG22" t="n">
        <v>33</v>
      </c>
      <c r="AH22" t="inlineStr">
        <is>
          <t>PT. MENSA BINASUKSES - PPN (PDG)</t>
        </is>
      </c>
      <c r="AI22" t="n">
        <v>33</v>
      </c>
      <c r="AJ22" t="inlineStr">
        <is>
          <t>ACNES</t>
        </is>
      </c>
      <c r="AK22" t="n">
        <v>21</v>
      </c>
      <c r="AL22" t="inlineStr">
        <is>
          <t>Miss Glam Damar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"8992821101023"</f>
        <v/>
      </c>
      <c r="C23" t="inlineStr">
        <is>
          <t>ACNES Soft Cotton 45gr</t>
        </is>
      </c>
      <c r="D23" t="inlineStr">
        <is>
          <t>Miss Glam Damar</t>
        </is>
      </c>
      <c r="E23" t="n">
        <v>38</v>
      </c>
      <c r="F23" t="n">
        <v>0.7098000000000001</v>
      </c>
      <c r="G23" t="n">
        <v>3.64</v>
      </c>
      <c r="H23" t="n">
        <v>3</v>
      </c>
      <c r="I23" t="n">
        <v>14</v>
      </c>
      <c r="J23" t="n">
        <v>3</v>
      </c>
      <c r="K23" t="n">
        <v>0</v>
      </c>
      <c r="L23" t="n">
        <v>6308</v>
      </c>
      <c r="M23" t="n">
        <v>8000</v>
      </c>
      <c r="N23" t="n">
        <v>91</v>
      </c>
      <c r="O23" t="n">
        <v>0.91</v>
      </c>
      <c r="P23" t="n">
        <v>1</v>
      </c>
      <c r="Q23" t="n">
        <v>1.14</v>
      </c>
      <c r="R23" t="n">
        <v>4</v>
      </c>
      <c r="S23" t="n">
        <v>5678.400000000001</v>
      </c>
      <c r="T23" t="n">
        <v>49</v>
      </c>
      <c r="U23" t="n">
        <v>52</v>
      </c>
      <c r="V23" t="n">
        <v>30</v>
      </c>
      <c r="W23" t="n">
        <v>22</v>
      </c>
      <c r="X23" t="n">
        <v>53.53620738236122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10977</v>
      </c>
      <c r="AG23" t="n">
        <v>33</v>
      </c>
      <c r="AH23" t="inlineStr">
        <is>
          <t>PT. MENSA BINASUKSES - PPN (PDG)</t>
        </is>
      </c>
      <c r="AI23" t="n">
        <v>33</v>
      </c>
      <c r="AJ23" t="inlineStr">
        <is>
          <t>ACNES</t>
        </is>
      </c>
      <c r="AK23" t="n">
        <v>21</v>
      </c>
      <c r="AL23" t="inlineStr">
        <is>
          <t>Miss Glam Damar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"8992821100439"</f>
        <v/>
      </c>
      <c r="C24" t="inlineStr">
        <is>
          <t>ACNES Spot Care 12gr</t>
        </is>
      </c>
      <c r="D24" t="inlineStr">
        <is>
          <t>Miss Glam Damar</t>
        </is>
      </c>
      <c r="E24" t="n">
        <v>12</v>
      </c>
      <c r="F24" t="n">
        <v>0.6006</v>
      </c>
      <c r="G24" t="n">
        <v>2.73</v>
      </c>
      <c r="H24" t="n">
        <v>3</v>
      </c>
      <c r="I24" t="n">
        <v>14</v>
      </c>
      <c r="J24" t="n">
        <v>3</v>
      </c>
      <c r="K24" t="n">
        <v>0</v>
      </c>
      <c r="L24" t="n">
        <v>31948</v>
      </c>
      <c r="M24" t="n">
        <v>39000</v>
      </c>
      <c r="N24" t="n">
        <v>91</v>
      </c>
      <c r="O24" t="n">
        <v>0.91</v>
      </c>
      <c r="P24" t="n">
        <v>1</v>
      </c>
      <c r="Q24" t="n">
        <v>0.39</v>
      </c>
      <c r="R24" t="n">
        <v>3</v>
      </c>
      <c r="S24" t="n">
        <v>23423.4</v>
      </c>
      <c r="T24" t="n">
        <v>37</v>
      </c>
      <c r="U24" t="n">
        <v>39</v>
      </c>
      <c r="V24" t="n">
        <v>30</v>
      </c>
      <c r="W24" t="n">
        <v>19</v>
      </c>
      <c r="X24" t="n">
        <v>19.98001998001998</v>
      </c>
      <c r="Y24" t="n">
        <v>1</v>
      </c>
      <c r="Z24" t="n">
        <v>7</v>
      </c>
      <c r="AA24" t="n">
        <v>0</v>
      </c>
      <c r="AB24" t="n">
        <v>7</v>
      </c>
      <c r="AC24" t="n">
        <v>7</v>
      </c>
      <c r="AD24" t="n">
        <v>0</v>
      </c>
      <c r="AE24" t="n">
        <v>223636</v>
      </c>
      <c r="AF24" t="n">
        <v>10977</v>
      </c>
      <c r="AG24" t="n">
        <v>33</v>
      </c>
      <c r="AH24" t="inlineStr">
        <is>
          <t>PT. MENSA BINASUKSES - PPN (PDG)</t>
        </is>
      </c>
      <c r="AI24" t="n">
        <v>33</v>
      </c>
      <c r="AJ24" t="inlineStr">
        <is>
          <t>ACNES</t>
        </is>
      </c>
      <c r="AK24" t="n">
        <v>21</v>
      </c>
      <c r="AL24" t="inlineStr">
        <is>
          <t>Miss Glam Damar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"8992821103102"</f>
        <v/>
      </c>
      <c r="C25" t="inlineStr">
        <is>
          <t>ACNES Starter Pack 3 Int 1</t>
        </is>
      </c>
      <c r="D25" t="inlineStr">
        <is>
          <t>Miss Glam Damar</t>
        </is>
      </c>
      <c r="E25" t="n">
        <v>3</v>
      </c>
      <c r="F25" t="n">
        <v>0.1092</v>
      </c>
      <c r="G25" t="n">
        <v>1.82</v>
      </c>
      <c r="H25" t="n">
        <v>3</v>
      </c>
      <c r="I25" t="n">
        <v>14</v>
      </c>
      <c r="J25" t="n">
        <v>3</v>
      </c>
      <c r="K25" t="n">
        <v>0</v>
      </c>
      <c r="L25" t="n">
        <v>29490</v>
      </c>
      <c r="M25" t="n">
        <v>35000</v>
      </c>
      <c r="N25" t="n">
        <v>91</v>
      </c>
      <c r="O25" t="n">
        <v>0.91</v>
      </c>
      <c r="P25" t="n">
        <v>1</v>
      </c>
      <c r="Q25" t="n">
        <v>0.02</v>
      </c>
      <c r="R25" t="n">
        <v>1</v>
      </c>
      <c r="S25" t="n">
        <v>3822</v>
      </c>
      <c r="T25" t="n">
        <v>26</v>
      </c>
      <c r="U25" t="n">
        <v>27</v>
      </c>
      <c r="V25" t="n">
        <v>30</v>
      </c>
      <c r="W25" t="n">
        <v>4</v>
      </c>
      <c r="X25" t="n">
        <v>27.47252747252747</v>
      </c>
      <c r="Y25" t="n">
        <v>1</v>
      </c>
      <c r="Z25" t="n">
        <v>1</v>
      </c>
      <c r="AA25" t="n">
        <v>0</v>
      </c>
      <c r="AB25" t="n">
        <v>1</v>
      </c>
      <c r="AC25" t="n">
        <v>3</v>
      </c>
      <c r="AD25" t="n">
        <v>0</v>
      </c>
      <c r="AE25" t="n">
        <v>88470</v>
      </c>
      <c r="AF25" t="n">
        <v>10977</v>
      </c>
      <c r="AG25" t="n">
        <v>33</v>
      </c>
      <c r="AH25" t="inlineStr">
        <is>
          <t>PT. MENSA BINASUKSES - PPN (PDG)</t>
        </is>
      </c>
      <c r="AI25" t="n">
        <v>33</v>
      </c>
      <c r="AJ25" t="inlineStr">
        <is>
          <t>ACNES</t>
        </is>
      </c>
      <c r="AK25" t="n">
        <v>21</v>
      </c>
      <c r="AL25" t="inlineStr">
        <is>
          <t>Miss Glam Damar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"8992821100378"</f>
        <v/>
      </c>
      <c r="C26" t="inlineStr">
        <is>
          <t>ACNES Tea Tree Oil Clay Mask 50ml</t>
        </is>
      </c>
      <c r="D26" t="inlineStr">
        <is>
          <t>Miss Glam Damar</t>
        </is>
      </c>
      <c r="E26" t="n">
        <v>10</v>
      </c>
      <c r="F26" t="n">
        <v>0.1365</v>
      </c>
      <c r="G26" t="n">
        <v>1.82</v>
      </c>
      <c r="H26" t="n">
        <v>3</v>
      </c>
      <c r="I26" t="n">
        <v>14</v>
      </c>
      <c r="J26" t="n">
        <v>3</v>
      </c>
      <c r="K26" t="n">
        <v>0</v>
      </c>
      <c r="L26" t="n">
        <v>31948</v>
      </c>
      <c r="M26" t="n">
        <v>39000</v>
      </c>
      <c r="N26" t="n">
        <v>91</v>
      </c>
      <c r="O26" t="n">
        <v>0.91</v>
      </c>
      <c r="P26" t="n">
        <v>1</v>
      </c>
      <c r="Q26" t="n">
        <v>0.07000000000000001</v>
      </c>
      <c r="R26" t="n">
        <v>1</v>
      </c>
      <c r="S26" t="n">
        <v>5323.5</v>
      </c>
      <c r="T26" t="n">
        <v>26</v>
      </c>
      <c r="U26" t="n">
        <v>27</v>
      </c>
      <c r="V26" t="n">
        <v>30</v>
      </c>
      <c r="W26" t="n">
        <v>5</v>
      </c>
      <c r="X26" t="n">
        <v>73.26007326007326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10977</v>
      </c>
      <c r="AG26" t="n">
        <v>33</v>
      </c>
      <c r="AH26" t="inlineStr">
        <is>
          <t>PT. MENSA BINASUKSES - PPN (PDG)</t>
        </is>
      </c>
      <c r="AI26" t="n">
        <v>33</v>
      </c>
      <c r="AJ26" t="inlineStr">
        <is>
          <t>ACNES</t>
        </is>
      </c>
      <c r="AK26" t="n">
        <v>21</v>
      </c>
      <c r="AL26" t="inlineStr">
        <is>
          <t>Miss Glam Damar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"8992821100996"</f>
        <v/>
      </c>
      <c r="C27" t="inlineStr">
        <is>
          <t>ACNES Washing Bar 80gr</t>
        </is>
      </c>
      <c r="D27" t="inlineStr">
        <is>
          <t>Miss Glam Damar</t>
        </is>
      </c>
      <c r="E27" t="n">
        <v>11</v>
      </c>
      <c r="F27" t="n">
        <v>0.2275</v>
      </c>
      <c r="G27" t="n">
        <v>2.73</v>
      </c>
      <c r="H27" t="n">
        <v>3</v>
      </c>
      <c r="I27" t="n">
        <v>14</v>
      </c>
      <c r="J27" t="n">
        <v>3</v>
      </c>
      <c r="K27" t="n">
        <v>0</v>
      </c>
      <c r="L27" t="n">
        <v>8602</v>
      </c>
      <c r="M27" t="n">
        <v>10500</v>
      </c>
      <c r="N27" t="n">
        <v>91</v>
      </c>
      <c r="O27" t="n">
        <v>0.91</v>
      </c>
      <c r="P27" t="n">
        <v>1</v>
      </c>
      <c r="Q27" t="n">
        <v>0.41</v>
      </c>
      <c r="R27" t="n">
        <v>3</v>
      </c>
      <c r="S27" t="n">
        <v>2388.75</v>
      </c>
      <c r="T27" t="n">
        <v>38</v>
      </c>
      <c r="U27" t="n">
        <v>39</v>
      </c>
      <c r="V27" t="n">
        <v>30</v>
      </c>
      <c r="W27" t="n">
        <v>7</v>
      </c>
      <c r="X27" t="n">
        <v>48.35164835164835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10977</v>
      </c>
      <c r="AG27" t="n">
        <v>33</v>
      </c>
      <c r="AH27" t="inlineStr">
        <is>
          <t>PT. MENSA BINASUKSES - PPN (PDG)</t>
        </is>
      </c>
      <c r="AI27" t="n">
        <v>33</v>
      </c>
      <c r="AJ27" t="inlineStr">
        <is>
          <t>ACNES</t>
        </is>
      </c>
      <c r="AK27" t="n">
        <v>21</v>
      </c>
      <c r="AL27" t="inlineStr">
        <is>
          <t>Miss Glam Damar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"8992821102631"</f>
        <v/>
      </c>
      <c r="C28" t="inlineStr">
        <is>
          <t>ACNES Yoghurt Touch Face Wash  50gr</t>
        </is>
      </c>
      <c r="D28" t="inlineStr">
        <is>
          <t>Miss Glam Damar</t>
        </is>
      </c>
      <c r="E28" t="n">
        <v>6</v>
      </c>
      <c r="F28" t="n">
        <v>0.4641</v>
      </c>
      <c r="G28" t="n">
        <v>1.82</v>
      </c>
      <c r="H28" t="n">
        <v>3</v>
      </c>
      <c r="I28" t="n">
        <v>14</v>
      </c>
      <c r="J28" t="n">
        <v>3</v>
      </c>
      <c r="K28" t="n">
        <v>0</v>
      </c>
      <c r="L28" t="n">
        <v>15974</v>
      </c>
      <c r="M28" t="n">
        <v>19000</v>
      </c>
      <c r="N28" t="n">
        <v>91</v>
      </c>
      <c r="O28" t="n">
        <v>0.91</v>
      </c>
      <c r="P28" t="n">
        <v>1</v>
      </c>
      <c r="Q28" t="n">
        <v>0.17</v>
      </c>
      <c r="R28" t="n">
        <v>2</v>
      </c>
      <c r="S28" t="n">
        <v>8817.9</v>
      </c>
      <c r="T28" t="n">
        <v>25</v>
      </c>
      <c r="U28" t="n">
        <v>27</v>
      </c>
      <c r="V28" t="n">
        <v>30</v>
      </c>
      <c r="W28" t="n">
        <v>14</v>
      </c>
      <c r="X28" t="n">
        <v>12.92824822236587</v>
      </c>
      <c r="Y28" t="n">
        <v>1</v>
      </c>
      <c r="Z28" t="n">
        <v>8</v>
      </c>
      <c r="AA28" t="n">
        <v>1</v>
      </c>
      <c r="AB28" t="n">
        <v>7</v>
      </c>
      <c r="AC28" t="n">
        <v>7</v>
      </c>
      <c r="AD28" t="n">
        <v>15974</v>
      </c>
      <c r="AE28" t="n">
        <v>111818</v>
      </c>
      <c r="AF28" t="n">
        <v>10977</v>
      </c>
      <c r="AG28" t="n">
        <v>33</v>
      </c>
      <c r="AH28" t="inlineStr">
        <is>
          <t>PT. MENSA BINASUKSES - PPN (PDG)</t>
        </is>
      </c>
      <c r="AI28" t="n">
        <v>33</v>
      </c>
      <c r="AJ28" t="inlineStr">
        <is>
          <t>ACNES</t>
        </is>
      </c>
      <c r="AK28" t="n">
        <v>21</v>
      </c>
      <c r="AL28" t="inlineStr">
        <is>
          <t>Miss Glam Damar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"8992821102624"</f>
        <v/>
      </c>
      <c r="C29" t="inlineStr">
        <is>
          <t>ACNES Yoghurt Touch Face Wash 100g</t>
        </is>
      </c>
      <c r="D29" t="inlineStr">
        <is>
          <t>Miss Glam Damar</t>
        </is>
      </c>
      <c r="E29" t="n">
        <v>6</v>
      </c>
      <c r="F29" t="n">
        <v>0.3276</v>
      </c>
      <c r="G29" t="n">
        <v>1.82</v>
      </c>
      <c r="H29" t="n">
        <v>3</v>
      </c>
      <c r="I29" t="n">
        <v>14</v>
      </c>
      <c r="J29" t="n">
        <v>3</v>
      </c>
      <c r="K29" t="n">
        <v>0</v>
      </c>
      <c r="L29" t="n">
        <v>26623</v>
      </c>
      <c r="M29" t="n">
        <v>31500</v>
      </c>
      <c r="N29" t="n">
        <v>91</v>
      </c>
      <c r="O29" t="n">
        <v>0.91</v>
      </c>
      <c r="P29" t="n">
        <v>1</v>
      </c>
      <c r="Q29" t="n">
        <v>0.24</v>
      </c>
      <c r="R29" t="n">
        <v>3</v>
      </c>
      <c r="S29" t="n">
        <v>10319.4</v>
      </c>
      <c r="T29" t="n">
        <v>25</v>
      </c>
      <c r="U29" t="n">
        <v>26</v>
      </c>
      <c r="V29" t="n">
        <v>30</v>
      </c>
      <c r="W29" t="n">
        <v>10</v>
      </c>
      <c r="X29" t="n">
        <v>18.31501831501831</v>
      </c>
      <c r="Y29" t="n">
        <v>1</v>
      </c>
      <c r="Z29" t="n">
        <v>4</v>
      </c>
      <c r="AA29" t="n">
        <v>0</v>
      </c>
      <c r="AB29" t="n">
        <v>4</v>
      </c>
      <c r="AC29" t="n">
        <v>4</v>
      </c>
      <c r="AD29" t="n">
        <v>0</v>
      </c>
      <c r="AE29" t="n">
        <v>106492</v>
      </c>
      <c r="AF29" t="n">
        <v>10977</v>
      </c>
      <c r="AG29" t="n">
        <v>33</v>
      </c>
      <c r="AH29" t="inlineStr">
        <is>
          <t>PT. MENSA BINASUKSES - PPN (PDG)</t>
        </is>
      </c>
      <c r="AI29" t="n">
        <v>33</v>
      </c>
      <c r="AJ29" t="inlineStr">
        <is>
          <t>ACNES</t>
        </is>
      </c>
      <c r="AK29" t="n">
        <v>21</v>
      </c>
      <c r="AL29" t="inlineStr">
        <is>
          <t>Miss Glam Damar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ACNOL</t>
        </is>
      </c>
      <c r="B30" s="2">
        <f>"8993035223730"</f>
        <v/>
      </c>
      <c r="C30" t="inlineStr">
        <is>
          <t>ACNOL Gel For Acne Obat Jerawat 10gr</t>
        </is>
      </c>
      <c r="D30" t="inlineStr">
        <is>
          <t>Miss Glam Damar</t>
        </is>
      </c>
      <c r="E30" t="n">
        <v>4</v>
      </c>
      <c r="F30" t="n">
        <v>0.182</v>
      </c>
      <c r="G30" t="n">
        <v>1.82</v>
      </c>
      <c r="H30" t="n">
        <v>4</v>
      </c>
      <c r="I30" t="n">
        <v>9</v>
      </c>
      <c r="J30" t="n">
        <v>3</v>
      </c>
      <c r="K30" t="n">
        <v>0</v>
      </c>
      <c r="L30" t="n">
        <v>19821</v>
      </c>
      <c r="M30" t="n">
        <v>23500</v>
      </c>
      <c r="N30" t="n">
        <v>91</v>
      </c>
      <c r="O30" t="n">
        <v>0.91</v>
      </c>
      <c r="P30" t="n">
        <v>1</v>
      </c>
      <c r="Q30" t="n">
        <v>0.1</v>
      </c>
      <c r="R30" t="n">
        <v>1</v>
      </c>
      <c r="S30" t="n">
        <v>4277.000000000001</v>
      </c>
      <c r="T30" t="n">
        <v>16</v>
      </c>
      <c r="U30" t="n">
        <v>17</v>
      </c>
      <c r="V30" t="n">
        <v>30</v>
      </c>
      <c r="W30" t="n">
        <v>6</v>
      </c>
      <c r="X30" t="n">
        <v>21.97802197802197</v>
      </c>
      <c r="Y30" t="n">
        <v>1</v>
      </c>
      <c r="Z30" t="n">
        <v>2</v>
      </c>
      <c r="AA30" t="n">
        <v>0</v>
      </c>
      <c r="AB30" t="n">
        <v>2</v>
      </c>
      <c r="AC30" t="n">
        <v>3</v>
      </c>
      <c r="AD30" t="n">
        <v>0</v>
      </c>
      <c r="AE30" t="n">
        <v>59463</v>
      </c>
      <c r="AF30" t="n">
        <v>9845</v>
      </c>
      <c r="AG30" t="n">
        <v>116</v>
      </c>
      <c r="AH30" t="inlineStr">
        <is>
          <t>PT. ENSEVAL PUTERA MEGATRADING - PPN (PDG)</t>
        </is>
      </c>
      <c r="AI30" t="n">
        <v>34</v>
      </c>
      <c r="AJ30" t="inlineStr">
        <is>
          <t>ACNOL</t>
        </is>
      </c>
      <c r="AK30" t="n">
        <v>21</v>
      </c>
      <c r="AL30" t="inlineStr">
        <is>
          <t>Miss Glam Damar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ACNOL</t>
        </is>
      </c>
      <c r="B31" s="2">
        <f>"8993035123368"</f>
        <v/>
      </c>
      <c r="C31" t="inlineStr">
        <is>
          <t>ACNOL Lotion For Acne 10ml</t>
        </is>
      </c>
      <c r="D31" t="inlineStr">
        <is>
          <t>Miss Glam Damar</t>
        </is>
      </c>
      <c r="E31" t="n">
        <v>5</v>
      </c>
      <c r="F31" t="n">
        <v>0.6188</v>
      </c>
      <c r="G31" t="n">
        <v>3.64</v>
      </c>
      <c r="H31" t="n">
        <v>4</v>
      </c>
      <c r="I31" t="n">
        <v>9</v>
      </c>
      <c r="J31" t="n">
        <v>3</v>
      </c>
      <c r="K31" t="n">
        <v>0</v>
      </c>
      <c r="L31" t="n">
        <v>17760</v>
      </c>
      <c r="M31" t="n">
        <v>21000</v>
      </c>
      <c r="N31" t="n">
        <v>91</v>
      </c>
      <c r="O31" t="n">
        <v>0.91</v>
      </c>
      <c r="P31" t="n">
        <v>1</v>
      </c>
      <c r="Q31" t="n">
        <v>0.31</v>
      </c>
      <c r="R31" t="n">
        <v>3</v>
      </c>
      <c r="S31" t="n">
        <v>12994.8</v>
      </c>
      <c r="T31" t="n">
        <v>31</v>
      </c>
      <c r="U31" t="n">
        <v>34</v>
      </c>
      <c r="V31" t="n">
        <v>30</v>
      </c>
      <c r="W31" t="n">
        <v>19</v>
      </c>
      <c r="X31" t="n">
        <v>8.080155138978668</v>
      </c>
      <c r="Y31" t="n">
        <v>1</v>
      </c>
      <c r="Z31" t="n">
        <v>14</v>
      </c>
      <c r="AA31" t="n">
        <v>1</v>
      </c>
      <c r="AB31" t="n">
        <v>13</v>
      </c>
      <c r="AC31" t="n">
        <v>13</v>
      </c>
      <c r="AD31" t="n">
        <v>17760</v>
      </c>
      <c r="AE31" t="n">
        <v>230880</v>
      </c>
      <c r="AF31" t="n">
        <v>9845</v>
      </c>
      <c r="AG31" t="n">
        <v>116</v>
      </c>
      <c r="AH31" t="inlineStr">
        <is>
          <t>PT. ENSEVAL PUTERA MEGATRADING - PPN (PDG)</t>
        </is>
      </c>
      <c r="AI31" t="n">
        <v>34</v>
      </c>
      <c r="AJ31" t="inlineStr">
        <is>
          <t>ACNOL</t>
        </is>
      </c>
      <c r="AK31" t="n">
        <v>21</v>
      </c>
      <c r="AL31" t="inlineStr">
        <is>
          <t>Miss Glam Damar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AFTER MY SKIN</t>
        </is>
      </c>
      <c r="B32" s="2">
        <f>"30100167233"</f>
        <v/>
      </c>
      <c r="C32" t="inlineStr">
        <is>
          <t>AFTER MY SKIN Alpha Arbutin Collagen Brightening Body Wash Bar Soap 45gr</t>
        </is>
      </c>
      <c r="D32" t="inlineStr">
        <is>
          <t>Miss Glam Damar</t>
        </is>
      </c>
      <c r="E32" t="n">
        <v>0</v>
      </c>
      <c r="F32" t="n">
        <v>0.3</v>
      </c>
      <c r="G32" t="n">
        <v>2</v>
      </c>
      <c r="H32" t="n">
        <v>4</v>
      </c>
      <c r="I32" t="n">
        <v>21</v>
      </c>
      <c r="J32" t="n">
        <v>1</v>
      </c>
      <c r="K32" t="n">
        <v>18</v>
      </c>
      <c r="L32" t="n">
        <v>33500</v>
      </c>
      <c r="M32" t="n">
        <v>53000</v>
      </c>
      <c r="N32" t="n">
        <v>91</v>
      </c>
      <c r="O32" t="n">
        <v>0.91</v>
      </c>
      <c r="P32" t="n">
        <v>0</v>
      </c>
      <c r="Q32" t="n">
        <v>0.3</v>
      </c>
      <c r="R32" t="n">
        <v>2</v>
      </c>
      <c r="S32" t="n">
        <v>15900</v>
      </c>
      <c r="T32" t="n">
        <v>41</v>
      </c>
      <c r="U32" t="n">
        <v>43</v>
      </c>
      <c r="V32" t="n">
        <v>30</v>
      </c>
      <c r="W32" t="n">
        <v>9</v>
      </c>
      <c r="X32" t="n">
        <v>0</v>
      </c>
      <c r="Y32" t="n">
        <v>1</v>
      </c>
      <c r="Z32" t="n">
        <v>0</v>
      </c>
      <c r="AA32" t="n">
        <v>6</v>
      </c>
      <c r="AB32" t="n">
        <v>0</v>
      </c>
      <c r="AC32" t="n">
        <v>0</v>
      </c>
      <c r="AD32" t="n">
        <v>201000</v>
      </c>
      <c r="AE32" t="n">
        <v>0</v>
      </c>
      <c r="AF32" t="n">
        <v>2927</v>
      </c>
      <c r="AG32" t="n">
        <v>1</v>
      </c>
      <c r="AH32" t="inlineStr">
        <is>
          <t>PT. BERSAMA DISTRIVERSA INDONESIA (DC CIPUTAT)</t>
        </is>
      </c>
      <c r="AI32" t="n">
        <v>2278</v>
      </c>
      <c r="AJ32" t="inlineStr">
        <is>
          <t>AFTER MY SKIN</t>
        </is>
      </c>
      <c r="AK32" t="n">
        <v>21</v>
      </c>
      <c r="AL32" t="inlineStr">
        <is>
          <t>Miss Glam Damar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"8991752007572"</f>
        <v/>
      </c>
      <c r="C33" t="inlineStr">
        <is>
          <t>AMATERASUN Brightening Sunscreen SPF 50+PA++++ 40gr</t>
        </is>
      </c>
      <c r="D33" t="inlineStr">
        <is>
          <t>Miss Glam Damar</t>
        </is>
      </c>
      <c r="E33" t="n">
        <v>6</v>
      </c>
      <c r="F33" t="n">
        <v>0.2639</v>
      </c>
      <c r="G33" t="n">
        <v>0.91</v>
      </c>
      <c r="H33" t="n">
        <v>2</v>
      </c>
      <c r="I33" t="n">
        <v>11</v>
      </c>
      <c r="J33" t="n">
        <v>1</v>
      </c>
      <c r="K33" t="n">
        <v>0</v>
      </c>
      <c r="L33" t="n">
        <v>52440</v>
      </c>
      <c r="M33" t="n">
        <v>69000</v>
      </c>
      <c r="N33" t="n">
        <v>91</v>
      </c>
      <c r="O33" t="n">
        <v>0.91</v>
      </c>
      <c r="P33" t="n">
        <v>1</v>
      </c>
      <c r="Q33" t="n">
        <v>0.2</v>
      </c>
      <c r="R33" t="n">
        <v>2</v>
      </c>
      <c r="S33" t="n">
        <v>18209.1</v>
      </c>
      <c r="T33" t="n">
        <v>10</v>
      </c>
      <c r="U33" t="n">
        <v>11</v>
      </c>
      <c r="V33" t="n">
        <v>30</v>
      </c>
      <c r="W33" t="n">
        <v>8</v>
      </c>
      <c r="X33" t="n">
        <v>22.73588480485033</v>
      </c>
      <c r="Y33" t="n">
        <v>1</v>
      </c>
      <c r="Z33" t="n">
        <v>2</v>
      </c>
      <c r="AA33" t="n">
        <v>0</v>
      </c>
      <c r="AB33" t="n">
        <v>2</v>
      </c>
      <c r="AC33" t="n">
        <v>2</v>
      </c>
      <c r="AD33" t="n">
        <v>0</v>
      </c>
      <c r="AE33" t="n">
        <v>104880</v>
      </c>
      <c r="AF33" t="n">
        <v>12305</v>
      </c>
      <c r="AG33" t="n">
        <v>92</v>
      </c>
      <c r="AH33" t="inlineStr">
        <is>
          <t>PT. SAI (PDG)</t>
        </is>
      </c>
      <c r="AI33" t="n">
        <v>1806</v>
      </c>
      <c r="AJ33" t="inlineStr">
        <is>
          <t>AMATERASUN</t>
        </is>
      </c>
      <c r="AK33" t="n">
        <v>21</v>
      </c>
      <c r="AL33" t="inlineStr">
        <is>
          <t>Miss Glam Damar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"10700324851"</f>
        <v/>
      </c>
      <c r="C34" t="inlineStr">
        <is>
          <t>AMATERASUN Lip Balm Spf 20 Pa+++ 4,5gr</t>
        </is>
      </c>
      <c r="D34" t="inlineStr">
        <is>
          <t>Miss Glam Damar</t>
        </is>
      </c>
      <c r="E34" t="n">
        <v>17</v>
      </c>
      <c r="F34" t="n">
        <v>0.2912</v>
      </c>
      <c r="G34" t="n">
        <v>1.82</v>
      </c>
      <c r="H34" t="n">
        <v>2</v>
      </c>
      <c r="I34" t="n">
        <v>11</v>
      </c>
      <c r="J34" t="n">
        <v>3</v>
      </c>
      <c r="K34" t="n">
        <v>0</v>
      </c>
      <c r="L34" t="n">
        <v>29640</v>
      </c>
      <c r="M34" t="n">
        <v>39000</v>
      </c>
      <c r="N34" t="n">
        <v>91</v>
      </c>
      <c r="O34" t="n">
        <v>0.91</v>
      </c>
      <c r="P34" t="n">
        <v>1</v>
      </c>
      <c r="Q34" t="n">
        <v>0.31</v>
      </c>
      <c r="R34" t="n">
        <v>2</v>
      </c>
      <c r="S34" t="n">
        <v>11356.8</v>
      </c>
      <c r="T34" t="n">
        <v>20</v>
      </c>
      <c r="U34" t="n">
        <v>21</v>
      </c>
      <c r="V34" t="n">
        <v>30</v>
      </c>
      <c r="W34" t="n">
        <v>9</v>
      </c>
      <c r="X34" t="n">
        <v>58.37912087912088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12305</v>
      </c>
      <c r="AG34" t="n">
        <v>92</v>
      </c>
      <c r="AH34" t="inlineStr">
        <is>
          <t>PT. SAI (PDG)</t>
        </is>
      </c>
      <c r="AI34" t="n">
        <v>1806</v>
      </c>
      <c r="AJ34" t="inlineStr">
        <is>
          <t>AMATERASUN</t>
        </is>
      </c>
      <c r="AK34" t="n">
        <v>21</v>
      </c>
      <c r="AL34" t="inlineStr">
        <is>
          <t>Miss Glam Damar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"20300441756"</f>
        <v/>
      </c>
      <c r="C35" t="inlineStr">
        <is>
          <t>AMATERASUN Lipgloss SPF29 PA++ Mauve 3,8gr</t>
        </is>
      </c>
      <c r="D35" t="inlineStr">
        <is>
          <t>Miss Glam Damar</t>
        </is>
      </c>
      <c r="E35" t="n">
        <v>2</v>
      </c>
      <c r="F35" t="n">
        <v>0.0182</v>
      </c>
      <c r="G35" t="n">
        <v>0.91</v>
      </c>
      <c r="H35" t="n">
        <v>2</v>
      </c>
      <c r="I35" t="n">
        <v>11</v>
      </c>
      <c r="J35" t="n">
        <v>3</v>
      </c>
      <c r="K35" t="n">
        <v>0</v>
      </c>
      <c r="L35" t="n">
        <v>52440</v>
      </c>
      <c r="M35" t="n">
        <v>69000</v>
      </c>
      <c r="N35" t="n">
        <v>91</v>
      </c>
      <c r="O35" t="n">
        <v>0.91</v>
      </c>
      <c r="P35" t="n">
        <v>1</v>
      </c>
      <c r="Q35" t="n">
        <v>0.05</v>
      </c>
      <c r="R35" t="n">
        <v>1</v>
      </c>
      <c r="S35" t="n">
        <v>1255.8</v>
      </c>
      <c r="T35" t="n">
        <v>10</v>
      </c>
      <c r="U35" t="n">
        <v>11</v>
      </c>
      <c r="V35" t="n">
        <v>30</v>
      </c>
      <c r="W35" t="n">
        <v>1</v>
      </c>
      <c r="X35" t="n">
        <v>109.8901098901099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12305</v>
      </c>
      <c r="AG35" t="n">
        <v>92</v>
      </c>
      <c r="AH35" t="inlineStr">
        <is>
          <t>PT. SAI (PDG)</t>
        </is>
      </c>
      <c r="AI35" t="n">
        <v>1806</v>
      </c>
      <c r="AJ35" t="inlineStr">
        <is>
          <t>AMATERASUN</t>
        </is>
      </c>
      <c r="AK35" t="n">
        <v>21</v>
      </c>
      <c r="AL35" t="inlineStr">
        <is>
          <t>Miss Glam Damar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"20300441527"</f>
        <v/>
      </c>
      <c r="C36" t="inlineStr">
        <is>
          <t>AMATERASUN Lipgloss SPF29 PA++ Pink 3,8gr</t>
        </is>
      </c>
      <c r="D36" t="inlineStr">
        <is>
          <t>Miss Glam Damar</t>
        </is>
      </c>
      <c r="E36" t="n">
        <v>4</v>
      </c>
      <c r="F36" t="n">
        <v>0.0273</v>
      </c>
      <c r="G36" t="n">
        <v>0.91</v>
      </c>
      <c r="H36" t="n">
        <v>2</v>
      </c>
      <c r="I36" t="n">
        <v>11</v>
      </c>
      <c r="J36" t="n">
        <v>3</v>
      </c>
      <c r="K36" t="n">
        <v>0</v>
      </c>
      <c r="L36" t="n">
        <v>52440</v>
      </c>
      <c r="M36" t="n">
        <v>69000</v>
      </c>
      <c r="N36" t="n">
        <v>91</v>
      </c>
      <c r="O36" t="n">
        <v>0.91</v>
      </c>
      <c r="P36" t="n">
        <v>1</v>
      </c>
      <c r="Q36" t="n">
        <v>0.02</v>
      </c>
      <c r="R36" t="n">
        <v>0</v>
      </c>
      <c r="S36" t="n">
        <v>1883.7</v>
      </c>
      <c r="T36" t="n">
        <v>10</v>
      </c>
      <c r="U36" t="n">
        <v>11</v>
      </c>
      <c r="V36" t="n">
        <v>30</v>
      </c>
      <c r="W36" t="n">
        <v>1</v>
      </c>
      <c r="X36" t="n">
        <v>146.5201465201465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12305</v>
      </c>
      <c r="AG36" t="n">
        <v>92</v>
      </c>
      <c r="AH36" t="inlineStr">
        <is>
          <t>PT. SAI (PDG)</t>
        </is>
      </c>
      <c r="AI36" t="n">
        <v>1806</v>
      </c>
      <c r="AJ36" t="inlineStr">
        <is>
          <t>AMATERASUN</t>
        </is>
      </c>
      <c r="AK36" t="n">
        <v>21</v>
      </c>
      <c r="AL36" t="inlineStr">
        <is>
          <t>Miss Glam Damar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"8991752006148"</f>
        <v/>
      </c>
      <c r="C37" t="inlineStr">
        <is>
          <t>AMATERASUN Physical Sunscreen SPF 50+ PA+++ 30gr</t>
        </is>
      </c>
      <c r="D37" t="inlineStr">
        <is>
          <t>Miss Glam Damar</t>
        </is>
      </c>
      <c r="E37" t="n">
        <v>18</v>
      </c>
      <c r="F37" t="n">
        <v>0.8463000000000001</v>
      </c>
      <c r="G37" t="n">
        <v>4.55</v>
      </c>
      <c r="H37" t="n">
        <v>2</v>
      </c>
      <c r="I37" t="n">
        <v>11</v>
      </c>
      <c r="J37" t="n">
        <v>3</v>
      </c>
      <c r="K37" t="n">
        <v>0</v>
      </c>
      <c r="L37" t="n">
        <v>60105</v>
      </c>
      <c r="M37" t="n">
        <v>79000</v>
      </c>
      <c r="N37" t="n">
        <v>91</v>
      </c>
      <c r="O37" t="n">
        <v>0.91</v>
      </c>
      <c r="P37" t="n">
        <v>1</v>
      </c>
      <c r="Q37" t="n">
        <v>0.61</v>
      </c>
      <c r="R37" t="n">
        <v>4</v>
      </c>
      <c r="S37" t="n">
        <v>66857.7</v>
      </c>
      <c r="T37" t="n">
        <v>49</v>
      </c>
      <c r="U37" t="n">
        <v>51</v>
      </c>
      <c r="V37" t="n">
        <v>30</v>
      </c>
      <c r="W37" t="n">
        <v>26</v>
      </c>
      <c r="X37" t="n">
        <v>21.26905352711804</v>
      </c>
      <c r="Y37" t="n">
        <v>1</v>
      </c>
      <c r="Z37" t="n">
        <v>8</v>
      </c>
      <c r="AA37" t="n">
        <v>0</v>
      </c>
      <c r="AB37" t="n">
        <v>8</v>
      </c>
      <c r="AC37" t="n">
        <v>8</v>
      </c>
      <c r="AD37" t="n">
        <v>0</v>
      </c>
      <c r="AE37" t="n">
        <v>480840</v>
      </c>
      <c r="AF37" t="n">
        <v>12305</v>
      </c>
      <c r="AG37" t="n">
        <v>92</v>
      </c>
      <c r="AH37" t="inlineStr">
        <is>
          <t>PT. SAI (PDG)</t>
        </is>
      </c>
      <c r="AI37" t="n">
        <v>1806</v>
      </c>
      <c r="AJ37" t="inlineStr">
        <is>
          <t>AMATERASUN</t>
        </is>
      </c>
      <c r="AK37" t="n">
        <v>21</v>
      </c>
      <c r="AL37" t="inlineStr">
        <is>
          <t>Miss Glam Damar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"10400517532"</f>
        <v/>
      </c>
      <c r="C38" t="inlineStr">
        <is>
          <t>AMATERASUN Pore Blurring Sunscreen SPF 50+ PA++++ 30 gr</t>
        </is>
      </c>
      <c r="D38" t="inlineStr">
        <is>
          <t>Miss Glam Damar</t>
        </is>
      </c>
      <c r="E38" t="n">
        <v>4</v>
      </c>
      <c r="F38" t="n">
        <v>0.1365</v>
      </c>
      <c r="G38" t="n">
        <v>0.91</v>
      </c>
      <c r="H38" t="n">
        <v>2</v>
      </c>
      <c r="I38" t="n">
        <v>11</v>
      </c>
      <c r="J38" t="n">
        <v>1</v>
      </c>
      <c r="K38" t="n">
        <v>0</v>
      </c>
      <c r="L38" t="n">
        <v>70726</v>
      </c>
      <c r="M38" t="n">
        <v>89000</v>
      </c>
      <c r="N38" t="n">
        <v>91</v>
      </c>
      <c r="O38" t="n">
        <v>0.91</v>
      </c>
      <c r="P38" t="n">
        <v>1</v>
      </c>
      <c r="Q38" t="n">
        <v>0.12</v>
      </c>
      <c r="R38" t="n">
        <v>1</v>
      </c>
      <c r="S38" t="n">
        <v>12148.5</v>
      </c>
      <c r="T38" t="n">
        <v>10</v>
      </c>
      <c r="U38" t="n">
        <v>11</v>
      </c>
      <c r="V38" t="n">
        <v>30</v>
      </c>
      <c r="W38" t="n">
        <v>5</v>
      </c>
      <c r="X38" t="n">
        <v>29.3040293040293</v>
      </c>
      <c r="Y38" t="n">
        <v>1</v>
      </c>
      <c r="Z38" t="n">
        <v>1</v>
      </c>
      <c r="AA38" t="n">
        <v>0</v>
      </c>
      <c r="AB38" t="n">
        <v>1</v>
      </c>
      <c r="AC38" t="n">
        <v>1</v>
      </c>
      <c r="AD38" t="n">
        <v>0</v>
      </c>
      <c r="AE38" t="n">
        <v>70726</v>
      </c>
      <c r="AF38" t="n">
        <v>12305</v>
      </c>
      <c r="AG38" t="n">
        <v>92</v>
      </c>
      <c r="AH38" t="inlineStr">
        <is>
          <t>PT. SAI (PDG)</t>
        </is>
      </c>
      <c r="AI38" t="n">
        <v>1806</v>
      </c>
      <c r="AJ38" t="inlineStr">
        <is>
          <t>AMATERASUN</t>
        </is>
      </c>
      <c r="AK38" t="n">
        <v>21</v>
      </c>
      <c r="AL38" t="inlineStr">
        <is>
          <t>Miss Glam Damar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"8991758006777"</f>
        <v/>
      </c>
      <c r="C39" t="inlineStr">
        <is>
          <t>AMATERASUN Transparent Sunscreen Moisturizer SPF 43 50ml</t>
        </is>
      </c>
      <c r="D39" t="inlineStr">
        <is>
          <t>Miss Glam Damar</t>
        </is>
      </c>
      <c r="E39" t="n">
        <v>4</v>
      </c>
      <c r="F39" t="n">
        <v>0.09100000000000001</v>
      </c>
      <c r="G39" t="n">
        <v>0.91</v>
      </c>
      <c r="H39" t="n">
        <v>2</v>
      </c>
      <c r="I39" t="n">
        <v>11</v>
      </c>
      <c r="J39" t="n">
        <v>3</v>
      </c>
      <c r="K39" t="n">
        <v>0</v>
      </c>
      <c r="L39" t="n">
        <v>67640</v>
      </c>
      <c r="M39" t="n">
        <v>85000</v>
      </c>
      <c r="N39" t="n">
        <v>91</v>
      </c>
      <c r="O39" t="n">
        <v>0.91</v>
      </c>
      <c r="P39" t="n">
        <v>1</v>
      </c>
      <c r="Q39" t="n">
        <v>0.1</v>
      </c>
      <c r="R39" t="n">
        <v>1</v>
      </c>
      <c r="S39" t="n">
        <v>7735.000000000001</v>
      </c>
      <c r="T39" t="n">
        <v>10</v>
      </c>
      <c r="U39" t="n">
        <v>11</v>
      </c>
      <c r="V39" t="n">
        <v>30</v>
      </c>
      <c r="W39" t="n">
        <v>3</v>
      </c>
      <c r="X39" t="n">
        <v>43.95604395604395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12305</v>
      </c>
      <c r="AG39" t="n">
        <v>92</v>
      </c>
      <c r="AH39" t="inlineStr">
        <is>
          <t>PT. SAI (PDG)</t>
        </is>
      </c>
      <c r="AI39" t="n">
        <v>1806</v>
      </c>
      <c r="AJ39" t="inlineStr">
        <is>
          <t>AMATERASUN</t>
        </is>
      </c>
      <c r="AK39" t="n">
        <v>21</v>
      </c>
      <c r="AL39" t="inlineStr">
        <is>
          <t>Miss Glam Damar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"8991752004410"</f>
        <v/>
      </c>
      <c r="C40" t="inlineStr">
        <is>
          <t>AMATERASUN UV Body Sunscreen SPF 40 100gr</t>
        </is>
      </c>
      <c r="D40" t="inlineStr">
        <is>
          <t>Miss Glam Damar</t>
        </is>
      </c>
      <c r="E40" t="n">
        <v>3</v>
      </c>
      <c r="F40" t="n">
        <v>0.04550000000000001</v>
      </c>
      <c r="G40" t="n">
        <v>0.91</v>
      </c>
      <c r="H40" t="n">
        <v>2</v>
      </c>
      <c r="I40" t="n">
        <v>11</v>
      </c>
      <c r="J40" t="n">
        <v>3</v>
      </c>
      <c r="K40" t="n">
        <v>0</v>
      </c>
      <c r="L40" t="n">
        <v>75240</v>
      </c>
      <c r="M40" t="n">
        <v>99000</v>
      </c>
      <c r="N40" t="n">
        <v>91</v>
      </c>
      <c r="O40" t="n">
        <v>0.91</v>
      </c>
      <c r="P40" t="n">
        <v>1</v>
      </c>
      <c r="Q40" t="n">
        <v>0.05</v>
      </c>
      <c r="R40" t="n">
        <v>1</v>
      </c>
      <c r="S40" t="n">
        <v>4504.500000000001</v>
      </c>
      <c r="T40" t="n">
        <v>10</v>
      </c>
      <c r="U40" t="n">
        <v>11</v>
      </c>
      <c r="V40" t="n">
        <v>30</v>
      </c>
      <c r="W40" t="n">
        <v>2</v>
      </c>
      <c r="X40" t="n">
        <v>65.93406593406593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12305</v>
      </c>
      <c r="AG40" t="n">
        <v>92</v>
      </c>
      <c r="AH40" t="inlineStr">
        <is>
          <t>PT. SAI (PDG)</t>
        </is>
      </c>
      <c r="AI40" t="n">
        <v>1806</v>
      </c>
      <c r="AJ40" t="inlineStr">
        <is>
          <t>AMATERASUN</t>
        </is>
      </c>
      <c r="AK40" t="n">
        <v>21</v>
      </c>
      <c r="AL40" t="inlineStr">
        <is>
          <t>Miss Glam Damar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"10400614055"</f>
        <v/>
      </c>
      <c r="C41" t="inlineStr">
        <is>
          <t>AMATERASUN UV Skin Tint SPF 35 PA++ Light 25gr</t>
        </is>
      </c>
      <c r="D41" t="inlineStr">
        <is>
          <t>Miss Glam Damar</t>
        </is>
      </c>
      <c r="E41" t="n">
        <v>7</v>
      </c>
      <c r="F41" t="n">
        <v>0.1092</v>
      </c>
      <c r="G41" t="n">
        <v>1.82</v>
      </c>
      <c r="H41" t="n">
        <v>2</v>
      </c>
      <c r="I41" t="n">
        <v>11</v>
      </c>
      <c r="J41" t="n">
        <v>3</v>
      </c>
      <c r="K41" t="n">
        <v>0</v>
      </c>
      <c r="L41" t="n">
        <v>67682</v>
      </c>
      <c r="M41" t="n">
        <v>89000</v>
      </c>
      <c r="N41" t="n">
        <v>91</v>
      </c>
      <c r="O41" t="n">
        <v>0.91</v>
      </c>
      <c r="P41" t="n">
        <v>1</v>
      </c>
      <c r="Q41" t="n">
        <v>0.2</v>
      </c>
      <c r="R41" t="n">
        <v>3</v>
      </c>
      <c r="S41" t="n">
        <v>9718.800000000001</v>
      </c>
      <c r="T41" t="n">
        <v>20</v>
      </c>
      <c r="U41" t="n">
        <v>21</v>
      </c>
      <c r="V41" t="n">
        <v>30</v>
      </c>
      <c r="W41" t="n">
        <v>4</v>
      </c>
      <c r="X41" t="n">
        <v>64.1025641025641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12305</v>
      </c>
      <c r="AG41" t="n">
        <v>92</v>
      </c>
      <c r="AH41" t="inlineStr">
        <is>
          <t>PT. SAI (PDG)</t>
        </is>
      </c>
      <c r="AI41" t="n">
        <v>1806</v>
      </c>
      <c r="AJ41" t="inlineStr">
        <is>
          <t>AMATERASUN</t>
        </is>
      </c>
      <c r="AK41" t="n">
        <v>21</v>
      </c>
      <c r="AL41" t="inlineStr">
        <is>
          <t>Miss Glam Damar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"10400614121"</f>
        <v/>
      </c>
      <c r="C42" t="inlineStr">
        <is>
          <t>AMATERASUN UV Skin Tint SPF 35 PA++ Medium 25gr</t>
        </is>
      </c>
      <c r="D42" t="inlineStr">
        <is>
          <t>Miss Glam Damar</t>
        </is>
      </c>
      <c r="E42" t="n">
        <v>7</v>
      </c>
      <c r="F42" t="n">
        <v>0.2912</v>
      </c>
      <c r="G42" t="n">
        <v>2.73</v>
      </c>
      <c r="H42" t="n">
        <v>2</v>
      </c>
      <c r="I42" t="n">
        <v>11</v>
      </c>
      <c r="J42" t="n">
        <v>3</v>
      </c>
      <c r="K42" t="n">
        <v>0</v>
      </c>
      <c r="L42" t="n">
        <v>67640</v>
      </c>
      <c r="M42" t="n">
        <v>89000</v>
      </c>
      <c r="N42" t="n">
        <v>91</v>
      </c>
      <c r="O42" t="n">
        <v>0.91</v>
      </c>
      <c r="P42" t="n">
        <v>1</v>
      </c>
      <c r="Q42" t="n">
        <v>0.24</v>
      </c>
      <c r="R42" t="n">
        <v>2</v>
      </c>
      <c r="S42" t="n">
        <v>25916.8</v>
      </c>
      <c r="T42" t="n">
        <v>30</v>
      </c>
      <c r="U42" t="n">
        <v>31</v>
      </c>
      <c r="V42" t="n">
        <v>30</v>
      </c>
      <c r="W42" t="n">
        <v>9</v>
      </c>
      <c r="X42" t="n">
        <v>24.03846153846154</v>
      </c>
      <c r="Y42" t="n">
        <v>1</v>
      </c>
      <c r="Z42" t="n">
        <v>2</v>
      </c>
      <c r="AA42" t="n">
        <v>0</v>
      </c>
      <c r="AB42" t="n">
        <v>2</v>
      </c>
      <c r="AC42" t="n">
        <v>3</v>
      </c>
      <c r="AD42" t="n">
        <v>0</v>
      </c>
      <c r="AE42" t="n">
        <v>202920</v>
      </c>
      <c r="AF42" t="n">
        <v>12305</v>
      </c>
      <c r="AG42" t="n">
        <v>92</v>
      </c>
      <c r="AH42" t="inlineStr">
        <is>
          <t>PT. SAI (PDG)</t>
        </is>
      </c>
      <c r="AI42" t="n">
        <v>1806</v>
      </c>
      <c r="AJ42" t="inlineStr">
        <is>
          <t>AMATERASUN</t>
        </is>
      </c>
      <c r="AK42" t="n">
        <v>21</v>
      </c>
      <c r="AL42" t="inlineStr">
        <is>
          <t>Miss Glam Damar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"8991752004144"</f>
        <v/>
      </c>
      <c r="C43" t="inlineStr">
        <is>
          <t>AMATERASUN Uv Sunscreen Cream Spf 50+ 50gr</t>
        </is>
      </c>
      <c r="D43" t="inlineStr">
        <is>
          <t>Miss Glam Damar</t>
        </is>
      </c>
      <c r="E43" t="n">
        <v>3</v>
      </c>
      <c r="F43" t="n">
        <v>0.4277</v>
      </c>
      <c r="G43" t="n">
        <v>2.73</v>
      </c>
      <c r="H43" t="n">
        <v>2</v>
      </c>
      <c r="I43" t="n">
        <v>11</v>
      </c>
      <c r="J43" t="n">
        <v>3</v>
      </c>
      <c r="K43" t="n">
        <v>0</v>
      </c>
      <c r="L43" t="n">
        <v>45037</v>
      </c>
      <c r="M43" t="n">
        <v>59000</v>
      </c>
      <c r="N43" t="n">
        <v>91</v>
      </c>
      <c r="O43" t="n">
        <v>0.91</v>
      </c>
      <c r="P43" t="n">
        <v>1</v>
      </c>
      <c r="Q43" t="n">
        <v>0.34</v>
      </c>
      <c r="R43" t="n">
        <v>2</v>
      </c>
      <c r="S43" t="n">
        <v>25234.3</v>
      </c>
      <c r="T43" t="n">
        <v>30</v>
      </c>
      <c r="U43" t="n">
        <v>31</v>
      </c>
      <c r="V43" t="n">
        <v>30</v>
      </c>
      <c r="W43" t="n">
        <v>13</v>
      </c>
      <c r="X43" t="n">
        <v>7.01426233341127</v>
      </c>
      <c r="Y43" t="n">
        <v>1</v>
      </c>
      <c r="Z43" t="n">
        <v>10</v>
      </c>
      <c r="AA43" t="n">
        <v>2</v>
      </c>
      <c r="AB43" t="n">
        <v>8</v>
      </c>
      <c r="AC43" t="n">
        <v>8</v>
      </c>
      <c r="AD43" t="n">
        <v>90074</v>
      </c>
      <c r="AE43" t="n">
        <v>360296</v>
      </c>
      <c r="AF43" t="n">
        <v>12305</v>
      </c>
      <c r="AG43" t="n">
        <v>92</v>
      </c>
      <c r="AH43" t="inlineStr">
        <is>
          <t>PT. SAI (PDG)</t>
        </is>
      </c>
      <c r="AI43" t="n">
        <v>1806</v>
      </c>
      <c r="AJ43" t="inlineStr">
        <is>
          <t>AMATERASUN</t>
        </is>
      </c>
      <c r="AK43" t="n">
        <v>21</v>
      </c>
      <c r="AL43" t="inlineStr">
        <is>
          <t>Miss Glam Damar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"8991752004670"</f>
        <v/>
      </c>
      <c r="C44" t="inlineStr">
        <is>
          <t>AMATERASUN Uv Sunscreen Serum Spf 50+ 50gr</t>
        </is>
      </c>
      <c r="D44" t="inlineStr">
        <is>
          <t>Miss Glam Damar</t>
        </is>
      </c>
      <c r="E44" t="n">
        <v>14</v>
      </c>
      <c r="F44" t="n">
        <v>0.6461</v>
      </c>
      <c r="G44" t="n">
        <v>2.73</v>
      </c>
      <c r="H44" t="n">
        <v>2</v>
      </c>
      <c r="I44" t="n">
        <v>11</v>
      </c>
      <c r="J44" t="n">
        <v>3</v>
      </c>
      <c r="K44" t="n">
        <v>0</v>
      </c>
      <c r="L44" t="n">
        <v>52440</v>
      </c>
      <c r="M44" t="n">
        <v>69000</v>
      </c>
      <c r="N44" t="n">
        <v>91</v>
      </c>
      <c r="O44" t="n">
        <v>0.91</v>
      </c>
      <c r="P44" t="n">
        <v>1</v>
      </c>
      <c r="Q44" t="n">
        <v>0.53</v>
      </c>
      <c r="R44" t="n">
        <v>3</v>
      </c>
      <c r="S44" t="n">
        <v>44580.9</v>
      </c>
      <c r="T44" t="n">
        <v>29</v>
      </c>
      <c r="U44" t="n">
        <v>31</v>
      </c>
      <c r="V44" t="n">
        <v>30</v>
      </c>
      <c r="W44" t="n">
        <v>20</v>
      </c>
      <c r="X44" t="n">
        <v>21.66847237269772</v>
      </c>
      <c r="Y44" t="n">
        <v>1</v>
      </c>
      <c r="Z44" t="n">
        <v>6</v>
      </c>
      <c r="AA44" t="n">
        <v>0</v>
      </c>
      <c r="AB44" t="n">
        <v>6</v>
      </c>
      <c r="AC44" t="n">
        <v>6</v>
      </c>
      <c r="AD44" t="n">
        <v>0</v>
      </c>
      <c r="AE44" t="n">
        <v>314640</v>
      </c>
      <c r="AF44" t="n">
        <v>12305</v>
      </c>
      <c r="AG44" t="n">
        <v>92</v>
      </c>
      <c r="AH44" t="inlineStr">
        <is>
          <t>PT. SAI (PDG)</t>
        </is>
      </c>
      <c r="AI44" t="n">
        <v>1806</v>
      </c>
      <c r="AJ44" t="inlineStr">
        <is>
          <t>AMATERASUN</t>
        </is>
      </c>
      <c r="AK44" t="n">
        <v>21</v>
      </c>
      <c r="AL44" t="inlineStr">
        <is>
          <t>Miss Glam Damar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"10400515311"</f>
        <v/>
      </c>
      <c r="C45" t="inlineStr">
        <is>
          <t>AMATERASUN Uv Waterbarrier Sunscreen SPF 35 PA++++ 40gr</t>
        </is>
      </c>
      <c r="D45" t="inlineStr">
        <is>
          <t>Miss Glam Damar</t>
        </is>
      </c>
      <c r="E45" t="n">
        <v>33</v>
      </c>
      <c r="F45" t="n">
        <v>0.7280000000000001</v>
      </c>
      <c r="G45" t="n">
        <v>3.64</v>
      </c>
      <c r="H45" t="n">
        <v>2</v>
      </c>
      <c r="I45" t="n">
        <v>11</v>
      </c>
      <c r="J45" t="n">
        <v>1</v>
      </c>
      <c r="K45" t="n">
        <v>0</v>
      </c>
      <c r="L45" t="n">
        <v>29909</v>
      </c>
      <c r="M45" t="n">
        <v>39000</v>
      </c>
      <c r="N45" t="n">
        <v>91</v>
      </c>
      <c r="O45" t="n">
        <v>0.91</v>
      </c>
      <c r="P45" t="n">
        <v>1</v>
      </c>
      <c r="Q45" t="n">
        <v>0.59</v>
      </c>
      <c r="R45" t="n">
        <v>45</v>
      </c>
      <c r="S45" t="n">
        <v>28392</v>
      </c>
      <c r="T45" t="n">
        <v>39</v>
      </c>
      <c r="U45" t="n">
        <v>41</v>
      </c>
      <c r="V45" t="n">
        <v>30</v>
      </c>
      <c r="W45" t="n">
        <v>22</v>
      </c>
      <c r="X45" t="n">
        <v>45.32967032967032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12305</v>
      </c>
      <c r="AG45" t="n">
        <v>92</v>
      </c>
      <c r="AH45" t="inlineStr">
        <is>
          <t>PT. SAI (PDG)</t>
        </is>
      </c>
      <c r="AI45" t="n">
        <v>1806</v>
      </c>
      <c r="AJ45" t="inlineStr">
        <is>
          <t>AMATERASUN</t>
        </is>
      </c>
      <c r="AK45" t="n">
        <v>21</v>
      </c>
      <c r="AL45" t="inlineStr">
        <is>
          <t>Miss Glam Damar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"8993883375612"</f>
        <v/>
      </c>
      <c r="C46" t="inlineStr">
        <is>
          <t>ANIMATE 5x Active Brightening Facial Wash 100ml</t>
        </is>
      </c>
      <c r="D46" t="inlineStr">
        <is>
          <t>Miss Glam Damar</t>
        </is>
      </c>
      <c r="E46" t="n">
        <v>5</v>
      </c>
      <c r="F46" t="n">
        <v>0.05</v>
      </c>
      <c r="G46" t="n">
        <v>1</v>
      </c>
      <c r="H46" t="n">
        <v>2</v>
      </c>
      <c r="I46" t="n">
        <v>16</v>
      </c>
      <c r="J46" t="n">
        <v>3</v>
      </c>
      <c r="K46" t="n">
        <v>0</v>
      </c>
      <c r="L46" t="n">
        <v>19920</v>
      </c>
      <c r="M46" t="n">
        <v>26000</v>
      </c>
      <c r="N46" t="n">
        <v>91</v>
      </c>
      <c r="O46" t="n">
        <v>0.91</v>
      </c>
      <c r="P46" t="n">
        <v>0</v>
      </c>
      <c r="Q46" t="n">
        <v>0.05</v>
      </c>
      <c r="R46" t="n">
        <v>1</v>
      </c>
      <c r="S46" t="n">
        <v>1300</v>
      </c>
      <c r="T46" t="n">
        <v>16</v>
      </c>
      <c r="U46" t="n">
        <v>17</v>
      </c>
      <c r="V46" t="n">
        <v>30</v>
      </c>
      <c r="W46" t="n">
        <v>2</v>
      </c>
      <c r="X46" t="n">
        <v>100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325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21</v>
      </c>
      <c r="AL46" t="inlineStr">
        <is>
          <t>Miss Glam Damar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"10600404843"</f>
        <v/>
      </c>
      <c r="C47" t="inlineStr">
        <is>
          <t>ANIMATE Acne Solution Series</t>
        </is>
      </c>
      <c r="D47" t="inlineStr">
        <is>
          <t>Miss Glam Damar</t>
        </is>
      </c>
      <c r="E47" t="n">
        <v>4</v>
      </c>
      <c r="F47" t="n">
        <v>0.05</v>
      </c>
      <c r="G47" t="n">
        <v>1</v>
      </c>
      <c r="H47" t="n">
        <v>2</v>
      </c>
      <c r="I47" t="n">
        <v>16</v>
      </c>
      <c r="J47" t="n">
        <v>3</v>
      </c>
      <c r="K47" t="n">
        <v>0</v>
      </c>
      <c r="L47" t="n">
        <v>87200</v>
      </c>
      <c r="M47" t="n">
        <v>130500</v>
      </c>
      <c r="N47" t="n">
        <v>91</v>
      </c>
      <c r="O47" t="n">
        <v>0.91</v>
      </c>
      <c r="P47" t="n">
        <v>0</v>
      </c>
      <c r="Q47" t="n">
        <v>0.05</v>
      </c>
      <c r="R47" t="n">
        <v>1</v>
      </c>
      <c r="S47" t="n">
        <v>6525</v>
      </c>
      <c r="T47" t="n">
        <v>16</v>
      </c>
      <c r="U47" t="n">
        <v>17</v>
      </c>
      <c r="V47" t="n">
        <v>30</v>
      </c>
      <c r="W47" t="n">
        <v>2</v>
      </c>
      <c r="X47" t="n">
        <v>80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325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21</v>
      </c>
      <c r="AL47" t="inlineStr">
        <is>
          <t>Miss Glam Damar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"10200516756"</f>
        <v/>
      </c>
      <c r="C48" t="inlineStr">
        <is>
          <t>ANIMATE By Yunna Mercier Miraculous Dark Spot 5 In 1 Series</t>
        </is>
      </c>
      <c r="D48" t="inlineStr">
        <is>
          <t>Miss Glam Damar</t>
        </is>
      </c>
      <c r="E48" t="n">
        <v>2</v>
      </c>
      <c r="F48" t="n">
        <v>0.06370000000000001</v>
      </c>
      <c r="G48" t="n">
        <v>0.91</v>
      </c>
      <c r="H48" t="n">
        <v>2</v>
      </c>
      <c r="I48" t="n">
        <v>16</v>
      </c>
      <c r="J48" t="n">
        <v>3</v>
      </c>
      <c r="K48" t="n">
        <v>0</v>
      </c>
      <c r="L48" t="n">
        <v>103200</v>
      </c>
      <c r="M48" t="n">
        <v>129000</v>
      </c>
      <c r="N48" t="n">
        <v>91</v>
      </c>
      <c r="O48" t="n">
        <v>0.91</v>
      </c>
      <c r="P48" t="n">
        <v>1</v>
      </c>
      <c r="Q48" t="n">
        <v>0.03</v>
      </c>
      <c r="R48" t="n">
        <v>1</v>
      </c>
      <c r="S48" t="n">
        <v>8217.300000000001</v>
      </c>
      <c r="T48" t="n">
        <v>15</v>
      </c>
      <c r="U48" t="n">
        <v>16</v>
      </c>
      <c r="V48" t="n">
        <v>30</v>
      </c>
      <c r="W48" t="n">
        <v>2</v>
      </c>
      <c r="X48" t="n">
        <v>31.39717425431711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325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21</v>
      </c>
      <c r="AL48" t="inlineStr">
        <is>
          <t>Miss Glam Damar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"203003111009"</f>
        <v/>
      </c>
      <c r="C49" t="inlineStr">
        <is>
          <t>ANIMATE Crystal Glam Hydra Tint Candyfloss Pink 4ml</t>
        </is>
      </c>
      <c r="D49" t="inlineStr">
        <is>
          <t>Miss Glam Damar</t>
        </is>
      </c>
      <c r="E49" t="n">
        <v>0</v>
      </c>
      <c r="F49" t="n">
        <v>0.0273</v>
      </c>
      <c r="G49" t="n">
        <v>0.91</v>
      </c>
      <c r="H49" t="n">
        <v>2</v>
      </c>
      <c r="I49" t="n">
        <v>16</v>
      </c>
      <c r="J49" t="n">
        <v>1</v>
      </c>
      <c r="K49" t="n">
        <v>0</v>
      </c>
      <c r="L49" t="n">
        <v>23120</v>
      </c>
      <c r="M49" t="n">
        <v>29000</v>
      </c>
      <c r="N49" t="n">
        <v>91</v>
      </c>
      <c r="O49" t="n">
        <v>0.91</v>
      </c>
      <c r="P49" t="n">
        <v>1</v>
      </c>
      <c r="Q49" t="n">
        <v>0.03</v>
      </c>
      <c r="R49" t="n">
        <v>1</v>
      </c>
      <c r="S49" t="n">
        <v>791.7</v>
      </c>
      <c r="T49" t="n">
        <v>15</v>
      </c>
      <c r="U49" t="n">
        <v>16</v>
      </c>
      <c r="V49" t="n">
        <v>30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n">
        <v>0</v>
      </c>
      <c r="AC49" t="n">
        <v>0</v>
      </c>
      <c r="AD49" t="n">
        <v>23120</v>
      </c>
      <c r="AE49" t="n">
        <v>0</v>
      </c>
      <c r="AF49" t="n">
        <v>325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21</v>
      </c>
      <c r="AL49" t="inlineStr">
        <is>
          <t>Miss Glam Damar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"8994453152336"</f>
        <v/>
      </c>
      <c r="C50" t="inlineStr">
        <is>
          <t>ANIMATE Cutey Crush Series</t>
        </is>
      </c>
      <c r="D50" t="inlineStr">
        <is>
          <t>Miss Glam Damar</t>
        </is>
      </c>
      <c r="E50" t="n">
        <v>4</v>
      </c>
      <c r="F50" t="n">
        <v>0.0273</v>
      </c>
      <c r="G50" t="n">
        <v>0.91</v>
      </c>
      <c r="H50" t="n">
        <v>2</v>
      </c>
      <c r="I50" t="n">
        <v>16</v>
      </c>
      <c r="J50" t="n">
        <v>3</v>
      </c>
      <c r="K50" t="n">
        <v>0</v>
      </c>
      <c r="L50" t="n">
        <v>47200</v>
      </c>
      <c r="M50" t="n">
        <v>59000</v>
      </c>
      <c r="N50" t="n">
        <v>91</v>
      </c>
      <c r="O50" t="n">
        <v>0.91</v>
      </c>
      <c r="P50" t="n">
        <v>1</v>
      </c>
      <c r="Q50" t="n">
        <v>0.07000000000000001</v>
      </c>
      <c r="R50" t="n">
        <v>4</v>
      </c>
      <c r="S50" t="n">
        <v>1610.7</v>
      </c>
      <c r="T50" t="n">
        <v>15</v>
      </c>
      <c r="U50" t="n">
        <v>16</v>
      </c>
      <c r="V50" t="n">
        <v>30</v>
      </c>
      <c r="W50" t="n">
        <v>1</v>
      </c>
      <c r="X50" t="n">
        <v>146.5201465201465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325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21</v>
      </c>
      <c r="AL50" t="inlineStr">
        <is>
          <t>Miss Glam Damar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"8993883370099"</f>
        <v/>
      </c>
      <c r="C51" t="inlineStr">
        <is>
          <t>ANIMATE Dark Spot Witening Serum 20ml</t>
        </is>
      </c>
      <c r="D51" t="inlineStr">
        <is>
          <t>Miss Glam Damar</t>
        </is>
      </c>
      <c r="E51" t="n">
        <v>7</v>
      </c>
      <c r="F51" t="n">
        <v>0.0182</v>
      </c>
      <c r="G51" t="n">
        <v>0.91</v>
      </c>
      <c r="H51" t="n">
        <v>2</v>
      </c>
      <c r="I51" t="n">
        <v>16</v>
      </c>
      <c r="J51" t="n">
        <v>3</v>
      </c>
      <c r="K51" t="n">
        <v>0</v>
      </c>
      <c r="L51" t="n">
        <v>20720</v>
      </c>
      <c r="M51" t="n">
        <v>26000</v>
      </c>
      <c r="N51" t="n">
        <v>91</v>
      </c>
      <c r="O51" t="n">
        <v>0.91</v>
      </c>
      <c r="P51" t="n">
        <v>1</v>
      </c>
      <c r="Q51" t="n">
        <v>0.02</v>
      </c>
      <c r="R51" t="n">
        <v>1</v>
      </c>
      <c r="S51" t="n">
        <v>473.2</v>
      </c>
      <c r="T51" t="n">
        <v>15</v>
      </c>
      <c r="U51" t="n">
        <v>16</v>
      </c>
      <c r="V51" t="n">
        <v>30</v>
      </c>
      <c r="W51" t="n">
        <v>1</v>
      </c>
      <c r="X51" t="n">
        <v>384.6153846153846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325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21</v>
      </c>
      <c r="AL51" t="inlineStr">
        <is>
          <t>Miss Glam Damar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"8993883374202"</f>
        <v/>
      </c>
      <c r="C52" t="inlineStr">
        <is>
          <t>ANIMATE Expert Ageless Anti Aging 5 in 1</t>
        </is>
      </c>
      <c r="D52" t="inlineStr">
        <is>
          <t>Miss Glam Damar</t>
        </is>
      </c>
      <c r="E52" t="n">
        <v>7</v>
      </c>
      <c r="F52" t="n">
        <v>0.02</v>
      </c>
      <c r="G52" t="n">
        <v>1</v>
      </c>
      <c r="H52" t="n">
        <v>2</v>
      </c>
      <c r="I52" t="n">
        <v>16</v>
      </c>
      <c r="J52" t="n">
        <v>3</v>
      </c>
      <c r="K52" t="n">
        <v>0</v>
      </c>
      <c r="L52" t="n">
        <v>103200</v>
      </c>
      <c r="M52" t="n">
        <v>125000</v>
      </c>
      <c r="N52" t="n">
        <v>91</v>
      </c>
      <c r="O52" t="n">
        <v>0.91</v>
      </c>
      <c r="P52" t="n">
        <v>0</v>
      </c>
      <c r="Q52" t="n">
        <v>0.02</v>
      </c>
      <c r="R52" t="n">
        <v>1</v>
      </c>
      <c r="S52" t="n">
        <v>2500</v>
      </c>
      <c r="T52" t="n">
        <v>16</v>
      </c>
      <c r="U52" t="n">
        <v>17</v>
      </c>
      <c r="V52" t="n">
        <v>30</v>
      </c>
      <c r="W52" t="n">
        <v>1</v>
      </c>
      <c r="X52" t="n">
        <v>350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325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21</v>
      </c>
      <c r="AL52" t="inlineStr">
        <is>
          <t>Miss Glam Damar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"8993883370013"</f>
        <v/>
      </c>
      <c r="C53" t="inlineStr">
        <is>
          <t>ANIMATE Facial Essence Instan Whitening 60capsules</t>
        </is>
      </c>
      <c r="D53" t="inlineStr">
        <is>
          <t>Miss Glam Damar</t>
        </is>
      </c>
      <c r="E53" t="n">
        <v>8</v>
      </c>
      <c r="F53" t="n">
        <v>0.2002</v>
      </c>
      <c r="G53" t="n">
        <v>1.82</v>
      </c>
      <c r="H53" t="n">
        <v>2</v>
      </c>
      <c r="I53" t="n">
        <v>16</v>
      </c>
      <c r="J53" t="n">
        <v>3</v>
      </c>
      <c r="K53" t="n">
        <v>0</v>
      </c>
      <c r="L53" t="n">
        <v>15120</v>
      </c>
      <c r="M53" t="n">
        <v>19000</v>
      </c>
      <c r="N53" t="n">
        <v>91</v>
      </c>
      <c r="O53" t="n">
        <v>0.91</v>
      </c>
      <c r="P53" t="n">
        <v>1</v>
      </c>
      <c r="Q53" t="n">
        <v>0.14</v>
      </c>
      <c r="R53" t="n">
        <v>1</v>
      </c>
      <c r="S53" t="n">
        <v>3803.8</v>
      </c>
      <c r="T53" t="n">
        <v>29</v>
      </c>
      <c r="U53" t="n">
        <v>30</v>
      </c>
      <c r="V53" t="n">
        <v>30</v>
      </c>
      <c r="W53" t="n">
        <v>7</v>
      </c>
      <c r="X53" t="n">
        <v>39.96003996003996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325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21</v>
      </c>
      <c r="AL53" t="inlineStr">
        <is>
          <t>Miss Glam Damar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"8993883370617"</f>
        <v/>
      </c>
      <c r="C54" t="inlineStr">
        <is>
          <t>ANIMATE Glow Lip Serum Honey + Vit E 4ml</t>
        </is>
      </c>
      <c r="D54" t="inlineStr">
        <is>
          <t>Miss Glam Damar</t>
        </is>
      </c>
      <c r="E54" t="n">
        <v>9</v>
      </c>
      <c r="F54" t="n">
        <v>0.1274</v>
      </c>
      <c r="G54" t="n">
        <v>1.82</v>
      </c>
      <c r="H54" t="n">
        <v>2</v>
      </c>
      <c r="I54" t="n">
        <v>16</v>
      </c>
      <c r="J54" t="n">
        <v>3</v>
      </c>
      <c r="K54" t="n">
        <v>0</v>
      </c>
      <c r="L54" t="n">
        <v>18320</v>
      </c>
      <c r="M54" t="n">
        <v>25000</v>
      </c>
      <c r="N54" t="n">
        <v>91</v>
      </c>
      <c r="O54" t="n">
        <v>0.91</v>
      </c>
      <c r="P54" t="n">
        <v>1</v>
      </c>
      <c r="Q54" t="n">
        <v>0.07000000000000001</v>
      </c>
      <c r="R54" t="n">
        <v>3</v>
      </c>
      <c r="S54" t="n">
        <v>3185</v>
      </c>
      <c r="T54" t="n">
        <v>29</v>
      </c>
      <c r="U54" t="n">
        <v>30</v>
      </c>
      <c r="V54" t="n">
        <v>30</v>
      </c>
      <c r="W54" t="n">
        <v>4</v>
      </c>
      <c r="X54" t="n">
        <v>70.6436420722135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325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21</v>
      </c>
      <c r="AL54" t="inlineStr">
        <is>
          <t>Miss Glam Damar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"10300144534"</f>
        <v/>
      </c>
      <c r="C55" t="inlineStr">
        <is>
          <t>ANIMATE Glowing Barrier Day Cream 10gr</t>
        </is>
      </c>
      <c r="D55" t="inlineStr">
        <is>
          <t>Miss Glam Damar</t>
        </is>
      </c>
      <c r="E55" t="n">
        <v>6</v>
      </c>
      <c r="F55" t="n">
        <v>0.02</v>
      </c>
      <c r="G55" t="n">
        <v>1</v>
      </c>
      <c r="H55" t="n">
        <v>2</v>
      </c>
      <c r="I55" t="n">
        <v>16</v>
      </c>
      <c r="J55" t="n">
        <v>3</v>
      </c>
      <c r="K55" t="n">
        <v>0</v>
      </c>
      <c r="L55" t="n">
        <v>22320</v>
      </c>
      <c r="M55" t="n">
        <v>28000</v>
      </c>
      <c r="N55" t="n">
        <v>91</v>
      </c>
      <c r="O55" t="n">
        <v>0.91</v>
      </c>
      <c r="P55" t="n">
        <v>0</v>
      </c>
      <c r="Q55" t="n">
        <v>0.02</v>
      </c>
      <c r="R55" t="n">
        <v>1</v>
      </c>
      <c r="S55" t="n">
        <v>560</v>
      </c>
      <c r="T55" t="n">
        <v>16</v>
      </c>
      <c r="U55" t="n">
        <v>17</v>
      </c>
      <c r="V55" t="n">
        <v>30</v>
      </c>
      <c r="W55" t="n">
        <v>1</v>
      </c>
      <c r="X55" t="n">
        <v>300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325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21</v>
      </c>
      <c r="AL55" t="inlineStr">
        <is>
          <t>Miss Glam Damar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"8993883373038"</f>
        <v/>
      </c>
      <c r="C56" t="inlineStr">
        <is>
          <t>ANIMATE Glowing Barrier Facial Wash 100 ml</t>
        </is>
      </c>
      <c r="D56" t="inlineStr">
        <is>
          <t>Miss Glam Damar</t>
        </is>
      </c>
      <c r="E56" t="n">
        <v>3</v>
      </c>
      <c r="F56" t="n">
        <v>0.04550000000000001</v>
      </c>
      <c r="G56" t="n">
        <v>0.91</v>
      </c>
      <c r="H56" t="n">
        <v>2</v>
      </c>
      <c r="I56" t="n">
        <v>16</v>
      </c>
      <c r="J56" t="n">
        <v>3</v>
      </c>
      <c r="K56" t="n">
        <v>0</v>
      </c>
      <c r="L56" t="n">
        <v>19920</v>
      </c>
      <c r="M56" t="n">
        <v>27000</v>
      </c>
      <c r="N56" t="n">
        <v>91</v>
      </c>
      <c r="O56" t="n">
        <v>0.91</v>
      </c>
      <c r="P56" t="n">
        <v>1</v>
      </c>
      <c r="Q56" t="n">
        <v>0.02</v>
      </c>
      <c r="R56" t="n">
        <v>1</v>
      </c>
      <c r="S56" t="n">
        <v>1228.5</v>
      </c>
      <c r="T56" t="n">
        <v>15</v>
      </c>
      <c r="U56" t="n">
        <v>16</v>
      </c>
      <c r="V56" t="n">
        <v>30</v>
      </c>
      <c r="W56" t="n">
        <v>2</v>
      </c>
      <c r="X56" t="n">
        <v>65.93406593406593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325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21</v>
      </c>
      <c r="AL56" t="inlineStr">
        <is>
          <t>Miss Glam Damar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"8994453150080"</f>
        <v/>
      </c>
      <c r="C57" t="inlineStr">
        <is>
          <t>ANIMATE Intense Acne Solution Day Cream 10gr</t>
        </is>
      </c>
      <c r="D57" t="inlineStr">
        <is>
          <t>Miss Glam Damar</t>
        </is>
      </c>
      <c r="E57" t="n">
        <v>1</v>
      </c>
      <c r="F57" t="n">
        <v>0.0273</v>
      </c>
      <c r="G57" t="n">
        <v>0.91</v>
      </c>
      <c r="H57" t="n">
        <v>2</v>
      </c>
      <c r="I57" t="n">
        <v>16</v>
      </c>
      <c r="J57" t="n">
        <v>3</v>
      </c>
      <c r="K57" t="n">
        <v>0</v>
      </c>
      <c r="L57" t="n">
        <v>22320</v>
      </c>
      <c r="M57" t="n">
        <v>30000</v>
      </c>
      <c r="N57" t="n">
        <v>91</v>
      </c>
      <c r="O57" t="n">
        <v>0.91</v>
      </c>
      <c r="P57" t="n">
        <v>1</v>
      </c>
      <c r="Q57" t="n">
        <v>0.02</v>
      </c>
      <c r="R57" t="n">
        <v>1</v>
      </c>
      <c r="S57" t="n">
        <v>819</v>
      </c>
      <c r="T57" t="n">
        <v>15</v>
      </c>
      <c r="U57" t="n">
        <v>16</v>
      </c>
      <c r="V57" t="n">
        <v>30</v>
      </c>
      <c r="W57" t="n">
        <v>1</v>
      </c>
      <c r="X57" t="n">
        <v>36.63003663003663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325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21</v>
      </c>
      <c r="AL57" t="inlineStr">
        <is>
          <t>Miss Glam Damar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"8993883377098"</f>
        <v/>
      </c>
      <c r="C58" t="inlineStr">
        <is>
          <t>ANIMATE Intense Acne Solution Facial Wash 100ml</t>
        </is>
      </c>
      <c r="D58" t="inlineStr">
        <is>
          <t>Miss Glam Damar</t>
        </is>
      </c>
      <c r="E58" t="n">
        <v>5</v>
      </c>
      <c r="F58" t="n">
        <v>0.04550000000000001</v>
      </c>
      <c r="G58" t="n">
        <v>0.91</v>
      </c>
      <c r="H58" t="n">
        <v>2</v>
      </c>
      <c r="I58" t="n">
        <v>16</v>
      </c>
      <c r="J58" t="n">
        <v>3</v>
      </c>
      <c r="K58" t="n">
        <v>0</v>
      </c>
      <c r="L58" t="n">
        <v>19920</v>
      </c>
      <c r="M58" t="n">
        <v>26000</v>
      </c>
      <c r="N58" t="n">
        <v>91</v>
      </c>
      <c r="O58" t="n">
        <v>0.91</v>
      </c>
      <c r="P58" t="n">
        <v>1</v>
      </c>
      <c r="Q58" t="n">
        <v>0.02</v>
      </c>
      <c r="R58" t="n">
        <v>1</v>
      </c>
      <c r="S58" t="n">
        <v>1183</v>
      </c>
      <c r="T58" t="n">
        <v>15</v>
      </c>
      <c r="U58" t="n">
        <v>16</v>
      </c>
      <c r="V58" t="n">
        <v>30</v>
      </c>
      <c r="W58" t="n">
        <v>2</v>
      </c>
      <c r="X58" t="n">
        <v>109.8901098901099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325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21</v>
      </c>
      <c r="AL58" t="inlineStr">
        <is>
          <t>Miss Glam Damar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"10300142324"</f>
        <v/>
      </c>
      <c r="C59" t="inlineStr">
        <is>
          <t>ANIMATE Perfect Glowing Barrier Series 5in1</t>
        </is>
      </c>
      <c r="D59" t="inlineStr">
        <is>
          <t>Miss Glam Damar</t>
        </is>
      </c>
      <c r="E59" t="n">
        <v>3</v>
      </c>
      <c r="F59" t="n">
        <v>0.02</v>
      </c>
      <c r="G59" t="n">
        <v>1</v>
      </c>
      <c r="H59" t="n">
        <v>2</v>
      </c>
      <c r="I59" t="n">
        <v>16</v>
      </c>
      <c r="J59" t="n">
        <v>3</v>
      </c>
      <c r="K59" t="n">
        <v>0</v>
      </c>
      <c r="L59" t="n">
        <v>79200</v>
      </c>
      <c r="M59" t="n">
        <v>118500</v>
      </c>
      <c r="N59" t="n">
        <v>91</v>
      </c>
      <c r="O59" t="n">
        <v>0.91</v>
      </c>
      <c r="P59" t="n">
        <v>0</v>
      </c>
      <c r="Q59" t="n">
        <v>0.02</v>
      </c>
      <c r="R59" t="n">
        <v>1</v>
      </c>
      <c r="S59" t="n">
        <v>2370</v>
      </c>
      <c r="T59" t="n">
        <v>16</v>
      </c>
      <c r="U59" t="n">
        <v>17</v>
      </c>
      <c r="V59" t="n">
        <v>30</v>
      </c>
      <c r="W59" t="n">
        <v>1</v>
      </c>
      <c r="X59" t="n">
        <v>150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325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21</v>
      </c>
      <c r="AL59" t="inlineStr">
        <is>
          <t>Miss Glam Damar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"8993883376367"</f>
        <v/>
      </c>
      <c r="C60" t="inlineStr">
        <is>
          <t>ANIMATE Perfect Glowing Barrier Serum 20ml</t>
        </is>
      </c>
      <c r="D60" t="inlineStr">
        <is>
          <t>Miss Glam Damar</t>
        </is>
      </c>
      <c r="E60" t="n">
        <v>4</v>
      </c>
      <c r="F60" t="n">
        <v>0.04550000000000001</v>
      </c>
      <c r="G60" t="n">
        <v>0.91</v>
      </c>
      <c r="H60" t="n">
        <v>2</v>
      </c>
      <c r="I60" t="n">
        <v>16</v>
      </c>
      <c r="J60" t="n">
        <v>3</v>
      </c>
      <c r="K60" t="n">
        <v>0</v>
      </c>
      <c r="L60" t="n">
        <v>20720</v>
      </c>
      <c r="M60" t="n">
        <v>26000</v>
      </c>
      <c r="N60" t="n">
        <v>91</v>
      </c>
      <c r="O60" t="n">
        <v>0.91</v>
      </c>
      <c r="P60" t="n">
        <v>1</v>
      </c>
      <c r="Q60" t="n">
        <v>0.02</v>
      </c>
      <c r="R60" t="n">
        <v>1</v>
      </c>
      <c r="S60" t="n">
        <v>1183</v>
      </c>
      <c r="T60" t="n">
        <v>15</v>
      </c>
      <c r="U60" t="n">
        <v>16</v>
      </c>
      <c r="V60" t="n">
        <v>30</v>
      </c>
      <c r="W60" t="n">
        <v>2</v>
      </c>
      <c r="X60" t="n">
        <v>87.9120879120879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325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21</v>
      </c>
      <c r="AL60" t="inlineStr">
        <is>
          <t>Miss Glam Damar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"8994453152343"</f>
        <v/>
      </c>
      <c r="C61" t="inlineStr">
        <is>
          <t>ANIMATE Secret Glints Series</t>
        </is>
      </c>
      <c r="D61" t="inlineStr">
        <is>
          <t>Miss Glam Damar</t>
        </is>
      </c>
      <c r="E61" t="n">
        <v>4</v>
      </c>
      <c r="F61" t="n">
        <v>0.06370000000000001</v>
      </c>
      <c r="G61" t="n">
        <v>0.91</v>
      </c>
      <c r="H61" t="n">
        <v>2</v>
      </c>
      <c r="I61" t="n">
        <v>16</v>
      </c>
      <c r="J61" t="n">
        <v>3</v>
      </c>
      <c r="K61" t="n">
        <v>0</v>
      </c>
      <c r="L61" t="n">
        <v>47200</v>
      </c>
      <c r="M61" t="n">
        <v>59000</v>
      </c>
      <c r="N61" t="n">
        <v>91</v>
      </c>
      <c r="O61" t="n">
        <v>0.91</v>
      </c>
      <c r="P61" t="n">
        <v>1</v>
      </c>
      <c r="Q61" t="n">
        <v>0.03</v>
      </c>
      <c r="R61" t="n">
        <v>1</v>
      </c>
      <c r="S61" t="n">
        <v>3758.3</v>
      </c>
      <c r="T61" t="n">
        <v>15</v>
      </c>
      <c r="U61" t="n">
        <v>16</v>
      </c>
      <c r="V61" t="n">
        <v>30</v>
      </c>
      <c r="W61" t="n">
        <v>2</v>
      </c>
      <c r="X61" t="n">
        <v>62.79434850863422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325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21</v>
      </c>
      <c r="AL61" t="inlineStr">
        <is>
          <t>Miss Glam Damar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"8994453152350"</f>
        <v/>
      </c>
      <c r="C62" t="inlineStr">
        <is>
          <t>ANIMATE Warm Vanilla Series</t>
        </is>
      </c>
      <c r="D62" t="inlineStr">
        <is>
          <t>Miss Glam Damar</t>
        </is>
      </c>
      <c r="E62" t="n">
        <v>3</v>
      </c>
      <c r="F62" t="n">
        <v>0.04550000000000001</v>
      </c>
      <c r="G62" t="n">
        <v>0.91</v>
      </c>
      <c r="H62" t="n">
        <v>2</v>
      </c>
      <c r="I62" t="n">
        <v>16</v>
      </c>
      <c r="J62" t="n">
        <v>3</v>
      </c>
      <c r="K62" t="n">
        <v>0</v>
      </c>
      <c r="L62" t="n">
        <v>47200</v>
      </c>
      <c r="M62" t="n">
        <v>59000</v>
      </c>
      <c r="N62" t="n">
        <v>91</v>
      </c>
      <c r="O62" t="n">
        <v>0.91</v>
      </c>
      <c r="P62" t="n">
        <v>1</v>
      </c>
      <c r="Q62" t="n">
        <v>0.05</v>
      </c>
      <c r="R62" t="n">
        <v>2</v>
      </c>
      <c r="S62" t="n">
        <v>2684.5</v>
      </c>
      <c r="T62" t="n">
        <v>15</v>
      </c>
      <c r="U62" t="n">
        <v>16</v>
      </c>
      <c r="V62" t="n">
        <v>30</v>
      </c>
      <c r="W62" t="n">
        <v>2</v>
      </c>
      <c r="X62" t="n">
        <v>65.93406593406593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325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21</v>
      </c>
      <c r="AL62" t="inlineStr">
        <is>
          <t>Miss Glam Damar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"8993883370044"</f>
        <v/>
      </c>
      <c r="C63" t="inlineStr">
        <is>
          <t>ANIMATE Whitening Day Cream 10gr</t>
        </is>
      </c>
      <c r="D63" t="inlineStr">
        <is>
          <t>Miss Glam Damar</t>
        </is>
      </c>
      <c r="E63" t="n">
        <v>16</v>
      </c>
      <c r="F63" t="n">
        <v>0.7280000000000001</v>
      </c>
      <c r="G63" t="n">
        <v>3.64</v>
      </c>
      <c r="H63" t="n">
        <v>2</v>
      </c>
      <c r="I63" t="n">
        <v>16</v>
      </c>
      <c r="J63" t="n">
        <v>3</v>
      </c>
      <c r="K63" t="n">
        <v>0</v>
      </c>
      <c r="L63" t="n">
        <v>22320</v>
      </c>
      <c r="M63" t="n">
        <v>28000</v>
      </c>
      <c r="N63" t="n">
        <v>91</v>
      </c>
      <c r="O63" t="n">
        <v>0.91</v>
      </c>
      <c r="P63" t="n">
        <v>1</v>
      </c>
      <c r="Q63" t="n">
        <v>0.39</v>
      </c>
      <c r="R63" t="n">
        <v>2</v>
      </c>
      <c r="S63" t="n">
        <v>20384</v>
      </c>
      <c r="T63" t="n">
        <v>57</v>
      </c>
      <c r="U63" t="n">
        <v>59</v>
      </c>
      <c r="V63" t="n">
        <v>30</v>
      </c>
      <c r="W63" t="n">
        <v>22</v>
      </c>
      <c r="X63" t="n">
        <v>21.97802197802197</v>
      </c>
      <c r="Y63" t="n">
        <v>1</v>
      </c>
      <c r="Z63" t="n">
        <v>6</v>
      </c>
      <c r="AA63" t="n">
        <v>0</v>
      </c>
      <c r="AB63" t="n">
        <v>6</v>
      </c>
      <c r="AC63" t="n">
        <v>6</v>
      </c>
      <c r="AD63" t="n">
        <v>0</v>
      </c>
      <c r="AE63" t="n">
        <v>133920</v>
      </c>
      <c r="AF63" t="n">
        <v>325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21</v>
      </c>
      <c r="AL63" t="inlineStr">
        <is>
          <t>Miss Glam Damar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"8993883370068"</f>
        <v/>
      </c>
      <c r="C64" t="inlineStr">
        <is>
          <t>ANIMATE Whitening Facial Serum 20ml</t>
        </is>
      </c>
      <c r="D64" t="inlineStr">
        <is>
          <t>Miss Glam Damar</t>
        </is>
      </c>
      <c r="E64" t="n">
        <v>6</v>
      </c>
      <c r="F64" t="n">
        <v>0.09100000000000001</v>
      </c>
      <c r="G64" t="n">
        <v>0.91</v>
      </c>
      <c r="H64" t="n">
        <v>2</v>
      </c>
      <c r="I64" t="n">
        <v>16</v>
      </c>
      <c r="J64" t="n">
        <v>3</v>
      </c>
      <c r="K64" t="n">
        <v>0</v>
      </c>
      <c r="L64" t="n">
        <v>20720</v>
      </c>
      <c r="M64" t="n">
        <v>31000</v>
      </c>
      <c r="N64" t="n">
        <v>91</v>
      </c>
      <c r="O64" t="n">
        <v>0.91</v>
      </c>
      <c r="P64" t="n">
        <v>1</v>
      </c>
      <c r="Q64" t="n">
        <v>0.12</v>
      </c>
      <c r="R64" t="n">
        <v>1</v>
      </c>
      <c r="S64" t="n">
        <v>2821</v>
      </c>
      <c r="T64" t="n">
        <v>15</v>
      </c>
      <c r="U64" t="n">
        <v>16</v>
      </c>
      <c r="V64" t="n">
        <v>30</v>
      </c>
      <c r="W64" t="n">
        <v>3</v>
      </c>
      <c r="X64" t="n">
        <v>65.93406593406593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325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21</v>
      </c>
      <c r="AL64" t="inlineStr">
        <is>
          <t>Miss Glam Damar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"8993883370006"</f>
        <v/>
      </c>
      <c r="C65" t="inlineStr">
        <is>
          <t>ANIMATE Whitening Facial Toner 100ml</t>
        </is>
      </c>
      <c r="D65" t="inlineStr">
        <is>
          <t>Miss Glam Damar</t>
        </is>
      </c>
      <c r="E65" t="n">
        <v>3</v>
      </c>
      <c r="F65" t="n">
        <v>0.03</v>
      </c>
      <c r="G65" t="n">
        <v>1</v>
      </c>
      <c r="H65" t="n">
        <v>2</v>
      </c>
      <c r="I65" t="n">
        <v>16</v>
      </c>
      <c r="J65" t="n">
        <v>3</v>
      </c>
      <c r="K65" t="n">
        <v>0</v>
      </c>
      <c r="L65" t="n">
        <v>18320</v>
      </c>
      <c r="M65" t="n">
        <v>25000</v>
      </c>
      <c r="N65" t="n">
        <v>91</v>
      </c>
      <c r="O65" t="n">
        <v>0.91</v>
      </c>
      <c r="P65" t="n">
        <v>0</v>
      </c>
      <c r="Q65" t="n">
        <v>0.03</v>
      </c>
      <c r="R65" t="n">
        <v>1</v>
      </c>
      <c r="S65" t="n">
        <v>750</v>
      </c>
      <c r="T65" t="n">
        <v>16</v>
      </c>
      <c r="U65" t="n">
        <v>17</v>
      </c>
      <c r="V65" t="n">
        <v>30</v>
      </c>
      <c r="W65" t="n">
        <v>1</v>
      </c>
      <c r="X65" t="n">
        <v>100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325</v>
      </c>
      <c r="AG65" t="n">
        <v>107</v>
      </c>
      <c r="AH65" t="inlineStr">
        <is>
          <t xml:space="preserve">CV. DAHLIA - PPN (PDG) </t>
        </is>
      </c>
      <c r="AI65" t="n">
        <v>1520</v>
      </c>
      <c r="AJ65" t="inlineStr">
        <is>
          <t>ANIMATE</t>
        </is>
      </c>
      <c r="AK65" t="n">
        <v>21</v>
      </c>
      <c r="AL65" t="inlineStr">
        <is>
          <t>Miss Glam Damar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"8993883370037"</f>
        <v/>
      </c>
      <c r="C66" t="inlineStr">
        <is>
          <t>ANIMATE Whitening Night Cream 10gr</t>
        </is>
      </c>
      <c r="D66" t="inlineStr">
        <is>
          <t>Miss Glam Damar</t>
        </is>
      </c>
      <c r="E66" t="n">
        <v>6</v>
      </c>
      <c r="F66" t="n">
        <v>0.09100000000000001</v>
      </c>
      <c r="G66" t="n">
        <v>0.91</v>
      </c>
      <c r="H66" t="n">
        <v>2</v>
      </c>
      <c r="I66" t="n">
        <v>16</v>
      </c>
      <c r="J66" t="n">
        <v>3</v>
      </c>
      <c r="K66" t="n">
        <v>0</v>
      </c>
      <c r="L66" t="n">
        <v>23920</v>
      </c>
      <c r="M66" t="n">
        <v>30000</v>
      </c>
      <c r="N66" t="n">
        <v>91</v>
      </c>
      <c r="O66" t="n">
        <v>0.91</v>
      </c>
      <c r="P66" t="n">
        <v>1</v>
      </c>
      <c r="Q66" t="n">
        <v>0.14</v>
      </c>
      <c r="R66" t="n">
        <v>2</v>
      </c>
      <c r="S66" t="n">
        <v>2730</v>
      </c>
      <c r="T66" t="n">
        <v>15</v>
      </c>
      <c r="U66" t="n">
        <v>16</v>
      </c>
      <c r="V66" t="n">
        <v>30</v>
      </c>
      <c r="W66" t="n">
        <v>3</v>
      </c>
      <c r="X66" t="n">
        <v>65.93406593406593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325</v>
      </c>
      <c r="AG66" t="n">
        <v>107</v>
      </c>
      <c r="AH66" t="inlineStr">
        <is>
          <t xml:space="preserve">CV. DAHLIA - PPN (PDG) </t>
        </is>
      </c>
      <c r="AI66" t="n">
        <v>1520</v>
      </c>
      <c r="AJ66" t="inlineStr">
        <is>
          <t>ANIMATE</t>
        </is>
      </c>
      <c r="AK66" t="n">
        <v>21</v>
      </c>
      <c r="AL66" t="inlineStr">
        <is>
          <t>Miss Glam Damar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ANUA</t>
        </is>
      </c>
      <c r="B67" s="2">
        <f>"10200161332"</f>
        <v/>
      </c>
      <c r="C67" t="inlineStr">
        <is>
          <t>ANUA Rice 10 Glow Milky Toner 250 ml</t>
        </is>
      </c>
      <c r="D67" t="inlineStr">
        <is>
          <t>Miss Glam Damar</t>
        </is>
      </c>
      <c r="E67" t="n">
        <v>2</v>
      </c>
      <c r="F67" t="n">
        <v>0.06370000000000001</v>
      </c>
      <c r="G67" t="n">
        <v>1.82</v>
      </c>
      <c r="H67" t="n">
        <v>4</v>
      </c>
      <c r="I67" t="n">
        <v>21</v>
      </c>
      <c r="J67" t="n">
        <v>1</v>
      </c>
      <c r="K67" t="n">
        <v>0</v>
      </c>
      <c r="L67" t="n">
        <v>197016</v>
      </c>
      <c r="M67" t="n">
        <v>232000</v>
      </c>
      <c r="N67" t="n">
        <v>91</v>
      </c>
      <c r="O67" t="n">
        <v>0.91</v>
      </c>
      <c r="P67" t="n">
        <v>1</v>
      </c>
      <c r="Q67" t="n">
        <v>0.03</v>
      </c>
      <c r="R67" t="n">
        <v>1</v>
      </c>
      <c r="S67" t="n">
        <v>14778.4</v>
      </c>
      <c r="T67" t="n">
        <v>38</v>
      </c>
      <c r="U67" t="n">
        <v>39</v>
      </c>
      <c r="V67" t="n">
        <v>30</v>
      </c>
      <c r="W67" t="n">
        <v>2</v>
      </c>
      <c r="X67" t="n">
        <v>31.39717425431711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2993</v>
      </c>
      <c r="AG67" t="n">
        <v>1</v>
      </c>
      <c r="AH67" t="inlineStr">
        <is>
          <t>PT. BERSAMA DISTRIVERSA INDONESIA (DC CIPUTAT)</t>
        </is>
      </c>
      <c r="AI67" t="n">
        <v>1757</v>
      </c>
      <c r="AJ67" t="inlineStr">
        <is>
          <t>ANUA</t>
        </is>
      </c>
      <c r="AK67" t="n">
        <v>21</v>
      </c>
      <c r="AL67" t="inlineStr">
        <is>
          <t>Miss Glam Damar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ARIUL</t>
        </is>
      </c>
      <c r="B68" s="2">
        <f>"10500176636"</f>
        <v/>
      </c>
      <c r="C68" t="inlineStr">
        <is>
          <t>ARIUL Smooth &amp; Pure Daily Pick Aqua Toning Mask 1Pcs</t>
        </is>
      </c>
      <c r="D68" t="inlineStr">
        <is>
          <t>Miss Glam Damar</t>
        </is>
      </c>
      <c r="E68" t="n">
        <v>11</v>
      </c>
      <c r="F68" t="n">
        <v>0.2821</v>
      </c>
      <c r="G68" t="n">
        <v>4.55</v>
      </c>
      <c r="H68" t="n">
        <v>2</v>
      </c>
      <c r="I68" t="n">
        <v>11</v>
      </c>
      <c r="J68" t="n">
        <v>1</v>
      </c>
      <c r="K68" t="n">
        <v>0</v>
      </c>
      <c r="L68" t="n">
        <v>15120</v>
      </c>
      <c r="M68" t="n">
        <v>19000</v>
      </c>
      <c r="N68" t="n">
        <v>91</v>
      </c>
      <c r="O68" t="n">
        <v>0.91</v>
      </c>
      <c r="P68" t="n">
        <v>1</v>
      </c>
      <c r="Q68" t="n">
        <v>0.37</v>
      </c>
      <c r="R68" t="n">
        <v>5</v>
      </c>
      <c r="S68" t="n">
        <v>5359.900000000001</v>
      </c>
      <c r="T68" t="n">
        <v>50</v>
      </c>
      <c r="U68" t="n">
        <v>51</v>
      </c>
      <c r="V68" t="n">
        <v>30</v>
      </c>
      <c r="W68" t="n">
        <v>9</v>
      </c>
      <c r="X68" t="n">
        <v>38.99326479971641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12308</v>
      </c>
      <c r="AG68" t="n">
        <v>92</v>
      </c>
      <c r="AH68" t="inlineStr">
        <is>
          <t>PT. SAI (PDG)</t>
        </is>
      </c>
      <c r="AI68" t="n">
        <v>349</v>
      </c>
      <c r="AJ68" t="inlineStr">
        <is>
          <t>ARIUL</t>
        </is>
      </c>
      <c r="AK68" t="n">
        <v>21</v>
      </c>
      <c r="AL68" t="inlineStr">
        <is>
          <t>Miss Glam Damar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ARIUL</t>
        </is>
      </c>
      <c r="B69" s="2">
        <f>"10500176721"</f>
        <v/>
      </c>
      <c r="C69" t="inlineStr">
        <is>
          <t>ARIUL Smooth &amp; Pure Daily Pick Essential Calming Mask 1pcs</t>
        </is>
      </c>
      <c r="D69" t="inlineStr">
        <is>
          <t>Miss Glam Damar</t>
        </is>
      </c>
      <c r="E69" t="n">
        <v>8</v>
      </c>
      <c r="F69" t="n">
        <v>0.3822</v>
      </c>
      <c r="G69" t="n">
        <v>6.37</v>
      </c>
      <c r="H69" t="n">
        <v>2</v>
      </c>
      <c r="I69" t="n">
        <v>11</v>
      </c>
      <c r="J69" t="n">
        <v>1</v>
      </c>
      <c r="K69" t="n">
        <v>0</v>
      </c>
      <c r="L69" t="n">
        <v>15120</v>
      </c>
      <c r="M69" t="n">
        <v>19000</v>
      </c>
      <c r="N69" t="n">
        <v>91</v>
      </c>
      <c r="O69" t="n">
        <v>0.91</v>
      </c>
      <c r="P69" t="n">
        <v>1</v>
      </c>
      <c r="Q69" t="n">
        <v>0.34</v>
      </c>
      <c r="R69" t="n">
        <v>2</v>
      </c>
      <c r="S69" t="n">
        <v>7261.799999999999</v>
      </c>
      <c r="T69" t="n">
        <v>70</v>
      </c>
      <c r="U69" t="n">
        <v>71</v>
      </c>
      <c r="V69" t="n">
        <v>30</v>
      </c>
      <c r="W69" t="n">
        <v>12</v>
      </c>
      <c r="X69" t="n">
        <v>20.93144950287807</v>
      </c>
      <c r="Y69" t="n">
        <v>1</v>
      </c>
      <c r="Z69" t="n">
        <v>4</v>
      </c>
      <c r="AA69" t="n">
        <v>0</v>
      </c>
      <c r="AB69" t="n">
        <v>4</v>
      </c>
      <c r="AC69" t="n">
        <v>4</v>
      </c>
      <c r="AD69" t="n">
        <v>0</v>
      </c>
      <c r="AE69" t="n">
        <v>60480</v>
      </c>
      <c r="AF69" t="n">
        <v>12308</v>
      </c>
      <c r="AG69" t="n">
        <v>92</v>
      </c>
      <c r="AH69" t="inlineStr">
        <is>
          <t>PT. SAI (PDG)</t>
        </is>
      </c>
      <c r="AI69" t="n">
        <v>349</v>
      </c>
      <c r="AJ69" t="inlineStr">
        <is>
          <t>ARIUL</t>
        </is>
      </c>
      <c r="AK69" t="n">
        <v>21</v>
      </c>
      <c r="AL69" t="inlineStr">
        <is>
          <t>Miss Glam Damar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ARIUL</t>
        </is>
      </c>
      <c r="B70" s="2">
        <f>"8809301766613"</f>
        <v/>
      </c>
      <c r="C70" t="inlineStr">
        <is>
          <t>ARIUL Smooth &amp; Pure Micellar Cleansing Water 100ml</t>
        </is>
      </c>
      <c r="D70" t="inlineStr">
        <is>
          <t>Miss Glam Damar</t>
        </is>
      </c>
      <c r="E70" t="n">
        <v>9</v>
      </c>
      <c r="F70" t="n">
        <v>0.02</v>
      </c>
      <c r="G70" t="n">
        <v>1</v>
      </c>
      <c r="H70" t="n">
        <v>2</v>
      </c>
      <c r="I70" t="n">
        <v>11</v>
      </c>
      <c r="J70" t="n">
        <v>3</v>
      </c>
      <c r="K70" t="n">
        <v>0</v>
      </c>
      <c r="L70" t="n">
        <v>39200</v>
      </c>
      <c r="M70" t="n">
        <v>49000</v>
      </c>
      <c r="N70" t="n">
        <v>91</v>
      </c>
      <c r="O70" t="n">
        <v>0.91</v>
      </c>
      <c r="P70" t="n">
        <v>0</v>
      </c>
      <c r="Q70" t="n">
        <v>0.02</v>
      </c>
      <c r="R70" t="n">
        <v>1</v>
      </c>
      <c r="S70" t="n">
        <v>980</v>
      </c>
      <c r="T70" t="n">
        <v>11</v>
      </c>
      <c r="U70" t="n">
        <v>12</v>
      </c>
      <c r="V70" t="n">
        <v>30</v>
      </c>
      <c r="W70" t="n">
        <v>1</v>
      </c>
      <c r="X70" t="n">
        <v>450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12308</v>
      </c>
      <c r="AG70" t="n">
        <v>92</v>
      </c>
      <c r="AH70" t="inlineStr">
        <is>
          <t>PT. SAI (PDG)</t>
        </is>
      </c>
      <c r="AI70" t="n">
        <v>349</v>
      </c>
      <c r="AJ70" t="inlineStr">
        <is>
          <t>ARIUL</t>
        </is>
      </c>
      <c r="AK70" t="n">
        <v>21</v>
      </c>
      <c r="AL70" t="inlineStr">
        <is>
          <t>Miss Glam Damar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ARIUL</t>
        </is>
      </c>
      <c r="B71" s="2">
        <f>"8809301760420"</f>
        <v/>
      </c>
      <c r="C71" t="inlineStr">
        <is>
          <t>ARIUL Smooth Pure Deep Clean Cleansing Foam 80ml</t>
        </is>
      </c>
      <c r="D71" t="inlineStr">
        <is>
          <t>Miss Glam Damar</t>
        </is>
      </c>
      <c r="E71" t="n">
        <v>4</v>
      </c>
      <c r="F71" t="n">
        <v>0.0273</v>
      </c>
      <c r="G71" t="n">
        <v>0.91</v>
      </c>
      <c r="H71" t="n">
        <v>2</v>
      </c>
      <c r="I71" t="n">
        <v>11</v>
      </c>
      <c r="J71" t="n">
        <v>3</v>
      </c>
      <c r="K71" t="n">
        <v>0</v>
      </c>
      <c r="L71" t="n">
        <v>46779</v>
      </c>
      <c r="M71" t="n">
        <v>69000</v>
      </c>
      <c r="N71" t="n">
        <v>91</v>
      </c>
      <c r="O71" t="n">
        <v>0.91</v>
      </c>
      <c r="P71" t="n">
        <v>1</v>
      </c>
      <c r="Q71" t="n">
        <v>0.03</v>
      </c>
      <c r="R71" t="n">
        <v>1</v>
      </c>
      <c r="S71" t="n">
        <v>1883.7</v>
      </c>
      <c r="T71" t="n">
        <v>10</v>
      </c>
      <c r="U71" t="n">
        <v>11</v>
      </c>
      <c r="V71" t="n">
        <v>30</v>
      </c>
      <c r="W71" t="n">
        <v>1</v>
      </c>
      <c r="X71" t="n">
        <v>146.5201465201465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12308</v>
      </c>
      <c r="AG71" t="n">
        <v>92</v>
      </c>
      <c r="AH71" t="inlineStr">
        <is>
          <t>PT. SAI (PDG)</t>
        </is>
      </c>
      <c r="AI71" t="n">
        <v>349</v>
      </c>
      <c r="AJ71" t="inlineStr">
        <is>
          <t>ARIUL</t>
        </is>
      </c>
      <c r="AK71" t="n">
        <v>21</v>
      </c>
      <c r="AL71" t="inlineStr">
        <is>
          <t>Miss Glam Damar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ARIUL</t>
        </is>
      </c>
      <c r="B72" s="2">
        <f>"8809301767542"</f>
        <v/>
      </c>
      <c r="C72" t="inlineStr">
        <is>
          <t>ARIUL The Perfect Refresh Your Day Cleansing Tissue Plus 20 Sheets</t>
        </is>
      </c>
      <c r="D72" t="inlineStr">
        <is>
          <t>Miss Glam Damar</t>
        </is>
      </c>
      <c r="E72" t="n">
        <v>66</v>
      </c>
      <c r="F72" t="n">
        <v>1.2012</v>
      </c>
      <c r="G72" t="n">
        <v>4.55</v>
      </c>
      <c r="H72" t="n">
        <v>2</v>
      </c>
      <c r="I72" t="n">
        <v>11</v>
      </c>
      <c r="J72" t="n">
        <v>3</v>
      </c>
      <c r="K72" t="n">
        <v>0</v>
      </c>
      <c r="L72" t="n">
        <v>27746</v>
      </c>
      <c r="M72" t="n">
        <v>35000</v>
      </c>
      <c r="N72" t="n">
        <v>91</v>
      </c>
      <c r="O72" t="n">
        <v>0.91</v>
      </c>
      <c r="P72" t="n">
        <v>1</v>
      </c>
      <c r="Q72" t="n">
        <v>2.56</v>
      </c>
      <c r="R72" t="n">
        <v>8</v>
      </c>
      <c r="S72" t="n">
        <v>42042</v>
      </c>
      <c r="T72" t="n">
        <v>48</v>
      </c>
      <c r="U72" t="n">
        <v>51</v>
      </c>
      <c r="V72" t="n">
        <v>30</v>
      </c>
      <c r="W72" t="n">
        <v>37</v>
      </c>
      <c r="X72" t="n">
        <v>54.94505494505494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12308</v>
      </c>
      <c r="AG72" t="n">
        <v>92</v>
      </c>
      <c r="AH72" t="inlineStr">
        <is>
          <t>PT. SAI (PDG)</t>
        </is>
      </c>
      <c r="AI72" t="n">
        <v>349</v>
      </c>
      <c r="AJ72" t="inlineStr">
        <is>
          <t>ARIUL</t>
        </is>
      </c>
      <c r="AK72" t="n">
        <v>21</v>
      </c>
      <c r="AL72" t="inlineStr">
        <is>
          <t>Miss Glam Damar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ARIUL</t>
        </is>
      </c>
      <c r="B73" s="2">
        <f>"8809301764787"</f>
        <v/>
      </c>
      <c r="C73" t="inlineStr">
        <is>
          <t>ARIUL The Perfect Refresh Your Day Lip And Eye Remover 30 Pads</t>
        </is>
      </c>
      <c r="D73" t="inlineStr">
        <is>
          <t>Miss Glam Damar</t>
        </is>
      </c>
      <c r="E73" t="n">
        <v>51</v>
      </c>
      <c r="F73" t="n">
        <v>0.8644999999999999</v>
      </c>
      <c r="G73" t="n">
        <v>3.64</v>
      </c>
      <c r="H73" t="n">
        <v>2</v>
      </c>
      <c r="I73" t="n">
        <v>11</v>
      </c>
      <c r="J73" t="n">
        <v>3</v>
      </c>
      <c r="K73" t="n">
        <v>0</v>
      </c>
      <c r="L73" t="n">
        <v>36000</v>
      </c>
      <c r="M73" t="n">
        <v>45000</v>
      </c>
      <c r="N73" t="n">
        <v>91</v>
      </c>
      <c r="O73" t="n">
        <v>0.91</v>
      </c>
      <c r="P73" t="n">
        <v>1</v>
      </c>
      <c r="Q73" t="n">
        <v>1.58</v>
      </c>
      <c r="R73" t="n">
        <v>12</v>
      </c>
      <c r="S73" t="n">
        <v>38902.5</v>
      </c>
      <c r="T73" t="n">
        <v>39</v>
      </c>
      <c r="U73" t="n">
        <v>41</v>
      </c>
      <c r="V73" t="n">
        <v>30</v>
      </c>
      <c r="W73" t="n">
        <v>26</v>
      </c>
      <c r="X73" t="n">
        <v>58.99363794100637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12308</v>
      </c>
      <c r="AG73" t="n">
        <v>92</v>
      </c>
      <c r="AH73" t="inlineStr">
        <is>
          <t>PT. SAI (PDG)</t>
        </is>
      </c>
      <c r="AI73" t="n">
        <v>349</v>
      </c>
      <c r="AJ73" t="inlineStr">
        <is>
          <t>ARIUL</t>
        </is>
      </c>
      <c r="AK73" t="n">
        <v>21</v>
      </c>
      <c r="AL73" t="inlineStr">
        <is>
          <t>Miss Glam Damar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"10200161258"</f>
        <v/>
      </c>
      <c r="C74" t="inlineStr">
        <is>
          <t>AUTUMN PURE NATURE  5x Cera-HYA  Skin Barrier Moisture &amp; Hydrating Toner 500ml</t>
        </is>
      </c>
      <c r="D74" t="inlineStr">
        <is>
          <t>Miss Glam Damar</t>
        </is>
      </c>
      <c r="E74" t="n">
        <v>6</v>
      </c>
      <c r="F74" t="n">
        <v>0.09100000000000001</v>
      </c>
      <c r="G74" t="n">
        <v>0.91</v>
      </c>
      <c r="H74" t="n">
        <v>3</v>
      </c>
      <c r="I74" t="n">
        <v>11</v>
      </c>
      <c r="J74" t="n">
        <v>1</v>
      </c>
      <c r="K74" t="n">
        <v>0</v>
      </c>
      <c r="L74" t="n">
        <v>37800</v>
      </c>
      <c r="M74" t="n">
        <v>44500</v>
      </c>
      <c r="N74" t="n">
        <v>91</v>
      </c>
      <c r="O74" t="n">
        <v>0.91</v>
      </c>
      <c r="P74" t="n">
        <v>1</v>
      </c>
      <c r="Q74" t="n">
        <v>0.03</v>
      </c>
      <c r="R74" t="n">
        <v>1</v>
      </c>
      <c r="S74" t="n">
        <v>4049.5</v>
      </c>
      <c r="T74" t="n">
        <v>10</v>
      </c>
      <c r="U74" t="n">
        <v>11</v>
      </c>
      <c r="V74" t="n">
        <v>30</v>
      </c>
      <c r="W74" t="n">
        <v>3</v>
      </c>
      <c r="X74" t="n">
        <v>65.93406593406593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12765</v>
      </c>
      <c r="AG74" t="n">
        <v>2122</v>
      </c>
      <c r="AH74" t="inlineStr">
        <is>
          <t>PT. SINAR PADANG LESTARI - PPN (PDG)</t>
        </is>
      </c>
      <c r="AI74" t="n">
        <v>1161</v>
      </c>
      <c r="AJ74" t="inlineStr">
        <is>
          <t>AUTUMN PURE NATURE</t>
        </is>
      </c>
      <c r="AK74" t="n">
        <v>21</v>
      </c>
      <c r="AL74" t="inlineStr">
        <is>
          <t>Miss Glam Damar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"8997031153855"</f>
        <v/>
      </c>
      <c r="C75" t="inlineStr">
        <is>
          <t>AUTUMN PURE NATURE 24k Gold Toner 500ml</t>
        </is>
      </c>
      <c r="D75" t="inlineStr">
        <is>
          <t>Miss Glam Damar</t>
        </is>
      </c>
      <c r="E75" t="n">
        <v>4</v>
      </c>
      <c r="F75" t="n">
        <v>0.0273</v>
      </c>
      <c r="G75" t="n">
        <v>0.91</v>
      </c>
      <c r="H75" t="n">
        <v>3</v>
      </c>
      <c r="I75" t="n">
        <v>11</v>
      </c>
      <c r="J75" t="n">
        <v>3</v>
      </c>
      <c r="K75" t="n">
        <v>0</v>
      </c>
      <c r="L75" t="n">
        <v>37800</v>
      </c>
      <c r="M75" t="n">
        <v>46000</v>
      </c>
      <c r="N75" t="n">
        <v>91</v>
      </c>
      <c r="O75" t="n">
        <v>0.91</v>
      </c>
      <c r="P75" t="n">
        <v>1</v>
      </c>
      <c r="Q75" t="n">
        <v>0.02</v>
      </c>
      <c r="R75" t="n">
        <v>1</v>
      </c>
      <c r="S75" t="n">
        <v>1255.8</v>
      </c>
      <c r="T75" t="n">
        <v>10</v>
      </c>
      <c r="U75" t="n">
        <v>11</v>
      </c>
      <c r="V75" t="n">
        <v>30</v>
      </c>
      <c r="W75" t="n">
        <v>1</v>
      </c>
      <c r="X75" t="n">
        <v>146.5201465201465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12765</v>
      </c>
      <c r="AG75" t="n">
        <v>2122</v>
      </c>
      <c r="AH75" t="inlineStr">
        <is>
          <t>PT. SINAR PADANG LESTARI - PPN (PDG)</t>
        </is>
      </c>
      <c r="AI75" t="n">
        <v>1161</v>
      </c>
      <c r="AJ75" t="inlineStr">
        <is>
          <t>AUTUMN PURE NATURE</t>
        </is>
      </c>
      <c r="AK75" t="n">
        <v>21</v>
      </c>
      <c r="AL75" t="inlineStr">
        <is>
          <t>Miss Glam Damar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"10200160703"</f>
        <v/>
      </c>
      <c r="C76" t="inlineStr">
        <is>
          <t>AUTUMN PURE NATURE 5% NIA–HYA Whitening Toner 500ml</t>
        </is>
      </c>
      <c r="D76" t="inlineStr">
        <is>
          <t>Miss Glam Damar</t>
        </is>
      </c>
      <c r="E76" t="n">
        <v>5</v>
      </c>
      <c r="F76" t="n">
        <v>0.2184</v>
      </c>
      <c r="G76" t="n">
        <v>1.82</v>
      </c>
      <c r="H76" t="n">
        <v>3</v>
      </c>
      <c r="I76" t="n">
        <v>11</v>
      </c>
      <c r="J76" t="n">
        <v>1</v>
      </c>
      <c r="K76" t="n">
        <v>0</v>
      </c>
      <c r="L76" t="n">
        <v>37800</v>
      </c>
      <c r="M76" t="n">
        <v>44500</v>
      </c>
      <c r="N76" t="n">
        <v>91</v>
      </c>
      <c r="O76" t="n">
        <v>0.91</v>
      </c>
      <c r="P76" t="n">
        <v>1</v>
      </c>
      <c r="Q76" t="n">
        <v>0.42</v>
      </c>
      <c r="R76" t="n">
        <v>2</v>
      </c>
      <c r="S76" t="n">
        <v>9718.800000000001</v>
      </c>
      <c r="T76" t="n">
        <v>20</v>
      </c>
      <c r="U76" t="n">
        <v>21</v>
      </c>
      <c r="V76" t="n">
        <v>30</v>
      </c>
      <c r="W76" t="n">
        <v>7</v>
      </c>
      <c r="X76" t="n">
        <v>22.89377289377289</v>
      </c>
      <c r="Y76" t="n">
        <v>1</v>
      </c>
      <c r="Z76" t="n">
        <v>2</v>
      </c>
      <c r="AA76" t="n">
        <v>0</v>
      </c>
      <c r="AB76" t="n">
        <v>2</v>
      </c>
      <c r="AC76" t="n">
        <v>2</v>
      </c>
      <c r="AD76" t="n">
        <v>0</v>
      </c>
      <c r="AE76" t="n">
        <v>75600</v>
      </c>
      <c r="AF76" t="n">
        <v>12765</v>
      </c>
      <c r="AG76" t="n">
        <v>2122</v>
      </c>
      <c r="AH76" t="inlineStr">
        <is>
          <t>PT. SINAR PADANG LESTARI - PPN (PDG)</t>
        </is>
      </c>
      <c r="AI76" t="n">
        <v>1161</v>
      </c>
      <c r="AJ76" t="inlineStr">
        <is>
          <t>AUTUMN PURE NATURE</t>
        </is>
      </c>
      <c r="AK76" t="n">
        <v>21</v>
      </c>
      <c r="AL76" t="inlineStr">
        <is>
          <t>Miss Glam Damar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AUTUMN PURE NATURE</t>
        </is>
      </c>
      <c r="B77" s="2">
        <f>"8997031153527"</f>
        <v/>
      </c>
      <c r="C77" t="inlineStr">
        <is>
          <t>AUTUMN PURE NATURE Centella Asiatica</t>
        </is>
      </c>
      <c r="D77" t="inlineStr">
        <is>
          <t>Miss Glam Damar</t>
        </is>
      </c>
      <c r="E77" t="n">
        <v>3</v>
      </c>
      <c r="F77" t="n">
        <v>0.06370000000000001</v>
      </c>
      <c r="G77" t="n">
        <v>0.91</v>
      </c>
      <c r="H77" t="n">
        <v>3</v>
      </c>
      <c r="I77" t="n">
        <v>11</v>
      </c>
      <c r="J77" t="n">
        <v>3</v>
      </c>
      <c r="K77" t="n">
        <v>0</v>
      </c>
      <c r="L77" t="n">
        <v>36000</v>
      </c>
      <c r="M77" t="n">
        <v>48000</v>
      </c>
      <c r="N77" t="n">
        <v>91</v>
      </c>
      <c r="O77" t="n">
        <v>0.91</v>
      </c>
      <c r="P77" t="n">
        <v>1</v>
      </c>
      <c r="Q77" t="n">
        <v>0.03</v>
      </c>
      <c r="R77" t="n">
        <v>1</v>
      </c>
      <c r="S77" t="n">
        <v>3057.6</v>
      </c>
      <c r="T77" t="n">
        <v>10</v>
      </c>
      <c r="U77" t="n">
        <v>11</v>
      </c>
      <c r="V77" t="n">
        <v>30</v>
      </c>
      <c r="W77" t="n">
        <v>2</v>
      </c>
      <c r="X77" t="n">
        <v>47.09576138147566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12765</v>
      </c>
      <c r="AG77" t="n">
        <v>2122</v>
      </c>
      <c r="AH77" t="inlineStr">
        <is>
          <t>PT. SINAR PADANG LESTARI - PPN (PDG)</t>
        </is>
      </c>
      <c r="AI77" t="n">
        <v>1161</v>
      </c>
      <c r="AJ77" t="inlineStr">
        <is>
          <t>AUTUMN PURE NATURE</t>
        </is>
      </c>
      <c r="AK77" t="n">
        <v>21</v>
      </c>
      <c r="AL77" t="inlineStr">
        <is>
          <t>Miss Glam Damar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AUTUMN PURE NATURE</t>
        </is>
      </c>
      <c r="B78" s="2">
        <f>"10200160634"</f>
        <v/>
      </c>
      <c r="C78" t="inlineStr">
        <is>
          <t>AUTUMN PURE NATURE Glycolic Acid 7% Toning Solution Exfoliating Toner 500ml</t>
        </is>
      </c>
      <c r="D78" t="inlineStr">
        <is>
          <t>Miss Glam Damar</t>
        </is>
      </c>
      <c r="E78" t="n">
        <v>28</v>
      </c>
      <c r="F78" t="n">
        <v>1.82</v>
      </c>
      <c r="G78" t="n">
        <v>6.37</v>
      </c>
      <c r="H78" t="n">
        <v>3</v>
      </c>
      <c r="I78" t="n">
        <v>11</v>
      </c>
      <c r="J78" t="n">
        <v>1</v>
      </c>
      <c r="K78" t="n">
        <v>0</v>
      </c>
      <c r="L78" t="n">
        <v>54000</v>
      </c>
      <c r="M78" t="n">
        <v>64000</v>
      </c>
      <c r="N78" t="n">
        <v>91</v>
      </c>
      <c r="O78" t="n">
        <v>0.91</v>
      </c>
      <c r="P78" t="n">
        <v>1</v>
      </c>
      <c r="Q78" t="n">
        <v>1.2</v>
      </c>
      <c r="R78" t="n">
        <v>5</v>
      </c>
      <c r="S78" t="n">
        <v>116480</v>
      </c>
      <c r="T78" t="n">
        <v>65</v>
      </c>
      <c r="U78" t="n">
        <v>71</v>
      </c>
      <c r="V78" t="n">
        <v>30</v>
      </c>
      <c r="W78" t="n">
        <v>55</v>
      </c>
      <c r="X78" t="n">
        <v>15.38461538461538</v>
      </c>
      <c r="Y78" t="n">
        <v>1</v>
      </c>
      <c r="Z78" t="n">
        <v>27</v>
      </c>
      <c r="AA78" t="n">
        <v>0</v>
      </c>
      <c r="AB78" t="n">
        <v>27</v>
      </c>
      <c r="AC78" t="n">
        <v>27</v>
      </c>
      <c r="AD78" t="n">
        <v>0</v>
      </c>
      <c r="AE78" t="n">
        <v>1458000</v>
      </c>
      <c r="AF78" t="n">
        <v>12765</v>
      </c>
      <c r="AG78" t="n">
        <v>2122</v>
      </c>
      <c r="AH78" t="inlineStr">
        <is>
          <t>PT. SINAR PADANG LESTARI - PPN (PDG)</t>
        </is>
      </c>
      <c r="AI78" t="n">
        <v>1161</v>
      </c>
      <c r="AJ78" t="inlineStr">
        <is>
          <t>AUTUMN PURE NATURE</t>
        </is>
      </c>
      <c r="AK78" t="n">
        <v>21</v>
      </c>
      <c r="AL78" t="inlineStr">
        <is>
          <t>Miss Glam Damar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AUTUMN PURE NATURE</t>
        </is>
      </c>
      <c r="B79" s="2">
        <f>"8997031153541"</f>
        <v/>
      </c>
      <c r="C79" t="inlineStr">
        <is>
          <t>AUTUMN PURE NATURE Skin Conditioner Toner With Hatomugi Extract 100ml</t>
        </is>
      </c>
      <c r="D79" t="inlineStr">
        <is>
          <t>Miss Glam Damar</t>
        </is>
      </c>
      <c r="E79" t="n">
        <v>1</v>
      </c>
      <c r="F79" t="n">
        <v>0.9282</v>
      </c>
      <c r="G79" t="n">
        <v>3.64</v>
      </c>
      <c r="H79" t="n">
        <v>3</v>
      </c>
      <c r="I79" t="n">
        <v>11</v>
      </c>
      <c r="J79" t="n">
        <v>3</v>
      </c>
      <c r="K79" t="n">
        <v>0</v>
      </c>
      <c r="L79" t="n">
        <v>14400</v>
      </c>
      <c r="M79" t="n">
        <v>18800</v>
      </c>
      <c r="N79" t="n">
        <v>91</v>
      </c>
      <c r="O79" t="n">
        <v>0.91</v>
      </c>
      <c r="P79" t="n">
        <v>1</v>
      </c>
      <c r="Q79" t="n">
        <v>0.66</v>
      </c>
      <c r="R79" t="n">
        <v>3</v>
      </c>
      <c r="S79" t="n">
        <v>17450.16</v>
      </c>
      <c r="T79" t="n">
        <v>38</v>
      </c>
      <c r="U79" t="n">
        <v>41</v>
      </c>
      <c r="V79" t="n">
        <v>30</v>
      </c>
      <c r="W79" t="n">
        <v>28</v>
      </c>
      <c r="X79" t="n">
        <v>1.077354018530489</v>
      </c>
      <c r="Y79" t="n">
        <v>1</v>
      </c>
      <c r="Z79" t="n">
        <v>27</v>
      </c>
      <c r="AA79" t="n">
        <v>10</v>
      </c>
      <c r="AB79" t="n">
        <v>17</v>
      </c>
      <c r="AC79" t="n">
        <v>17</v>
      </c>
      <c r="AD79" t="n">
        <v>144000</v>
      </c>
      <c r="AE79" t="n">
        <v>244800</v>
      </c>
      <c r="AF79" t="n">
        <v>12765</v>
      </c>
      <c r="AG79" t="n">
        <v>2122</v>
      </c>
      <c r="AH79" t="inlineStr">
        <is>
          <t>PT. SINAR PADANG LESTARI - PPN (PDG)</t>
        </is>
      </c>
      <c r="AI79" t="n">
        <v>1161</v>
      </c>
      <c r="AJ79" t="inlineStr">
        <is>
          <t>AUTUMN PURE NATURE</t>
        </is>
      </c>
      <c r="AK79" t="n">
        <v>21</v>
      </c>
      <c r="AL79" t="inlineStr">
        <is>
          <t>Miss Glam Damar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AUTUMN PURE NATURE</t>
        </is>
      </c>
      <c r="B80" s="2">
        <f>"10200154156"</f>
        <v/>
      </c>
      <c r="C80" t="inlineStr">
        <is>
          <t>AUTUMN PURE NATURE Skin Conditioner Toner With Hatomugi Extract 500ml Kuromi Edition</t>
        </is>
      </c>
      <c r="D80" t="inlineStr">
        <is>
          <t>Miss Glam Damar</t>
        </is>
      </c>
      <c r="E80" t="n">
        <v>19</v>
      </c>
      <c r="F80" t="n">
        <v>0.4641</v>
      </c>
      <c r="G80" t="n">
        <v>1.82</v>
      </c>
      <c r="H80" t="n">
        <v>3</v>
      </c>
      <c r="I80" t="n">
        <v>11</v>
      </c>
      <c r="J80" t="n">
        <v>3</v>
      </c>
      <c r="K80" t="n">
        <v>0</v>
      </c>
      <c r="L80" t="n">
        <v>34200</v>
      </c>
      <c r="M80" t="n">
        <v>40500</v>
      </c>
      <c r="N80" t="n">
        <v>91</v>
      </c>
      <c r="O80" t="n">
        <v>0.91</v>
      </c>
      <c r="P80" t="n">
        <v>1</v>
      </c>
      <c r="Q80" t="n">
        <v>0.27</v>
      </c>
      <c r="R80" t="n">
        <v>1</v>
      </c>
      <c r="S80" t="n">
        <v>18796.05</v>
      </c>
      <c r="T80" t="n">
        <v>19</v>
      </c>
      <c r="U80" t="n">
        <v>21</v>
      </c>
      <c r="V80" t="n">
        <v>30</v>
      </c>
      <c r="W80" t="n">
        <v>14</v>
      </c>
      <c r="X80" t="n">
        <v>40.93945270415858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12765</v>
      </c>
      <c r="AG80" t="n">
        <v>2122</v>
      </c>
      <c r="AH80" t="inlineStr">
        <is>
          <t>PT. SINAR PADANG LESTARI - PPN (PDG)</t>
        </is>
      </c>
      <c r="AI80" t="n">
        <v>1161</v>
      </c>
      <c r="AJ80" t="inlineStr">
        <is>
          <t>AUTUMN PURE NATURE</t>
        </is>
      </c>
      <c r="AK80" t="n">
        <v>21</v>
      </c>
      <c r="AL80" t="inlineStr">
        <is>
          <t>Miss Glam Damar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AUTUMN PURE NATURE</t>
        </is>
      </c>
      <c r="B81" s="2">
        <f>"8997031154029"</f>
        <v/>
      </c>
      <c r="C81" t="inlineStr">
        <is>
          <t>AUTUMN PURE NATURE Toner Centella Asiatica 100ml</t>
        </is>
      </c>
      <c r="D81" t="inlineStr">
        <is>
          <t>Miss Glam Damar</t>
        </is>
      </c>
      <c r="E81" t="n">
        <v>7</v>
      </c>
      <c r="F81" t="n">
        <v>0.2184</v>
      </c>
      <c r="G81" t="n">
        <v>2.73</v>
      </c>
      <c r="H81" t="n">
        <v>3</v>
      </c>
      <c r="I81" t="n">
        <v>11</v>
      </c>
      <c r="J81" t="n">
        <v>3</v>
      </c>
      <c r="K81" t="n">
        <v>0</v>
      </c>
      <c r="L81" t="n">
        <v>14400</v>
      </c>
      <c r="M81" t="n">
        <v>18000</v>
      </c>
      <c r="N81" t="n">
        <v>91</v>
      </c>
      <c r="O81" t="n">
        <v>0.91</v>
      </c>
      <c r="P81" t="n">
        <v>1</v>
      </c>
      <c r="Q81" t="n">
        <v>0.2</v>
      </c>
      <c r="R81" t="n">
        <v>2</v>
      </c>
      <c r="S81" t="n">
        <v>3931.2</v>
      </c>
      <c r="T81" t="n">
        <v>30</v>
      </c>
      <c r="U81" t="n">
        <v>31</v>
      </c>
      <c r="V81" t="n">
        <v>30</v>
      </c>
      <c r="W81" t="n">
        <v>7</v>
      </c>
      <c r="X81" t="n">
        <v>32.05128205128205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12765</v>
      </c>
      <c r="AG81" t="n">
        <v>2122</v>
      </c>
      <c r="AH81" t="inlineStr">
        <is>
          <t>PT. SINAR PADANG LESTARI - PPN (PDG)</t>
        </is>
      </c>
      <c r="AI81" t="n">
        <v>1161</v>
      </c>
      <c r="AJ81" t="inlineStr">
        <is>
          <t>AUTUMN PURE NATURE</t>
        </is>
      </c>
      <c r="AK81" t="n">
        <v>21</v>
      </c>
      <c r="AL81" t="inlineStr">
        <is>
          <t>Miss Glam Damar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AVEENO</t>
        </is>
      </c>
      <c r="B82" s="2">
        <f>"8801008600061"</f>
        <v/>
      </c>
      <c r="C82" t="inlineStr">
        <is>
          <t>AVEENO BOdy Lotion  Soothing&amp;Calming  354ml</t>
        </is>
      </c>
      <c r="D82" t="inlineStr">
        <is>
          <t>Miss Glam Damar</t>
        </is>
      </c>
      <c r="E82" t="n">
        <v>3</v>
      </c>
      <c r="F82" t="n">
        <v>0.0182</v>
      </c>
      <c r="G82" t="n">
        <v>0.91</v>
      </c>
      <c r="H82" t="n">
        <v>4</v>
      </c>
      <c r="I82" t="n">
        <v>21</v>
      </c>
      <c r="J82" t="n">
        <v>3</v>
      </c>
      <c r="K82" t="n">
        <v>0</v>
      </c>
      <c r="L82" t="n">
        <v>165291</v>
      </c>
      <c r="M82" t="n">
        <v>246500</v>
      </c>
      <c r="N82" t="n">
        <v>91</v>
      </c>
      <c r="O82" t="n">
        <v>0.91</v>
      </c>
      <c r="P82" t="n">
        <v>1</v>
      </c>
      <c r="Q82" t="n">
        <v>0.02</v>
      </c>
      <c r="R82" t="n">
        <v>1</v>
      </c>
      <c r="S82" t="n">
        <v>4486.3</v>
      </c>
      <c r="T82" t="n">
        <v>20</v>
      </c>
      <c r="U82" t="n">
        <v>21</v>
      </c>
      <c r="V82" t="n">
        <v>30</v>
      </c>
      <c r="W82" t="n">
        <v>1</v>
      </c>
      <c r="X82" t="n">
        <v>164.8351648351648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3059</v>
      </c>
      <c r="AG82" t="n">
        <v>1</v>
      </c>
      <c r="AH82" t="inlineStr">
        <is>
          <t>PT. BERSAMA DISTRIVERSA INDONESIA (DC CIPUTAT)</t>
        </is>
      </c>
      <c r="AI82" t="n">
        <v>37</v>
      </c>
      <c r="AJ82" t="inlineStr">
        <is>
          <t>AVEENO</t>
        </is>
      </c>
      <c r="AK82" t="n">
        <v>21</v>
      </c>
      <c r="AL82" t="inlineStr">
        <is>
          <t>Miss Glam Damar</t>
        </is>
      </c>
      <c r="AM82" t="n">
        <v>4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AVEENO</t>
        </is>
      </c>
      <c r="B83" s="2">
        <f>"381370036463"</f>
        <v/>
      </c>
      <c r="C83" t="inlineStr">
        <is>
          <t>AVEENO Body Wash Relief Skin 354ml</t>
        </is>
      </c>
      <c r="D83" t="inlineStr">
        <is>
          <t>Miss Glam Damar</t>
        </is>
      </c>
      <c r="E83" t="n">
        <v>2</v>
      </c>
      <c r="F83" t="n">
        <v>0.03</v>
      </c>
      <c r="G83" t="n">
        <v>1</v>
      </c>
      <c r="H83" t="n">
        <v>4</v>
      </c>
      <c r="I83" t="n">
        <v>21</v>
      </c>
      <c r="J83" t="n">
        <v>3</v>
      </c>
      <c r="K83" t="n">
        <v>0</v>
      </c>
      <c r="L83" t="n">
        <v>153755</v>
      </c>
      <c r="M83" t="n">
        <v>181000</v>
      </c>
      <c r="N83" t="n">
        <v>91</v>
      </c>
      <c r="O83" t="n">
        <v>0.91</v>
      </c>
      <c r="P83" t="n">
        <v>0</v>
      </c>
      <c r="Q83" t="n">
        <v>0.03</v>
      </c>
      <c r="R83" t="n">
        <v>1</v>
      </c>
      <c r="S83" t="n">
        <v>5430</v>
      </c>
      <c r="T83" t="n">
        <v>21</v>
      </c>
      <c r="U83" t="n">
        <v>22</v>
      </c>
      <c r="V83" t="n">
        <v>30</v>
      </c>
      <c r="W83" t="n">
        <v>1</v>
      </c>
      <c r="X83" t="n">
        <v>66.66666666666667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3059</v>
      </c>
      <c r="AG83" t="n">
        <v>1</v>
      </c>
      <c r="AH83" t="inlineStr">
        <is>
          <t>PT. BERSAMA DISTRIVERSA INDONESIA (DC CIPUTAT)</t>
        </is>
      </c>
      <c r="AI83" t="n">
        <v>37</v>
      </c>
      <c r="AJ83" t="inlineStr">
        <is>
          <t>AVEENO</t>
        </is>
      </c>
      <c r="AK83" t="n">
        <v>21</v>
      </c>
      <c r="AL83" t="inlineStr">
        <is>
          <t>Miss Glam Damar</t>
        </is>
      </c>
      <c r="AM83" t="n">
        <v>4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AVEENO</t>
        </is>
      </c>
      <c r="B84" s="2">
        <f>"8801108003946"</f>
        <v/>
      </c>
      <c r="C84" t="inlineStr">
        <is>
          <t>AVEENO Daily Moisturizing Energizing Lotion 354ml</t>
        </is>
      </c>
      <c r="D84" t="inlineStr">
        <is>
          <t>Miss Glam Damar</t>
        </is>
      </c>
      <c r="E84" t="n">
        <v>4</v>
      </c>
      <c r="F84" t="n">
        <v>0.03</v>
      </c>
      <c r="G84" t="n">
        <v>1</v>
      </c>
      <c r="H84" t="n">
        <v>4</v>
      </c>
      <c r="I84" t="n">
        <v>21</v>
      </c>
      <c r="J84" t="n">
        <v>3</v>
      </c>
      <c r="K84" t="n">
        <v>0</v>
      </c>
      <c r="L84" t="n">
        <v>175646</v>
      </c>
      <c r="M84" t="n">
        <v>246500</v>
      </c>
      <c r="N84" t="n">
        <v>91</v>
      </c>
      <c r="O84" t="n">
        <v>0.91</v>
      </c>
      <c r="P84" t="n">
        <v>0</v>
      </c>
      <c r="Q84" t="n">
        <v>0.03</v>
      </c>
      <c r="R84" t="n">
        <v>1</v>
      </c>
      <c r="S84" t="n">
        <v>7395</v>
      </c>
      <c r="T84" t="n">
        <v>21</v>
      </c>
      <c r="U84" t="n">
        <v>22</v>
      </c>
      <c r="V84" t="n">
        <v>30</v>
      </c>
      <c r="W84" t="n">
        <v>1</v>
      </c>
      <c r="X84" t="n">
        <v>133.3333333333333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3059</v>
      </c>
      <c r="AG84" t="n">
        <v>1</v>
      </c>
      <c r="AH84" t="inlineStr">
        <is>
          <t>PT. BERSAMA DISTRIVERSA INDONESIA (DC CIPUTAT)</t>
        </is>
      </c>
      <c r="AI84" t="n">
        <v>37</v>
      </c>
      <c r="AJ84" t="inlineStr">
        <is>
          <t>AVEENO</t>
        </is>
      </c>
      <c r="AK84" t="n">
        <v>21</v>
      </c>
      <c r="AL84" t="inlineStr">
        <is>
          <t>Miss Glam Damar</t>
        </is>
      </c>
      <c r="AM84" t="n">
        <v>4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AVEENO</t>
        </is>
      </c>
      <c r="B85" s="2">
        <f>"062600061577"</f>
        <v/>
      </c>
      <c r="C85" t="inlineStr">
        <is>
          <t>AVEENO Daily Moisturizing Lotion 71ml</t>
        </is>
      </c>
      <c r="D85" t="inlineStr">
        <is>
          <t>Miss Glam Damar</t>
        </is>
      </c>
      <c r="E85" t="n">
        <v>3</v>
      </c>
      <c r="F85" t="n">
        <v>0.03</v>
      </c>
      <c r="G85" t="n">
        <v>1</v>
      </c>
      <c r="H85" t="n">
        <v>4</v>
      </c>
      <c r="I85" t="n">
        <v>21</v>
      </c>
      <c r="J85" t="n">
        <v>3</v>
      </c>
      <c r="K85" t="n">
        <v>0</v>
      </c>
      <c r="L85" t="n">
        <v>72886</v>
      </c>
      <c r="M85" t="n">
        <v>100500</v>
      </c>
      <c r="N85" t="n">
        <v>91</v>
      </c>
      <c r="O85" t="n">
        <v>0.91</v>
      </c>
      <c r="P85" t="n">
        <v>0</v>
      </c>
      <c r="Q85" t="n">
        <v>0.03</v>
      </c>
      <c r="R85" t="n">
        <v>1</v>
      </c>
      <c r="S85" t="n">
        <v>3015</v>
      </c>
      <c r="T85" t="n">
        <v>21</v>
      </c>
      <c r="U85" t="n">
        <v>22</v>
      </c>
      <c r="V85" t="n">
        <v>30</v>
      </c>
      <c r="W85" t="n">
        <v>1</v>
      </c>
      <c r="X85" t="n">
        <v>100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3059</v>
      </c>
      <c r="AG85" t="n">
        <v>1</v>
      </c>
      <c r="AH85" t="inlineStr">
        <is>
          <t>PT. BERSAMA DISTRIVERSA INDONESIA (DC CIPUTAT)</t>
        </is>
      </c>
      <c r="AI85" t="n">
        <v>37</v>
      </c>
      <c r="AJ85" t="inlineStr">
        <is>
          <t>AVEENO</t>
        </is>
      </c>
      <c r="AK85" t="n">
        <v>21</v>
      </c>
      <c r="AL85" t="inlineStr">
        <is>
          <t>Miss Glam Damar</t>
        </is>
      </c>
      <c r="AM85" t="n">
        <v>4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AVEENO</t>
        </is>
      </c>
      <c r="B86" s="2">
        <f>"8801008600030"</f>
        <v/>
      </c>
      <c r="C86" t="inlineStr">
        <is>
          <t>AVEENO Skin Relief  Body Lotion 354ml</t>
        </is>
      </c>
      <c r="D86" t="inlineStr">
        <is>
          <t>Miss Glam Damar</t>
        </is>
      </c>
      <c r="E86" t="n">
        <v>1</v>
      </c>
      <c r="F86" t="n">
        <v>0.03</v>
      </c>
      <c r="G86" t="n">
        <v>1</v>
      </c>
      <c r="H86" t="n">
        <v>4</v>
      </c>
      <c r="I86" t="n">
        <v>21</v>
      </c>
      <c r="J86" t="n">
        <v>3</v>
      </c>
      <c r="K86" t="n">
        <v>0</v>
      </c>
      <c r="L86" t="n">
        <v>229493</v>
      </c>
      <c r="M86" t="n">
        <v>325000</v>
      </c>
      <c r="N86" t="n">
        <v>91</v>
      </c>
      <c r="O86" t="n">
        <v>0.91</v>
      </c>
      <c r="P86" t="n">
        <v>0</v>
      </c>
      <c r="Q86" t="n">
        <v>0.03</v>
      </c>
      <c r="R86" t="n">
        <v>1</v>
      </c>
      <c r="S86" t="n">
        <v>9750</v>
      </c>
      <c r="T86" t="n">
        <v>21</v>
      </c>
      <c r="U86" t="n">
        <v>22</v>
      </c>
      <c r="V86" t="n">
        <v>30</v>
      </c>
      <c r="W86" t="n">
        <v>1</v>
      </c>
      <c r="X86" t="n">
        <v>33.33333333333334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3059</v>
      </c>
      <c r="AG86" t="n">
        <v>1</v>
      </c>
      <c r="AH86" t="inlineStr">
        <is>
          <t>PT. BERSAMA DISTRIVERSA INDONESIA (DC CIPUTAT)</t>
        </is>
      </c>
      <c r="AI86" t="n">
        <v>37</v>
      </c>
      <c r="AJ86" t="inlineStr">
        <is>
          <t>AVEENO</t>
        </is>
      </c>
      <c r="AK86" t="n">
        <v>21</v>
      </c>
      <c r="AL86" t="inlineStr">
        <is>
          <t>Miss Glam Damar</t>
        </is>
      </c>
      <c r="AM86" t="n">
        <v>4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AVEENO</t>
        </is>
      </c>
      <c r="B87" s="2">
        <f>"4801010652106"</f>
        <v/>
      </c>
      <c r="C87" t="inlineStr">
        <is>
          <t>AVEENO Skin Relief Body Lotion 71ml</t>
        </is>
      </c>
      <c r="D87" t="inlineStr">
        <is>
          <t>Miss Glam Damar</t>
        </is>
      </c>
      <c r="E87" t="n">
        <v>2</v>
      </c>
      <c r="F87" t="n">
        <v>0.0182</v>
      </c>
      <c r="G87" t="n">
        <v>0.91</v>
      </c>
      <c r="H87" t="n">
        <v>4</v>
      </c>
      <c r="I87" t="n">
        <v>21</v>
      </c>
      <c r="J87" t="n">
        <v>3</v>
      </c>
      <c r="K87" t="n">
        <v>0</v>
      </c>
      <c r="L87" t="n">
        <v>80946</v>
      </c>
      <c r="M87" t="n">
        <v>111500</v>
      </c>
      <c r="N87" t="n">
        <v>91</v>
      </c>
      <c r="O87" t="n">
        <v>0.91</v>
      </c>
      <c r="P87" t="n">
        <v>1</v>
      </c>
      <c r="Q87" t="n">
        <v>0.03</v>
      </c>
      <c r="R87" t="n">
        <v>1</v>
      </c>
      <c r="S87" t="n">
        <v>2029.3</v>
      </c>
      <c r="T87" t="n">
        <v>20</v>
      </c>
      <c r="U87" t="n">
        <v>21</v>
      </c>
      <c r="V87" t="n">
        <v>30</v>
      </c>
      <c r="W87" t="n">
        <v>1</v>
      </c>
      <c r="X87" t="n">
        <v>109.8901098901099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3059</v>
      </c>
      <c r="AG87" t="n">
        <v>1</v>
      </c>
      <c r="AH87" t="inlineStr">
        <is>
          <t>PT. BERSAMA DISTRIVERSA INDONESIA (DC CIPUTAT)</t>
        </is>
      </c>
      <c r="AI87" t="n">
        <v>37</v>
      </c>
      <c r="AJ87" t="inlineStr">
        <is>
          <t>AVEENO</t>
        </is>
      </c>
      <c r="AK87" t="n">
        <v>21</v>
      </c>
      <c r="AL87" t="inlineStr">
        <is>
          <t>Miss Glam Damar</t>
        </is>
      </c>
      <c r="AM87" t="n">
        <v>4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AVEENO</t>
        </is>
      </c>
      <c r="B88" s="2">
        <f>"062600060488"</f>
        <v/>
      </c>
      <c r="C88" t="inlineStr">
        <is>
          <t>AVEENO Soothing&amp;Calming Body Wash   354 ml</t>
        </is>
      </c>
      <c r="D88" t="inlineStr">
        <is>
          <t>Miss Glam Damar</t>
        </is>
      </c>
      <c r="E88" t="n">
        <v>1</v>
      </c>
      <c r="F88" t="n">
        <v>0.03</v>
      </c>
      <c r="G88" t="n">
        <v>1</v>
      </c>
      <c r="H88" t="n">
        <v>4</v>
      </c>
      <c r="I88" t="n">
        <v>21</v>
      </c>
      <c r="J88" t="n">
        <v>3</v>
      </c>
      <c r="K88" t="n">
        <v>0</v>
      </c>
      <c r="L88" t="n">
        <v>132687</v>
      </c>
      <c r="M88" t="n">
        <v>159000</v>
      </c>
      <c r="N88" t="n">
        <v>91</v>
      </c>
      <c r="O88" t="n">
        <v>0.91</v>
      </c>
      <c r="P88" t="n">
        <v>0</v>
      </c>
      <c r="Q88" t="n">
        <v>0.03</v>
      </c>
      <c r="R88" t="n">
        <v>1</v>
      </c>
      <c r="S88" t="n">
        <v>4770</v>
      </c>
      <c r="T88" t="n">
        <v>21</v>
      </c>
      <c r="U88" t="n">
        <v>22</v>
      </c>
      <c r="V88" t="n">
        <v>30</v>
      </c>
      <c r="W88" t="n">
        <v>1</v>
      </c>
      <c r="X88" t="n">
        <v>33.33333333333334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3059</v>
      </c>
      <c r="AG88" t="n">
        <v>1</v>
      </c>
      <c r="AH88" t="inlineStr">
        <is>
          <t>PT. BERSAMA DISTRIVERSA INDONESIA (DC CIPUTAT)</t>
        </is>
      </c>
      <c r="AI88" t="n">
        <v>37</v>
      </c>
      <c r="AJ88" t="inlineStr">
        <is>
          <t>AVEENO</t>
        </is>
      </c>
      <c r="AK88" t="n">
        <v>21</v>
      </c>
      <c r="AL88" t="inlineStr">
        <is>
          <t>Miss Glam Damar</t>
        </is>
      </c>
      <c r="AM88" t="n">
        <v>4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AVERO</t>
        </is>
      </c>
      <c r="B89" s="2">
        <f>"8994449310030"</f>
        <v/>
      </c>
      <c r="C89" t="inlineStr">
        <is>
          <t>AVERO Natural Deodorant Balm Lemon 30gr</t>
        </is>
      </c>
      <c r="D89" t="inlineStr">
        <is>
          <t>Miss Glam Damar</t>
        </is>
      </c>
      <c r="E89" t="n">
        <v>5</v>
      </c>
      <c r="F89" t="n">
        <v>0.08</v>
      </c>
      <c r="G89" t="n">
        <v>1</v>
      </c>
      <c r="H89" t="n">
        <v>4</v>
      </c>
      <c r="I89" t="n">
        <v>21</v>
      </c>
      <c r="J89" t="n">
        <v>3</v>
      </c>
      <c r="K89" t="n">
        <v>0</v>
      </c>
      <c r="L89" t="n">
        <v>31000</v>
      </c>
      <c r="M89" t="n">
        <v>57000</v>
      </c>
      <c r="N89" t="n">
        <v>91</v>
      </c>
      <c r="O89" t="n">
        <v>0.91</v>
      </c>
      <c r="P89" t="n">
        <v>0</v>
      </c>
      <c r="Q89" t="n">
        <v>0.08</v>
      </c>
      <c r="R89" t="n">
        <v>1</v>
      </c>
      <c r="S89" t="n">
        <v>4560</v>
      </c>
      <c r="T89" t="n">
        <v>21</v>
      </c>
      <c r="U89" t="n">
        <v>22</v>
      </c>
      <c r="V89" t="n">
        <v>30</v>
      </c>
      <c r="W89" t="n">
        <v>3</v>
      </c>
      <c r="X89" t="n">
        <v>62.5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3092</v>
      </c>
      <c r="AG89" t="n">
        <v>1</v>
      </c>
      <c r="AH89" t="inlineStr">
        <is>
          <t>PT. BERSAMA DISTRIVERSA INDONESIA (DC CIPUTAT)</t>
        </is>
      </c>
      <c r="AI89" t="n">
        <v>1152</v>
      </c>
      <c r="AJ89" t="inlineStr">
        <is>
          <t>AVERO</t>
        </is>
      </c>
      <c r="AK89" t="n">
        <v>21</v>
      </c>
      <c r="AL89" t="inlineStr">
        <is>
          <t>Miss Glam Damar</t>
        </is>
      </c>
      <c r="AM89" t="n">
        <v>3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AVERO</t>
        </is>
      </c>
      <c r="B90" s="2">
        <f>"8994449310016"</f>
        <v/>
      </c>
      <c r="C90" t="inlineStr">
        <is>
          <t>AVERO Natural Deodorant Balm Plain 30gr</t>
        </is>
      </c>
      <c r="D90" t="inlineStr">
        <is>
          <t>Miss Glam Damar</t>
        </is>
      </c>
      <c r="E90" t="n">
        <v>0</v>
      </c>
      <c r="F90" t="n">
        <v>0.07000000000000001</v>
      </c>
      <c r="G90" t="n">
        <v>1</v>
      </c>
      <c r="H90" t="n">
        <v>4</v>
      </c>
      <c r="I90" t="n">
        <v>21</v>
      </c>
      <c r="J90" t="n">
        <v>3</v>
      </c>
      <c r="K90" t="n">
        <v>0</v>
      </c>
      <c r="L90" t="n">
        <v>32943</v>
      </c>
      <c r="M90" t="n">
        <v>57000</v>
      </c>
      <c r="N90" t="n">
        <v>91</v>
      </c>
      <c r="O90" t="n">
        <v>0.91</v>
      </c>
      <c r="P90" t="n">
        <v>0</v>
      </c>
      <c r="Q90" t="n">
        <v>0.07000000000000001</v>
      </c>
      <c r="R90" t="n">
        <v>1</v>
      </c>
      <c r="S90" t="n">
        <v>3990</v>
      </c>
      <c r="T90" t="n">
        <v>21</v>
      </c>
      <c r="U90" t="n">
        <v>22</v>
      </c>
      <c r="V90" t="n">
        <v>30</v>
      </c>
      <c r="W90" t="n">
        <v>3</v>
      </c>
      <c r="X90" t="n">
        <v>0</v>
      </c>
      <c r="Y90" t="n">
        <v>1</v>
      </c>
      <c r="Z90" t="n">
        <v>3</v>
      </c>
      <c r="AA90" t="n">
        <v>2</v>
      </c>
      <c r="AB90" t="n">
        <v>1</v>
      </c>
      <c r="AC90" t="n">
        <v>3</v>
      </c>
      <c r="AD90" t="n">
        <v>65886</v>
      </c>
      <c r="AE90" t="n">
        <v>98829</v>
      </c>
      <c r="AF90" t="n">
        <v>3092</v>
      </c>
      <c r="AG90" t="n">
        <v>1</v>
      </c>
      <c r="AH90" t="inlineStr">
        <is>
          <t>PT. BERSAMA DISTRIVERSA INDONESIA (DC CIPUTAT)</t>
        </is>
      </c>
      <c r="AI90" t="n">
        <v>1152</v>
      </c>
      <c r="AJ90" t="inlineStr">
        <is>
          <t>AVERO</t>
        </is>
      </c>
      <c r="AK90" t="n">
        <v>21</v>
      </c>
      <c r="AL90" t="inlineStr">
        <is>
          <t>Miss Glam Damar</t>
        </is>
      </c>
      <c r="AM90" t="n">
        <v>3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AVOSKIN</t>
        </is>
      </c>
      <c r="B91" s="2">
        <f>"8997239320431"</f>
        <v/>
      </c>
      <c r="C91" t="inlineStr">
        <is>
          <t>AVOSKIN Advanced Action Eye Ampoule 12ml</t>
        </is>
      </c>
      <c r="D91" t="inlineStr">
        <is>
          <t>Miss Glam Damar</t>
        </is>
      </c>
      <c r="E91" t="n">
        <v>1</v>
      </c>
      <c r="F91" t="n">
        <v>0.02</v>
      </c>
      <c r="G91" t="n">
        <v>1</v>
      </c>
      <c r="H91" t="n">
        <v>4</v>
      </c>
      <c r="I91" t="n">
        <v>21</v>
      </c>
      <c r="J91" t="n">
        <v>3</v>
      </c>
      <c r="K91" t="n">
        <v>0</v>
      </c>
      <c r="L91" t="n">
        <v>175200</v>
      </c>
      <c r="M91" t="n">
        <v>219000</v>
      </c>
      <c r="N91" t="n">
        <v>91</v>
      </c>
      <c r="O91" t="n">
        <v>0.91</v>
      </c>
      <c r="P91" t="n">
        <v>0</v>
      </c>
      <c r="Q91" t="n">
        <v>0.02</v>
      </c>
      <c r="R91" t="n">
        <v>1</v>
      </c>
      <c r="S91" t="n">
        <v>4380</v>
      </c>
      <c r="T91" t="n">
        <v>21</v>
      </c>
      <c r="U91" t="n">
        <v>22</v>
      </c>
      <c r="V91" t="n">
        <v>30</v>
      </c>
      <c r="W91" t="n">
        <v>1</v>
      </c>
      <c r="X91" t="n">
        <v>50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3125</v>
      </c>
      <c r="AG91" t="n">
        <v>1</v>
      </c>
      <c r="AH91" t="inlineStr">
        <is>
          <t>PT. BERSAMA DISTRIVERSA INDONESIA (DC CIPUTAT)</t>
        </is>
      </c>
      <c r="AI91" t="n">
        <v>320</v>
      </c>
      <c r="AJ91" t="inlineStr">
        <is>
          <t>AVOSKIN</t>
        </is>
      </c>
      <c r="AK91" t="n">
        <v>21</v>
      </c>
      <c r="AL91" t="inlineStr">
        <is>
          <t>Miss Glam Damar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AVOSKIN</t>
        </is>
      </c>
      <c r="B92" s="2">
        <f>"8997239320233"</f>
        <v/>
      </c>
      <c r="C92" t="inlineStr">
        <is>
          <t>AVOSKIN Miraculous Refining Serum 10% AHA + 3% BHA + 2% Niacinamide + Ceramide 30m</t>
        </is>
      </c>
      <c r="D92" t="inlineStr">
        <is>
          <t>Miss Glam Damar</t>
        </is>
      </c>
      <c r="E92" t="n">
        <v>4</v>
      </c>
      <c r="F92" t="n">
        <v>0.06370000000000001</v>
      </c>
      <c r="G92" t="n">
        <v>1.82</v>
      </c>
      <c r="H92" t="n">
        <v>4</v>
      </c>
      <c r="I92" t="n">
        <v>21</v>
      </c>
      <c r="J92" t="n">
        <v>3</v>
      </c>
      <c r="K92" t="n">
        <v>0</v>
      </c>
      <c r="L92" t="n">
        <v>199236</v>
      </c>
      <c r="M92" t="n">
        <v>274000</v>
      </c>
      <c r="N92" t="n">
        <v>91</v>
      </c>
      <c r="O92" t="n">
        <v>0.91</v>
      </c>
      <c r="P92" t="n">
        <v>1</v>
      </c>
      <c r="Q92" t="n">
        <v>0.02</v>
      </c>
      <c r="R92" t="n">
        <v>1</v>
      </c>
      <c r="S92" t="n">
        <v>17453.8</v>
      </c>
      <c r="T92" t="n">
        <v>38</v>
      </c>
      <c r="U92" t="n">
        <v>39</v>
      </c>
      <c r="V92" t="n">
        <v>30</v>
      </c>
      <c r="W92" t="n">
        <v>2</v>
      </c>
      <c r="X92" t="n">
        <v>62.79434850863422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3125</v>
      </c>
      <c r="AG92" t="n">
        <v>1</v>
      </c>
      <c r="AH92" t="inlineStr">
        <is>
          <t>PT. BERSAMA DISTRIVERSA INDONESIA (DC CIPUTAT)</t>
        </is>
      </c>
      <c r="AI92" t="n">
        <v>320</v>
      </c>
      <c r="AJ92" t="inlineStr">
        <is>
          <t>AVOSKIN</t>
        </is>
      </c>
      <c r="AK92" t="n">
        <v>21</v>
      </c>
      <c r="AL92" t="inlineStr">
        <is>
          <t>Miss Glam Damar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AVOSKIN</t>
        </is>
      </c>
      <c r="B93" s="2">
        <f>"8997239320417"</f>
        <v/>
      </c>
      <c r="C93" t="inlineStr">
        <is>
          <t>AVOSKIN Miraculous Retinol Ampoule 30ml</t>
        </is>
      </c>
      <c r="D93" t="inlineStr">
        <is>
          <t>Miss Glam Damar</t>
        </is>
      </c>
      <c r="E93" t="n">
        <v>3</v>
      </c>
      <c r="F93" t="n">
        <v>0.06370000000000001</v>
      </c>
      <c r="G93" t="n">
        <v>0.91</v>
      </c>
      <c r="H93" t="n">
        <v>4</v>
      </c>
      <c r="I93" t="n">
        <v>21</v>
      </c>
      <c r="J93" t="n">
        <v>3</v>
      </c>
      <c r="K93" t="n">
        <v>0</v>
      </c>
      <c r="L93" t="n">
        <v>209610</v>
      </c>
      <c r="M93" t="n">
        <v>275000</v>
      </c>
      <c r="N93" t="n">
        <v>91</v>
      </c>
      <c r="O93" t="n">
        <v>0.91</v>
      </c>
      <c r="P93" t="n">
        <v>1</v>
      </c>
      <c r="Q93" t="n">
        <v>0.02</v>
      </c>
      <c r="R93" t="n">
        <v>1</v>
      </c>
      <c r="S93" t="n">
        <v>17517.5</v>
      </c>
      <c r="T93" t="n">
        <v>19</v>
      </c>
      <c r="U93" t="n">
        <v>20</v>
      </c>
      <c r="V93" t="n">
        <v>30</v>
      </c>
      <c r="W93" t="n">
        <v>2</v>
      </c>
      <c r="X93" t="n">
        <v>47.09576138147566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3125</v>
      </c>
      <c r="AG93" t="n">
        <v>1</v>
      </c>
      <c r="AH93" t="inlineStr">
        <is>
          <t>PT. BERSAMA DISTRIVERSA INDONESIA (DC CIPUTAT)</t>
        </is>
      </c>
      <c r="AI93" t="n">
        <v>320</v>
      </c>
      <c r="AJ93" t="inlineStr">
        <is>
          <t>AVOSKIN</t>
        </is>
      </c>
      <c r="AK93" t="n">
        <v>21</v>
      </c>
      <c r="AL93" t="inlineStr">
        <is>
          <t>Miss Glam Damar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AVOSKIN</t>
        </is>
      </c>
      <c r="B94" s="2">
        <f>"8997239320486"</f>
        <v/>
      </c>
      <c r="C94" t="inlineStr">
        <is>
          <t>AVOSKIN Natural Sublime Facial Cleanser 100ml</t>
        </is>
      </c>
      <c r="D94" t="inlineStr">
        <is>
          <t>Miss Glam Damar</t>
        </is>
      </c>
      <c r="E94" t="n">
        <v>3</v>
      </c>
      <c r="F94" t="n">
        <v>0.0728</v>
      </c>
      <c r="G94" t="n">
        <v>1.82</v>
      </c>
      <c r="H94" t="n">
        <v>4</v>
      </c>
      <c r="I94" t="n">
        <v>21</v>
      </c>
      <c r="J94" t="n">
        <v>3</v>
      </c>
      <c r="K94" t="n">
        <v>0</v>
      </c>
      <c r="L94" t="n">
        <v>94512</v>
      </c>
      <c r="M94" t="n">
        <v>92000</v>
      </c>
      <c r="N94" t="n">
        <v>91</v>
      </c>
      <c r="O94" t="n">
        <v>0.91</v>
      </c>
      <c r="P94" t="n">
        <v>1</v>
      </c>
      <c r="Q94" t="n">
        <v>0.03</v>
      </c>
      <c r="R94" t="n">
        <v>1</v>
      </c>
      <c r="S94" t="n">
        <v>6697.6</v>
      </c>
      <c r="T94" t="n">
        <v>38</v>
      </c>
      <c r="U94" t="n">
        <v>39</v>
      </c>
      <c r="V94" t="n">
        <v>30</v>
      </c>
      <c r="W94" t="n">
        <v>3</v>
      </c>
      <c r="X94" t="n">
        <v>41.2087912087912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3125</v>
      </c>
      <c r="AG94" t="n">
        <v>1</v>
      </c>
      <c r="AH94" t="inlineStr">
        <is>
          <t>PT. BERSAMA DISTRIVERSA INDONESIA (DC CIPUTAT)</t>
        </is>
      </c>
      <c r="AI94" t="n">
        <v>320</v>
      </c>
      <c r="AJ94" t="inlineStr">
        <is>
          <t>AVOSKIN</t>
        </is>
      </c>
      <c r="AK94" t="n">
        <v>21</v>
      </c>
      <c r="AL94" t="inlineStr">
        <is>
          <t>Miss Glam Damar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AVOSKIN</t>
        </is>
      </c>
      <c r="B95" s="2">
        <f>"8997239320523"</f>
        <v/>
      </c>
      <c r="C95" t="inlineStr">
        <is>
          <t>AVOSKIN Your Skin Bae Alpha Arbutin 3% + Grapeseed 30ml</t>
        </is>
      </c>
      <c r="D95" t="inlineStr">
        <is>
          <t>Miss Glam Damar</t>
        </is>
      </c>
      <c r="E95" t="n">
        <v>0</v>
      </c>
      <c r="F95" t="n">
        <v>0.09100000000000001</v>
      </c>
      <c r="G95" t="n">
        <v>0.91</v>
      </c>
      <c r="H95" t="n">
        <v>4</v>
      </c>
      <c r="I95" t="n">
        <v>21</v>
      </c>
      <c r="J95" t="n">
        <v>3</v>
      </c>
      <c r="K95" t="n">
        <v>0</v>
      </c>
      <c r="L95" t="n">
        <v>113219</v>
      </c>
      <c r="M95" t="n">
        <v>153000</v>
      </c>
      <c r="N95" t="n">
        <v>91</v>
      </c>
      <c r="O95" t="n">
        <v>0.91</v>
      </c>
      <c r="P95" t="n">
        <v>1</v>
      </c>
      <c r="Q95" t="n">
        <v>0.09</v>
      </c>
      <c r="R95" t="n">
        <v>2</v>
      </c>
      <c r="S95" t="n">
        <v>13923</v>
      </c>
      <c r="T95" t="n">
        <v>19</v>
      </c>
      <c r="U95" t="n">
        <v>20</v>
      </c>
      <c r="V95" t="n">
        <v>30</v>
      </c>
      <c r="W95" t="n">
        <v>3</v>
      </c>
      <c r="X95" t="n">
        <v>0</v>
      </c>
      <c r="Y95" t="n">
        <v>1</v>
      </c>
      <c r="Z95" t="n">
        <v>3</v>
      </c>
      <c r="AA95" t="n">
        <v>2</v>
      </c>
      <c r="AB95" t="n">
        <v>1</v>
      </c>
      <c r="AC95" t="n">
        <v>3</v>
      </c>
      <c r="AD95" t="n">
        <v>226438</v>
      </c>
      <c r="AE95" t="n">
        <v>339657</v>
      </c>
      <c r="AF95" t="n">
        <v>3125</v>
      </c>
      <c r="AG95" t="n">
        <v>1</v>
      </c>
      <c r="AH95" t="inlineStr">
        <is>
          <t>PT. BERSAMA DISTRIVERSA INDONESIA (DC CIPUTAT)</t>
        </is>
      </c>
      <c r="AI95" t="n">
        <v>320</v>
      </c>
      <c r="AJ95" t="inlineStr">
        <is>
          <t>AVOSKIN</t>
        </is>
      </c>
      <c r="AK95" t="n">
        <v>21</v>
      </c>
      <c r="AL95" t="inlineStr">
        <is>
          <t>Miss Glam Damar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AVOSKIN</t>
        </is>
      </c>
      <c r="B96" s="2">
        <f>"8997239323432"</f>
        <v/>
      </c>
      <c r="C96" t="inlineStr">
        <is>
          <t>AVOSKIN Your Skin Bae Marine Collagen 10% + Ginseng Root 30ml</t>
        </is>
      </c>
      <c r="D96" t="inlineStr">
        <is>
          <t>Miss Glam Damar</t>
        </is>
      </c>
      <c r="E96" t="n">
        <v>5</v>
      </c>
      <c r="F96" t="n">
        <v>0.0273</v>
      </c>
      <c r="G96" t="n">
        <v>0.91</v>
      </c>
      <c r="H96" t="n">
        <v>4</v>
      </c>
      <c r="I96" t="n">
        <v>21</v>
      </c>
      <c r="J96" t="n">
        <v>3</v>
      </c>
      <c r="K96" t="n">
        <v>0</v>
      </c>
      <c r="L96" t="n">
        <v>108749</v>
      </c>
      <c r="M96" t="n">
        <v>138000</v>
      </c>
      <c r="N96" t="n">
        <v>91</v>
      </c>
      <c r="O96" t="n">
        <v>0.91</v>
      </c>
      <c r="P96" t="n">
        <v>1</v>
      </c>
      <c r="Q96" t="n">
        <v>0.03</v>
      </c>
      <c r="R96" t="n">
        <v>0</v>
      </c>
      <c r="S96" t="n">
        <v>3767.4</v>
      </c>
      <c r="T96" t="n">
        <v>20</v>
      </c>
      <c r="U96" t="n">
        <v>21</v>
      </c>
      <c r="V96" t="n">
        <v>30</v>
      </c>
      <c r="W96" t="n">
        <v>1</v>
      </c>
      <c r="X96" t="n">
        <v>183.1501831501832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3125</v>
      </c>
      <c r="AG96" t="n">
        <v>1</v>
      </c>
      <c r="AH96" t="inlineStr">
        <is>
          <t>PT. BERSAMA DISTRIVERSA INDONESIA (DC CIPUTAT)</t>
        </is>
      </c>
      <c r="AI96" t="n">
        <v>320</v>
      </c>
      <c r="AJ96" t="inlineStr">
        <is>
          <t>AVOSKIN</t>
        </is>
      </c>
      <c r="AK96" t="n">
        <v>21</v>
      </c>
      <c r="AL96" t="inlineStr">
        <is>
          <t>Miss Glam Damar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AVOSKIN</t>
        </is>
      </c>
      <c r="B97" s="2">
        <f>"11200150424"</f>
        <v/>
      </c>
      <c r="C97" t="inlineStr">
        <is>
          <t>AVOSKIN Your Skin Bae Niacinamide 7% + Alpha Arbutin 1% + Kale 100 ml</t>
        </is>
      </c>
      <c r="D97" t="inlineStr">
        <is>
          <t>Miss Glam Damar</t>
        </is>
      </c>
      <c r="E97" t="n">
        <v>1</v>
      </c>
      <c r="F97" t="n">
        <v>0.0273</v>
      </c>
      <c r="G97" t="n">
        <v>0.91</v>
      </c>
      <c r="H97" t="n">
        <v>4</v>
      </c>
      <c r="I97" t="n">
        <v>21</v>
      </c>
      <c r="J97" t="n">
        <v>1</v>
      </c>
      <c r="K97" t="n">
        <v>0</v>
      </c>
      <c r="L97" t="n">
        <v>118140</v>
      </c>
      <c r="M97" t="n">
        <v>151000</v>
      </c>
      <c r="N97" t="n">
        <v>91</v>
      </c>
      <c r="O97" t="n">
        <v>0.91</v>
      </c>
      <c r="P97" t="n">
        <v>1</v>
      </c>
      <c r="Q97" t="n">
        <v>0.02</v>
      </c>
      <c r="R97" t="n">
        <v>1</v>
      </c>
      <c r="S97" t="n">
        <v>4122.3</v>
      </c>
      <c r="T97" t="n">
        <v>20</v>
      </c>
      <c r="U97" t="n">
        <v>21</v>
      </c>
      <c r="V97" t="n">
        <v>30</v>
      </c>
      <c r="W97" t="n">
        <v>1</v>
      </c>
      <c r="X97" t="n">
        <v>36.63003663003663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3125</v>
      </c>
      <c r="AG97" t="n">
        <v>1</v>
      </c>
      <c r="AH97" t="inlineStr">
        <is>
          <t>PT. BERSAMA DISTRIVERSA INDONESIA (DC CIPUTAT)</t>
        </is>
      </c>
      <c r="AI97" t="n">
        <v>320</v>
      </c>
      <c r="AJ97" t="inlineStr">
        <is>
          <t>AVOSKIN</t>
        </is>
      </c>
      <c r="AK97" t="n">
        <v>21</v>
      </c>
      <c r="AL97" t="inlineStr">
        <is>
          <t>Miss Glam Damar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AVOSKIN</t>
        </is>
      </c>
      <c r="B98" s="2">
        <f>"8997239323494"</f>
        <v/>
      </c>
      <c r="C98" t="inlineStr">
        <is>
          <t>AVOSKIN Your Skin Bae Panthenol 5% + Mugwort + Cica 30ml</t>
        </is>
      </c>
      <c r="D98" t="inlineStr">
        <is>
          <t>Miss Glam Damar</t>
        </is>
      </c>
      <c r="E98" t="n">
        <v>0</v>
      </c>
      <c r="F98" t="n">
        <v>0.0546</v>
      </c>
      <c r="G98" t="n">
        <v>0.91</v>
      </c>
      <c r="H98" t="n">
        <v>4</v>
      </c>
      <c r="I98" t="n">
        <v>21</v>
      </c>
      <c r="J98" t="n">
        <v>3</v>
      </c>
      <c r="K98" t="n">
        <v>0</v>
      </c>
      <c r="L98" t="n">
        <v>111689</v>
      </c>
      <c r="M98" t="n">
        <v>138000</v>
      </c>
      <c r="N98" t="n">
        <v>91</v>
      </c>
      <c r="O98" t="n">
        <v>0.91</v>
      </c>
      <c r="P98" t="n">
        <v>1</v>
      </c>
      <c r="Q98" t="n">
        <v>0.03</v>
      </c>
      <c r="R98" t="n">
        <v>1</v>
      </c>
      <c r="S98" t="n">
        <v>7534.8</v>
      </c>
      <c r="T98" t="n">
        <v>19</v>
      </c>
      <c r="U98" t="n">
        <v>20</v>
      </c>
      <c r="V98" t="n">
        <v>30</v>
      </c>
      <c r="W98" t="n">
        <v>2</v>
      </c>
      <c r="X98" t="n">
        <v>0</v>
      </c>
      <c r="Y98" t="n">
        <v>1</v>
      </c>
      <c r="Z98" t="n">
        <v>2</v>
      </c>
      <c r="AA98" t="n">
        <v>2</v>
      </c>
      <c r="AB98" t="n">
        <v>0</v>
      </c>
      <c r="AC98" t="n">
        <v>0</v>
      </c>
      <c r="AD98" t="n">
        <v>223378</v>
      </c>
      <c r="AE98" t="n">
        <v>0</v>
      </c>
      <c r="AF98" t="n">
        <v>3125</v>
      </c>
      <c r="AG98" t="n">
        <v>1</v>
      </c>
      <c r="AH98" t="inlineStr">
        <is>
          <t>PT. BERSAMA DISTRIVERSA INDONESIA (DC CIPUTAT)</t>
        </is>
      </c>
      <c r="AI98" t="n">
        <v>320</v>
      </c>
      <c r="AJ98" t="inlineStr">
        <is>
          <t>AVOSKIN</t>
        </is>
      </c>
      <c r="AK98" t="n">
        <v>21</v>
      </c>
      <c r="AL98" t="inlineStr">
        <is>
          <t>Miss Glam Damar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AVOSKIN</t>
        </is>
      </c>
      <c r="B99" s="2">
        <f>"8997239322527"</f>
        <v/>
      </c>
      <c r="C99" t="inlineStr">
        <is>
          <t>AVOSKIN Your Skin Bae Serum Tea Tree + Witch Hazel + Glycolic Acid Rosemary 30ml</t>
        </is>
      </c>
      <c r="D99" t="inlineStr">
        <is>
          <t>Miss Glam Damar</t>
        </is>
      </c>
      <c r="E99" t="n">
        <v>0</v>
      </c>
      <c r="F99" t="n">
        <v>0.03</v>
      </c>
      <c r="G99" t="n">
        <v>1</v>
      </c>
      <c r="H99" t="n">
        <v>4</v>
      </c>
      <c r="I99" t="n">
        <v>21</v>
      </c>
      <c r="J99" t="n">
        <v>3</v>
      </c>
      <c r="K99" t="n">
        <v>0</v>
      </c>
      <c r="L99" t="n">
        <v>83850</v>
      </c>
      <c r="M99" t="n">
        <v>129000</v>
      </c>
      <c r="N99" t="n">
        <v>91</v>
      </c>
      <c r="O99" t="n">
        <v>0.91</v>
      </c>
      <c r="P99" t="n">
        <v>0</v>
      </c>
      <c r="Q99" t="n">
        <v>0.03</v>
      </c>
      <c r="R99" t="n">
        <v>1</v>
      </c>
      <c r="S99" t="n">
        <v>3870</v>
      </c>
      <c r="T99" t="n">
        <v>21</v>
      </c>
      <c r="U99" t="n">
        <v>22</v>
      </c>
      <c r="V99" t="n">
        <v>30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n">
        <v>0</v>
      </c>
      <c r="AC99" t="n">
        <v>0</v>
      </c>
      <c r="AD99" t="n">
        <v>83850</v>
      </c>
      <c r="AE99" t="n">
        <v>0</v>
      </c>
      <c r="AF99" t="n">
        <v>3125</v>
      </c>
      <c r="AG99" t="n">
        <v>1</v>
      </c>
      <c r="AH99" t="inlineStr">
        <is>
          <t>PT. BERSAMA DISTRIVERSA INDONESIA (DC CIPUTAT)</t>
        </is>
      </c>
      <c r="AI99" t="n">
        <v>320</v>
      </c>
      <c r="AJ99" t="inlineStr">
        <is>
          <t>AVOSKIN</t>
        </is>
      </c>
      <c r="AK99" t="n">
        <v>21</v>
      </c>
      <c r="AL99" t="inlineStr">
        <is>
          <t>Miss Glam Damar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AVOSKIN</t>
        </is>
      </c>
      <c r="B100" s="2">
        <f>"8997239322350"</f>
        <v/>
      </c>
      <c r="C100" t="inlineStr">
        <is>
          <t>AVOSKIN Your Skin Bae Shield Of Sun Essence SPF 50 PA++++ 30ml</t>
        </is>
      </c>
      <c r="D100" t="inlineStr">
        <is>
          <t>Miss Glam Damar</t>
        </is>
      </c>
      <c r="E100" t="n">
        <v>7</v>
      </c>
      <c r="F100" t="n">
        <v>0.0273</v>
      </c>
      <c r="G100" t="n">
        <v>0.91</v>
      </c>
      <c r="H100" t="n">
        <v>4</v>
      </c>
      <c r="I100" t="n">
        <v>21</v>
      </c>
      <c r="J100" t="n">
        <v>3</v>
      </c>
      <c r="K100" t="n">
        <v>0</v>
      </c>
      <c r="L100" t="n">
        <v>126750</v>
      </c>
      <c r="M100" t="n">
        <v>169000</v>
      </c>
      <c r="N100" t="n">
        <v>91</v>
      </c>
      <c r="O100" t="n">
        <v>0.91</v>
      </c>
      <c r="P100" t="n">
        <v>1</v>
      </c>
      <c r="Q100" t="n">
        <v>0.02</v>
      </c>
      <c r="R100" t="n">
        <v>1</v>
      </c>
      <c r="S100" t="n">
        <v>4613.7</v>
      </c>
      <c r="T100" t="n">
        <v>20</v>
      </c>
      <c r="U100" t="n">
        <v>21</v>
      </c>
      <c r="V100" t="n">
        <v>30</v>
      </c>
      <c r="W100" t="n">
        <v>1</v>
      </c>
      <c r="X100" t="n">
        <v>256.4102564102564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3125</v>
      </c>
      <c r="AG100" t="n">
        <v>1</v>
      </c>
      <c r="AH100" t="inlineStr">
        <is>
          <t>PT. BERSAMA DISTRIVERSA INDONESIA (DC CIPUTAT)</t>
        </is>
      </c>
      <c r="AI100" t="n">
        <v>320</v>
      </c>
      <c r="AJ100" t="inlineStr">
        <is>
          <t>AVOSKIN</t>
        </is>
      </c>
      <c r="AK100" t="n">
        <v>21</v>
      </c>
      <c r="AL100" t="inlineStr">
        <is>
          <t>Miss Glam Damar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AXE</t>
        </is>
      </c>
      <c r="B101" s="2">
        <f>"8999999572693"</f>
        <v/>
      </c>
      <c r="C101" t="inlineStr">
        <is>
          <t>AXE Black 48HRS Fragrance 2X Odor Action Deodorant Body Spray 135ml</t>
        </is>
      </c>
      <c r="D101" t="inlineStr">
        <is>
          <t>Miss Glam Damar</t>
        </is>
      </c>
      <c r="E101" t="n">
        <v>2</v>
      </c>
      <c r="F101" t="n">
        <v>0.1092</v>
      </c>
      <c r="G101" t="n">
        <v>0.91</v>
      </c>
      <c r="H101" t="n">
        <v>3</v>
      </c>
      <c r="I101" t="n">
        <v>5</v>
      </c>
      <c r="J101" t="n">
        <v>3</v>
      </c>
      <c r="K101" t="n">
        <v>0</v>
      </c>
      <c r="L101" t="n">
        <v>26066</v>
      </c>
      <c r="M101" t="n">
        <v>38000</v>
      </c>
      <c r="N101" t="n">
        <v>91</v>
      </c>
      <c r="O101" t="n">
        <v>0.91</v>
      </c>
      <c r="P101" t="n">
        <v>1</v>
      </c>
      <c r="Q101" t="n">
        <v>0.03</v>
      </c>
      <c r="R101" t="n">
        <v>1</v>
      </c>
      <c r="S101" t="n">
        <v>4149.6</v>
      </c>
      <c r="T101" t="n">
        <v>5</v>
      </c>
      <c r="U101" t="n">
        <v>6</v>
      </c>
      <c r="V101" t="n">
        <v>30</v>
      </c>
      <c r="W101" t="n">
        <v>4</v>
      </c>
      <c r="X101" t="n">
        <v>18.31501831501831</v>
      </c>
      <c r="Y101" t="n">
        <v>1</v>
      </c>
      <c r="Z101" t="n">
        <v>2</v>
      </c>
      <c r="AA101" t="n">
        <v>0</v>
      </c>
      <c r="AB101" t="n">
        <v>2</v>
      </c>
      <c r="AC101" t="n">
        <v>3</v>
      </c>
      <c r="AD101" t="n">
        <v>0</v>
      </c>
      <c r="AE101" t="n">
        <v>78198</v>
      </c>
      <c r="AF101" t="n">
        <v>1521</v>
      </c>
      <c r="AG101" t="n">
        <v>361</v>
      </c>
      <c r="AH101" t="inlineStr">
        <is>
          <t>CV. SERBA SERBI - PPN (PDG)</t>
        </is>
      </c>
      <c r="AI101" t="n">
        <v>1694</v>
      </c>
      <c r="AJ101" t="inlineStr">
        <is>
          <t>AXE</t>
        </is>
      </c>
      <c r="AK101" t="n">
        <v>21</v>
      </c>
      <c r="AL101" t="inlineStr">
        <is>
          <t>Miss Glam Damar</t>
        </is>
      </c>
      <c r="AM101" t="n">
        <v>2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AXE</t>
        </is>
      </c>
      <c r="B102" s="2">
        <f>"8999999572709"</f>
        <v/>
      </c>
      <c r="C102" t="inlineStr">
        <is>
          <t>AXE Dark Temptation Dark Chocolate 48HRS Fresh Deodorant Bo</t>
        </is>
      </c>
      <c r="D102" t="inlineStr">
        <is>
          <t>Miss Glam Damar</t>
        </is>
      </c>
      <c r="E102" t="n">
        <v>8</v>
      </c>
      <c r="F102" t="n">
        <v>0.04550000000000001</v>
      </c>
      <c r="G102" t="n">
        <v>0.91</v>
      </c>
      <c r="H102" t="n">
        <v>3</v>
      </c>
      <c r="I102" t="n">
        <v>5</v>
      </c>
      <c r="J102" t="n">
        <v>3</v>
      </c>
      <c r="K102" t="n">
        <v>0</v>
      </c>
      <c r="L102" t="n">
        <v>26066</v>
      </c>
      <c r="M102" t="n">
        <v>38000</v>
      </c>
      <c r="N102" t="n">
        <v>91</v>
      </c>
      <c r="O102" t="n">
        <v>0.91</v>
      </c>
      <c r="P102" t="n">
        <v>1</v>
      </c>
      <c r="Q102" t="n">
        <v>0.08</v>
      </c>
      <c r="R102" t="n">
        <v>1</v>
      </c>
      <c r="S102" t="n">
        <v>1729</v>
      </c>
      <c r="T102" t="n">
        <v>5</v>
      </c>
      <c r="U102" t="n">
        <v>6</v>
      </c>
      <c r="V102" t="n">
        <v>30</v>
      </c>
      <c r="W102" t="n">
        <v>2</v>
      </c>
      <c r="X102" t="n">
        <v>175.8241758241758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1521</v>
      </c>
      <c r="AG102" t="n">
        <v>361</v>
      </c>
      <c r="AH102" t="inlineStr">
        <is>
          <t>CV. SERBA SERBI - PPN (PDG)</t>
        </is>
      </c>
      <c r="AI102" t="n">
        <v>1694</v>
      </c>
      <c r="AJ102" t="inlineStr">
        <is>
          <t>AXE</t>
        </is>
      </c>
      <c r="AK102" t="n">
        <v>21</v>
      </c>
      <c r="AL102" t="inlineStr">
        <is>
          <t>Miss Glam Damar</t>
        </is>
      </c>
      <c r="AM102" t="n">
        <v>2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AXE</t>
        </is>
      </c>
      <c r="B103" s="2">
        <f>"8999999572716"</f>
        <v/>
      </c>
      <c r="C103" t="inlineStr">
        <is>
          <t>AXE Gold Gold Amber &amp; Vanilla Deodorant Body Spray 135ml</t>
        </is>
      </c>
      <c r="D103" t="inlineStr">
        <is>
          <t>Miss Glam Damar</t>
        </is>
      </c>
      <c r="E103" t="n">
        <v>8</v>
      </c>
      <c r="F103" t="n">
        <v>0.09100000000000001</v>
      </c>
      <c r="G103" t="n">
        <v>0.91</v>
      </c>
      <c r="H103" t="n">
        <v>3</v>
      </c>
      <c r="I103" t="n">
        <v>5</v>
      </c>
      <c r="J103" t="n">
        <v>3</v>
      </c>
      <c r="K103" t="n">
        <v>0</v>
      </c>
      <c r="L103" t="n">
        <v>26066</v>
      </c>
      <c r="M103" t="n">
        <v>38000</v>
      </c>
      <c r="N103" t="n">
        <v>91</v>
      </c>
      <c r="O103" t="n">
        <v>0.91</v>
      </c>
      <c r="P103" t="n">
        <v>1</v>
      </c>
      <c r="Q103" t="n">
        <v>0.12</v>
      </c>
      <c r="R103" t="n">
        <v>2</v>
      </c>
      <c r="S103" t="n">
        <v>3458</v>
      </c>
      <c r="T103" t="n">
        <v>5</v>
      </c>
      <c r="U103" t="n">
        <v>6</v>
      </c>
      <c r="V103" t="n">
        <v>30</v>
      </c>
      <c r="W103" t="n">
        <v>3</v>
      </c>
      <c r="X103" t="n">
        <v>87.9120879120879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1521</v>
      </c>
      <c r="AG103" t="n">
        <v>361</v>
      </c>
      <c r="AH103" t="inlineStr">
        <is>
          <t>CV. SERBA SERBI - PPN (PDG)</t>
        </is>
      </c>
      <c r="AI103" t="n">
        <v>1694</v>
      </c>
      <c r="AJ103" t="inlineStr">
        <is>
          <t>AXE</t>
        </is>
      </c>
      <c r="AK103" t="n">
        <v>21</v>
      </c>
      <c r="AL103" t="inlineStr">
        <is>
          <t>Miss Glam Damar</t>
        </is>
      </c>
      <c r="AM103" t="n">
        <v>2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AXE</t>
        </is>
      </c>
      <c r="B104" s="2">
        <f>"8999999572730"</f>
        <v/>
      </c>
      <c r="C104" t="inlineStr">
        <is>
          <t>AXE Ice Chill 48HRS Deodorant Body Spray 135ml</t>
        </is>
      </c>
      <c r="D104" t="inlineStr">
        <is>
          <t>Miss Glam Damar</t>
        </is>
      </c>
      <c r="E104" t="n">
        <v>7</v>
      </c>
      <c r="F104" t="n">
        <v>0.2002</v>
      </c>
      <c r="G104" t="n">
        <v>1.82</v>
      </c>
      <c r="H104" t="n">
        <v>3</v>
      </c>
      <c r="I104" t="n">
        <v>5</v>
      </c>
      <c r="J104" t="n">
        <v>3</v>
      </c>
      <c r="K104" t="n">
        <v>0</v>
      </c>
      <c r="L104" t="n">
        <v>26066</v>
      </c>
      <c r="M104" t="n">
        <v>38000</v>
      </c>
      <c r="N104" t="n">
        <v>91</v>
      </c>
      <c r="O104" t="n">
        <v>0.91</v>
      </c>
      <c r="P104" t="n">
        <v>1</v>
      </c>
      <c r="Q104" t="n">
        <v>0.1</v>
      </c>
      <c r="R104" t="n">
        <v>1</v>
      </c>
      <c r="S104" t="n">
        <v>7607.6</v>
      </c>
      <c r="T104" t="n">
        <v>9</v>
      </c>
      <c r="U104" t="n">
        <v>10</v>
      </c>
      <c r="V104" t="n">
        <v>30</v>
      </c>
      <c r="W104" t="n">
        <v>7</v>
      </c>
      <c r="X104" t="n">
        <v>34.96503496503496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1521</v>
      </c>
      <c r="AG104" t="n">
        <v>361</v>
      </c>
      <c r="AH104" t="inlineStr">
        <is>
          <t>CV. SERBA SERBI - PPN (PDG)</t>
        </is>
      </c>
      <c r="AI104" t="n">
        <v>1694</v>
      </c>
      <c r="AJ104" t="inlineStr">
        <is>
          <t>AXE</t>
        </is>
      </c>
      <c r="AK104" t="n">
        <v>21</v>
      </c>
      <c r="AL104" t="inlineStr">
        <is>
          <t>Miss Glam Damar</t>
        </is>
      </c>
      <c r="AM104" t="n">
        <v>2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"101001114836"</f>
        <v/>
      </c>
      <c r="C105" t="inlineStr">
        <is>
          <t>AZARINE Acne Gentle Cleansing Foam 75ml</t>
        </is>
      </c>
      <c r="D105" t="inlineStr">
        <is>
          <t>Miss Glam Damar</t>
        </is>
      </c>
      <c r="E105" t="n">
        <v>0</v>
      </c>
      <c r="F105" t="n">
        <v>0.2639</v>
      </c>
      <c r="G105" t="n">
        <v>1.82</v>
      </c>
      <c r="H105" t="n">
        <v>3</v>
      </c>
      <c r="I105" t="n">
        <v>11</v>
      </c>
      <c r="J105" t="n">
        <v>1</v>
      </c>
      <c r="K105" t="n">
        <v>0</v>
      </c>
      <c r="L105" t="n">
        <v>24000</v>
      </c>
      <c r="M105" t="n">
        <v>29000</v>
      </c>
      <c r="N105" t="n">
        <v>91</v>
      </c>
      <c r="O105" t="n">
        <v>0.91</v>
      </c>
      <c r="P105" t="n">
        <v>1</v>
      </c>
      <c r="Q105" t="n">
        <v>0.23</v>
      </c>
      <c r="R105" t="n">
        <v>2</v>
      </c>
      <c r="S105" t="n">
        <v>7653.099999999999</v>
      </c>
      <c r="T105" t="n">
        <v>20</v>
      </c>
      <c r="U105" t="n">
        <v>21</v>
      </c>
      <c r="V105" t="n">
        <v>30</v>
      </c>
      <c r="W105" t="n">
        <v>8</v>
      </c>
      <c r="X105" t="n">
        <v>0</v>
      </c>
      <c r="Y105" t="n">
        <v>1</v>
      </c>
      <c r="Z105" t="n">
        <v>8</v>
      </c>
      <c r="AA105" t="n">
        <v>3</v>
      </c>
      <c r="AB105" t="n">
        <v>5</v>
      </c>
      <c r="AC105" t="n">
        <v>5</v>
      </c>
      <c r="AD105" t="n">
        <v>72000</v>
      </c>
      <c r="AE105" t="n">
        <v>120000</v>
      </c>
      <c r="AF105" t="n">
        <v>12776</v>
      </c>
      <c r="AG105" t="n">
        <v>2122</v>
      </c>
      <c r="AH105" t="inlineStr">
        <is>
          <t>PT. SINAR PADANG LESTARI - PPN (PDG)</t>
        </is>
      </c>
      <c r="AI105" t="n">
        <v>38</v>
      </c>
      <c r="AJ105" t="inlineStr">
        <is>
          <t>AZARINE</t>
        </is>
      </c>
      <c r="AK105" t="n">
        <v>21</v>
      </c>
      <c r="AL105" t="inlineStr">
        <is>
          <t>Miss Glam Damar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"8997208072217"</f>
        <v/>
      </c>
      <c r="C106" t="inlineStr">
        <is>
          <t>AZARINE Acne Spot Serum 20ml</t>
        </is>
      </c>
      <c r="D106" t="inlineStr">
        <is>
          <t>Miss Glam Damar</t>
        </is>
      </c>
      <c r="E106" t="n">
        <v>13</v>
      </c>
      <c r="F106" t="n">
        <v>0.182</v>
      </c>
      <c r="G106" t="n">
        <v>2.73</v>
      </c>
      <c r="H106" t="n">
        <v>3</v>
      </c>
      <c r="I106" t="n">
        <v>11</v>
      </c>
      <c r="J106" t="n">
        <v>12</v>
      </c>
      <c r="K106" t="n">
        <v>0</v>
      </c>
      <c r="L106" t="n">
        <v>23200</v>
      </c>
      <c r="M106" t="n">
        <v>29000</v>
      </c>
      <c r="N106" t="n">
        <v>91</v>
      </c>
      <c r="O106" t="n">
        <v>0.91</v>
      </c>
      <c r="P106" t="n">
        <v>1</v>
      </c>
      <c r="Q106" t="n">
        <v>0.41</v>
      </c>
      <c r="R106" t="n">
        <v>3</v>
      </c>
      <c r="S106" t="n">
        <v>5278.000000000001</v>
      </c>
      <c r="T106" t="n">
        <v>30</v>
      </c>
      <c r="U106" t="n">
        <v>31</v>
      </c>
      <c r="V106" t="n">
        <v>30</v>
      </c>
      <c r="W106" t="n">
        <v>6</v>
      </c>
      <c r="X106" t="n">
        <v>71.42857142857142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12776</v>
      </c>
      <c r="AG106" t="n">
        <v>2122</v>
      </c>
      <c r="AH106" t="inlineStr">
        <is>
          <t>PT. SINAR PADANG LESTARI - PPN (PDG)</t>
        </is>
      </c>
      <c r="AI106" t="n">
        <v>38</v>
      </c>
      <c r="AJ106" t="inlineStr">
        <is>
          <t>AZARINE</t>
        </is>
      </c>
      <c r="AK106" t="n">
        <v>21</v>
      </c>
      <c r="AL106" t="inlineStr">
        <is>
          <t>Miss Glam Damar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"8997208072491"</f>
        <v/>
      </c>
      <c r="C107" t="inlineStr">
        <is>
          <t>AZARINE Active Bright Brightening Day Moisturiser 20gr</t>
        </is>
      </c>
      <c r="D107" t="inlineStr">
        <is>
          <t>Miss Glam Damar</t>
        </is>
      </c>
      <c r="E107" t="n">
        <v>8</v>
      </c>
      <c r="F107" t="n">
        <v>0.17</v>
      </c>
      <c r="G107" t="n">
        <v>2</v>
      </c>
      <c r="H107" t="n">
        <v>3</v>
      </c>
      <c r="I107" t="n">
        <v>11</v>
      </c>
      <c r="J107" t="n">
        <v>3</v>
      </c>
      <c r="K107" t="n">
        <v>0</v>
      </c>
      <c r="L107" t="n">
        <v>20000</v>
      </c>
      <c r="M107" t="n">
        <v>25000</v>
      </c>
      <c r="N107" t="n">
        <v>91</v>
      </c>
      <c r="O107" t="n">
        <v>0.91</v>
      </c>
      <c r="P107" t="n">
        <v>0</v>
      </c>
      <c r="Q107" t="n">
        <v>0.17</v>
      </c>
      <c r="R107" t="n">
        <v>2</v>
      </c>
      <c r="S107" t="n">
        <v>4250</v>
      </c>
      <c r="T107" t="n">
        <v>22</v>
      </c>
      <c r="U107" t="n">
        <v>23</v>
      </c>
      <c r="V107" t="n">
        <v>30</v>
      </c>
      <c r="W107" t="n">
        <v>6</v>
      </c>
      <c r="X107" t="n">
        <v>47.05882352941176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12776</v>
      </c>
      <c r="AG107" t="n">
        <v>2122</v>
      </c>
      <c r="AH107" t="inlineStr">
        <is>
          <t>PT. SINAR PADANG LESTARI - PPN (PDG)</t>
        </is>
      </c>
      <c r="AI107" t="n">
        <v>38</v>
      </c>
      <c r="AJ107" t="inlineStr">
        <is>
          <t>AZARINE</t>
        </is>
      </c>
      <c r="AK107" t="n">
        <v>21</v>
      </c>
      <c r="AL107" t="inlineStr">
        <is>
          <t>Miss Glam Damar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"8997208072507"</f>
        <v/>
      </c>
      <c r="C108" t="inlineStr">
        <is>
          <t>AZARINE Active Bright Brightening Night Moisturiser 20gr</t>
        </is>
      </c>
      <c r="D108" t="inlineStr">
        <is>
          <t>Miss Glam Damar</t>
        </is>
      </c>
      <c r="E108" t="n">
        <v>4</v>
      </c>
      <c r="F108" t="n">
        <v>0.09100000000000001</v>
      </c>
      <c r="G108" t="n">
        <v>0.91</v>
      </c>
      <c r="H108" t="n">
        <v>3</v>
      </c>
      <c r="I108" t="n">
        <v>11</v>
      </c>
      <c r="J108" t="n">
        <v>3</v>
      </c>
      <c r="K108" t="n">
        <v>0</v>
      </c>
      <c r="L108" t="n">
        <v>20000</v>
      </c>
      <c r="M108" t="n">
        <v>25000</v>
      </c>
      <c r="N108" t="n">
        <v>91</v>
      </c>
      <c r="O108" t="n">
        <v>0.91</v>
      </c>
      <c r="P108" t="n">
        <v>1</v>
      </c>
      <c r="Q108" t="n">
        <v>0.03</v>
      </c>
      <c r="R108" t="n">
        <v>1</v>
      </c>
      <c r="S108" t="n">
        <v>2275</v>
      </c>
      <c r="T108" t="n">
        <v>10</v>
      </c>
      <c r="U108" t="n">
        <v>11</v>
      </c>
      <c r="V108" t="n">
        <v>30</v>
      </c>
      <c r="W108" t="n">
        <v>3</v>
      </c>
      <c r="X108" t="n">
        <v>43.95604395604395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12776</v>
      </c>
      <c r="AG108" t="n">
        <v>2122</v>
      </c>
      <c r="AH108" t="inlineStr">
        <is>
          <t>PT. SINAR PADANG LESTARI - PPN (PDG)</t>
        </is>
      </c>
      <c r="AI108" t="n">
        <v>38</v>
      </c>
      <c r="AJ108" t="inlineStr">
        <is>
          <t>AZARINE</t>
        </is>
      </c>
      <c r="AK108" t="n">
        <v>21</v>
      </c>
      <c r="AL108" t="inlineStr">
        <is>
          <t>Miss Glam Damar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"8997208073092"</f>
        <v/>
      </c>
      <c r="C109" t="inlineStr">
        <is>
          <t>AZARINE Advanced Youth Barrier Moisturizer 30gr</t>
        </is>
      </c>
      <c r="D109" t="inlineStr">
        <is>
          <t>Miss Glam Damar</t>
        </is>
      </c>
      <c r="E109" t="n">
        <v>9</v>
      </c>
      <c r="F109" t="n">
        <v>0.1547</v>
      </c>
      <c r="G109" t="n">
        <v>0.91</v>
      </c>
      <c r="H109" t="n">
        <v>3</v>
      </c>
      <c r="I109" t="n">
        <v>11</v>
      </c>
      <c r="J109" t="n">
        <v>12</v>
      </c>
      <c r="K109" t="n">
        <v>0</v>
      </c>
      <c r="L109" t="n">
        <v>38998</v>
      </c>
      <c r="M109" t="n">
        <v>48000</v>
      </c>
      <c r="N109" t="n">
        <v>91</v>
      </c>
      <c r="O109" t="n">
        <v>0.91</v>
      </c>
      <c r="P109" t="n">
        <v>1</v>
      </c>
      <c r="Q109" t="n">
        <v>0.31</v>
      </c>
      <c r="R109" t="n">
        <v>3</v>
      </c>
      <c r="S109" t="n">
        <v>7425.6</v>
      </c>
      <c r="T109" t="n">
        <v>10</v>
      </c>
      <c r="U109" t="n">
        <v>11</v>
      </c>
      <c r="V109" t="n">
        <v>30</v>
      </c>
      <c r="W109" t="n">
        <v>5</v>
      </c>
      <c r="X109" t="n">
        <v>58.17711700064641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12776</v>
      </c>
      <c r="AG109" t="n">
        <v>2122</v>
      </c>
      <c r="AH109" t="inlineStr">
        <is>
          <t>PT. SINAR PADANG LESTARI - PPN (PDG)</t>
        </is>
      </c>
      <c r="AI109" t="n">
        <v>38</v>
      </c>
      <c r="AJ109" t="inlineStr">
        <is>
          <t>AZARINE</t>
        </is>
      </c>
      <c r="AK109" t="n">
        <v>21</v>
      </c>
      <c r="AL109" t="inlineStr">
        <is>
          <t>Miss Glam Damar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"8997208072057"</f>
        <v/>
      </c>
      <c r="C110" t="inlineStr">
        <is>
          <t>AZARINE Blemish Rescue+ Mild Purifying Toner 90ml</t>
        </is>
      </c>
      <c r="D110" t="inlineStr">
        <is>
          <t>Miss Glam Damar</t>
        </is>
      </c>
      <c r="E110" t="n">
        <v>3</v>
      </c>
      <c r="F110" t="n">
        <v>0.0273</v>
      </c>
      <c r="G110" t="n">
        <v>0.91</v>
      </c>
      <c r="H110" t="n">
        <v>3</v>
      </c>
      <c r="I110" t="n">
        <v>11</v>
      </c>
      <c r="J110" t="n">
        <v>3</v>
      </c>
      <c r="K110" t="n">
        <v>0</v>
      </c>
      <c r="L110" t="n">
        <v>55200</v>
      </c>
      <c r="M110" t="n">
        <v>68000</v>
      </c>
      <c r="N110" t="n">
        <v>91</v>
      </c>
      <c r="O110" t="n">
        <v>0.91</v>
      </c>
      <c r="P110" t="n">
        <v>1</v>
      </c>
      <c r="Q110" t="n">
        <v>0.02</v>
      </c>
      <c r="R110" t="n">
        <v>1</v>
      </c>
      <c r="S110" t="n">
        <v>1856.4</v>
      </c>
      <c r="T110" t="n">
        <v>10</v>
      </c>
      <c r="U110" t="n">
        <v>11</v>
      </c>
      <c r="V110" t="n">
        <v>30</v>
      </c>
      <c r="W110" t="n">
        <v>1</v>
      </c>
      <c r="X110" t="n">
        <v>109.8901098901099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12776</v>
      </c>
      <c r="AG110" t="n">
        <v>2122</v>
      </c>
      <c r="AH110" t="inlineStr">
        <is>
          <t>PT. SINAR PADANG LESTARI - PPN (PDG)</t>
        </is>
      </c>
      <c r="AI110" t="n">
        <v>38</v>
      </c>
      <c r="AJ110" t="inlineStr">
        <is>
          <t>AZARINE</t>
        </is>
      </c>
      <c r="AK110" t="n">
        <v>21</v>
      </c>
      <c r="AL110" t="inlineStr">
        <is>
          <t>Miss Glam Damar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"8997208072439"</f>
        <v/>
      </c>
      <c r="C111" t="inlineStr">
        <is>
          <t>AZARINE Bodyguard Moisturiser Sunscreen Serum Magical Luv BT21 SPF 50 PA++++ 100ml</t>
        </is>
      </c>
      <c r="D111" t="inlineStr">
        <is>
          <t>Miss Glam Damar</t>
        </is>
      </c>
      <c r="E111" t="n">
        <v>5</v>
      </c>
      <c r="F111" t="n">
        <v>0.2275</v>
      </c>
      <c r="G111" t="n">
        <v>1.82</v>
      </c>
      <c r="H111" t="n">
        <v>3</v>
      </c>
      <c r="I111" t="n">
        <v>11</v>
      </c>
      <c r="J111" t="n">
        <v>6</v>
      </c>
      <c r="K111" t="n">
        <v>0</v>
      </c>
      <c r="L111" t="n">
        <v>52001</v>
      </c>
      <c r="M111" t="n">
        <v>64000</v>
      </c>
      <c r="N111" t="n">
        <v>91</v>
      </c>
      <c r="O111" t="n">
        <v>0.91</v>
      </c>
      <c r="P111" t="n">
        <v>1</v>
      </c>
      <c r="Q111" t="n">
        <v>0.19</v>
      </c>
      <c r="R111" t="n">
        <v>2</v>
      </c>
      <c r="S111" t="n">
        <v>14560</v>
      </c>
      <c r="T111" t="n">
        <v>20</v>
      </c>
      <c r="U111" t="n">
        <v>21</v>
      </c>
      <c r="V111" t="n">
        <v>30</v>
      </c>
      <c r="W111" t="n">
        <v>7</v>
      </c>
      <c r="X111" t="n">
        <v>21.97802197802198</v>
      </c>
      <c r="Y111" t="n">
        <v>1</v>
      </c>
      <c r="Z111" t="n">
        <v>2</v>
      </c>
      <c r="AA111" t="n">
        <v>0</v>
      </c>
      <c r="AB111" t="n">
        <v>2</v>
      </c>
      <c r="AC111" t="n">
        <v>6</v>
      </c>
      <c r="AD111" t="n">
        <v>0</v>
      </c>
      <c r="AE111" t="n">
        <v>312006</v>
      </c>
      <c r="AF111" t="n">
        <v>12776</v>
      </c>
      <c r="AG111" t="n">
        <v>2122</v>
      </c>
      <c r="AH111" t="inlineStr">
        <is>
          <t>PT. SINAR PADANG LESTARI - PPN (PDG)</t>
        </is>
      </c>
      <c r="AI111" t="n">
        <v>38</v>
      </c>
      <c r="AJ111" t="inlineStr">
        <is>
          <t>AZARINE</t>
        </is>
      </c>
      <c r="AK111" t="n">
        <v>21</v>
      </c>
      <c r="AL111" t="inlineStr">
        <is>
          <t>Miss Glam Damar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"8997208072460"</f>
        <v/>
      </c>
      <c r="C112" t="inlineStr">
        <is>
          <t>AZARINE Bodyguard Moisturizer Sunscreen Serum Sweet Treats Baby BT21 Spf 50 PA++++ 100ml</t>
        </is>
      </c>
      <c r="D112" t="inlineStr">
        <is>
          <t>Miss Glam Damar</t>
        </is>
      </c>
      <c r="E112" t="n">
        <v>15</v>
      </c>
      <c r="F112" t="n">
        <v>0.04550000000000001</v>
      </c>
      <c r="G112" t="n">
        <v>0.91</v>
      </c>
      <c r="H112" t="n">
        <v>3</v>
      </c>
      <c r="I112" t="n">
        <v>11</v>
      </c>
      <c r="J112" t="n">
        <v>3</v>
      </c>
      <c r="K112" t="n">
        <v>0</v>
      </c>
      <c r="L112" t="n">
        <v>52000</v>
      </c>
      <c r="M112" t="n">
        <v>64000</v>
      </c>
      <c r="N112" t="n">
        <v>91</v>
      </c>
      <c r="O112" t="n">
        <v>0.91</v>
      </c>
      <c r="P112" t="n">
        <v>1</v>
      </c>
      <c r="Q112" t="n">
        <v>0.24</v>
      </c>
      <c r="R112" t="n">
        <v>2</v>
      </c>
      <c r="S112" t="n">
        <v>2912</v>
      </c>
      <c r="T112" t="n">
        <v>10</v>
      </c>
      <c r="U112" t="n">
        <v>11</v>
      </c>
      <c r="V112" t="n">
        <v>30</v>
      </c>
      <c r="W112" t="n">
        <v>2</v>
      </c>
      <c r="X112" t="n">
        <v>329.6703296703296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12776</v>
      </c>
      <c r="AG112" t="n">
        <v>2122</v>
      </c>
      <c r="AH112" t="inlineStr">
        <is>
          <t>PT. SINAR PADANG LESTARI - PPN (PDG)</t>
        </is>
      </c>
      <c r="AI112" t="n">
        <v>38</v>
      </c>
      <c r="AJ112" t="inlineStr">
        <is>
          <t>AZARINE</t>
        </is>
      </c>
      <c r="AK112" t="n">
        <v>21</v>
      </c>
      <c r="AL112" t="inlineStr">
        <is>
          <t>Miss Glam Damar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"8997208072156"</f>
        <v/>
      </c>
      <c r="C113" t="inlineStr">
        <is>
          <t>AZARINE Brightening C Glow Serum 20ml</t>
        </is>
      </c>
      <c r="D113" t="inlineStr">
        <is>
          <t>Miss Glam Damar</t>
        </is>
      </c>
      <c r="E113" t="n">
        <v>7</v>
      </c>
      <c r="F113" t="n">
        <v>0.04550000000000001</v>
      </c>
      <c r="G113" t="n">
        <v>0.91</v>
      </c>
      <c r="H113" t="n">
        <v>3</v>
      </c>
      <c r="I113" t="n">
        <v>11</v>
      </c>
      <c r="J113" t="n">
        <v>12</v>
      </c>
      <c r="K113" t="n">
        <v>0</v>
      </c>
      <c r="L113" t="n">
        <v>47200</v>
      </c>
      <c r="M113" t="n">
        <v>59000</v>
      </c>
      <c r="N113" t="n">
        <v>91</v>
      </c>
      <c r="O113" t="n">
        <v>0.91</v>
      </c>
      <c r="P113" t="n">
        <v>1</v>
      </c>
      <c r="Q113" t="n">
        <v>0.19</v>
      </c>
      <c r="R113" t="n">
        <v>2</v>
      </c>
      <c r="S113" t="n">
        <v>2684.5</v>
      </c>
      <c r="T113" t="n">
        <v>10</v>
      </c>
      <c r="U113" t="n">
        <v>11</v>
      </c>
      <c r="V113" t="n">
        <v>30</v>
      </c>
      <c r="W113" t="n">
        <v>2</v>
      </c>
      <c r="X113" t="n">
        <v>153.8461538461538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12776</v>
      </c>
      <c r="AG113" t="n">
        <v>2122</v>
      </c>
      <c r="AH113" t="inlineStr">
        <is>
          <t>PT. SINAR PADANG LESTARI - PPN (PDG)</t>
        </is>
      </c>
      <c r="AI113" t="n">
        <v>38</v>
      </c>
      <c r="AJ113" t="inlineStr">
        <is>
          <t>AZARINE</t>
        </is>
      </c>
      <c r="AK113" t="n">
        <v>21</v>
      </c>
      <c r="AL113" t="inlineStr">
        <is>
          <t>Miss Glam Damar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"8997208072415"</f>
        <v/>
      </c>
      <c r="C114" t="inlineStr">
        <is>
          <t>AZARINE Brightening Creamy Facial Foam 50gr</t>
        </is>
      </c>
      <c r="D114" t="inlineStr">
        <is>
          <t>Miss Glam Damar</t>
        </is>
      </c>
      <c r="E114" t="n">
        <v>4</v>
      </c>
      <c r="F114" t="n">
        <v>0.03</v>
      </c>
      <c r="G114" t="n">
        <v>1</v>
      </c>
      <c r="H114" t="n">
        <v>3</v>
      </c>
      <c r="I114" t="n">
        <v>11</v>
      </c>
      <c r="J114" t="n">
        <v>6</v>
      </c>
      <c r="K114" t="n">
        <v>0</v>
      </c>
      <c r="L114" t="n">
        <v>16000</v>
      </c>
      <c r="M114" t="n">
        <v>20000</v>
      </c>
      <c r="N114" t="n">
        <v>91</v>
      </c>
      <c r="O114" t="n">
        <v>0.91</v>
      </c>
      <c r="P114" t="n">
        <v>0</v>
      </c>
      <c r="Q114" t="n">
        <v>0.03</v>
      </c>
      <c r="R114" t="n">
        <v>1</v>
      </c>
      <c r="S114" t="n">
        <v>600</v>
      </c>
      <c r="T114" t="n">
        <v>11</v>
      </c>
      <c r="U114" t="n">
        <v>12</v>
      </c>
      <c r="V114" t="n">
        <v>30</v>
      </c>
      <c r="W114" t="n">
        <v>1</v>
      </c>
      <c r="X114" t="n">
        <v>133.3333333333333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12776</v>
      </c>
      <c r="AG114" t="n">
        <v>2122</v>
      </c>
      <c r="AH114" t="inlineStr">
        <is>
          <t>PT. SINAR PADANG LESTARI - PPN (PDG)</t>
        </is>
      </c>
      <c r="AI114" t="n">
        <v>38</v>
      </c>
      <c r="AJ114" t="inlineStr">
        <is>
          <t>AZARINE</t>
        </is>
      </c>
      <c r="AK114" t="n">
        <v>21</v>
      </c>
      <c r="AL114" t="inlineStr">
        <is>
          <t>Miss Glam Damar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"101001106215"</f>
        <v/>
      </c>
      <c r="C115" t="inlineStr">
        <is>
          <t>AZARINE Brightening Glowing Cleancer 50ml</t>
        </is>
      </c>
      <c r="D115" t="inlineStr">
        <is>
          <t>Miss Glam Damar</t>
        </is>
      </c>
      <c r="E115" t="n">
        <v>9</v>
      </c>
      <c r="F115" t="n">
        <v>0.2275</v>
      </c>
      <c r="G115" t="n">
        <v>2.73</v>
      </c>
      <c r="H115" t="n">
        <v>3</v>
      </c>
      <c r="I115" t="n">
        <v>11</v>
      </c>
      <c r="J115" t="n">
        <v>3</v>
      </c>
      <c r="K115" t="n">
        <v>0</v>
      </c>
      <c r="L115" t="n">
        <v>25195</v>
      </c>
      <c r="M115" t="n">
        <v>30000</v>
      </c>
      <c r="N115" t="n">
        <v>91</v>
      </c>
      <c r="O115" t="n">
        <v>0.91</v>
      </c>
      <c r="P115" t="n">
        <v>1</v>
      </c>
      <c r="Q115" t="n">
        <v>0.27</v>
      </c>
      <c r="R115" t="n">
        <v>2</v>
      </c>
      <c r="S115" t="n">
        <v>6825</v>
      </c>
      <c r="T115" t="n">
        <v>30</v>
      </c>
      <c r="U115" t="n">
        <v>31</v>
      </c>
      <c r="V115" t="n">
        <v>30</v>
      </c>
      <c r="W115" t="n">
        <v>7</v>
      </c>
      <c r="X115" t="n">
        <v>39.56043956043956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12776</v>
      </c>
      <c r="AG115" t="n">
        <v>2122</v>
      </c>
      <c r="AH115" t="inlineStr">
        <is>
          <t>PT. SINAR PADANG LESTARI - PPN (PDG)</t>
        </is>
      </c>
      <c r="AI115" t="n">
        <v>38</v>
      </c>
      <c r="AJ115" t="inlineStr">
        <is>
          <t>AZARINE</t>
        </is>
      </c>
      <c r="AK115" t="n">
        <v>21</v>
      </c>
      <c r="AL115" t="inlineStr">
        <is>
          <t>Miss Glam Damar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"8997208072040"</f>
        <v/>
      </c>
      <c r="C116" t="inlineStr">
        <is>
          <t>AZARINE C White Multi-Acids Glowing Toner 90ml</t>
        </is>
      </c>
      <c r="D116" t="inlineStr">
        <is>
          <t>Miss Glam Damar</t>
        </is>
      </c>
      <c r="E116" t="n">
        <v>3</v>
      </c>
      <c r="F116" t="n">
        <v>0.04550000000000001</v>
      </c>
      <c r="G116" t="n">
        <v>0.91</v>
      </c>
      <c r="H116" t="n">
        <v>3</v>
      </c>
      <c r="I116" t="n">
        <v>11</v>
      </c>
      <c r="J116" t="n">
        <v>3</v>
      </c>
      <c r="K116" t="n">
        <v>0</v>
      </c>
      <c r="L116" t="n">
        <v>55200</v>
      </c>
      <c r="M116" t="n">
        <v>68000</v>
      </c>
      <c r="N116" t="n">
        <v>91</v>
      </c>
      <c r="O116" t="n">
        <v>0.91</v>
      </c>
      <c r="P116" t="n">
        <v>1</v>
      </c>
      <c r="Q116" t="n">
        <v>0.03</v>
      </c>
      <c r="R116" t="n">
        <v>1</v>
      </c>
      <c r="S116" t="n">
        <v>3094</v>
      </c>
      <c r="T116" t="n">
        <v>10</v>
      </c>
      <c r="U116" t="n">
        <v>11</v>
      </c>
      <c r="V116" t="n">
        <v>30</v>
      </c>
      <c r="W116" t="n">
        <v>2</v>
      </c>
      <c r="X116" t="n">
        <v>65.93406593406593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12776</v>
      </c>
      <c r="AG116" t="n">
        <v>2122</v>
      </c>
      <c r="AH116" t="inlineStr">
        <is>
          <t>PT. SINAR PADANG LESTARI - PPN (PDG)</t>
        </is>
      </c>
      <c r="AI116" t="n">
        <v>38</v>
      </c>
      <c r="AJ116" t="inlineStr">
        <is>
          <t>AZARINE</t>
        </is>
      </c>
      <c r="AK116" t="n">
        <v>21</v>
      </c>
      <c r="AL116" t="inlineStr">
        <is>
          <t>Miss Glam Damar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"8997208071647"</f>
        <v/>
      </c>
      <c r="C117" t="inlineStr">
        <is>
          <t>AZARINE C White Perfect Radiance Night Moisturizer 25gr</t>
        </is>
      </c>
      <c r="D117" t="inlineStr">
        <is>
          <t>Miss Glam Damar</t>
        </is>
      </c>
      <c r="E117" t="n">
        <v>6</v>
      </c>
      <c r="F117" t="n">
        <v>0.0273</v>
      </c>
      <c r="G117" t="n">
        <v>0.91</v>
      </c>
      <c r="H117" t="n">
        <v>3</v>
      </c>
      <c r="I117" t="n">
        <v>11</v>
      </c>
      <c r="J117" t="n">
        <v>3</v>
      </c>
      <c r="K117" t="n">
        <v>0</v>
      </c>
      <c r="L117" t="n">
        <v>44000</v>
      </c>
      <c r="M117" t="n">
        <v>55500</v>
      </c>
      <c r="N117" t="n">
        <v>91</v>
      </c>
      <c r="O117" t="n">
        <v>0.91</v>
      </c>
      <c r="P117" t="n">
        <v>1</v>
      </c>
      <c r="Q117" t="n">
        <v>0.02</v>
      </c>
      <c r="R117" t="n">
        <v>1</v>
      </c>
      <c r="S117" t="n">
        <v>1515.15</v>
      </c>
      <c r="T117" t="n">
        <v>10</v>
      </c>
      <c r="U117" t="n">
        <v>11</v>
      </c>
      <c r="V117" t="n">
        <v>30</v>
      </c>
      <c r="W117" t="n">
        <v>1</v>
      </c>
      <c r="X117" t="n">
        <v>219.7802197802198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12776</v>
      </c>
      <c r="AG117" t="n">
        <v>2122</v>
      </c>
      <c r="AH117" t="inlineStr">
        <is>
          <t>PT. SINAR PADANG LESTARI - PPN (PDG)</t>
        </is>
      </c>
      <c r="AI117" t="n">
        <v>38</v>
      </c>
      <c r="AJ117" t="inlineStr">
        <is>
          <t>AZARINE</t>
        </is>
      </c>
      <c r="AK117" t="n">
        <v>21</v>
      </c>
      <c r="AL117" t="inlineStr">
        <is>
          <t>Miss Glam Damar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"8997208071746"</f>
        <v/>
      </c>
      <c r="C118" t="inlineStr">
        <is>
          <t>AZARINE C White Ultra Hydraglow Day Cream Spf 30 25gr</t>
        </is>
      </c>
      <c r="D118" t="inlineStr">
        <is>
          <t>Miss Glam Damar</t>
        </is>
      </c>
      <c r="E118" t="n">
        <v>3</v>
      </c>
      <c r="F118" t="n">
        <v>0.0273</v>
      </c>
      <c r="G118" t="n">
        <v>0.91</v>
      </c>
      <c r="H118" t="n">
        <v>3</v>
      </c>
      <c r="I118" t="n">
        <v>11</v>
      </c>
      <c r="J118" t="n">
        <v>3</v>
      </c>
      <c r="K118" t="n">
        <v>0</v>
      </c>
      <c r="L118" t="n">
        <v>44000</v>
      </c>
      <c r="M118" t="n">
        <v>55000</v>
      </c>
      <c r="N118" t="n">
        <v>91</v>
      </c>
      <c r="O118" t="n">
        <v>0.91</v>
      </c>
      <c r="P118" t="n">
        <v>1</v>
      </c>
      <c r="Q118" t="n">
        <v>0.02</v>
      </c>
      <c r="R118" t="n">
        <v>1</v>
      </c>
      <c r="S118" t="n">
        <v>1501.5</v>
      </c>
      <c r="T118" t="n">
        <v>10</v>
      </c>
      <c r="U118" t="n">
        <v>11</v>
      </c>
      <c r="V118" t="n">
        <v>30</v>
      </c>
      <c r="W118" t="n">
        <v>1</v>
      </c>
      <c r="X118" t="n">
        <v>109.8901098901099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12776</v>
      </c>
      <c r="AG118" t="n">
        <v>2122</v>
      </c>
      <c r="AH118" t="inlineStr">
        <is>
          <t>PT. SINAR PADANG LESTARI - PPN (PDG)</t>
        </is>
      </c>
      <c r="AI118" t="n">
        <v>38</v>
      </c>
      <c r="AJ118" t="inlineStr">
        <is>
          <t>AZARINE</t>
        </is>
      </c>
      <c r="AK118" t="n">
        <v>21</v>
      </c>
      <c r="AL118" t="inlineStr">
        <is>
          <t>Miss Glam Damar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"8997208072590"</f>
        <v/>
      </c>
      <c r="C119" t="inlineStr">
        <is>
          <t>AZARINE Calm My Acne Sunscreen Moisturizer SPF 35 40ml</t>
        </is>
      </c>
      <c r="D119" t="inlineStr">
        <is>
          <t>Miss Glam Damar</t>
        </is>
      </c>
      <c r="E119" t="n">
        <v>32</v>
      </c>
      <c r="F119" t="n">
        <v>5.0414</v>
      </c>
      <c r="G119" t="n">
        <v>12.74</v>
      </c>
      <c r="H119" t="n">
        <v>3</v>
      </c>
      <c r="I119" t="n">
        <v>11</v>
      </c>
      <c r="J119" t="n">
        <v>3</v>
      </c>
      <c r="K119" t="n">
        <v>0</v>
      </c>
      <c r="L119" t="n">
        <v>28000</v>
      </c>
      <c r="M119" t="n">
        <v>35000</v>
      </c>
      <c r="N119" t="n">
        <v>91</v>
      </c>
      <c r="O119" t="n">
        <v>0.91</v>
      </c>
      <c r="P119" t="n">
        <v>1</v>
      </c>
      <c r="Q119" t="n">
        <v>2.63</v>
      </c>
      <c r="R119" t="n">
        <v>11</v>
      </c>
      <c r="S119" t="n">
        <v>176449</v>
      </c>
      <c r="T119" t="n">
        <v>126</v>
      </c>
      <c r="U119" t="n">
        <v>142</v>
      </c>
      <c r="V119" t="n">
        <v>30</v>
      </c>
      <c r="W119" t="n">
        <v>152</v>
      </c>
      <c r="X119" t="n">
        <v>6.347443170547863</v>
      </c>
      <c r="Y119" t="n">
        <v>1</v>
      </c>
      <c r="Z119" t="n">
        <v>120</v>
      </c>
      <c r="AA119" t="n">
        <v>24</v>
      </c>
      <c r="AB119" t="n">
        <v>96</v>
      </c>
      <c r="AC119" t="n">
        <v>96</v>
      </c>
      <c r="AD119" t="n">
        <v>672000</v>
      </c>
      <c r="AE119" t="n">
        <v>2688000</v>
      </c>
      <c r="AF119" t="n">
        <v>12776</v>
      </c>
      <c r="AG119" t="n">
        <v>2122</v>
      </c>
      <c r="AH119" t="inlineStr">
        <is>
          <t>PT. SINAR PADANG LESTARI - PPN (PDG)</t>
        </is>
      </c>
      <c r="AI119" t="n">
        <v>38</v>
      </c>
      <c r="AJ119" t="inlineStr">
        <is>
          <t>AZARINE</t>
        </is>
      </c>
      <c r="AK119" t="n">
        <v>21</v>
      </c>
      <c r="AL119" t="inlineStr">
        <is>
          <t>Miss Glam Damar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"8997208072026"</f>
        <v/>
      </c>
      <c r="C120" t="inlineStr">
        <is>
          <t>AZARINE Calming Skinpair Serum 20ml</t>
        </is>
      </c>
      <c r="D120" t="inlineStr">
        <is>
          <t>Miss Glam Damar</t>
        </is>
      </c>
      <c r="E120" t="n">
        <v>5</v>
      </c>
      <c r="F120" t="n">
        <v>0.02</v>
      </c>
      <c r="G120" t="n">
        <v>1</v>
      </c>
      <c r="H120" t="n">
        <v>3</v>
      </c>
      <c r="I120" t="n">
        <v>11</v>
      </c>
      <c r="J120" t="n">
        <v>3</v>
      </c>
      <c r="K120" t="n">
        <v>0</v>
      </c>
      <c r="L120" t="n">
        <v>47200</v>
      </c>
      <c r="M120" t="n">
        <v>59000</v>
      </c>
      <c r="N120" t="n">
        <v>91</v>
      </c>
      <c r="O120" t="n">
        <v>0.91</v>
      </c>
      <c r="P120" t="n">
        <v>0</v>
      </c>
      <c r="Q120" t="n">
        <v>0.02</v>
      </c>
      <c r="R120" t="n">
        <v>1</v>
      </c>
      <c r="S120" t="n">
        <v>1180</v>
      </c>
      <c r="T120" t="n">
        <v>11</v>
      </c>
      <c r="U120" t="n">
        <v>12</v>
      </c>
      <c r="V120" t="n">
        <v>30</v>
      </c>
      <c r="W120" t="n">
        <v>1</v>
      </c>
      <c r="X120" t="n">
        <v>250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12776</v>
      </c>
      <c r="AG120" t="n">
        <v>2122</v>
      </c>
      <c r="AH120" t="inlineStr">
        <is>
          <t>PT. SINAR PADANG LESTARI - PPN (PDG)</t>
        </is>
      </c>
      <c r="AI120" t="n">
        <v>38</v>
      </c>
      <c r="AJ120" t="inlineStr">
        <is>
          <t>AZARINE</t>
        </is>
      </c>
      <c r="AK120" t="n">
        <v>21</v>
      </c>
      <c r="AL120" t="inlineStr">
        <is>
          <t>Miss Glam Damar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"8997208072897"</f>
        <v/>
      </c>
      <c r="C121" t="inlineStr">
        <is>
          <t>AZARINE Chic To Cheek Blush 02 Manggo Tango 5,2gr</t>
        </is>
      </c>
      <c r="D121" t="inlineStr">
        <is>
          <t>Miss Glam Damar</t>
        </is>
      </c>
      <c r="E121" t="n">
        <v>4</v>
      </c>
      <c r="F121" t="n">
        <v>0.02</v>
      </c>
      <c r="G121" t="n">
        <v>1</v>
      </c>
      <c r="H121" t="n">
        <v>3</v>
      </c>
      <c r="I121" t="n">
        <v>11</v>
      </c>
      <c r="J121" t="n">
        <v>3</v>
      </c>
      <c r="K121" t="n">
        <v>0</v>
      </c>
      <c r="L121" t="n">
        <v>41600</v>
      </c>
      <c r="M121" t="n">
        <v>52000</v>
      </c>
      <c r="N121" t="n">
        <v>91</v>
      </c>
      <c r="O121" t="n">
        <v>0.91</v>
      </c>
      <c r="P121" t="n">
        <v>0</v>
      </c>
      <c r="Q121" t="n">
        <v>0.02</v>
      </c>
      <c r="R121" t="n">
        <v>1</v>
      </c>
      <c r="S121" t="n">
        <v>1040</v>
      </c>
      <c r="T121" t="n">
        <v>11</v>
      </c>
      <c r="U121" t="n">
        <v>12</v>
      </c>
      <c r="V121" t="n">
        <v>30</v>
      </c>
      <c r="W121" t="n">
        <v>1</v>
      </c>
      <c r="X121" t="n">
        <v>200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12776</v>
      </c>
      <c r="AG121" t="n">
        <v>2122</v>
      </c>
      <c r="AH121" t="inlineStr">
        <is>
          <t>PT. SINAR PADANG LESTARI - PPN (PDG)</t>
        </is>
      </c>
      <c r="AI121" t="n">
        <v>38</v>
      </c>
      <c r="AJ121" t="inlineStr">
        <is>
          <t>AZARINE</t>
        </is>
      </c>
      <c r="AK121" t="n">
        <v>21</v>
      </c>
      <c r="AL121" t="inlineStr">
        <is>
          <t>Miss Glam Damar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"8997208072606"</f>
        <v/>
      </c>
      <c r="C122" t="inlineStr">
        <is>
          <t>AZARINE Cicamide Barrier Sunscreen Moisturizer SPF 35 PA +++ 40gr</t>
        </is>
      </c>
      <c r="D122" t="inlineStr">
        <is>
          <t>Miss Glam Damar</t>
        </is>
      </c>
      <c r="E122" t="n">
        <v>56</v>
      </c>
      <c r="F122" t="n">
        <v>4.8139</v>
      </c>
      <c r="G122" t="n">
        <v>11.83</v>
      </c>
      <c r="H122" t="n">
        <v>3</v>
      </c>
      <c r="I122" t="n">
        <v>11</v>
      </c>
      <c r="J122" t="n">
        <v>36</v>
      </c>
      <c r="K122" t="n">
        <v>0</v>
      </c>
      <c r="L122" t="n">
        <v>28001</v>
      </c>
      <c r="M122" t="n">
        <v>35000</v>
      </c>
      <c r="N122" t="n">
        <v>91</v>
      </c>
      <c r="O122" t="n">
        <v>0.91</v>
      </c>
      <c r="P122" t="n">
        <v>1</v>
      </c>
      <c r="Q122" t="n">
        <v>2.75</v>
      </c>
      <c r="R122" t="n">
        <v>8</v>
      </c>
      <c r="S122" t="n">
        <v>168486.5</v>
      </c>
      <c r="T122" t="n">
        <v>116</v>
      </c>
      <c r="U122" t="n">
        <v>131</v>
      </c>
      <c r="V122" t="n">
        <v>30</v>
      </c>
      <c r="W122" t="n">
        <v>145</v>
      </c>
      <c r="X122" t="n">
        <v>11.63297949687364</v>
      </c>
      <c r="Y122" t="n">
        <v>1</v>
      </c>
      <c r="Z122" t="n">
        <v>89</v>
      </c>
      <c r="AA122" t="n">
        <v>0</v>
      </c>
      <c r="AB122" t="n">
        <v>89</v>
      </c>
      <c r="AC122" t="n">
        <v>89</v>
      </c>
      <c r="AD122" t="n">
        <v>0</v>
      </c>
      <c r="AE122" t="n">
        <v>2492089</v>
      </c>
      <c r="AF122" t="n">
        <v>12776</v>
      </c>
      <c r="AG122" t="n">
        <v>2122</v>
      </c>
      <c r="AH122" t="inlineStr">
        <is>
          <t>PT. SINAR PADANG LESTARI - PPN (PDG)</t>
        </is>
      </c>
      <c r="AI122" t="n">
        <v>38</v>
      </c>
      <c r="AJ122" t="inlineStr">
        <is>
          <t>AZARINE</t>
        </is>
      </c>
      <c r="AK122" t="n">
        <v>21</v>
      </c>
      <c r="AL122" t="inlineStr">
        <is>
          <t>Miss Glam Damar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"8997208071807"</f>
        <v/>
      </c>
      <c r="C123" t="inlineStr">
        <is>
          <t>AZARINE City Defense Sun Shield Serum SPF50 PA++++ 100ml</t>
        </is>
      </c>
      <c r="D123" t="inlineStr">
        <is>
          <t>Miss Glam Damar</t>
        </is>
      </c>
      <c r="E123" t="n">
        <v>8</v>
      </c>
      <c r="F123" t="n">
        <v>0.1092</v>
      </c>
      <c r="G123" t="n">
        <v>0.91</v>
      </c>
      <c r="H123" t="n">
        <v>3</v>
      </c>
      <c r="I123" t="n">
        <v>11</v>
      </c>
      <c r="J123" t="n">
        <v>3</v>
      </c>
      <c r="K123" t="n">
        <v>0</v>
      </c>
      <c r="L123" t="n">
        <v>60000</v>
      </c>
      <c r="M123" t="n">
        <v>75500</v>
      </c>
      <c r="N123" t="n">
        <v>91</v>
      </c>
      <c r="O123" t="n">
        <v>0.91</v>
      </c>
      <c r="P123" t="n">
        <v>1</v>
      </c>
      <c r="Q123" t="n">
        <v>0.29</v>
      </c>
      <c r="R123" t="n">
        <v>3</v>
      </c>
      <c r="S123" t="n">
        <v>8244.6</v>
      </c>
      <c r="T123" t="n">
        <v>10</v>
      </c>
      <c r="U123" t="n">
        <v>11</v>
      </c>
      <c r="V123" t="n">
        <v>30</v>
      </c>
      <c r="W123" t="n">
        <v>4</v>
      </c>
      <c r="X123" t="n">
        <v>73.26007326007326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12776</v>
      </c>
      <c r="AG123" t="n">
        <v>2122</v>
      </c>
      <c r="AH123" t="inlineStr">
        <is>
          <t>PT. SINAR PADANG LESTARI - PPN (PDG)</t>
        </is>
      </c>
      <c r="AI123" t="n">
        <v>38</v>
      </c>
      <c r="AJ123" t="inlineStr">
        <is>
          <t>AZARINE</t>
        </is>
      </c>
      <c r="AK123" t="n">
        <v>21</v>
      </c>
      <c r="AL123" t="inlineStr">
        <is>
          <t>Miss Glam Damar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"20100494328"</f>
        <v/>
      </c>
      <c r="C124" t="inlineStr">
        <is>
          <t>AZARINE Covermatte Sunscreen Cushion SPF50+ PA++++ 01 Eclair 11gr</t>
        </is>
      </c>
      <c r="D124" t="inlineStr">
        <is>
          <t>Miss Glam Damar</t>
        </is>
      </c>
      <c r="E124" t="n">
        <v>3</v>
      </c>
      <c r="F124" t="n">
        <v>0.02</v>
      </c>
      <c r="G124" t="n">
        <v>1</v>
      </c>
      <c r="H124" t="n">
        <v>3</v>
      </c>
      <c r="I124" t="n">
        <v>11</v>
      </c>
      <c r="J124" t="n">
        <v>1</v>
      </c>
      <c r="K124" t="n">
        <v>0</v>
      </c>
      <c r="L124" t="n">
        <v>68000</v>
      </c>
      <c r="M124" t="n">
        <v>74500</v>
      </c>
      <c r="N124" t="n">
        <v>91</v>
      </c>
      <c r="O124" t="n">
        <v>0.91</v>
      </c>
      <c r="P124" t="n">
        <v>0</v>
      </c>
      <c r="Q124" t="n">
        <v>0.02</v>
      </c>
      <c r="R124" t="n">
        <v>1</v>
      </c>
      <c r="S124" t="n">
        <v>1490</v>
      </c>
      <c r="T124" t="n">
        <v>11</v>
      </c>
      <c r="U124" t="n">
        <v>12</v>
      </c>
      <c r="V124" t="n">
        <v>30</v>
      </c>
      <c r="W124" t="n">
        <v>1</v>
      </c>
      <c r="X124" t="n">
        <v>150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12776</v>
      </c>
      <c r="AG124" t="n">
        <v>2122</v>
      </c>
      <c r="AH124" t="inlineStr">
        <is>
          <t>PT. SINAR PADANG LESTARI - PPN (PDG)</t>
        </is>
      </c>
      <c r="AI124" t="n">
        <v>38</v>
      </c>
      <c r="AJ124" t="inlineStr">
        <is>
          <t>AZARINE</t>
        </is>
      </c>
      <c r="AK124" t="n">
        <v>21</v>
      </c>
      <c r="AL124" t="inlineStr">
        <is>
          <t>Miss Glam Damar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"8997208072088"</f>
        <v/>
      </c>
      <c r="C125" t="inlineStr">
        <is>
          <t>AZARINE Daily Beginner Exfoliating Toner 90ml</t>
        </is>
      </c>
      <c r="D125" t="inlineStr">
        <is>
          <t>Miss Glam Damar</t>
        </is>
      </c>
      <c r="E125" t="n">
        <v>8</v>
      </c>
      <c r="F125" t="n">
        <v>0.04550000000000001</v>
      </c>
      <c r="G125" t="n">
        <v>1.82</v>
      </c>
      <c r="H125" t="n">
        <v>3</v>
      </c>
      <c r="I125" t="n">
        <v>11</v>
      </c>
      <c r="J125" t="n">
        <v>3</v>
      </c>
      <c r="K125" t="n">
        <v>0</v>
      </c>
      <c r="L125" t="n">
        <v>55200</v>
      </c>
      <c r="M125" t="n">
        <v>68000</v>
      </c>
      <c r="N125" t="n">
        <v>91</v>
      </c>
      <c r="O125" t="n">
        <v>0.91</v>
      </c>
      <c r="P125" t="n">
        <v>1</v>
      </c>
      <c r="Q125" t="n">
        <v>0.02</v>
      </c>
      <c r="R125" t="n">
        <v>1</v>
      </c>
      <c r="S125" t="n">
        <v>3094</v>
      </c>
      <c r="T125" t="n">
        <v>20</v>
      </c>
      <c r="U125" t="n">
        <v>21</v>
      </c>
      <c r="V125" t="n">
        <v>30</v>
      </c>
      <c r="W125" t="n">
        <v>2</v>
      </c>
      <c r="X125" t="n">
        <v>175.8241758241758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12776</v>
      </c>
      <c r="AG125" t="n">
        <v>2122</v>
      </c>
      <c r="AH125" t="inlineStr">
        <is>
          <t>PT. SINAR PADANG LESTARI - PPN (PDG)</t>
        </is>
      </c>
      <c r="AI125" t="n">
        <v>38</v>
      </c>
      <c r="AJ125" t="inlineStr">
        <is>
          <t>AZARINE</t>
        </is>
      </c>
      <c r="AK125" t="n">
        <v>21</v>
      </c>
      <c r="AL125" t="inlineStr">
        <is>
          <t>Miss Glam Damar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"8997208072927"</f>
        <v/>
      </c>
      <c r="C126" t="inlineStr">
        <is>
          <t>AZARINE Get Sunkkissed Bronzer 01 Hot Choco 5,2gr</t>
        </is>
      </c>
      <c r="D126" t="inlineStr">
        <is>
          <t>Miss Glam Damar</t>
        </is>
      </c>
      <c r="E126" t="n">
        <v>6</v>
      </c>
      <c r="F126" t="n">
        <v>0.06370000000000001</v>
      </c>
      <c r="G126" t="n">
        <v>0.91</v>
      </c>
      <c r="H126" t="n">
        <v>3</v>
      </c>
      <c r="I126" t="n">
        <v>11</v>
      </c>
      <c r="J126" t="n">
        <v>3</v>
      </c>
      <c r="K126" t="n">
        <v>0</v>
      </c>
      <c r="L126" t="n">
        <v>41600</v>
      </c>
      <c r="M126" t="n">
        <v>52000</v>
      </c>
      <c r="N126" t="n">
        <v>91</v>
      </c>
      <c r="O126" t="n">
        <v>0.91</v>
      </c>
      <c r="P126" t="n">
        <v>1</v>
      </c>
      <c r="Q126" t="n">
        <v>0.02</v>
      </c>
      <c r="R126" t="n">
        <v>1</v>
      </c>
      <c r="S126" t="n">
        <v>3312.400000000001</v>
      </c>
      <c r="T126" t="n">
        <v>10</v>
      </c>
      <c r="U126" t="n">
        <v>11</v>
      </c>
      <c r="V126" t="n">
        <v>30</v>
      </c>
      <c r="W126" t="n">
        <v>2</v>
      </c>
      <c r="X126" t="n">
        <v>94.19152276295132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12776</v>
      </c>
      <c r="AG126" t="n">
        <v>2122</v>
      </c>
      <c r="AH126" t="inlineStr">
        <is>
          <t>PT. SINAR PADANG LESTARI - PPN (PDG)</t>
        </is>
      </c>
      <c r="AI126" t="n">
        <v>38</v>
      </c>
      <c r="AJ126" t="inlineStr">
        <is>
          <t>AZARINE</t>
        </is>
      </c>
      <c r="AK126" t="n">
        <v>21</v>
      </c>
      <c r="AL126" t="inlineStr">
        <is>
          <t>Miss Glam Damar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"10700339725"</f>
        <v/>
      </c>
      <c r="C127" t="inlineStr">
        <is>
          <t>AZARINE Glowkiss Sunscreen Lip Balm - 01 Sunny Dew 3.5gr</t>
        </is>
      </c>
      <c r="D127" t="inlineStr">
        <is>
          <t>Miss Glam Damar</t>
        </is>
      </c>
      <c r="E127" t="n">
        <v>5</v>
      </c>
      <c r="F127" t="n">
        <v>0.0182</v>
      </c>
      <c r="G127" t="n">
        <v>0.91</v>
      </c>
      <c r="H127" t="n">
        <v>3</v>
      </c>
      <c r="I127" t="n">
        <v>11</v>
      </c>
      <c r="J127" t="n">
        <v>1</v>
      </c>
      <c r="K127" t="n">
        <v>0</v>
      </c>
      <c r="L127" t="n">
        <v>52000</v>
      </c>
      <c r="M127" t="n">
        <v>65000</v>
      </c>
      <c r="N127" t="n">
        <v>91</v>
      </c>
      <c r="O127" t="n">
        <v>0.91</v>
      </c>
      <c r="P127" t="n">
        <v>1</v>
      </c>
      <c r="Q127" t="n">
        <v>0.02</v>
      </c>
      <c r="R127" t="n">
        <v>1</v>
      </c>
      <c r="S127" t="n">
        <v>1183</v>
      </c>
      <c r="T127" t="n">
        <v>10</v>
      </c>
      <c r="U127" t="n">
        <v>11</v>
      </c>
      <c r="V127" t="n">
        <v>30</v>
      </c>
      <c r="W127" t="n">
        <v>1</v>
      </c>
      <c r="X127" t="n">
        <v>274.7252747252747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12776</v>
      </c>
      <c r="AG127" t="n">
        <v>2122</v>
      </c>
      <c r="AH127" t="inlineStr">
        <is>
          <t>PT. SINAR PADANG LESTARI - PPN (PDG)</t>
        </is>
      </c>
      <c r="AI127" t="n">
        <v>38</v>
      </c>
      <c r="AJ127" t="inlineStr">
        <is>
          <t>AZARINE</t>
        </is>
      </c>
      <c r="AK127" t="n">
        <v>21</v>
      </c>
      <c r="AL127" t="inlineStr">
        <is>
          <t>Miss Glam Damar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"8997208073146"</f>
        <v/>
      </c>
      <c r="C128" t="inlineStr">
        <is>
          <t>AZARINE Hydracool Ceraspray Sunscreen SPF 50++ 50ml</t>
        </is>
      </c>
      <c r="D128" t="inlineStr">
        <is>
          <t>Miss Glam Damar</t>
        </is>
      </c>
      <c r="E128" t="n">
        <v>0</v>
      </c>
      <c r="F128" t="n">
        <v>0.38</v>
      </c>
      <c r="G128" t="n">
        <v>2</v>
      </c>
      <c r="H128" t="n">
        <v>3</v>
      </c>
      <c r="I128" t="n">
        <v>11</v>
      </c>
      <c r="J128" t="n">
        <v>3</v>
      </c>
      <c r="K128" t="n">
        <v>0</v>
      </c>
      <c r="L128" t="n">
        <v>47200</v>
      </c>
      <c r="M128" t="n">
        <v>59000</v>
      </c>
      <c r="N128" t="n">
        <v>91</v>
      </c>
      <c r="O128" t="n">
        <v>0.91</v>
      </c>
      <c r="P128" t="n">
        <v>0</v>
      </c>
      <c r="Q128" t="n">
        <v>0.38</v>
      </c>
      <c r="R128" t="n">
        <v>2</v>
      </c>
      <c r="S128" t="n">
        <v>22420</v>
      </c>
      <c r="T128" t="n">
        <v>21</v>
      </c>
      <c r="U128" t="n">
        <v>23</v>
      </c>
      <c r="V128" t="n">
        <v>30</v>
      </c>
      <c r="W128" t="n">
        <v>12</v>
      </c>
      <c r="X128" t="n">
        <v>0</v>
      </c>
      <c r="Y128" t="n">
        <v>1</v>
      </c>
      <c r="Z128" t="n">
        <v>12</v>
      </c>
      <c r="AA128" t="n">
        <v>5</v>
      </c>
      <c r="AB128" t="n">
        <v>7</v>
      </c>
      <c r="AC128" t="n">
        <v>7</v>
      </c>
      <c r="AD128" t="n">
        <v>236000</v>
      </c>
      <c r="AE128" t="n">
        <v>330400</v>
      </c>
      <c r="AF128" t="n">
        <v>12776</v>
      </c>
      <c r="AG128" t="n">
        <v>2122</v>
      </c>
      <c r="AH128" t="inlineStr">
        <is>
          <t>PT. SINAR PADANG LESTARI - PPN (PDG)</t>
        </is>
      </c>
      <c r="AI128" t="n">
        <v>38</v>
      </c>
      <c r="AJ128" t="inlineStr">
        <is>
          <t>AZARINE</t>
        </is>
      </c>
      <c r="AK128" t="n">
        <v>21</v>
      </c>
      <c r="AL128" t="inlineStr">
        <is>
          <t>Miss Glam Damar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"8997208072163"</f>
        <v/>
      </c>
      <c r="C129" t="inlineStr">
        <is>
          <t>AZARINE Hydramax Water Bank Serum 20ml</t>
        </is>
      </c>
      <c r="D129" t="inlineStr">
        <is>
          <t>Miss Glam Damar</t>
        </is>
      </c>
      <c r="E129" t="n">
        <v>4</v>
      </c>
      <c r="F129" t="n">
        <v>0.0182</v>
      </c>
      <c r="G129" t="n">
        <v>0.91</v>
      </c>
      <c r="H129" t="n">
        <v>3</v>
      </c>
      <c r="I129" t="n">
        <v>11</v>
      </c>
      <c r="J129" t="n">
        <v>3</v>
      </c>
      <c r="K129" t="n">
        <v>0</v>
      </c>
      <c r="L129" t="n">
        <v>39200</v>
      </c>
      <c r="M129" t="n">
        <v>49000</v>
      </c>
      <c r="N129" t="n">
        <v>91</v>
      </c>
      <c r="O129" t="n">
        <v>0.91</v>
      </c>
      <c r="P129" t="n">
        <v>1</v>
      </c>
      <c r="Q129" t="n">
        <v>0.05</v>
      </c>
      <c r="R129" t="n">
        <v>1</v>
      </c>
      <c r="S129" t="n">
        <v>891.8000000000001</v>
      </c>
      <c r="T129" t="n">
        <v>10</v>
      </c>
      <c r="U129" t="n">
        <v>11</v>
      </c>
      <c r="V129" t="n">
        <v>30</v>
      </c>
      <c r="W129" t="n">
        <v>1</v>
      </c>
      <c r="X129" t="n">
        <v>219.7802197802198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12776</v>
      </c>
      <c r="AG129" t="n">
        <v>2122</v>
      </c>
      <c r="AH129" t="inlineStr">
        <is>
          <t>PT. SINAR PADANG LESTARI - PPN (PDG)</t>
        </is>
      </c>
      <c r="AI129" t="n">
        <v>38</v>
      </c>
      <c r="AJ129" t="inlineStr">
        <is>
          <t>AZARINE</t>
        </is>
      </c>
      <c r="AK129" t="n">
        <v>21</v>
      </c>
      <c r="AL129" t="inlineStr">
        <is>
          <t>Miss Glam Damar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"8997208072194"</f>
        <v/>
      </c>
      <c r="C130" t="inlineStr">
        <is>
          <t>AZARINE Hydramax-C Sunscreen Serum SPF 50 PA++++ 40ml</t>
        </is>
      </c>
      <c r="D130" t="inlineStr">
        <is>
          <t>Miss Glam Damar</t>
        </is>
      </c>
      <c r="E130" t="n">
        <v>62</v>
      </c>
      <c r="F130" t="n">
        <v>3.8584</v>
      </c>
      <c r="G130" t="n">
        <v>10.01</v>
      </c>
      <c r="H130" t="n">
        <v>3</v>
      </c>
      <c r="I130" t="n">
        <v>11</v>
      </c>
      <c r="J130" t="n">
        <v>3</v>
      </c>
      <c r="K130" t="n">
        <v>0</v>
      </c>
      <c r="L130" t="n">
        <v>47200</v>
      </c>
      <c r="M130" t="n">
        <v>59000</v>
      </c>
      <c r="N130" t="n">
        <v>91</v>
      </c>
      <c r="O130" t="n">
        <v>0.91</v>
      </c>
      <c r="P130" t="n">
        <v>1</v>
      </c>
      <c r="Q130" t="n">
        <v>2.71</v>
      </c>
      <c r="R130" t="n">
        <v>10</v>
      </c>
      <c r="S130" t="n">
        <v>227645.6</v>
      </c>
      <c r="T130" t="n">
        <v>99</v>
      </c>
      <c r="U130" t="n">
        <v>111</v>
      </c>
      <c r="V130" t="n">
        <v>30</v>
      </c>
      <c r="W130" t="n">
        <v>116</v>
      </c>
      <c r="X130" t="n">
        <v>16.0688368235538</v>
      </c>
      <c r="Y130" t="n">
        <v>1</v>
      </c>
      <c r="Z130" t="n">
        <v>54</v>
      </c>
      <c r="AA130" t="n">
        <v>0</v>
      </c>
      <c r="AB130" t="n">
        <v>54</v>
      </c>
      <c r="AC130" t="n">
        <v>54</v>
      </c>
      <c r="AD130" t="n">
        <v>0</v>
      </c>
      <c r="AE130" t="n">
        <v>2548800</v>
      </c>
      <c r="AF130" t="n">
        <v>12776</v>
      </c>
      <c r="AG130" t="n">
        <v>2122</v>
      </c>
      <c r="AH130" t="inlineStr">
        <is>
          <t>PT. SINAR PADANG LESTARI - PPN (PDG)</t>
        </is>
      </c>
      <c r="AI130" t="n">
        <v>38</v>
      </c>
      <c r="AJ130" t="inlineStr">
        <is>
          <t>AZARINE</t>
        </is>
      </c>
      <c r="AK130" t="n">
        <v>21</v>
      </c>
      <c r="AL130" t="inlineStr">
        <is>
          <t>Miss Glam Damar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"10400404443"</f>
        <v/>
      </c>
      <c r="C131" t="inlineStr">
        <is>
          <t>AZARINE Hydrasoothe Sunscreen Gel SPF 45 PA++++ 100ml</t>
        </is>
      </c>
      <c r="D131" t="inlineStr">
        <is>
          <t>Miss Glam Damar</t>
        </is>
      </c>
      <c r="E131" t="n">
        <v>17</v>
      </c>
      <c r="F131" t="n">
        <v>1.0647</v>
      </c>
      <c r="G131" t="n">
        <v>4.55</v>
      </c>
      <c r="H131" t="n">
        <v>3</v>
      </c>
      <c r="I131" t="n">
        <v>11</v>
      </c>
      <c r="J131" t="n">
        <v>3</v>
      </c>
      <c r="K131" t="n">
        <v>0</v>
      </c>
      <c r="L131" t="n">
        <v>92001</v>
      </c>
      <c r="M131" t="n">
        <v>115000</v>
      </c>
      <c r="N131" t="n">
        <v>91</v>
      </c>
      <c r="O131" t="n">
        <v>0.91</v>
      </c>
      <c r="P131" t="n">
        <v>1</v>
      </c>
      <c r="Q131" t="n">
        <v>1.24</v>
      </c>
      <c r="R131" t="n">
        <v>6</v>
      </c>
      <c r="S131" t="n">
        <v>122440.5</v>
      </c>
      <c r="T131" t="n">
        <v>47</v>
      </c>
      <c r="U131" t="n">
        <v>51</v>
      </c>
      <c r="V131" t="n">
        <v>30</v>
      </c>
      <c r="W131" t="n">
        <v>32</v>
      </c>
      <c r="X131" t="n">
        <v>15.96693904386212</v>
      </c>
      <c r="Y131" t="n">
        <v>1</v>
      </c>
      <c r="Z131" t="n">
        <v>15</v>
      </c>
      <c r="AA131" t="n">
        <v>0</v>
      </c>
      <c r="AB131" t="n">
        <v>15</v>
      </c>
      <c r="AC131" t="n">
        <v>15</v>
      </c>
      <c r="AD131" t="n">
        <v>0</v>
      </c>
      <c r="AE131" t="n">
        <v>1380015</v>
      </c>
      <c r="AF131" t="n">
        <v>12776</v>
      </c>
      <c r="AG131" t="n">
        <v>2122</v>
      </c>
      <c r="AH131" t="inlineStr">
        <is>
          <t>PT. SINAR PADANG LESTARI - PPN (PDG)</t>
        </is>
      </c>
      <c r="AI131" t="n">
        <v>38</v>
      </c>
      <c r="AJ131" t="inlineStr">
        <is>
          <t>AZARINE</t>
        </is>
      </c>
      <c r="AK131" t="n">
        <v>21</v>
      </c>
      <c r="AL131" t="inlineStr">
        <is>
          <t>Miss Glam Damar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"8997208072361"</f>
        <v/>
      </c>
      <c r="C132" t="inlineStr">
        <is>
          <t>AZARINE Hydrasoothe Sunscreen Gel Spf 45 PA++++ 30ml</t>
        </is>
      </c>
      <c r="D132" t="inlineStr">
        <is>
          <t>Miss Glam Damar</t>
        </is>
      </c>
      <c r="E132" t="n">
        <v>40</v>
      </c>
      <c r="F132" t="n">
        <v>3.4853</v>
      </c>
      <c r="G132" t="n">
        <v>8.19</v>
      </c>
      <c r="H132" t="n">
        <v>3</v>
      </c>
      <c r="I132" t="n">
        <v>11</v>
      </c>
      <c r="J132" t="n">
        <v>36</v>
      </c>
      <c r="K132" t="n">
        <v>0</v>
      </c>
      <c r="L132" t="n">
        <v>31200</v>
      </c>
      <c r="M132" t="n">
        <v>39000</v>
      </c>
      <c r="N132" t="n">
        <v>91</v>
      </c>
      <c r="O132" t="n">
        <v>0.91</v>
      </c>
      <c r="P132" t="n">
        <v>1</v>
      </c>
      <c r="Q132" t="n">
        <v>2.15</v>
      </c>
      <c r="R132" t="n">
        <v>5</v>
      </c>
      <c r="S132" t="n">
        <v>135926.7</v>
      </c>
      <c r="T132" t="n">
        <v>80</v>
      </c>
      <c r="U132" t="n">
        <v>91</v>
      </c>
      <c r="V132" t="n">
        <v>30</v>
      </c>
      <c r="W132" t="n">
        <v>105</v>
      </c>
      <c r="X132" t="n">
        <v>11.47677387886265</v>
      </c>
      <c r="Y132" t="n">
        <v>1</v>
      </c>
      <c r="Z132" t="n">
        <v>65</v>
      </c>
      <c r="AA132" t="n">
        <v>0</v>
      </c>
      <c r="AB132" t="n">
        <v>65</v>
      </c>
      <c r="AC132" t="n">
        <v>65</v>
      </c>
      <c r="AD132" t="n">
        <v>0</v>
      </c>
      <c r="AE132" t="n">
        <v>2028000</v>
      </c>
      <c r="AF132" t="n">
        <v>12776</v>
      </c>
      <c r="AG132" t="n">
        <v>2122</v>
      </c>
      <c r="AH132" t="inlineStr">
        <is>
          <t>PT. SINAR PADANG LESTARI - PPN (PDG)</t>
        </is>
      </c>
      <c r="AI132" t="n">
        <v>38</v>
      </c>
      <c r="AJ132" t="inlineStr">
        <is>
          <t>AZARINE</t>
        </is>
      </c>
      <c r="AK132" t="n">
        <v>21</v>
      </c>
      <c r="AL132" t="inlineStr">
        <is>
          <t>Miss Glam Damar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"8997208071791"</f>
        <v/>
      </c>
      <c r="C133" t="inlineStr">
        <is>
          <t>AZARINE Hydrasoothe Sunscreen Gel SPF 45 PA++++ 50ml</t>
        </is>
      </c>
      <c r="D133" t="inlineStr">
        <is>
          <t>Miss Glam Damar</t>
        </is>
      </c>
      <c r="E133" t="n">
        <v>85</v>
      </c>
      <c r="F133" t="n">
        <v>7.6622</v>
      </c>
      <c r="G133" t="n">
        <v>17.29</v>
      </c>
      <c r="H133" t="n">
        <v>3</v>
      </c>
      <c r="I133" t="n">
        <v>11</v>
      </c>
      <c r="J133" t="n">
        <v>3</v>
      </c>
      <c r="K133" t="n">
        <v>0</v>
      </c>
      <c r="L133" t="n">
        <v>47200</v>
      </c>
      <c r="M133" t="n">
        <v>59000</v>
      </c>
      <c r="N133" t="n">
        <v>91</v>
      </c>
      <c r="O133" t="n">
        <v>0.91</v>
      </c>
      <c r="P133" t="n">
        <v>1</v>
      </c>
      <c r="Q133" t="n">
        <v>6.1</v>
      </c>
      <c r="R133" t="n">
        <v>18</v>
      </c>
      <c r="S133" t="n">
        <v>452069.8</v>
      </c>
      <c r="T133" t="n">
        <v>168</v>
      </c>
      <c r="U133" t="n">
        <v>191</v>
      </c>
      <c r="V133" t="n">
        <v>30</v>
      </c>
      <c r="W133" t="n">
        <v>230</v>
      </c>
      <c r="X133" t="n">
        <v>11.09341964448853</v>
      </c>
      <c r="Y133" t="n">
        <v>1</v>
      </c>
      <c r="Z133" t="n">
        <v>145</v>
      </c>
      <c r="AA133" t="n">
        <v>0</v>
      </c>
      <c r="AB133" t="n">
        <v>145</v>
      </c>
      <c r="AC133" t="n">
        <v>145</v>
      </c>
      <c r="AD133" t="n">
        <v>0</v>
      </c>
      <c r="AE133" t="n">
        <v>6844000</v>
      </c>
      <c r="AF133" t="n">
        <v>12776</v>
      </c>
      <c r="AG133" t="n">
        <v>2122</v>
      </c>
      <c r="AH133" t="inlineStr">
        <is>
          <t>PT. SINAR PADANG LESTARI - PPN (PDG)</t>
        </is>
      </c>
      <c r="AI133" t="n">
        <v>38</v>
      </c>
      <c r="AJ133" t="inlineStr">
        <is>
          <t>AZARINE</t>
        </is>
      </c>
      <c r="AK133" t="n">
        <v>21</v>
      </c>
      <c r="AL133" t="inlineStr">
        <is>
          <t>Miss Glam Damar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"8997208073108"</f>
        <v/>
      </c>
      <c r="C134" t="inlineStr">
        <is>
          <t>AZARINE Intense Luminous Barrier Moisturizer 30gr</t>
        </is>
      </c>
      <c r="D134" t="inlineStr">
        <is>
          <t>Miss Glam Damar</t>
        </is>
      </c>
      <c r="E134" t="n">
        <v>23</v>
      </c>
      <c r="F134" t="n">
        <v>0.2912</v>
      </c>
      <c r="G134" t="n">
        <v>2.73</v>
      </c>
      <c r="H134" t="n">
        <v>3</v>
      </c>
      <c r="I134" t="n">
        <v>11</v>
      </c>
      <c r="J134" t="n">
        <v>3</v>
      </c>
      <c r="K134" t="n">
        <v>0</v>
      </c>
      <c r="L134" t="n">
        <v>38729</v>
      </c>
      <c r="M134" t="n">
        <v>48000</v>
      </c>
      <c r="N134" t="n">
        <v>91</v>
      </c>
      <c r="O134" t="n">
        <v>0.91</v>
      </c>
      <c r="P134" t="n">
        <v>1</v>
      </c>
      <c r="Q134" t="n">
        <v>0.29</v>
      </c>
      <c r="R134" t="n">
        <v>3</v>
      </c>
      <c r="S134" t="n">
        <v>13977.6</v>
      </c>
      <c r="T134" t="n">
        <v>30</v>
      </c>
      <c r="U134" t="n">
        <v>31</v>
      </c>
      <c r="V134" t="n">
        <v>30</v>
      </c>
      <c r="W134" t="n">
        <v>9</v>
      </c>
      <c r="X134" t="n">
        <v>78.98351648351648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12776</v>
      </c>
      <c r="AG134" t="n">
        <v>2122</v>
      </c>
      <c r="AH134" t="inlineStr">
        <is>
          <t>PT. SINAR PADANG LESTARI - PPN (PDG)</t>
        </is>
      </c>
      <c r="AI134" t="n">
        <v>38</v>
      </c>
      <c r="AJ134" t="inlineStr">
        <is>
          <t>AZARINE</t>
        </is>
      </c>
      <c r="AK134" t="n">
        <v>21</v>
      </c>
      <c r="AL134" t="inlineStr">
        <is>
          <t>Miss Glam Damar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"10400311153"</f>
        <v/>
      </c>
      <c r="C135" t="inlineStr">
        <is>
          <t>AZARINE Invisipore Primer Sunscreen SPF 50 PA++++ 30gr</t>
        </is>
      </c>
      <c r="D135" t="inlineStr">
        <is>
          <t>Miss Glam Damar</t>
        </is>
      </c>
      <c r="E135" t="n">
        <v>5</v>
      </c>
      <c r="F135" t="n">
        <v>0.0273</v>
      </c>
      <c r="G135" t="n">
        <v>0.91</v>
      </c>
      <c r="H135" t="n">
        <v>3</v>
      </c>
      <c r="I135" t="n">
        <v>11</v>
      </c>
      <c r="J135" t="n">
        <v>1</v>
      </c>
      <c r="K135" t="n">
        <v>0</v>
      </c>
      <c r="L135" t="n">
        <v>52000</v>
      </c>
      <c r="M135" t="n">
        <v>63000</v>
      </c>
      <c r="N135" t="n">
        <v>91</v>
      </c>
      <c r="O135" t="n">
        <v>0.91</v>
      </c>
      <c r="P135" t="n">
        <v>1</v>
      </c>
      <c r="Q135" t="n">
        <v>0.02</v>
      </c>
      <c r="R135" t="n">
        <v>1</v>
      </c>
      <c r="S135" t="n">
        <v>1719.9</v>
      </c>
      <c r="T135" t="n">
        <v>10</v>
      </c>
      <c r="U135" t="n">
        <v>11</v>
      </c>
      <c r="V135" t="n">
        <v>30</v>
      </c>
      <c r="W135" t="n">
        <v>1</v>
      </c>
      <c r="X135" t="n">
        <v>183.1501831501832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12776</v>
      </c>
      <c r="AG135" t="n">
        <v>2122</v>
      </c>
      <c r="AH135" t="inlineStr">
        <is>
          <t>PT. SINAR PADANG LESTARI - PPN (PDG)</t>
        </is>
      </c>
      <c r="AI135" t="n">
        <v>38</v>
      </c>
      <c r="AJ135" t="inlineStr">
        <is>
          <t>AZARINE</t>
        </is>
      </c>
      <c r="AK135" t="n">
        <v>21</v>
      </c>
      <c r="AL135" t="inlineStr">
        <is>
          <t>Miss Glam Damar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"8997208074273"</f>
        <v/>
      </c>
      <c r="C136" t="inlineStr">
        <is>
          <t>AZARINE It's So Perfect Powder Foundation 220 Ginger 8gr</t>
        </is>
      </c>
      <c r="D136" t="inlineStr">
        <is>
          <t>Miss Glam Damar</t>
        </is>
      </c>
      <c r="E136" t="n">
        <v>2</v>
      </c>
      <c r="F136" t="n">
        <v>0.04550000000000001</v>
      </c>
      <c r="G136" t="n">
        <v>0.91</v>
      </c>
      <c r="H136" t="n">
        <v>3</v>
      </c>
      <c r="I136" t="n">
        <v>11</v>
      </c>
      <c r="J136" t="n">
        <v>3</v>
      </c>
      <c r="K136" t="n">
        <v>0</v>
      </c>
      <c r="L136" t="n">
        <v>60000</v>
      </c>
      <c r="M136" t="n">
        <v>73000</v>
      </c>
      <c r="N136" t="n">
        <v>91</v>
      </c>
      <c r="O136" t="n">
        <v>0.91</v>
      </c>
      <c r="P136" t="n">
        <v>1</v>
      </c>
      <c r="Q136" t="n">
        <v>0.02</v>
      </c>
      <c r="R136" t="n">
        <v>0</v>
      </c>
      <c r="S136" t="n">
        <v>3321.5</v>
      </c>
      <c r="T136" t="n">
        <v>10</v>
      </c>
      <c r="U136" t="n">
        <v>11</v>
      </c>
      <c r="V136" t="n">
        <v>30</v>
      </c>
      <c r="W136" t="n">
        <v>2</v>
      </c>
      <c r="X136" t="n">
        <v>43.95604395604395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12776</v>
      </c>
      <c r="AG136" t="n">
        <v>2122</v>
      </c>
      <c r="AH136" t="inlineStr">
        <is>
          <t>PT. SINAR PADANG LESTARI - PPN (PDG)</t>
        </is>
      </c>
      <c r="AI136" t="n">
        <v>38</v>
      </c>
      <c r="AJ136" t="inlineStr">
        <is>
          <t>AZARINE</t>
        </is>
      </c>
      <c r="AK136" t="n">
        <v>21</v>
      </c>
      <c r="AL136" t="inlineStr">
        <is>
          <t>Miss Glam Damar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"8997208074174"</f>
        <v/>
      </c>
      <c r="C137" t="inlineStr">
        <is>
          <t>AZARINE Kids Fun In The Sun SPF 40 PA+++ 40ml</t>
        </is>
      </c>
      <c r="D137" t="inlineStr">
        <is>
          <t>Miss Glam Damar</t>
        </is>
      </c>
      <c r="E137" t="n">
        <v>1</v>
      </c>
      <c r="F137" t="n">
        <v>0.2457</v>
      </c>
      <c r="G137" t="n">
        <v>1.82</v>
      </c>
      <c r="H137" t="n">
        <v>3</v>
      </c>
      <c r="I137" t="n">
        <v>11</v>
      </c>
      <c r="J137" t="n">
        <v>3</v>
      </c>
      <c r="K137" t="n">
        <v>0</v>
      </c>
      <c r="L137" t="n">
        <v>67213</v>
      </c>
      <c r="M137" t="n">
        <v>89000</v>
      </c>
      <c r="N137" t="n">
        <v>91</v>
      </c>
      <c r="O137" t="n">
        <v>0.91</v>
      </c>
      <c r="P137" t="n">
        <v>1</v>
      </c>
      <c r="Q137" t="n">
        <v>0.39</v>
      </c>
      <c r="R137" t="n">
        <v>2</v>
      </c>
      <c r="S137" t="n">
        <v>21867.3</v>
      </c>
      <c r="T137" t="n">
        <v>20</v>
      </c>
      <c r="U137" t="n">
        <v>21</v>
      </c>
      <c r="V137" t="n">
        <v>30</v>
      </c>
      <c r="W137" t="n">
        <v>8</v>
      </c>
      <c r="X137" t="n">
        <v>4.070004070004069</v>
      </c>
      <c r="Y137" t="n">
        <v>1</v>
      </c>
      <c r="Z137" t="n">
        <v>7</v>
      </c>
      <c r="AA137" t="n">
        <v>2</v>
      </c>
      <c r="AB137" t="n">
        <v>5</v>
      </c>
      <c r="AC137" t="n">
        <v>5</v>
      </c>
      <c r="AD137" t="n">
        <v>134426</v>
      </c>
      <c r="AE137" t="n">
        <v>336065</v>
      </c>
      <c r="AF137" t="n">
        <v>12776</v>
      </c>
      <c r="AG137" t="n">
        <v>2122</v>
      </c>
      <c r="AH137" t="inlineStr">
        <is>
          <t>PT. SINAR PADANG LESTARI - PPN (PDG)</t>
        </is>
      </c>
      <c r="AI137" t="n">
        <v>38</v>
      </c>
      <c r="AJ137" t="inlineStr">
        <is>
          <t>AZARINE</t>
        </is>
      </c>
      <c r="AK137" t="n">
        <v>21</v>
      </c>
      <c r="AL137" t="inlineStr">
        <is>
          <t>Miss Glam Damar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"20300199123"</f>
        <v/>
      </c>
      <c r="C138" t="inlineStr">
        <is>
          <t>AZARINE Mattelite Lock Lipstick – 01 Stardust</t>
        </is>
      </c>
      <c r="D138" t="inlineStr">
        <is>
          <t>Miss Glam Damar</t>
        </is>
      </c>
      <c r="E138" t="n">
        <v>6</v>
      </c>
      <c r="F138" t="n">
        <v>0.0182</v>
      </c>
      <c r="G138" t="n">
        <v>0.91</v>
      </c>
      <c r="H138" t="n">
        <v>3</v>
      </c>
      <c r="I138" t="n">
        <v>11</v>
      </c>
      <c r="J138" t="n">
        <v>1</v>
      </c>
      <c r="K138" t="n">
        <v>0</v>
      </c>
      <c r="L138" t="n">
        <v>47200</v>
      </c>
      <c r="M138" t="n">
        <v>59000</v>
      </c>
      <c r="N138" t="n">
        <v>91</v>
      </c>
      <c r="O138" t="n">
        <v>0.91</v>
      </c>
      <c r="P138" t="n">
        <v>1</v>
      </c>
      <c r="Q138" t="n">
        <v>0.02</v>
      </c>
      <c r="R138" t="n">
        <v>0</v>
      </c>
      <c r="S138" t="n">
        <v>1073.8</v>
      </c>
      <c r="T138" t="n">
        <v>10</v>
      </c>
      <c r="U138" t="n">
        <v>11</v>
      </c>
      <c r="V138" t="n">
        <v>30</v>
      </c>
      <c r="W138" t="n">
        <v>1</v>
      </c>
      <c r="X138" t="n">
        <v>329.6703296703296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12776</v>
      </c>
      <c r="AG138" t="n">
        <v>2122</v>
      </c>
      <c r="AH138" t="inlineStr">
        <is>
          <t>PT. SINAR PADANG LESTARI - PPN (PDG)</t>
        </is>
      </c>
      <c r="AI138" t="n">
        <v>38</v>
      </c>
      <c r="AJ138" t="inlineStr">
        <is>
          <t>AZARINE</t>
        </is>
      </c>
      <c r="AK138" t="n">
        <v>21</v>
      </c>
      <c r="AL138" t="inlineStr">
        <is>
          <t>Miss Glam Damar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"20300199630"</f>
        <v/>
      </c>
      <c r="C139" t="inlineStr">
        <is>
          <t>AZARINE Mattelite Lock Lipstick – 06 Supernova</t>
        </is>
      </c>
      <c r="D139" t="inlineStr">
        <is>
          <t>Miss Glam Damar</t>
        </is>
      </c>
      <c r="E139" t="n">
        <v>5</v>
      </c>
      <c r="F139" t="n">
        <v>0.04550000000000001</v>
      </c>
      <c r="G139" t="n">
        <v>0.91</v>
      </c>
      <c r="H139" t="n">
        <v>3</v>
      </c>
      <c r="I139" t="n">
        <v>11</v>
      </c>
      <c r="J139" t="n">
        <v>1</v>
      </c>
      <c r="K139" t="n">
        <v>0</v>
      </c>
      <c r="L139" t="n">
        <v>47200</v>
      </c>
      <c r="M139" t="n">
        <v>59000</v>
      </c>
      <c r="N139" t="n">
        <v>91</v>
      </c>
      <c r="O139" t="n">
        <v>0.91</v>
      </c>
      <c r="P139" t="n">
        <v>1</v>
      </c>
      <c r="Q139" t="n">
        <v>0.02</v>
      </c>
      <c r="R139" t="n">
        <v>1</v>
      </c>
      <c r="S139" t="n">
        <v>2684.5</v>
      </c>
      <c r="T139" t="n">
        <v>10</v>
      </c>
      <c r="U139" t="n">
        <v>11</v>
      </c>
      <c r="V139" t="n">
        <v>30</v>
      </c>
      <c r="W139" t="n">
        <v>2</v>
      </c>
      <c r="X139" t="n">
        <v>109.8901098901099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12776</v>
      </c>
      <c r="AG139" t="n">
        <v>2122</v>
      </c>
      <c r="AH139" t="inlineStr">
        <is>
          <t>PT. SINAR PADANG LESTARI - PPN (PDG)</t>
        </is>
      </c>
      <c r="AI139" t="n">
        <v>38</v>
      </c>
      <c r="AJ139" t="inlineStr">
        <is>
          <t>AZARINE</t>
        </is>
      </c>
      <c r="AK139" t="n">
        <v>21</v>
      </c>
      <c r="AL139" t="inlineStr">
        <is>
          <t>Miss Glam Damar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"203001100103"</f>
        <v/>
      </c>
      <c r="C140" t="inlineStr">
        <is>
          <t>AZARINE Mattelite Lock Lipstick – 11 Eclipse</t>
        </is>
      </c>
      <c r="D140" t="inlineStr">
        <is>
          <t>Miss Glam Damar</t>
        </is>
      </c>
      <c r="E140" t="n">
        <v>2</v>
      </c>
      <c r="F140" t="n">
        <v>0.0273</v>
      </c>
      <c r="G140" t="n">
        <v>0.91</v>
      </c>
      <c r="H140" t="n">
        <v>3</v>
      </c>
      <c r="I140" t="n">
        <v>11</v>
      </c>
      <c r="J140" t="n">
        <v>1</v>
      </c>
      <c r="K140" t="n">
        <v>0</v>
      </c>
      <c r="L140" t="n">
        <v>47200</v>
      </c>
      <c r="M140" t="n">
        <v>59000</v>
      </c>
      <c r="N140" t="n">
        <v>91</v>
      </c>
      <c r="O140" t="n">
        <v>0.91</v>
      </c>
      <c r="P140" t="n">
        <v>1</v>
      </c>
      <c r="Q140" t="n">
        <v>0.02</v>
      </c>
      <c r="R140" t="n">
        <v>1</v>
      </c>
      <c r="S140" t="n">
        <v>1610.7</v>
      </c>
      <c r="T140" t="n">
        <v>10</v>
      </c>
      <c r="U140" t="n">
        <v>11</v>
      </c>
      <c r="V140" t="n">
        <v>30</v>
      </c>
      <c r="W140" t="n">
        <v>1</v>
      </c>
      <c r="X140" t="n">
        <v>73.26007326007326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12776</v>
      </c>
      <c r="AG140" t="n">
        <v>2122</v>
      </c>
      <c r="AH140" t="inlineStr">
        <is>
          <t>PT. SINAR PADANG LESTARI - PPN (PDG)</t>
        </is>
      </c>
      <c r="AI140" t="n">
        <v>38</v>
      </c>
      <c r="AJ140" t="inlineStr">
        <is>
          <t>AZARINE</t>
        </is>
      </c>
      <c r="AK140" t="n">
        <v>21</v>
      </c>
      <c r="AL140" t="inlineStr">
        <is>
          <t>Miss Glam Damar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"8997208072064"</f>
        <v/>
      </c>
      <c r="C141" t="inlineStr">
        <is>
          <t>AZARINE Moisture Rich Hydrating Toner 90ml</t>
        </is>
      </c>
      <c r="D141" t="inlineStr">
        <is>
          <t>Miss Glam Damar</t>
        </is>
      </c>
      <c r="E141" t="n">
        <v>6</v>
      </c>
      <c r="F141" t="n">
        <v>0.06370000000000001</v>
      </c>
      <c r="G141" t="n">
        <v>0.91</v>
      </c>
      <c r="H141" t="n">
        <v>3</v>
      </c>
      <c r="I141" t="n">
        <v>11</v>
      </c>
      <c r="J141" t="n">
        <v>3</v>
      </c>
      <c r="K141" t="n">
        <v>0</v>
      </c>
      <c r="L141" t="n">
        <v>55200</v>
      </c>
      <c r="M141" t="n">
        <v>68000</v>
      </c>
      <c r="N141" t="n">
        <v>91</v>
      </c>
      <c r="O141" t="n">
        <v>0.91</v>
      </c>
      <c r="P141" t="n">
        <v>1</v>
      </c>
      <c r="Q141" t="n">
        <v>0.03</v>
      </c>
      <c r="R141" t="n">
        <v>1</v>
      </c>
      <c r="S141" t="n">
        <v>4331.6</v>
      </c>
      <c r="T141" t="n">
        <v>10</v>
      </c>
      <c r="U141" t="n">
        <v>11</v>
      </c>
      <c r="V141" t="n">
        <v>30</v>
      </c>
      <c r="W141" t="n">
        <v>2</v>
      </c>
      <c r="X141" t="n">
        <v>94.19152276295132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12776</v>
      </c>
      <c r="AG141" t="n">
        <v>2122</v>
      </c>
      <c r="AH141" t="inlineStr">
        <is>
          <t>PT. SINAR PADANG LESTARI - PPN (PDG)</t>
        </is>
      </c>
      <c r="AI141" t="n">
        <v>38</v>
      </c>
      <c r="AJ141" t="inlineStr">
        <is>
          <t>AZARINE</t>
        </is>
      </c>
      <c r="AK141" t="n">
        <v>21</v>
      </c>
      <c r="AL141" t="inlineStr">
        <is>
          <t>Miss Glam Damar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"8997208072569"</f>
        <v/>
      </c>
      <c r="C142" t="inlineStr">
        <is>
          <t>AZARINE Niacinamide 10% + Dipotassium Glycyrrhizate Glorious Serum 20ml</t>
        </is>
      </c>
      <c r="D142" t="inlineStr">
        <is>
          <t>Miss Glam Damar</t>
        </is>
      </c>
      <c r="E142" t="n">
        <v>4</v>
      </c>
      <c r="F142" t="n">
        <v>0.0273</v>
      </c>
      <c r="G142" t="n">
        <v>0.91</v>
      </c>
      <c r="H142" t="n">
        <v>3</v>
      </c>
      <c r="I142" t="n">
        <v>11</v>
      </c>
      <c r="J142" t="n">
        <v>3</v>
      </c>
      <c r="K142" t="n">
        <v>0</v>
      </c>
      <c r="L142" t="n">
        <v>71200</v>
      </c>
      <c r="M142" t="n">
        <v>89000</v>
      </c>
      <c r="N142" t="n">
        <v>91</v>
      </c>
      <c r="O142" t="n">
        <v>0.91</v>
      </c>
      <c r="P142" t="n">
        <v>1</v>
      </c>
      <c r="Q142" t="n">
        <v>0.02</v>
      </c>
      <c r="R142" t="n">
        <v>1</v>
      </c>
      <c r="S142" t="n">
        <v>2429.7</v>
      </c>
      <c r="T142" t="n">
        <v>10</v>
      </c>
      <c r="U142" t="n">
        <v>11</v>
      </c>
      <c r="V142" t="n">
        <v>30</v>
      </c>
      <c r="W142" t="n">
        <v>1</v>
      </c>
      <c r="X142" t="n">
        <v>146.5201465201465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12776</v>
      </c>
      <c r="AG142" t="n">
        <v>2122</v>
      </c>
      <c r="AH142" t="inlineStr">
        <is>
          <t>PT. SINAR PADANG LESTARI - PPN (PDG)</t>
        </is>
      </c>
      <c r="AI142" t="n">
        <v>38</v>
      </c>
      <c r="AJ142" t="inlineStr">
        <is>
          <t>AZARINE</t>
        </is>
      </c>
      <c r="AK142" t="n">
        <v>21</v>
      </c>
      <c r="AL142" t="inlineStr">
        <is>
          <t>Miss Glam Damar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"8997208072033"</f>
        <v/>
      </c>
      <c r="C143" t="inlineStr">
        <is>
          <t>AZARINE Niacinamide 5% + Moisture Sepiwhite Serum 20ml</t>
        </is>
      </c>
      <c r="D143" t="inlineStr">
        <is>
          <t>Miss Glam Damar</t>
        </is>
      </c>
      <c r="E143" t="n">
        <v>5</v>
      </c>
      <c r="F143" t="n">
        <v>0.1365</v>
      </c>
      <c r="G143" t="n">
        <v>1.82</v>
      </c>
      <c r="H143" t="n">
        <v>3</v>
      </c>
      <c r="I143" t="n">
        <v>11</v>
      </c>
      <c r="J143" t="n">
        <v>3</v>
      </c>
      <c r="K143" t="n">
        <v>0</v>
      </c>
      <c r="L143" t="n">
        <v>47200</v>
      </c>
      <c r="M143" t="n">
        <v>59000</v>
      </c>
      <c r="N143" t="n">
        <v>91</v>
      </c>
      <c r="O143" t="n">
        <v>0.91</v>
      </c>
      <c r="P143" t="n">
        <v>1</v>
      </c>
      <c r="Q143" t="n">
        <v>0.07000000000000001</v>
      </c>
      <c r="R143" t="n">
        <v>1</v>
      </c>
      <c r="S143" t="n">
        <v>8053.500000000001</v>
      </c>
      <c r="T143" t="n">
        <v>20</v>
      </c>
      <c r="U143" t="n">
        <v>21</v>
      </c>
      <c r="V143" t="n">
        <v>30</v>
      </c>
      <c r="W143" t="n">
        <v>5</v>
      </c>
      <c r="X143" t="n">
        <v>36.63003663003663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12776</v>
      </c>
      <c r="AG143" t="n">
        <v>2122</v>
      </c>
      <c r="AH143" t="inlineStr">
        <is>
          <t>PT. SINAR PADANG LESTARI - PPN (PDG)</t>
        </is>
      </c>
      <c r="AI143" t="n">
        <v>38</v>
      </c>
      <c r="AJ143" t="inlineStr">
        <is>
          <t>AZARINE</t>
        </is>
      </c>
      <c r="AK143" t="n">
        <v>21</v>
      </c>
      <c r="AL143" t="inlineStr">
        <is>
          <t>Miss Glam Damar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"8997208072729"</f>
        <v/>
      </c>
      <c r="C144" t="inlineStr">
        <is>
          <t>AZARINE Oh! My Brow Definer 01 Eyeppuccino Dark Brown 0.06gr</t>
        </is>
      </c>
      <c r="D144" t="inlineStr">
        <is>
          <t>Miss Glam Damar</t>
        </is>
      </c>
      <c r="E144" t="n">
        <v>9</v>
      </c>
      <c r="F144" t="n">
        <v>0.2275</v>
      </c>
      <c r="G144" t="n">
        <v>1.82</v>
      </c>
      <c r="H144" t="n">
        <v>3</v>
      </c>
      <c r="I144" t="n">
        <v>11</v>
      </c>
      <c r="J144" t="n">
        <v>3</v>
      </c>
      <c r="K144" t="n">
        <v>0</v>
      </c>
      <c r="L144" t="n">
        <v>35521</v>
      </c>
      <c r="M144" t="n">
        <v>45000</v>
      </c>
      <c r="N144" t="n">
        <v>91</v>
      </c>
      <c r="O144" t="n">
        <v>0.91</v>
      </c>
      <c r="P144" t="n">
        <v>1</v>
      </c>
      <c r="Q144" t="n">
        <v>0.36</v>
      </c>
      <c r="R144" t="n">
        <v>4</v>
      </c>
      <c r="S144" t="n">
        <v>10237.5</v>
      </c>
      <c r="T144" t="n">
        <v>20</v>
      </c>
      <c r="U144" t="n">
        <v>21</v>
      </c>
      <c r="V144" t="n">
        <v>30</v>
      </c>
      <c r="W144" t="n">
        <v>7</v>
      </c>
      <c r="X144" t="n">
        <v>39.56043956043956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12776</v>
      </c>
      <c r="AG144" t="n">
        <v>2122</v>
      </c>
      <c r="AH144" t="inlineStr">
        <is>
          <t>PT. SINAR PADANG LESTARI - PPN (PDG)</t>
        </is>
      </c>
      <c r="AI144" t="n">
        <v>38</v>
      </c>
      <c r="AJ144" t="inlineStr">
        <is>
          <t>AZARINE</t>
        </is>
      </c>
      <c r="AK144" t="n">
        <v>21</v>
      </c>
      <c r="AL144" t="inlineStr">
        <is>
          <t>Miss Glam Damar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"8997208072712"</f>
        <v/>
      </c>
      <c r="C145" t="inlineStr">
        <is>
          <t>AZARINE Oh! My Brow Definer 02 Eyecchiato Warm Brown 0.06gr</t>
        </is>
      </c>
      <c r="D145" t="inlineStr">
        <is>
          <t>Miss Glam Damar</t>
        </is>
      </c>
      <c r="E145" t="n">
        <v>8</v>
      </c>
      <c r="F145" t="n">
        <v>0.1274</v>
      </c>
      <c r="G145" t="n">
        <v>0.91</v>
      </c>
      <c r="H145" t="n">
        <v>3</v>
      </c>
      <c r="I145" t="n">
        <v>11</v>
      </c>
      <c r="J145" t="n">
        <v>3</v>
      </c>
      <c r="K145" t="n">
        <v>0</v>
      </c>
      <c r="L145" t="n">
        <v>36000</v>
      </c>
      <c r="M145" t="n">
        <v>45000</v>
      </c>
      <c r="N145" t="n">
        <v>91</v>
      </c>
      <c r="O145" t="n">
        <v>0.91</v>
      </c>
      <c r="P145" t="n">
        <v>1</v>
      </c>
      <c r="Q145" t="n">
        <v>0.17</v>
      </c>
      <c r="R145" t="n">
        <v>2</v>
      </c>
      <c r="S145" t="n">
        <v>5733.000000000001</v>
      </c>
      <c r="T145" t="n">
        <v>10</v>
      </c>
      <c r="U145" t="n">
        <v>11</v>
      </c>
      <c r="V145" t="n">
        <v>30</v>
      </c>
      <c r="W145" t="n">
        <v>4</v>
      </c>
      <c r="X145" t="n">
        <v>62.79434850863422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12776</v>
      </c>
      <c r="AG145" t="n">
        <v>2122</v>
      </c>
      <c r="AH145" t="inlineStr">
        <is>
          <t>PT. SINAR PADANG LESTARI - PPN (PDG)</t>
        </is>
      </c>
      <c r="AI145" t="n">
        <v>38</v>
      </c>
      <c r="AJ145" t="inlineStr">
        <is>
          <t>AZARINE</t>
        </is>
      </c>
      <c r="AK145" t="n">
        <v>21</v>
      </c>
      <c r="AL145" t="inlineStr">
        <is>
          <t>Miss Glam Damar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"8997208072736"</f>
        <v/>
      </c>
      <c r="C146" t="inlineStr">
        <is>
          <t>AZARINE Oh! My Brow Definer 03 Eyepresso Ash Grey 0.06gr</t>
        </is>
      </c>
      <c r="D146" t="inlineStr">
        <is>
          <t>Miss Glam Damar</t>
        </is>
      </c>
      <c r="E146" t="n">
        <v>10</v>
      </c>
      <c r="F146" t="n">
        <v>0.0273</v>
      </c>
      <c r="G146" t="n">
        <v>0.91</v>
      </c>
      <c r="H146" t="n">
        <v>3</v>
      </c>
      <c r="I146" t="n">
        <v>11</v>
      </c>
      <c r="J146" t="n">
        <v>3</v>
      </c>
      <c r="K146" t="n">
        <v>0</v>
      </c>
      <c r="L146" t="n">
        <v>36000</v>
      </c>
      <c r="M146" t="n">
        <v>45000</v>
      </c>
      <c r="N146" t="n">
        <v>91</v>
      </c>
      <c r="O146" t="n">
        <v>0.91</v>
      </c>
      <c r="P146" t="n">
        <v>1</v>
      </c>
      <c r="Q146" t="n">
        <v>0.07000000000000001</v>
      </c>
      <c r="R146" t="n">
        <v>1</v>
      </c>
      <c r="S146" t="n">
        <v>1228.5</v>
      </c>
      <c r="T146" t="n">
        <v>10</v>
      </c>
      <c r="U146" t="n">
        <v>11</v>
      </c>
      <c r="V146" t="n">
        <v>30</v>
      </c>
      <c r="W146" t="n">
        <v>1</v>
      </c>
      <c r="X146" t="n">
        <v>366.3003663003663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12776</v>
      </c>
      <c r="AG146" t="n">
        <v>2122</v>
      </c>
      <c r="AH146" t="inlineStr">
        <is>
          <t>PT. SINAR PADANG LESTARI - PPN (PDG)</t>
        </is>
      </c>
      <c r="AI146" t="n">
        <v>38</v>
      </c>
      <c r="AJ146" t="inlineStr">
        <is>
          <t>AZARINE</t>
        </is>
      </c>
      <c r="AK146" t="n">
        <v>21</v>
      </c>
      <c r="AL146" t="inlineStr">
        <is>
          <t>Miss Glam Damar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"8997208072750"</f>
        <v/>
      </c>
      <c r="C147" t="inlineStr">
        <is>
          <t>AZARINE Oh! So Fine Liner 02 Eyeffogatto Brown 1.5ml</t>
        </is>
      </c>
      <c r="D147" t="inlineStr">
        <is>
          <t>Miss Glam Damar</t>
        </is>
      </c>
      <c r="E147" t="n">
        <v>1</v>
      </c>
      <c r="F147" t="n">
        <v>0.02</v>
      </c>
      <c r="G147" t="n">
        <v>1</v>
      </c>
      <c r="H147" t="n">
        <v>3</v>
      </c>
      <c r="I147" t="n">
        <v>11</v>
      </c>
      <c r="J147" t="n">
        <v>3</v>
      </c>
      <c r="K147" t="n">
        <v>0</v>
      </c>
      <c r="L147" t="n">
        <v>36000</v>
      </c>
      <c r="M147" t="n">
        <v>45000</v>
      </c>
      <c r="N147" t="n">
        <v>91</v>
      </c>
      <c r="O147" t="n">
        <v>0.91</v>
      </c>
      <c r="P147" t="n">
        <v>0</v>
      </c>
      <c r="Q147" t="n">
        <v>0.02</v>
      </c>
      <c r="R147" t="n">
        <v>1</v>
      </c>
      <c r="S147" t="n">
        <v>900</v>
      </c>
      <c r="T147" t="n">
        <v>11</v>
      </c>
      <c r="U147" t="n">
        <v>12</v>
      </c>
      <c r="V147" t="n">
        <v>30</v>
      </c>
      <c r="W147" t="n">
        <v>1</v>
      </c>
      <c r="X147" t="n">
        <v>50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12776</v>
      </c>
      <c r="AG147" t="n">
        <v>2122</v>
      </c>
      <c r="AH147" t="inlineStr">
        <is>
          <t>PT. SINAR PADANG LESTARI - PPN (PDG)</t>
        </is>
      </c>
      <c r="AI147" t="n">
        <v>38</v>
      </c>
      <c r="AJ147" t="inlineStr">
        <is>
          <t>AZARINE</t>
        </is>
      </c>
      <c r="AK147" t="n">
        <v>21</v>
      </c>
      <c r="AL147" t="inlineStr">
        <is>
          <t>Miss Glam Damar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"8997208071951"</f>
        <v/>
      </c>
      <c r="C148" t="inlineStr">
        <is>
          <t>AZARINE Oil Free Brightening Daily Moisturizer 40gr</t>
        </is>
      </c>
      <c r="D148" t="inlineStr">
        <is>
          <t>Miss Glam Damar</t>
        </is>
      </c>
      <c r="E148" t="n">
        <v>3</v>
      </c>
      <c r="F148" t="n">
        <v>0.09100000000000001</v>
      </c>
      <c r="G148" t="n">
        <v>1.82</v>
      </c>
      <c r="H148" t="n">
        <v>3</v>
      </c>
      <c r="I148" t="n">
        <v>11</v>
      </c>
      <c r="J148" t="n">
        <v>3</v>
      </c>
      <c r="K148" t="n">
        <v>0</v>
      </c>
      <c r="L148" t="n">
        <v>45501</v>
      </c>
      <c r="M148" t="n">
        <v>59000</v>
      </c>
      <c r="N148" t="n">
        <v>91</v>
      </c>
      <c r="O148" t="n">
        <v>0.91</v>
      </c>
      <c r="P148" t="n">
        <v>1</v>
      </c>
      <c r="Q148" t="n">
        <v>0.08</v>
      </c>
      <c r="R148" t="n">
        <v>1</v>
      </c>
      <c r="S148" t="n">
        <v>5369.000000000001</v>
      </c>
      <c r="T148" t="n">
        <v>20</v>
      </c>
      <c r="U148" t="n">
        <v>21</v>
      </c>
      <c r="V148" t="n">
        <v>30</v>
      </c>
      <c r="W148" t="n">
        <v>3</v>
      </c>
      <c r="X148" t="n">
        <v>32.96703296703296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12776</v>
      </c>
      <c r="AG148" t="n">
        <v>2122</v>
      </c>
      <c r="AH148" t="inlineStr">
        <is>
          <t>PT. SINAR PADANG LESTARI - PPN (PDG)</t>
        </is>
      </c>
      <c r="AI148" t="n">
        <v>38</v>
      </c>
      <c r="AJ148" t="inlineStr">
        <is>
          <t>AZARINE</t>
        </is>
      </c>
      <c r="AK148" t="n">
        <v>21</v>
      </c>
      <c r="AL148" t="inlineStr">
        <is>
          <t>Miss Glam Damar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"8997208072903"</f>
        <v/>
      </c>
      <c r="C149" t="inlineStr">
        <is>
          <t>AZARINE Pop The Soda Highlighter 01 Apple Fizz 3gr</t>
        </is>
      </c>
      <c r="D149" t="inlineStr">
        <is>
          <t>Miss Glam Damar</t>
        </is>
      </c>
      <c r="E149" t="n">
        <v>4</v>
      </c>
      <c r="F149" t="n">
        <v>0.0182</v>
      </c>
      <c r="G149" t="n">
        <v>0.91</v>
      </c>
      <c r="H149" t="n">
        <v>3</v>
      </c>
      <c r="I149" t="n">
        <v>11</v>
      </c>
      <c r="J149" t="n">
        <v>3</v>
      </c>
      <c r="K149" t="n">
        <v>0</v>
      </c>
      <c r="L149" t="n">
        <v>41600</v>
      </c>
      <c r="M149" t="n">
        <v>52000</v>
      </c>
      <c r="N149" t="n">
        <v>91</v>
      </c>
      <c r="O149" t="n">
        <v>0.91</v>
      </c>
      <c r="P149" t="n">
        <v>1</v>
      </c>
      <c r="Q149" t="n">
        <v>0.03</v>
      </c>
      <c r="R149" t="n">
        <v>1</v>
      </c>
      <c r="S149" t="n">
        <v>946.4000000000001</v>
      </c>
      <c r="T149" t="n">
        <v>10</v>
      </c>
      <c r="U149" t="n">
        <v>11</v>
      </c>
      <c r="V149" t="n">
        <v>30</v>
      </c>
      <c r="W149" t="n">
        <v>1</v>
      </c>
      <c r="X149" t="n">
        <v>219.7802197802198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12776</v>
      </c>
      <c r="AG149" t="n">
        <v>2122</v>
      </c>
      <c r="AH149" t="inlineStr">
        <is>
          <t>PT. SINAR PADANG LESTARI - PPN (PDG)</t>
        </is>
      </c>
      <c r="AI149" t="n">
        <v>38</v>
      </c>
      <c r="AJ149" t="inlineStr">
        <is>
          <t>AZARINE</t>
        </is>
      </c>
      <c r="AK149" t="n">
        <v>21</v>
      </c>
      <c r="AL149" t="inlineStr">
        <is>
          <t>Miss Glam Damar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"8997208073115"</f>
        <v/>
      </c>
      <c r="C150" t="inlineStr">
        <is>
          <t>AZARINE Pure Radiance Barrier Moisturizer 30gr</t>
        </is>
      </c>
      <c r="D150" t="inlineStr">
        <is>
          <t>Miss Glam Damar</t>
        </is>
      </c>
      <c r="E150" t="n">
        <v>0</v>
      </c>
      <c r="F150" t="n">
        <v>0.2184</v>
      </c>
      <c r="G150" t="n">
        <v>2.73</v>
      </c>
      <c r="H150" t="n">
        <v>3</v>
      </c>
      <c r="I150" t="n">
        <v>11</v>
      </c>
      <c r="J150" t="n">
        <v>3</v>
      </c>
      <c r="K150" t="n">
        <v>0</v>
      </c>
      <c r="L150" t="n">
        <v>39200</v>
      </c>
      <c r="M150" t="n">
        <v>48000</v>
      </c>
      <c r="N150" t="n">
        <v>91</v>
      </c>
      <c r="O150" t="n">
        <v>0.91</v>
      </c>
      <c r="P150" t="n">
        <v>1</v>
      </c>
      <c r="Q150" t="n">
        <v>0.14</v>
      </c>
      <c r="R150" t="n">
        <v>1</v>
      </c>
      <c r="S150" t="n">
        <v>10483.2</v>
      </c>
      <c r="T150" t="n">
        <v>30</v>
      </c>
      <c r="U150" t="n">
        <v>31</v>
      </c>
      <c r="V150" t="n">
        <v>30</v>
      </c>
      <c r="W150" t="n">
        <v>7</v>
      </c>
      <c r="X150" t="n">
        <v>0</v>
      </c>
      <c r="Y150" t="n">
        <v>1</v>
      </c>
      <c r="Z150" t="n">
        <v>7</v>
      </c>
      <c r="AA150" t="n">
        <v>3</v>
      </c>
      <c r="AB150" t="n">
        <v>4</v>
      </c>
      <c r="AC150" t="n">
        <v>4</v>
      </c>
      <c r="AD150" t="n">
        <v>117600</v>
      </c>
      <c r="AE150" t="n">
        <v>156800</v>
      </c>
      <c r="AF150" t="n">
        <v>12776</v>
      </c>
      <c r="AG150" t="n">
        <v>2122</v>
      </c>
      <c r="AH150" t="inlineStr">
        <is>
          <t>PT. SINAR PADANG LESTARI - PPN (PDG)</t>
        </is>
      </c>
      <c r="AI150" t="n">
        <v>38</v>
      </c>
      <c r="AJ150" t="inlineStr">
        <is>
          <t>AZARINE</t>
        </is>
      </c>
      <c r="AK150" t="n">
        <v>21</v>
      </c>
      <c r="AL150" t="inlineStr">
        <is>
          <t>Miss Glam Damar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"8997208072170"</f>
        <v/>
      </c>
      <c r="C151" t="inlineStr">
        <is>
          <t>AZARINE Radiant Luminous Serum 20ml</t>
        </is>
      </c>
      <c r="D151" t="inlineStr">
        <is>
          <t>Miss Glam Damar</t>
        </is>
      </c>
      <c r="E151" t="n">
        <v>2</v>
      </c>
      <c r="F151" t="n">
        <v>0.06370000000000001</v>
      </c>
      <c r="G151" t="n">
        <v>0.91</v>
      </c>
      <c r="H151" t="n">
        <v>3</v>
      </c>
      <c r="I151" t="n">
        <v>11</v>
      </c>
      <c r="J151" t="n">
        <v>3</v>
      </c>
      <c r="K151" t="n">
        <v>0</v>
      </c>
      <c r="L151" t="n">
        <v>39200</v>
      </c>
      <c r="M151" t="n">
        <v>48000</v>
      </c>
      <c r="N151" t="n">
        <v>91</v>
      </c>
      <c r="O151" t="n">
        <v>0.91</v>
      </c>
      <c r="P151" t="n">
        <v>1</v>
      </c>
      <c r="Q151" t="n">
        <v>0.02</v>
      </c>
      <c r="R151" t="n">
        <v>1</v>
      </c>
      <c r="S151" t="n">
        <v>3057.6</v>
      </c>
      <c r="T151" t="n">
        <v>10</v>
      </c>
      <c r="U151" t="n">
        <v>11</v>
      </c>
      <c r="V151" t="n">
        <v>30</v>
      </c>
      <c r="W151" t="n">
        <v>2</v>
      </c>
      <c r="X151" t="n">
        <v>31.39717425431711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12776</v>
      </c>
      <c r="AG151" t="n">
        <v>2122</v>
      </c>
      <c r="AH151" t="inlineStr">
        <is>
          <t>PT. SINAR PADANG LESTARI - PPN (PDG)</t>
        </is>
      </c>
      <c r="AI151" t="n">
        <v>38</v>
      </c>
      <c r="AJ151" t="inlineStr">
        <is>
          <t>AZARINE</t>
        </is>
      </c>
      <c r="AK151" t="n">
        <v>21</v>
      </c>
      <c r="AL151" t="inlineStr">
        <is>
          <t>Miss Glam Damar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"8997208072583"</f>
        <v/>
      </c>
      <c r="C152" t="inlineStr">
        <is>
          <t>AZARINE Retinol Complex + 5x Ceramide Mighty Serum Multifunction Supreme Night Elixir 20ml</t>
        </is>
      </c>
      <c r="D152" t="inlineStr">
        <is>
          <t>Miss Glam Damar</t>
        </is>
      </c>
      <c r="E152" t="n">
        <v>4</v>
      </c>
      <c r="F152" t="n">
        <v>0.02</v>
      </c>
      <c r="G152" t="n">
        <v>1</v>
      </c>
      <c r="H152" t="n">
        <v>3</v>
      </c>
      <c r="I152" t="n">
        <v>11</v>
      </c>
      <c r="J152" t="n">
        <v>3</v>
      </c>
      <c r="K152" t="n">
        <v>0</v>
      </c>
      <c r="L152" t="n">
        <v>71200</v>
      </c>
      <c r="M152" t="n">
        <v>89000</v>
      </c>
      <c r="N152" t="n">
        <v>91</v>
      </c>
      <c r="O152" t="n">
        <v>0.91</v>
      </c>
      <c r="P152" t="n">
        <v>0</v>
      </c>
      <c r="Q152" t="n">
        <v>0.02</v>
      </c>
      <c r="R152" t="n">
        <v>1</v>
      </c>
      <c r="S152" t="n">
        <v>1780</v>
      </c>
      <c r="T152" t="n">
        <v>11</v>
      </c>
      <c r="U152" t="n">
        <v>12</v>
      </c>
      <c r="V152" t="n">
        <v>30</v>
      </c>
      <c r="W152" t="n">
        <v>1</v>
      </c>
      <c r="X152" t="n">
        <v>200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12776</v>
      </c>
      <c r="AG152" t="n">
        <v>2122</v>
      </c>
      <c r="AH152" t="inlineStr">
        <is>
          <t>PT. SINAR PADANG LESTARI - PPN (PDG)</t>
        </is>
      </c>
      <c r="AI152" t="n">
        <v>38</v>
      </c>
      <c r="AJ152" t="inlineStr">
        <is>
          <t>AZARINE</t>
        </is>
      </c>
      <c r="AK152" t="n">
        <v>21</v>
      </c>
      <c r="AL152" t="inlineStr">
        <is>
          <t>Miss Glam Damar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"8997208072187"</f>
        <v/>
      </c>
      <c r="C153" t="inlineStr">
        <is>
          <t>AZARINE Retinol Smooth Glowing Serum 20ml</t>
        </is>
      </c>
      <c r="D153" t="inlineStr">
        <is>
          <t>Miss Glam Damar</t>
        </is>
      </c>
      <c r="E153" t="n">
        <v>2</v>
      </c>
      <c r="F153" t="n">
        <v>0.0273</v>
      </c>
      <c r="G153" t="n">
        <v>0.91</v>
      </c>
      <c r="H153" t="n">
        <v>3</v>
      </c>
      <c r="I153" t="n">
        <v>11</v>
      </c>
      <c r="J153" t="n">
        <v>3</v>
      </c>
      <c r="K153" t="n">
        <v>0</v>
      </c>
      <c r="L153" t="n">
        <v>47200</v>
      </c>
      <c r="M153" t="n">
        <v>59000</v>
      </c>
      <c r="N153" t="n">
        <v>91</v>
      </c>
      <c r="O153" t="n">
        <v>0.91</v>
      </c>
      <c r="P153" t="n">
        <v>1</v>
      </c>
      <c r="Q153" t="n">
        <v>0.03</v>
      </c>
      <c r="R153" t="n">
        <v>1</v>
      </c>
      <c r="S153" t="n">
        <v>1610.7</v>
      </c>
      <c r="T153" t="n">
        <v>10</v>
      </c>
      <c r="U153" t="n">
        <v>11</v>
      </c>
      <c r="V153" t="n">
        <v>30</v>
      </c>
      <c r="W153" t="n">
        <v>1</v>
      </c>
      <c r="X153" t="n">
        <v>73.26007326007326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12776</v>
      </c>
      <c r="AG153" t="n">
        <v>2122</v>
      </c>
      <c r="AH153" t="inlineStr">
        <is>
          <t>PT. SINAR PADANG LESTARI - PPN (PDG)</t>
        </is>
      </c>
      <c r="AI153" t="n">
        <v>38</v>
      </c>
      <c r="AJ153" t="inlineStr">
        <is>
          <t>AZARINE</t>
        </is>
      </c>
      <c r="AK153" t="n">
        <v>21</v>
      </c>
      <c r="AL153" t="inlineStr">
        <is>
          <t>Miss Glam Damar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AZARINE</t>
        </is>
      </c>
      <c r="B154" s="2">
        <f>"8997208071944"</f>
        <v/>
      </c>
      <c r="C154" t="inlineStr">
        <is>
          <t>AZARINE Revitalizing Anti Aging Serum 20ml</t>
        </is>
      </c>
      <c r="D154" t="inlineStr">
        <is>
          <t>Miss Glam Damar</t>
        </is>
      </c>
      <c r="E154" t="n">
        <v>5</v>
      </c>
      <c r="F154" t="n">
        <v>0.0364</v>
      </c>
      <c r="G154" t="n">
        <v>0.91</v>
      </c>
      <c r="H154" t="n">
        <v>3</v>
      </c>
      <c r="I154" t="n">
        <v>11</v>
      </c>
      <c r="J154" t="n">
        <v>3</v>
      </c>
      <c r="K154" t="n">
        <v>0</v>
      </c>
      <c r="L154" t="n">
        <v>47200</v>
      </c>
      <c r="M154" t="n">
        <v>59000</v>
      </c>
      <c r="N154" t="n">
        <v>91</v>
      </c>
      <c r="O154" t="n">
        <v>0.91</v>
      </c>
      <c r="P154" t="n">
        <v>1</v>
      </c>
      <c r="Q154" t="n">
        <v>0.03</v>
      </c>
      <c r="R154" t="n">
        <v>1</v>
      </c>
      <c r="S154" t="n">
        <v>2147.6</v>
      </c>
      <c r="T154" t="n">
        <v>10</v>
      </c>
      <c r="U154" t="n">
        <v>11</v>
      </c>
      <c r="V154" t="n">
        <v>30</v>
      </c>
      <c r="W154" t="n">
        <v>2</v>
      </c>
      <c r="X154" t="n">
        <v>137.3626373626373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12776</v>
      </c>
      <c r="AG154" t="n">
        <v>2122</v>
      </c>
      <c r="AH154" t="inlineStr">
        <is>
          <t>PT. SINAR PADANG LESTARI - PPN (PDG)</t>
        </is>
      </c>
      <c r="AI154" t="n">
        <v>38</v>
      </c>
      <c r="AJ154" t="inlineStr">
        <is>
          <t>AZARINE</t>
        </is>
      </c>
      <c r="AK154" t="n">
        <v>21</v>
      </c>
      <c r="AL154" t="inlineStr">
        <is>
          <t>Miss Glam Damar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AZARINE</t>
        </is>
      </c>
      <c r="B155" s="2">
        <f>"102002107356"</f>
        <v/>
      </c>
      <c r="C155" t="inlineStr">
        <is>
          <t>AZARINE Supreme Glow Brightening Moisturizer 20ml</t>
        </is>
      </c>
      <c r="D155" t="inlineStr">
        <is>
          <t>Miss Glam Damar</t>
        </is>
      </c>
      <c r="E155" t="n">
        <v>9</v>
      </c>
      <c r="F155" t="n">
        <v>0.3367</v>
      </c>
      <c r="G155" t="n">
        <v>2.73</v>
      </c>
      <c r="H155" t="n">
        <v>3</v>
      </c>
      <c r="I155" t="n">
        <v>11</v>
      </c>
      <c r="J155" t="n">
        <v>3</v>
      </c>
      <c r="K155" t="n">
        <v>0</v>
      </c>
      <c r="L155" t="n">
        <v>43200</v>
      </c>
      <c r="M155" t="n">
        <v>54000</v>
      </c>
      <c r="N155" t="n">
        <v>91</v>
      </c>
      <c r="O155" t="n">
        <v>0.91</v>
      </c>
      <c r="P155" t="n">
        <v>1</v>
      </c>
      <c r="Q155" t="n">
        <v>0.27</v>
      </c>
      <c r="R155" t="n">
        <v>2</v>
      </c>
      <c r="S155" t="n">
        <v>18181.8</v>
      </c>
      <c r="T155" t="n">
        <v>30</v>
      </c>
      <c r="U155" t="n">
        <v>32</v>
      </c>
      <c r="V155" t="n">
        <v>30</v>
      </c>
      <c r="W155" t="n">
        <v>11</v>
      </c>
      <c r="X155" t="n">
        <v>26.73002673002673</v>
      </c>
      <c r="Y155" t="n">
        <v>1</v>
      </c>
      <c r="Z155" t="n">
        <v>2</v>
      </c>
      <c r="AA155" t="n">
        <v>0</v>
      </c>
      <c r="AB155" t="n">
        <v>2</v>
      </c>
      <c r="AC155" t="n">
        <v>3</v>
      </c>
      <c r="AD155" t="n">
        <v>0</v>
      </c>
      <c r="AE155" t="n">
        <v>129600</v>
      </c>
      <c r="AF155" t="n">
        <v>12776</v>
      </c>
      <c r="AG155" t="n">
        <v>2122</v>
      </c>
      <c r="AH155" t="inlineStr">
        <is>
          <t>PT. SINAR PADANG LESTARI - PPN (PDG)</t>
        </is>
      </c>
      <c r="AI155" t="n">
        <v>38</v>
      </c>
      <c r="AJ155" t="inlineStr">
        <is>
          <t>AZARINE</t>
        </is>
      </c>
      <c r="AK155" t="n">
        <v>21</v>
      </c>
      <c r="AL155" t="inlineStr">
        <is>
          <t>Miss Glam Damar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AZARINE</t>
        </is>
      </c>
      <c r="B156" s="2">
        <f>"8997208072644"</f>
        <v/>
      </c>
      <c r="C156" t="inlineStr">
        <is>
          <t>AZARINE Tinted Lippie Cake 02 Choco Biscuit 2.9ml</t>
        </is>
      </c>
      <c r="D156" t="inlineStr">
        <is>
          <t>Miss Glam Damar</t>
        </is>
      </c>
      <c r="E156" t="n">
        <v>3</v>
      </c>
      <c r="F156" t="n">
        <v>0.0273</v>
      </c>
      <c r="G156" t="n">
        <v>1.82</v>
      </c>
      <c r="H156" t="n">
        <v>3</v>
      </c>
      <c r="I156" t="n">
        <v>11</v>
      </c>
      <c r="J156" t="n">
        <v>3</v>
      </c>
      <c r="K156" t="n">
        <v>0</v>
      </c>
      <c r="L156" t="n">
        <v>33600</v>
      </c>
      <c r="M156" t="n">
        <v>39900</v>
      </c>
      <c r="N156" t="n">
        <v>91</v>
      </c>
      <c r="O156" t="n">
        <v>0.91</v>
      </c>
      <c r="P156" t="n">
        <v>1</v>
      </c>
      <c r="Q156" t="n">
        <v>0.02</v>
      </c>
      <c r="R156" t="n">
        <v>1</v>
      </c>
      <c r="S156" t="n">
        <v>1089.27</v>
      </c>
      <c r="T156" t="n">
        <v>20</v>
      </c>
      <c r="U156" t="n">
        <v>21</v>
      </c>
      <c r="V156" t="n">
        <v>30</v>
      </c>
      <c r="W156" t="n">
        <v>1</v>
      </c>
      <c r="X156" t="n">
        <v>109.8901098901099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12776</v>
      </c>
      <c r="AG156" t="n">
        <v>2122</v>
      </c>
      <c r="AH156" t="inlineStr">
        <is>
          <t>PT. SINAR PADANG LESTARI - PPN (PDG)</t>
        </is>
      </c>
      <c r="AI156" t="n">
        <v>38</v>
      </c>
      <c r="AJ156" t="inlineStr">
        <is>
          <t>AZARINE</t>
        </is>
      </c>
      <c r="AK156" t="n">
        <v>21</v>
      </c>
      <c r="AL156" t="inlineStr">
        <is>
          <t>Miss Glam Damar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AZARINE</t>
        </is>
      </c>
      <c r="B157" s="2">
        <f>"8997208072651"</f>
        <v/>
      </c>
      <c r="C157" t="inlineStr">
        <is>
          <t>AZARINE Tinted Lippie Cake 03 Pumpkin Cake 2.9ml</t>
        </is>
      </c>
      <c r="D157" t="inlineStr">
        <is>
          <t>Miss Glam Damar</t>
        </is>
      </c>
      <c r="E157" t="n">
        <v>3</v>
      </c>
      <c r="F157" t="n">
        <v>0.0182</v>
      </c>
      <c r="G157" t="n">
        <v>0.91</v>
      </c>
      <c r="H157" t="n">
        <v>3</v>
      </c>
      <c r="I157" t="n">
        <v>11</v>
      </c>
      <c r="J157" t="n">
        <v>3</v>
      </c>
      <c r="K157" t="n">
        <v>0</v>
      </c>
      <c r="L157" t="n">
        <v>33600</v>
      </c>
      <c r="M157" t="n">
        <v>39900</v>
      </c>
      <c r="N157" t="n">
        <v>91</v>
      </c>
      <c r="O157" t="n">
        <v>0.91</v>
      </c>
      <c r="P157" t="n">
        <v>1</v>
      </c>
      <c r="Q157" t="n">
        <v>0.02</v>
      </c>
      <c r="R157" t="n">
        <v>1</v>
      </c>
      <c r="S157" t="n">
        <v>726.1800000000001</v>
      </c>
      <c r="T157" t="n">
        <v>10</v>
      </c>
      <c r="U157" t="n">
        <v>11</v>
      </c>
      <c r="V157" t="n">
        <v>30</v>
      </c>
      <c r="W157" t="n">
        <v>1</v>
      </c>
      <c r="X157" t="n">
        <v>164.8351648351648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12776</v>
      </c>
      <c r="AG157" t="n">
        <v>2122</v>
      </c>
      <c r="AH157" t="inlineStr">
        <is>
          <t>PT. SINAR PADANG LESTARI - PPN (PDG)</t>
        </is>
      </c>
      <c r="AI157" t="n">
        <v>38</v>
      </c>
      <c r="AJ157" t="inlineStr">
        <is>
          <t>AZARINE</t>
        </is>
      </c>
      <c r="AK157" t="n">
        <v>21</v>
      </c>
      <c r="AL157" t="inlineStr">
        <is>
          <t>Miss Glam Damar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AZARINE</t>
        </is>
      </c>
      <c r="B158" s="2">
        <f>"8997208072675"</f>
        <v/>
      </c>
      <c r="C158" t="inlineStr">
        <is>
          <t>AZARINE Tinted Lippie Cake 05 Strawberry Pie 2.9ml</t>
        </is>
      </c>
      <c r="D158" t="inlineStr">
        <is>
          <t>Miss Glam Damar</t>
        </is>
      </c>
      <c r="E158" t="n">
        <v>4</v>
      </c>
      <c r="F158" t="n">
        <v>0.14</v>
      </c>
      <c r="G158" t="n">
        <v>3</v>
      </c>
      <c r="H158" t="n">
        <v>3</v>
      </c>
      <c r="I158" t="n">
        <v>11</v>
      </c>
      <c r="J158" t="n">
        <v>3</v>
      </c>
      <c r="K158" t="n">
        <v>0</v>
      </c>
      <c r="L158" t="n">
        <v>32088</v>
      </c>
      <c r="M158" t="n">
        <v>39900</v>
      </c>
      <c r="N158" t="n">
        <v>91</v>
      </c>
      <c r="O158" t="n">
        <v>0.91</v>
      </c>
      <c r="P158" t="n">
        <v>0</v>
      </c>
      <c r="Q158" t="n">
        <v>0.14</v>
      </c>
      <c r="R158" t="n">
        <v>3</v>
      </c>
      <c r="S158" t="n">
        <v>5586.000000000001</v>
      </c>
      <c r="T158" t="n">
        <v>33</v>
      </c>
      <c r="U158" t="n">
        <v>34</v>
      </c>
      <c r="V158" t="n">
        <v>30</v>
      </c>
      <c r="W158" t="n">
        <v>5</v>
      </c>
      <c r="X158" t="n">
        <v>28.57142857142857</v>
      </c>
      <c r="Y158" t="n">
        <v>1</v>
      </c>
      <c r="Z158" t="n">
        <v>1</v>
      </c>
      <c r="AA158" t="n">
        <v>0</v>
      </c>
      <c r="AB158" t="n">
        <v>1</v>
      </c>
      <c r="AC158" t="n">
        <v>3</v>
      </c>
      <c r="AD158" t="n">
        <v>0</v>
      </c>
      <c r="AE158" t="n">
        <v>96264</v>
      </c>
      <c r="AF158" t="n">
        <v>12776</v>
      </c>
      <c r="AG158" t="n">
        <v>2122</v>
      </c>
      <c r="AH158" t="inlineStr">
        <is>
          <t>PT. SINAR PADANG LESTARI - PPN (PDG)</t>
        </is>
      </c>
      <c r="AI158" t="n">
        <v>38</v>
      </c>
      <c r="AJ158" t="inlineStr">
        <is>
          <t>AZARINE</t>
        </is>
      </c>
      <c r="AK158" t="n">
        <v>21</v>
      </c>
      <c r="AL158" t="inlineStr">
        <is>
          <t>Miss Glam Damar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AZARINE</t>
        </is>
      </c>
      <c r="B159" s="2">
        <f>"8997208072682"</f>
        <v/>
      </c>
      <c r="C159" t="inlineStr">
        <is>
          <t>AZARINE Tinted Lippie Cake 06 Cherry Cupcake  2.9ml</t>
        </is>
      </c>
      <c r="D159" t="inlineStr">
        <is>
          <t>Miss Glam Damar</t>
        </is>
      </c>
      <c r="E159" t="n">
        <v>4</v>
      </c>
      <c r="F159" t="n">
        <v>0.15</v>
      </c>
      <c r="G159" t="n">
        <v>2</v>
      </c>
      <c r="H159" t="n">
        <v>3</v>
      </c>
      <c r="I159" t="n">
        <v>11</v>
      </c>
      <c r="J159" t="n">
        <v>3</v>
      </c>
      <c r="K159" t="n">
        <v>0</v>
      </c>
      <c r="L159" t="n">
        <v>33600</v>
      </c>
      <c r="M159" t="n">
        <v>39900</v>
      </c>
      <c r="N159" t="n">
        <v>91</v>
      </c>
      <c r="O159" t="n">
        <v>0.91</v>
      </c>
      <c r="P159" t="n">
        <v>0</v>
      </c>
      <c r="Q159" t="n">
        <v>0.15</v>
      </c>
      <c r="R159" t="n">
        <v>2</v>
      </c>
      <c r="S159" t="n">
        <v>5985</v>
      </c>
      <c r="T159" t="n">
        <v>22</v>
      </c>
      <c r="U159" t="n">
        <v>23</v>
      </c>
      <c r="V159" t="n">
        <v>30</v>
      </c>
      <c r="W159" t="n">
        <v>5</v>
      </c>
      <c r="X159" t="n">
        <v>26.66666666666667</v>
      </c>
      <c r="Y159" t="n">
        <v>1</v>
      </c>
      <c r="Z159" t="n">
        <v>1</v>
      </c>
      <c r="AA159" t="n">
        <v>0</v>
      </c>
      <c r="AB159" t="n">
        <v>1</v>
      </c>
      <c r="AC159" t="n">
        <v>3</v>
      </c>
      <c r="AD159" t="n">
        <v>0</v>
      </c>
      <c r="AE159" t="n">
        <v>100800</v>
      </c>
      <c r="AF159" t="n">
        <v>12776</v>
      </c>
      <c r="AG159" t="n">
        <v>2122</v>
      </c>
      <c r="AH159" t="inlineStr">
        <is>
          <t>PT. SINAR PADANG LESTARI - PPN (PDG)</t>
        </is>
      </c>
      <c r="AI159" t="n">
        <v>38</v>
      </c>
      <c r="AJ159" t="inlineStr">
        <is>
          <t>AZARINE</t>
        </is>
      </c>
      <c r="AK159" t="n">
        <v>21</v>
      </c>
      <c r="AL159" t="inlineStr">
        <is>
          <t>Miss Glam Damar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AZARINE</t>
        </is>
      </c>
      <c r="B160" s="2">
        <f>"8997208073184"</f>
        <v/>
      </c>
      <c r="C160" t="inlineStr">
        <is>
          <t>AZARINE Tinted Lippie Cake 08 Peach Macaroon 2.9ml</t>
        </is>
      </c>
      <c r="D160" t="inlineStr">
        <is>
          <t>Miss Glam Damar</t>
        </is>
      </c>
      <c r="E160" t="n">
        <v>4</v>
      </c>
      <c r="F160" t="n">
        <v>0.02</v>
      </c>
      <c r="G160" t="n">
        <v>1</v>
      </c>
      <c r="H160" t="n">
        <v>3</v>
      </c>
      <c r="I160" t="n">
        <v>11</v>
      </c>
      <c r="J160" t="n">
        <v>3</v>
      </c>
      <c r="K160" t="n">
        <v>0</v>
      </c>
      <c r="L160" t="n">
        <v>33600</v>
      </c>
      <c r="M160" t="n">
        <v>39900</v>
      </c>
      <c r="N160" t="n">
        <v>91</v>
      </c>
      <c r="O160" t="n">
        <v>0.91</v>
      </c>
      <c r="P160" t="n">
        <v>0</v>
      </c>
      <c r="Q160" t="n">
        <v>0.02</v>
      </c>
      <c r="R160" t="n">
        <v>1</v>
      </c>
      <c r="S160" t="n">
        <v>798</v>
      </c>
      <c r="T160" t="n">
        <v>11</v>
      </c>
      <c r="U160" t="n">
        <v>12</v>
      </c>
      <c r="V160" t="n">
        <v>30</v>
      </c>
      <c r="W160" t="n">
        <v>1</v>
      </c>
      <c r="X160" t="n">
        <v>200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12776</v>
      </c>
      <c r="AG160" t="n">
        <v>2122</v>
      </c>
      <c r="AH160" t="inlineStr">
        <is>
          <t>PT. SINAR PADANG LESTARI - PPN (PDG)</t>
        </is>
      </c>
      <c r="AI160" t="n">
        <v>38</v>
      </c>
      <c r="AJ160" t="inlineStr">
        <is>
          <t>AZARINE</t>
        </is>
      </c>
      <c r="AK160" t="n">
        <v>21</v>
      </c>
      <c r="AL160" t="inlineStr">
        <is>
          <t>Miss Glam Damar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AZARINE</t>
        </is>
      </c>
      <c r="B161" s="2">
        <f>"8997208073191"</f>
        <v/>
      </c>
      <c r="C161" t="inlineStr">
        <is>
          <t>AZARINE Tinted Lippie Cake 09 Berry Pancake 2.9ml</t>
        </is>
      </c>
      <c r="D161" t="inlineStr">
        <is>
          <t>Miss Glam Damar</t>
        </is>
      </c>
      <c r="E161" t="n">
        <v>11</v>
      </c>
      <c r="F161" t="n">
        <v>0.09100000000000001</v>
      </c>
      <c r="G161" t="n">
        <v>0.91</v>
      </c>
      <c r="H161" t="n">
        <v>3</v>
      </c>
      <c r="I161" t="n">
        <v>11</v>
      </c>
      <c r="J161" t="n">
        <v>3</v>
      </c>
      <c r="K161" t="n">
        <v>0</v>
      </c>
      <c r="L161" t="n">
        <v>33600</v>
      </c>
      <c r="M161" t="n">
        <v>39900</v>
      </c>
      <c r="N161" t="n">
        <v>91</v>
      </c>
      <c r="O161" t="n">
        <v>0.91</v>
      </c>
      <c r="P161" t="n">
        <v>1</v>
      </c>
      <c r="Q161" t="n">
        <v>0.03</v>
      </c>
      <c r="R161" t="n">
        <v>1</v>
      </c>
      <c r="S161" t="n">
        <v>3630.900000000001</v>
      </c>
      <c r="T161" t="n">
        <v>10</v>
      </c>
      <c r="U161" t="n">
        <v>11</v>
      </c>
      <c r="V161" t="n">
        <v>30</v>
      </c>
      <c r="W161" t="n">
        <v>3</v>
      </c>
      <c r="X161" t="n">
        <v>120.8791208791209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12776</v>
      </c>
      <c r="AG161" t="n">
        <v>2122</v>
      </c>
      <c r="AH161" t="inlineStr">
        <is>
          <t>PT. SINAR PADANG LESTARI - PPN (PDG)</t>
        </is>
      </c>
      <c r="AI161" t="n">
        <v>38</v>
      </c>
      <c r="AJ161" t="inlineStr">
        <is>
          <t>AZARINE</t>
        </is>
      </c>
      <c r="AK161" t="n">
        <v>21</v>
      </c>
      <c r="AL161" t="inlineStr">
        <is>
          <t>Miss Glam Damar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AZARINE</t>
        </is>
      </c>
      <c r="B162" s="2">
        <f>"8997208072408"</f>
        <v/>
      </c>
      <c r="C162" t="inlineStr">
        <is>
          <t>AZARINE Xpress Micellar Oil Water 90ml</t>
        </is>
      </c>
      <c r="D162" t="inlineStr">
        <is>
          <t>Miss Glam Damar</t>
        </is>
      </c>
      <c r="E162" t="n">
        <v>2</v>
      </c>
      <c r="F162" t="n">
        <v>0.03</v>
      </c>
      <c r="G162" t="n">
        <v>1</v>
      </c>
      <c r="H162" t="n">
        <v>3</v>
      </c>
      <c r="I162" t="n">
        <v>11</v>
      </c>
      <c r="J162" t="n">
        <v>3</v>
      </c>
      <c r="K162" t="n">
        <v>0</v>
      </c>
      <c r="L162" t="n">
        <v>36000</v>
      </c>
      <c r="M162" t="n">
        <v>45000</v>
      </c>
      <c r="N162" t="n">
        <v>91</v>
      </c>
      <c r="O162" t="n">
        <v>0.91</v>
      </c>
      <c r="P162" t="n">
        <v>0</v>
      </c>
      <c r="Q162" t="n">
        <v>0.03</v>
      </c>
      <c r="R162" t="n">
        <v>1</v>
      </c>
      <c r="S162" t="n">
        <v>1350</v>
      </c>
      <c r="T162" t="n">
        <v>11</v>
      </c>
      <c r="U162" t="n">
        <v>12</v>
      </c>
      <c r="V162" t="n">
        <v>30</v>
      </c>
      <c r="W162" t="n">
        <v>1</v>
      </c>
      <c r="X162" t="n">
        <v>66.66666666666667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12776</v>
      </c>
      <c r="AG162" t="n">
        <v>2122</v>
      </c>
      <c r="AH162" t="inlineStr">
        <is>
          <t>PT. SINAR PADANG LESTARI - PPN (PDG)</t>
        </is>
      </c>
      <c r="AI162" t="n">
        <v>38</v>
      </c>
      <c r="AJ162" t="inlineStr">
        <is>
          <t>AZARINE</t>
        </is>
      </c>
      <c r="AK162" t="n">
        <v>21</v>
      </c>
      <c r="AL162" t="inlineStr">
        <is>
          <t>Miss Glam Damar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"8998866108553"</f>
        <v/>
      </c>
      <c r="C163" t="inlineStr">
        <is>
          <t>AZZURA  Matte Lip Cream With Cocoa Butter &amp; Vitamin E 01 Dusty Pink 4g</t>
        </is>
      </c>
      <c r="D163" t="inlineStr">
        <is>
          <t>Miss Glam Damar</t>
        </is>
      </c>
      <c r="E163" t="n">
        <v>3</v>
      </c>
      <c r="F163" t="n">
        <v>0.09100000000000001</v>
      </c>
      <c r="G163" t="n">
        <v>0.91</v>
      </c>
      <c r="H163" t="n">
        <v>2</v>
      </c>
      <c r="I163" t="n">
        <v>6</v>
      </c>
      <c r="J163" t="n">
        <v>3</v>
      </c>
      <c r="K163" t="n">
        <v>0</v>
      </c>
      <c r="L163" t="n">
        <v>32437</v>
      </c>
      <c r="M163" t="n">
        <v>38500</v>
      </c>
      <c r="N163" t="n">
        <v>91</v>
      </c>
      <c r="O163" t="n">
        <v>0.91</v>
      </c>
      <c r="P163" t="n">
        <v>1</v>
      </c>
      <c r="Q163" t="n">
        <v>0.05</v>
      </c>
      <c r="R163" t="n">
        <v>1</v>
      </c>
      <c r="S163" t="n">
        <v>3503.5</v>
      </c>
      <c r="T163" t="n">
        <v>6</v>
      </c>
      <c r="U163" t="n">
        <v>7</v>
      </c>
      <c r="V163" t="n">
        <v>30</v>
      </c>
      <c r="W163" t="n">
        <v>3</v>
      </c>
      <c r="X163" t="n">
        <v>32.96703296703296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11323</v>
      </c>
      <c r="AG163" t="n">
        <v>448</v>
      </c>
      <c r="AH163" t="inlineStr">
        <is>
          <t>PT. PADANG DISTRIBUSINDO RAYA - PPN (PDG)</t>
        </is>
      </c>
      <c r="AI163" t="n">
        <v>1031</v>
      </c>
      <c r="AJ163" t="inlineStr">
        <is>
          <t>AZZURA</t>
        </is>
      </c>
      <c r="AK163" t="n">
        <v>21</v>
      </c>
      <c r="AL163" t="inlineStr">
        <is>
          <t>Miss Glam Damar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"8998866108577"</f>
        <v/>
      </c>
      <c r="C164" t="inlineStr">
        <is>
          <t>AZZURA  Matte Lip Cream With Cocoa Butter &amp; Vitamin E 03 Rose Wood 4g</t>
        </is>
      </c>
      <c r="D164" t="inlineStr">
        <is>
          <t>Miss Glam Damar</t>
        </is>
      </c>
      <c r="E164" t="n">
        <v>7</v>
      </c>
      <c r="F164" t="n">
        <v>0.2912</v>
      </c>
      <c r="G164" t="n">
        <v>2.73</v>
      </c>
      <c r="H164" t="n">
        <v>2</v>
      </c>
      <c r="I164" t="n">
        <v>6</v>
      </c>
      <c r="J164" t="n">
        <v>3</v>
      </c>
      <c r="K164" t="n">
        <v>0</v>
      </c>
      <c r="L164" t="n">
        <v>31579</v>
      </c>
      <c r="M164" t="n">
        <v>38500</v>
      </c>
      <c r="N164" t="n">
        <v>91</v>
      </c>
      <c r="O164" t="n">
        <v>0.91</v>
      </c>
      <c r="P164" t="n">
        <v>1</v>
      </c>
      <c r="Q164" t="n">
        <v>0.15</v>
      </c>
      <c r="R164" t="n">
        <v>2</v>
      </c>
      <c r="S164" t="n">
        <v>11211.2</v>
      </c>
      <c r="T164" t="n">
        <v>16</v>
      </c>
      <c r="U164" t="n">
        <v>17</v>
      </c>
      <c r="V164" t="n">
        <v>30</v>
      </c>
      <c r="W164" t="n">
        <v>9</v>
      </c>
      <c r="X164" t="n">
        <v>24.03846153846154</v>
      </c>
      <c r="Y164" t="n">
        <v>1</v>
      </c>
      <c r="Z164" t="n">
        <v>2</v>
      </c>
      <c r="AA164" t="n">
        <v>0</v>
      </c>
      <c r="AB164" t="n">
        <v>2</v>
      </c>
      <c r="AC164" t="n">
        <v>3</v>
      </c>
      <c r="AD164" t="n">
        <v>0</v>
      </c>
      <c r="AE164" t="n">
        <v>94737</v>
      </c>
      <c r="AF164" t="n">
        <v>11323</v>
      </c>
      <c r="AG164" t="n">
        <v>448</v>
      </c>
      <c r="AH164" t="inlineStr">
        <is>
          <t>PT. PADANG DISTRIBUSINDO RAYA - PPN (PDG)</t>
        </is>
      </c>
      <c r="AI164" t="n">
        <v>1031</v>
      </c>
      <c r="AJ164" t="inlineStr">
        <is>
          <t>AZZURA</t>
        </is>
      </c>
      <c r="AK164" t="n">
        <v>21</v>
      </c>
      <c r="AL164" t="inlineStr">
        <is>
          <t>Miss Glam Damar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"8998866108461"</f>
        <v/>
      </c>
      <c r="C165" t="inlineStr">
        <is>
          <t>AZZURA Compact Powder Fresh Look 01 Light Beige 14gr</t>
        </is>
      </c>
      <c r="D165" t="inlineStr">
        <is>
          <t>Miss Glam Damar</t>
        </is>
      </c>
      <c r="E165" t="n">
        <v>6</v>
      </c>
      <c r="F165" t="n">
        <v>0.3822</v>
      </c>
      <c r="G165" t="n">
        <v>2.73</v>
      </c>
      <c r="H165" t="n">
        <v>2</v>
      </c>
      <c r="I165" t="n">
        <v>6</v>
      </c>
      <c r="J165" t="n">
        <v>3</v>
      </c>
      <c r="K165" t="n">
        <v>0</v>
      </c>
      <c r="L165" t="n">
        <v>20449</v>
      </c>
      <c r="M165" t="n">
        <v>25000</v>
      </c>
      <c r="N165" t="n">
        <v>91</v>
      </c>
      <c r="O165" t="n">
        <v>0.91</v>
      </c>
      <c r="P165" t="n">
        <v>1</v>
      </c>
      <c r="Q165" t="n">
        <v>0.17</v>
      </c>
      <c r="R165" t="n">
        <v>2</v>
      </c>
      <c r="S165" t="n">
        <v>9555</v>
      </c>
      <c r="T165" t="n">
        <v>16</v>
      </c>
      <c r="U165" t="n">
        <v>17</v>
      </c>
      <c r="V165" t="n">
        <v>30</v>
      </c>
      <c r="W165" t="n">
        <v>12</v>
      </c>
      <c r="X165" t="n">
        <v>15.69858712715856</v>
      </c>
      <c r="Y165" t="n">
        <v>1</v>
      </c>
      <c r="Z165" t="n">
        <v>6</v>
      </c>
      <c r="AA165" t="n">
        <v>0</v>
      </c>
      <c r="AB165" t="n">
        <v>6</v>
      </c>
      <c r="AC165" t="n">
        <v>6</v>
      </c>
      <c r="AD165" t="n">
        <v>0</v>
      </c>
      <c r="AE165" t="n">
        <v>122694</v>
      </c>
      <c r="AF165" t="n">
        <v>11323</v>
      </c>
      <c r="AG165" t="n">
        <v>448</v>
      </c>
      <c r="AH165" t="inlineStr">
        <is>
          <t>PT. PADANG DISTRIBUSINDO RAYA - PPN (PDG)</t>
        </is>
      </c>
      <c r="AI165" t="n">
        <v>1031</v>
      </c>
      <c r="AJ165" t="inlineStr">
        <is>
          <t>AZZURA</t>
        </is>
      </c>
      <c r="AK165" t="n">
        <v>21</v>
      </c>
      <c r="AL165" t="inlineStr">
        <is>
          <t>Miss Glam Damar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"8998866108478"</f>
        <v/>
      </c>
      <c r="C166" t="inlineStr">
        <is>
          <t>AZZURA Compact Powder Fresh Look 02 Natural 14gr</t>
        </is>
      </c>
      <c r="D166" t="inlineStr">
        <is>
          <t>Miss Glam Damar</t>
        </is>
      </c>
      <c r="E166" t="n">
        <v>16</v>
      </c>
      <c r="F166" t="n">
        <v>1.729</v>
      </c>
      <c r="G166" t="n">
        <v>4.55</v>
      </c>
      <c r="H166" t="n">
        <v>2</v>
      </c>
      <c r="I166" t="n">
        <v>6</v>
      </c>
      <c r="J166" t="n">
        <v>3</v>
      </c>
      <c r="K166" t="n">
        <v>0</v>
      </c>
      <c r="L166" t="n">
        <v>20552</v>
      </c>
      <c r="M166" t="n">
        <v>25000</v>
      </c>
      <c r="N166" t="n">
        <v>91</v>
      </c>
      <c r="O166" t="n">
        <v>0.91</v>
      </c>
      <c r="P166" t="n">
        <v>1</v>
      </c>
      <c r="Q166" t="n">
        <v>0.9</v>
      </c>
      <c r="R166" t="n">
        <v>3</v>
      </c>
      <c r="S166" t="n">
        <v>43225</v>
      </c>
      <c r="T166" t="n">
        <v>24</v>
      </c>
      <c r="U166" t="n">
        <v>28</v>
      </c>
      <c r="V166" t="n">
        <v>30</v>
      </c>
      <c r="W166" t="n">
        <v>52</v>
      </c>
      <c r="X166" t="n">
        <v>9.253903990746096</v>
      </c>
      <c r="Y166" t="n">
        <v>1</v>
      </c>
      <c r="Z166" t="n">
        <v>36</v>
      </c>
      <c r="AA166" t="n">
        <v>0</v>
      </c>
      <c r="AB166" t="n">
        <v>36</v>
      </c>
      <c r="AC166" t="n">
        <v>36</v>
      </c>
      <c r="AD166" t="n">
        <v>0</v>
      </c>
      <c r="AE166" t="n">
        <v>739872</v>
      </c>
      <c r="AF166" t="n">
        <v>11323</v>
      </c>
      <c r="AG166" t="n">
        <v>448</v>
      </c>
      <c r="AH166" t="inlineStr">
        <is>
          <t>PT. PADANG DISTRIBUSINDO RAYA - PPN (PDG)</t>
        </is>
      </c>
      <c r="AI166" t="n">
        <v>1031</v>
      </c>
      <c r="AJ166" t="inlineStr">
        <is>
          <t>AZZURA</t>
        </is>
      </c>
      <c r="AK166" t="n">
        <v>21</v>
      </c>
      <c r="AL166" t="inlineStr">
        <is>
          <t>Miss Glam Damar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"8998866108485"</f>
        <v/>
      </c>
      <c r="C167" t="inlineStr">
        <is>
          <t>AZZURA Compact Powder Fresh Look 03 Ivory 14gr</t>
        </is>
      </c>
      <c r="D167" t="inlineStr">
        <is>
          <t>Miss Glam Damar</t>
        </is>
      </c>
      <c r="E167" t="n">
        <v>3</v>
      </c>
      <c r="F167" t="n">
        <v>0.5277999999999999</v>
      </c>
      <c r="G167" t="n">
        <v>2.73</v>
      </c>
      <c r="H167" t="n">
        <v>2</v>
      </c>
      <c r="I167" t="n">
        <v>6</v>
      </c>
      <c r="J167" t="n">
        <v>3</v>
      </c>
      <c r="K167" t="n">
        <v>0</v>
      </c>
      <c r="L167" t="n">
        <v>21099</v>
      </c>
      <c r="M167" t="n">
        <v>29500</v>
      </c>
      <c r="N167" t="n">
        <v>91</v>
      </c>
      <c r="O167" t="n">
        <v>0.91</v>
      </c>
      <c r="P167" t="n">
        <v>1</v>
      </c>
      <c r="Q167" t="n">
        <v>0.24</v>
      </c>
      <c r="R167" t="n">
        <v>2</v>
      </c>
      <c r="S167" t="n">
        <v>15570.1</v>
      </c>
      <c r="T167" t="n">
        <v>16</v>
      </c>
      <c r="U167" t="n">
        <v>18</v>
      </c>
      <c r="V167" t="n">
        <v>30</v>
      </c>
      <c r="W167" t="n">
        <v>16</v>
      </c>
      <c r="X167" t="n">
        <v>5.683971201212581</v>
      </c>
      <c r="Y167" t="n">
        <v>1</v>
      </c>
      <c r="Z167" t="n">
        <v>13</v>
      </c>
      <c r="AA167" t="n">
        <v>1</v>
      </c>
      <c r="AB167" t="n">
        <v>12</v>
      </c>
      <c r="AC167" t="n">
        <v>12</v>
      </c>
      <c r="AD167" t="n">
        <v>21099</v>
      </c>
      <c r="AE167" t="n">
        <v>253188</v>
      </c>
      <c r="AF167" t="n">
        <v>11323</v>
      </c>
      <c r="AG167" t="n">
        <v>448</v>
      </c>
      <c r="AH167" t="inlineStr">
        <is>
          <t>PT. PADANG DISTRIBUSINDO RAYA - PPN (PDG)</t>
        </is>
      </c>
      <c r="AI167" t="n">
        <v>1031</v>
      </c>
      <c r="AJ167" t="inlineStr">
        <is>
          <t>AZZURA</t>
        </is>
      </c>
      <c r="AK167" t="n">
        <v>21</v>
      </c>
      <c r="AL167" t="inlineStr">
        <is>
          <t>Miss Glam Damar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"10300147110"</f>
        <v/>
      </c>
      <c r="C168" t="inlineStr">
        <is>
          <t>AZZURA Day Cream Azzura Diamond Bright 30gr</t>
        </is>
      </c>
      <c r="D168" t="inlineStr">
        <is>
          <t>Miss Glam Damar</t>
        </is>
      </c>
      <c r="E168" t="n">
        <v>10</v>
      </c>
      <c r="F168" t="n">
        <v>0.0728</v>
      </c>
      <c r="G168" t="n">
        <v>0.91</v>
      </c>
      <c r="H168" t="n">
        <v>2</v>
      </c>
      <c r="I168" t="n">
        <v>6</v>
      </c>
      <c r="J168" t="n">
        <v>1</v>
      </c>
      <c r="K168" t="n">
        <v>0</v>
      </c>
      <c r="L168" t="n">
        <v>33540</v>
      </c>
      <c r="M168" t="n">
        <v>39500</v>
      </c>
      <c r="N168" t="n">
        <v>91</v>
      </c>
      <c r="O168" t="n">
        <v>0.91</v>
      </c>
      <c r="P168" t="n">
        <v>1</v>
      </c>
      <c r="Q168" t="n">
        <v>0.03</v>
      </c>
      <c r="R168" t="n">
        <v>1</v>
      </c>
      <c r="S168" t="n">
        <v>2875.6</v>
      </c>
      <c r="T168" t="n">
        <v>6</v>
      </c>
      <c r="U168" t="n">
        <v>7</v>
      </c>
      <c r="V168" t="n">
        <v>30</v>
      </c>
      <c r="W168" t="n">
        <v>3</v>
      </c>
      <c r="X168" t="n">
        <v>137.3626373626373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11323</v>
      </c>
      <c r="AG168" t="n">
        <v>448</v>
      </c>
      <c r="AH168" t="inlineStr">
        <is>
          <t>PT. PADANG DISTRIBUSINDO RAYA - PPN (PDG)</t>
        </is>
      </c>
      <c r="AI168" t="n">
        <v>1031</v>
      </c>
      <c r="AJ168" t="inlineStr">
        <is>
          <t>AZZURA</t>
        </is>
      </c>
      <c r="AK168" t="n">
        <v>21</v>
      </c>
      <c r="AL168" t="inlineStr">
        <is>
          <t>Miss Glam Damar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"20200467842"</f>
        <v/>
      </c>
      <c r="C169" t="inlineStr">
        <is>
          <t>AZZURA Eyebrow Matic Black 0,08gr</t>
        </is>
      </c>
      <c r="D169" t="inlineStr">
        <is>
          <t>Miss Glam Damar</t>
        </is>
      </c>
      <c r="E169" t="n">
        <v>5</v>
      </c>
      <c r="F169" t="n">
        <v>0.0273</v>
      </c>
      <c r="G169" t="n">
        <v>0.91</v>
      </c>
      <c r="H169" t="n">
        <v>2</v>
      </c>
      <c r="I169" t="n">
        <v>6</v>
      </c>
      <c r="J169" t="n">
        <v>1</v>
      </c>
      <c r="K169" t="n">
        <v>0</v>
      </c>
      <c r="L169" t="n">
        <v>29196</v>
      </c>
      <c r="M169" t="n">
        <v>35000</v>
      </c>
      <c r="N169" t="n">
        <v>91</v>
      </c>
      <c r="O169" t="n">
        <v>0.91</v>
      </c>
      <c r="P169" t="n">
        <v>1</v>
      </c>
      <c r="Q169" t="n">
        <v>0.05</v>
      </c>
      <c r="R169" t="n">
        <v>2</v>
      </c>
      <c r="S169" t="n">
        <v>955.5</v>
      </c>
      <c r="T169" t="n">
        <v>6</v>
      </c>
      <c r="U169" t="n">
        <v>7</v>
      </c>
      <c r="V169" t="n">
        <v>30</v>
      </c>
      <c r="W169" t="n">
        <v>1</v>
      </c>
      <c r="X169" t="n">
        <v>183.1501831501832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11323</v>
      </c>
      <c r="AG169" t="n">
        <v>448</v>
      </c>
      <c r="AH169" t="inlineStr">
        <is>
          <t>PT. PADANG DISTRIBUSINDO RAYA - PPN (PDG)</t>
        </is>
      </c>
      <c r="AI169" t="n">
        <v>1031</v>
      </c>
      <c r="AJ169" t="inlineStr">
        <is>
          <t>AZZURA</t>
        </is>
      </c>
      <c r="AK169" t="n">
        <v>21</v>
      </c>
      <c r="AL169" t="inlineStr">
        <is>
          <t>Miss Glam Damar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"20200467759"</f>
        <v/>
      </c>
      <c r="C170" t="inlineStr">
        <is>
          <t>AZZURA Eyebrow Matic dark Brown 0,08gr</t>
        </is>
      </c>
      <c r="D170" t="inlineStr">
        <is>
          <t>Miss Glam Damar</t>
        </is>
      </c>
      <c r="E170" t="n">
        <v>1</v>
      </c>
      <c r="F170" t="n">
        <v>0.06370000000000001</v>
      </c>
      <c r="G170" t="n">
        <v>0.91</v>
      </c>
      <c r="H170" t="n">
        <v>2</v>
      </c>
      <c r="I170" t="n">
        <v>6</v>
      </c>
      <c r="J170" t="n">
        <v>1</v>
      </c>
      <c r="K170" t="n">
        <v>0</v>
      </c>
      <c r="L170" t="n">
        <v>29288</v>
      </c>
      <c r="M170" t="n">
        <v>34500</v>
      </c>
      <c r="N170" t="n">
        <v>91</v>
      </c>
      <c r="O170" t="n">
        <v>0.91</v>
      </c>
      <c r="P170" t="n">
        <v>1</v>
      </c>
      <c r="Q170" t="n">
        <v>0.03</v>
      </c>
      <c r="R170" t="n">
        <v>2</v>
      </c>
      <c r="S170" t="n">
        <v>2197.65</v>
      </c>
      <c r="T170" t="n">
        <v>6</v>
      </c>
      <c r="U170" t="n">
        <v>7</v>
      </c>
      <c r="V170" t="n">
        <v>30</v>
      </c>
      <c r="W170" t="n">
        <v>2</v>
      </c>
      <c r="X170" t="n">
        <v>15.69858712715855</v>
      </c>
      <c r="Y170" t="n">
        <v>1</v>
      </c>
      <c r="Z170" t="n">
        <v>1</v>
      </c>
      <c r="AA170" t="n">
        <v>0</v>
      </c>
      <c r="AB170" t="n">
        <v>1</v>
      </c>
      <c r="AC170" t="n">
        <v>1</v>
      </c>
      <c r="AD170" t="n">
        <v>0</v>
      </c>
      <c r="AE170" t="n">
        <v>29288</v>
      </c>
      <c r="AF170" t="n">
        <v>11323</v>
      </c>
      <c r="AG170" t="n">
        <v>448</v>
      </c>
      <c r="AH170" t="inlineStr">
        <is>
          <t>PT. PADANG DISTRIBUSINDO RAYA - PPN (PDG)</t>
        </is>
      </c>
      <c r="AI170" t="n">
        <v>1031</v>
      </c>
      <c r="AJ170" t="inlineStr">
        <is>
          <t>AZZURA</t>
        </is>
      </c>
      <c r="AK170" t="n">
        <v>21</v>
      </c>
      <c r="AL170" t="inlineStr">
        <is>
          <t>Miss Glam Damar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"20200467618"</f>
        <v/>
      </c>
      <c r="C171" t="inlineStr">
        <is>
          <t>AZZURA Eyebrow Matic Medium Brown 0,08gr</t>
        </is>
      </c>
      <c r="D171" t="inlineStr">
        <is>
          <t>Miss Glam Damar</t>
        </is>
      </c>
      <c r="E171" t="n">
        <v>3</v>
      </c>
      <c r="F171" t="n">
        <v>0.04550000000000001</v>
      </c>
      <c r="G171" t="n">
        <v>0.91</v>
      </c>
      <c r="H171" t="n">
        <v>2</v>
      </c>
      <c r="I171" t="n">
        <v>6</v>
      </c>
      <c r="J171" t="n">
        <v>1</v>
      </c>
      <c r="K171" t="n">
        <v>0</v>
      </c>
      <c r="L171" t="n">
        <v>29057</v>
      </c>
      <c r="M171" t="n">
        <v>34500</v>
      </c>
      <c r="N171" t="n">
        <v>91</v>
      </c>
      <c r="O171" t="n">
        <v>0.91</v>
      </c>
      <c r="P171" t="n">
        <v>1</v>
      </c>
      <c r="Q171" t="n">
        <v>0.03</v>
      </c>
      <c r="R171" t="n">
        <v>1</v>
      </c>
      <c r="S171" t="n">
        <v>1569.75</v>
      </c>
      <c r="T171" t="n">
        <v>6</v>
      </c>
      <c r="U171" t="n">
        <v>7</v>
      </c>
      <c r="V171" t="n">
        <v>30</v>
      </c>
      <c r="W171" t="n">
        <v>2</v>
      </c>
      <c r="X171" t="n">
        <v>65.93406593406593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11323</v>
      </c>
      <c r="AG171" t="n">
        <v>448</v>
      </c>
      <c r="AH171" t="inlineStr">
        <is>
          <t>PT. PADANG DISTRIBUSINDO RAYA - PPN (PDG)</t>
        </is>
      </c>
      <c r="AI171" t="n">
        <v>1031</v>
      </c>
      <c r="AJ171" t="inlineStr">
        <is>
          <t>AZZURA</t>
        </is>
      </c>
      <c r="AK171" t="n">
        <v>21</v>
      </c>
      <c r="AL171" t="inlineStr">
        <is>
          <t>Miss Glam Damar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"20200467449"</f>
        <v/>
      </c>
      <c r="C172" t="inlineStr">
        <is>
          <t>AZZURA Eyebrow Pencil Brown 1,5gr</t>
        </is>
      </c>
      <c r="D172" t="inlineStr">
        <is>
          <t>Miss Glam Damar</t>
        </is>
      </c>
      <c r="E172" t="n">
        <v>1</v>
      </c>
      <c r="F172" t="n">
        <v>0.1092</v>
      </c>
      <c r="G172" t="n">
        <v>1.82</v>
      </c>
      <c r="H172" t="n">
        <v>2</v>
      </c>
      <c r="I172" t="n">
        <v>6</v>
      </c>
      <c r="J172" t="n">
        <v>1</v>
      </c>
      <c r="K172" t="n">
        <v>0</v>
      </c>
      <c r="L172" t="n">
        <v>23854</v>
      </c>
      <c r="M172" t="n">
        <v>28500</v>
      </c>
      <c r="N172" t="n">
        <v>91</v>
      </c>
      <c r="O172" t="n">
        <v>0.91</v>
      </c>
      <c r="P172" t="n">
        <v>1</v>
      </c>
      <c r="Q172" t="n">
        <v>0.03</v>
      </c>
      <c r="R172" t="n">
        <v>1</v>
      </c>
      <c r="S172" t="n">
        <v>3112.2</v>
      </c>
      <c r="T172" t="n">
        <v>11</v>
      </c>
      <c r="U172" t="n">
        <v>12</v>
      </c>
      <c r="V172" t="n">
        <v>30</v>
      </c>
      <c r="W172" t="n">
        <v>4</v>
      </c>
      <c r="X172" t="n">
        <v>9.157509157509157</v>
      </c>
      <c r="Y172" t="n">
        <v>1</v>
      </c>
      <c r="Z172" t="n">
        <v>3</v>
      </c>
      <c r="AA172" t="n">
        <v>0</v>
      </c>
      <c r="AB172" t="n">
        <v>3</v>
      </c>
      <c r="AC172" t="n">
        <v>3</v>
      </c>
      <c r="AD172" t="n">
        <v>0</v>
      </c>
      <c r="AE172" t="n">
        <v>71562</v>
      </c>
      <c r="AF172" t="n">
        <v>11323</v>
      </c>
      <c r="AG172" t="n">
        <v>448</v>
      </c>
      <c r="AH172" t="inlineStr">
        <is>
          <t>PT. PADANG DISTRIBUSINDO RAYA - PPN (PDG)</t>
        </is>
      </c>
      <c r="AI172" t="n">
        <v>1031</v>
      </c>
      <c r="AJ172" t="inlineStr">
        <is>
          <t>AZZURA</t>
        </is>
      </c>
      <c r="AK172" t="n">
        <v>21</v>
      </c>
      <c r="AL172" t="inlineStr">
        <is>
          <t>Miss Glam Damar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"20200334604"</f>
        <v/>
      </c>
      <c r="C173" t="inlineStr">
        <is>
          <t>AZZURA Eyeliner Gel Black 0,1 gr</t>
        </is>
      </c>
      <c r="D173" t="inlineStr">
        <is>
          <t>Miss Glam Damar</t>
        </is>
      </c>
      <c r="E173" t="n">
        <v>3</v>
      </c>
      <c r="F173" t="n">
        <v>0.0273</v>
      </c>
      <c r="G173" t="n">
        <v>0.91</v>
      </c>
      <c r="H173" t="n">
        <v>2</v>
      </c>
      <c r="I173" t="n">
        <v>6</v>
      </c>
      <c r="J173" t="n">
        <v>1</v>
      </c>
      <c r="K173" t="n">
        <v>0</v>
      </c>
      <c r="L173" t="n">
        <v>22753</v>
      </c>
      <c r="M173" t="n">
        <v>29000</v>
      </c>
      <c r="N173" t="n">
        <v>91</v>
      </c>
      <c r="O173" t="n">
        <v>0.91</v>
      </c>
      <c r="P173" t="n">
        <v>1</v>
      </c>
      <c r="Q173" t="n">
        <v>0.07000000000000001</v>
      </c>
      <c r="R173" t="n">
        <v>1</v>
      </c>
      <c r="S173" t="n">
        <v>791.7</v>
      </c>
      <c r="T173" t="n">
        <v>6</v>
      </c>
      <c r="U173" t="n">
        <v>7</v>
      </c>
      <c r="V173" t="n">
        <v>30</v>
      </c>
      <c r="W173" t="n">
        <v>1</v>
      </c>
      <c r="X173" t="n">
        <v>109.8901098901099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11323</v>
      </c>
      <c r="AG173" t="n">
        <v>448</v>
      </c>
      <c r="AH173" t="inlineStr">
        <is>
          <t>PT. PADANG DISTRIBUSINDO RAYA - PPN (PDG)</t>
        </is>
      </c>
      <c r="AI173" t="n">
        <v>1031</v>
      </c>
      <c r="AJ173" t="inlineStr">
        <is>
          <t>AZZURA</t>
        </is>
      </c>
      <c r="AK173" t="n">
        <v>21</v>
      </c>
      <c r="AL173" t="inlineStr">
        <is>
          <t>Miss Glam Damar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"20200334710"</f>
        <v/>
      </c>
      <c r="C174" t="inlineStr">
        <is>
          <t>AZZURA Eyeliner Liquid Black 6ml</t>
        </is>
      </c>
      <c r="D174" t="inlineStr">
        <is>
          <t>Miss Glam Damar</t>
        </is>
      </c>
      <c r="E174" t="n">
        <v>5</v>
      </c>
      <c r="F174" t="n">
        <v>0.0273</v>
      </c>
      <c r="G174" t="n">
        <v>0.91</v>
      </c>
      <c r="H174" t="n">
        <v>2</v>
      </c>
      <c r="I174" t="n">
        <v>6</v>
      </c>
      <c r="J174" t="n">
        <v>1</v>
      </c>
      <c r="K174" t="n">
        <v>0</v>
      </c>
      <c r="L174" t="n">
        <v>40899</v>
      </c>
      <c r="M174" t="n">
        <v>50000</v>
      </c>
      <c r="N174" t="n">
        <v>91</v>
      </c>
      <c r="O174" t="n">
        <v>0.91</v>
      </c>
      <c r="P174" t="n">
        <v>1</v>
      </c>
      <c r="Q174" t="n">
        <v>0.12</v>
      </c>
      <c r="R174" t="n">
        <v>1</v>
      </c>
      <c r="S174" t="n">
        <v>1365</v>
      </c>
      <c r="T174" t="n">
        <v>6</v>
      </c>
      <c r="U174" t="n">
        <v>7</v>
      </c>
      <c r="V174" t="n">
        <v>30</v>
      </c>
      <c r="W174" t="n">
        <v>1</v>
      </c>
      <c r="X174" t="n">
        <v>183.1501831501832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11323</v>
      </c>
      <c r="AG174" t="n">
        <v>448</v>
      </c>
      <c r="AH174" t="inlineStr">
        <is>
          <t>PT. PADANG DISTRIBUSINDO RAYA - PPN (PDG)</t>
        </is>
      </c>
      <c r="AI174" t="n">
        <v>1031</v>
      </c>
      <c r="AJ174" t="inlineStr">
        <is>
          <t>AZZURA</t>
        </is>
      </c>
      <c r="AK174" t="n">
        <v>21</v>
      </c>
      <c r="AL174" t="inlineStr">
        <is>
          <t>Miss Glam Damar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"101001115559"</f>
        <v/>
      </c>
      <c r="C175" t="inlineStr">
        <is>
          <t>AZZURA Facial Whip Foam Azzura Db 100ml</t>
        </is>
      </c>
      <c r="D175" t="inlineStr">
        <is>
          <t>Miss Glam Damar</t>
        </is>
      </c>
      <c r="E175" t="n">
        <v>20</v>
      </c>
      <c r="F175" t="n">
        <v>0.2002</v>
      </c>
      <c r="G175" t="n">
        <v>0.91</v>
      </c>
      <c r="H175" t="n">
        <v>2</v>
      </c>
      <c r="I175" t="n">
        <v>6</v>
      </c>
      <c r="J175" t="n">
        <v>1</v>
      </c>
      <c r="K175" t="n">
        <v>0</v>
      </c>
      <c r="L175" t="n">
        <v>22360</v>
      </c>
      <c r="M175" t="n">
        <v>26500</v>
      </c>
      <c r="N175" t="n">
        <v>91</v>
      </c>
      <c r="O175" t="n">
        <v>0.91</v>
      </c>
      <c r="P175" t="n">
        <v>1</v>
      </c>
      <c r="Q175" t="n">
        <v>0.07000000000000001</v>
      </c>
      <c r="R175" t="n">
        <v>1</v>
      </c>
      <c r="S175" t="n">
        <v>5305.3</v>
      </c>
      <c r="T175" t="n">
        <v>6</v>
      </c>
      <c r="U175" t="n">
        <v>7</v>
      </c>
      <c r="V175" t="n">
        <v>30</v>
      </c>
      <c r="W175" t="n">
        <v>7</v>
      </c>
      <c r="X175" t="n">
        <v>99.90009990009989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11323</v>
      </c>
      <c r="AG175" t="n">
        <v>448</v>
      </c>
      <c r="AH175" t="inlineStr">
        <is>
          <t>PT. PADANG DISTRIBUSINDO RAYA - PPN (PDG)</t>
        </is>
      </c>
      <c r="AI175" t="n">
        <v>1031</v>
      </c>
      <c r="AJ175" t="inlineStr">
        <is>
          <t>AZZURA</t>
        </is>
      </c>
      <c r="AK175" t="n">
        <v>21</v>
      </c>
      <c r="AL175" t="inlineStr">
        <is>
          <t>Miss Glam Damar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"101001115426"</f>
        <v/>
      </c>
      <c r="C176" t="inlineStr">
        <is>
          <t>AZZURA Gentle Facial Wash Azzura Db 100ml</t>
        </is>
      </c>
      <c r="D176" t="inlineStr">
        <is>
          <t>Miss Glam Damar</t>
        </is>
      </c>
      <c r="E176" t="n">
        <v>21</v>
      </c>
      <c r="F176" t="n">
        <v>0.09100000000000001</v>
      </c>
      <c r="G176" t="n">
        <v>0.91</v>
      </c>
      <c r="H176" t="n">
        <v>2</v>
      </c>
      <c r="I176" t="n">
        <v>6</v>
      </c>
      <c r="J176" t="n">
        <v>1</v>
      </c>
      <c r="K176" t="n">
        <v>0</v>
      </c>
      <c r="L176" t="n">
        <v>22360</v>
      </c>
      <c r="M176" t="n">
        <v>26500</v>
      </c>
      <c r="N176" t="n">
        <v>91</v>
      </c>
      <c r="O176" t="n">
        <v>0.91</v>
      </c>
      <c r="P176" t="n">
        <v>1</v>
      </c>
      <c r="Q176" t="n">
        <v>0.05</v>
      </c>
      <c r="R176" t="n">
        <v>1</v>
      </c>
      <c r="S176" t="n">
        <v>2411.5</v>
      </c>
      <c r="T176" t="n">
        <v>6</v>
      </c>
      <c r="U176" t="n">
        <v>7</v>
      </c>
      <c r="V176" t="n">
        <v>30</v>
      </c>
      <c r="W176" t="n">
        <v>3</v>
      </c>
      <c r="X176" t="n">
        <v>230.7692307692307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11323</v>
      </c>
      <c r="AG176" t="n">
        <v>448</v>
      </c>
      <c r="AH176" t="inlineStr">
        <is>
          <t>PT. PADANG DISTRIBUSINDO RAYA - PPN (PDG)</t>
        </is>
      </c>
      <c r="AI176" t="n">
        <v>1031</v>
      </c>
      <c r="AJ176" t="inlineStr">
        <is>
          <t>AZZURA</t>
        </is>
      </c>
      <c r="AK176" t="n">
        <v>21</v>
      </c>
      <c r="AL176" t="inlineStr">
        <is>
          <t>Miss Glam Damar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"8998866108768"</f>
        <v/>
      </c>
      <c r="C177" t="inlineStr">
        <is>
          <t>AZZURA Long Lasting Lipstick with Avocado Butter &amp; Vitamin E  06 Choco Mouse 3gr</t>
        </is>
      </c>
      <c r="D177" t="inlineStr">
        <is>
          <t>Miss Glam Damar</t>
        </is>
      </c>
      <c r="E177" t="n">
        <v>0</v>
      </c>
      <c r="F177" t="n">
        <v>0.0364</v>
      </c>
      <c r="G177" t="n">
        <v>1.82</v>
      </c>
      <c r="H177" t="n">
        <v>2</v>
      </c>
      <c r="I177" t="n">
        <v>6</v>
      </c>
      <c r="J177" t="n">
        <v>3</v>
      </c>
      <c r="K177" t="n">
        <v>0</v>
      </c>
      <c r="L177" t="n">
        <v>23619</v>
      </c>
      <c r="M177" t="n">
        <v>28000</v>
      </c>
      <c r="N177" t="n">
        <v>91</v>
      </c>
      <c r="O177" t="n">
        <v>0.91</v>
      </c>
      <c r="P177" t="n">
        <v>1</v>
      </c>
      <c r="Q177" t="n">
        <v>0.07000000000000001</v>
      </c>
      <c r="R177" t="n">
        <v>2</v>
      </c>
      <c r="S177" t="n">
        <v>1019.2</v>
      </c>
      <c r="T177" t="n">
        <v>11</v>
      </c>
      <c r="U177" t="n">
        <v>12</v>
      </c>
      <c r="V177" t="n">
        <v>30</v>
      </c>
      <c r="W177" t="n">
        <v>2</v>
      </c>
      <c r="X177" t="n">
        <v>0</v>
      </c>
      <c r="Y177" t="n">
        <v>1</v>
      </c>
      <c r="Z177" t="n">
        <v>2</v>
      </c>
      <c r="AA177" t="n">
        <v>1</v>
      </c>
      <c r="AB177" t="n">
        <v>1</v>
      </c>
      <c r="AC177" t="n">
        <v>3</v>
      </c>
      <c r="AD177" t="n">
        <v>23619</v>
      </c>
      <c r="AE177" t="n">
        <v>70857</v>
      </c>
      <c r="AF177" t="n">
        <v>11323</v>
      </c>
      <c r="AG177" t="n">
        <v>448</v>
      </c>
      <c r="AH177" t="inlineStr">
        <is>
          <t>PT. PADANG DISTRIBUSINDO RAYA - PPN (PDG)</t>
        </is>
      </c>
      <c r="AI177" t="n">
        <v>1031</v>
      </c>
      <c r="AJ177" t="inlineStr">
        <is>
          <t>AZZURA</t>
        </is>
      </c>
      <c r="AK177" t="n">
        <v>21</v>
      </c>
      <c r="AL177" t="inlineStr">
        <is>
          <t>Miss Glam Damar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"8998866108713"</f>
        <v/>
      </c>
      <c r="C178" t="inlineStr">
        <is>
          <t>AZZURA Long Lasting Lipstick with Avocado Butter &amp; Vitamin E 01 Amazing Nude 3gr</t>
        </is>
      </c>
      <c r="D178" t="inlineStr">
        <is>
          <t>Miss Glam Damar</t>
        </is>
      </c>
      <c r="E178" t="n">
        <v>5</v>
      </c>
      <c r="F178" t="n">
        <v>0.1274</v>
      </c>
      <c r="G178" t="n">
        <v>0.91</v>
      </c>
      <c r="H178" t="n">
        <v>2</v>
      </c>
      <c r="I178" t="n">
        <v>6</v>
      </c>
      <c r="J178" t="n">
        <v>3</v>
      </c>
      <c r="K178" t="n">
        <v>0</v>
      </c>
      <c r="L178" t="n">
        <v>22745</v>
      </c>
      <c r="M178" t="n">
        <v>28000</v>
      </c>
      <c r="N178" t="n">
        <v>91</v>
      </c>
      <c r="O178" t="n">
        <v>0.91</v>
      </c>
      <c r="P178" t="n">
        <v>1</v>
      </c>
      <c r="Q178" t="n">
        <v>0.03</v>
      </c>
      <c r="R178" t="n">
        <v>1</v>
      </c>
      <c r="S178" t="n">
        <v>3567.2</v>
      </c>
      <c r="T178" t="n">
        <v>6</v>
      </c>
      <c r="U178" t="n">
        <v>7</v>
      </c>
      <c r="V178" t="n">
        <v>30</v>
      </c>
      <c r="W178" t="n">
        <v>4</v>
      </c>
      <c r="X178" t="n">
        <v>39.24646781789639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11323</v>
      </c>
      <c r="AG178" t="n">
        <v>448</v>
      </c>
      <c r="AH178" t="inlineStr">
        <is>
          <t>PT. PADANG DISTRIBUSINDO RAYA - PPN (PDG)</t>
        </is>
      </c>
      <c r="AI178" t="n">
        <v>1031</v>
      </c>
      <c r="AJ178" t="inlineStr">
        <is>
          <t>AZZURA</t>
        </is>
      </c>
      <c r="AK178" t="n">
        <v>21</v>
      </c>
      <c r="AL178" t="inlineStr">
        <is>
          <t>Miss Glam Damar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"8998866108737"</f>
        <v/>
      </c>
      <c r="C179" t="inlineStr">
        <is>
          <t>AZZURA Long Lasting Lipstick with Avocado Butter &amp; Vitamin E 03 Passion Peach 3gr</t>
        </is>
      </c>
      <c r="D179" t="inlineStr">
        <is>
          <t>Miss Glam Damar</t>
        </is>
      </c>
      <c r="E179" t="n">
        <v>3</v>
      </c>
      <c r="F179" t="n">
        <v>0.0728</v>
      </c>
      <c r="G179" t="n">
        <v>1.82</v>
      </c>
      <c r="H179" t="n">
        <v>2</v>
      </c>
      <c r="I179" t="n">
        <v>6</v>
      </c>
      <c r="J179" t="n">
        <v>3</v>
      </c>
      <c r="K179" t="n">
        <v>0</v>
      </c>
      <c r="L179" t="n">
        <v>23619</v>
      </c>
      <c r="M179" t="n">
        <v>28000</v>
      </c>
      <c r="N179" t="n">
        <v>91</v>
      </c>
      <c r="O179" t="n">
        <v>0.91</v>
      </c>
      <c r="P179" t="n">
        <v>1</v>
      </c>
      <c r="Q179" t="n">
        <v>0.05</v>
      </c>
      <c r="R179" t="n">
        <v>1</v>
      </c>
      <c r="S179" t="n">
        <v>2038.4</v>
      </c>
      <c r="T179" t="n">
        <v>11</v>
      </c>
      <c r="U179" t="n">
        <v>12</v>
      </c>
      <c r="V179" t="n">
        <v>30</v>
      </c>
      <c r="W179" t="n">
        <v>3</v>
      </c>
      <c r="X179" t="n">
        <v>41.2087912087912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11323</v>
      </c>
      <c r="AG179" t="n">
        <v>448</v>
      </c>
      <c r="AH179" t="inlineStr">
        <is>
          <t>PT. PADANG DISTRIBUSINDO RAYA - PPN (PDG)</t>
        </is>
      </c>
      <c r="AI179" t="n">
        <v>1031</v>
      </c>
      <c r="AJ179" t="inlineStr">
        <is>
          <t>AZZURA</t>
        </is>
      </c>
      <c r="AK179" t="n">
        <v>21</v>
      </c>
      <c r="AL179" t="inlineStr">
        <is>
          <t>Miss Glam Damar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"8998866108744"</f>
        <v/>
      </c>
      <c r="C180" t="inlineStr">
        <is>
          <t>AZZURA Long Lasting Lipstick with Avocado Butter &amp; Vitamin E 04 Fuchsia Blush 3gr</t>
        </is>
      </c>
      <c r="D180" t="inlineStr">
        <is>
          <t>Miss Glam Damar</t>
        </is>
      </c>
      <c r="E180" t="n">
        <v>11</v>
      </c>
      <c r="F180" t="n">
        <v>0.3367</v>
      </c>
      <c r="G180" t="n">
        <v>3.64</v>
      </c>
      <c r="H180" t="n">
        <v>2</v>
      </c>
      <c r="I180" t="n">
        <v>6</v>
      </c>
      <c r="J180" t="n">
        <v>3</v>
      </c>
      <c r="K180" t="n">
        <v>0</v>
      </c>
      <c r="L180" t="n">
        <v>22559</v>
      </c>
      <c r="M180" t="n">
        <v>28000</v>
      </c>
      <c r="N180" t="n">
        <v>91</v>
      </c>
      <c r="O180" t="n">
        <v>0.91</v>
      </c>
      <c r="P180" t="n">
        <v>1</v>
      </c>
      <c r="Q180" t="n">
        <v>0.25</v>
      </c>
      <c r="R180" t="n">
        <v>2</v>
      </c>
      <c r="S180" t="n">
        <v>9427.6</v>
      </c>
      <c r="T180" t="n">
        <v>22</v>
      </c>
      <c r="U180" t="n">
        <v>23</v>
      </c>
      <c r="V180" t="n">
        <v>30</v>
      </c>
      <c r="W180" t="n">
        <v>11</v>
      </c>
      <c r="X180" t="n">
        <v>32.67003267003267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11323</v>
      </c>
      <c r="AG180" t="n">
        <v>448</v>
      </c>
      <c r="AH180" t="inlineStr">
        <is>
          <t>PT. PADANG DISTRIBUSINDO RAYA - PPN (PDG)</t>
        </is>
      </c>
      <c r="AI180" t="n">
        <v>1031</v>
      </c>
      <c r="AJ180" t="inlineStr">
        <is>
          <t>AZZURA</t>
        </is>
      </c>
      <c r="AK180" t="n">
        <v>21</v>
      </c>
      <c r="AL180" t="inlineStr">
        <is>
          <t>Miss Glam Damar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"8998866108751"</f>
        <v/>
      </c>
      <c r="C181" t="inlineStr">
        <is>
          <t>AZZURA Long Lasting Lipstick with Avocado Butter &amp; Vitamin E 05 Passionate Pink 3gr</t>
        </is>
      </c>
      <c r="D181" t="inlineStr">
        <is>
          <t>Miss Glam Damar</t>
        </is>
      </c>
      <c r="E181" t="n">
        <v>14</v>
      </c>
      <c r="F181" t="n">
        <v>0.3276</v>
      </c>
      <c r="G181" t="n">
        <v>2.73</v>
      </c>
      <c r="H181" t="n">
        <v>2</v>
      </c>
      <c r="I181" t="n">
        <v>6</v>
      </c>
      <c r="J181" t="n">
        <v>3</v>
      </c>
      <c r="K181" t="n">
        <v>0</v>
      </c>
      <c r="L181" t="n">
        <v>23619</v>
      </c>
      <c r="M181" t="n">
        <v>28000</v>
      </c>
      <c r="N181" t="n">
        <v>91</v>
      </c>
      <c r="O181" t="n">
        <v>0.91</v>
      </c>
      <c r="P181" t="n">
        <v>1</v>
      </c>
      <c r="Q181" t="n">
        <v>0.24</v>
      </c>
      <c r="R181" t="n">
        <v>2</v>
      </c>
      <c r="S181" t="n">
        <v>9172.799999999999</v>
      </c>
      <c r="T181" t="n">
        <v>16</v>
      </c>
      <c r="U181" t="n">
        <v>17</v>
      </c>
      <c r="V181" t="n">
        <v>30</v>
      </c>
      <c r="W181" t="n">
        <v>10</v>
      </c>
      <c r="X181" t="n">
        <v>42.73504273504273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11323</v>
      </c>
      <c r="AG181" t="n">
        <v>448</v>
      </c>
      <c r="AH181" t="inlineStr">
        <is>
          <t>PT. PADANG DISTRIBUSINDO RAYA - PPN (PDG)</t>
        </is>
      </c>
      <c r="AI181" t="n">
        <v>1031</v>
      </c>
      <c r="AJ181" t="inlineStr">
        <is>
          <t>AZZURA</t>
        </is>
      </c>
      <c r="AK181" t="n">
        <v>21</v>
      </c>
      <c r="AL181" t="inlineStr">
        <is>
          <t>Miss Glam Damar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"8998866108782"</f>
        <v/>
      </c>
      <c r="C182" t="inlineStr">
        <is>
          <t>AZZURA Long Lasting Lipstick with Avocado Butter &amp; Vitamin E 08 Wild Berry Ice 3gr</t>
        </is>
      </c>
      <c r="D182" t="inlineStr">
        <is>
          <t>Miss Glam Damar</t>
        </is>
      </c>
      <c r="E182" t="n">
        <v>11</v>
      </c>
      <c r="F182" t="n">
        <v>0.3731</v>
      </c>
      <c r="G182" t="n">
        <v>4.55</v>
      </c>
      <c r="H182" t="n">
        <v>2</v>
      </c>
      <c r="I182" t="n">
        <v>6</v>
      </c>
      <c r="J182" t="n">
        <v>12</v>
      </c>
      <c r="K182" t="n">
        <v>0</v>
      </c>
      <c r="L182" t="n">
        <v>23255</v>
      </c>
      <c r="M182" t="n">
        <v>28000</v>
      </c>
      <c r="N182" t="n">
        <v>91</v>
      </c>
      <c r="O182" t="n">
        <v>0.91</v>
      </c>
      <c r="P182" t="n">
        <v>1</v>
      </c>
      <c r="Q182" t="n">
        <v>0.34</v>
      </c>
      <c r="R182" t="n">
        <v>3</v>
      </c>
      <c r="S182" t="n">
        <v>10446.8</v>
      </c>
      <c r="T182" t="n">
        <v>27</v>
      </c>
      <c r="U182" t="n">
        <v>28</v>
      </c>
      <c r="V182" t="n">
        <v>30</v>
      </c>
      <c r="W182" t="n">
        <v>12</v>
      </c>
      <c r="X182" t="n">
        <v>29.48271240954168</v>
      </c>
      <c r="Y182" t="n">
        <v>1</v>
      </c>
      <c r="Z182" t="n">
        <v>1</v>
      </c>
      <c r="AA182" t="n">
        <v>0</v>
      </c>
      <c r="AB182" t="n">
        <v>1</v>
      </c>
      <c r="AC182" t="n">
        <v>12</v>
      </c>
      <c r="AD182" t="n">
        <v>0</v>
      </c>
      <c r="AE182" t="n">
        <v>279060</v>
      </c>
      <c r="AF182" t="n">
        <v>11323</v>
      </c>
      <c r="AG182" t="n">
        <v>448</v>
      </c>
      <c r="AH182" t="inlineStr">
        <is>
          <t>PT. PADANG DISTRIBUSINDO RAYA - PPN (PDG)</t>
        </is>
      </c>
      <c r="AI182" t="n">
        <v>1031</v>
      </c>
      <c r="AJ182" t="inlineStr">
        <is>
          <t>AZZURA</t>
        </is>
      </c>
      <c r="AK182" t="n">
        <v>21</v>
      </c>
      <c r="AL182" t="inlineStr">
        <is>
          <t>Miss Glam Damar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"8998866109598"</f>
        <v/>
      </c>
      <c r="C183" t="inlineStr">
        <is>
          <t>AZZURA Long Lasting Lipstick With Avocado Butter &amp; Vitamin E 09 Mauve Ruse 3gr</t>
        </is>
      </c>
      <c r="D183" t="inlineStr">
        <is>
          <t>Miss Glam Damar</t>
        </is>
      </c>
      <c r="E183" t="n">
        <v>2</v>
      </c>
      <c r="F183" t="n">
        <v>0.4459</v>
      </c>
      <c r="G183" t="n">
        <v>3.64</v>
      </c>
      <c r="H183" t="n">
        <v>2</v>
      </c>
      <c r="I183" t="n">
        <v>6</v>
      </c>
      <c r="J183" t="n">
        <v>3</v>
      </c>
      <c r="K183" t="n">
        <v>0</v>
      </c>
      <c r="L183" t="n">
        <v>23619</v>
      </c>
      <c r="M183" t="n">
        <v>28000</v>
      </c>
      <c r="N183" t="n">
        <v>91</v>
      </c>
      <c r="O183" t="n">
        <v>0.91</v>
      </c>
      <c r="P183" t="n">
        <v>1</v>
      </c>
      <c r="Q183" t="n">
        <v>0.14</v>
      </c>
      <c r="R183" t="n">
        <v>2</v>
      </c>
      <c r="S183" t="n">
        <v>12485.2</v>
      </c>
      <c r="T183" t="n">
        <v>21</v>
      </c>
      <c r="U183" t="n">
        <v>22</v>
      </c>
      <c r="V183" t="n">
        <v>30</v>
      </c>
      <c r="W183" t="n">
        <v>14</v>
      </c>
      <c r="X183" t="n">
        <v>4.485310607759587</v>
      </c>
      <c r="Y183" t="n">
        <v>1</v>
      </c>
      <c r="Z183" t="n">
        <v>12</v>
      </c>
      <c r="AA183" t="n">
        <v>1</v>
      </c>
      <c r="AB183" t="n">
        <v>11</v>
      </c>
      <c r="AC183" t="n">
        <v>11</v>
      </c>
      <c r="AD183" t="n">
        <v>23619</v>
      </c>
      <c r="AE183" t="n">
        <v>259809</v>
      </c>
      <c r="AF183" t="n">
        <v>11323</v>
      </c>
      <c r="AG183" t="n">
        <v>448</v>
      </c>
      <c r="AH183" t="inlineStr">
        <is>
          <t>PT. PADANG DISTRIBUSINDO RAYA - PPN (PDG)</t>
        </is>
      </c>
      <c r="AI183" t="n">
        <v>1031</v>
      </c>
      <c r="AJ183" t="inlineStr">
        <is>
          <t>AZZURA</t>
        </is>
      </c>
      <c r="AK183" t="n">
        <v>21</v>
      </c>
      <c r="AL183" t="inlineStr">
        <is>
          <t>Miss Glam Damar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"8998866109611"</f>
        <v/>
      </c>
      <c r="C184" t="inlineStr">
        <is>
          <t>AZZURA Long Lasting Lipstick With Avocado Butter &amp; Vitamin E 11 Peach Beauty 3gr</t>
        </is>
      </c>
      <c r="D184" t="inlineStr">
        <is>
          <t>Miss Glam Damar</t>
        </is>
      </c>
      <c r="E184" t="n">
        <v>5</v>
      </c>
      <c r="F184" t="n">
        <v>0.0273</v>
      </c>
      <c r="G184" t="n">
        <v>0.91</v>
      </c>
      <c r="H184" t="n">
        <v>2</v>
      </c>
      <c r="I184" t="n">
        <v>6</v>
      </c>
      <c r="J184" t="n">
        <v>3</v>
      </c>
      <c r="K184" t="n">
        <v>0</v>
      </c>
      <c r="L184" t="n">
        <v>23619</v>
      </c>
      <c r="M184" t="n">
        <v>28000</v>
      </c>
      <c r="N184" t="n">
        <v>91</v>
      </c>
      <c r="O184" t="n">
        <v>0.91</v>
      </c>
      <c r="P184" t="n">
        <v>1</v>
      </c>
      <c r="Q184" t="n">
        <v>0.1</v>
      </c>
      <c r="R184" t="n">
        <v>1</v>
      </c>
      <c r="S184" t="n">
        <v>764.4000000000001</v>
      </c>
      <c r="T184" t="n">
        <v>6</v>
      </c>
      <c r="U184" t="n">
        <v>7</v>
      </c>
      <c r="V184" t="n">
        <v>30</v>
      </c>
      <c r="W184" t="n">
        <v>1</v>
      </c>
      <c r="X184" t="n">
        <v>183.1501831501832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11323</v>
      </c>
      <c r="AG184" t="n">
        <v>448</v>
      </c>
      <c r="AH184" t="inlineStr">
        <is>
          <t>PT. PADANG DISTRIBUSINDO RAYA - PPN (PDG)</t>
        </is>
      </c>
      <c r="AI184" t="n">
        <v>1031</v>
      </c>
      <c r="AJ184" t="inlineStr">
        <is>
          <t>AZZURA</t>
        </is>
      </c>
      <c r="AK184" t="n">
        <v>21</v>
      </c>
      <c r="AL184" t="inlineStr">
        <is>
          <t>Miss Glam Damar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"8998866109628"</f>
        <v/>
      </c>
      <c r="C185" t="inlineStr">
        <is>
          <t>AZZURA Long Lasting Lipstick With Avocado Butter &amp; Vitamin E 12 Bare With Me 3gr</t>
        </is>
      </c>
      <c r="D185" t="inlineStr">
        <is>
          <t>Miss Glam Damar</t>
        </is>
      </c>
      <c r="E185" t="n">
        <v>7</v>
      </c>
      <c r="F185" t="n">
        <v>0.2184</v>
      </c>
      <c r="G185" t="n">
        <v>1.82</v>
      </c>
      <c r="H185" t="n">
        <v>2</v>
      </c>
      <c r="I185" t="n">
        <v>6</v>
      </c>
      <c r="J185" t="n">
        <v>3</v>
      </c>
      <c r="K185" t="n">
        <v>0</v>
      </c>
      <c r="L185" t="n">
        <v>23619</v>
      </c>
      <c r="M185" t="n">
        <v>28000</v>
      </c>
      <c r="N185" t="n">
        <v>91</v>
      </c>
      <c r="O185" t="n">
        <v>0.91</v>
      </c>
      <c r="P185" t="n">
        <v>1</v>
      </c>
      <c r="Q185" t="n">
        <v>0.17</v>
      </c>
      <c r="R185" t="n">
        <v>2</v>
      </c>
      <c r="S185" t="n">
        <v>6115.200000000001</v>
      </c>
      <c r="T185" t="n">
        <v>11</v>
      </c>
      <c r="U185" t="n">
        <v>12</v>
      </c>
      <c r="V185" t="n">
        <v>30</v>
      </c>
      <c r="W185" t="n">
        <v>7</v>
      </c>
      <c r="X185" t="n">
        <v>32.05128205128205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11323</v>
      </c>
      <c r="AG185" t="n">
        <v>448</v>
      </c>
      <c r="AH185" t="inlineStr">
        <is>
          <t>PT. PADANG DISTRIBUSINDO RAYA - PPN (PDG)</t>
        </is>
      </c>
      <c r="AI185" t="n">
        <v>1031</v>
      </c>
      <c r="AJ185" t="inlineStr">
        <is>
          <t>AZZURA</t>
        </is>
      </c>
      <c r="AK185" t="n">
        <v>21</v>
      </c>
      <c r="AL185" t="inlineStr">
        <is>
          <t>Miss Glam Damar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"8998866109635"</f>
        <v/>
      </c>
      <c r="C186" t="inlineStr">
        <is>
          <t>AZZURA Long Lasting Lipstick With Avocado Butter &amp; Vitamin E 13 Brick Red 3gr</t>
        </is>
      </c>
      <c r="D186" t="inlineStr">
        <is>
          <t>Miss Glam Damar</t>
        </is>
      </c>
      <c r="E186" t="n">
        <v>5</v>
      </c>
      <c r="F186" t="n">
        <v>0.2002</v>
      </c>
      <c r="G186" t="n">
        <v>0.91</v>
      </c>
      <c r="H186" t="n">
        <v>2</v>
      </c>
      <c r="I186" t="n">
        <v>6</v>
      </c>
      <c r="J186" t="n">
        <v>3</v>
      </c>
      <c r="K186" t="n">
        <v>0</v>
      </c>
      <c r="L186" t="n">
        <v>23619</v>
      </c>
      <c r="M186" t="n">
        <v>28000</v>
      </c>
      <c r="N186" t="n">
        <v>91</v>
      </c>
      <c r="O186" t="n">
        <v>0.91</v>
      </c>
      <c r="P186" t="n">
        <v>1</v>
      </c>
      <c r="Q186" t="n">
        <v>0.15</v>
      </c>
      <c r="R186" t="n">
        <v>1</v>
      </c>
      <c r="S186" t="n">
        <v>5605.6</v>
      </c>
      <c r="T186" t="n">
        <v>6</v>
      </c>
      <c r="U186" t="n">
        <v>7</v>
      </c>
      <c r="V186" t="n">
        <v>30</v>
      </c>
      <c r="W186" t="n">
        <v>7</v>
      </c>
      <c r="X186" t="n">
        <v>24.97502497502497</v>
      </c>
      <c r="Y186" t="n">
        <v>1</v>
      </c>
      <c r="Z186" t="n">
        <v>2</v>
      </c>
      <c r="AA186" t="n">
        <v>0</v>
      </c>
      <c r="AB186" t="n">
        <v>2</v>
      </c>
      <c r="AC186" t="n">
        <v>3</v>
      </c>
      <c r="AD186" t="n">
        <v>0</v>
      </c>
      <c r="AE186" t="n">
        <v>70857</v>
      </c>
      <c r="AF186" t="n">
        <v>11323</v>
      </c>
      <c r="AG186" t="n">
        <v>448</v>
      </c>
      <c r="AH186" t="inlineStr">
        <is>
          <t>PT. PADANG DISTRIBUSINDO RAYA - PPN (PDG)</t>
        </is>
      </c>
      <c r="AI186" t="n">
        <v>1031</v>
      </c>
      <c r="AJ186" t="inlineStr">
        <is>
          <t>AZZURA</t>
        </is>
      </c>
      <c r="AK186" t="n">
        <v>21</v>
      </c>
      <c r="AL186" t="inlineStr">
        <is>
          <t>Miss Glam Damar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"8998866109642"</f>
        <v/>
      </c>
      <c r="C187" t="inlineStr">
        <is>
          <t>AZZURA Long Lasting Lipstick With Avocado Butter &amp; Vitamin E 14 Sweet Taupe 3gr</t>
        </is>
      </c>
      <c r="D187" t="inlineStr">
        <is>
          <t>Miss Glam Damar</t>
        </is>
      </c>
      <c r="E187" t="n">
        <v>12</v>
      </c>
      <c r="F187" t="n">
        <v>0.3094</v>
      </c>
      <c r="G187" t="n">
        <v>7.28</v>
      </c>
      <c r="H187" t="n">
        <v>2</v>
      </c>
      <c r="I187" t="n">
        <v>6</v>
      </c>
      <c r="J187" t="n">
        <v>3</v>
      </c>
      <c r="K187" t="n">
        <v>0</v>
      </c>
      <c r="L187" t="n">
        <v>22162</v>
      </c>
      <c r="M187" t="n">
        <v>28000</v>
      </c>
      <c r="N187" t="n">
        <v>91</v>
      </c>
      <c r="O187" t="n">
        <v>0.91</v>
      </c>
      <c r="P187" t="n">
        <v>1</v>
      </c>
      <c r="Q187" t="n">
        <v>0.22</v>
      </c>
      <c r="R187" t="n">
        <v>2</v>
      </c>
      <c r="S187" t="n">
        <v>8663.200000000001</v>
      </c>
      <c r="T187" t="n">
        <v>44</v>
      </c>
      <c r="U187" t="n">
        <v>45</v>
      </c>
      <c r="V187" t="n">
        <v>30</v>
      </c>
      <c r="W187" t="n">
        <v>10</v>
      </c>
      <c r="X187" t="n">
        <v>38.78474466709761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11323</v>
      </c>
      <c r="AG187" t="n">
        <v>448</v>
      </c>
      <c r="AH187" t="inlineStr">
        <is>
          <t>PT. PADANG DISTRIBUSINDO RAYA - PPN (PDG)</t>
        </is>
      </c>
      <c r="AI187" t="n">
        <v>1031</v>
      </c>
      <c r="AJ187" t="inlineStr">
        <is>
          <t>AZZURA</t>
        </is>
      </c>
      <c r="AK187" t="n">
        <v>21</v>
      </c>
      <c r="AL187" t="inlineStr">
        <is>
          <t>Miss Glam Damar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"8998866108492"</f>
        <v/>
      </c>
      <c r="C188" t="inlineStr">
        <is>
          <t>AZZURA Loose Powder Fresh Look 01 Light Beige 30gr</t>
        </is>
      </c>
      <c r="D188" t="inlineStr">
        <is>
          <t>Miss Glam Damar</t>
        </is>
      </c>
      <c r="E188" t="n">
        <v>36</v>
      </c>
      <c r="F188" t="n">
        <v>2.2659</v>
      </c>
      <c r="G188" t="n">
        <v>6.37</v>
      </c>
      <c r="H188" t="n">
        <v>2</v>
      </c>
      <c r="I188" t="n">
        <v>6</v>
      </c>
      <c r="J188" t="n">
        <v>3</v>
      </c>
      <c r="K188" t="n">
        <v>0</v>
      </c>
      <c r="L188" t="n">
        <v>20271</v>
      </c>
      <c r="M188" t="n">
        <v>24500</v>
      </c>
      <c r="N188" t="n">
        <v>91</v>
      </c>
      <c r="O188" t="n">
        <v>0.91</v>
      </c>
      <c r="P188" t="n">
        <v>1</v>
      </c>
      <c r="Q188" t="n">
        <v>1.44</v>
      </c>
      <c r="R188" t="n">
        <v>6</v>
      </c>
      <c r="S188" t="n">
        <v>55514.55</v>
      </c>
      <c r="T188" t="n">
        <v>34</v>
      </c>
      <c r="U188" t="n">
        <v>39</v>
      </c>
      <c r="V188" t="n">
        <v>30</v>
      </c>
      <c r="W188" t="n">
        <v>68</v>
      </c>
      <c r="X188" t="n">
        <v>15.88772673110022</v>
      </c>
      <c r="Y188" t="n">
        <v>1</v>
      </c>
      <c r="Z188" t="n">
        <v>32</v>
      </c>
      <c r="AA188" t="n">
        <v>0</v>
      </c>
      <c r="AB188" t="n">
        <v>32</v>
      </c>
      <c r="AC188" t="n">
        <v>32</v>
      </c>
      <c r="AD188" t="n">
        <v>0</v>
      </c>
      <c r="AE188" t="n">
        <v>648672</v>
      </c>
      <c r="AF188" t="n">
        <v>11323</v>
      </c>
      <c r="AG188" t="n">
        <v>448</v>
      </c>
      <c r="AH188" t="inlineStr">
        <is>
          <t>PT. PADANG DISTRIBUSINDO RAYA - PPN (PDG)</t>
        </is>
      </c>
      <c r="AI188" t="n">
        <v>1031</v>
      </c>
      <c r="AJ188" t="inlineStr">
        <is>
          <t>AZZURA</t>
        </is>
      </c>
      <c r="AK188" t="n">
        <v>21</v>
      </c>
      <c r="AL188" t="inlineStr">
        <is>
          <t>Miss Glam Damar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"8998866108508"</f>
        <v/>
      </c>
      <c r="C189" t="inlineStr">
        <is>
          <t>AZZURA Loose Powder Fresh Look 02 Natural 30gr</t>
        </is>
      </c>
      <c r="D189" t="inlineStr">
        <is>
          <t>Miss Glam Damar</t>
        </is>
      </c>
      <c r="E189" t="n">
        <v>70</v>
      </c>
      <c r="F189" t="n">
        <v>6.1971</v>
      </c>
      <c r="G189" t="n">
        <v>12.74</v>
      </c>
      <c r="H189" t="n">
        <v>2</v>
      </c>
      <c r="I189" t="n">
        <v>6</v>
      </c>
      <c r="J189" t="n">
        <v>3</v>
      </c>
      <c r="K189" t="n">
        <v>0</v>
      </c>
      <c r="L189" t="n">
        <v>20470</v>
      </c>
      <c r="M189" t="n">
        <v>24500</v>
      </c>
      <c r="N189" t="n">
        <v>91</v>
      </c>
      <c r="O189" t="n">
        <v>0.91</v>
      </c>
      <c r="P189" t="n">
        <v>1</v>
      </c>
      <c r="Q189" t="n">
        <v>3.31</v>
      </c>
      <c r="R189" t="n">
        <v>10</v>
      </c>
      <c r="S189" t="n">
        <v>151828.95</v>
      </c>
      <c r="T189" t="n">
        <v>65</v>
      </c>
      <c r="U189" t="n">
        <v>78</v>
      </c>
      <c r="V189" t="n">
        <v>30</v>
      </c>
      <c r="W189" t="n">
        <v>186</v>
      </c>
      <c r="X189" t="n">
        <v>11.2956060092624</v>
      </c>
      <c r="Y189" t="n">
        <v>1</v>
      </c>
      <c r="Z189" t="n">
        <v>116</v>
      </c>
      <c r="AA189" t="n">
        <v>0</v>
      </c>
      <c r="AB189" t="n">
        <v>116</v>
      </c>
      <c r="AC189" t="n">
        <v>116</v>
      </c>
      <c r="AD189" t="n">
        <v>0</v>
      </c>
      <c r="AE189" t="n">
        <v>2374520</v>
      </c>
      <c r="AF189" t="n">
        <v>11323</v>
      </c>
      <c r="AG189" t="n">
        <v>448</v>
      </c>
      <c r="AH189" t="inlineStr">
        <is>
          <t>PT. PADANG DISTRIBUSINDO RAYA - PPN (PDG)</t>
        </is>
      </c>
      <c r="AI189" t="n">
        <v>1031</v>
      </c>
      <c r="AJ189" t="inlineStr">
        <is>
          <t>AZZURA</t>
        </is>
      </c>
      <c r="AK189" t="n">
        <v>21</v>
      </c>
      <c r="AL189" t="inlineStr">
        <is>
          <t>Miss Glam Damar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"8998866108515"</f>
        <v/>
      </c>
      <c r="C190" t="inlineStr">
        <is>
          <t>AZZURA Loose Powder Fresh Look 03 Ivory 30gr</t>
        </is>
      </c>
      <c r="D190" t="inlineStr">
        <is>
          <t>Miss Glam Damar</t>
        </is>
      </c>
      <c r="E190" t="n">
        <v>30</v>
      </c>
      <c r="F190" t="n">
        <v>2.6663</v>
      </c>
      <c r="G190" t="n">
        <v>8.19</v>
      </c>
      <c r="H190" t="n">
        <v>2</v>
      </c>
      <c r="I190" t="n">
        <v>6</v>
      </c>
      <c r="J190" t="n">
        <v>3</v>
      </c>
      <c r="K190" t="n">
        <v>0</v>
      </c>
      <c r="L190" t="n">
        <v>20470</v>
      </c>
      <c r="M190" t="n">
        <v>24500</v>
      </c>
      <c r="N190" t="n">
        <v>91</v>
      </c>
      <c r="O190" t="n">
        <v>0.91</v>
      </c>
      <c r="P190" t="n">
        <v>1</v>
      </c>
      <c r="Q190" t="n">
        <v>1.51</v>
      </c>
      <c r="R190" t="n">
        <v>5</v>
      </c>
      <c r="S190" t="n">
        <v>65324.35000000001</v>
      </c>
      <c r="T190" t="n">
        <v>44</v>
      </c>
      <c r="U190" t="n">
        <v>50</v>
      </c>
      <c r="V190" t="n">
        <v>30</v>
      </c>
      <c r="W190" t="n">
        <v>80</v>
      </c>
      <c r="X190" t="n">
        <v>11.25154708772456</v>
      </c>
      <c r="Y190" t="n">
        <v>1</v>
      </c>
      <c r="Z190" t="n">
        <v>50</v>
      </c>
      <c r="AA190" t="n">
        <v>0</v>
      </c>
      <c r="AB190" t="n">
        <v>50</v>
      </c>
      <c r="AC190" t="n">
        <v>50</v>
      </c>
      <c r="AD190" t="n">
        <v>0</v>
      </c>
      <c r="AE190" t="n">
        <v>1023500</v>
      </c>
      <c r="AF190" t="n">
        <v>11323</v>
      </c>
      <c r="AG190" t="n">
        <v>448</v>
      </c>
      <c r="AH190" t="inlineStr">
        <is>
          <t>PT. PADANG DISTRIBUSINDO RAYA - PPN (PDG)</t>
        </is>
      </c>
      <c r="AI190" t="n">
        <v>1031</v>
      </c>
      <c r="AJ190" t="inlineStr">
        <is>
          <t>AZZURA</t>
        </is>
      </c>
      <c r="AK190" t="n">
        <v>21</v>
      </c>
      <c r="AL190" t="inlineStr">
        <is>
          <t>Miss Glam Damar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"8998866108522"</f>
        <v/>
      </c>
      <c r="C191" t="inlineStr">
        <is>
          <t>AZZURA Luminous Cushion SPF 25 PA+++ 01 Light Beige 15gr</t>
        </is>
      </c>
      <c r="D191" t="inlineStr">
        <is>
          <t>Miss Glam Damar</t>
        </is>
      </c>
      <c r="E191" t="n">
        <v>11</v>
      </c>
      <c r="F191" t="n">
        <v>0.0182</v>
      </c>
      <c r="G191" t="n">
        <v>0.91</v>
      </c>
      <c r="H191" t="n">
        <v>2</v>
      </c>
      <c r="I191" t="n">
        <v>6</v>
      </c>
      <c r="J191" t="n">
        <v>3</v>
      </c>
      <c r="K191" t="n">
        <v>0</v>
      </c>
      <c r="L191" t="n">
        <v>75582</v>
      </c>
      <c r="M191" t="n">
        <v>89000</v>
      </c>
      <c r="N191" t="n">
        <v>91</v>
      </c>
      <c r="O191" t="n">
        <v>0.91</v>
      </c>
      <c r="P191" t="n">
        <v>1</v>
      </c>
      <c r="Q191" t="n">
        <v>0.02</v>
      </c>
      <c r="R191" t="n">
        <v>1</v>
      </c>
      <c r="S191" t="n">
        <v>1619.8</v>
      </c>
      <c r="T191" t="n">
        <v>6</v>
      </c>
      <c r="U191" t="n">
        <v>7</v>
      </c>
      <c r="V191" t="n">
        <v>30</v>
      </c>
      <c r="W191" t="n">
        <v>1</v>
      </c>
      <c r="X191" t="n">
        <v>604.3956043956043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11323</v>
      </c>
      <c r="AG191" t="n">
        <v>448</v>
      </c>
      <c r="AH191" t="inlineStr">
        <is>
          <t>PT. PADANG DISTRIBUSINDO RAYA - PPN (PDG)</t>
        </is>
      </c>
      <c r="AI191" t="n">
        <v>1031</v>
      </c>
      <c r="AJ191" t="inlineStr">
        <is>
          <t>AZZURA</t>
        </is>
      </c>
      <c r="AK191" t="n">
        <v>21</v>
      </c>
      <c r="AL191" t="inlineStr">
        <is>
          <t>Miss Glam Damar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"8998866108539"</f>
        <v/>
      </c>
      <c r="C192" t="inlineStr">
        <is>
          <t>AZZURA Luminous Cushion SPF 25 PA+++ 02 Natural 15gr</t>
        </is>
      </c>
      <c r="D192" t="inlineStr">
        <is>
          <t>Miss Glam Damar</t>
        </is>
      </c>
      <c r="E192" t="n">
        <v>7</v>
      </c>
      <c r="F192" t="n">
        <v>0.1092</v>
      </c>
      <c r="G192" t="n">
        <v>1.82</v>
      </c>
      <c r="H192" t="n">
        <v>2</v>
      </c>
      <c r="I192" t="n">
        <v>6</v>
      </c>
      <c r="J192" t="n">
        <v>3</v>
      </c>
      <c r="K192" t="n">
        <v>0</v>
      </c>
      <c r="L192" t="n">
        <v>75582</v>
      </c>
      <c r="M192" t="n">
        <v>89000</v>
      </c>
      <c r="N192" t="n">
        <v>91</v>
      </c>
      <c r="O192" t="n">
        <v>0.91</v>
      </c>
      <c r="P192" t="n">
        <v>1</v>
      </c>
      <c r="Q192" t="n">
        <v>0.1</v>
      </c>
      <c r="R192" t="n">
        <v>2</v>
      </c>
      <c r="S192" t="n">
        <v>9718.800000000001</v>
      </c>
      <c r="T192" t="n">
        <v>11</v>
      </c>
      <c r="U192" t="n">
        <v>12</v>
      </c>
      <c r="V192" t="n">
        <v>30</v>
      </c>
      <c r="W192" t="n">
        <v>4</v>
      </c>
      <c r="X192" t="n">
        <v>64.1025641025641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11323</v>
      </c>
      <c r="AG192" t="n">
        <v>448</v>
      </c>
      <c r="AH192" t="inlineStr">
        <is>
          <t>PT. PADANG DISTRIBUSINDO RAYA - PPN (PDG)</t>
        </is>
      </c>
      <c r="AI192" t="n">
        <v>1031</v>
      </c>
      <c r="AJ192" t="inlineStr">
        <is>
          <t>AZZURA</t>
        </is>
      </c>
      <c r="AK192" t="n">
        <v>21</v>
      </c>
      <c r="AL192" t="inlineStr">
        <is>
          <t>Miss Glam Damar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"8998866109062"</f>
        <v/>
      </c>
      <c r="C193" t="inlineStr">
        <is>
          <t>AZZURA Luminous Cushion SPF 25 PA+++ 03 Medium Beige 15gr</t>
        </is>
      </c>
      <c r="D193" t="inlineStr">
        <is>
          <t>Miss Glam Damar</t>
        </is>
      </c>
      <c r="E193" t="n">
        <v>2</v>
      </c>
      <c r="F193" t="n">
        <v>0.06370000000000001</v>
      </c>
      <c r="G193" t="n">
        <v>1.82</v>
      </c>
      <c r="H193" t="n">
        <v>2</v>
      </c>
      <c r="I193" t="n">
        <v>6</v>
      </c>
      <c r="J193" t="n">
        <v>3</v>
      </c>
      <c r="K193" t="n">
        <v>0</v>
      </c>
      <c r="L193" t="n">
        <v>75330</v>
      </c>
      <c r="M193" t="n">
        <v>89000</v>
      </c>
      <c r="N193" t="n">
        <v>91</v>
      </c>
      <c r="O193" t="n">
        <v>0.91</v>
      </c>
      <c r="P193" t="n">
        <v>1</v>
      </c>
      <c r="Q193" t="n">
        <v>0.03</v>
      </c>
      <c r="R193" t="n">
        <v>1</v>
      </c>
      <c r="S193" t="n">
        <v>5669.3</v>
      </c>
      <c r="T193" t="n">
        <v>11</v>
      </c>
      <c r="U193" t="n">
        <v>12</v>
      </c>
      <c r="V193" t="n">
        <v>30</v>
      </c>
      <c r="W193" t="n">
        <v>2</v>
      </c>
      <c r="X193" t="n">
        <v>31.39717425431711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11323</v>
      </c>
      <c r="AG193" t="n">
        <v>448</v>
      </c>
      <c r="AH193" t="inlineStr">
        <is>
          <t>PT. PADANG DISTRIBUSINDO RAYA - PPN (PDG)</t>
        </is>
      </c>
      <c r="AI193" t="n">
        <v>1031</v>
      </c>
      <c r="AJ193" t="inlineStr">
        <is>
          <t>AZZURA</t>
        </is>
      </c>
      <c r="AK193" t="n">
        <v>21</v>
      </c>
      <c r="AL193" t="inlineStr">
        <is>
          <t>Miss Glam Damar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"20200220338"</f>
        <v/>
      </c>
      <c r="C194" t="inlineStr">
        <is>
          <t>AZZURA Mascara Lasting Curl Black 6,5gr</t>
        </is>
      </c>
      <c r="D194" t="inlineStr">
        <is>
          <t>Miss Glam Damar</t>
        </is>
      </c>
      <c r="E194" t="n">
        <v>1</v>
      </c>
      <c r="F194" t="n">
        <v>0.09100000000000001</v>
      </c>
      <c r="G194" t="n">
        <v>1.82</v>
      </c>
      <c r="H194" t="n">
        <v>2</v>
      </c>
      <c r="I194" t="n">
        <v>6</v>
      </c>
      <c r="J194" t="n">
        <v>1</v>
      </c>
      <c r="K194" t="n">
        <v>0</v>
      </c>
      <c r="L194" t="n">
        <v>39832</v>
      </c>
      <c r="M194" t="n">
        <v>48500</v>
      </c>
      <c r="N194" t="n">
        <v>91</v>
      </c>
      <c r="O194" t="n">
        <v>0.91</v>
      </c>
      <c r="P194" t="n">
        <v>1</v>
      </c>
      <c r="Q194" t="n">
        <v>0.1</v>
      </c>
      <c r="R194" t="n">
        <v>1</v>
      </c>
      <c r="S194" t="n">
        <v>4413.500000000001</v>
      </c>
      <c r="T194" t="n">
        <v>11</v>
      </c>
      <c r="U194" t="n">
        <v>12</v>
      </c>
      <c r="V194" t="n">
        <v>30</v>
      </c>
      <c r="W194" t="n">
        <v>3</v>
      </c>
      <c r="X194" t="n">
        <v>10.98901098901099</v>
      </c>
      <c r="Y194" t="n">
        <v>1</v>
      </c>
      <c r="Z194" t="n">
        <v>2</v>
      </c>
      <c r="AA194" t="n">
        <v>0</v>
      </c>
      <c r="AB194" t="n">
        <v>2</v>
      </c>
      <c r="AC194" t="n">
        <v>2</v>
      </c>
      <c r="AD194" t="n">
        <v>0</v>
      </c>
      <c r="AE194" t="n">
        <v>79664</v>
      </c>
      <c r="AF194" t="n">
        <v>11323</v>
      </c>
      <c r="AG194" t="n">
        <v>448</v>
      </c>
      <c r="AH194" t="inlineStr">
        <is>
          <t>PT. PADANG DISTRIBUSINDO RAYA - PPN (PDG)</t>
        </is>
      </c>
      <c r="AI194" t="n">
        <v>1031</v>
      </c>
      <c r="AJ194" t="inlineStr">
        <is>
          <t>AZZURA</t>
        </is>
      </c>
      <c r="AK194" t="n">
        <v>21</v>
      </c>
      <c r="AL194" t="inlineStr">
        <is>
          <t>Miss Glam Damar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"8998866108591"</f>
        <v/>
      </c>
      <c r="C195" t="inlineStr">
        <is>
          <t>AZZURA Matte Lip Cream With Cocoa Butter &amp; Vitamin E 05 Blushing Pink 4g</t>
        </is>
      </c>
      <c r="D195" t="inlineStr">
        <is>
          <t>Miss Glam Damar</t>
        </is>
      </c>
      <c r="E195" t="n">
        <v>0</v>
      </c>
      <c r="F195" t="n">
        <v>0.1729</v>
      </c>
      <c r="G195" t="n">
        <v>1.82</v>
      </c>
      <c r="H195" t="n">
        <v>2</v>
      </c>
      <c r="I195" t="n">
        <v>6</v>
      </c>
      <c r="J195" t="n">
        <v>3</v>
      </c>
      <c r="K195" t="n">
        <v>0</v>
      </c>
      <c r="L195" t="n">
        <v>32437</v>
      </c>
      <c r="M195" t="n">
        <v>38500</v>
      </c>
      <c r="N195" t="n">
        <v>91</v>
      </c>
      <c r="O195" t="n">
        <v>0.91</v>
      </c>
      <c r="P195" t="n">
        <v>1</v>
      </c>
      <c r="Q195" t="n">
        <v>0.14</v>
      </c>
      <c r="R195" t="n">
        <v>1</v>
      </c>
      <c r="S195" t="n">
        <v>6656.65</v>
      </c>
      <c r="T195" t="n">
        <v>11</v>
      </c>
      <c r="U195" t="n">
        <v>12</v>
      </c>
      <c r="V195" t="n">
        <v>30</v>
      </c>
      <c r="W195" t="n">
        <v>6</v>
      </c>
      <c r="X195" t="n">
        <v>0</v>
      </c>
      <c r="Y195" t="n">
        <v>1</v>
      </c>
      <c r="Z195" t="n">
        <v>6</v>
      </c>
      <c r="AA195" t="n">
        <v>2</v>
      </c>
      <c r="AB195" t="n">
        <v>4</v>
      </c>
      <c r="AC195" t="n">
        <v>4</v>
      </c>
      <c r="AD195" t="n">
        <v>64874</v>
      </c>
      <c r="AE195" t="n">
        <v>129748</v>
      </c>
      <c r="AF195" t="n">
        <v>11323</v>
      </c>
      <c r="AG195" t="n">
        <v>448</v>
      </c>
      <c r="AH195" t="inlineStr">
        <is>
          <t>PT. PADANG DISTRIBUSINDO RAYA - PPN (PDG)</t>
        </is>
      </c>
      <c r="AI195" t="n">
        <v>1031</v>
      </c>
      <c r="AJ195" t="inlineStr">
        <is>
          <t>AZZURA</t>
        </is>
      </c>
      <c r="AK195" t="n">
        <v>21</v>
      </c>
      <c r="AL195" t="inlineStr">
        <is>
          <t>Miss Glam Damar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"8998866109512"</f>
        <v/>
      </c>
      <c r="C196" t="inlineStr">
        <is>
          <t>AZZURA Matte Lipcream 09 Summer Kiss 4gr</t>
        </is>
      </c>
      <c r="D196" t="inlineStr">
        <is>
          <t>Miss Glam Damar</t>
        </is>
      </c>
      <c r="E196" t="n">
        <v>2</v>
      </c>
      <c r="F196" t="n">
        <v>0.2457</v>
      </c>
      <c r="G196" t="n">
        <v>1.82</v>
      </c>
      <c r="H196" t="n">
        <v>2</v>
      </c>
      <c r="I196" t="n">
        <v>6</v>
      </c>
      <c r="J196" t="n">
        <v>3</v>
      </c>
      <c r="K196" t="n">
        <v>0</v>
      </c>
      <c r="L196" t="n">
        <v>32437</v>
      </c>
      <c r="M196" t="n">
        <v>38500</v>
      </c>
      <c r="N196" t="n">
        <v>91</v>
      </c>
      <c r="O196" t="n">
        <v>0.91</v>
      </c>
      <c r="P196" t="n">
        <v>1</v>
      </c>
      <c r="Q196" t="n">
        <v>0.12</v>
      </c>
      <c r="R196" t="n">
        <v>1</v>
      </c>
      <c r="S196" t="n">
        <v>9459.450000000001</v>
      </c>
      <c r="T196" t="n">
        <v>11</v>
      </c>
      <c r="U196" t="n">
        <v>12</v>
      </c>
      <c r="V196" t="n">
        <v>30</v>
      </c>
      <c r="W196" t="n">
        <v>8</v>
      </c>
      <c r="X196" t="n">
        <v>8.140008140008138</v>
      </c>
      <c r="Y196" t="n">
        <v>1</v>
      </c>
      <c r="Z196" t="n">
        <v>6</v>
      </c>
      <c r="AA196" t="n">
        <v>0</v>
      </c>
      <c r="AB196" t="n">
        <v>6</v>
      </c>
      <c r="AC196" t="n">
        <v>6</v>
      </c>
      <c r="AD196" t="n">
        <v>0</v>
      </c>
      <c r="AE196" t="n">
        <v>194622</v>
      </c>
      <c r="AF196" t="n">
        <v>11323</v>
      </c>
      <c r="AG196" t="n">
        <v>448</v>
      </c>
      <c r="AH196" t="inlineStr">
        <is>
          <t>PT. PADANG DISTRIBUSINDO RAYA - PPN (PDG)</t>
        </is>
      </c>
      <c r="AI196" t="n">
        <v>1031</v>
      </c>
      <c r="AJ196" t="inlineStr">
        <is>
          <t>AZZURA</t>
        </is>
      </c>
      <c r="AK196" t="n">
        <v>21</v>
      </c>
      <c r="AL196" t="inlineStr">
        <is>
          <t>Miss Glam Damar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"8998866108584"</f>
        <v/>
      </c>
      <c r="C197" t="inlineStr">
        <is>
          <t>AZZURA Matte LipCream with Cocoa Butter &amp; Vitamin E 04 Perfect Nude 4gr</t>
        </is>
      </c>
      <c r="D197" t="inlineStr">
        <is>
          <t>Miss Glam Damar</t>
        </is>
      </c>
      <c r="E197" t="n">
        <v>7</v>
      </c>
      <c r="F197" t="n">
        <v>0.1092</v>
      </c>
      <c r="G197" t="n">
        <v>1.82</v>
      </c>
      <c r="H197" t="n">
        <v>2</v>
      </c>
      <c r="I197" t="n">
        <v>6</v>
      </c>
      <c r="J197" t="n">
        <v>3</v>
      </c>
      <c r="K197" t="n">
        <v>0</v>
      </c>
      <c r="L197" t="n">
        <v>32437</v>
      </c>
      <c r="M197" t="n">
        <v>38500</v>
      </c>
      <c r="N197" t="n">
        <v>91</v>
      </c>
      <c r="O197" t="n">
        <v>0.91</v>
      </c>
      <c r="P197" t="n">
        <v>1</v>
      </c>
      <c r="Q197" t="n">
        <v>0.14</v>
      </c>
      <c r="R197" t="n">
        <v>1</v>
      </c>
      <c r="S197" t="n">
        <v>4204.2</v>
      </c>
      <c r="T197" t="n">
        <v>11</v>
      </c>
      <c r="U197" t="n">
        <v>12</v>
      </c>
      <c r="V197" t="n">
        <v>30</v>
      </c>
      <c r="W197" t="n">
        <v>4</v>
      </c>
      <c r="X197" t="n">
        <v>64.1025641025641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11323</v>
      </c>
      <c r="AG197" t="n">
        <v>448</v>
      </c>
      <c r="AH197" t="inlineStr">
        <is>
          <t>PT. PADANG DISTRIBUSINDO RAYA - PPN (PDG)</t>
        </is>
      </c>
      <c r="AI197" t="n">
        <v>1031</v>
      </c>
      <c r="AJ197" t="inlineStr">
        <is>
          <t>AZZURA</t>
        </is>
      </c>
      <c r="AK197" t="n">
        <v>21</v>
      </c>
      <c r="AL197" t="inlineStr">
        <is>
          <t>Miss Glam Damar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"8998866108607"</f>
        <v/>
      </c>
      <c r="C198" t="inlineStr">
        <is>
          <t>AZZURA Matte LipCream with Cocoa Butter &amp; Vitamin E 06 Sweet Brownie 4gr</t>
        </is>
      </c>
      <c r="D198" t="inlineStr">
        <is>
          <t>Miss Glam Damar</t>
        </is>
      </c>
      <c r="E198" t="n">
        <v>5</v>
      </c>
      <c r="F198" t="n">
        <v>0.3822</v>
      </c>
      <c r="G198" t="n">
        <v>1.82</v>
      </c>
      <c r="H198" t="n">
        <v>2</v>
      </c>
      <c r="I198" t="n">
        <v>6</v>
      </c>
      <c r="J198" t="n">
        <v>3</v>
      </c>
      <c r="K198" t="n">
        <v>0</v>
      </c>
      <c r="L198" t="n">
        <v>32437</v>
      </c>
      <c r="M198" t="n">
        <v>38500</v>
      </c>
      <c r="N198" t="n">
        <v>91</v>
      </c>
      <c r="O198" t="n">
        <v>0.91</v>
      </c>
      <c r="P198" t="n">
        <v>1</v>
      </c>
      <c r="Q198" t="n">
        <v>0.24</v>
      </c>
      <c r="R198" t="n">
        <v>2</v>
      </c>
      <c r="S198" t="n">
        <v>14714.7</v>
      </c>
      <c r="T198" t="n">
        <v>11</v>
      </c>
      <c r="U198" t="n">
        <v>12</v>
      </c>
      <c r="V198" t="n">
        <v>30</v>
      </c>
      <c r="W198" t="n">
        <v>12</v>
      </c>
      <c r="X198" t="n">
        <v>13.0821559392988</v>
      </c>
      <c r="Y198" t="n">
        <v>1</v>
      </c>
      <c r="Z198" t="n">
        <v>7</v>
      </c>
      <c r="AA198" t="n">
        <v>0</v>
      </c>
      <c r="AB198" t="n">
        <v>7</v>
      </c>
      <c r="AC198" t="n">
        <v>7</v>
      </c>
      <c r="AD198" t="n">
        <v>0</v>
      </c>
      <c r="AE198" t="n">
        <v>227059</v>
      </c>
      <c r="AF198" t="n">
        <v>11323</v>
      </c>
      <c r="AG198" t="n">
        <v>448</v>
      </c>
      <c r="AH198" t="inlineStr">
        <is>
          <t>PT. PADANG DISTRIBUSINDO RAYA - PPN (PDG)</t>
        </is>
      </c>
      <c r="AI198" t="n">
        <v>1031</v>
      </c>
      <c r="AJ198" t="inlineStr">
        <is>
          <t>AZZURA</t>
        </is>
      </c>
      <c r="AK198" t="n">
        <v>21</v>
      </c>
      <c r="AL198" t="inlineStr">
        <is>
          <t>Miss Glam Damar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"8998866108614"</f>
        <v/>
      </c>
      <c r="C199" t="inlineStr">
        <is>
          <t>AZZURA Matte LipCream with Cocoa Butter &amp; Vitamin E 07 Red Poppy 4gr</t>
        </is>
      </c>
      <c r="D199" t="inlineStr">
        <is>
          <t>Miss Glam Damar</t>
        </is>
      </c>
      <c r="E199" t="n">
        <v>18</v>
      </c>
      <c r="F199" t="n">
        <v>0.3731</v>
      </c>
      <c r="G199" t="n">
        <v>2.73</v>
      </c>
      <c r="H199" t="n">
        <v>2</v>
      </c>
      <c r="I199" t="n">
        <v>6</v>
      </c>
      <c r="J199" t="n">
        <v>3</v>
      </c>
      <c r="K199" t="n">
        <v>0</v>
      </c>
      <c r="L199" t="n">
        <v>31770</v>
      </c>
      <c r="M199" t="n">
        <v>38500</v>
      </c>
      <c r="N199" t="n">
        <v>91</v>
      </c>
      <c r="O199" t="n">
        <v>0.91</v>
      </c>
      <c r="P199" t="n">
        <v>1</v>
      </c>
      <c r="Q199" t="n">
        <v>0.42</v>
      </c>
      <c r="R199" t="n">
        <v>2</v>
      </c>
      <c r="S199" t="n">
        <v>14364.35</v>
      </c>
      <c r="T199" t="n">
        <v>16</v>
      </c>
      <c r="U199" t="n">
        <v>17</v>
      </c>
      <c r="V199" t="n">
        <v>30</v>
      </c>
      <c r="W199" t="n">
        <v>12</v>
      </c>
      <c r="X199" t="n">
        <v>48.24443848834093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11323</v>
      </c>
      <c r="AG199" t="n">
        <v>448</v>
      </c>
      <c r="AH199" t="inlineStr">
        <is>
          <t>PT. PADANG DISTRIBUSINDO RAYA - PPN (PDG)</t>
        </is>
      </c>
      <c r="AI199" t="n">
        <v>1031</v>
      </c>
      <c r="AJ199" t="inlineStr">
        <is>
          <t>AZZURA</t>
        </is>
      </c>
      <c r="AK199" t="n">
        <v>21</v>
      </c>
      <c r="AL199" t="inlineStr">
        <is>
          <t>Miss Glam Damar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"8998866108621"</f>
        <v/>
      </c>
      <c r="C200" t="inlineStr">
        <is>
          <t>AZZURA Matte LipCream with Cocoa Butter &amp; Vitamin E 08 Peach Love 4gr</t>
        </is>
      </c>
      <c r="D200" t="inlineStr">
        <is>
          <t>Miss Glam Damar</t>
        </is>
      </c>
      <c r="E200" t="n">
        <v>3</v>
      </c>
      <c r="F200" t="n">
        <v>0.1092</v>
      </c>
      <c r="G200" t="n">
        <v>1.82</v>
      </c>
      <c r="H200" t="n">
        <v>2</v>
      </c>
      <c r="I200" t="n">
        <v>6</v>
      </c>
      <c r="J200" t="n">
        <v>3</v>
      </c>
      <c r="K200" t="n">
        <v>0</v>
      </c>
      <c r="L200" t="n">
        <v>32437</v>
      </c>
      <c r="M200" t="n">
        <v>38500</v>
      </c>
      <c r="N200" t="n">
        <v>91</v>
      </c>
      <c r="O200" t="n">
        <v>0.91</v>
      </c>
      <c r="P200" t="n">
        <v>1</v>
      </c>
      <c r="Q200" t="n">
        <v>0.08</v>
      </c>
      <c r="R200" t="n">
        <v>2</v>
      </c>
      <c r="S200" t="n">
        <v>4204.2</v>
      </c>
      <c r="T200" t="n">
        <v>11</v>
      </c>
      <c r="U200" t="n">
        <v>12</v>
      </c>
      <c r="V200" t="n">
        <v>30</v>
      </c>
      <c r="W200" t="n">
        <v>4</v>
      </c>
      <c r="X200" t="n">
        <v>27.47252747252747</v>
      </c>
      <c r="Y200" t="n">
        <v>1</v>
      </c>
      <c r="Z200" t="n">
        <v>1</v>
      </c>
      <c r="AA200" t="n">
        <v>0</v>
      </c>
      <c r="AB200" t="n">
        <v>1</v>
      </c>
      <c r="AC200" t="n">
        <v>3</v>
      </c>
      <c r="AD200" t="n">
        <v>0</v>
      </c>
      <c r="AE200" t="n">
        <v>97311</v>
      </c>
      <c r="AF200" t="n">
        <v>11323</v>
      </c>
      <c r="AG200" t="n">
        <v>448</v>
      </c>
      <c r="AH200" t="inlineStr">
        <is>
          <t>PT. PADANG DISTRIBUSINDO RAYA - PPN (PDG)</t>
        </is>
      </c>
      <c r="AI200" t="n">
        <v>1031</v>
      </c>
      <c r="AJ200" t="inlineStr">
        <is>
          <t>AZZURA</t>
        </is>
      </c>
      <c r="AK200" t="n">
        <v>21</v>
      </c>
      <c r="AL200" t="inlineStr">
        <is>
          <t>Miss Glam Damar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"8998866109543"</f>
        <v/>
      </c>
      <c r="C201" t="inlineStr">
        <is>
          <t>AZZURA Matte Lipcream With Cocoa Butter &amp; Vitamin E 12 Sexy Red 4gr</t>
        </is>
      </c>
      <c r="D201" t="inlineStr">
        <is>
          <t>Miss Glam Damar</t>
        </is>
      </c>
      <c r="E201" t="n">
        <v>17</v>
      </c>
      <c r="F201" t="n">
        <v>0.3276</v>
      </c>
      <c r="G201" t="n">
        <v>2.73</v>
      </c>
      <c r="H201" t="n">
        <v>2</v>
      </c>
      <c r="I201" t="n">
        <v>6</v>
      </c>
      <c r="J201" t="n">
        <v>3</v>
      </c>
      <c r="K201" t="n">
        <v>0</v>
      </c>
      <c r="L201" t="n">
        <v>31495</v>
      </c>
      <c r="M201" t="n">
        <v>38500</v>
      </c>
      <c r="N201" t="n">
        <v>91</v>
      </c>
      <c r="O201" t="n">
        <v>0.91</v>
      </c>
      <c r="P201" t="n">
        <v>1</v>
      </c>
      <c r="Q201" t="n">
        <v>0.36</v>
      </c>
      <c r="R201" t="n">
        <v>2</v>
      </c>
      <c r="S201" t="n">
        <v>12612.6</v>
      </c>
      <c r="T201" t="n">
        <v>16</v>
      </c>
      <c r="U201" t="n">
        <v>17</v>
      </c>
      <c r="V201" t="n">
        <v>30</v>
      </c>
      <c r="W201" t="n">
        <v>10</v>
      </c>
      <c r="X201" t="n">
        <v>51.89255189255189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11323</v>
      </c>
      <c r="AG201" t="n">
        <v>448</v>
      </c>
      <c r="AH201" t="inlineStr">
        <is>
          <t>PT. PADANG DISTRIBUSINDO RAYA - PPN (PDG)</t>
        </is>
      </c>
      <c r="AI201" t="n">
        <v>1031</v>
      </c>
      <c r="AJ201" t="inlineStr">
        <is>
          <t>AZZURA</t>
        </is>
      </c>
      <c r="AK201" t="n">
        <v>21</v>
      </c>
      <c r="AL201" t="inlineStr">
        <is>
          <t>Miss Glam Damar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"8998866109567"</f>
        <v/>
      </c>
      <c r="C202" t="inlineStr">
        <is>
          <t>AZZURA Matte Lipcream With Cocoa Butter &amp; Vitamin E 14 Earthy Brown 4gr</t>
        </is>
      </c>
      <c r="D202" t="inlineStr">
        <is>
          <t>Miss Glam Damar</t>
        </is>
      </c>
      <c r="E202" t="n">
        <v>8</v>
      </c>
      <c r="F202" t="n">
        <v>0.2002</v>
      </c>
      <c r="G202" t="n">
        <v>1.82</v>
      </c>
      <c r="H202" t="n">
        <v>2</v>
      </c>
      <c r="I202" t="n">
        <v>6</v>
      </c>
      <c r="J202" t="n">
        <v>3</v>
      </c>
      <c r="K202" t="n">
        <v>0</v>
      </c>
      <c r="L202" t="n">
        <v>32437</v>
      </c>
      <c r="M202" t="n">
        <v>45000</v>
      </c>
      <c r="N202" t="n">
        <v>91</v>
      </c>
      <c r="O202" t="n">
        <v>0.91</v>
      </c>
      <c r="P202" t="n">
        <v>1</v>
      </c>
      <c r="Q202" t="n">
        <v>0.17</v>
      </c>
      <c r="R202" t="n">
        <v>3</v>
      </c>
      <c r="S202" t="n">
        <v>9009</v>
      </c>
      <c r="T202" t="n">
        <v>11</v>
      </c>
      <c r="U202" t="n">
        <v>12</v>
      </c>
      <c r="V202" t="n">
        <v>30</v>
      </c>
      <c r="W202" t="n">
        <v>7</v>
      </c>
      <c r="X202" t="n">
        <v>39.96003996003996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11323</v>
      </c>
      <c r="AG202" t="n">
        <v>448</v>
      </c>
      <c r="AH202" t="inlineStr">
        <is>
          <t>PT. PADANG DISTRIBUSINDO RAYA - PPN (PDG)</t>
        </is>
      </c>
      <c r="AI202" t="n">
        <v>1031</v>
      </c>
      <c r="AJ202" t="inlineStr">
        <is>
          <t>AZZURA</t>
        </is>
      </c>
      <c r="AK202" t="n">
        <v>21</v>
      </c>
      <c r="AL202" t="inlineStr">
        <is>
          <t>Miss Glam Damar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"8998866109574"</f>
        <v/>
      </c>
      <c r="C203" t="inlineStr">
        <is>
          <t>AZZURA Matte Lipcream With Cocoa Butter &amp; Vitamin E 15 Sugar Plum 4gr</t>
        </is>
      </c>
      <c r="D203" t="inlineStr">
        <is>
          <t>Miss Glam Damar</t>
        </is>
      </c>
      <c r="E203" t="n">
        <v>9</v>
      </c>
      <c r="F203" t="n">
        <v>0.3731</v>
      </c>
      <c r="G203" t="n">
        <v>2.73</v>
      </c>
      <c r="H203" t="n">
        <v>2</v>
      </c>
      <c r="I203" t="n">
        <v>6</v>
      </c>
      <c r="J203" t="n">
        <v>3</v>
      </c>
      <c r="K203" t="n">
        <v>0</v>
      </c>
      <c r="L203" t="n">
        <v>30658</v>
      </c>
      <c r="M203" t="n">
        <v>38500</v>
      </c>
      <c r="N203" t="n">
        <v>91</v>
      </c>
      <c r="O203" t="n">
        <v>0.91</v>
      </c>
      <c r="P203" t="n">
        <v>1</v>
      </c>
      <c r="Q203" t="n">
        <v>0.17</v>
      </c>
      <c r="R203" t="n">
        <v>2</v>
      </c>
      <c r="S203" t="n">
        <v>14364.35</v>
      </c>
      <c r="T203" t="n">
        <v>16</v>
      </c>
      <c r="U203" t="n">
        <v>17</v>
      </c>
      <c r="V203" t="n">
        <v>30</v>
      </c>
      <c r="W203" t="n">
        <v>12</v>
      </c>
      <c r="X203" t="n">
        <v>24.12221924417046</v>
      </c>
      <c r="Y203" t="n">
        <v>1</v>
      </c>
      <c r="Z203" t="n">
        <v>3</v>
      </c>
      <c r="AA203" t="n">
        <v>0</v>
      </c>
      <c r="AB203" t="n">
        <v>3</v>
      </c>
      <c r="AC203" t="n">
        <v>3</v>
      </c>
      <c r="AD203" t="n">
        <v>0</v>
      </c>
      <c r="AE203" t="n">
        <v>91974</v>
      </c>
      <c r="AF203" t="n">
        <v>11323</v>
      </c>
      <c r="AG203" t="n">
        <v>448</v>
      </c>
      <c r="AH203" t="inlineStr">
        <is>
          <t>PT. PADANG DISTRIBUSINDO RAYA - PPN (PDG)</t>
        </is>
      </c>
      <c r="AI203" t="n">
        <v>1031</v>
      </c>
      <c r="AJ203" t="inlineStr">
        <is>
          <t>AZZURA</t>
        </is>
      </c>
      <c r="AK203" t="n">
        <v>21</v>
      </c>
      <c r="AL203" t="inlineStr">
        <is>
          <t>Miss Glam Damar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"8998866109529"</f>
        <v/>
      </c>
      <c r="C204" t="inlineStr">
        <is>
          <t>AZZURA Matte Lipcream With Cocoa Butter 10 Pink Promise</t>
        </is>
      </c>
      <c r="D204" t="inlineStr">
        <is>
          <t>Miss Glam Damar</t>
        </is>
      </c>
      <c r="E204" t="n">
        <v>13</v>
      </c>
      <c r="F204" t="n">
        <v>0.06370000000000001</v>
      </c>
      <c r="G204" t="n">
        <v>0.91</v>
      </c>
      <c r="H204" t="n">
        <v>2</v>
      </c>
      <c r="I204" t="n">
        <v>6</v>
      </c>
      <c r="J204" t="n">
        <v>3</v>
      </c>
      <c r="K204" t="n">
        <v>0</v>
      </c>
      <c r="L204" t="n">
        <v>31579</v>
      </c>
      <c r="M204" t="n">
        <v>38500</v>
      </c>
      <c r="N204" t="n">
        <v>91</v>
      </c>
      <c r="O204" t="n">
        <v>0.91</v>
      </c>
      <c r="P204" t="n">
        <v>1</v>
      </c>
      <c r="Q204" t="n">
        <v>0.36</v>
      </c>
      <c r="R204" t="n">
        <v>5</v>
      </c>
      <c r="S204" t="n">
        <v>2452.45</v>
      </c>
      <c r="T204" t="n">
        <v>6</v>
      </c>
      <c r="U204" t="n">
        <v>7</v>
      </c>
      <c r="V204" t="n">
        <v>30</v>
      </c>
      <c r="W204" t="n">
        <v>2</v>
      </c>
      <c r="X204" t="n">
        <v>204.0816326530612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11323</v>
      </c>
      <c r="AG204" t="n">
        <v>448</v>
      </c>
      <c r="AH204" t="inlineStr">
        <is>
          <t>PT. PADANG DISTRIBUSINDO RAYA - PPN (PDG)</t>
        </is>
      </c>
      <c r="AI204" t="n">
        <v>1031</v>
      </c>
      <c r="AJ204" t="inlineStr">
        <is>
          <t>AZZURA</t>
        </is>
      </c>
      <c r="AK204" t="n">
        <v>21</v>
      </c>
      <c r="AL204" t="inlineStr">
        <is>
          <t>Miss Glam Damar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"8998866109536"</f>
        <v/>
      </c>
      <c r="C205" t="inlineStr">
        <is>
          <t>AZZURA Matte Lipcream With Cocoa Butter 11 Roasted Almond</t>
        </is>
      </c>
      <c r="D205" t="inlineStr">
        <is>
          <t>Miss Glam Damar</t>
        </is>
      </c>
      <c r="E205" t="n">
        <v>15</v>
      </c>
      <c r="F205" t="n">
        <v>0.2639</v>
      </c>
      <c r="G205" t="n">
        <v>1.82</v>
      </c>
      <c r="H205" t="n">
        <v>2</v>
      </c>
      <c r="I205" t="n">
        <v>6</v>
      </c>
      <c r="J205" t="n">
        <v>3</v>
      </c>
      <c r="K205" t="n">
        <v>0</v>
      </c>
      <c r="L205" t="n">
        <v>32437</v>
      </c>
      <c r="M205" t="n">
        <v>38500</v>
      </c>
      <c r="N205" t="n">
        <v>91</v>
      </c>
      <c r="O205" t="n">
        <v>0.91</v>
      </c>
      <c r="P205" t="n">
        <v>1</v>
      </c>
      <c r="Q205" t="n">
        <v>0.31</v>
      </c>
      <c r="R205" t="n">
        <v>2</v>
      </c>
      <c r="S205" t="n">
        <v>10160.15</v>
      </c>
      <c r="T205" t="n">
        <v>11</v>
      </c>
      <c r="U205" t="n">
        <v>12</v>
      </c>
      <c r="V205" t="n">
        <v>30</v>
      </c>
      <c r="W205" t="n">
        <v>8</v>
      </c>
      <c r="X205" t="n">
        <v>56.83971201212582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11323</v>
      </c>
      <c r="AG205" t="n">
        <v>448</v>
      </c>
      <c r="AH205" t="inlineStr">
        <is>
          <t>PT. PADANG DISTRIBUSINDO RAYA - PPN (PDG)</t>
        </is>
      </c>
      <c r="AI205" t="n">
        <v>1031</v>
      </c>
      <c r="AJ205" t="inlineStr">
        <is>
          <t>AZZURA</t>
        </is>
      </c>
      <c r="AK205" t="n">
        <v>21</v>
      </c>
      <c r="AL205" t="inlineStr">
        <is>
          <t>Miss Glam Damar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"8998866109550"</f>
        <v/>
      </c>
      <c r="C206" t="inlineStr">
        <is>
          <t>AZZURA Matte Lipcream With Cocoa Butter 13 Terracotta</t>
        </is>
      </c>
      <c r="D206" t="inlineStr">
        <is>
          <t>Miss Glam Damar</t>
        </is>
      </c>
      <c r="E206" t="n">
        <v>6</v>
      </c>
      <c r="F206" t="n">
        <v>0.2639</v>
      </c>
      <c r="G206" t="n">
        <v>1.82</v>
      </c>
      <c r="H206" t="n">
        <v>2</v>
      </c>
      <c r="I206" t="n">
        <v>6</v>
      </c>
      <c r="J206" t="n">
        <v>3</v>
      </c>
      <c r="K206" t="n">
        <v>0</v>
      </c>
      <c r="L206" t="n">
        <v>32437</v>
      </c>
      <c r="M206" t="n">
        <v>38500</v>
      </c>
      <c r="N206" t="n">
        <v>91</v>
      </c>
      <c r="O206" t="n">
        <v>0.91</v>
      </c>
      <c r="P206" t="n">
        <v>1</v>
      </c>
      <c r="Q206" t="n">
        <v>0.12</v>
      </c>
      <c r="R206" t="n">
        <v>2</v>
      </c>
      <c r="S206" t="n">
        <v>10160.15</v>
      </c>
      <c r="T206" t="n">
        <v>11</v>
      </c>
      <c r="U206" t="n">
        <v>12</v>
      </c>
      <c r="V206" t="n">
        <v>30</v>
      </c>
      <c r="W206" t="n">
        <v>8</v>
      </c>
      <c r="X206" t="n">
        <v>22.73588480485033</v>
      </c>
      <c r="Y206" t="n">
        <v>1</v>
      </c>
      <c r="Z206" t="n">
        <v>2</v>
      </c>
      <c r="AA206" t="n">
        <v>0</v>
      </c>
      <c r="AB206" t="n">
        <v>2</v>
      </c>
      <c r="AC206" t="n">
        <v>3</v>
      </c>
      <c r="AD206" t="n">
        <v>0</v>
      </c>
      <c r="AE206" t="n">
        <v>97311</v>
      </c>
      <c r="AF206" t="n">
        <v>11323</v>
      </c>
      <c r="AG206" t="n">
        <v>448</v>
      </c>
      <c r="AH206" t="inlineStr">
        <is>
          <t>PT. PADANG DISTRIBUSINDO RAYA - PPN (PDG)</t>
        </is>
      </c>
      <c r="AI206" t="n">
        <v>1031</v>
      </c>
      <c r="AJ206" t="inlineStr">
        <is>
          <t>AZZURA</t>
        </is>
      </c>
      <c r="AK206" t="n">
        <v>21</v>
      </c>
      <c r="AL206" t="inlineStr">
        <is>
          <t>Miss Glam Damar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"8998866108706"</f>
        <v/>
      </c>
      <c r="C207" t="inlineStr">
        <is>
          <t>AZZURA Matte Lipstick With Sea Butter &amp; Vitamin E 08 Lady In Red 3g</t>
        </is>
      </c>
      <c r="D207" t="inlineStr">
        <is>
          <t>Miss Glam Damar</t>
        </is>
      </c>
      <c r="E207" t="n">
        <v>19</v>
      </c>
      <c r="F207" t="n">
        <v>0.5096000000000001</v>
      </c>
      <c r="G207" t="n">
        <v>1.82</v>
      </c>
      <c r="H207" t="n">
        <v>2</v>
      </c>
      <c r="I207" t="n">
        <v>6</v>
      </c>
      <c r="J207" t="n">
        <v>3</v>
      </c>
      <c r="K207" t="n">
        <v>0</v>
      </c>
      <c r="L207" t="n">
        <v>24781</v>
      </c>
      <c r="M207" t="n">
        <v>31000</v>
      </c>
      <c r="N207" t="n">
        <v>91</v>
      </c>
      <c r="O207" t="n">
        <v>0.91</v>
      </c>
      <c r="P207" t="n">
        <v>1</v>
      </c>
      <c r="Q207" t="n">
        <v>0.39</v>
      </c>
      <c r="R207" t="n">
        <v>2</v>
      </c>
      <c r="S207" t="n">
        <v>15797.6</v>
      </c>
      <c r="T207" t="n">
        <v>10</v>
      </c>
      <c r="U207" t="n">
        <v>12</v>
      </c>
      <c r="V207" t="n">
        <v>30</v>
      </c>
      <c r="W207" t="n">
        <v>16</v>
      </c>
      <c r="X207" t="n">
        <v>37.28414442700156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11323</v>
      </c>
      <c r="AG207" t="n">
        <v>448</v>
      </c>
      <c r="AH207" t="inlineStr">
        <is>
          <t>PT. PADANG DISTRIBUSINDO RAYA - PPN (PDG)</t>
        </is>
      </c>
      <c r="AI207" t="n">
        <v>1031</v>
      </c>
      <c r="AJ207" t="inlineStr">
        <is>
          <t>AZZURA</t>
        </is>
      </c>
      <c r="AK207" t="n">
        <v>21</v>
      </c>
      <c r="AL207" t="inlineStr">
        <is>
          <t>Miss Glam Damar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"8998866108645"</f>
        <v/>
      </c>
      <c r="C208" t="inlineStr">
        <is>
          <t>AZZURA Matte Lipstick With Shea Butter &amp; Vitamin E 02 Orange Crush 3gr</t>
        </is>
      </c>
      <c r="D208" t="inlineStr">
        <is>
          <t>Miss Glam Damar</t>
        </is>
      </c>
      <c r="E208" t="n">
        <v>10</v>
      </c>
      <c r="F208" t="n">
        <v>0.2184</v>
      </c>
      <c r="G208" t="n">
        <v>1.82</v>
      </c>
      <c r="H208" t="n">
        <v>2</v>
      </c>
      <c r="I208" t="n">
        <v>6</v>
      </c>
      <c r="J208" t="n">
        <v>3</v>
      </c>
      <c r="K208" t="n">
        <v>0</v>
      </c>
      <c r="L208" t="n">
        <v>26138</v>
      </c>
      <c r="M208" t="n">
        <v>31000</v>
      </c>
      <c r="N208" t="n">
        <v>91</v>
      </c>
      <c r="O208" t="n">
        <v>0.91</v>
      </c>
      <c r="P208" t="n">
        <v>1</v>
      </c>
      <c r="Q208" t="n">
        <v>0.25</v>
      </c>
      <c r="R208" t="n">
        <v>3</v>
      </c>
      <c r="S208" t="n">
        <v>6770.400000000001</v>
      </c>
      <c r="T208" t="n">
        <v>11</v>
      </c>
      <c r="U208" t="n">
        <v>12</v>
      </c>
      <c r="V208" t="n">
        <v>30</v>
      </c>
      <c r="W208" t="n">
        <v>7</v>
      </c>
      <c r="X208" t="n">
        <v>45.78754578754579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11323</v>
      </c>
      <c r="AG208" t="n">
        <v>448</v>
      </c>
      <c r="AH208" t="inlineStr">
        <is>
          <t>PT. PADANG DISTRIBUSINDO RAYA - PPN (PDG)</t>
        </is>
      </c>
      <c r="AI208" t="n">
        <v>1031</v>
      </c>
      <c r="AJ208" t="inlineStr">
        <is>
          <t>AZZURA</t>
        </is>
      </c>
      <c r="AK208" t="n">
        <v>21</v>
      </c>
      <c r="AL208" t="inlineStr">
        <is>
          <t>Miss Glam Damar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"8998866108652"</f>
        <v/>
      </c>
      <c r="C209" t="inlineStr">
        <is>
          <t>AZZURA Matte Lipstick With Shea Butter &amp; Vitamin E 03 Silky Rose 3gr</t>
        </is>
      </c>
      <c r="D209" t="inlineStr">
        <is>
          <t>Miss Glam Damar</t>
        </is>
      </c>
      <c r="E209" t="n">
        <v>7</v>
      </c>
      <c r="F209" t="n">
        <v>0.1092</v>
      </c>
      <c r="G209" t="n">
        <v>0.91</v>
      </c>
      <c r="H209" t="n">
        <v>2</v>
      </c>
      <c r="I209" t="n">
        <v>6</v>
      </c>
      <c r="J209" t="n">
        <v>3</v>
      </c>
      <c r="K209" t="n">
        <v>0</v>
      </c>
      <c r="L209" t="n">
        <v>26138</v>
      </c>
      <c r="M209" t="n">
        <v>31000</v>
      </c>
      <c r="N209" t="n">
        <v>91</v>
      </c>
      <c r="O209" t="n">
        <v>0.91</v>
      </c>
      <c r="P209" t="n">
        <v>1</v>
      </c>
      <c r="Q209" t="n">
        <v>0.22</v>
      </c>
      <c r="R209" t="n">
        <v>1</v>
      </c>
      <c r="S209" t="n">
        <v>3385.2</v>
      </c>
      <c r="T209" t="n">
        <v>6</v>
      </c>
      <c r="U209" t="n">
        <v>7</v>
      </c>
      <c r="V209" t="n">
        <v>30</v>
      </c>
      <c r="W209" t="n">
        <v>4</v>
      </c>
      <c r="X209" t="n">
        <v>64.1025641025641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11323</v>
      </c>
      <c r="AG209" t="n">
        <v>448</v>
      </c>
      <c r="AH209" t="inlineStr">
        <is>
          <t>PT. PADANG DISTRIBUSINDO RAYA - PPN (PDG)</t>
        </is>
      </c>
      <c r="AI209" t="n">
        <v>1031</v>
      </c>
      <c r="AJ209" t="inlineStr">
        <is>
          <t>AZZURA</t>
        </is>
      </c>
      <c r="AK209" t="n">
        <v>21</v>
      </c>
      <c r="AL209" t="inlineStr">
        <is>
          <t>Miss Glam Damar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AZZURA</t>
        </is>
      </c>
      <c r="B210" s="2">
        <f>"8998866108669"</f>
        <v/>
      </c>
      <c r="C210" t="inlineStr">
        <is>
          <t>AZZURA Matte Lipstick With Shea Butter &amp; Vitamin E 04 Peach Perfect 3gr</t>
        </is>
      </c>
      <c r="D210" t="inlineStr">
        <is>
          <t>Miss Glam Damar</t>
        </is>
      </c>
      <c r="E210" t="n">
        <v>6</v>
      </c>
      <c r="F210" t="n">
        <v>0.06370000000000001</v>
      </c>
      <c r="G210" t="n">
        <v>0.91</v>
      </c>
      <c r="H210" t="n">
        <v>2</v>
      </c>
      <c r="I210" t="n">
        <v>6</v>
      </c>
      <c r="J210" t="n">
        <v>3</v>
      </c>
      <c r="K210" t="n">
        <v>0</v>
      </c>
      <c r="L210" t="n">
        <v>26138</v>
      </c>
      <c r="M210" t="n">
        <v>31000</v>
      </c>
      <c r="N210" t="n">
        <v>91</v>
      </c>
      <c r="O210" t="n">
        <v>0.91</v>
      </c>
      <c r="P210" t="n">
        <v>1</v>
      </c>
      <c r="Q210" t="n">
        <v>0.02</v>
      </c>
      <c r="R210" t="n">
        <v>1</v>
      </c>
      <c r="S210" t="n">
        <v>1974.7</v>
      </c>
      <c r="T210" t="n">
        <v>6</v>
      </c>
      <c r="U210" t="n">
        <v>7</v>
      </c>
      <c r="V210" t="n">
        <v>30</v>
      </c>
      <c r="W210" t="n">
        <v>2</v>
      </c>
      <c r="X210" t="n">
        <v>94.19152276295132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11323</v>
      </c>
      <c r="AG210" t="n">
        <v>448</v>
      </c>
      <c r="AH210" t="inlineStr">
        <is>
          <t>PT. PADANG DISTRIBUSINDO RAYA - PPN (PDG)</t>
        </is>
      </c>
      <c r="AI210" t="n">
        <v>1031</v>
      </c>
      <c r="AJ210" t="inlineStr">
        <is>
          <t>AZZURA</t>
        </is>
      </c>
      <c r="AK210" t="n">
        <v>21</v>
      </c>
      <c r="AL210" t="inlineStr">
        <is>
          <t>Miss Glam Damar</t>
        </is>
      </c>
      <c r="AM210" t="n">
        <v>3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AZZURA</t>
        </is>
      </c>
      <c r="B211" s="2">
        <f>"10100724335"</f>
        <v/>
      </c>
      <c r="C211" t="inlineStr">
        <is>
          <t>AZZURA Micellar Water Azzura Db 125ml</t>
        </is>
      </c>
      <c r="D211" t="inlineStr">
        <is>
          <t>Miss Glam Damar</t>
        </is>
      </c>
      <c r="E211" t="n">
        <v>18</v>
      </c>
      <c r="F211" t="n">
        <v>0.1729</v>
      </c>
      <c r="G211" t="n">
        <v>0.91</v>
      </c>
      <c r="H211" t="n">
        <v>2</v>
      </c>
      <c r="I211" t="n">
        <v>6</v>
      </c>
      <c r="J211" t="n">
        <v>1</v>
      </c>
      <c r="K211" t="n">
        <v>0</v>
      </c>
      <c r="L211" t="n">
        <v>20210</v>
      </c>
      <c r="M211" t="n">
        <v>24000</v>
      </c>
      <c r="N211" t="n">
        <v>91</v>
      </c>
      <c r="O211" t="n">
        <v>0.91</v>
      </c>
      <c r="P211" t="n">
        <v>1</v>
      </c>
      <c r="Q211" t="n">
        <v>0.1</v>
      </c>
      <c r="R211" t="n">
        <v>1</v>
      </c>
      <c r="S211" t="n">
        <v>4149.6</v>
      </c>
      <c r="T211" t="n">
        <v>6</v>
      </c>
      <c r="U211" t="n">
        <v>7</v>
      </c>
      <c r="V211" t="n">
        <v>30</v>
      </c>
      <c r="W211" t="n">
        <v>6</v>
      </c>
      <c r="X211" t="n">
        <v>104.1064198958936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11323</v>
      </c>
      <c r="AG211" t="n">
        <v>448</v>
      </c>
      <c r="AH211" t="inlineStr">
        <is>
          <t>PT. PADANG DISTRIBUSINDO RAYA - PPN (PDG)</t>
        </is>
      </c>
      <c r="AI211" t="n">
        <v>1031</v>
      </c>
      <c r="AJ211" t="inlineStr">
        <is>
          <t>AZZURA</t>
        </is>
      </c>
      <c r="AK211" t="n">
        <v>21</v>
      </c>
      <c r="AL211" t="inlineStr">
        <is>
          <t>Miss Glam Damar</t>
        </is>
      </c>
      <c r="AM211" t="n">
        <v>3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AZZURA</t>
        </is>
      </c>
      <c r="B212" s="2">
        <f>"10300218847"</f>
        <v/>
      </c>
      <c r="C212" t="inlineStr">
        <is>
          <t>AZZURA Night Cream Azzura Diamond Bright 30gr</t>
        </is>
      </c>
      <c r="D212" t="inlineStr">
        <is>
          <t>Miss Glam Damar</t>
        </is>
      </c>
      <c r="E212" t="n">
        <v>7</v>
      </c>
      <c r="F212" t="n">
        <v>0.0182</v>
      </c>
      <c r="G212" t="n">
        <v>0.91</v>
      </c>
      <c r="H212" t="n">
        <v>2</v>
      </c>
      <c r="I212" t="n">
        <v>6</v>
      </c>
      <c r="J212" t="n">
        <v>1</v>
      </c>
      <c r="K212" t="n">
        <v>0</v>
      </c>
      <c r="L212" t="n">
        <v>34400</v>
      </c>
      <c r="M212" t="n">
        <v>40500</v>
      </c>
      <c r="N212" t="n">
        <v>91</v>
      </c>
      <c r="O212" t="n">
        <v>0.91</v>
      </c>
      <c r="P212" t="n">
        <v>1</v>
      </c>
      <c r="Q212" t="n">
        <v>0.08</v>
      </c>
      <c r="R212" t="n">
        <v>2</v>
      </c>
      <c r="S212" t="n">
        <v>737.1</v>
      </c>
      <c r="T212" t="n">
        <v>6</v>
      </c>
      <c r="U212" t="n">
        <v>7</v>
      </c>
      <c r="V212" t="n">
        <v>30</v>
      </c>
      <c r="W212" t="n">
        <v>1</v>
      </c>
      <c r="X212" t="n">
        <v>384.6153846153846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11323</v>
      </c>
      <c r="AG212" t="n">
        <v>448</v>
      </c>
      <c r="AH212" t="inlineStr">
        <is>
          <t>PT. PADANG DISTRIBUSINDO RAYA - PPN (PDG)</t>
        </is>
      </c>
      <c r="AI212" t="n">
        <v>1031</v>
      </c>
      <c r="AJ212" t="inlineStr">
        <is>
          <t>AZZURA</t>
        </is>
      </c>
      <c r="AK212" t="n">
        <v>21</v>
      </c>
      <c r="AL212" t="inlineStr">
        <is>
          <t>Miss Glam Damar</t>
        </is>
      </c>
      <c r="AM212" t="n">
        <v>3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AZZURA</t>
        </is>
      </c>
      <c r="B213" s="2">
        <f>"8998866109499"</f>
        <v/>
      </c>
      <c r="C213" t="inlineStr">
        <is>
          <t>AZZURA Refill Luminous Cushion 02 Natural 15gr</t>
        </is>
      </c>
      <c r="D213" t="inlineStr">
        <is>
          <t>Miss Glam Damar</t>
        </is>
      </c>
      <c r="E213" t="n">
        <v>2</v>
      </c>
      <c r="F213" t="n">
        <v>0.0728</v>
      </c>
      <c r="G213" t="n">
        <v>0.91</v>
      </c>
      <c r="H213" t="n">
        <v>2</v>
      </c>
      <c r="I213" t="n">
        <v>6</v>
      </c>
      <c r="J213" t="n">
        <v>3</v>
      </c>
      <c r="K213" t="n">
        <v>0</v>
      </c>
      <c r="L213" t="n">
        <v>51332</v>
      </c>
      <c r="M213" t="n">
        <v>60500</v>
      </c>
      <c r="N213" t="n">
        <v>91</v>
      </c>
      <c r="O213" t="n">
        <v>0.91</v>
      </c>
      <c r="P213" t="n">
        <v>1</v>
      </c>
      <c r="Q213" t="n">
        <v>0.03</v>
      </c>
      <c r="R213" t="n">
        <v>1</v>
      </c>
      <c r="S213" t="n">
        <v>4404.400000000001</v>
      </c>
      <c r="T213" t="n">
        <v>6</v>
      </c>
      <c r="U213" t="n">
        <v>7</v>
      </c>
      <c r="V213" t="n">
        <v>30</v>
      </c>
      <c r="W213" t="n">
        <v>3</v>
      </c>
      <c r="X213" t="n">
        <v>27.47252747252747</v>
      </c>
      <c r="Y213" t="n">
        <v>1</v>
      </c>
      <c r="Z213" t="n">
        <v>1</v>
      </c>
      <c r="AA213" t="n">
        <v>0</v>
      </c>
      <c r="AB213" t="n">
        <v>1</v>
      </c>
      <c r="AC213" t="n">
        <v>3</v>
      </c>
      <c r="AD213" t="n">
        <v>0</v>
      </c>
      <c r="AE213" t="n">
        <v>153996</v>
      </c>
      <c r="AF213" t="n">
        <v>11323</v>
      </c>
      <c r="AG213" t="n">
        <v>448</v>
      </c>
      <c r="AH213" t="inlineStr">
        <is>
          <t>PT. PADANG DISTRIBUSINDO RAYA - PPN (PDG)</t>
        </is>
      </c>
      <c r="AI213" t="n">
        <v>1031</v>
      </c>
      <c r="AJ213" t="inlineStr">
        <is>
          <t>AZZURA</t>
        </is>
      </c>
      <c r="AK213" t="n">
        <v>21</v>
      </c>
      <c r="AL213" t="inlineStr">
        <is>
          <t>Miss Glam Damar</t>
        </is>
      </c>
      <c r="AM213" t="n">
        <v>3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AZZURA</t>
        </is>
      </c>
      <c r="B214" s="2">
        <f>"11200151624"</f>
        <v/>
      </c>
      <c r="C214" t="inlineStr">
        <is>
          <t>AZZURA Serum Azzura Diamond Bright 20ml</t>
        </is>
      </c>
      <c r="D214" t="inlineStr">
        <is>
          <t>Miss Glam Damar</t>
        </is>
      </c>
      <c r="E214" t="n">
        <v>7</v>
      </c>
      <c r="F214" t="n">
        <v>0.1547</v>
      </c>
      <c r="G214" t="n">
        <v>0.91</v>
      </c>
      <c r="H214" t="n">
        <v>2</v>
      </c>
      <c r="I214" t="n">
        <v>6</v>
      </c>
      <c r="J214" t="n">
        <v>1</v>
      </c>
      <c r="K214" t="n">
        <v>0</v>
      </c>
      <c r="L214" t="n">
        <v>20210</v>
      </c>
      <c r="M214" t="n">
        <v>24000</v>
      </c>
      <c r="N214" t="n">
        <v>91</v>
      </c>
      <c r="O214" t="n">
        <v>0.91</v>
      </c>
      <c r="P214" t="n">
        <v>1</v>
      </c>
      <c r="Q214" t="n">
        <v>0.05</v>
      </c>
      <c r="R214" t="n">
        <v>1</v>
      </c>
      <c r="S214" t="n">
        <v>3712.8</v>
      </c>
      <c r="T214" t="n">
        <v>6</v>
      </c>
      <c r="U214" t="n">
        <v>7</v>
      </c>
      <c r="V214" t="n">
        <v>30</v>
      </c>
      <c r="W214" t="n">
        <v>5</v>
      </c>
      <c r="X214" t="n">
        <v>45.24886877828054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11323</v>
      </c>
      <c r="AG214" t="n">
        <v>448</v>
      </c>
      <c r="AH214" t="inlineStr">
        <is>
          <t>PT. PADANG DISTRIBUSINDO RAYA - PPN (PDG)</t>
        </is>
      </c>
      <c r="AI214" t="n">
        <v>1031</v>
      </c>
      <c r="AJ214" t="inlineStr">
        <is>
          <t>AZZURA</t>
        </is>
      </c>
      <c r="AK214" t="n">
        <v>21</v>
      </c>
      <c r="AL214" t="inlineStr">
        <is>
          <t>Miss Glam Damar</t>
        </is>
      </c>
      <c r="AM214" t="n">
        <v>3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AZZURA</t>
        </is>
      </c>
      <c r="B215" s="2">
        <f>"10400618503"</f>
        <v/>
      </c>
      <c r="C215" t="inlineStr">
        <is>
          <t>AZZURA Sunscreen Azzura Diamond Bri Spf50 30gr</t>
        </is>
      </c>
      <c r="D215" t="inlineStr">
        <is>
          <t>Miss Glam Damar</t>
        </is>
      </c>
      <c r="E215" t="n">
        <v>18</v>
      </c>
      <c r="F215" t="n">
        <v>0.3549</v>
      </c>
      <c r="G215" t="n">
        <v>1.82</v>
      </c>
      <c r="H215" t="n">
        <v>2</v>
      </c>
      <c r="I215" t="n">
        <v>6</v>
      </c>
      <c r="J215" t="n">
        <v>1</v>
      </c>
      <c r="K215" t="n">
        <v>0</v>
      </c>
      <c r="L215" t="n">
        <v>25370</v>
      </c>
      <c r="M215" t="n">
        <v>30000</v>
      </c>
      <c r="N215" t="n">
        <v>91</v>
      </c>
      <c r="O215" t="n">
        <v>0.91</v>
      </c>
      <c r="P215" t="n">
        <v>1</v>
      </c>
      <c r="Q215" t="n">
        <v>0.1</v>
      </c>
      <c r="R215" t="n">
        <v>1</v>
      </c>
      <c r="S215" t="n">
        <v>10647</v>
      </c>
      <c r="T215" t="n">
        <v>11</v>
      </c>
      <c r="U215" t="n">
        <v>12</v>
      </c>
      <c r="V215" t="n">
        <v>30</v>
      </c>
      <c r="W215" t="n">
        <v>11</v>
      </c>
      <c r="X215" t="n">
        <v>50.71851225697379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11323</v>
      </c>
      <c r="AG215" t="n">
        <v>448</v>
      </c>
      <c r="AH215" t="inlineStr">
        <is>
          <t>PT. PADANG DISTRIBUSINDO RAYA - PPN (PDG)</t>
        </is>
      </c>
      <c r="AI215" t="n">
        <v>1031</v>
      </c>
      <c r="AJ215" t="inlineStr">
        <is>
          <t>AZZURA</t>
        </is>
      </c>
      <c r="AK215" t="n">
        <v>21</v>
      </c>
      <c r="AL215" t="inlineStr">
        <is>
          <t>Miss Glam Damar</t>
        </is>
      </c>
      <c r="AM215" t="n">
        <v>3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AZZURA</t>
        </is>
      </c>
      <c r="B216" s="2">
        <f>"8998866108430"</f>
        <v/>
      </c>
      <c r="C216" t="inlineStr">
        <is>
          <t>AZZURA Two Way Cake All Day Matte Finish 01 Light Beige 12gr</t>
        </is>
      </c>
      <c r="D216" t="inlineStr">
        <is>
          <t>Miss Glam Damar</t>
        </is>
      </c>
      <c r="E216" t="n">
        <v>9</v>
      </c>
      <c r="F216" t="n">
        <v>0.5733</v>
      </c>
      <c r="G216" t="n">
        <v>3.64</v>
      </c>
      <c r="H216" t="n">
        <v>2</v>
      </c>
      <c r="I216" t="n">
        <v>6</v>
      </c>
      <c r="J216" t="n">
        <v>3</v>
      </c>
      <c r="K216" t="n">
        <v>0</v>
      </c>
      <c r="L216" t="n">
        <v>25400</v>
      </c>
      <c r="M216" t="n">
        <v>33000</v>
      </c>
      <c r="N216" t="n">
        <v>91</v>
      </c>
      <c r="O216" t="n">
        <v>0.91</v>
      </c>
      <c r="P216" t="n">
        <v>1</v>
      </c>
      <c r="Q216" t="n">
        <v>0.31</v>
      </c>
      <c r="R216" t="n">
        <v>3</v>
      </c>
      <c r="S216" t="n">
        <v>18918.9</v>
      </c>
      <c r="T216" t="n">
        <v>21</v>
      </c>
      <c r="U216" t="n">
        <v>23</v>
      </c>
      <c r="V216" t="n">
        <v>30</v>
      </c>
      <c r="W216" t="n">
        <v>18</v>
      </c>
      <c r="X216" t="n">
        <v>15.69858712715856</v>
      </c>
      <c r="Y216" t="n">
        <v>1</v>
      </c>
      <c r="Z216" t="n">
        <v>9</v>
      </c>
      <c r="AA216" t="n">
        <v>0</v>
      </c>
      <c r="AB216" t="n">
        <v>9</v>
      </c>
      <c r="AC216" t="n">
        <v>9</v>
      </c>
      <c r="AD216" t="n">
        <v>0</v>
      </c>
      <c r="AE216" t="n">
        <v>228600</v>
      </c>
      <c r="AF216" t="n">
        <v>11323</v>
      </c>
      <c r="AG216" t="n">
        <v>448</v>
      </c>
      <c r="AH216" t="inlineStr">
        <is>
          <t>PT. PADANG DISTRIBUSINDO RAYA - PPN (PDG)</t>
        </is>
      </c>
      <c r="AI216" t="n">
        <v>1031</v>
      </c>
      <c r="AJ216" t="inlineStr">
        <is>
          <t>AZZURA</t>
        </is>
      </c>
      <c r="AK216" t="n">
        <v>21</v>
      </c>
      <c r="AL216" t="inlineStr">
        <is>
          <t>Miss Glam Damar</t>
        </is>
      </c>
      <c r="AM216" t="n">
        <v>3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AZZURA</t>
        </is>
      </c>
      <c r="B217" s="2">
        <f>"8998866108447"</f>
        <v/>
      </c>
      <c r="C217" t="inlineStr">
        <is>
          <t>AZZURA Two Way Cake All Day Matte Finish 02 Natural 12gr</t>
        </is>
      </c>
      <c r="D217" t="inlineStr">
        <is>
          <t>Miss Glam Damar</t>
        </is>
      </c>
      <c r="E217" t="n">
        <v>32</v>
      </c>
      <c r="F217" t="n">
        <v>1.729</v>
      </c>
      <c r="G217" t="n">
        <v>6.37</v>
      </c>
      <c r="H217" t="n">
        <v>2</v>
      </c>
      <c r="I217" t="n">
        <v>6</v>
      </c>
      <c r="J217" t="n">
        <v>3</v>
      </c>
      <c r="K217" t="n">
        <v>0</v>
      </c>
      <c r="L217" t="n">
        <v>26305</v>
      </c>
      <c r="M217" t="n">
        <v>31500</v>
      </c>
      <c r="N217" t="n">
        <v>91</v>
      </c>
      <c r="O217" t="n">
        <v>0.91</v>
      </c>
      <c r="P217" t="n">
        <v>1</v>
      </c>
      <c r="Q217" t="n">
        <v>1.17</v>
      </c>
      <c r="R217" t="n">
        <v>6</v>
      </c>
      <c r="S217" t="n">
        <v>54463.49999999999</v>
      </c>
      <c r="T217" t="n">
        <v>35</v>
      </c>
      <c r="U217" t="n">
        <v>39</v>
      </c>
      <c r="V217" t="n">
        <v>30</v>
      </c>
      <c r="W217" t="n">
        <v>52</v>
      </c>
      <c r="X217" t="n">
        <v>18.50780798149219</v>
      </c>
      <c r="Y217" t="n">
        <v>1</v>
      </c>
      <c r="Z217" t="n">
        <v>20</v>
      </c>
      <c r="AA217" t="n">
        <v>0</v>
      </c>
      <c r="AB217" t="n">
        <v>20</v>
      </c>
      <c r="AC217" t="n">
        <v>20</v>
      </c>
      <c r="AD217" t="n">
        <v>0</v>
      </c>
      <c r="AE217" t="n">
        <v>526100</v>
      </c>
      <c r="AF217" t="n">
        <v>11323</v>
      </c>
      <c r="AG217" t="n">
        <v>448</v>
      </c>
      <c r="AH217" t="inlineStr">
        <is>
          <t>PT. PADANG DISTRIBUSINDO RAYA - PPN (PDG)</t>
        </is>
      </c>
      <c r="AI217" t="n">
        <v>1031</v>
      </c>
      <c r="AJ217" t="inlineStr">
        <is>
          <t>AZZURA</t>
        </is>
      </c>
      <c r="AK217" t="n">
        <v>21</v>
      </c>
      <c r="AL217" t="inlineStr">
        <is>
          <t>Miss Glam Damar</t>
        </is>
      </c>
      <c r="AM217" t="n">
        <v>3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AZZURA</t>
        </is>
      </c>
      <c r="B218" s="2">
        <f>"8998866108454"</f>
        <v/>
      </c>
      <c r="C218" t="inlineStr">
        <is>
          <t>AZZURA Two Way Cake All Day Matte Finish 03 Ivory 12gr</t>
        </is>
      </c>
      <c r="D218" t="inlineStr">
        <is>
          <t>Miss Glam Damar</t>
        </is>
      </c>
      <c r="E218" t="n">
        <v>10</v>
      </c>
      <c r="F218" t="n">
        <v>0.4459</v>
      </c>
      <c r="G218" t="n">
        <v>2.73</v>
      </c>
      <c r="H218" t="n">
        <v>2</v>
      </c>
      <c r="I218" t="n">
        <v>6</v>
      </c>
      <c r="J218" t="n">
        <v>3</v>
      </c>
      <c r="K218" t="n">
        <v>0</v>
      </c>
      <c r="L218" t="n">
        <v>26453</v>
      </c>
      <c r="M218" t="n">
        <v>31500</v>
      </c>
      <c r="N218" t="n">
        <v>91</v>
      </c>
      <c r="O218" t="n">
        <v>0.91</v>
      </c>
      <c r="P218" t="n">
        <v>1</v>
      </c>
      <c r="Q218" t="n">
        <v>0.31</v>
      </c>
      <c r="R218" t="n">
        <v>3</v>
      </c>
      <c r="S218" t="n">
        <v>14045.85</v>
      </c>
      <c r="T218" t="n">
        <v>16</v>
      </c>
      <c r="U218" t="n">
        <v>17</v>
      </c>
      <c r="V218" t="n">
        <v>30</v>
      </c>
      <c r="W218" t="n">
        <v>14</v>
      </c>
      <c r="X218" t="n">
        <v>22.42655303879794</v>
      </c>
      <c r="Y218" t="n">
        <v>1</v>
      </c>
      <c r="Z218" t="n">
        <v>4</v>
      </c>
      <c r="AA218" t="n">
        <v>0</v>
      </c>
      <c r="AB218" t="n">
        <v>4</v>
      </c>
      <c r="AC218" t="n">
        <v>4</v>
      </c>
      <c r="AD218" t="n">
        <v>0</v>
      </c>
      <c r="AE218" t="n">
        <v>105812</v>
      </c>
      <c r="AF218" t="n">
        <v>11323</v>
      </c>
      <c r="AG218" t="n">
        <v>448</v>
      </c>
      <c r="AH218" t="inlineStr">
        <is>
          <t>PT. PADANG DISTRIBUSINDO RAYA - PPN (PDG)</t>
        </is>
      </c>
      <c r="AI218" t="n">
        <v>1031</v>
      </c>
      <c r="AJ218" t="inlineStr">
        <is>
          <t>AZZURA</t>
        </is>
      </c>
      <c r="AK218" t="n">
        <v>21</v>
      </c>
      <c r="AL218" t="inlineStr">
        <is>
          <t>Miss Glam Damar</t>
        </is>
      </c>
      <c r="AM218" t="n">
        <v>3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AZZURA</t>
        </is>
      </c>
      <c r="B219" s="2">
        <f>"8998866109468"</f>
        <v/>
      </c>
      <c r="C219" t="inlineStr">
        <is>
          <t>AZZURA Two Way Cake All Day Matte Finish Refill 01 Light Beige 12gr</t>
        </is>
      </c>
      <c r="D219" t="inlineStr">
        <is>
          <t>Miss Glam Damar</t>
        </is>
      </c>
      <c r="E219" t="n">
        <v>0</v>
      </c>
      <c r="F219" t="n">
        <v>0.5551</v>
      </c>
      <c r="G219" t="n">
        <v>2.73</v>
      </c>
      <c r="H219" t="n">
        <v>2</v>
      </c>
      <c r="I219" t="n">
        <v>6</v>
      </c>
      <c r="J219" t="n">
        <v>3</v>
      </c>
      <c r="K219" t="n">
        <v>0</v>
      </c>
      <c r="L219" t="n">
        <v>18807</v>
      </c>
      <c r="M219" t="n">
        <v>22500</v>
      </c>
      <c r="N219" t="n">
        <v>91</v>
      </c>
      <c r="O219" t="n">
        <v>0.91</v>
      </c>
      <c r="P219" t="n">
        <v>1</v>
      </c>
      <c r="Q219" t="n">
        <v>0.23</v>
      </c>
      <c r="R219" t="n">
        <v>3</v>
      </c>
      <c r="S219" t="n">
        <v>12489.75</v>
      </c>
      <c r="T219" t="n">
        <v>16</v>
      </c>
      <c r="U219" t="n">
        <v>18</v>
      </c>
      <c r="V219" t="n">
        <v>30</v>
      </c>
      <c r="W219" t="n">
        <v>17</v>
      </c>
      <c r="X219" t="n">
        <v>0</v>
      </c>
      <c r="Y219" t="n">
        <v>1</v>
      </c>
      <c r="Z219" t="n">
        <v>17</v>
      </c>
      <c r="AA219" t="n">
        <v>4</v>
      </c>
      <c r="AB219" t="n">
        <v>13</v>
      </c>
      <c r="AC219" t="n">
        <v>13</v>
      </c>
      <c r="AD219" t="n">
        <v>75228</v>
      </c>
      <c r="AE219" t="n">
        <v>244491</v>
      </c>
      <c r="AF219" t="n">
        <v>11323</v>
      </c>
      <c r="AG219" t="n">
        <v>448</v>
      </c>
      <c r="AH219" t="inlineStr">
        <is>
          <t>PT. PADANG DISTRIBUSINDO RAYA - PPN (PDG)</t>
        </is>
      </c>
      <c r="AI219" t="n">
        <v>1031</v>
      </c>
      <c r="AJ219" t="inlineStr">
        <is>
          <t>AZZURA</t>
        </is>
      </c>
      <c r="AK219" t="n">
        <v>21</v>
      </c>
      <c r="AL219" t="inlineStr">
        <is>
          <t>Miss Glam Damar</t>
        </is>
      </c>
      <c r="AM219" t="n">
        <v>3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AZZURA</t>
        </is>
      </c>
      <c r="B220" s="2">
        <f>"203002185528"</f>
        <v/>
      </c>
      <c r="C220" t="inlineStr">
        <is>
          <t>AZZURA Velvet Lipcream 01 Pretty Please 4Gr</t>
        </is>
      </c>
      <c r="D220" t="inlineStr">
        <is>
          <t>Miss Glam Damar</t>
        </is>
      </c>
      <c r="E220" t="n">
        <v>2</v>
      </c>
      <c r="F220" t="n">
        <v>0.0273</v>
      </c>
      <c r="G220" t="n">
        <v>0.91</v>
      </c>
      <c r="H220" t="n">
        <v>2</v>
      </c>
      <c r="I220" t="n">
        <v>6</v>
      </c>
      <c r="J220" t="n">
        <v>1</v>
      </c>
      <c r="K220" t="n">
        <v>0</v>
      </c>
      <c r="L220" t="n">
        <v>38335</v>
      </c>
      <c r="M220" t="n">
        <v>45500</v>
      </c>
      <c r="N220" t="n">
        <v>91</v>
      </c>
      <c r="O220" t="n">
        <v>0.91</v>
      </c>
      <c r="P220" t="n">
        <v>1</v>
      </c>
      <c r="Q220" t="n">
        <v>0.05</v>
      </c>
      <c r="R220" t="n">
        <v>1</v>
      </c>
      <c r="S220" t="n">
        <v>1242.15</v>
      </c>
      <c r="T220" t="n">
        <v>6</v>
      </c>
      <c r="U220" t="n">
        <v>7</v>
      </c>
      <c r="V220" t="n">
        <v>30</v>
      </c>
      <c r="W220" t="n">
        <v>1</v>
      </c>
      <c r="X220" t="n">
        <v>73.26007326007326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11323</v>
      </c>
      <c r="AG220" t="n">
        <v>448</v>
      </c>
      <c r="AH220" t="inlineStr">
        <is>
          <t>PT. PADANG DISTRIBUSINDO RAYA - PPN (PDG)</t>
        </is>
      </c>
      <c r="AI220" t="n">
        <v>1031</v>
      </c>
      <c r="AJ220" t="inlineStr">
        <is>
          <t>AZZURA</t>
        </is>
      </c>
      <c r="AK220" t="n">
        <v>21</v>
      </c>
      <c r="AL220" t="inlineStr">
        <is>
          <t>Miss Glam Damar</t>
        </is>
      </c>
      <c r="AM220" t="n">
        <v>3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AZZURA</t>
        </is>
      </c>
      <c r="B221" s="2">
        <f>"203002185603"</f>
        <v/>
      </c>
      <c r="C221" t="inlineStr">
        <is>
          <t>AZZURA Velvet Lipcream 02 Pumkin Spice 4gr</t>
        </is>
      </c>
      <c r="D221" t="inlineStr">
        <is>
          <t>Miss Glam Damar</t>
        </is>
      </c>
      <c r="E221" t="n">
        <v>3</v>
      </c>
      <c r="F221" t="n">
        <v>0.1092</v>
      </c>
      <c r="G221" t="n">
        <v>0.91</v>
      </c>
      <c r="H221" t="n">
        <v>2</v>
      </c>
      <c r="I221" t="n">
        <v>6</v>
      </c>
      <c r="J221" t="n">
        <v>1</v>
      </c>
      <c r="K221" t="n">
        <v>0</v>
      </c>
      <c r="L221" t="n">
        <v>38465</v>
      </c>
      <c r="M221" t="n">
        <v>45500</v>
      </c>
      <c r="N221" t="n">
        <v>91</v>
      </c>
      <c r="O221" t="n">
        <v>0.91</v>
      </c>
      <c r="P221" t="n">
        <v>1</v>
      </c>
      <c r="Q221" t="n">
        <v>0.05</v>
      </c>
      <c r="R221" t="n">
        <v>1</v>
      </c>
      <c r="S221" t="n">
        <v>4968.6</v>
      </c>
      <c r="T221" t="n">
        <v>6</v>
      </c>
      <c r="U221" t="n">
        <v>7</v>
      </c>
      <c r="V221" t="n">
        <v>30</v>
      </c>
      <c r="W221" t="n">
        <v>4</v>
      </c>
      <c r="X221" t="n">
        <v>27.47252747252747</v>
      </c>
      <c r="Y221" t="n">
        <v>1</v>
      </c>
      <c r="Z221" t="n">
        <v>1</v>
      </c>
      <c r="AA221" t="n">
        <v>0</v>
      </c>
      <c r="AB221" t="n">
        <v>1</v>
      </c>
      <c r="AC221" t="n">
        <v>1</v>
      </c>
      <c r="AD221" t="n">
        <v>0</v>
      </c>
      <c r="AE221" t="n">
        <v>38465</v>
      </c>
      <c r="AF221" t="n">
        <v>11323</v>
      </c>
      <c r="AG221" t="n">
        <v>448</v>
      </c>
      <c r="AH221" t="inlineStr">
        <is>
          <t>PT. PADANG DISTRIBUSINDO RAYA - PPN (PDG)</t>
        </is>
      </c>
      <c r="AI221" t="n">
        <v>1031</v>
      </c>
      <c r="AJ221" t="inlineStr">
        <is>
          <t>AZZURA</t>
        </is>
      </c>
      <c r="AK221" t="n">
        <v>21</v>
      </c>
      <c r="AL221" t="inlineStr">
        <is>
          <t>Miss Glam Damar</t>
        </is>
      </c>
      <c r="AM221" t="n">
        <v>3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AZZURA</t>
        </is>
      </c>
      <c r="B222" s="2">
        <f>"203002185715"</f>
        <v/>
      </c>
      <c r="C222" t="inlineStr">
        <is>
          <t>AZZURA Velvet Lipcream 03 Red Ambers 4gr</t>
        </is>
      </c>
      <c r="D222" t="inlineStr">
        <is>
          <t>Miss Glam Damar</t>
        </is>
      </c>
      <c r="E222" t="n">
        <v>5</v>
      </c>
      <c r="F222" t="n">
        <v>0.2912</v>
      </c>
      <c r="G222" t="n">
        <v>1.82</v>
      </c>
      <c r="H222" t="n">
        <v>2</v>
      </c>
      <c r="I222" t="n">
        <v>6</v>
      </c>
      <c r="J222" t="n">
        <v>1</v>
      </c>
      <c r="K222" t="n">
        <v>0</v>
      </c>
      <c r="L222" t="n">
        <v>35327</v>
      </c>
      <c r="M222" t="n">
        <v>44000</v>
      </c>
      <c r="N222" t="n">
        <v>91</v>
      </c>
      <c r="O222" t="n">
        <v>0.91</v>
      </c>
      <c r="P222" t="n">
        <v>1</v>
      </c>
      <c r="Q222" t="n">
        <v>0.1</v>
      </c>
      <c r="R222" t="n">
        <v>1</v>
      </c>
      <c r="S222" t="n">
        <v>12812.8</v>
      </c>
      <c r="T222" t="n">
        <v>11</v>
      </c>
      <c r="U222" t="n">
        <v>12</v>
      </c>
      <c r="V222" t="n">
        <v>30</v>
      </c>
      <c r="W222" t="n">
        <v>9</v>
      </c>
      <c r="X222" t="n">
        <v>17.17032967032967</v>
      </c>
      <c r="Y222" t="n">
        <v>1</v>
      </c>
      <c r="Z222" t="n">
        <v>4</v>
      </c>
      <c r="AA222" t="n">
        <v>0</v>
      </c>
      <c r="AB222" t="n">
        <v>4</v>
      </c>
      <c r="AC222" t="n">
        <v>4</v>
      </c>
      <c r="AD222" t="n">
        <v>0</v>
      </c>
      <c r="AE222" t="n">
        <v>141308</v>
      </c>
      <c r="AF222" t="n">
        <v>11323</v>
      </c>
      <c r="AG222" t="n">
        <v>448</v>
      </c>
      <c r="AH222" t="inlineStr">
        <is>
          <t>PT. PADANG DISTRIBUSINDO RAYA - PPN (PDG)</t>
        </is>
      </c>
      <c r="AI222" t="n">
        <v>1031</v>
      </c>
      <c r="AJ222" t="inlineStr">
        <is>
          <t>AZZURA</t>
        </is>
      </c>
      <c r="AK222" t="n">
        <v>21</v>
      </c>
      <c r="AL222" t="inlineStr">
        <is>
          <t>Miss Glam Damar</t>
        </is>
      </c>
      <c r="AM222" t="n">
        <v>3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AZZURA</t>
        </is>
      </c>
      <c r="B223" s="2">
        <f>"203002185801"</f>
        <v/>
      </c>
      <c r="C223" t="inlineStr">
        <is>
          <t>AZZURA Velvet Lipcream 04 Peanuts Butter 4gr</t>
        </is>
      </c>
      <c r="D223" t="inlineStr">
        <is>
          <t>Miss Glam Damar</t>
        </is>
      </c>
      <c r="E223" t="n">
        <v>4</v>
      </c>
      <c r="F223" t="n">
        <v>0.04550000000000001</v>
      </c>
      <c r="G223" t="n">
        <v>0.91</v>
      </c>
      <c r="H223" t="n">
        <v>2</v>
      </c>
      <c r="I223" t="n">
        <v>6</v>
      </c>
      <c r="J223" t="n">
        <v>1</v>
      </c>
      <c r="K223" t="n">
        <v>0</v>
      </c>
      <c r="L223" t="n">
        <v>37161</v>
      </c>
      <c r="M223" t="n">
        <v>44000</v>
      </c>
      <c r="N223" t="n">
        <v>91</v>
      </c>
      <c r="O223" t="n">
        <v>0.91</v>
      </c>
      <c r="P223" t="n">
        <v>1</v>
      </c>
      <c r="Q223" t="n">
        <v>0.02</v>
      </c>
      <c r="R223" t="n">
        <v>1</v>
      </c>
      <c r="S223" t="n">
        <v>2002</v>
      </c>
      <c r="T223" t="n">
        <v>6</v>
      </c>
      <c r="U223" t="n">
        <v>7</v>
      </c>
      <c r="V223" t="n">
        <v>30</v>
      </c>
      <c r="W223" t="n">
        <v>2</v>
      </c>
      <c r="X223" t="n">
        <v>87.9120879120879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11323</v>
      </c>
      <c r="AG223" t="n">
        <v>448</v>
      </c>
      <c r="AH223" t="inlineStr">
        <is>
          <t>PT. PADANG DISTRIBUSINDO RAYA - PPN (PDG)</t>
        </is>
      </c>
      <c r="AI223" t="n">
        <v>1031</v>
      </c>
      <c r="AJ223" t="inlineStr">
        <is>
          <t>AZZURA</t>
        </is>
      </c>
      <c r="AK223" t="n">
        <v>21</v>
      </c>
      <c r="AL223" t="inlineStr">
        <is>
          <t>Miss Glam Damar</t>
        </is>
      </c>
      <c r="AM223" t="n">
        <v>3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AZZURA</t>
        </is>
      </c>
      <c r="B224" s="2">
        <f>"203002185956"</f>
        <v/>
      </c>
      <c r="C224" t="inlineStr">
        <is>
          <t>AZZURA Velvet Lipcream 05 Chasmier Burnt 4gr</t>
        </is>
      </c>
      <c r="D224" t="inlineStr">
        <is>
          <t>Miss Glam Damar</t>
        </is>
      </c>
      <c r="E224" t="n">
        <v>4</v>
      </c>
      <c r="F224" t="n">
        <v>0.1729</v>
      </c>
      <c r="G224" t="n">
        <v>2.73</v>
      </c>
      <c r="H224" t="n">
        <v>2</v>
      </c>
      <c r="I224" t="n">
        <v>6</v>
      </c>
      <c r="J224" t="n">
        <v>1</v>
      </c>
      <c r="K224" t="n">
        <v>0</v>
      </c>
      <c r="L224" t="n">
        <v>37161</v>
      </c>
      <c r="M224" t="n">
        <v>44000</v>
      </c>
      <c r="N224" t="n">
        <v>91</v>
      </c>
      <c r="O224" t="n">
        <v>0.91</v>
      </c>
      <c r="P224" t="n">
        <v>1</v>
      </c>
      <c r="Q224" t="n">
        <v>0.1</v>
      </c>
      <c r="R224" t="n">
        <v>1</v>
      </c>
      <c r="S224" t="n">
        <v>7607.6</v>
      </c>
      <c r="T224" t="n">
        <v>17</v>
      </c>
      <c r="U224" t="n">
        <v>18</v>
      </c>
      <c r="V224" t="n">
        <v>30</v>
      </c>
      <c r="W224" t="n">
        <v>6</v>
      </c>
      <c r="X224" t="n">
        <v>23.13475997686524</v>
      </c>
      <c r="Y224" t="n">
        <v>1</v>
      </c>
      <c r="Z224" t="n">
        <v>2</v>
      </c>
      <c r="AA224" t="n">
        <v>0</v>
      </c>
      <c r="AB224" t="n">
        <v>2</v>
      </c>
      <c r="AC224" t="n">
        <v>2</v>
      </c>
      <c r="AD224" t="n">
        <v>0</v>
      </c>
      <c r="AE224" t="n">
        <v>74322</v>
      </c>
      <c r="AF224" t="n">
        <v>11323</v>
      </c>
      <c r="AG224" t="n">
        <v>448</v>
      </c>
      <c r="AH224" t="inlineStr">
        <is>
          <t>PT. PADANG DISTRIBUSINDO RAYA - PPN (PDG)</t>
        </is>
      </c>
      <c r="AI224" t="n">
        <v>1031</v>
      </c>
      <c r="AJ224" t="inlineStr">
        <is>
          <t>AZZURA</t>
        </is>
      </c>
      <c r="AK224" t="n">
        <v>21</v>
      </c>
      <c r="AL224" t="inlineStr">
        <is>
          <t>Miss Glam Damar</t>
        </is>
      </c>
      <c r="AM224" t="n">
        <v>3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AZZURA</t>
        </is>
      </c>
      <c r="B225" s="2">
        <f>"203002186001"</f>
        <v/>
      </c>
      <c r="C225" t="inlineStr">
        <is>
          <t>AZZURA Velvet Lipcream 06 Cheery Pop 4gr</t>
        </is>
      </c>
      <c r="D225" t="inlineStr">
        <is>
          <t>Miss Glam Damar</t>
        </is>
      </c>
      <c r="E225" t="n">
        <v>1</v>
      </c>
      <c r="F225" t="n">
        <v>0.1365</v>
      </c>
      <c r="G225" t="n">
        <v>1.82</v>
      </c>
      <c r="H225" t="n">
        <v>2</v>
      </c>
      <c r="I225" t="n">
        <v>6</v>
      </c>
      <c r="J225" t="n">
        <v>1</v>
      </c>
      <c r="K225" t="n">
        <v>0</v>
      </c>
      <c r="L225" t="n">
        <v>37487</v>
      </c>
      <c r="M225" t="n">
        <v>45500</v>
      </c>
      <c r="N225" t="n">
        <v>91</v>
      </c>
      <c r="O225" t="n">
        <v>0.91</v>
      </c>
      <c r="P225" t="n">
        <v>1</v>
      </c>
      <c r="Q225" t="n">
        <v>0.07000000000000001</v>
      </c>
      <c r="R225" t="n">
        <v>2</v>
      </c>
      <c r="S225" t="n">
        <v>6210.750000000001</v>
      </c>
      <c r="T225" t="n">
        <v>11</v>
      </c>
      <c r="U225" t="n">
        <v>12</v>
      </c>
      <c r="V225" t="n">
        <v>30</v>
      </c>
      <c r="W225" t="n">
        <v>5</v>
      </c>
      <c r="X225" t="n">
        <v>7.326007326007326</v>
      </c>
      <c r="Y225" t="n">
        <v>1</v>
      </c>
      <c r="Z225" t="n">
        <v>4</v>
      </c>
      <c r="AA225" t="n">
        <v>0</v>
      </c>
      <c r="AB225" t="n">
        <v>4</v>
      </c>
      <c r="AC225" t="n">
        <v>4</v>
      </c>
      <c r="AD225" t="n">
        <v>0</v>
      </c>
      <c r="AE225" t="n">
        <v>149948</v>
      </c>
      <c r="AF225" t="n">
        <v>11323</v>
      </c>
      <c r="AG225" t="n">
        <v>448</v>
      </c>
      <c r="AH225" t="inlineStr">
        <is>
          <t>PT. PADANG DISTRIBUSINDO RAYA - PPN (PDG)</t>
        </is>
      </c>
      <c r="AI225" t="n">
        <v>1031</v>
      </c>
      <c r="AJ225" t="inlineStr">
        <is>
          <t>AZZURA</t>
        </is>
      </c>
      <c r="AK225" t="n">
        <v>21</v>
      </c>
      <c r="AL225" t="inlineStr">
        <is>
          <t>Miss Glam Damar</t>
        </is>
      </c>
      <c r="AM225" t="n">
        <v>3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BAISISI</t>
        </is>
      </c>
      <c r="B226" s="2">
        <f>"50100452613"</f>
        <v/>
      </c>
      <c r="C226" t="inlineStr">
        <is>
          <t>BAISISI 2in1 Lash Glue Bond And Remover Bulu Mata Eyelash Extension Eye Make Up</t>
        </is>
      </c>
      <c r="D226" t="inlineStr">
        <is>
          <t>Miss Glam Damar</t>
        </is>
      </c>
      <c r="E226" t="n">
        <v>15</v>
      </c>
      <c r="F226" t="n">
        <v>0.2002</v>
      </c>
      <c r="G226" t="n">
        <v>3.64</v>
      </c>
      <c r="H226" t="n">
        <v>4</v>
      </c>
      <c r="I226" t="n">
        <v>21</v>
      </c>
      <c r="J226" t="n">
        <v>1</v>
      </c>
      <c r="K226" t="n">
        <v>0</v>
      </c>
      <c r="L226" t="n">
        <v>42642</v>
      </c>
      <c r="M226" t="n">
        <v>60000</v>
      </c>
      <c r="N226" t="n">
        <v>91</v>
      </c>
      <c r="O226" t="n">
        <v>0.91</v>
      </c>
      <c r="P226" t="n">
        <v>1</v>
      </c>
      <c r="Q226" t="n">
        <v>0.05</v>
      </c>
      <c r="R226" t="n">
        <v>1</v>
      </c>
      <c r="S226" t="n">
        <v>12012</v>
      </c>
      <c r="T226" t="n">
        <v>76</v>
      </c>
      <c r="U226" t="n">
        <v>77</v>
      </c>
      <c r="V226" t="n">
        <v>30</v>
      </c>
      <c r="W226" t="n">
        <v>7</v>
      </c>
      <c r="X226" t="n">
        <v>74.92507492507492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3255</v>
      </c>
      <c r="AG226" t="n">
        <v>1</v>
      </c>
      <c r="AH226" t="inlineStr">
        <is>
          <t>PT. BERSAMA DISTRIVERSA INDONESIA (DC CIPUTAT)</t>
        </is>
      </c>
      <c r="AI226" t="n">
        <v>2292</v>
      </c>
      <c r="AJ226" t="inlineStr">
        <is>
          <t>BAISISI</t>
        </is>
      </c>
      <c r="AK226" t="n">
        <v>21</v>
      </c>
      <c r="AL226" t="inlineStr">
        <is>
          <t>Miss Glam Damar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BAISISI</t>
        </is>
      </c>
      <c r="B227" s="2">
        <f>"50100447034"</f>
        <v/>
      </c>
      <c r="C227" t="inlineStr">
        <is>
          <t>BAISISI Bulu Mata Palsu A03 Bulumata Aurora</t>
        </is>
      </c>
      <c r="D227" t="inlineStr">
        <is>
          <t>Miss Glam Damar</t>
        </is>
      </c>
      <c r="E227" t="n">
        <v>2</v>
      </c>
      <c r="F227" t="n">
        <v>0.3731</v>
      </c>
      <c r="G227" t="n">
        <v>2.73</v>
      </c>
      <c r="H227" t="n">
        <v>4</v>
      </c>
      <c r="I227" t="n">
        <v>21</v>
      </c>
      <c r="J227" t="n">
        <v>1</v>
      </c>
      <c r="K227" t="n">
        <v>0</v>
      </c>
      <c r="L227" t="n">
        <v>20300</v>
      </c>
      <c r="M227" t="n">
        <v>29000</v>
      </c>
      <c r="N227" t="n">
        <v>91</v>
      </c>
      <c r="O227" t="n">
        <v>0.91</v>
      </c>
      <c r="P227" t="n">
        <v>1</v>
      </c>
      <c r="Q227" t="n">
        <v>0.02</v>
      </c>
      <c r="R227" t="n">
        <v>1</v>
      </c>
      <c r="S227" t="n">
        <v>10819.9</v>
      </c>
      <c r="T227" t="n">
        <v>56</v>
      </c>
      <c r="U227" t="n">
        <v>58</v>
      </c>
      <c r="V227" t="n">
        <v>30</v>
      </c>
      <c r="W227" t="n">
        <v>12</v>
      </c>
      <c r="X227" t="n">
        <v>5.360493165371214</v>
      </c>
      <c r="Y227" t="n">
        <v>1</v>
      </c>
      <c r="Z227" t="n">
        <v>10</v>
      </c>
      <c r="AA227" t="n">
        <v>6</v>
      </c>
      <c r="AB227" t="n">
        <v>4</v>
      </c>
      <c r="AC227" t="n">
        <v>4</v>
      </c>
      <c r="AD227" t="n">
        <v>121800</v>
      </c>
      <c r="AE227" t="n">
        <v>81200</v>
      </c>
      <c r="AF227" t="n">
        <v>3255</v>
      </c>
      <c r="AG227" t="n">
        <v>1</v>
      </c>
      <c r="AH227" t="inlineStr">
        <is>
          <t>PT. BERSAMA DISTRIVERSA INDONESIA (DC CIPUTAT)</t>
        </is>
      </c>
      <c r="AI227" t="n">
        <v>2292</v>
      </c>
      <c r="AJ227" t="inlineStr">
        <is>
          <t>BAISISI</t>
        </is>
      </c>
      <c r="AK227" t="n">
        <v>21</v>
      </c>
      <c r="AL227" t="inlineStr">
        <is>
          <t>Miss Glam Damar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BAISISI</t>
        </is>
      </c>
      <c r="B228" s="2">
        <f>"50100446947"</f>
        <v/>
      </c>
      <c r="C228" t="inlineStr">
        <is>
          <t>BAISISI Bulu Mata Palsu A06 Bulumata Russian</t>
        </is>
      </c>
      <c r="D228" t="inlineStr">
        <is>
          <t>Miss Glam Damar</t>
        </is>
      </c>
      <c r="E228" t="n">
        <v>21</v>
      </c>
      <c r="F228" t="n">
        <v>0.7826</v>
      </c>
      <c r="G228" t="n">
        <v>4.55</v>
      </c>
      <c r="H228" t="n">
        <v>4</v>
      </c>
      <c r="I228" t="n">
        <v>21</v>
      </c>
      <c r="J228" t="n">
        <v>1</v>
      </c>
      <c r="K228" t="n">
        <v>0</v>
      </c>
      <c r="L228" t="n">
        <v>18850</v>
      </c>
      <c r="M228" t="n">
        <v>29000</v>
      </c>
      <c r="N228" t="n">
        <v>91</v>
      </c>
      <c r="O228" t="n">
        <v>0.91</v>
      </c>
      <c r="P228" t="n">
        <v>1</v>
      </c>
      <c r="Q228" t="n">
        <v>0.31</v>
      </c>
      <c r="R228" t="n">
        <v>2</v>
      </c>
      <c r="S228" t="n">
        <v>22695.4</v>
      </c>
      <c r="T228" t="n">
        <v>93</v>
      </c>
      <c r="U228" t="n">
        <v>97</v>
      </c>
      <c r="V228" t="n">
        <v>30</v>
      </c>
      <c r="W228" t="n">
        <v>24</v>
      </c>
      <c r="X228" t="n">
        <v>26.83363148479428</v>
      </c>
      <c r="Y228" t="n">
        <v>1</v>
      </c>
      <c r="Z228" t="n">
        <v>3</v>
      </c>
      <c r="AA228" t="n">
        <v>0</v>
      </c>
      <c r="AB228" t="n">
        <v>3</v>
      </c>
      <c r="AC228" t="n">
        <v>3</v>
      </c>
      <c r="AD228" t="n">
        <v>0</v>
      </c>
      <c r="AE228" t="n">
        <v>56550</v>
      </c>
      <c r="AF228" t="n">
        <v>3255</v>
      </c>
      <c r="AG228" t="n">
        <v>1</v>
      </c>
      <c r="AH228" t="inlineStr">
        <is>
          <t>PT. BERSAMA DISTRIVERSA INDONESIA (DC CIPUTAT)</t>
        </is>
      </c>
      <c r="AI228" t="n">
        <v>2292</v>
      </c>
      <c r="AJ228" t="inlineStr">
        <is>
          <t>BAISISI</t>
        </is>
      </c>
      <c r="AK228" t="n">
        <v>21</v>
      </c>
      <c r="AL228" t="inlineStr">
        <is>
          <t>Miss Glam Damar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BAISISI</t>
        </is>
      </c>
      <c r="B229" s="2">
        <f>"50100446855"</f>
        <v/>
      </c>
      <c r="C229" t="inlineStr">
        <is>
          <t>BAISISI Bulu Mata Palsu A07 Bulumata Arabian Dubai</t>
        </is>
      </c>
      <c r="D229" t="inlineStr">
        <is>
          <t>Miss Glam Damar</t>
        </is>
      </c>
      <c r="E229" t="n">
        <v>20</v>
      </c>
      <c r="F229" t="n">
        <v>0.7735</v>
      </c>
      <c r="G229" t="n">
        <v>4.55</v>
      </c>
      <c r="H229" t="n">
        <v>4</v>
      </c>
      <c r="I229" t="n">
        <v>21</v>
      </c>
      <c r="J229" t="n">
        <v>1</v>
      </c>
      <c r="K229" t="n">
        <v>0</v>
      </c>
      <c r="L229" t="n">
        <v>18850</v>
      </c>
      <c r="M229" t="n">
        <v>29000</v>
      </c>
      <c r="N229" t="n">
        <v>91</v>
      </c>
      <c r="O229" t="n">
        <v>0.91</v>
      </c>
      <c r="P229" t="n">
        <v>1</v>
      </c>
      <c r="Q229" t="n">
        <v>0.36</v>
      </c>
      <c r="R229" t="n">
        <v>3</v>
      </c>
      <c r="S229" t="n">
        <v>22431.5</v>
      </c>
      <c r="T229" t="n">
        <v>93</v>
      </c>
      <c r="U229" t="n">
        <v>97</v>
      </c>
      <c r="V229" t="n">
        <v>30</v>
      </c>
      <c r="W229" t="n">
        <v>24</v>
      </c>
      <c r="X229" t="n">
        <v>25.85649644473174</v>
      </c>
      <c r="Y229" t="n">
        <v>1</v>
      </c>
      <c r="Z229" t="n">
        <v>4</v>
      </c>
      <c r="AA229" t="n">
        <v>0</v>
      </c>
      <c r="AB229" t="n">
        <v>4</v>
      </c>
      <c r="AC229" t="n">
        <v>4</v>
      </c>
      <c r="AD229" t="n">
        <v>0</v>
      </c>
      <c r="AE229" t="n">
        <v>75400</v>
      </c>
      <c r="AF229" t="n">
        <v>3255</v>
      </c>
      <c r="AG229" t="n">
        <v>1</v>
      </c>
      <c r="AH229" t="inlineStr">
        <is>
          <t>PT. BERSAMA DISTRIVERSA INDONESIA (DC CIPUTAT)</t>
        </is>
      </c>
      <c r="AI229" t="n">
        <v>2292</v>
      </c>
      <c r="AJ229" t="inlineStr">
        <is>
          <t>BAISISI</t>
        </is>
      </c>
      <c r="AK229" t="n">
        <v>21</v>
      </c>
      <c r="AL229" t="inlineStr">
        <is>
          <t>Miss Glam Damar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BAISISI</t>
        </is>
      </c>
      <c r="B230" s="2">
        <f>"50100448758"</f>
        <v/>
      </c>
      <c r="C230" t="inlineStr">
        <is>
          <t>BAISISI Bulu Mata Palsu A07 Bulumata Arabian Dubai + Glue</t>
        </is>
      </c>
      <c r="D230" t="inlineStr">
        <is>
          <t>Miss Glam Damar</t>
        </is>
      </c>
      <c r="E230" t="n">
        <v>18</v>
      </c>
      <c r="F230" t="n">
        <v>0.1729</v>
      </c>
      <c r="G230" t="n">
        <v>2.73</v>
      </c>
      <c r="H230" t="n">
        <v>4</v>
      </c>
      <c r="I230" t="n">
        <v>21</v>
      </c>
      <c r="J230" t="n">
        <v>1</v>
      </c>
      <c r="K230" t="n">
        <v>0</v>
      </c>
      <c r="L230" t="n">
        <v>51963</v>
      </c>
      <c r="M230" t="n">
        <v>75000</v>
      </c>
      <c r="N230" t="n">
        <v>91</v>
      </c>
      <c r="O230" t="n">
        <v>0.91</v>
      </c>
      <c r="P230" t="n">
        <v>1</v>
      </c>
      <c r="Q230" t="n">
        <v>0.1</v>
      </c>
      <c r="R230" t="n">
        <v>1</v>
      </c>
      <c r="S230" t="n">
        <v>12967.5</v>
      </c>
      <c r="T230" t="n">
        <v>57</v>
      </c>
      <c r="U230" t="n">
        <v>58</v>
      </c>
      <c r="V230" t="n">
        <v>30</v>
      </c>
      <c r="W230" t="n">
        <v>6</v>
      </c>
      <c r="X230" t="n">
        <v>104.1064198958936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3255</v>
      </c>
      <c r="AG230" t="n">
        <v>1</v>
      </c>
      <c r="AH230" t="inlineStr">
        <is>
          <t>PT. BERSAMA DISTRIVERSA INDONESIA (DC CIPUTAT)</t>
        </is>
      </c>
      <c r="AI230" t="n">
        <v>2292</v>
      </c>
      <c r="AJ230" t="inlineStr">
        <is>
          <t>BAISISI</t>
        </is>
      </c>
      <c r="AK230" t="n">
        <v>21</v>
      </c>
      <c r="AL230" t="inlineStr">
        <is>
          <t>Miss Glam Damar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BAISISI</t>
        </is>
      </c>
      <c r="B231" s="2">
        <f>"50100446521"</f>
        <v/>
      </c>
      <c r="C231" t="inlineStr">
        <is>
          <t>BAISISI Bulu Mata Palsu A10 Bulumata Idol</t>
        </is>
      </c>
      <c r="D231" t="inlineStr">
        <is>
          <t>Miss Glam Damar</t>
        </is>
      </c>
      <c r="E231" t="n">
        <v>3</v>
      </c>
      <c r="F231" t="n">
        <v>0.8918</v>
      </c>
      <c r="G231" t="n">
        <v>4.55</v>
      </c>
      <c r="H231" t="n">
        <v>4</v>
      </c>
      <c r="I231" t="n">
        <v>21</v>
      </c>
      <c r="J231" t="n">
        <v>1</v>
      </c>
      <c r="K231" t="n">
        <v>0</v>
      </c>
      <c r="L231" t="n">
        <v>18937</v>
      </c>
      <c r="M231" t="n">
        <v>29000</v>
      </c>
      <c r="N231" t="n">
        <v>91</v>
      </c>
      <c r="O231" t="n">
        <v>0.91</v>
      </c>
      <c r="P231" t="n">
        <v>1</v>
      </c>
      <c r="Q231" t="n">
        <v>0.41</v>
      </c>
      <c r="R231" t="n">
        <v>3</v>
      </c>
      <c r="S231" t="n">
        <v>25862.2</v>
      </c>
      <c r="T231" t="n">
        <v>92</v>
      </c>
      <c r="U231" t="n">
        <v>96</v>
      </c>
      <c r="V231" t="n">
        <v>30</v>
      </c>
      <c r="W231" t="n">
        <v>27</v>
      </c>
      <c r="X231" t="n">
        <v>3.363982955819691</v>
      </c>
      <c r="Y231" t="n">
        <v>1</v>
      </c>
      <c r="Z231" t="n">
        <v>24</v>
      </c>
      <c r="AA231" t="n">
        <v>16</v>
      </c>
      <c r="AB231" t="n">
        <v>8</v>
      </c>
      <c r="AC231" t="n">
        <v>8</v>
      </c>
      <c r="AD231" t="n">
        <v>302992</v>
      </c>
      <c r="AE231" t="n">
        <v>151496</v>
      </c>
      <c r="AF231" t="n">
        <v>3255</v>
      </c>
      <c r="AG231" t="n">
        <v>1</v>
      </c>
      <c r="AH231" t="inlineStr">
        <is>
          <t>PT. BERSAMA DISTRIVERSA INDONESIA (DC CIPUTAT)</t>
        </is>
      </c>
      <c r="AI231" t="n">
        <v>2292</v>
      </c>
      <c r="AJ231" t="inlineStr">
        <is>
          <t>BAISISI</t>
        </is>
      </c>
      <c r="AK231" t="n">
        <v>21</v>
      </c>
      <c r="AL231" t="inlineStr">
        <is>
          <t>Miss Glam Damar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BAISISI</t>
        </is>
      </c>
      <c r="B232" s="2">
        <f>"50100448440"</f>
        <v/>
      </c>
      <c r="C232" t="inlineStr">
        <is>
          <t>BAISISI Bulu Mata Palsu A10 Bulumata Ringan Idol + Glue</t>
        </is>
      </c>
      <c r="D232" t="inlineStr">
        <is>
          <t>Miss Glam Damar</t>
        </is>
      </c>
      <c r="E232" t="n">
        <v>21</v>
      </c>
      <c r="F232" t="n">
        <v>0.1729</v>
      </c>
      <c r="G232" t="n">
        <v>0.91</v>
      </c>
      <c r="H232" t="n">
        <v>4</v>
      </c>
      <c r="I232" t="n">
        <v>21</v>
      </c>
      <c r="J232" t="n">
        <v>1</v>
      </c>
      <c r="K232" t="n">
        <v>0</v>
      </c>
      <c r="L232" t="n">
        <v>51963</v>
      </c>
      <c r="M232" t="n">
        <v>75000</v>
      </c>
      <c r="N232" t="n">
        <v>91</v>
      </c>
      <c r="O232" t="n">
        <v>0.91</v>
      </c>
      <c r="P232" t="n">
        <v>1</v>
      </c>
      <c r="Q232" t="n">
        <v>0.05</v>
      </c>
      <c r="R232" t="n">
        <v>1</v>
      </c>
      <c r="S232" t="n">
        <v>12967.5</v>
      </c>
      <c r="T232" t="n">
        <v>19</v>
      </c>
      <c r="U232" t="n">
        <v>20</v>
      </c>
      <c r="V232" t="n">
        <v>30</v>
      </c>
      <c r="W232" t="n">
        <v>6</v>
      </c>
      <c r="X232" t="n">
        <v>121.4574898785425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3255</v>
      </c>
      <c r="AG232" t="n">
        <v>1</v>
      </c>
      <c r="AH232" t="inlineStr">
        <is>
          <t>PT. BERSAMA DISTRIVERSA INDONESIA (DC CIPUTAT)</t>
        </is>
      </c>
      <c r="AI232" t="n">
        <v>2292</v>
      </c>
      <c r="AJ232" t="inlineStr">
        <is>
          <t>BAISISI</t>
        </is>
      </c>
      <c r="AK232" t="n">
        <v>21</v>
      </c>
      <c r="AL232" t="inlineStr">
        <is>
          <t>Miss Glam Damar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BAISISI</t>
        </is>
      </c>
      <c r="B233" s="2">
        <f>"50100446750"</f>
        <v/>
      </c>
      <c r="C233" t="inlineStr">
        <is>
          <t>BAISISI Bulu Mata Palsu A11 Bulumata Super Natural</t>
        </is>
      </c>
      <c r="D233" t="inlineStr">
        <is>
          <t>Miss Glam Damar</t>
        </is>
      </c>
      <c r="E233" t="n">
        <v>3</v>
      </c>
      <c r="F233" t="n">
        <v>0.8008000000000001</v>
      </c>
      <c r="G233" t="n">
        <v>5.46</v>
      </c>
      <c r="H233" t="n">
        <v>4</v>
      </c>
      <c r="I233" t="n">
        <v>21</v>
      </c>
      <c r="J233" t="n">
        <v>1</v>
      </c>
      <c r="K233" t="n">
        <v>0</v>
      </c>
      <c r="L233" t="n">
        <v>18850</v>
      </c>
      <c r="M233" t="n">
        <v>29000</v>
      </c>
      <c r="N233" t="n">
        <v>91</v>
      </c>
      <c r="O233" t="n">
        <v>0.91</v>
      </c>
      <c r="P233" t="n">
        <v>1</v>
      </c>
      <c r="Q233" t="n">
        <v>0.31</v>
      </c>
      <c r="R233" t="n">
        <v>2</v>
      </c>
      <c r="S233" t="n">
        <v>23223.2</v>
      </c>
      <c r="T233" t="n">
        <v>112</v>
      </c>
      <c r="U233" t="n">
        <v>116</v>
      </c>
      <c r="V233" t="n">
        <v>30</v>
      </c>
      <c r="W233" t="n">
        <v>25</v>
      </c>
      <c r="X233" t="n">
        <v>3.746253746253746</v>
      </c>
      <c r="Y233" t="n">
        <v>1</v>
      </c>
      <c r="Z233" t="n">
        <v>22</v>
      </c>
      <c r="AA233" t="n">
        <v>14</v>
      </c>
      <c r="AB233" t="n">
        <v>8</v>
      </c>
      <c r="AC233" t="n">
        <v>8</v>
      </c>
      <c r="AD233" t="n">
        <v>263900</v>
      </c>
      <c r="AE233" t="n">
        <v>150800</v>
      </c>
      <c r="AF233" t="n">
        <v>3255</v>
      </c>
      <c r="AG233" t="n">
        <v>1</v>
      </c>
      <c r="AH233" t="inlineStr">
        <is>
          <t>PT. BERSAMA DISTRIVERSA INDONESIA (DC CIPUTAT)</t>
        </is>
      </c>
      <c r="AI233" t="n">
        <v>2292</v>
      </c>
      <c r="AJ233" t="inlineStr">
        <is>
          <t>BAISISI</t>
        </is>
      </c>
      <c r="AK233" t="n">
        <v>21</v>
      </c>
      <c r="AL233" t="inlineStr">
        <is>
          <t>Miss Glam Damar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BAISISI</t>
        </is>
      </c>
      <c r="B234" s="2">
        <f>"50100448537"</f>
        <v/>
      </c>
      <c r="C234" t="inlineStr">
        <is>
          <t>BAISISI Bulu Mata Palsu A11 Bulumata Super Natural + Glue</t>
        </is>
      </c>
      <c r="D234" t="inlineStr">
        <is>
          <t>Miss Glam Damar</t>
        </is>
      </c>
      <c r="E234" t="n">
        <v>13</v>
      </c>
      <c r="F234" t="n">
        <v>0.1547</v>
      </c>
      <c r="G234" t="n">
        <v>1.82</v>
      </c>
      <c r="H234" t="n">
        <v>4</v>
      </c>
      <c r="I234" t="n">
        <v>21</v>
      </c>
      <c r="J234" t="n">
        <v>1</v>
      </c>
      <c r="K234" t="n">
        <v>0</v>
      </c>
      <c r="L234" t="n">
        <v>51963</v>
      </c>
      <c r="M234" t="n">
        <v>75000</v>
      </c>
      <c r="N234" t="n">
        <v>91</v>
      </c>
      <c r="O234" t="n">
        <v>0.91</v>
      </c>
      <c r="P234" t="n">
        <v>1</v>
      </c>
      <c r="Q234" t="n">
        <v>0.19</v>
      </c>
      <c r="R234" t="n">
        <v>2</v>
      </c>
      <c r="S234" t="n">
        <v>11602.5</v>
      </c>
      <c r="T234" t="n">
        <v>38</v>
      </c>
      <c r="U234" t="n">
        <v>39</v>
      </c>
      <c r="V234" t="n">
        <v>30</v>
      </c>
      <c r="W234" t="n">
        <v>5</v>
      </c>
      <c r="X234" t="n">
        <v>84.03361344537815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3255</v>
      </c>
      <c r="AG234" t="n">
        <v>1</v>
      </c>
      <c r="AH234" t="inlineStr">
        <is>
          <t>PT. BERSAMA DISTRIVERSA INDONESIA (DC CIPUTAT)</t>
        </is>
      </c>
      <c r="AI234" t="n">
        <v>2292</v>
      </c>
      <c r="AJ234" t="inlineStr">
        <is>
          <t>BAISISI</t>
        </is>
      </c>
      <c r="AK234" t="n">
        <v>21</v>
      </c>
      <c r="AL234" t="inlineStr">
        <is>
          <t>Miss Glam Damar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BAISISI</t>
        </is>
      </c>
      <c r="B235" s="2">
        <f>"50100451235"</f>
        <v/>
      </c>
      <c r="C235" t="inlineStr">
        <is>
          <t>BAISISI Bulu Mata Palsu A12 Bulumata Barbie</t>
        </is>
      </c>
      <c r="D235" t="inlineStr">
        <is>
          <t>Miss Glam Damar</t>
        </is>
      </c>
      <c r="E235" t="n">
        <v>4</v>
      </c>
      <c r="F235" t="n">
        <v>0.03</v>
      </c>
      <c r="G235" t="n">
        <v>2</v>
      </c>
      <c r="H235" t="n">
        <v>4</v>
      </c>
      <c r="I235" t="n">
        <v>21</v>
      </c>
      <c r="J235" t="n">
        <v>1</v>
      </c>
      <c r="K235" t="n">
        <v>0</v>
      </c>
      <c r="L235" t="n">
        <v>25338</v>
      </c>
      <c r="M235" t="n">
        <v>30000</v>
      </c>
      <c r="N235" t="n">
        <v>91</v>
      </c>
      <c r="O235" t="n">
        <v>0.91</v>
      </c>
      <c r="P235" t="n">
        <v>0</v>
      </c>
      <c r="Q235" t="n">
        <v>0.03</v>
      </c>
      <c r="R235" t="n">
        <v>2</v>
      </c>
      <c r="S235" t="n">
        <v>900</v>
      </c>
      <c r="T235" t="n">
        <v>42</v>
      </c>
      <c r="U235" t="n">
        <v>43</v>
      </c>
      <c r="V235" t="n">
        <v>30</v>
      </c>
      <c r="W235" t="n">
        <v>1</v>
      </c>
      <c r="X235" t="n">
        <v>133.3333333333333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3255</v>
      </c>
      <c r="AG235" t="n">
        <v>1</v>
      </c>
      <c r="AH235" t="inlineStr">
        <is>
          <t>PT. BERSAMA DISTRIVERSA INDONESIA (DC CIPUTAT)</t>
        </is>
      </c>
      <c r="AI235" t="n">
        <v>2292</v>
      </c>
      <c r="AJ235" t="inlineStr">
        <is>
          <t>BAISISI</t>
        </is>
      </c>
      <c r="AK235" t="n">
        <v>21</v>
      </c>
      <c r="AL235" t="inlineStr">
        <is>
          <t>Miss Glam Damar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BAISISI</t>
        </is>
      </c>
      <c r="B236" s="2">
        <f>"50100448616"</f>
        <v/>
      </c>
      <c r="C236" t="inlineStr">
        <is>
          <t>BAISISI Bulu Mata Palsu A12 Bulumata Barbie + Glue</t>
        </is>
      </c>
      <c r="D236" t="inlineStr">
        <is>
          <t>Miss Glam Damar</t>
        </is>
      </c>
      <c r="E236" t="n">
        <v>14</v>
      </c>
      <c r="F236" t="n">
        <v>0.06370000000000001</v>
      </c>
      <c r="G236" t="n">
        <v>0.91</v>
      </c>
      <c r="H236" t="n">
        <v>4</v>
      </c>
      <c r="I236" t="n">
        <v>21</v>
      </c>
      <c r="J236" t="n">
        <v>1</v>
      </c>
      <c r="K236" t="n">
        <v>0</v>
      </c>
      <c r="L236" t="n">
        <v>50946</v>
      </c>
      <c r="M236" t="n">
        <v>75000</v>
      </c>
      <c r="N236" t="n">
        <v>91</v>
      </c>
      <c r="O236" t="n">
        <v>0.91</v>
      </c>
      <c r="P236" t="n">
        <v>1</v>
      </c>
      <c r="Q236" t="n">
        <v>0.08</v>
      </c>
      <c r="R236" t="n">
        <v>2</v>
      </c>
      <c r="S236" t="n">
        <v>4777.500000000001</v>
      </c>
      <c r="T236" t="n">
        <v>19</v>
      </c>
      <c r="U236" t="n">
        <v>20</v>
      </c>
      <c r="V236" t="n">
        <v>30</v>
      </c>
      <c r="W236" t="n">
        <v>2</v>
      </c>
      <c r="X236" t="n">
        <v>219.7802197802198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3255</v>
      </c>
      <c r="AG236" t="n">
        <v>1</v>
      </c>
      <c r="AH236" t="inlineStr">
        <is>
          <t>PT. BERSAMA DISTRIVERSA INDONESIA (DC CIPUTAT)</t>
        </is>
      </c>
      <c r="AI236" t="n">
        <v>2292</v>
      </c>
      <c r="AJ236" t="inlineStr">
        <is>
          <t>BAISISI</t>
        </is>
      </c>
      <c r="AK236" t="n">
        <v>21</v>
      </c>
      <c r="AL236" t="inlineStr">
        <is>
          <t>Miss Glam Damar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BAISISI</t>
        </is>
      </c>
      <c r="B237" s="2">
        <f>"50100446656"</f>
        <v/>
      </c>
      <c r="C237" t="inlineStr">
        <is>
          <t>BAISISI Bulu Mata Palsu A14 Bulumata Natural Curly</t>
        </is>
      </c>
      <c r="D237" t="inlineStr">
        <is>
          <t>Miss Glam Damar</t>
        </is>
      </c>
      <c r="E237" t="n">
        <v>11</v>
      </c>
      <c r="F237" t="n">
        <v>0.7098000000000001</v>
      </c>
      <c r="G237" t="n">
        <v>4.55</v>
      </c>
      <c r="H237" t="n">
        <v>4</v>
      </c>
      <c r="I237" t="n">
        <v>21</v>
      </c>
      <c r="J237" t="n">
        <v>1</v>
      </c>
      <c r="K237" t="n">
        <v>0</v>
      </c>
      <c r="L237" t="n">
        <v>24839</v>
      </c>
      <c r="M237" t="n">
        <v>29000</v>
      </c>
      <c r="N237" t="n">
        <v>91</v>
      </c>
      <c r="O237" t="n">
        <v>0.91</v>
      </c>
      <c r="P237" t="n">
        <v>1</v>
      </c>
      <c r="Q237" t="n">
        <v>0.15</v>
      </c>
      <c r="R237" t="n">
        <v>2</v>
      </c>
      <c r="S237" t="n">
        <v>20584.2</v>
      </c>
      <c r="T237" t="n">
        <v>93</v>
      </c>
      <c r="U237" t="n">
        <v>96</v>
      </c>
      <c r="V237" t="n">
        <v>30</v>
      </c>
      <c r="W237" t="n">
        <v>22</v>
      </c>
      <c r="X237" t="n">
        <v>15.49732318963088</v>
      </c>
      <c r="Y237" t="n">
        <v>1</v>
      </c>
      <c r="Z237" t="n">
        <v>11</v>
      </c>
      <c r="AA237" t="n">
        <v>4</v>
      </c>
      <c r="AB237" t="n">
        <v>7</v>
      </c>
      <c r="AC237" t="n">
        <v>7</v>
      </c>
      <c r="AD237" t="n">
        <v>99356</v>
      </c>
      <c r="AE237" t="n">
        <v>173873</v>
      </c>
      <c r="AF237" t="n">
        <v>3255</v>
      </c>
      <c r="AG237" t="n">
        <v>1</v>
      </c>
      <c r="AH237" t="inlineStr">
        <is>
          <t>PT. BERSAMA DISTRIVERSA INDONESIA (DC CIPUTAT)</t>
        </is>
      </c>
      <c r="AI237" t="n">
        <v>2292</v>
      </c>
      <c r="AJ237" t="inlineStr">
        <is>
          <t>BAISISI</t>
        </is>
      </c>
      <c r="AK237" t="n">
        <v>21</v>
      </c>
      <c r="AL237" t="inlineStr">
        <is>
          <t>Miss Glam Damar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BAISISI</t>
        </is>
      </c>
      <c r="B238" s="2">
        <f>"50100448320"</f>
        <v/>
      </c>
      <c r="C238" t="inlineStr">
        <is>
          <t>BAISISI Bulu Mata Palsu A14 Bulumata Natural Curly + Glue</t>
        </is>
      </c>
      <c r="D238" t="inlineStr">
        <is>
          <t>Miss Glam Damar</t>
        </is>
      </c>
      <c r="E238" t="n">
        <v>17</v>
      </c>
      <c r="F238" t="n">
        <v>0.1547</v>
      </c>
      <c r="G238" t="n">
        <v>1.82</v>
      </c>
      <c r="H238" t="n">
        <v>4</v>
      </c>
      <c r="I238" t="n">
        <v>21</v>
      </c>
      <c r="J238" t="n">
        <v>1</v>
      </c>
      <c r="K238" t="n">
        <v>0</v>
      </c>
      <c r="L238" t="n">
        <v>51963</v>
      </c>
      <c r="M238" t="n">
        <v>75000</v>
      </c>
      <c r="N238" t="n">
        <v>91</v>
      </c>
      <c r="O238" t="n">
        <v>0.91</v>
      </c>
      <c r="P238" t="n">
        <v>1</v>
      </c>
      <c r="Q238" t="n">
        <v>0.12</v>
      </c>
      <c r="R238" t="n">
        <v>1</v>
      </c>
      <c r="S238" t="n">
        <v>11602.5</v>
      </c>
      <c r="T238" t="n">
        <v>38</v>
      </c>
      <c r="U238" t="n">
        <v>39</v>
      </c>
      <c r="V238" t="n">
        <v>30</v>
      </c>
      <c r="W238" t="n">
        <v>5</v>
      </c>
      <c r="X238" t="n">
        <v>109.8901098901099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3255</v>
      </c>
      <c r="AG238" t="n">
        <v>1</v>
      </c>
      <c r="AH238" t="inlineStr">
        <is>
          <t>PT. BERSAMA DISTRIVERSA INDONESIA (DC CIPUTAT)</t>
        </is>
      </c>
      <c r="AI238" t="n">
        <v>2292</v>
      </c>
      <c r="AJ238" t="inlineStr">
        <is>
          <t>BAISISI</t>
        </is>
      </c>
      <c r="AK238" t="n">
        <v>21</v>
      </c>
      <c r="AL238" t="inlineStr">
        <is>
          <t>Miss Glam Damar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BAISISI</t>
        </is>
      </c>
      <c r="B239" s="2">
        <f>"50100451102"</f>
        <v/>
      </c>
      <c r="C239" t="inlineStr">
        <is>
          <t>BAISISI Bulu Mata Palsu A16 Bulumata Eyelash Korean Segmentasi Reusable</t>
        </is>
      </c>
      <c r="D239" t="inlineStr">
        <is>
          <t>Miss Glam Damar</t>
        </is>
      </c>
      <c r="E239" t="n">
        <v>9</v>
      </c>
      <c r="F239" t="n">
        <v>0.06370000000000001</v>
      </c>
      <c r="G239" t="n">
        <v>0.91</v>
      </c>
      <c r="H239" t="n">
        <v>4</v>
      </c>
      <c r="I239" t="n">
        <v>21</v>
      </c>
      <c r="J239" t="n">
        <v>1</v>
      </c>
      <c r="K239" t="n">
        <v>0</v>
      </c>
      <c r="L239" t="n">
        <v>25338</v>
      </c>
      <c r="M239" t="n">
        <v>30000</v>
      </c>
      <c r="N239" t="n">
        <v>91</v>
      </c>
      <c r="O239" t="n">
        <v>0.91</v>
      </c>
      <c r="P239" t="n">
        <v>1</v>
      </c>
      <c r="Q239" t="n">
        <v>0.05</v>
      </c>
      <c r="R239" t="n">
        <v>2</v>
      </c>
      <c r="S239" t="n">
        <v>1911</v>
      </c>
      <c r="T239" t="n">
        <v>19</v>
      </c>
      <c r="U239" t="n">
        <v>20</v>
      </c>
      <c r="V239" t="n">
        <v>30</v>
      </c>
      <c r="W239" t="n">
        <v>2</v>
      </c>
      <c r="X239" t="n">
        <v>141.287284144427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3255</v>
      </c>
      <c r="AG239" t="n">
        <v>1</v>
      </c>
      <c r="AH239" t="inlineStr">
        <is>
          <t>PT. BERSAMA DISTRIVERSA INDONESIA (DC CIPUTAT)</t>
        </is>
      </c>
      <c r="AI239" t="n">
        <v>2292</v>
      </c>
      <c r="AJ239" t="inlineStr">
        <is>
          <t>BAISISI</t>
        </is>
      </c>
      <c r="AK239" t="n">
        <v>21</v>
      </c>
      <c r="AL239" t="inlineStr">
        <is>
          <t>Miss Glam Damar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BAISISI</t>
        </is>
      </c>
      <c r="B240" s="2">
        <f>"50100446248"</f>
        <v/>
      </c>
      <c r="C240" t="inlineStr">
        <is>
          <t>BAISISI Bulu Mata Palsu Z01 Bulumata Natural</t>
        </is>
      </c>
      <c r="D240" t="inlineStr">
        <is>
          <t>Miss Glam Damar</t>
        </is>
      </c>
      <c r="E240" t="n">
        <v>7</v>
      </c>
      <c r="F240" t="n">
        <v>0.1729</v>
      </c>
      <c r="G240" t="n">
        <v>1.82</v>
      </c>
      <c r="H240" t="n">
        <v>4</v>
      </c>
      <c r="I240" t="n">
        <v>21</v>
      </c>
      <c r="J240" t="n">
        <v>1</v>
      </c>
      <c r="K240" t="n">
        <v>0</v>
      </c>
      <c r="L240" t="n">
        <v>29368</v>
      </c>
      <c r="M240" t="n">
        <v>45000</v>
      </c>
      <c r="N240" t="n">
        <v>91</v>
      </c>
      <c r="O240" t="n">
        <v>0.91</v>
      </c>
      <c r="P240" t="n">
        <v>1</v>
      </c>
      <c r="Q240" t="n">
        <v>0.15</v>
      </c>
      <c r="R240" t="n">
        <v>1</v>
      </c>
      <c r="S240" t="n">
        <v>7780.5</v>
      </c>
      <c r="T240" t="n">
        <v>38</v>
      </c>
      <c r="U240" t="n">
        <v>39</v>
      </c>
      <c r="V240" t="n">
        <v>30</v>
      </c>
      <c r="W240" t="n">
        <v>6</v>
      </c>
      <c r="X240" t="n">
        <v>40.48582995951417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3255</v>
      </c>
      <c r="AG240" t="n">
        <v>1</v>
      </c>
      <c r="AH240" t="inlineStr">
        <is>
          <t>PT. BERSAMA DISTRIVERSA INDONESIA (DC CIPUTAT)</t>
        </is>
      </c>
      <c r="AI240" t="n">
        <v>2292</v>
      </c>
      <c r="AJ240" t="inlineStr">
        <is>
          <t>BAISISI</t>
        </is>
      </c>
      <c r="AK240" t="n">
        <v>21</v>
      </c>
      <c r="AL240" t="inlineStr">
        <is>
          <t>Miss Glam Damar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BAISISI</t>
        </is>
      </c>
      <c r="B241" s="2">
        <f>"50100451554"</f>
        <v/>
      </c>
      <c r="C241" t="inlineStr">
        <is>
          <t>BAISISI Bulu Mata Palsu Z02 Bulumata Natural Eyelash Extension</t>
        </is>
      </c>
      <c r="D241" t="inlineStr">
        <is>
          <t>Miss Glam Damar</t>
        </is>
      </c>
      <c r="E241" t="n">
        <v>4</v>
      </c>
      <c r="F241" t="n">
        <v>0.0273</v>
      </c>
      <c r="G241" t="n">
        <v>0.91</v>
      </c>
      <c r="H241" t="n">
        <v>4</v>
      </c>
      <c r="I241" t="n">
        <v>21</v>
      </c>
      <c r="J241" t="n">
        <v>1</v>
      </c>
      <c r="K241" t="n">
        <v>0</v>
      </c>
      <c r="L241" t="n">
        <v>27810</v>
      </c>
      <c r="M241" t="n">
        <v>39000</v>
      </c>
      <c r="N241" t="n">
        <v>91</v>
      </c>
      <c r="O241" t="n">
        <v>0.91</v>
      </c>
      <c r="P241" t="n">
        <v>1</v>
      </c>
      <c r="Q241" t="n">
        <v>0.03</v>
      </c>
      <c r="R241" t="n">
        <v>2</v>
      </c>
      <c r="S241" t="n">
        <v>1064.7</v>
      </c>
      <c r="T241" t="n">
        <v>20</v>
      </c>
      <c r="U241" t="n">
        <v>21</v>
      </c>
      <c r="V241" t="n">
        <v>30</v>
      </c>
      <c r="W241" t="n">
        <v>1</v>
      </c>
      <c r="X241" t="n">
        <v>146.5201465201465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3255</v>
      </c>
      <c r="AG241" t="n">
        <v>1</v>
      </c>
      <c r="AH241" t="inlineStr">
        <is>
          <t>PT. BERSAMA DISTRIVERSA INDONESIA (DC CIPUTAT)</t>
        </is>
      </c>
      <c r="AI241" t="n">
        <v>2292</v>
      </c>
      <c r="AJ241" t="inlineStr">
        <is>
          <t>BAISISI</t>
        </is>
      </c>
      <c r="AK241" t="n">
        <v>21</v>
      </c>
      <c r="AL241" t="inlineStr">
        <is>
          <t>Miss Glam Damar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BAISISI</t>
        </is>
      </c>
      <c r="B242" s="2">
        <f>"50100446444"</f>
        <v/>
      </c>
      <c r="C242" t="inlineStr">
        <is>
          <t>BAISISI Bulu Mata Palsu Z03 Bulumata Barbie</t>
        </is>
      </c>
      <c r="D242" t="inlineStr">
        <is>
          <t>Miss Glam Damar</t>
        </is>
      </c>
      <c r="E242" t="n">
        <v>13</v>
      </c>
      <c r="F242" t="n">
        <v>0.2275</v>
      </c>
      <c r="G242" t="n">
        <v>1.82</v>
      </c>
      <c r="H242" t="n">
        <v>4</v>
      </c>
      <c r="I242" t="n">
        <v>21</v>
      </c>
      <c r="J242" t="n">
        <v>1</v>
      </c>
      <c r="K242" t="n">
        <v>0</v>
      </c>
      <c r="L242" t="n">
        <v>29761</v>
      </c>
      <c r="M242" t="n">
        <v>45000</v>
      </c>
      <c r="N242" t="n">
        <v>91</v>
      </c>
      <c r="O242" t="n">
        <v>0.91</v>
      </c>
      <c r="P242" t="n">
        <v>1</v>
      </c>
      <c r="Q242" t="n">
        <v>0.08</v>
      </c>
      <c r="R242" t="n">
        <v>1</v>
      </c>
      <c r="S242" t="n">
        <v>10237.5</v>
      </c>
      <c r="T242" t="n">
        <v>38</v>
      </c>
      <c r="U242" t="n">
        <v>39</v>
      </c>
      <c r="V242" t="n">
        <v>30</v>
      </c>
      <c r="W242" t="n">
        <v>7</v>
      </c>
      <c r="X242" t="n">
        <v>57.14285714285714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3255</v>
      </c>
      <c r="AG242" t="n">
        <v>1</v>
      </c>
      <c r="AH242" t="inlineStr">
        <is>
          <t>PT. BERSAMA DISTRIVERSA INDONESIA (DC CIPUTAT)</t>
        </is>
      </c>
      <c r="AI242" t="n">
        <v>2292</v>
      </c>
      <c r="AJ242" t="inlineStr">
        <is>
          <t>BAISISI</t>
        </is>
      </c>
      <c r="AK242" t="n">
        <v>21</v>
      </c>
      <c r="AL242" t="inlineStr">
        <is>
          <t>Miss Glam Damar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BAISISI</t>
        </is>
      </c>
      <c r="B243" s="2">
        <f>"50100446102"</f>
        <v/>
      </c>
      <c r="C243" t="inlineStr">
        <is>
          <t>BAISISI Bulu Mata Palsu Z04 Bulumata Super Natural Eyelash</t>
        </is>
      </c>
      <c r="D243" t="inlineStr">
        <is>
          <t>Miss Glam Damar</t>
        </is>
      </c>
      <c r="E243" t="n">
        <v>1</v>
      </c>
      <c r="F243" t="n">
        <v>1.0647</v>
      </c>
      <c r="G243" t="n">
        <v>2.73</v>
      </c>
      <c r="H243" t="n">
        <v>4</v>
      </c>
      <c r="I243" t="n">
        <v>21</v>
      </c>
      <c r="J243" t="n">
        <v>1</v>
      </c>
      <c r="K243" t="n">
        <v>0</v>
      </c>
      <c r="L243" t="n">
        <v>29440</v>
      </c>
      <c r="M243" t="n">
        <v>45000</v>
      </c>
      <c r="N243" t="n">
        <v>91</v>
      </c>
      <c r="O243" t="n">
        <v>0.91</v>
      </c>
      <c r="P243" t="n">
        <v>1</v>
      </c>
      <c r="Q243" t="n">
        <v>0.37</v>
      </c>
      <c r="R243" t="n">
        <v>2</v>
      </c>
      <c r="S243" t="n">
        <v>47911.5</v>
      </c>
      <c r="T243" t="n">
        <v>54</v>
      </c>
      <c r="U243" t="n">
        <v>59</v>
      </c>
      <c r="V243" t="n">
        <v>30</v>
      </c>
      <c r="W243" t="n">
        <v>32</v>
      </c>
      <c r="X243" t="n">
        <v>0.9392317084624777</v>
      </c>
      <c r="Y243" t="n">
        <v>1</v>
      </c>
      <c r="Z243" t="n">
        <v>31</v>
      </c>
      <c r="AA243" t="n">
        <v>22</v>
      </c>
      <c r="AB243" t="n">
        <v>9</v>
      </c>
      <c r="AC243" t="n">
        <v>9</v>
      </c>
      <c r="AD243" t="n">
        <v>647680</v>
      </c>
      <c r="AE243" t="n">
        <v>264960</v>
      </c>
      <c r="AF243" t="n">
        <v>3255</v>
      </c>
      <c r="AG243" t="n">
        <v>1</v>
      </c>
      <c r="AH243" t="inlineStr">
        <is>
          <t>PT. BERSAMA DISTRIVERSA INDONESIA (DC CIPUTAT)</t>
        </is>
      </c>
      <c r="AI243" t="n">
        <v>2292</v>
      </c>
      <c r="AJ243" t="inlineStr">
        <is>
          <t>BAISISI</t>
        </is>
      </c>
      <c r="AK243" t="n">
        <v>21</v>
      </c>
      <c r="AL243" t="inlineStr">
        <is>
          <t>Miss Glam Damar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BAISISI</t>
        </is>
      </c>
      <c r="B244" s="2">
        <f>"50100452241"</f>
        <v/>
      </c>
      <c r="C244" t="inlineStr">
        <is>
          <t>BAISISI Bulu Mata Palsu Z04 Bulumata Super Natural Eyelash + Glue</t>
        </is>
      </c>
      <c r="D244" t="inlineStr">
        <is>
          <t>Miss Glam Damar</t>
        </is>
      </c>
      <c r="E244" t="n">
        <v>5</v>
      </c>
      <c r="F244" t="n">
        <v>0.02</v>
      </c>
      <c r="G244" t="n">
        <v>0</v>
      </c>
      <c r="H244" t="n">
        <v>4</v>
      </c>
      <c r="I244" t="n">
        <v>21</v>
      </c>
      <c r="J244" t="n">
        <v>1</v>
      </c>
      <c r="K244" t="n">
        <v>0</v>
      </c>
      <c r="L244" t="n">
        <v>55002</v>
      </c>
      <c r="M244" t="n">
        <v>76500</v>
      </c>
      <c r="N244" t="n">
        <v>91</v>
      </c>
      <c r="O244" t="n">
        <v>0.91</v>
      </c>
      <c r="P244" t="n">
        <v>0</v>
      </c>
      <c r="Q244" t="n">
        <v>0.02</v>
      </c>
      <c r="R244" t="n">
        <v>0</v>
      </c>
      <c r="S244" t="n">
        <v>1530</v>
      </c>
      <c r="T244" t="n">
        <v>0</v>
      </c>
      <c r="U244" t="n">
        <v>1</v>
      </c>
      <c r="V244" t="n">
        <v>30</v>
      </c>
      <c r="W244" t="n">
        <v>1</v>
      </c>
      <c r="X244" t="n">
        <v>250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3255</v>
      </c>
      <c r="AG244" t="n">
        <v>1</v>
      </c>
      <c r="AH244" t="inlineStr">
        <is>
          <t>PT. BERSAMA DISTRIVERSA INDONESIA (DC CIPUTAT)</t>
        </is>
      </c>
      <c r="AI244" t="n">
        <v>2292</v>
      </c>
      <c r="AJ244" t="inlineStr">
        <is>
          <t>BAISISI</t>
        </is>
      </c>
      <c r="AK244" t="n">
        <v>21</v>
      </c>
      <c r="AL244" t="inlineStr">
        <is>
          <t>Miss Glam Damar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BAISISI</t>
        </is>
      </c>
      <c r="B245" s="2">
        <f>"50100451545"</f>
        <v/>
      </c>
      <c r="C245" t="inlineStr">
        <is>
          <t>BAISISI Bulu Mata Palsu Z05 Bulumata Korean</t>
        </is>
      </c>
      <c r="D245" t="inlineStr">
        <is>
          <t>Miss Glam Damar</t>
        </is>
      </c>
      <c r="E245" t="n">
        <v>5</v>
      </c>
      <c r="F245" t="n">
        <v>0.06370000000000001</v>
      </c>
      <c r="G245" t="n">
        <v>1.82</v>
      </c>
      <c r="H245" t="n">
        <v>4</v>
      </c>
      <c r="I245" t="n">
        <v>21</v>
      </c>
      <c r="J245" t="n">
        <v>1</v>
      </c>
      <c r="K245" t="n">
        <v>0</v>
      </c>
      <c r="L245" t="n">
        <v>27810</v>
      </c>
      <c r="M245" t="n">
        <v>39000</v>
      </c>
      <c r="N245" t="n">
        <v>91</v>
      </c>
      <c r="O245" t="n">
        <v>0.91</v>
      </c>
      <c r="P245" t="n">
        <v>1</v>
      </c>
      <c r="Q245" t="n">
        <v>0.02</v>
      </c>
      <c r="R245" t="n">
        <v>1</v>
      </c>
      <c r="S245" t="n">
        <v>2484.3</v>
      </c>
      <c r="T245" t="n">
        <v>38</v>
      </c>
      <c r="U245" t="n">
        <v>39</v>
      </c>
      <c r="V245" t="n">
        <v>30</v>
      </c>
      <c r="W245" t="n">
        <v>2</v>
      </c>
      <c r="X245" t="n">
        <v>78.49293563579278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3255</v>
      </c>
      <c r="AG245" t="n">
        <v>1</v>
      </c>
      <c r="AH245" t="inlineStr">
        <is>
          <t>PT. BERSAMA DISTRIVERSA INDONESIA (DC CIPUTAT)</t>
        </is>
      </c>
      <c r="AI245" t="n">
        <v>2292</v>
      </c>
      <c r="AJ245" t="inlineStr">
        <is>
          <t>BAISISI</t>
        </is>
      </c>
      <c r="AK245" t="n">
        <v>21</v>
      </c>
      <c r="AL245" t="inlineStr">
        <is>
          <t>Miss Glam Damar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BAISISI</t>
        </is>
      </c>
      <c r="B246" s="2">
        <f>"50100451747"</f>
        <v/>
      </c>
      <c r="C246" t="inlineStr">
        <is>
          <t>BAISISI Bulu Mata Palsu Z07 Bulumata Korean</t>
        </is>
      </c>
      <c r="D246" t="inlineStr">
        <is>
          <t>Miss Glam Damar</t>
        </is>
      </c>
      <c r="E246" t="n">
        <v>5</v>
      </c>
      <c r="F246" t="n">
        <v>0.02</v>
      </c>
      <c r="G246" t="n">
        <v>0</v>
      </c>
      <c r="H246" t="n">
        <v>4</v>
      </c>
      <c r="I246" t="n">
        <v>21</v>
      </c>
      <c r="J246" t="n">
        <v>1</v>
      </c>
      <c r="K246" t="n">
        <v>0</v>
      </c>
      <c r="L246" t="n">
        <v>27810</v>
      </c>
      <c r="M246" t="n">
        <v>39000</v>
      </c>
      <c r="N246" t="n">
        <v>91</v>
      </c>
      <c r="O246" t="n">
        <v>0.91</v>
      </c>
      <c r="P246" t="n">
        <v>0</v>
      </c>
      <c r="Q246" t="n">
        <v>0.02</v>
      </c>
      <c r="R246" t="n">
        <v>0</v>
      </c>
      <c r="S246" t="n">
        <v>780</v>
      </c>
      <c r="T246" t="n">
        <v>0</v>
      </c>
      <c r="U246" t="n">
        <v>1</v>
      </c>
      <c r="V246" t="n">
        <v>30</v>
      </c>
      <c r="W246" t="n">
        <v>1</v>
      </c>
      <c r="X246" t="n">
        <v>250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3255</v>
      </c>
      <c r="AG246" t="n">
        <v>1</v>
      </c>
      <c r="AH246" t="inlineStr">
        <is>
          <t>PT. BERSAMA DISTRIVERSA INDONESIA (DC CIPUTAT)</t>
        </is>
      </c>
      <c r="AI246" t="n">
        <v>2292</v>
      </c>
      <c r="AJ246" t="inlineStr">
        <is>
          <t>BAISISI</t>
        </is>
      </c>
      <c r="AK246" t="n">
        <v>21</v>
      </c>
      <c r="AL246" t="inlineStr">
        <is>
          <t>Miss Glam Damar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BAISISI</t>
        </is>
      </c>
      <c r="B247" s="2">
        <f>"50100446352"</f>
        <v/>
      </c>
      <c r="C247" t="inlineStr">
        <is>
          <t>BAISISI Bulu Mata Palsu Z11 Bulumata Korean</t>
        </is>
      </c>
      <c r="D247" t="inlineStr">
        <is>
          <t>Miss Glam Damar</t>
        </is>
      </c>
      <c r="E247" t="n">
        <v>12</v>
      </c>
      <c r="F247" t="n">
        <v>0.2821</v>
      </c>
      <c r="G247" t="n">
        <v>1.82</v>
      </c>
      <c r="H247" t="n">
        <v>4</v>
      </c>
      <c r="I247" t="n">
        <v>21</v>
      </c>
      <c r="J247" t="n">
        <v>1</v>
      </c>
      <c r="K247" t="n">
        <v>0</v>
      </c>
      <c r="L247" t="n">
        <v>29418</v>
      </c>
      <c r="M247" t="n">
        <v>45000</v>
      </c>
      <c r="N247" t="n">
        <v>91</v>
      </c>
      <c r="O247" t="n">
        <v>0.91</v>
      </c>
      <c r="P247" t="n">
        <v>1</v>
      </c>
      <c r="Q247" t="n">
        <v>0.22</v>
      </c>
      <c r="R247" t="n">
        <v>3</v>
      </c>
      <c r="S247" t="n">
        <v>12694.5</v>
      </c>
      <c r="T247" t="n">
        <v>38</v>
      </c>
      <c r="U247" t="n">
        <v>40</v>
      </c>
      <c r="V247" t="n">
        <v>30</v>
      </c>
      <c r="W247" t="n">
        <v>9</v>
      </c>
      <c r="X247" t="n">
        <v>42.53810705423609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3255</v>
      </c>
      <c r="AG247" t="n">
        <v>1</v>
      </c>
      <c r="AH247" t="inlineStr">
        <is>
          <t>PT. BERSAMA DISTRIVERSA INDONESIA (DC CIPUTAT)</t>
        </is>
      </c>
      <c r="AI247" t="n">
        <v>2292</v>
      </c>
      <c r="AJ247" t="inlineStr">
        <is>
          <t>BAISISI</t>
        </is>
      </c>
      <c r="AK247" t="n">
        <v>21</v>
      </c>
      <c r="AL247" t="inlineStr">
        <is>
          <t>Miss Glam Damar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BAISISI</t>
        </is>
      </c>
      <c r="B248" s="2">
        <f>"50100452411"</f>
        <v/>
      </c>
      <c r="C248" t="inlineStr">
        <is>
          <t>BAISISI Bulu Mata Palsu Z11 Bulumata Korean + Glue</t>
        </is>
      </c>
      <c r="D248" t="inlineStr">
        <is>
          <t>Miss Glam Damar</t>
        </is>
      </c>
      <c r="E248" t="n">
        <v>4</v>
      </c>
      <c r="F248" t="n">
        <v>0.03</v>
      </c>
      <c r="G248" t="n">
        <v>1</v>
      </c>
      <c r="H248" t="n">
        <v>4</v>
      </c>
      <c r="I248" t="n">
        <v>21</v>
      </c>
      <c r="J248" t="n">
        <v>1</v>
      </c>
      <c r="K248" t="n">
        <v>0</v>
      </c>
      <c r="L248" t="n">
        <v>55002</v>
      </c>
      <c r="M248" t="n">
        <v>76500</v>
      </c>
      <c r="N248" t="n">
        <v>91</v>
      </c>
      <c r="O248" t="n">
        <v>0.91</v>
      </c>
      <c r="P248" t="n">
        <v>0</v>
      </c>
      <c r="Q248" t="n">
        <v>0.03</v>
      </c>
      <c r="R248" t="n">
        <v>1</v>
      </c>
      <c r="S248" t="n">
        <v>2295</v>
      </c>
      <c r="T248" t="n">
        <v>21</v>
      </c>
      <c r="U248" t="n">
        <v>22</v>
      </c>
      <c r="V248" t="n">
        <v>30</v>
      </c>
      <c r="W248" t="n">
        <v>1</v>
      </c>
      <c r="X248" t="n">
        <v>133.3333333333333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3255</v>
      </c>
      <c r="AG248" t="n">
        <v>1</v>
      </c>
      <c r="AH248" t="inlineStr">
        <is>
          <t>PT. BERSAMA DISTRIVERSA INDONESIA (DC CIPUTAT)</t>
        </is>
      </c>
      <c r="AI248" t="n">
        <v>2292</v>
      </c>
      <c r="AJ248" t="inlineStr">
        <is>
          <t>BAISISI</t>
        </is>
      </c>
      <c r="AK248" t="n">
        <v>21</v>
      </c>
      <c r="AL248" t="inlineStr">
        <is>
          <t>Miss Glam Damar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BAISISI</t>
        </is>
      </c>
      <c r="B249" s="2">
        <f>"50100452544"</f>
        <v/>
      </c>
      <c r="C249" t="inlineStr">
        <is>
          <t>BAISISI Bulu Mata Palsu Z12 Bulumata Korean + Glue</t>
        </is>
      </c>
      <c r="D249" t="inlineStr">
        <is>
          <t>Miss Glam Damar</t>
        </is>
      </c>
      <c r="E249" t="n">
        <v>5</v>
      </c>
      <c r="F249" t="n">
        <v>0.0182</v>
      </c>
      <c r="G249" t="n">
        <v>0</v>
      </c>
      <c r="H249" t="n">
        <v>4</v>
      </c>
      <c r="I249" t="n">
        <v>21</v>
      </c>
      <c r="J249" t="n">
        <v>1</v>
      </c>
      <c r="K249" t="n">
        <v>0</v>
      </c>
      <c r="L249" t="n">
        <v>55002</v>
      </c>
      <c r="M249" t="n">
        <v>76500</v>
      </c>
      <c r="N249" t="n">
        <v>91</v>
      </c>
      <c r="O249" t="n">
        <v>0.91</v>
      </c>
      <c r="P249" t="n">
        <v>1</v>
      </c>
      <c r="Q249" t="n">
        <v>0.02</v>
      </c>
      <c r="R249" t="n">
        <v>1</v>
      </c>
      <c r="S249" t="n">
        <v>1392.3</v>
      </c>
      <c r="T249" t="n">
        <v>0</v>
      </c>
      <c r="U249" t="n">
        <v>1</v>
      </c>
      <c r="V249" t="n">
        <v>30</v>
      </c>
      <c r="W249" t="n">
        <v>1</v>
      </c>
      <c r="X249" t="n">
        <v>274.7252747252747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3255</v>
      </c>
      <c r="AG249" t="n">
        <v>1</v>
      </c>
      <c r="AH249" t="inlineStr">
        <is>
          <t>PT. BERSAMA DISTRIVERSA INDONESIA (DC CIPUTAT)</t>
        </is>
      </c>
      <c r="AI249" t="n">
        <v>2292</v>
      </c>
      <c r="AJ249" t="inlineStr">
        <is>
          <t>BAISISI</t>
        </is>
      </c>
      <c r="AK249" t="n">
        <v>21</v>
      </c>
      <c r="AL249" t="inlineStr">
        <is>
          <t>Miss Glam Damar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BANANA BOAT</t>
        </is>
      </c>
      <c r="B250" s="2">
        <f>"079656649567"</f>
        <v/>
      </c>
      <c r="C250" t="inlineStr">
        <is>
          <t>BANANA BOAT Sport Spf 50 90ml</t>
        </is>
      </c>
      <c r="D250" t="inlineStr">
        <is>
          <t>Miss Glam Damar</t>
        </is>
      </c>
      <c r="E250" t="n">
        <v>5</v>
      </c>
      <c r="F250" t="n">
        <v>0.02</v>
      </c>
      <c r="G250" t="n">
        <v>1</v>
      </c>
      <c r="H250" t="n">
        <v>3</v>
      </c>
      <c r="I250" t="n">
        <v>5</v>
      </c>
      <c r="J250" t="n">
        <v>3</v>
      </c>
      <c r="K250" t="n">
        <v>0</v>
      </c>
      <c r="L250" t="n">
        <v>164049</v>
      </c>
      <c r="M250" t="n">
        <v>200000</v>
      </c>
      <c r="N250" t="n">
        <v>91</v>
      </c>
      <c r="O250" t="n">
        <v>0.91</v>
      </c>
      <c r="P250" t="n">
        <v>0</v>
      </c>
      <c r="Q250" t="n">
        <v>0.02</v>
      </c>
      <c r="R250" t="n">
        <v>1</v>
      </c>
      <c r="S250" t="n">
        <v>4000</v>
      </c>
      <c r="T250" t="n">
        <v>5</v>
      </c>
      <c r="U250" t="n">
        <v>6</v>
      </c>
      <c r="V250" t="n">
        <v>30</v>
      </c>
      <c r="W250" t="n">
        <v>1</v>
      </c>
      <c r="X250" t="n">
        <v>250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11243</v>
      </c>
      <c r="AG250" t="n">
        <v>425</v>
      </c>
      <c r="AH250" t="inlineStr">
        <is>
          <t>PT. NATRACO SPICES INDONESIA - PPN (PDG)</t>
        </is>
      </c>
      <c r="AI250" t="n">
        <v>419</v>
      </c>
      <c r="AJ250" t="inlineStr">
        <is>
          <t>BANANA BOAT</t>
        </is>
      </c>
      <c r="AK250" t="n">
        <v>21</v>
      </c>
      <c r="AL250" t="inlineStr">
        <is>
          <t>Miss Glam Damar</t>
        </is>
      </c>
      <c r="AM250" t="n">
        <v>5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BANANA BOAT</t>
        </is>
      </c>
      <c r="B251" s="2">
        <f>"10400311043"</f>
        <v/>
      </c>
      <c r="C251" t="inlineStr">
        <is>
          <t>BANANA BOAT Sport Ultra Sunscreen Lotion SPF 50+ PA++++ 90ml</t>
        </is>
      </c>
      <c r="D251" t="inlineStr">
        <is>
          <t>Miss Glam Damar</t>
        </is>
      </c>
      <c r="E251" t="n">
        <v>2</v>
      </c>
      <c r="F251" t="n">
        <v>0.02</v>
      </c>
      <c r="G251" t="n">
        <v>1</v>
      </c>
      <c r="H251" t="n">
        <v>3</v>
      </c>
      <c r="I251" t="n">
        <v>5</v>
      </c>
      <c r="J251" t="n">
        <v>1</v>
      </c>
      <c r="K251" t="n">
        <v>0</v>
      </c>
      <c r="L251" t="n">
        <v>215899</v>
      </c>
      <c r="M251" t="n">
        <v>254000</v>
      </c>
      <c r="N251" t="n">
        <v>91</v>
      </c>
      <c r="O251" t="n">
        <v>0.91</v>
      </c>
      <c r="P251" t="n">
        <v>0</v>
      </c>
      <c r="Q251" t="n">
        <v>0.02</v>
      </c>
      <c r="R251" t="n">
        <v>1</v>
      </c>
      <c r="S251" t="n">
        <v>5080</v>
      </c>
      <c r="T251" t="n">
        <v>5</v>
      </c>
      <c r="U251" t="n">
        <v>6</v>
      </c>
      <c r="V251" t="n">
        <v>30</v>
      </c>
      <c r="W251" t="n">
        <v>1</v>
      </c>
      <c r="X251" t="n">
        <v>100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11243</v>
      </c>
      <c r="AG251" t="n">
        <v>425</v>
      </c>
      <c r="AH251" t="inlineStr">
        <is>
          <t>PT. NATRACO SPICES INDONESIA - PPN (PDG)</t>
        </is>
      </c>
      <c r="AI251" t="n">
        <v>419</v>
      </c>
      <c r="AJ251" t="inlineStr">
        <is>
          <t>BANANA BOAT</t>
        </is>
      </c>
      <c r="AK251" t="n">
        <v>21</v>
      </c>
      <c r="AL251" t="inlineStr">
        <is>
          <t>Miss Glam Damar</t>
        </is>
      </c>
      <c r="AM251" t="n">
        <v>5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BARBARA WALDEN</t>
        </is>
      </c>
      <c r="B252" s="2">
        <f>"8999338187878"</f>
        <v/>
      </c>
      <c r="C252" t="inlineStr">
        <is>
          <t>BARBARA WALDEN Fashion Styling Hair Spray 150ml</t>
        </is>
      </c>
      <c r="D252" t="inlineStr">
        <is>
          <t>Miss Glam Damar</t>
        </is>
      </c>
      <c r="E252" t="n">
        <v>5</v>
      </c>
      <c r="F252" t="n">
        <v>0.8008000000000001</v>
      </c>
      <c r="G252" t="n">
        <v>2.73</v>
      </c>
      <c r="H252" t="n">
        <v>2</v>
      </c>
      <c r="I252" t="n">
        <v>11</v>
      </c>
      <c r="J252" t="n">
        <v>6</v>
      </c>
      <c r="K252" t="n">
        <v>0</v>
      </c>
      <c r="L252" t="n">
        <v>26521</v>
      </c>
      <c r="M252" t="n">
        <v>31500</v>
      </c>
      <c r="N252" t="n">
        <v>91</v>
      </c>
      <c r="O252" t="n">
        <v>0.91</v>
      </c>
      <c r="P252" t="n">
        <v>1</v>
      </c>
      <c r="Q252" t="n">
        <v>0.44</v>
      </c>
      <c r="R252" t="n">
        <v>2</v>
      </c>
      <c r="S252" t="n">
        <v>25225.2</v>
      </c>
      <c r="T252" t="n">
        <v>29</v>
      </c>
      <c r="U252" t="n">
        <v>31</v>
      </c>
      <c r="V252" t="n">
        <v>30</v>
      </c>
      <c r="W252" t="n">
        <v>25</v>
      </c>
      <c r="X252" t="n">
        <v>6.243756243756243</v>
      </c>
      <c r="Y252" t="n">
        <v>1</v>
      </c>
      <c r="Z252" t="n">
        <v>20</v>
      </c>
      <c r="AA252" t="n">
        <v>4</v>
      </c>
      <c r="AB252" t="n">
        <v>16</v>
      </c>
      <c r="AC252" t="n">
        <v>16</v>
      </c>
      <c r="AD252" t="n">
        <v>106084</v>
      </c>
      <c r="AE252" t="n">
        <v>424336</v>
      </c>
      <c r="AF252" t="n">
        <v>12317</v>
      </c>
      <c r="AG252" t="n">
        <v>92</v>
      </c>
      <c r="AH252" t="inlineStr">
        <is>
          <t>PT. SAI (PDG)</t>
        </is>
      </c>
      <c r="AI252" t="n">
        <v>1499</v>
      </c>
      <c r="AJ252" t="inlineStr">
        <is>
          <t>BARBARA WALDEN</t>
        </is>
      </c>
      <c r="AK252" t="n">
        <v>21</v>
      </c>
      <c r="AL252" t="inlineStr">
        <is>
          <t>Miss Glam Damar</t>
        </is>
      </c>
      <c r="AM252" t="n">
        <v>2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BARBARA WALDEN</t>
        </is>
      </c>
      <c r="B253" s="2">
        <f>"8999338188882"</f>
        <v/>
      </c>
      <c r="C253" t="inlineStr">
        <is>
          <t>BARBARA WALDEN Fashion Styling Hair Spray 168ml</t>
        </is>
      </c>
      <c r="D253" t="inlineStr">
        <is>
          <t>Miss Glam Damar</t>
        </is>
      </c>
      <c r="E253" t="n">
        <v>10</v>
      </c>
      <c r="F253" t="n">
        <v>0.1547</v>
      </c>
      <c r="G253" t="n">
        <v>0.91</v>
      </c>
      <c r="H253" t="n">
        <v>2</v>
      </c>
      <c r="I253" t="n">
        <v>11</v>
      </c>
      <c r="J253" t="n">
        <v>3</v>
      </c>
      <c r="K253" t="n">
        <v>0</v>
      </c>
      <c r="L253" t="n">
        <v>34041</v>
      </c>
      <c r="M253" t="n">
        <v>40500</v>
      </c>
      <c r="N253" t="n">
        <v>91</v>
      </c>
      <c r="O253" t="n">
        <v>0.91</v>
      </c>
      <c r="P253" t="n">
        <v>1</v>
      </c>
      <c r="Q253" t="n">
        <v>0.2</v>
      </c>
      <c r="R253" t="n">
        <v>2</v>
      </c>
      <c r="S253" t="n">
        <v>6265.35</v>
      </c>
      <c r="T253" t="n">
        <v>10</v>
      </c>
      <c r="U253" t="n">
        <v>11</v>
      </c>
      <c r="V253" t="n">
        <v>30</v>
      </c>
      <c r="W253" t="n">
        <v>5</v>
      </c>
      <c r="X253" t="n">
        <v>64.64124111182934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12317</v>
      </c>
      <c r="AG253" t="n">
        <v>92</v>
      </c>
      <c r="AH253" t="inlineStr">
        <is>
          <t>PT. SAI (PDG)</t>
        </is>
      </c>
      <c r="AI253" t="n">
        <v>1499</v>
      </c>
      <c r="AJ253" t="inlineStr">
        <is>
          <t>BARBARA WALDEN</t>
        </is>
      </c>
      <c r="AK253" t="n">
        <v>21</v>
      </c>
      <c r="AL253" t="inlineStr">
        <is>
          <t>Miss Glam Damar</t>
        </is>
      </c>
      <c r="AM253" t="n">
        <v>2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BARBARA WALDEN</t>
        </is>
      </c>
      <c r="B254" s="2">
        <f>"8999338169997"</f>
        <v/>
      </c>
      <c r="C254" t="inlineStr">
        <is>
          <t>BARBARA WALDEN Fashion Styling Hair Spray 180ml</t>
        </is>
      </c>
      <c r="D254" t="inlineStr">
        <is>
          <t>Miss Glam Damar</t>
        </is>
      </c>
      <c r="E254" t="n">
        <v>6</v>
      </c>
      <c r="F254" t="n">
        <v>0.0273</v>
      </c>
      <c r="G254" t="n">
        <v>0.91</v>
      </c>
      <c r="H254" t="n">
        <v>2</v>
      </c>
      <c r="I254" t="n">
        <v>11</v>
      </c>
      <c r="J254" t="n">
        <v>3</v>
      </c>
      <c r="K254" t="n">
        <v>0</v>
      </c>
      <c r="L254" t="n">
        <v>35625</v>
      </c>
      <c r="M254" t="n">
        <v>42000</v>
      </c>
      <c r="N254" t="n">
        <v>91</v>
      </c>
      <c r="O254" t="n">
        <v>0.91</v>
      </c>
      <c r="P254" t="n">
        <v>1</v>
      </c>
      <c r="Q254" t="n">
        <v>0.05</v>
      </c>
      <c r="R254" t="n">
        <v>1</v>
      </c>
      <c r="S254" t="n">
        <v>1146.6</v>
      </c>
      <c r="T254" t="n">
        <v>10</v>
      </c>
      <c r="U254" t="n">
        <v>11</v>
      </c>
      <c r="V254" t="n">
        <v>30</v>
      </c>
      <c r="W254" t="n">
        <v>1</v>
      </c>
      <c r="X254" t="n">
        <v>219.7802197802198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12317</v>
      </c>
      <c r="AG254" t="n">
        <v>92</v>
      </c>
      <c r="AH254" t="inlineStr">
        <is>
          <t>PT. SAI (PDG)</t>
        </is>
      </c>
      <c r="AI254" t="n">
        <v>1499</v>
      </c>
      <c r="AJ254" t="inlineStr">
        <is>
          <t>BARBARA WALDEN</t>
        </is>
      </c>
      <c r="AK254" t="n">
        <v>21</v>
      </c>
      <c r="AL254" t="inlineStr">
        <is>
          <t>Miss Glam Damar</t>
        </is>
      </c>
      <c r="AM254" t="n">
        <v>2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BARBARA WALDEN</t>
        </is>
      </c>
      <c r="B255" s="2">
        <f>"8999338288872"</f>
        <v/>
      </c>
      <c r="C255" t="inlineStr">
        <is>
          <t>BARBARA WALDEN Fashion Styling Hair Spray Black 280ml</t>
        </is>
      </c>
      <c r="D255" t="inlineStr">
        <is>
          <t>Miss Glam Damar</t>
        </is>
      </c>
      <c r="E255" t="n">
        <v>6</v>
      </c>
      <c r="F255" t="n">
        <v>0.1274</v>
      </c>
      <c r="G255" t="n">
        <v>1.82</v>
      </c>
      <c r="H255" t="n">
        <v>2</v>
      </c>
      <c r="I255" t="n">
        <v>11</v>
      </c>
      <c r="J255" t="n">
        <v>3</v>
      </c>
      <c r="K255" t="n">
        <v>0</v>
      </c>
      <c r="L255" t="n">
        <v>36813</v>
      </c>
      <c r="M255" t="n">
        <v>43500</v>
      </c>
      <c r="N255" t="n">
        <v>91</v>
      </c>
      <c r="O255" t="n">
        <v>0.91</v>
      </c>
      <c r="P255" t="n">
        <v>1</v>
      </c>
      <c r="Q255" t="n">
        <v>0.05</v>
      </c>
      <c r="R255" t="n">
        <v>2</v>
      </c>
      <c r="S255" t="n">
        <v>5541.900000000001</v>
      </c>
      <c r="T255" t="n">
        <v>20</v>
      </c>
      <c r="U255" t="n">
        <v>21</v>
      </c>
      <c r="V255" t="n">
        <v>30</v>
      </c>
      <c r="W255" t="n">
        <v>4</v>
      </c>
      <c r="X255" t="n">
        <v>47.09576138147566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12317</v>
      </c>
      <c r="AG255" t="n">
        <v>92</v>
      </c>
      <c r="AH255" t="inlineStr">
        <is>
          <t>PT. SAI (PDG)</t>
        </is>
      </c>
      <c r="AI255" t="n">
        <v>1499</v>
      </c>
      <c r="AJ255" t="inlineStr">
        <is>
          <t>BARBARA WALDEN</t>
        </is>
      </c>
      <c r="AK255" t="n">
        <v>21</v>
      </c>
      <c r="AL255" t="inlineStr">
        <is>
          <t>Miss Glam Damar</t>
        </is>
      </c>
      <c r="AM255" t="n">
        <v>2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BARBARA WALDEN</t>
        </is>
      </c>
      <c r="B256" s="2">
        <f>"8999338278897"</f>
        <v/>
      </c>
      <c r="C256" t="inlineStr">
        <is>
          <t>BARBARA WALDEN Fashion Styling Hair Spray Pink 280ml</t>
        </is>
      </c>
      <c r="D256" t="inlineStr">
        <is>
          <t>Miss Glam Damar</t>
        </is>
      </c>
      <c r="E256" t="n">
        <v>6</v>
      </c>
      <c r="F256" t="n">
        <v>0.1547</v>
      </c>
      <c r="G256" t="n">
        <v>0.91</v>
      </c>
      <c r="H256" t="n">
        <v>2</v>
      </c>
      <c r="I256" t="n">
        <v>11</v>
      </c>
      <c r="J256" t="n">
        <v>6</v>
      </c>
      <c r="K256" t="n">
        <v>0</v>
      </c>
      <c r="L256" t="n">
        <v>36813</v>
      </c>
      <c r="M256" t="n">
        <v>43500</v>
      </c>
      <c r="N256" t="n">
        <v>91</v>
      </c>
      <c r="O256" t="n">
        <v>0.91</v>
      </c>
      <c r="P256" t="n">
        <v>1</v>
      </c>
      <c r="Q256" t="n">
        <v>0.32</v>
      </c>
      <c r="R256" t="n">
        <v>3</v>
      </c>
      <c r="S256" t="n">
        <v>6729.45</v>
      </c>
      <c r="T256" t="n">
        <v>10</v>
      </c>
      <c r="U256" t="n">
        <v>11</v>
      </c>
      <c r="V256" t="n">
        <v>30</v>
      </c>
      <c r="W256" t="n">
        <v>5</v>
      </c>
      <c r="X256" t="n">
        <v>38.78474466709761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12317</v>
      </c>
      <c r="AG256" t="n">
        <v>92</v>
      </c>
      <c r="AH256" t="inlineStr">
        <is>
          <t>PT. SAI (PDG)</t>
        </is>
      </c>
      <c r="AI256" t="n">
        <v>1499</v>
      </c>
      <c r="AJ256" t="inlineStr">
        <is>
          <t>BARBARA WALDEN</t>
        </is>
      </c>
      <c r="AK256" t="n">
        <v>21</v>
      </c>
      <c r="AL256" t="inlineStr">
        <is>
          <t>Miss Glam Damar</t>
        </is>
      </c>
      <c r="AM256" t="n">
        <v>2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BARBARA WALDEN</t>
        </is>
      </c>
      <c r="B257" s="2">
        <f>"8999338169881"</f>
        <v/>
      </c>
      <c r="C257" t="inlineStr">
        <is>
          <t>BARBARA WALDEN Mousse Coiffante Hair Spray 180ml</t>
        </is>
      </c>
      <c r="D257" t="inlineStr">
        <is>
          <t>Miss Glam Damar</t>
        </is>
      </c>
      <c r="E257" t="n">
        <v>2</v>
      </c>
      <c r="F257" t="n">
        <v>0.0728</v>
      </c>
      <c r="G257" t="n">
        <v>0.91</v>
      </c>
      <c r="H257" t="n">
        <v>2</v>
      </c>
      <c r="I257" t="n">
        <v>11</v>
      </c>
      <c r="J257" t="n">
        <v>3</v>
      </c>
      <c r="K257" t="n">
        <v>0</v>
      </c>
      <c r="L257" t="n">
        <v>35625</v>
      </c>
      <c r="M257" t="n">
        <v>42000</v>
      </c>
      <c r="N257" t="n">
        <v>91</v>
      </c>
      <c r="O257" t="n">
        <v>0.91</v>
      </c>
      <c r="P257" t="n">
        <v>1</v>
      </c>
      <c r="Q257" t="n">
        <v>0.07000000000000001</v>
      </c>
      <c r="R257" t="n">
        <v>1</v>
      </c>
      <c r="S257" t="n">
        <v>3057.6</v>
      </c>
      <c r="T257" t="n">
        <v>10</v>
      </c>
      <c r="U257" t="n">
        <v>11</v>
      </c>
      <c r="V257" t="n">
        <v>30</v>
      </c>
      <c r="W257" t="n">
        <v>3</v>
      </c>
      <c r="X257" t="n">
        <v>27.47252747252747</v>
      </c>
      <c r="Y257" t="n">
        <v>1</v>
      </c>
      <c r="Z257" t="n">
        <v>1</v>
      </c>
      <c r="AA257" t="n">
        <v>0</v>
      </c>
      <c r="AB257" t="n">
        <v>1</v>
      </c>
      <c r="AC257" t="n">
        <v>3</v>
      </c>
      <c r="AD257" t="n">
        <v>0</v>
      </c>
      <c r="AE257" t="n">
        <v>106875</v>
      </c>
      <c r="AF257" t="n">
        <v>12317</v>
      </c>
      <c r="AG257" t="n">
        <v>92</v>
      </c>
      <c r="AH257" t="inlineStr">
        <is>
          <t>PT. SAI (PDG)</t>
        </is>
      </c>
      <c r="AI257" t="n">
        <v>1499</v>
      </c>
      <c r="AJ257" t="inlineStr">
        <is>
          <t>BARBARA WALDEN</t>
        </is>
      </c>
      <c r="AK257" t="n">
        <v>21</v>
      </c>
      <c r="AL257" t="inlineStr">
        <is>
          <t>Miss Glam Damar</t>
        </is>
      </c>
      <c r="AM257" t="n">
        <v>2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BARBARA WALDEN</t>
        </is>
      </c>
      <c r="B258" s="2">
        <f>"8999338166767"</f>
        <v/>
      </c>
      <c r="C258" t="inlineStr">
        <is>
          <t>BARBARA WALDEN Mousse With Conditioner 240ml</t>
        </is>
      </c>
      <c r="D258" t="inlineStr">
        <is>
          <t>Miss Glam Damar</t>
        </is>
      </c>
      <c r="E258" t="n">
        <v>8</v>
      </c>
      <c r="F258" t="n">
        <v>0.09100000000000001</v>
      </c>
      <c r="G258" t="n">
        <v>0.91</v>
      </c>
      <c r="H258" t="n">
        <v>2</v>
      </c>
      <c r="I258" t="n">
        <v>11</v>
      </c>
      <c r="J258" t="n">
        <v>3</v>
      </c>
      <c r="K258" t="n">
        <v>0</v>
      </c>
      <c r="L258" t="n">
        <v>36654</v>
      </c>
      <c r="M258" t="n">
        <v>43500</v>
      </c>
      <c r="N258" t="n">
        <v>91</v>
      </c>
      <c r="O258" t="n">
        <v>0.91</v>
      </c>
      <c r="P258" t="n">
        <v>1</v>
      </c>
      <c r="Q258" t="n">
        <v>0.22</v>
      </c>
      <c r="R258" t="n">
        <v>1</v>
      </c>
      <c r="S258" t="n">
        <v>3958.5</v>
      </c>
      <c r="T258" t="n">
        <v>10</v>
      </c>
      <c r="U258" t="n">
        <v>11</v>
      </c>
      <c r="V258" t="n">
        <v>30</v>
      </c>
      <c r="W258" t="n">
        <v>3</v>
      </c>
      <c r="X258" t="n">
        <v>87.9120879120879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12317</v>
      </c>
      <c r="AG258" t="n">
        <v>92</v>
      </c>
      <c r="AH258" t="inlineStr">
        <is>
          <t>PT. SAI (PDG)</t>
        </is>
      </c>
      <c r="AI258" t="n">
        <v>1499</v>
      </c>
      <c r="AJ258" t="inlineStr">
        <is>
          <t>BARBARA WALDEN</t>
        </is>
      </c>
      <c r="AK258" t="n">
        <v>21</v>
      </c>
      <c r="AL258" t="inlineStr">
        <is>
          <t>Miss Glam Damar</t>
        </is>
      </c>
      <c r="AM258" t="n">
        <v>2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BARBARA WALDEN</t>
        </is>
      </c>
      <c r="B259" s="2">
        <f>"8999338196788"</f>
        <v/>
      </c>
      <c r="C259" t="inlineStr">
        <is>
          <t>BARBARA WALDEN Non Aerosol Hair Spray 168ml</t>
        </is>
      </c>
      <c r="D259" t="inlineStr">
        <is>
          <t>Miss Glam Damar</t>
        </is>
      </c>
      <c r="E259" t="n">
        <v>14</v>
      </c>
      <c r="F259" t="n">
        <v>0.4914000000000001</v>
      </c>
      <c r="G259" t="n">
        <v>2.73</v>
      </c>
      <c r="H259" t="n">
        <v>2</v>
      </c>
      <c r="I259" t="n">
        <v>11</v>
      </c>
      <c r="J259" t="n">
        <v>3</v>
      </c>
      <c r="K259" t="n">
        <v>0</v>
      </c>
      <c r="L259" t="n">
        <v>34041</v>
      </c>
      <c r="M259" t="n">
        <v>40500</v>
      </c>
      <c r="N259" t="n">
        <v>91</v>
      </c>
      <c r="O259" t="n">
        <v>0.91</v>
      </c>
      <c r="P259" t="n">
        <v>1</v>
      </c>
      <c r="Q259" t="n">
        <v>0.47</v>
      </c>
      <c r="R259" t="n">
        <v>6</v>
      </c>
      <c r="S259" t="n">
        <v>19901.7</v>
      </c>
      <c r="T259" t="n">
        <v>30</v>
      </c>
      <c r="U259" t="n">
        <v>31</v>
      </c>
      <c r="V259" t="n">
        <v>30</v>
      </c>
      <c r="W259" t="n">
        <v>15</v>
      </c>
      <c r="X259" t="n">
        <v>28.49002849002849</v>
      </c>
      <c r="Y259" t="n">
        <v>1</v>
      </c>
      <c r="Z259" t="n">
        <v>1</v>
      </c>
      <c r="AA259" t="n">
        <v>0</v>
      </c>
      <c r="AB259" t="n">
        <v>1</v>
      </c>
      <c r="AC259" t="n">
        <v>3</v>
      </c>
      <c r="AD259" t="n">
        <v>0</v>
      </c>
      <c r="AE259" t="n">
        <v>102123</v>
      </c>
      <c r="AF259" t="n">
        <v>12317</v>
      </c>
      <c r="AG259" t="n">
        <v>92</v>
      </c>
      <c r="AH259" t="inlineStr">
        <is>
          <t>PT. SAI (PDG)</t>
        </is>
      </c>
      <c r="AI259" t="n">
        <v>1499</v>
      </c>
      <c r="AJ259" t="inlineStr">
        <is>
          <t>BARBARA WALDEN</t>
        </is>
      </c>
      <c r="AK259" t="n">
        <v>21</v>
      </c>
      <c r="AL259" t="inlineStr">
        <is>
          <t>Miss Glam Damar</t>
        </is>
      </c>
      <c r="AM259" t="n">
        <v>2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BARBER DAILY</t>
        </is>
      </c>
      <c r="B260" s="2">
        <f>"40200407630"</f>
        <v/>
      </c>
      <c r="C260" t="inlineStr">
        <is>
          <t>BARBER DAILY 2 in 1 Hair Tonic Bottle 140ml</t>
        </is>
      </c>
      <c r="D260" t="inlineStr">
        <is>
          <t>Miss Glam Damar</t>
        </is>
      </c>
      <c r="E260" t="n">
        <v>0</v>
      </c>
      <c r="F260" t="n">
        <v>0.2275</v>
      </c>
      <c r="G260" t="n">
        <v>1.82</v>
      </c>
      <c r="H260" t="n">
        <v>6</v>
      </c>
      <c r="I260" t="n">
        <v>11</v>
      </c>
      <c r="J260" t="n">
        <v>1</v>
      </c>
      <c r="K260" t="n">
        <v>0</v>
      </c>
      <c r="L260" t="n">
        <v>52379</v>
      </c>
      <c r="M260" t="n">
        <v>62000</v>
      </c>
      <c r="N260" t="n">
        <v>91</v>
      </c>
      <c r="O260" t="n">
        <v>0.91</v>
      </c>
      <c r="P260" t="n">
        <v>1</v>
      </c>
      <c r="Q260" t="n">
        <v>0.24</v>
      </c>
      <c r="R260" t="n">
        <v>2</v>
      </c>
      <c r="S260" t="n">
        <v>14105</v>
      </c>
      <c r="T260" t="n">
        <v>19</v>
      </c>
      <c r="U260" t="n">
        <v>21</v>
      </c>
      <c r="V260" t="n">
        <v>30</v>
      </c>
      <c r="W260" t="n">
        <v>7</v>
      </c>
      <c r="X260" t="n">
        <v>0</v>
      </c>
      <c r="Y260" t="n">
        <v>1</v>
      </c>
      <c r="Z260" t="n">
        <v>7</v>
      </c>
      <c r="AA260" t="n">
        <v>3</v>
      </c>
      <c r="AB260" t="n">
        <v>4</v>
      </c>
      <c r="AC260" t="n">
        <v>4</v>
      </c>
      <c r="AD260" t="n">
        <v>157137</v>
      </c>
      <c r="AE260" t="n">
        <v>209516</v>
      </c>
      <c r="AF260" t="n">
        <v>2285</v>
      </c>
      <c r="AG260" t="n">
        <v>2034</v>
      </c>
      <c r="AH260" t="inlineStr">
        <is>
          <t>PT. AKASHA WIRA INTERNATIONAL TBK  - PPN (PKU)</t>
        </is>
      </c>
      <c r="AI260" t="n">
        <v>2392</v>
      </c>
      <c r="AJ260" t="inlineStr">
        <is>
          <t>BARBER DAILY</t>
        </is>
      </c>
      <c r="AK260" t="n">
        <v>21</v>
      </c>
      <c r="AL260" t="inlineStr">
        <is>
          <t>Miss Glam Damar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BARBER DAILY</t>
        </is>
      </c>
      <c r="B261" s="2">
        <f>"11000315030"</f>
        <v/>
      </c>
      <c r="C261" t="inlineStr">
        <is>
          <t>BARBER DAILY 4 in 1 Hair and Body Wash Bottle 220</t>
        </is>
      </c>
      <c r="D261" t="inlineStr">
        <is>
          <t>Miss Glam Damar</t>
        </is>
      </c>
      <c r="E261" t="n">
        <v>1</v>
      </c>
      <c r="F261" t="n">
        <v>0.3367</v>
      </c>
      <c r="G261" t="n">
        <v>1.82</v>
      </c>
      <c r="H261" t="n">
        <v>6</v>
      </c>
      <c r="I261" t="n">
        <v>11</v>
      </c>
      <c r="J261" t="n">
        <v>1</v>
      </c>
      <c r="K261" t="n">
        <v>0</v>
      </c>
      <c r="L261" t="n">
        <v>26674</v>
      </c>
      <c r="M261" t="n">
        <v>33000</v>
      </c>
      <c r="N261" t="n">
        <v>91</v>
      </c>
      <c r="O261" t="n">
        <v>0.91</v>
      </c>
      <c r="P261" t="n">
        <v>1</v>
      </c>
      <c r="Q261" t="n">
        <v>0.19</v>
      </c>
      <c r="R261" t="n">
        <v>2</v>
      </c>
      <c r="S261" t="n">
        <v>11111.1</v>
      </c>
      <c r="T261" t="n">
        <v>18</v>
      </c>
      <c r="U261" t="n">
        <v>21</v>
      </c>
      <c r="V261" t="n">
        <v>30</v>
      </c>
      <c r="W261" t="n">
        <v>11</v>
      </c>
      <c r="X261" t="n">
        <v>2.97000297000297</v>
      </c>
      <c r="Y261" t="n">
        <v>1</v>
      </c>
      <c r="Z261" t="n">
        <v>10</v>
      </c>
      <c r="AA261" t="n">
        <v>3</v>
      </c>
      <c r="AB261" t="n">
        <v>7</v>
      </c>
      <c r="AC261" t="n">
        <v>7</v>
      </c>
      <c r="AD261" t="n">
        <v>80022</v>
      </c>
      <c r="AE261" t="n">
        <v>186718</v>
      </c>
      <c r="AF261" t="n">
        <v>2285</v>
      </c>
      <c r="AG261" t="n">
        <v>2034</v>
      </c>
      <c r="AH261" t="inlineStr">
        <is>
          <t>PT. AKASHA WIRA INTERNATIONAL TBK  - PPN (PKU)</t>
        </is>
      </c>
      <c r="AI261" t="n">
        <v>2392</v>
      </c>
      <c r="AJ261" t="inlineStr">
        <is>
          <t>BARBER DAILY</t>
        </is>
      </c>
      <c r="AK261" t="n">
        <v>21</v>
      </c>
      <c r="AL261" t="inlineStr">
        <is>
          <t>Miss Glam Damar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BARBER DAILY</t>
        </is>
      </c>
      <c r="B262" s="2">
        <f>"101001112741"</f>
        <v/>
      </c>
      <c r="C262" t="inlineStr">
        <is>
          <t>BARBER DAILY Acne Care &amp; Oil Control Face Wash 100ml</t>
        </is>
      </c>
      <c r="D262" t="inlineStr">
        <is>
          <t>Miss Glam Damar</t>
        </is>
      </c>
      <c r="E262" t="n">
        <v>0</v>
      </c>
      <c r="F262" t="n">
        <v>2.1112</v>
      </c>
      <c r="G262" t="n">
        <v>7.28</v>
      </c>
      <c r="H262" t="n">
        <v>6</v>
      </c>
      <c r="I262" t="n">
        <v>11</v>
      </c>
      <c r="J262" t="n">
        <v>1</v>
      </c>
      <c r="K262" t="n">
        <v>0</v>
      </c>
      <c r="L262" t="n">
        <v>26189</v>
      </c>
      <c r="M262" t="n">
        <v>35100</v>
      </c>
      <c r="N262" t="n">
        <v>91</v>
      </c>
      <c r="O262" t="n">
        <v>0.91</v>
      </c>
      <c r="P262" t="n">
        <v>1</v>
      </c>
      <c r="Q262" t="n">
        <v>0.36</v>
      </c>
      <c r="R262" t="n">
        <v>4</v>
      </c>
      <c r="S262" t="n">
        <v>74103.12</v>
      </c>
      <c r="T262" t="n">
        <v>68</v>
      </c>
      <c r="U262" t="n">
        <v>81</v>
      </c>
      <c r="V262" t="n">
        <v>30</v>
      </c>
      <c r="W262" t="n">
        <v>64</v>
      </c>
      <c r="X262" t="n">
        <v>0</v>
      </c>
      <c r="Y262" t="n">
        <v>1</v>
      </c>
      <c r="Z262" t="n">
        <v>64</v>
      </c>
      <c r="AA262" t="n">
        <v>24</v>
      </c>
      <c r="AB262" t="n">
        <v>40</v>
      </c>
      <c r="AC262" t="n">
        <v>40</v>
      </c>
      <c r="AD262" t="n">
        <v>628536</v>
      </c>
      <c r="AE262" t="n">
        <v>1047560</v>
      </c>
      <c r="AF262" t="n">
        <v>2285</v>
      </c>
      <c r="AG262" t="n">
        <v>2034</v>
      </c>
      <c r="AH262" t="inlineStr">
        <is>
          <t>PT. AKASHA WIRA INTERNATIONAL TBK  - PPN (PKU)</t>
        </is>
      </c>
      <c r="AI262" t="n">
        <v>2392</v>
      </c>
      <c r="AJ262" t="inlineStr">
        <is>
          <t>BARBER DAILY</t>
        </is>
      </c>
      <c r="AK262" t="n">
        <v>21</v>
      </c>
      <c r="AL262" t="inlineStr">
        <is>
          <t>Miss Glam Damar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BARBER DAILY</t>
        </is>
      </c>
      <c r="B263" s="2">
        <f>"101001112837"</f>
        <v/>
      </c>
      <c r="C263" t="inlineStr">
        <is>
          <t>BARBER DAILY Bright Radiance Face Wash 100ml</t>
        </is>
      </c>
      <c r="D263" t="inlineStr">
        <is>
          <t>Miss Glam Damar</t>
        </is>
      </c>
      <c r="E263" t="n">
        <v>0</v>
      </c>
      <c r="F263" t="n">
        <v>1.4469</v>
      </c>
      <c r="G263" t="n">
        <v>6.37</v>
      </c>
      <c r="H263" t="n">
        <v>6</v>
      </c>
      <c r="I263" t="n">
        <v>11</v>
      </c>
      <c r="J263" t="n">
        <v>1</v>
      </c>
      <c r="K263" t="n">
        <v>0</v>
      </c>
      <c r="L263" t="n">
        <v>26190</v>
      </c>
      <c r="M263" t="n">
        <v>35100</v>
      </c>
      <c r="N263" t="n">
        <v>91</v>
      </c>
      <c r="O263" t="n">
        <v>0.91</v>
      </c>
      <c r="P263" t="n">
        <v>1</v>
      </c>
      <c r="Q263" t="n">
        <v>0.34</v>
      </c>
      <c r="R263" t="n">
        <v>4</v>
      </c>
      <c r="S263" t="n">
        <v>50786.19</v>
      </c>
      <c r="T263" t="n">
        <v>62</v>
      </c>
      <c r="U263" t="n">
        <v>71</v>
      </c>
      <c r="V263" t="n">
        <v>30</v>
      </c>
      <c r="W263" t="n">
        <v>44</v>
      </c>
      <c r="X263" t="n">
        <v>0</v>
      </c>
      <c r="Y263" t="n">
        <v>1</v>
      </c>
      <c r="Z263" t="n">
        <v>44</v>
      </c>
      <c r="AA263" t="n">
        <v>16</v>
      </c>
      <c r="AB263" t="n">
        <v>28</v>
      </c>
      <c r="AC263" t="n">
        <v>28</v>
      </c>
      <c r="AD263" t="n">
        <v>419040</v>
      </c>
      <c r="AE263" t="n">
        <v>733320</v>
      </c>
      <c r="AF263" t="n">
        <v>2285</v>
      </c>
      <c r="AG263" t="n">
        <v>2034</v>
      </c>
      <c r="AH263" t="inlineStr">
        <is>
          <t>PT. AKASHA WIRA INTERNATIONAL TBK  - PPN (PKU)</t>
        </is>
      </c>
      <c r="AI263" t="n">
        <v>2392</v>
      </c>
      <c r="AJ263" t="inlineStr">
        <is>
          <t>BARBER DAILY</t>
        </is>
      </c>
      <c r="AK263" t="n">
        <v>21</v>
      </c>
      <c r="AL263" t="inlineStr">
        <is>
          <t>Miss Glam Damar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BARBER DAILY</t>
        </is>
      </c>
      <c r="B264" s="2">
        <f>"11000315241"</f>
        <v/>
      </c>
      <c r="C264" t="inlineStr">
        <is>
          <t>BARBER DAILY Moisturizer Tube 50ml</t>
        </is>
      </c>
      <c r="D264" t="inlineStr">
        <is>
          <t>Miss Glam Damar</t>
        </is>
      </c>
      <c r="E264" t="n">
        <v>3</v>
      </c>
      <c r="F264" t="n">
        <v>0.3731</v>
      </c>
      <c r="G264" t="n">
        <v>2.73</v>
      </c>
      <c r="H264" t="n">
        <v>6</v>
      </c>
      <c r="I264" t="n">
        <v>11</v>
      </c>
      <c r="J264" t="n">
        <v>1</v>
      </c>
      <c r="K264" t="n">
        <v>0</v>
      </c>
      <c r="L264" t="n">
        <v>48499</v>
      </c>
      <c r="M264" t="n">
        <v>59500</v>
      </c>
      <c r="N264" t="n">
        <v>91</v>
      </c>
      <c r="O264" t="n">
        <v>0.91</v>
      </c>
      <c r="P264" t="n">
        <v>1</v>
      </c>
      <c r="Q264" t="n">
        <v>0.14</v>
      </c>
      <c r="R264" t="n">
        <v>4</v>
      </c>
      <c r="S264" t="n">
        <v>22199.45</v>
      </c>
      <c r="T264" t="n">
        <v>28</v>
      </c>
      <c r="U264" t="n">
        <v>31</v>
      </c>
      <c r="V264" t="n">
        <v>30</v>
      </c>
      <c r="W264" t="n">
        <v>12</v>
      </c>
      <c r="X264" t="n">
        <v>8.040739748056822</v>
      </c>
      <c r="Y264" t="n">
        <v>1</v>
      </c>
      <c r="Z264" t="n">
        <v>9</v>
      </c>
      <c r="AA264" t="n">
        <v>2</v>
      </c>
      <c r="AB264" t="n">
        <v>7</v>
      </c>
      <c r="AC264" t="n">
        <v>7</v>
      </c>
      <c r="AD264" t="n">
        <v>96998</v>
      </c>
      <c r="AE264" t="n">
        <v>339493</v>
      </c>
      <c r="AF264" t="n">
        <v>2285</v>
      </c>
      <c r="AG264" t="n">
        <v>2034</v>
      </c>
      <c r="AH264" t="inlineStr">
        <is>
          <t>PT. AKASHA WIRA INTERNATIONAL TBK  - PPN (PKU)</t>
        </is>
      </c>
      <c r="AI264" t="n">
        <v>2392</v>
      </c>
      <c r="AJ264" t="inlineStr">
        <is>
          <t>BARBER DAILY</t>
        </is>
      </c>
      <c r="AK264" t="n">
        <v>21</v>
      </c>
      <c r="AL264" t="inlineStr">
        <is>
          <t>Miss Glam Damar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BARBER DAILY</t>
        </is>
      </c>
      <c r="B265" s="2">
        <f>"11000314703"</f>
        <v/>
      </c>
      <c r="C265" t="inlineStr">
        <is>
          <t>BARBER DAILY Pomade Medium Compound Jar 120gr</t>
        </is>
      </c>
      <c r="D265" t="inlineStr">
        <is>
          <t>Miss Glam Damar</t>
        </is>
      </c>
      <c r="E265" t="n">
        <v>9</v>
      </c>
      <c r="F265" t="n">
        <v>0.06370000000000001</v>
      </c>
      <c r="G265" t="n">
        <v>0.91</v>
      </c>
      <c r="H265" t="n">
        <v>6</v>
      </c>
      <c r="I265" t="n">
        <v>11</v>
      </c>
      <c r="J265" t="n">
        <v>1</v>
      </c>
      <c r="K265" t="n">
        <v>0</v>
      </c>
      <c r="L265" t="n">
        <v>85359</v>
      </c>
      <c r="M265" t="n">
        <v>104500</v>
      </c>
      <c r="N265" t="n">
        <v>91</v>
      </c>
      <c r="O265" t="n">
        <v>0.91</v>
      </c>
      <c r="P265" t="n">
        <v>1</v>
      </c>
      <c r="Q265" t="n">
        <v>0.03</v>
      </c>
      <c r="R265" t="n">
        <v>1</v>
      </c>
      <c r="S265" t="n">
        <v>6656.650000000001</v>
      </c>
      <c r="T265" t="n">
        <v>10</v>
      </c>
      <c r="U265" t="n">
        <v>11</v>
      </c>
      <c r="V265" t="n">
        <v>30</v>
      </c>
      <c r="W265" t="n">
        <v>2</v>
      </c>
      <c r="X265" t="n">
        <v>141.287284144427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2285</v>
      </c>
      <c r="AG265" t="n">
        <v>2034</v>
      </c>
      <c r="AH265" t="inlineStr">
        <is>
          <t>PT. AKASHA WIRA INTERNATIONAL TBK  - PPN (PKU)</t>
        </is>
      </c>
      <c r="AI265" t="n">
        <v>2392</v>
      </c>
      <c r="AJ265" t="inlineStr">
        <is>
          <t>BARBER DAILY</t>
        </is>
      </c>
      <c r="AK265" t="n">
        <v>21</v>
      </c>
      <c r="AL265" t="inlineStr">
        <is>
          <t>Miss Glam Damar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BARBER DAILY</t>
        </is>
      </c>
      <c r="B266" s="2">
        <f>"11000315125"</f>
        <v/>
      </c>
      <c r="C266" t="inlineStr">
        <is>
          <t>BARBER DAILY Serum Bottle 40ml</t>
        </is>
      </c>
      <c r="D266" t="inlineStr">
        <is>
          <t>Miss Glam Damar</t>
        </is>
      </c>
      <c r="E266" t="n">
        <v>3</v>
      </c>
      <c r="F266" t="n">
        <v>0.2821</v>
      </c>
      <c r="G266" t="n">
        <v>2.73</v>
      </c>
      <c r="H266" t="n">
        <v>6</v>
      </c>
      <c r="I266" t="n">
        <v>11</v>
      </c>
      <c r="J266" t="n">
        <v>1</v>
      </c>
      <c r="K266" t="n">
        <v>0</v>
      </c>
      <c r="L266" t="n">
        <v>77599</v>
      </c>
      <c r="M266" t="n">
        <v>95000</v>
      </c>
      <c r="N266" t="n">
        <v>91</v>
      </c>
      <c r="O266" t="n">
        <v>0.91</v>
      </c>
      <c r="P266" t="n">
        <v>1</v>
      </c>
      <c r="Q266" t="n">
        <v>0.05</v>
      </c>
      <c r="R266" t="n">
        <v>1</v>
      </c>
      <c r="S266" t="n">
        <v>26799.5</v>
      </c>
      <c r="T266" t="n">
        <v>29</v>
      </c>
      <c r="U266" t="n">
        <v>31</v>
      </c>
      <c r="V266" t="n">
        <v>30</v>
      </c>
      <c r="W266" t="n">
        <v>9</v>
      </c>
      <c r="X266" t="n">
        <v>10.63452676355902</v>
      </c>
      <c r="Y266" t="n">
        <v>1</v>
      </c>
      <c r="Z266" t="n">
        <v>6</v>
      </c>
      <c r="AA266" t="n">
        <v>1</v>
      </c>
      <c r="AB266" t="n">
        <v>5</v>
      </c>
      <c r="AC266" t="n">
        <v>5</v>
      </c>
      <c r="AD266" t="n">
        <v>77599</v>
      </c>
      <c r="AE266" t="n">
        <v>387995</v>
      </c>
      <c r="AF266" t="n">
        <v>2285</v>
      </c>
      <c r="AG266" t="n">
        <v>2034</v>
      </c>
      <c r="AH266" t="inlineStr">
        <is>
          <t>PT. AKASHA WIRA INTERNATIONAL TBK  - PPN (PKU)</t>
        </is>
      </c>
      <c r="AI266" t="n">
        <v>2392</v>
      </c>
      <c r="AJ266" t="inlineStr">
        <is>
          <t>BARBER DAILY</t>
        </is>
      </c>
      <c r="AK266" t="n">
        <v>21</v>
      </c>
      <c r="AL266" t="inlineStr">
        <is>
          <t>Miss Glam Damar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BARBER DAILY</t>
        </is>
      </c>
      <c r="B267" s="2">
        <f>"11000314928"</f>
        <v/>
      </c>
      <c r="C267" t="inlineStr">
        <is>
          <t>BARBER DAILY Styling Gel Wet Look Jar 120gr</t>
        </is>
      </c>
      <c r="D267" t="inlineStr">
        <is>
          <t>Miss Glam Damar</t>
        </is>
      </c>
      <c r="E267" t="n">
        <v>13</v>
      </c>
      <c r="F267" t="n">
        <v>0.06370000000000001</v>
      </c>
      <c r="G267" t="n">
        <v>0.91</v>
      </c>
      <c r="H267" t="n">
        <v>6</v>
      </c>
      <c r="I267" t="n">
        <v>11</v>
      </c>
      <c r="J267" t="n">
        <v>1</v>
      </c>
      <c r="K267" t="n">
        <v>0</v>
      </c>
      <c r="L267" t="n">
        <v>50439</v>
      </c>
      <c r="M267" t="n">
        <v>62000</v>
      </c>
      <c r="N267" t="n">
        <v>91</v>
      </c>
      <c r="O267" t="n">
        <v>0.91</v>
      </c>
      <c r="P267" t="n">
        <v>1</v>
      </c>
      <c r="Q267" t="n">
        <v>0.03</v>
      </c>
      <c r="R267" t="n">
        <v>1</v>
      </c>
      <c r="S267" t="n">
        <v>3949.400000000001</v>
      </c>
      <c r="T267" t="n">
        <v>10</v>
      </c>
      <c r="U267" t="n">
        <v>11</v>
      </c>
      <c r="V267" t="n">
        <v>30</v>
      </c>
      <c r="W267" t="n">
        <v>2</v>
      </c>
      <c r="X267" t="n">
        <v>204.0816326530612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2285</v>
      </c>
      <c r="AG267" t="n">
        <v>2034</v>
      </c>
      <c r="AH267" t="inlineStr">
        <is>
          <t>PT. AKASHA WIRA INTERNATIONAL TBK  - PPN (PKU)</t>
        </is>
      </c>
      <c r="AI267" t="n">
        <v>2392</v>
      </c>
      <c r="AJ267" t="inlineStr">
        <is>
          <t>BARBER DAILY</t>
        </is>
      </c>
      <c r="AK267" t="n">
        <v>21</v>
      </c>
      <c r="AL267" t="inlineStr">
        <is>
          <t>Miss Glam Damar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"20300449731"</f>
        <v/>
      </c>
      <c r="C268" t="inlineStr">
        <is>
          <t>BARENBLISS 5% Glycerin-Peptide Nourishing Lipcerin 019 Stellar Glow 1,8g</t>
        </is>
      </c>
      <c r="D268" t="inlineStr">
        <is>
          <t>Miss Glam Damar</t>
        </is>
      </c>
      <c r="E268" t="n">
        <v>16</v>
      </c>
      <c r="F268" t="n">
        <v>0.0182</v>
      </c>
      <c r="G268" t="n">
        <v>0</v>
      </c>
      <c r="H268" t="n">
        <v>2</v>
      </c>
      <c r="I268" t="n">
        <v>9</v>
      </c>
      <c r="J268" t="n">
        <v>1</v>
      </c>
      <c r="K268" t="n">
        <v>0</v>
      </c>
      <c r="L268" t="n">
        <v>71920</v>
      </c>
      <c r="M268" t="n">
        <v>89900</v>
      </c>
      <c r="N268" t="n">
        <v>91</v>
      </c>
      <c r="O268" t="n">
        <v>0.91</v>
      </c>
      <c r="P268" t="n">
        <v>1</v>
      </c>
      <c r="Q268" t="n">
        <v>0.31</v>
      </c>
      <c r="R268" t="n">
        <v>4</v>
      </c>
      <c r="S268" t="n">
        <v>1636.18</v>
      </c>
      <c r="T268" t="n">
        <v>0</v>
      </c>
      <c r="U268" t="n">
        <v>1</v>
      </c>
      <c r="V268" t="n">
        <v>30</v>
      </c>
      <c r="W268" t="n">
        <v>1</v>
      </c>
      <c r="X268" t="n">
        <v>879.1208791208791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10352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21</v>
      </c>
      <c r="AL268" t="inlineStr">
        <is>
          <t>Miss Glam Damar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"8809851671481"</f>
        <v/>
      </c>
      <c r="C269" t="inlineStr">
        <is>
          <t>BARENBLISS Apple Makes Adorable Mousse Tint 01 Coral Wave 2.8gr</t>
        </is>
      </c>
      <c r="D269" t="inlineStr">
        <is>
          <t>Miss Glam Damar</t>
        </is>
      </c>
      <c r="E269" t="n">
        <v>47</v>
      </c>
      <c r="F269" t="n">
        <v>0.1365</v>
      </c>
      <c r="G269" t="n">
        <v>1.82</v>
      </c>
      <c r="H269" t="n">
        <v>2</v>
      </c>
      <c r="I269" t="n">
        <v>9</v>
      </c>
      <c r="J269" t="n">
        <v>3</v>
      </c>
      <c r="K269" t="n">
        <v>0</v>
      </c>
      <c r="L269" t="n">
        <v>58320</v>
      </c>
      <c r="M269" t="n">
        <v>72900</v>
      </c>
      <c r="N269" t="n">
        <v>91</v>
      </c>
      <c r="O269" t="n">
        <v>0.91</v>
      </c>
      <c r="P269" t="n">
        <v>1</v>
      </c>
      <c r="Q269" t="n">
        <v>0.1</v>
      </c>
      <c r="R269" t="n">
        <v>1</v>
      </c>
      <c r="S269" t="n">
        <v>9950.85</v>
      </c>
      <c r="T269" t="n">
        <v>17</v>
      </c>
      <c r="U269" t="n">
        <v>18</v>
      </c>
      <c r="V269" t="n">
        <v>30</v>
      </c>
      <c r="W269" t="n">
        <v>5</v>
      </c>
      <c r="X269" t="n">
        <v>344.3223443223443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10352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21</v>
      </c>
      <c r="AL269" t="inlineStr">
        <is>
          <t>Miss Glam Damar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"8809851671498"</f>
        <v/>
      </c>
      <c r="C270" t="inlineStr">
        <is>
          <t>BARENBLISS Apple Makes Adorable Mousse Tint 02 Rose Haze 2.8gr</t>
        </is>
      </c>
      <c r="D270" t="inlineStr">
        <is>
          <t>Miss Glam Damar</t>
        </is>
      </c>
      <c r="E270" t="n">
        <v>20</v>
      </c>
      <c r="F270" t="n">
        <v>0.0182</v>
      </c>
      <c r="G270" t="n">
        <v>0</v>
      </c>
      <c r="H270" t="n">
        <v>2</v>
      </c>
      <c r="I270" t="n">
        <v>9</v>
      </c>
      <c r="J270" t="n">
        <v>3</v>
      </c>
      <c r="K270" t="n">
        <v>0</v>
      </c>
      <c r="L270" t="n">
        <v>58320</v>
      </c>
      <c r="M270" t="n">
        <v>72900</v>
      </c>
      <c r="N270" t="n">
        <v>91</v>
      </c>
      <c r="O270" t="n">
        <v>0.91</v>
      </c>
      <c r="P270" t="n">
        <v>1</v>
      </c>
      <c r="Q270" t="n">
        <v>0.6899999999999999</v>
      </c>
      <c r="R270" t="n">
        <v>4</v>
      </c>
      <c r="S270" t="n">
        <v>1326.78</v>
      </c>
      <c r="T270" t="n">
        <v>0</v>
      </c>
      <c r="U270" t="n">
        <v>1</v>
      </c>
      <c r="V270" t="n">
        <v>30</v>
      </c>
      <c r="W270" t="n">
        <v>1</v>
      </c>
      <c r="X270" t="n">
        <v>1098.901098901099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10352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21</v>
      </c>
      <c r="AL270" t="inlineStr">
        <is>
          <t>Miss Glam Damar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"8809851671504"</f>
        <v/>
      </c>
      <c r="C271" t="inlineStr">
        <is>
          <t>BARENBLISS Apple Makes Adorable Mousse Tint 03 Candy Blaze 2.8gr</t>
        </is>
      </c>
      <c r="D271" t="inlineStr">
        <is>
          <t>Miss Glam Damar</t>
        </is>
      </c>
      <c r="E271" t="n">
        <v>21</v>
      </c>
      <c r="F271" t="n">
        <v>0.5824</v>
      </c>
      <c r="G271" t="n">
        <v>3.64</v>
      </c>
      <c r="H271" t="n">
        <v>2</v>
      </c>
      <c r="I271" t="n">
        <v>9</v>
      </c>
      <c r="J271" t="n">
        <v>3</v>
      </c>
      <c r="K271" t="n">
        <v>0</v>
      </c>
      <c r="L271" t="n">
        <v>58320</v>
      </c>
      <c r="M271" t="n">
        <v>72900</v>
      </c>
      <c r="N271" t="n">
        <v>91</v>
      </c>
      <c r="O271" t="n">
        <v>0.91</v>
      </c>
      <c r="P271" t="n">
        <v>1</v>
      </c>
      <c r="Q271" t="n">
        <v>0.46</v>
      </c>
      <c r="R271" t="n">
        <v>4</v>
      </c>
      <c r="S271" t="n">
        <v>42456.96</v>
      </c>
      <c r="T271" t="n">
        <v>32</v>
      </c>
      <c r="U271" t="n">
        <v>34</v>
      </c>
      <c r="V271" t="n">
        <v>30</v>
      </c>
      <c r="W271" t="n">
        <v>18</v>
      </c>
      <c r="X271" t="n">
        <v>36.05769230769231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10352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21</v>
      </c>
      <c r="AL271" t="inlineStr">
        <is>
          <t>Miss Glam Damar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"8809851671511"</f>
        <v/>
      </c>
      <c r="C272" t="inlineStr">
        <is>
          <t>BARENBLISS Apple Makes Adorable Mousse Tint 04 Amber Peel 2.8gr</t>
        </is>
      </c>
      <c r="D272" t="inlineStr">
        <is>
          <t>Miss Glam Damar</t>
        </is>
      </c>
      <c r="E272" t="n">
        <v>60</v>
      </c>
      <c r="F272" t="n">
        <v>0.1729</v>
      </c>
      <c r="G272" t="n">
        <v>1.82</v>
      </c>
      <c r="H272" t="n">
        <v>2</v>
      </c>
      <c r="I272" t="n">
        <v>9</v>
      </c>
      <c r="J272" t="n">
        <v>3</v>
      </c>
      <c r="K272" t="n">
        <v>0</v>
      </c>
      <c r="L272" t="n">
        <v>58320</v>
      </c>
      <c r="M272" t="n">
        <v>72900</v>
      </c>
      <c r="N272" t="n">
        <v>91</v>
      </c>
      <c r="O272" t="n">
        <v>0.91</v>
      </c>
      <c r="P272" t="n">
        <v>1</v>
      </c>
      <c r="Q272" t="n">
        <v>0.1</v>
      </c>
      <c r="R272" t="n">
        <v>1</v>
      </c>
      <c r="S272" t="n">
        <v>12604.41</v>
      </c>
      <c r="T272" t="n">
        <v>17</v>
      </c>
      <c r="U272" t="n">
        <v>18</v>
      </c>
      <c r="V272" t="n">
        <v>30</v>
      </c>
      <c r="W272" t="n">
        <v>6</v>
      </c>
      <c r="X272" t="n">
        <v>347.0213996529786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10352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21</v>
      </c>
      <c r="AL272" t="inlineStr">
        <is>
          <t>Miss Glam Damar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"8809851671528"</f>
        <v/>
      </c>
      <c r="C273" t="inlineStr">
        <is>
          <t>BARENBLISS Apple Makes Adorable Mousse Tint 05 Cocoa Jam 2.8gr</t>
        </is>
      </c>
      <c r="D273" t="inlineStr">
        <is>
          <t>Miss Glam Damar</t>
        </is>
      </c>
      <c r="E273" t="n">
        <v>78</v>
      </c>
      <c r="F273" t="n">
        <v>0.1274</v>
      </c>
      <c r="G273" t="n">
        <v>0.91</v>
      </c>
      <c r="H273" t="n">
        <v>2</v>
      </c>
      <c r="I273" t="n">
        <v>9</v>
      </c>
      <c r="J273" t="n">
        <v>3</v>
      </c>
      <c r="K273" t="n">
        <v>0</v>
      </c>
      <c r="L273" t="n">
        <v>58320</v>
      </c>
      <c r="M273" t="n">
        <v>72900</v>
      </c>
      <c r="N273" t="n">
        <v>91</v>
      </c>
      <c r="O273" t="n">
        <v>0.91</v>
      </c>
      <c r="P273" t="n">
        <v>1</v>
      </c>
      <c r="Q273" t="n">
        <v>0.08</v>
      </c>
      <c r="R273" t="n">
        <v>1</v>
      </c>
      <c r="S273" t="n">
        <v>9287.460000000001</v>
      </c>
      <c r="T273" t="n">
        <v>8</v>
      </c>
      <c r="U273" t="n">
        <v>9</v>
      </c>
      <c r="V273" t="n">
        <v>30</v>
      </c>
      <c r="W273" t="n">
        <v>4</v>
      </c>
      <c r="X273" t="n">
        <v>612.2448979591836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10352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21</v>
      </c>
      <c r="AL273" t="inlineStr">
        <is>
          <t>Miss Glam Damar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"8809851671535"</f>
        <v/>
      </c>
      <c r="C274" t="inlineStr">
        <is>
          <t>BARENBLISS Apple Makes Adorable Mousse Tint 06 Burgundy Heart 2.8gr</t>
        </is>
      </c>
      <c r="D274" t="inlineStr">
        <is>
          <t>Miss Glam Damar</t>
        </is>
      </c>
      <c r="E274" t="n">
        <v>7</v>
      </c>
      <c r="F274" t="n">
        <v>0.1092</v>
      </c>
      <c r="G274" t="n">
        <v>0.91</v>
      </c>
      <c r="H274" t="n">
        <v>2</v>
      </c>
      <c r="I274" t="n">
        <v>9</v>
      </c>
      <c r="J274" t="n">
        <v>3</v>
      </c>
      <c r="K274" t="n">
        <v>0</v>
      </c>
      <c r="L274" t="n">
        <v>58320</v>
      </c>
      <c r="M274" t="n">
        <v>72900</v>
      </c>
      <c r="N274" t="n">
        <v>91</v>
      </c>
      <c r="O274" t="n">
        <v>0.91</v>
      </c>
      <c r="P274" t="n">
        <v>1</v>
      </c>
      <c r="Q274" t="n">
        <v>0.19</v>
      </c>
      <c r="R274" t="n">
        <v>2</v>
      </c>
      <c r="S274" t="n">
        <v>7960.68</v>
      </c>
      <c r="T274" t="n">
        <v>8</v>
      </c>
      <c r="U274" t="n">
        <v>9</v>
      </c>
      <c r="V274" t="n">
        <v>30</v>
      </c>
      <c r="W274" t="n">
        <v>4</v>
      </c>
      <c r="X274" t="n">
        <v>64.1025641025641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10352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21</v>
      </c>
      <c r="AL274" t="inlineStr">
        <is>
          <t>Miss Glam Damar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"8809851673157"</f>
        <v/>
      </c>
      <c r="C275" t="inlineStr">
        <is>
          <t>BARENBLISS Apple Makes Adorable Mousse Tint 07 Nude Latte 2.8gr</t>
        </is>
      </c>
      <c r="D275" t="inlineStr">
        <is>
          <t>Miss Glam Damar</t>
        </is>
      </c>
      <c r="E275" t="n">
        <v>30</v>
      </c>
      <c r="F275" t="n">
        <v>0.0182</v>
      </c>
      <c r="G275" t="n">
        <v>0.91</v>
      </c>
      <c r="H275" t="n">
        <v>2</v>
      </c>
      <c r="I275" t="n">
        <v>9</v>
      </c>
      <c r="J275" t="n">
        <v>3</v>
      </c>
      <c r="K275" t="n">
        <v>0</v>
      </c>
      <c r="L275" t="n">
        <v>58320</v>
      </c>
      <c r="M275" t="n">
        <v>72900</v>
      </c>
      <c r="N275" t="n">
        <v>91</v>
      </c>
      <c r="O275" t="n">
        <v>0.91</v>
      </c>
      <c r="P275" t="n">
        <v>1</v>
      </c>
      <c r="Q275" t="n">
        <v>0.02</v>
      </c>
      <c r="R275" t="n">
        <v>1</v>
      </c>
      <c r="S275" t="n">
        <v>1326.78</v>
      </c>
      <c r="T275" t="n">
        <v>9</v>
      </c>
      <c r="U275" t="n">
        <v>10</v>
      </c>
      <c r="V275" t="n">
        <v>30</v>
      </c>
      <c r="W275" t="n">
        <v>1</v>
      </c>
      <c r="X275" t="n">
        <v>1648.351648351648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10352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21</v>
      </c>
      <c r="AL275" t="inlineStr">
        <is>
          <t>Miss Glam Damar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"8809851673164"</f>
        <v/>
      </c>
      <c r="C276" t="inlineStr">
        <is>
          <t>BARENBLISS Apple Makes Adorable Mousse Tint 08 Fuschia Berry 2.8gr</t>
        </is>
      </c>
      <c r="D276" t="inlineStr">
        <is>
          <t>Miss Glam Damar</t>
        </is>
      </c>
      <c r="E276" t="n">
        <v>16</v>
      </c>
      <c r="F276" t="n">
        <v>0.5277999999999999</v>
      </c>
      <c r="G276" t="n">
        <v>2.73</v>
      </c>
      <c r="H276" t="n">
        <v>2</v>
      </c>
      <c r="I276" t="n">
        <v>9</v>
      </c>
      <c r="J276" t="n">
        <v>3</v>
      </c>
      <c r="K276" t="n">
        <v>0</v>
      </c>
      <c r="L276" t="n">
        <v>58320</v>
      </c>
      <c r="M276" t="n">
        <v>72900</v>
      </c>
      <c r="N276" t="n">
        <v>91</v>
      </c>
      <c r="O276" t="n">
        <v>0.91</v>
      </c>
      <c r="P276" t="n">
        <v>1</v>
      </c>
      <c r="Q276" t="n">
        <v>0.37</v>
      </c>
      <c r="R276" t="n">
        <v>3</v>
      </c>
      <c r="S276" t="n">
        <v>38476.62</v>
      </c>
      <c r="T276" t="n">
        <v>24</v>
      </c>
      <c r="U276" t="n">
        <v>26</v>
      </c>
      <c r="V276" t="n">
        <v>30</v>
      </c>
      <c r="W276" t="n">
        <v>16</v>
      </c>
      <c r="X276" t="n">
        <v>30.31451307313377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10352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21</v>
      </c>
      <c r="AL276" t="inlineStr">
        <is>
          <t>Miss Glam Damar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"8809851673171"</f>
        <v/>
      </c>
      <c r="C277" t="inlineStr">
        <is>
          <t>BARENBLISS Apple Makes Adorable Mousse Tint 09 Brick Punch 2.8gr</t>
        </is>
      </c>
      <c r="D277" t="inlineStr">
        <is>
          <t>Miss Glam Damar</t>
        </is>
      </c>
      <c r="E277" t="n">
        <v>30</v>
      </c>
      <c r="F277" t="n">
        <v>0.8372000000000001</v>
      </c>
      <c r="G277" t="n">
        <v>3.64</v>
      </c>
      <c r="H277" t="n">
        <v>2</v>
      </c>
      <c r="I277" t="n">
        <v>9</v>
      </c>
      <c r="J277" t="n">
        <v>3</v>
      </c>
      <c r="K277" t="n">
        <v>0</v>
      </c>
      <c r="L277" t="n">
        <v>58320</v>
      </c>
      <c r="M277" t="n">
        <v>72900</v>
      </c>
      <c r="N277" t="n">
        <v>91</v>
      </c>
      <c r="O277" t="n">
        <v>0.91</v>
      </c>
      <c r="P277" t="n">
        <v>1</v>
      </c>
      <c r="Q277" t="n">
        <v>0.53</v>
      </c>
      <c r="R277" t="n">
        <v>4</v>
      </c>
      <c r="S277" t="n">
        <v>61031.88</v>
      </c>
      <c r="T277" t="n">
        <v>32</v>
      </c>
      <c r="U277" t="n">
        <v>34</v>
      </c>
      <c r="V277" t="n">
        <v>30</v>
      </c>
      <c r="W277" t="n">
        <v>26</v>
      </c>
      <c r="X277" t="n">
        <v>35.8337314859054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10352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21</v>
      </c>
      <c r="AL277" t="inlineStr">
        <is>
          <t>Miss Glam Damar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"203002203748"</f>
        <v/>
      </c>
      <c r="C278" t="inlineStr">
        <is>
          <t>BARENBLISS Aura Mood Transferproof Matte Lip Cream 018 Misty Dusk 2.5ml</t>
        </is>
      </c>
      <c r="D278" t="inlineStr">
        <is>
          <t>Miss Glam Damar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91</v>
      </c>
      <c r="O278" t="n">
        <v>0.91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30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10352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21</v>
      </c>
      <c r="AL278" t="inlineStr">
        <is>
          <t>Miss Glam Damar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"203002203828"</f>
        <v/>
      </c>
      <c r="C279" t="inlineStr">
        <is>
          <t>BARENBLISS Aura Mood Transferproof Matte Lip Cream 089 Moonlit Spark 2.5ml</t>
        </is>
      </c>
      <c r="D279" t="inlineStr">
        <is>
          <t>Miss Glam Damar</t>
        </is>
      </c>
      <c r="E279" t="n">
        <v>35</v>
      </c>
      <c r="F279" t="n">
        <v>0.02</v>
      </c>
      <c r="G279" t="n">
        <v>0</v>
      </c>
      <c r="H279" t="n">
        <v>2</v>
      </c>
      <c r="I279" t="n">
        <v>9</v>
      </c>
      <c r="J279" t="n">
        <v>1</v>
      </c>
      <c r="K279" t="n">
        <v>0</v>
      </c>
      <c r="L279" t="n">
        <v>63920</v>
      </c>
      <c r="M279" t="n">
        <v>79900</v>
      </c>
      <c r="N279" t="n">
        <v>91</v>
      </c>
      <c r="O279" t="n">
        <v>0.91</v>
      </c>
      <c r="P279" t="n">
        <v>0</v>
      </c>
      <c r="Q279" t="n">
        <v>0.02</v>
      </c>
      <c r="R279" t="n">
        <v>0</v>
      </c>
      <c r="S279" t="n">
        <v>1598</v>
      </c>
      <c r="T279" t="n">
        <v>0</v>
      </c>
      <c r="U279" t="n">
        <v>1</v>
      </c>
      <c r="V279" t="n">
        <v>30</v>
      </c>
      <c r="W279" t="n">
        <v>1</v>
      </c>
      <c r="X279" t="n">
        <v>1750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10352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21</v>
      </c>
      <c r="AL279" t="inlineStr">
        <is>
          <t>Miss Glam Damar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"203002203950"</f>
        <v/>
      </c>
      <c r="C280" t="inlineStr">
        <is>
          <t>BARENBLISS Aura Mood Transferproof Matte Lip Cream 115 Starry Night 2.5ml</t>
        </is>
      </c>
      <c r="D280" t="inlineStr">
        <is>
          <t>Miss Glam Damar</t>
        </is>
      </c>
      <c r="E280" t="n">
        <v>33</v>
      </c>
      <c r="F280" t="n">
        <v>0.05</v>
      </c>
      <c r="G280" t="n">
        <v>0</v>
      </c>
      <c r="H280" t="n">
        <v>2</v>
      </c>
      <c r="I280" t="n">
        <v>9</v>
      </c>
      <c r="J280" t="n">
        <v>1</v>
      </c>
      <c r="K280" t="n">
        <v>0</v>
      </c>
      <c r="L280" t="n">
        <v>63920</v>
      </c>
      <c r="M280" t="n">
        <v>79900</v>
      </c>
      <c r="N280" t="n">
        <v>91</v>
      </c>
      <c r="O280" t="n">
        <v>0.91</v>
      </c>
      <c r="P280" t="n">
        <v>0</v>
      </c>
      <c r="Q280" t="n">
        <v>0.05</v>
      </c>
      <c r="R280" t="n">
        <v>0</v>
      </c>
      <c r="S280" t="n">
        <v>3995</v>
      </c>
      <c r="T280" t="n">
        <v>0</v>
      </c>
      <c r="U280" t="n">
        <v>1</v>
      </c>
      <c r="V280" t="n">
        <v>30</v>
      </c>
      <c r="W280" t="n">
        <v>2</v>
      </c>
      <c r="X280" t="n">
        <v>660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10352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21</v>
      </c>
      <c r="AL280" t="inlineStr">
        <is>
          <t>Miss Glam Damar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"203002204201"</f>
        <v/>
      </c>
      <c r="C281" t="inlineStr">
        <is>
          <t>BARENBLISS Aura Mood Transferproof Vinyl Lip Cream 001 Movie Night 2.5ml</t>
        </is>
      </c>
      <c r="D281" t="inlineStr">
        <is>
          <t>Miss Glam Damar</t>
        </is>
      </c>
      <c r="E281" t="n">
        <v>0</v>
      </c>
      <c r="F281" t="n">
        <v>0.1911</v>
      </c>
      <c r="G281" t="n">
        <v>3.64</v>
      </c>
      <c r="H281" t="n">
        <v>2</v>
      </c>
      <c r="I281" t="n">
        <v>9</v>
      </c>
      <c r="J281" t="n">
        <v>1</v>
      </c>
      <c r="K281" t="n">
        <v>0</v>
      </c>
      <c r="L281" t="n">
        <v>63920</v>
      </c>
      <c r="M281" t="n">
        <v>79900</v>
      </c>
      <c r="N281" t="n">
        <v>91</v>
      </c>
      <c r="O281" t="n">
        <v>0.91</v>
      </c>
      <c r="P281" t="n">
        <v>1</v>
      </c>
      <c r="Q281" t="n">
        <v>0.21</v>
      </c>
      <c r="R281" t="n">
        <v>2</v>
      </c>
      <c r="S281" t="n">
        <v>15268.89</v>
      </c>
      <c r="T281" t="n">
        <v>33</v>
      </c>
      <c r="U281" t="n">
        <v>34</v>
      </c>
      <c r="V281" t="n">
        <v>30</v>
      </c>
      <c r="W281" t="n">
        <v>6</v>
      </c>
      <c r="X281" t="n">
        <v>0</v>
      </c>
      <c r="Y281" t="n">
        <v>1</v>
      </c>
      <c r="Z281" t="n">
        <v>6</v>
      </c>
      <c r="AA281" t="n">
        <v>2</v>
      </c>
      <c r="AB281" t="n">
        <v>4</v>
      </c>
      <c r="AC281" t="n">
        <v>4</v>
      </c>
      <c r="AD281" t="n">
        <v>127840</v>
      </c>
      <c r="AE281" t="n">
        <v>255680</v>
      </c>
      <c r="AF281" t="n">
        <v>10352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21</v>
      </c>
      <c r="AL281" t="inlineStr">
        <is>
          <t>Miss Glam Damar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"203002204339"</f>
        <v/>
      </c>
      <c r="C282" t="inlineStr">
        <is>
          <t>BARENBLISS Aura Mood Transferproof Vinyl Lip Cream 333 First Meet 2.5ml</t>
        </is>
      </c>
      <c r="D282" t="inlineStr">
        <is>
          <t>Miss Glam Damar</t>
        </is>
      </c>
      <c r="E282" t="n">
        <v>1</v>
      </c>
      <c r="F282" t="n">
        <v>0.1547</v>
      </c>
      <c r="G282" t="n">
        <v>0.91</v>
      </c>
      <c r="H282" t="n">
        <v>2</v>
      </c>
      <c r="I282" t="n">
        <v>9</v>
      </c>
      <c r="J282" t="n">
        <v>1</v>
      </c>
      <c r="K282" t="n">
        <v>0</v>
      </c>
      <c r="L282" t="n">
        <v>63920</v>
      </c>
      <c r="M282" t="n">
        <v>79900</v>
      </c>
      <c r="N282" t="n">
        <v>91</v>
      </c>
      <c r="O282" t="n">
        <v>0.91</v>
      </c>
      <c r="P282" t="n">
        <v>1</v>
      </c>
      <c r="Q282" t="n">
        <v>0.19</v>
      </c>
      <c r="R282" t="n">
        <v>3</v>
      </c>
      <c r="S282" t="n">
        <v>12360.53</v>
      </c>
      <c r="T282" t="n">
        <v>8</v>
      </c>
      <c r="U282" t="n">
        <v>9</v>
      </c>
      <c r="V282" t="n">
        <v>30</v>
      </c>
      <c r="W282" t="n">
        <v>5</v>
      </c>
      <c r="X282" t="n">
        <v>6.464124111182935</v>
      </c>
      <c r="Y282" t="n">
        <v>1</v>
      </c>
      <c r="Z282" t="n">
        <v>4</v>
      </c>
      <c r="AA282" t="n">
        <v>1</v>
      </c>
      <c r="AB282" t="n">
        <v>3</v>
      </c>
      <c r="AC282" t="n">
        <v>3</v>
      </c>
      <c r="AD282" t="n">
        <v>63920</v>
      </c>
      <c r="AE282" t="n">
        <v>191760</v>
      </c>
      <c r="AF282" t="n">
        <v>10352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21</v>
      </c>
      <c r="AL282" t="inlineStr">
        <is>
          <t>Miss Glam Damar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"203002204426"</f>
        <v/>
      </c>
      <c r="C283" t="inlineStr">
        <is>
          <t>BARENBLISS Aura Mood Transferproof Vinyl Lip Cream 518 Silent Touch 2.5ml</t>
        </is>
      </c>
      <c r="D283" t="inlineStr">
        <is>
          <t>Miss Glam Damar</t>
        </is>
      </c>
      <c r="E283" t="n">
        <v>1</v>
      </c>
      <c r="F283" t="n">
        <v>0.1001</v>
      </c>
      <c r="G283" t="n">
        <v>1.82</v>
      </c>
      <c r="H283" t="n">
        <v>2</v>
      </c>
      <c r="I283" t="n">
        <v>9</v>
      </c>
      <c r="J283" t="n">
        <v>1</v>
      </c>
      <c r="K283" t="n">
        <v>0</v>
      </c>
      <c r="L283" t="n">
        <v>63920</v>
      </c>
      <c r="M283" t="n">
        <v>79900</v>
      </c>
      <c r="N283" t="n">
        <v>91</v>
      </c>
      <c r="O283" t="n">
        <v>0.91</v>
      </c>
      <c r="P283" t="n">
        <v>1</v>
      </c>
      <c r="Q283" t="n">
        <v>0.19</v>
      </c>
      <c r="R283" t="n">
        <v>6</v>
      </c>
      <c r="S283" t="n">
        <v>7997.990000000001</v>
      </c>
      <c r="T283" t="n">
        <v>17</v>
      </c>
      <c r="U283" t="n">
        <v>18</v>
      </c>
      <c r="V283" t="n">
        <v>30</v>
      </c>
      <c r="W283" t="n">
        <v>4</v>
      </c>
      <c r="X283" t="n">
        <v>9.990009990009989</v>
      </c>
      <c r="Y283" t="n">
        <v>1</v>
      </c>
      <c r="Z283" t="n">
        <v>3</v>
      </c>
      <c r="AA283" t="n">
        <v>0</v>
      </c>
      <c r="AB283" t="n">
        <v>3</v>
      </c>
      <c r="AC283" t="n">
        <v>3</v>
      </c>
      <c r="AD283" t="n">
        <v>0</v>
      </c>
      <c r="AE283" t="n">
        <v>191760</v>
      </c>
      <c r="AF283" t="n">
        <v>10352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21</v>
      </c>
      <c r="AL283" t="inlineStr">
        <is>
          <t>Miss Glam Damar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"203002204540"</f>
        <v/>
      </c>
      <c r="C284" t="inlineStr">
        <is>
          <t>BARENBLISS Aura Mood Transferproof Vinyl Lip Cream 600 Midnight Talk 2.5ml</t>
        </is>
      </c>
      <c r="D284" t="inlineStr">
        <is>
          <t>Miss Glam Damar</t>
        </is>
      </c>
      <c r="E284" t="n">
        <v>1</v>
      </c>
      <c r="F284" t="n">
        <v>0.19</v>
      </c>
      <c r="G284" t="n">
        <v>4</v>
      </c>
      <c r="H284" t="n">
        <v>2</v>
      </c>
      <c r="I284" t="n">
        <v>9</v>
      </c>
      <c r="J284" t="n">
        <v>1</v>
      </c>
      <c r="K284" t="n">
        <v>0</v>
      </c>
      <c r="L284" t="n">
        <v>63920</v>
      </c>
      <c r="M284" t="n">
        <v>79900</v>
      </c>
      <c r="N284" t="n">
        <v>91</v>
      </c>
      <c r="O284" t="n">
        <v>0.91</v>
      </c>
      <c r="P284" t="n">
        <v>0</v>
      </c>
      <c r="Q284" t="n">
        <v>0.19</v>
      </c>
      <c r="R284" t="n">
        <v>4</v>
      </c>
      <c r="S284" t="n">
        <v>15181</v>
      </c>
      <c r="T284" t="n">
        <v>36</v>
      </c>
      <c r="U284" t="n">
        <v>37</v>
      </c>
      <c r="V284" t="n">
        <v>30</v>
      </c>
      <c r="W284" t="n">
        <v>6</v>
      </c>
      <c r="X284" t="n">
        <v>5.263157894736842</v>
      </c>
      <c r="Y284" t="n">
        <v>1</v>
      </c>
      <c r="Z284" t="n">
        <v>5</v>
      </c>
      <c r="AA284" t="n">
        <v>1</v>
      </c>
      <c r="AB284" t="n">
        <v>4</v>
      </c>
      <c r="AC284" t="n">
        <v>4</v>
      </c>
      <c r="AD284" t="n">
        <v>63920</v>
      </c>
      <c r="AE284" t="n">
        <v>255680</v>
      </c>
      <c r="AF284" t="n">
        <v>10352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21</v>
      </c>
      <c r="AL284" t="inlineStr">
        <is>
          <t>Miss Glam Damar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"203002204646"</f>
        <v/>
      </c>
      <c r="C285" t="inlineStr">
        <is>
          <t>BARENBLISS Aura Mood Transferproof Vinyl Lip Cream 789 Cute Smile 2.5ml</t>
        </is>
      </c>
      <c r="D285" t="inlineStr">
        <is>
          <t>Miss Glam Damar</t>
        </is>
      </c>
      <c r="E285" t="n">
        <v>0</v>
      </c>
      <c r="F285" t="n">
        <v>0.1729</v>
      </c>
      <c r="G285" t="n">
        <v>1.82</v>
      </c>
      <c r="H285" t="n">
        <v>2</v>
      </c>
      <c r="I285" t="n">
        <v>9</v>
      </c>
      <c r="J285" t="n">
        <v>1</v>
      </c>
      <c r="K285" t="n">
        <v>0</v>
      </c>
      <c r="L285" t="n">
        <v>63920</v>
      </c>
      <c r="M285" t="n">
        <v>79900</v>
      </c>
      <c r="N285" t="n">
        <v>91</v>
      </c>
      <c r="O285" t="n">
        <v>0.91</v>
      </c>
      <c r="P285" t="n">
        <v>1</v>
      </c>
      <c r="Q285" t="n">
        <v>0.22</v>
      </c>
      <c r="R285" t="n">
        <v>4</v>
      </c>
      <c r="S285" t="n">
        <v>13814.71</v>
      </c>
      <c r="T285" t="n">
        <v>17</v>
      </c>
      <c r="U285" t="n">
        <v>18</v>
      </c>
      <c r="V285" t="n">
        <v>30</v>
      </c>
      <c r="W285" t="n">
        <v>6</v>
      </c>
      <c r="X285" t="n">
        <v>0</v>
      </c>
      <c r="Y285" t="n">
        <v>1</v>
      </c>
      <c r="Z285" t="n">
        <v>6</v>
      </c>
      <c r="AA285" t="n">
        <v>2</v>
      </c>
      <c r="AB285" t="n">
        <v>4</v>
      </c>
      <c r="AC285" t="n">
        <v>4</v>
      </c>
      <c r="AD285" t="n">
        <v>127840</v>
      </c>
      <c r="AE285" t="n">
        <v>255680</v>
      </c>
      <c r="AF285" t="n">
        <v>10352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21</v>
      </c>
      <c r="AL285" t="inlineStr">
        <is>
          <t>Miss Glam Damar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"203002204737"</f>
        <v/>
      </c>
      <c r="C286" t="inlineStr">
        <is>
          <t>BARENBLISS Aura Mood Transferproof Vinyl Lip Cream 988 Second Date 2.5ml</t>
        </is>
      </c>
      <c r="D286" t="inlineStr">
        <is>
          <t>Miss Glam Damar</t>
        </is>
      </c>
      <c r="E286" t="n">
        <v>0</v>
      </c>
      <c r="F286" t="n">
        <v>0.0182</v>
      </c>
      <c r="G286" t="n">
        <v>0</v>
      </c>
      <c r="H286" t="n">
        <v>2</v>
      </c>
      <c r="I286" t="n">
        <v>9</v>
      </c>
      <c r="J286" t="n">
        <v>1</v>
      </c>
      <c r="K286" t="n">
        <v>0</v>
      </c>
      <c r="L286" t="n">
        <v>63920</v>
      </c>
      <c r="M286" t="n">
        <v>79900</v>
      </c>
      <c r="N286" t="n">
        <v>91</v>
      </c>
      <c r="O286" t="n">
        <v>0.91</v>
      </c>
      <c r="P286" t="n">
        <v>1</v>
      </c>
      <c r="Q286" t="n">
        <v>0.22</v>
      </c>
      <c r="R286" t="n">
        <v>4</v>
      </c>
      <c r="S286" t="n">
        <v>1454.18</v>
      </c>
      <c r="T286" t="n">
        <v>0</v>
      </c>
      <c r="U286" t="n">
        <v>1</v>
      </c>
      <c r="V286" t="n">
        <v>30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n">
        <v>0</v>
      </c>
      <c r="AC286" t="n">
        <v>0</v>
      </c>
      <c r="AD286" t="n">
        <v>63920</v>
      </c>
      <c r="AE286" t="n">
        <v>0</v>
      </c>
      <c r="AF286" t="n">
        <v>10352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21</v>
      </c>
      <c r="AL286" t="inlineStr">
        <is>
          <t>Miss Glam Damar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"8997227897648"</f>
        <v/>
      </c>
      <c r="C287" t="inlineStr">
        <is>
          <t>BARENBLISS Berry Makes Perfect Lip Tint 04 Never Settle</t>
        </is>
      </c>
      <c r="D287" t="inlineStr">
        <is>
          <t>Miss Glam Damar</t>
        </is>
      </c>
      <c r="E287" t="n">
        <v>45</v>
      </c>
      <c r="F287" t="n">
        <v>0.4823000000000001</v>
      </c>
      <c r="G287" t="n">
        <v>2.73</v>
      </c>
      <c r="H287" t="n">
        <v>2</v>
      </c>
      <c r="I287" t="n">
        <v>9</v>
      </c>
      <c r="J287" t="n">
        <v>3</v>
      </c>
      <c r="K287" t="n">
        <v>0</v>
      </c>
      <c r="L287" t="n">
        <v>52488</v>
      </c>
      <c r="M287" t="n">
        <v>72900</v>
      </c>
      <c r="N287" t="n">
        <v>91</v>
      </c>
      <c r="O287" t="n">
        <v>0.91</v>
      </c>
      <c r="P287" t="n">
        <v>1</v>
      </c>
      <c r="Q287" t="n">
        <v>0.47</v>
      </c>
      <c r="R287" t="n">
        <v>3</v>
      </c>
      <c r="S287" t="n">
        <v>35159.67000000001</v>
      </c>
      <c r="T287" t="n">
        <v>24</v>
      </c>
      <c r="U287" t="n">
        <v>25</v>
      </c>
      <c r="V287" t="n">
        <v>30</v>
      </c>
      <c r="W287" t="n">
        <v>15</v>
      </c>
      <c r="X287" t="n">
        <v>93.30292349160273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10352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21</v>
      </c>
      <c r="AL287" t="inlineStr">
        <is>
          <t>Miss Glam Damar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"8997227897891"</f>
        <v/>
      </c>
      <c r="C288" t="inlineStr">
        <is>
          <t>BARENBLISS Better Than Magic Eyeliner 01 Patronus Black</t>
        </is>
      </c>
      <c r="D288" t="inlineStr">
        <is>
          <t>Miss Glam Damar</t>
        </is>
      </c>
      <c r="E288" t="n">
        <v>50</v>
      </c>
      <c r="F288" t="n">
        <v>0.4004</v>
      </c>
      <c r="G288" t="n">
        <v>1.82</v>
      </c>
      <c r="H288" t="n">
        <v>2</v>
      </c>
      <c r="I288" t="n">
        <v>9</v>
      </c>
      <c r="J288" t="n">
        <v>3</v>
      </c>
      <c r="K288" t="n">
        <v>0</v>
      </c>
      <c r="L288" t="n">
        <v>34899</v>
      </c>
      <c r="M288" t="n">
        <v>47900</v>
      </c>
      <c r="N288" t="n">
        <v>91</v>
      </c>
      <c r="O288" t="n">
        <v>0.91</v>
      </c>
      <c r="P288" t="n">
        <v>1</v>
      </c>
      <c r="Q288" t="n">
        <v>0.32</v>
      </c>
      <c r="R288" t="n">
        <v>2</v>
      </c>
      <c r="S288" t="n">
        <v>19179.16</v>
      </c>
      <c r="T288" t="n">
        <v>16</v>
      </c>
      <c r="U288" t="n">
        <v>17</v>
      </c>
      <c r="V288" t="n">
        <v>30</v>
      </c>
      <c r="W288" t="n">
        <v>13</v>
      </c>
      <c r="X288" t="n">
        <v>124.8751248751249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10352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21</v>
      </c>
      <c r="AL288" t="inlineStr">
        <is>
          <t>Miss Glam Damar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"20200334120"</f>
        <v/>
      </c>
      <c r="C289" t="inlineStr">
        <is>
          <t>BARENBLISS Black Eclipse Eyeliner 0.5gr</t>
        </is>
      </c>
      <c r="D289" t="inlineStr">
        <is>
          <t>Miss Glam Damar</t>
        </is>
      </c>
      <c r="E289" t="n">
        <v>85</v>
      </c>
      <c r="F289" t="n">
        <v>1.1284</v>
      </c>
      <c r="G289" t="n">
        <v>7.28</v>
      </c>
      <c r="H289" t="n">
        <v>2</v>
      </c>
      <c r="I289" t="n">
        <v>9</v>
      </c>
      <c r="J289" t="n">
        <v>1</v>
      </c>
      <c r="K289" t="n">
        <v>0</v>
      </c>
      <c r="L289" t="n">
        <v>39920</v>
      </c>
      <c r="M289" t="n">
        <v>49900</v>
      </c>
      <c r="N289" t="n">
        <v>91</v>
      </c>
      <c r="O289" t="n">
        <v>0.91</v>
      </c>
      <c r="P289" t="n">
        <v>1</v>
      </c>
      <c r="Q289" t="n">
        <v>1.51</v>
      </c>
      <c r="R289" t="n">
        <v>4</v>
      </c>
      <c r="S289" t="n">
        <v>56307.16</v>
      </c>
      <c r="T289" t="n">
        <v>64</v>
      </c>
      <c r="U289" t="n">
        <v>67</v>
      </c>
      <c r="V289" t="n">
        <v>30</v>
      </c>
      <c r="W289" t="n">
        <v>34</v>
      </c>
      <c r="X289" t="n">
        <v>75.32789790854306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10352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21</v>
      </c>
      <c r="AL289" t="inlineStr">
        <is>
          <t>Miss Glam Damar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"8809851671689"</f>
        <v/>
      </c>
      <c r="C290" t="inlineStr">
        <is>
          <t>BARENBLISS Bloomatte Hi-Cover Foundation Balm LN0 Oatmeal 12gr</t>
        </is>
      </c>
      <c r="D290" t="inlineStr">
        <is>
          <t>Miss Glam Damar</t>
        </is>
      </c>
      <c r="E290" t="n">
        <v>4</v>
      </c>
      <c r="F290" t="n">
        <v>0.03</v>
      </c>
      <c r="G290" t="n">
        <v>1</v>
      </c>
      <c r="H290" t="n">
        <v>2</v>
      </c>
      <c r="I290" t="n">
        <v>9</v>
      </c>
      <c r="J290" t="n">
        <v>3</v>
      </c>
      <c r="K290" t="n">
        <v>0</v>
      </c>
      <c r="L290" t="n">
        <v>116720</v>
      </c>
      <c r="M290" t="n">
        <v>145900</v>
      </c>
      <c r="N290" t="n">
        <v>91</v>
      </c>
      <c r="O290" t="n">
        <v>0.91</v>
      </c>
      <c r="P290" t="n">
        <v>0</v>
      </c>
      <c r="Q290" t="n">
        <v>0.03</v>
      </c>
      <c r="R290" t="n">
        <v>1</v>
      </c>
      <c r="S290" t="n">
        <v>4377</v>
      </c>
      <c r="T290" t="n">
        <v>9</v>
      </c>
      <c r="U290" t="n">
        <v>10</v>
      </c>
      <c r="V290" t="n">
        <v>30</v>
      </c>
      <c r="W290" t="n">
        <v>1</v>
      </c>
      <c r="X290" t="n">
        <v>133.3333333333333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10352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21</v>
      </c>
      <c r="AL290" t="inlineStr">
        <is>
          <t>Miss Glam Damar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"8809851671696"</f>
        <v/>
      </c>
      <c r="C291" t="inlineStr">
        <is>
          <t>BARENBLISS Bloomatte Hi-Cover Foundation Balm MW1 Honey 12gr</t>
        </is>
      </c>
      <c r="D291" t="inlineStr">
        <is>
          <t>Miss Glam Damar</t>
        </is>
      </c>
      <c r="E291" t="n">
        <v>6</v>
      </c>
      <c r="F291" t="n">
        <v>0.0273</v>
      </c>
      <c r="G291" t="n">
        <v>0.91</v>
      </c>
      <c r="H291" t="n">
        <v>2</v>
      </c>
      <c r="I291" t="n">
        <v>9</v>
      </c>
      <c r="J291" t="n">
        <v>3</v>
      </c>
      <c r="K291" t="n">
        <v>0</v>
      </c>
      <c r="L291" t="n">
        <v>116720</v>
      </c>
      <c r="M291" t="n">
        <v>145900</v>
      </c>
      <c r="N291" t="n">
        <v>91</v>
      </c>
      <c r="O291" t="n">
        <v>0.91</v>
      </c>
      <c r="P291" t="n">
        <v>1</v>
      </c>
      <c r="Q291" t="n">
        <v>0.02</v>
      </c>
      <c r="R291" t="n">
        <v>1</v>
      </c>
      <c r="S291" t="n">
        <v>3983.07</v>
      </c>
      <c r="T291" t="n">
        <v>9</v>
      </c>
      <c r="U291" t="n">
        <v>10</v>
      </c>
      <c r="V291" t="n">
        <v>30</v>
      </c>
      <c r="W291" t="n">
        <v>1</v>
      </c>
      <c r="X291" t="n">
        <v>219.7802197802198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10352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21</v>
      </c>
      <c r="AL291" t="inlineStr">
        <is>
          <t>Miss Glam Damar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"8809851672723"</f>
        <v/>
      </c>
      <c r="C292" t="inlineStr">
        <is>
          <t>BARENBLISS Bloomatte Perfect Zoom Cover Cushion Fn1 Aster 15gr</t>
        </is>
      </c>
      <c r="D292" t="inlineStr">
        <is>
          <t>Miss Glam Damar</t>
        </is>
      </c>
      <c r="E292" t="n">
        <v>11</v>
      </c>
      <c r="F292" t="n">
        <v>0.1365</v>
      </c>
      <c r="G292" t="n">
        <v>1.82</v>
      </c>
      <c r="H292" t="n">
        <v>2</v>
      </c>
      <c r="I292" t="n">
        <v>9</v>
      </c>
      <c r="J292" t="n">
        <v>3</v>
      </c>
      <c r="K292" t="n">
        <v>0</v>
      </c>
      <c r="L292" t="n">
        <v>119920</v>
      </c>
      <c r="M292" t="n">
        <v>149900</v>
      </c>
      <c r="N292" t="n">
        <v>91</v>
      </c>
      <c r="O292" t="n">
        <v>0.91</v>
      </c>
      <c r="P292" t="n">
        <v>1</v>
      </c>
      <c r="Q292" t="n">
        <v>0.14</v>
      </c>
      <c r="R292" t="n">
        <v>2</v>
      </c>
      <c r="S292" t="n">
        <v>20461.35</v>
      </c>
      <c r="T292" t="n">
        <v>17</v>
      </c>
      <c r="U292" t="n">
        <v>18</v>
      </c>
      <c r="V292" t="n">
        <v>30</v>
      </c>
      <c r="W292" t="n">
        <v>5</v>
      </c>
      <c r="X292" t="n">
        <v>80.58608058608058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10352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21</v>
      </c>
      <c r="AL292" t="inlineStr">
        <is>
          <t>Miss Glam Damar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"8809851672747"</f>
        <v/>
      </c>
      <c r="C293" t="inlineStr">
        <is>
          <t>BARENBLISS Bloomatte Perfect Zoom Cover Cushion Ln1 Calendula 15gr</t>
        </is>
      </c>
      <c r="D293" t="inlineStr">
        <is>
          <t>Miss Glam Damar</t>
        </is>
      </c>
      <c r="E293" t="n">
        <v>7</v>
      </c>
      <c r="F293" t="n">
        <v>0.4004</v>
      </c>
      <c r="G293" t="n">
        <v>1.82</v>
      </c>
      <c r="H293" t="n">
        <v>2</v>
      </c>
      <c r="I293" t="n">
        <v>9</v>
      </c>
      <c r="J293" t="n">
        <v>3</v>
      </c>
      <c r="K293" t="n">
        <v>0</v>
      </c>
      <c r="L293" t="n">
        <v>119920</v>
      </c>
      <c r="M293" t="n">
        <v>149900</v>
      </c>
      <c r="N293" t="n">
        <v>91</v>
      </c>
      <c r="O293" t="n">
        <v>0.91</v>
      </c>
      <c r="P293" t="n">
        <v>1</v>
      </c>
      <c r="Q293" t="n">
        <v>0.2</v>
      </c>
      <c r="R293" t="n">
        <v>2</v>
      </c>
      <c r="S293" t="n">
        <v>60019.96000000001</v>
      </c>
      <c r="T293" t="n">
        <v>16</v>
      </c>
      <c r="U293" t="n">
        <v>17</v>
      </c>
      <c r="V293" t="n">
        <v>30</v>
      </c>
      <c r="W293" t="n">
        <v>13</v>
      </c>
      <c r="X293" t="n">
        <v>17.48251748251748</v>
      </c>
      <c r="Y293" t="n">
        <v>1</v>
      </c>
      <c r="Z293" t="n">
        <v>6</v>
      </c>
      <c r="AA293" t="n">
        <v>0</v>
      </c>
      <c r="AB293" t="n">
        <v>6</v>
      </c>
      <c r="AC293" t="n">
        <v>6</v>
      </c>
      <c r="AD293" t="n">
        <v>0</v>
      </c>
      <c r="AE293" t="n">
        <v>719520</v>
      </c>
      <c r="AF293" t="n">
        <v>10352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21</v>
      </c>
      <c r="AL293" t="inlineStr">
        <is>
          <t>Miss Glam Damar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"8809851672754"</f>
        <v/>
      </c>
      <c r="C294" t="inlineStr">
        <is>
          <t>BARENBLISS Bloomatte Perfect Zoom Cover Cushion Lw2 Daisy 15gr</t>
        </is>
      </c>
      <c r="D294" t="inlineStr">
        <is>
          <t>Miss Glam Damar</t>
        </is>
      </c>
      <c r="E294" t="n">
        <v>2</v>
      </c>
      <c r="F294" t="n">
        <v>0.4186</v>
      </c>
      <c r="G294" t="n">
        <v>3.64</v>
      </c>
      <c r="H294" t="n">
        <v>2</v>
      </c>
      <c r="I294" t="n">
        <v>9</v>
      </c>
      <c r="J294" t="n">
        <v>3</v>
      </c>
      <c r="K294" t="n">
        <v>0</v>
      </c>
      <c r="L294" t="n">
        <v>119920</v>
      </c>
      <c r="M294" t="n">
        <v>149900</v>
      </c>
      <c r="N294" t="n">
        <v>91</v>
      </c>
      <c r="O294" t="n">
        <v>0.91</v>
      </c>
      <c r="P294" t="n">
        <v>1</v>
      </c>
      <c r="Q294" t="n">
        <v>0.2</v>
      </c>
      <c r="R294" t="n">
        <v>2</v>
      </c>
      <c r="S294" t="n">
        <v>62748.14000000001</v>
      </c>
      <c r="T294" t="n">
        <v>32</v>
      </c>
      <c r="U294" t="n">
        <v>33</v>
      </c>
      <c r="V294" t="n">
        <v>30</v>
      </c>
      <c r="W294" t="n">
        <v>13</v>
      </c>
      <c r="X294" t="n">
        <v>4.777830864787386</v>
      </c>
      <c r="Y294" t="n">
        <v>1</v>
      </c>
      <c r="Z294" t="n">
        <v>11</v>
      </c>
      <c r="AA294" t="n">
        <v>2</v>
      </c>
      <c r="AB294" t="n">
        <v>9</v>
      </c>
      <c r="AC294" t="n">
        <v>9</v>
      </c>
      <c r="AD294" t="n">
        <v>239840</v>
      </c>
      <c r="AE294" t="n">
        <v>1079280</v>
      </c>
      <c r="AF294" t="n">
        <v>10352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21</v>
      </c>
      <c r="AL294" t="inlineStr">
        <is>
          <t>Miss Glam Damar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"8809851672761"</f>
        <v/>
      </c>
      <c r="C295" t="inlineStr">
        <is>
          <t>BARENBLISS Bloomatte Perfect Zoom Cover Cushion Mc1 Freesia 15gr</t>
        </is>
      </c>
      <c r="D295" t="inlineStr">
        <is>
          <t>Miss Glam Damar</t>
        </is>
      </c>
      <c r="E295" t="n">
        <v>27</v>
      </c>
      <c r="F295" t="n">
        <v>0.1274</v>
      </c>
      <c r="G295" t="n">
        <v>1.82</v>
      </c>
      <c r="H295" t="n">
        <v>2</v>
      </c>
      <c r="I295" t="n">
        <v>9</v>
      </c>
      <c r="J295" t="n">
        <v>3</v>
      </c>
      <c r="K295" t="n">
        <v>0</v>
      </c>
      <c r="L295" t="n">
        <v>119920</v>
      </c>
      <c r="M295" t="n">
        <v>149900</v>
      </c>
      <c r="N295" t="n">
        <v>91</v>
      </c>
      <c r="O295" t="n">
        <v>0.91</v>
      </c>
      <c r="P295" t="n">
        <v>1</v>
      </c>
      <c r="Q295" t="n">
        <v>0.08</v>
      </c>
      <c r="R295" t="n">
        <v>1</v>
      </c>
      <c r="S295" t="n">
        <v>19097.26</v>
      </c>
      <c r="T295" t="n">
        <v>17</v>
      </c>
      <c r="U295" t="n">
        <v>18</v>
      </c>
      <c r="V295" t="n">
        <v>30</v>
      </c>
      <c r="W295" t="n">
        <v>4</v>
      </c>
      <c r="X295" t="n">
        <v>211.9309262166405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10352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21</v>
      </c>
      <c r="AL295" t="inlineStr">
        <is>
          <t>Miss Glam Damar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"8809851672778"</f>
        <v/>
      </c>
      <c r="C296" t="inlineStr">
        <is>
          <t>BARENBLISS Bloomatte Perfect Zoom Cover Cushion MN1 Frangipani 15gr</t>
        </is>
      </c>
      <c r="D296" t="inlineStr">
        <is>
          <t>Miss Glam Damar</t>
        </is>
      </c>
      <c r="E296" t="n">
        <v>24</v>
      </c>
      <c r="F296" t="n">
        <v>0.2821</v>
      </c>
      <c r="G296" t="n">
        <v>1.82</v>
      </c>
      <c r="H296" t="n">
        <v>2</v>
      </c>
      <c r="I296" t="n">
        <v>9</v>
      </c>
      <c r="J296" t="n">
        <v>3</v>
      </c>
      <c r="K296" t="n">
        <v>0</v>
      </c>
      <c r="L296" t="n">
        <v>119920</v>
      </c>
      <c r="M296" t="n">
        <v>149900</v>
      </c>
      <c r="N296" t="n">
        <v>91</v>
      </c>
      <c r="O296" t="n">
        <v>0.91</v>
      </c>
      <c r="P296" t="n">
        <v>1</v>
      </c>
      <c r="Q296" t="n">
        <v>0.32</v>
      </c>
      <c r="R296" t="n">
        <v>2</v>
      </c>
      <c r="S296" t="n">
        <v>42286.79</v>
      </c>
      <c r="T296" t="n">
        <v>16</v>
      </c>
      <c r="U296" t="n">
        <v>17</v>
      </c>
      <c r="V296" t="n">
        <v>30</v>
      </c>
      <c r="W296" t="n">
        <v>9</v>
      </c>
      <c r="X296" t="n">
        <v>85.07621410847217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10352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21</v>
      </c>
      <c r="AL296" t="inlineStr">
        <is>
          <t>Miss Glam Damar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"8809851672785"</f>
        <v/>
      </c>
      <c r="C297" t="inlineStr">
        <is>
          <t>BARENBLISS Bloomatte Perfect Zoom Cover Cushion Mw1 Gardenia 15gr</t>
        </is>
      </c>
      <c r="D297" t="inlineStr">
        <is>
          <t>Miss Glam Damar</t>
        </is>
      </c>
      <c r="E297" t="n">
        <v>11</v>
      </c>
      <c r="F297" t="n">
        <v>0.2184</v>
      </c>
      <c r="G297" t="n">
        <v>1.82</v>
      </c>
      <c r="H297" t="n">
        <v>2</v>
      </c>
      <c r="I297" t="n">
        <v>9</v>
      </c>
      <c r="J297" t="n">
        <v>3</v>
      </c>
      <c r="K297" t="n">
        <v>0</v>
      </c>
      <c r="L297" t="n">
        <v>119920</v>
      </c>
      <c r="M297" t="n">
        <v>149900</v>
      </c>
      <c r="N297" t="n">
        <v>91</v>
      </c>
      <c r="O297" t="n">
        <v>0.91</v>
      </c>
      <c r="P297" t="n">
        <v>1</v>
      </c>
      <c r="Q297" t="n">
        <v>0.32</v>
      </c>
      <c r="R297" t="n">
        <v>2</v>
      </c>
      <c r="S297" t="n">
        <v>32738.16</v>
      </c>
      <c r="T297" t="n">
        <v>16</v>
      </c>
      <c r="U297" t="n">
        <v>17</v>
      </c>
      <c r="V297" t="n">
        <v>30</v>
      </c>
      <c r="W297" t="n">
        <v>7</v>
      </c>
      <c r="X297" t="n">
        <v>50.36630036630036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10352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21</v>
      </c>
      <c r="AL297" t="inlineStr">
        <is>
          <t>Miss Glam Damar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"8809851672792"</f>
        <v/>
      </c>
      <c r="C298" t="inlineStr">
        <is>
          <t>BARENBLISS Bloomatte Perfect Zoom Cover Cushion Tn1 Jasmine 15gr</t>
        </is>
      </c>
      <c r="D298" t="inlineStr">
        <is>
          <t>Miss Glam Damar</t>
        </is>
      </c>
      <c r="E298" t="n">
        <v>7</v>
      </c>
      <c r="F298" t="n">
        <v>0.2184</v>
      </c>
      <c r="G298" t="n">
        <v>0.91</v>
      </c>
      <c r="H298" t="n">
        <v>2</v>
      </c>
      <c r="I298" t="n">
        <v>9</v>
      </c>
      <c r="J298" t="n">
        <v>3</v>
      </c>
      <c r="K298" t="n">
        <v>0</v>
      </c>
      <c r="L298" t="n">
        <v>119920</v>
      </c>
      <c r="M298" t="n">
        <v>149900</v>
      </c>
      <c r="N298" t="n">
        <v>91</v>
      </c>
      <c r="O298" t="n">
        <v>0.91</v>
      </c>
      <c r="P298" t="n">
        <v>1</v>
      </c>
      <c r="Q298" t="n">
        <v>0.08</v>
      </c>
      <c r="R298" t="n">
        <v>1</v>
      </c>
      <c r="S298" t="n">
        <v>32738.16</v>
      </c>
      <c r="T298" t="n">
        <v>8</v>
      </c>
      <c r="U298" t="n">
        <v>9</v>
      </c>
      <c r="V298" t="n">
        <v>30</v>
      </c>
      <c r="W298" t="n">
        <v>7</v>
      </c>
      <c r="X298" t="n">
        <v>32.05128205128205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10352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21</v>
      </c>
      <c r="AL298" t="inlineStr">
        <is>
          <t>Miss Glam Damar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"8809851672815"</f>
        <v/>
      </c>
      <c r="C299" t="inlineStr">
        <is>
          <t>BARENBLISS Bloomatte Perfect Zoom Cover Cushion Tw2 Lotus 15gr</t>
        </is>
      </c>
      <c r="D299" t="inlineStr">
        <is>
          <t>Miss Glam Damar</t>
        </is>
      </c>
      <c r="E299" t="n">
        <v>20</v>
      </c>
      <c r="F299" t="n">
        <v>0.0273</v>
      </c>
      <c r="G299" t="n">
        <v>0.91</v>
      </c>
      <c r="H299" t="n">
        <v>2</v>
      </c>
      <c r="I299" t="n">
        <v>9</v>
      </c>
      <c r="J299" t="n">
        <v>3</v>
      </c>
      <c r="K299" t="n">
        <v>0</v>
      </c>
      <c r="L299" t="n">
        <v>119920</v>
      </c>
      <c r="M299" t="n">
        <v>149900</v>
      </c>
      <c r="N299" t="n">
        <v>91</v>
      </c>
      <c r="O299" t="n">
        <v>0.91</v>
      </c>
      <c r="P299" t="n">
        <v>1</v>
      </c>
      <c r="Q299" t="n">
        <v>0.02</v>
      </c>
      <c r="R299" t="n">
        <v>1</v>
      </c>
      <c r="S299" t="n">
        <v>4092.27</v>
      </c>
      <c r="T299" t="n">
        <v>9</v>
      </c>
      <c r="U299" t="n">
        <v>10</v>
      </c>
      <c r="V299" t="n">
        <v>30</v>
      </c>
      <c r="W299" t="n">
        <v>1</v>
      </c>
      <c r="X299" t="n">
        <v>732.6007326007326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10352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21</v>
      </c>
      <c r="AL299" t="inlineStr">
        <is>
          <t>Miss Glam Damar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"8809851672334"</f>
        <v/>
      </c>
      <c r="C300" t="inlineStr">
        <is>
          <t>BARENBLISS Bloomatte Soul-Matte Loose Powder 00 Fair Apple Gelato 6.8gr</t>
        </is>
      </c>
      <c r="D300" t="inlineStr">
        <is>
          <t>Miss Glam Damar</t>
        </is>
      </c>
      <c r="E300" t="n">
        <v>19</v>
      </c>
      <c r="F300" t="n">
        <v>0.09100000000000001</v>
      </c>
      <c r="G300" t="n">
        <v>1.82</v>
      </c>
      <c r="H300" t="n">
        <v>2</v>
      </c>
      <c r="I300" t="n">
        <v>9</v>
      </c>
      <c r="J300" t="n">
        <v>3</v>
      </c>
      <c r="K300" t="n">
        <v>0</v>
      </c>
      <c r="L300" t="n">
        <v>89520</v>
      </c>
      <c r="M300" t="n">
        <v>111900</v>
      </c>
      <c r="N300" t="n">
        <v>91</v>
      </c>
      <c r="O300" t="n">
        <v>0.91</v>
      </c>
      <c r="P300" t="n">
        <v>1</v>
      </c>
      <c r="Q300" t="n">
        <v>0.14</v>
      </c>
      <c r="R300" t="n">
        <v>2</v>
      </c>
      <c r="S300" t="n">
        <v>10182.9</v>
      </c>
      <c r="T300" t="n">
        <v>17</v>
      </c>
      <c r="U300" t="n">
        <v>18</v>
      </c>
      <c r="V300" t="n">
        <v>30</v>
      </c>
      <c r="W300" t="n">
        <v>3</v>
      </c>
      <c r="X300" t="n">
        <v>208.7912087912088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10352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21</v>
      </c>
      <c r="AL300" t="inlineStr">
        <is>
          <t>Miss Glam Damar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"8809851672341"</f>
        <v/>
      </c>
      <c r="C301" t="inlineStr">
        <is>
          <t>BARENBLISS Bloomatte Soul-Matte Loose Powder 01 Light Vanilla Ice 6,8gr</t>
        </is>
      </c>
      <c r="D301" t="inlineStr">
        <is>
          <t>Miss Glam Damar</t>
        </is>
      </c>
      <c r="E301" t="n">
        <v>48</v>
      </c>
      <c r="F301" t="n">
        <v>0.1547</v>
      </c>
      <c r="G301" t="n">
        <v>1.82</v>
      </c>
      <c r="H301" t="n">
        <v>2</v>
      </c>
      <c r="I301" t="n">
        <v>9</v>
      </c>
      <c r="J301" t="n">
        <v>3</v>
      </c>
      <c r="K301" t="n">
        <v>0</v>
      </c>
      <c r="L301" t="n">
        <v>89520</v>
      </c>
      <c r="M301" t="n">
        <v>111900</v>
      </c>
      <c r="N301" t="n">
        <v>91</v>
      </c>
      <c r="O301" t="n">
        <v>0.91</v>
      </c>
      <c r="P301" t="n">
        <v>1</v>
      </c>
      <c r="Q301" t="n">
        <v>0.22</v>
      </c>
      <c r="R301" t="n">
        <v>2</v>
      </c>
      <c r="S301" t="n">
        <v>17310.93</v>
      </c>
      <c r="T301" t="n">
        <v>17</v>
      </c>
      <c r="U301" t="n">
        <v>18</v>
      </c>
      <c r="V301" t="n">
        <v>30</v>
      </c>
      <c r="W301" t="n">
        <v>5</v>
      </c>
      <c r="X301" t="n">
        <v>310.2779573367808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10352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21</v>
      </c>
      <c r="AL301" t="inlineStr">
        <is>
          <t>Miss Glam Damar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"8809851672358"</f>
        <v/>
      </c>
      <c r="C302" t="inlineStr">
        <is>
          <t>BARENBLISS Bloomatte Soul-Matte Loose Powder 02 Medium Mango Sorbet 6,8gr</t>
        </is>
      </c>
      <c r="D302" t="inlineStr">
        <is>
          <t>Miss Glam Damar</t>
        </is>
      </c>
      <c r="E302" t="n">
        <v>19</v>
      </c>
      <c r="F302" t="n">
        <v>0.0819</v>
      </c>
      <c r="G302" t="n">
        <v>0.91</v>
      </c>
      <c r="H302" t="n">
        <v>2</v>
      </c>
      <c r="I302" t="n">
        <v>9</v>
      </c>
      <c r="J302" t="n">
        <v>3</v>
      </c>
      <c r="K302" t="n">
        <v>0</v>
      </c>
      <c r="L302" t="n">
        <v>89520</v>
      </c>
      <c r="M302" t="n">
        <v>111900</v>
      </c>
      <c r="N302" t="n">
        <v>91</v>
      </c>
      <c r="O302" t="n">
        <v>0.91</v>
      </c>
      <c r="P302" t="n">
        <v>1</v>
      </c>
      <c r="Q302" t="n">
        <v>0.12</v>
      </c>
      <c r="R302" t="n">
        <v>2</v>
      </c>
      <c r="S302" t="n">
        <v>9164.610000000001</v>
      </c>
      <c r="T302" t="n">
        <v>9</v>
      </c>
      <c r="U302" t="n">
        <v>10</v>
      </c>
      <c r="V302" t="n">
        <v>30</v>
      </c>
      <c r="W302" t="n">
        <v>3</v>
      </c>
      <c r="X302" t="n">
        <v>231.990231990232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10352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21</v>
      </c>
      <c r="AL302" t="inlineStr">
        <is>
          <t>Miss Glam Damar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"8809851672365"</f>
        <v/>
      </c>
      <c r="C303" t="inlineStr">
        <is>
          <t>BARENBLISS Bloomatte Soul-Matte Loose Powder 03 Beige Choco Float 6,8gr</t>
        </is>
      </c>
      <c r="D303" t="inlineStr">
        <is>
          <t>Miss Glam Damar</t>
        </is>
      </c>
      <c r="E303" t="n">
        <v>25</v>
      </c>
      <c r="F303" t="n">
        <v>0.02</v>
      </c>
      <c r="G303" t="n">
        <v>1</v>
      </c>
      <c r="H303" t="n">
        <v>2</v>
      </c>
      <c r="I303" t="n">
        <v>9</v>
      </c>
      <c r="J303" t="n">
        <v>3</v>
      </c>
      <c r="K303" t="n">
        <v>0</v>
      </c>
      <c r="L303" t="n">
        <v>89520</v>
      </c>
      <c r="M303" t="n">
        <v>111900</v>
      </c>
      <c r="N303" t="n">
        <v>91</v>
      </c>
      <c r="O303" t="n">
        <v>0.91</v>
      </c>
      <c r="P303" t="n">
        <v>0</v>
      </c>
      <c r="Q303" t="n">
        <v>0.02</v>
      </c>
      <c r="R303" t="n">
        <v>1</v>
      </c>
      <c r="S303" t="n">
        <v>2238</v>
      </c>
      <c r="T303" t="n">
        <v>9</v>
      </c>
      <c r="U303" t="n">
        <v>10</v>
      </c>
      <c r="V303" t="n">
        <v>30</v>
      </c>
      <c r="W303" t="n">
        <v>1</v>
      </c>
      <c r="X303" t="n">
        <v>1250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10352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21</v>
      </c>
      <c r="AL303" t="inlineStr">
        <is>
          <t>Miss Glam Damar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"8809851671580"</f>
        <v/>
      </c>
      <c r="C304" t="inlineStr">
        <is>
          <t>BARENBLISS Bloomatte Stay Confident 2-in-1 Foundation FN1 Pearl 20ml+1gr</t>
        </is>
      </c>
      <c r="D304" t="inlineStr">
        <is>
          <t>Miss Glam Damar</t>
        </is>
      </c>
      <c r="E304" t="n">
        <v>13</v>
      </c>
      <c r="F304" t="n">
        <v>0.06370000000000001</v>
      </c>
      <c r="G304" t="n">
        <v>1.82</v>
      </c>
      <c r="H304" t="n">
        <v>2</v>
      </c>
      <c r="I304" t="n">
        <v>9</v>
      </c>
      <c r="J304" t="n">
        <v>3</v>
      </c>
      <c r="K304" t="n">
        <v>0</v>
      </c>
      <c r="L304" t="n">
        <v>111920</v>
      </c>
      <c r="M304" t="n">
        <v>139900</v>
      </c>
      <c r="N304" t="n">
        <v>91</v>
      </c>
      <c r="O304" t="n">
        <v>0.91</v>
      </c>
      <c r="P304" t="n">
        <v>1</v>
      </c>
      <c r="Q304" t="n">
        <v>0.03</v>
      </c>
      <c r="R304" t="n">
        <v>1</v>
      </c>
      <c r="S304" t="n">
        <v>8911.630000000001</v>
      </c>
      <c r="T304" t="n">
        <v>17</v>
      </c>
      <c r="U304" t="n">
        <v>18</v>
      </c>
      <c r="V304" t="n">
        <v>30</v>
      </c>
      <c r="W304" t="n">
        <v>2</v>
      </c>
      <c r="X304" t="n">
        <v>204.0816326530612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10352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21</v>
      </c>
      <c r="AL304" t="inlineStr">
        <is>
          <t>Miss Glam Damar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"8809851671603"</f>
        <v/>
      </c>
      <c r="C305" t="inlineStr">
        <is>
          <t>BARENBLISS Bloomatte Stay Confident 2-in-1 Foundation lN1 Seashell 20ml+1gr</t>
        </is>
      </c>
      <c r="D305" t="inlineStr">
        <is>
          <t>Miss Glam Damar</t>
        </is>
      </c>
      <c r="E305" t="n">
        <v>15</v>
      </c>
      <c r="F305" t="n">
        <v>0.1092</v>
      </c>
      <c r="G305" t="n">
        <v>0.91</v>
      </c>
      <c r="H305" t="n">
        <v>2</v>
      </c>
      <c r="I305" t="n">
        <v>9</v>
      </c>
      <c r="J305" t="n">
        <v>3</v>
      </c>
      <c r="K305" t="n">
        <v>0</v>
      </c>
      <c r="L305" t="n">
        <v>111920</v>
      </c>
      <c r="M305" t="n">
        <v>139900</v>
      </c>
      <c r="N305" t="n">
        <v>91</v>
      </c>
      <c r="O305" t="n">
        <v>0.91</v>
      </c>
      <c r="P305" t="n">
        <v>1</v>
      </c>
      <c r="Q305" t="n">
        <v>0.15</v>
      </c>
      <c r="R305" t="n">
        <v>2</v>
      </c>
      <c r="S305" t="n">
        <v>15277.08</v>
      </c>
      <c r="T305" t="n">
        <v>8</v>
      </c>
      <c r="U305" t="n">
        <v>9</v>
      </c>
      <c r="V305" t="n">
        <v>30</v>
      </c>
      <c r="W305" t="n">
        <v>4</v>
      </c>
      <c r="X305" t="n">
        <v>137.3626373626373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10352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21</v>
      </c>
      <c r="AL305" t="inlineStr">
        <is>
          <t>Miss Glam Damar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"8809851671641"</f>
        <v/>
      </c>
      <c r="C306" t="inlineStr">
        <is>
          <t>BARENBLISS Bloomatte Stay Confident 2-in-1 Foundation MW1 Honey 20ml+1gr</t>
        </is>
      </c>
      <c r="D306" t="inlineStr">
        <is>
          <t>Miss Glam Damar</t>
        </is>
      </c>
      <c r="E306" t="n">
        <v>3</v>
      </c>
      <c r="F306" t="n">
        <v>0.02</v>
      </c>
      <c r="G306" t="n">
        <v>1</v>
      </c>
      <c r="H306" t="n">
        <v>2</v>
      </c>
      <c r="I306" t="n">
        <v>9</v>
      </c>
      <c r="J306" t="n">
        <v>3</v>
      </c>
      <c r="K306" t="n">
        <v>0</v>
      </c>
      <c r="L306" t="n">
        <v>111920</v>
      </c>
      <c r="M306" t="n">
        <v>139900</v>
      </c>
      <c r="N306" t="n">
        <v>91</v>
      </c>
      <c r="O306" t="n">
        <v>0.91</v>
      </c>
      <c r="P306" t="n">
        <v>0</v>
      </c>
      <c r="Q306" t="n">
        <v>0.02</v>
      </c>
      <c r="R306" t="n">
        <v>1</v>
      </c>
      <c r="S306" t="n">
        <v>2798</v>
      </c>
      <c r="T306" t="n">
        <v>9</v>
      </c>
      <c r="U306" t="n">
        <v>10</v>
      </c>
      <c r="V306" t="n">
        <v>30</v>
      </c>
      <c r="W306" t="n">
        <v>1</v>
      </c>
      <c r="X306" t="n">
        <v>150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10352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21</v>
      </c>
      <c r="AL306" t="inlineStr">
        <is>
          <t>Miss Glam Damar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"8809851671665"</f>
        <v/>
      </c>
      <c r="C307" t="inlineStr">
        <is>
          <t>BARENBLISS Bloomatte Stay Confident 2-in-1 Foundation TN1 Caramel 20ml+1gr</t>
        </is>
      </c>
      <c r="D307" t="inlineStr">
        <is>
          <t>Miss Glam Damar</t>
        </is>
      </c>
      <c r="E307" t="n">
        <v>4</v>
      </c>
      <c r="F307" t="n">
        <v>0.0182</v>
      </c>
      <c r="G307" t="n">
        <v>0.91</v>
      </c>
      <c r="H307" t="n">
        <v>2</v>
      </c>
      <c r="I307" t="n">
        <v>9</v>
      </c>
      <c r="J307" t="n">
        <v>3</v>
      </c>
      <c r="K307" t="n">
        <v>0</v>
      </c>
      <c r="L307" t="n">
        <v>111920</v>
      </c>
      <c r="M307" t="n">
        <v>139900</v>
      </c>
      <c r="N307" t="n">
        <v>91</v>
      </c>
      <c r="O307" t="n">
        <v>0.91</v>
      </c>
      <c r="P307" t="n">
        <v>1</v>
      </c>
      <c r="Q307" t="n">
        <v>0.02</v>
      </c>
      <c r="R307" t="n">
        <v>1</v>
      </c>
      <c r="S307" t="n">
        <v>2546.18</v>
      </c>
      <c r="T307" t="n">
        <v>9</v>
      </c>
      <c r="U307" t="n">
        <v>10</v>
      </c>
      <c r="V307" t="n">
        <v>30</v>
      </c>
      <c r="W307" t="n">
        <v>1</v>
      </c>
      <c r="X307" t="n">
        <v>219.7802197802198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10352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21</v>
      </c>
      <c r="AL307" t="inlineStr">
        <is>
          <t>Miss Glam Damar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"20100328611"</f>
        <v/>
      </c>
      <c r="C308" t="inlineStr">
        <is>
          <t>BARENBLISS Bloomdew Aqua Pearl Concealer Lw0 Hibiscus 5gr</t>
        </is>
      </c>
      <c r="D308" t="inlineStr">
        <is>
          <t>Miss Glam Damar</t>
        </is>
      </c>
      <c r="E308" t="n">
        <v>23</v>
      </c>
      <c r="F308" t="n">
        <v>0.02</v>
      </c>
      <c r="G308" t="n">
        <v>0</v>
      </c>
      <c r="H308" t="n">
        <v>2</v>
      </c>
      <c r="I308" t="n">
        <v>9</v>
      </c>
      <c r="J308" t="n">
        <v>1</v>
      </c>
      <c r="K308" t="n">
        <v>0</v>
      </c>
      <c r="L308" t="n">
        <v>63920</v>
      </c>
      <c r="M308" t="n">
        <v>79900</v>
      </c>
      <c r="N308" t="n">
        <v>91</v>
      </c>
      <c r="O308" t="n">
        <v>0.91</v>
      </c>
      <c r="P308" t="n">
        <v>0</v>
      </c>
      <c r="Q308" t="n">
        <v>0.02</v>
      </c>
      <c r="R308" t="n">
        <v>0</v>
      </c>
      <c r="S308" t="n">
        <v>1598</v>
      </c>
      <c r="T308" t="n">
        <v>0</v>
      </c>
      <c r="U308" t="n">
        <v>1</v>
      </c>
      <c r="V308" t="n">
        <v>30</v>
      </c>
      <c r="W308" t="n">
        <v>1</v>
      </c>
      <c r="X308" t="n">
        <v>1150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10352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21</v>
      </c>
      <c r="AL308" t="inlineStr">
        <is>
          <t>Miss Glam Damar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"20300389512"</f>
        <v/>
      </c>
      <c r="C309" t="inlineStr">
        <is>
          <t>BARENBLISS Bloomdew Inner Light Serum Tint LN0 Cotton 30ml</t>
        </is>
      </c>
      <c r="D309" t="inlineStr">
        <is>
          <t>Miss Glam Damar</t>
        </is>
      </c>
      <c r="E309" t="n">
        <v>7</v>
      </c>
      <c r="F309" t="n">
        <v>0.1365</v>
      </c>
      <c r="G309" t="n">
        <v>0.91</v>
      </c>
      <c r="H309" t="n">
        <v>2</v>
      </c>
      <c r="I309" t="n">
        <v>9</v>
      </c>
      <c r="J309" t="n">
        <v>3</v>
      </c>
      <c r="K309" t="n">
        <v>0</v>
      </c>
      <c r="L309" t="n">
        <v>103200</v>
      </c>
      <c r="M309" t="n">
        <v>129000</v>
      </c>
      <c r="N309" t="n">
        <v>91</v>
      </c>
      <c r="O309" t="n">
        <v>0.91</v>
      </c>
      <c r="P309" t="n">
        <v>1</v>
      </c>
      <c r="Q309" t="n">
        <v>0.12</v>
      </c>
      <c r="R309" t="n">
        <v>2</v>
      </c>
      <c r="S309" t="n">
        <v>17608.5</v>
      </c>
      <c r="T309" t="n">
        <v>8</v>
      </c>
      <c r="U309" t="n">
        <v>9</v>
      </c>
      <c r="V309" t="n">
        <v>30</v>
      </c>
      <c r="W309" t="n">
        <v>5</v>
      </c>
      <c r="X309" t="n">
        <v>51.28205128205128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10352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21</v>
      </c>
      <c r="AL309" t="inlineStr">
        <is>
          <t>Miss Glam Damar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"20300389131"</f>
        <v/>
      </c>
      <c r="C310" t="inlineStr">
        <is>
          <t>BARENBLISS Bloomdew Inner Light Serum Tint LW0 Hibiscus 30ml</t>
        </is>
      </c>
      <c r="D310" t="inlineStr">
        <is>
          <t>Miss Glam Damar</t>
        </is>
      </c>
      <c r="E310" t="n">
        <v>3</v>
      </c>
      <c r="F310" t="n">
        <v>0.2184</v>
      </c>
      <c r="G310" t="n">
        <v>1.82</v>
      </c>
      <c r="H310" t="n">
        <v>2</v>
      </c>
      <c r="I310" t="n">
        <v>9</v>
      </c>
      <c r="J310" t="n">
        <v>3</v>
      </c>
      <c r="K310" t="n">
        <v>0</v>
      </c>
      <c r="L310" t="n">
        <v>103200</v>
      </c>
      <c r="M310" t="n">
        <v>129000</v>
      </c>
      <c r="N310" t="n">
        <v>91</v>
      </c>
      <c r="O310" t="n">
        <v>0.91</v>
      </c>
      <c r="P310" t="n">
        <v>1</v>
      </c>
      <c r="Q310" t="n">
        <v>0.05</v>
      </c>
      <c r="R310" t="n">
        <v>1</v>
      </c>
      <c r="S310" t="n">
        <v>28173.6</v>
      </c>
      <c r="T310" t="n">
        <v>16</v>
      </c>
      <c r="U310" t="n">
        <v>17</v>
      </c>
      <c r="V310" t="n">
        <v>30</v>
      </c>
      <c r="W310" t="n">
        <v>7</v>
      </c>
      <c r="X310" t="n">
        <v>13.73626373626374</v>
      </c>
      <c r="Y310" t="n">
        <v>1</v>
      </c>
      <c r="Z310" t="n">
        <v>4</v>
      </c>
      <c r="AA310" t="n">
        <v>0</v>
      </c>
      <c r="AB310" t="n">
        <v>4</v>
      </c>
      <c r="AC310" t="n">
        <v>4</v>
      </c>
      <c r="AD310" t="n">
        <v>0</v>
      </c>
      <c r="AE310" t="n">
        <v>412800</v>
      </c>
      <c r="AF310" t="n">
        <v>10352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21</v>
      </c>
      <c r="AL310" t="inlineStr">
        <is>
          <t>Miss Glam Damar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"20300389439"</f>
        <v/>
      </c>
      <c r="C311" t="inlineStr">
        <is>
          <t>BARENBLISS Bloomdew Inner Light Serum Tint MN0 Primrose 30ml</t>
        </is>
      </c>
      <c r="D311" t="inlineStr">
        <is>
          <t>Miss Glam Damar</t>
        </is>
      </c>
      <c r="E311" t="n">
        <v>4</v>
      </c>
      <c r="F311" t="n">
        <v>0.2457</v>
      </c>
      <c r="G311" t="n">
        <v>2.73</v>
      </c>
      <c r="H311" t="n">
        <v>2</v>
      </c>
      <c r="I311" t="n">
        <v>9</v>
      </c>
      <c r="J311" t="n">
        <v>3</v>
      </c>
      <c r="K311" t="n">
        <v>0</v>
      </c>
      <c r="L311" t="n">
        <v>103200</v>
      </c>
      <c r="M311" t="n">
        <v>129000</v>
      </c>
      <c r="N311" t="n">
        <v>91</v>
      </c>
      <c r="O311" t="n">
        <v>0.91</v>
      </c>
      <c r="P311" t="n">
        <v>1</v>
      </c>
      <c r="Q311" t="n">
        <v>0.1</v>
      </c>
      <c r="R311" t="n">
        <v>2</v>
      </c>
      <c r="S311" t="n">
        <v>31695.3</v>
      </c>
      <c r="T311" t="n">
        <v>25</v>
      </c>
      <c r="U311" t="n">
        <v>26</v>
      </c>
      <c r="V311" t="n">
        <v>30</v>
      </c>
      <c r="W311" t="n">
        <v>8</v>
      </c>
      <c r="X311" t="n">
        <v>16.28001628001628</v>
      </c>
      <c r="Y311" t="n">
        <v>1</v>
      </c>
      <c r="Z311" t="n">
        <v>4</v>
      </c>
      <c r="AA311" t="n">
        <v>0</v>
      </c>
      <c r="AB311" t="n">
        <v>4</v>
      </c>
      <c r="AC311" t="n">
        <v>4</v>
      </c>
      <c r="AD311" t="n">
        <v>0</v>
      </c>
      <c r="AE311" t="n">
        <v>412800</v>
      </c>
      <c r="AF311" t="n">
        <v>10352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21</v>
      </c>
      <c r="AL311" t="inlineStr">
        <is>
          <t>Miss Glam Damar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"20300389360"</f>
        <v/>
      </c>
      <c r="C312" t="inlineStr">
        <is>
          <t>BARENBLISS Bloomdew Inner Light Serum Tint MW0 Camellia 30ml</t>
        </is>
      </c>
      <c r="D312" t="inlineStr">
        <is>
          <t>Miss Glam Damar</t>
        </is>
      </c>
      <c r="E312" t="n">
        <v>11</v>
      </c>
      <c r="F312" t="n">
        <v>0.3367</v>
      </c>
      <c r="G312" t="n">
        <v>2.73</v>
      </c>
      <c r="H312" t="n">
        <v>2</v>
      </c>
      <c r="I312" t="n">
        <v>9</v>
      </c>
      <c r="J312" t="n">
        <v>3</v>
      </c>
      <c r="K312" t="n">
        <v>0</v>
      </c>
      <c r="L312" t="n">
        <v>103200</v>
      </c>
      <c r="M312" t="n">
        <v>129000</v>
      </c>
      <c r="N312" t="n">
        <v>91</v>
      </c>
      <c r="O312" t="n">
        <v>0.91</v>
      </c>
      <c r="P312" t="n">
        <v>1</v>
      </c>
      <c r="Q312" t="n">
        <v>0.05</v>
      </c>
      <c r="R312" t="n">
        <v>1</v>
      </c>
      <c r="S312" t="n">
        <v>43434.3</v>
      </c>
      <c r="T312" t="n">
        <v>24</v>
      </c>
      <c r="U312" t="n">
        <v>25</v>
      </c>
      <c r="V312" t="n">
        <v>30</v>
      </c>
      <c r="W312" t="n">
        <v>11</v>
      </c>
      <c r="X312" t="n">
        <v>32.67003267003267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10352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21</v>
      </c>
      <c r="AL312" t="inlineStr">
        <is>
          <t>Miss Glam Damar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"20300389228"</f>
        <v/>
      </c>
      <c r="C313" t="inlineStr">
        <is>
          <t>BARENBLISS Bloomdew Inner Light Serum Tint MW1 Cosmos 30ml</t>
        </is>
      </c>
      <c r="D313" t="inlineStr">
        <is>
          <t>Miss Glam Damar</t>
        </is>
      </c>
      <c r="E313" t="n">
        <v>3</v>
      </c>
      <c r="F313" t="n">
        <v>0.1547</v>
      </c>
      <c r="G313" t="n">
        <v>0.91</v>
      </c>
      <c r="H313" t="n">
        <v>2</v>
      </c>
      <c r="I313" t="n">
        <v>9</v>
      </c>
      <c r="J313" t="n">
        <v>3</v>
      </c>
      <c r="K313" t="n">
        <v>0</v>
      </c>
      <c r="L313" t="n">
        <v>103200</v>
      </c>
      <c r="M313" t="n">
        <v>129000</v>
      </c>
      <c r="N313" t="n">
        <v>91</v>
      </c>
      <c r="O313" t="n">
        <v>0.91</v>
      </c>
      <c r="P313" t="n">
        <v>1</v>
      </c>
      <c r="Q313" t="n">
        <v>0.15</v>
      </c>
      <c r="R313" t="n">
        <v>1</v>
      </c>
      <c r="S313" t="n">
        <v>19956.3</v>
      </c>
      <c r="T313" t="n">
        <v>8</v>
      </c>
      <c r="U313" t="n">
        <v>9</v>
      </c>
      <c r="V313" t="n">
        <v>30</v>
      </c>
      <c r="W313" t="n">
        <v>5</v>
      </c>
      <c r="X313" t="n">
        <v>19.3923723335488</v>
      </c>
      <c r="Y313" t="n">
        <v>1</v>
      </c>
      <c r="Z313" t="n">
        <v>2</v>
      </c>
      <c r="AA313" t="n">
        <v>0</v>
      </c>
      <c r="AB313" t="n">
        <v>2</v>
      </c>
      <c r="AC313" t="n">
        <v>3</v>
      </c>
      <c r="AD313" t="n">
        <v>0</v>
      </c>
      <c r="AE313" t="n">
        <v>309600</v>
      </c>
      <c r="AF313" t="n">
        <v>10352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21</v>
      </c>
      <c r="AL313" t="inlineStr">
        <is>
          <t>Miss Glam Damar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"20100484538"</f>
        <v/>
      </c>
      <c r="C314" t="inlineStr">
        <is>
          <t>BARENBLISS Bloomdew Moonlight Dewy Mesh Cushion Fn1 Aster 15gr</t>
        </is>
      </c>
      <c r="D314" t="inlineStr">
        <is>
          <t>Miss Glam Damar</t>
        </is>
      </c>
      <c r="E314" t="n">
        <v>13</v>
      </c>
      <c r="F314" t="n">
        <v>0.2002</v>
      </c>
      <c r="G314" t="n">
        <v>0.91</v>
      </c>
      <c r="H314" t="n">
        <v>2</v>
      </c>
      <c r="I314" t="n">
        <v>9</v>
      </c>
      <c r="J314" t="n">
        <v>1</v>
      </c>
      <c r="K314" t="n">
        <v>0</v>
      </c>
      <c r="L314" t="n">
        <v>119920</v>
      </c>
      <c r="M314" t="n">
        <v>149900</v>
      </c>
      <c r="N314" t="n">
        <v>91</v>
      </c>
      <c r="O314" t="n">
        <v>0.91</v>
      </c>
      <c r="P314" t="n">
        <v>1</v>
      </c>
      <c r="Q314" t="n">
        <v>0.2</v>
      </c>
      <c r="R314" t="n">
        <v>2</v>
      </c>
      <c r="S314" t="n">
        <v>30009.98</v>
      </c>
      <c r="T314" t="n">
        <v>8</v>
      </c>
      <c r="U314" t="n">
        <v>9</v>
      </c>
      <c r="V314" t="n">
        <v>30</v>
      </c>
      <c r="W314" t="n">
        <v>7</v>
      </c>
      <c r="X314" t="n">
        <v>64.93506493506493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10352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21</v>
      </c>
      <c r="AL314" t="inlineStr">
        <is>
          <t>Miss Glam Damar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"20100484626"</f>
        <v/>
      </c>
      <c r="C315" t="inlineStr">
        <is>
          <t>BARENBLISS Bloomdew Moonlight Dewy Mesh Cushion Lc1 Iris 15gr</t>
        </is>
      </c>
      <c r="D315" t="inlineStr">
        <is>
          <t>Miss Glam Damar</t>
        </is>
      </c>
      <c r="E315" t="n">
        <v>25</v>
      </c>
      <c r="F315" t="n">
        <v>0.09100000000000001</v>
      </c>
      <c r="G315" t="n">
        <v>1.82</v>
      </c>
      <c r="H315" t="n">
        <v>2</v>
      </c>
      <c r="I315" t="n">
        <v>9</v>
      </c>
      <c r="J315" t="n">
        <v>1</v>
      </c>
      <c r="K315" t="n">
        <v>0</v>
      </c>
      <c r="L315" t="n">
        <v>119920</v>
      </c>
      <c r="M315" t="n">
        <v>149900</v>
      </c>
      <c r="N315" t="n">
        <v>91</v>
      </c>
      <c r="O315" t="n">
        <v>0.91</v>
      </c>
      <c r="P315" t="n">
        <v>1</v>
      </c>
      <c r="Q315" t="n">
        <v>0.08</v>
      </c>
      <c r="R315" t="n">
        <v>2</v>
      </c>
      <c r="S315" t="n">
        <v>13640.9</v>
      </c>
      <c r="T315" t="n">
        <v>17</v>
      </c>
      <c r="U315" t="n">
        <v>18</v>
      </c>
      <c r="V315" t="n">
        <v>30</v>
      </c>
      <c r="W315" t="n">
        <v>3</v>
      </c>
      <c r="X315" t="n">
        <v>274.7252747252747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10352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21</v>
      </c>
      <c r="AL315" t="inlineStr">
        <is>
          <t>Miss Glam Damar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"20100479510"</f>
        <v/>
      </c>
      <c r="C316" t="inlineStr">
        <is>
          <t>BARENBLISS Bloomdew Moonlight Dewy Mesh Cushion LN1 Calendula 15gr</t>
        </is>
      </c>
      <c r="D316" t="inlineStr">
        <is>
          <t>Miss Glam Damar</t>
        </is>
      </c>
      <c r="E316" t="n">
        <v>2</v>
      </c>
      <c r="F316" t="n">
        <v>0.2275</v>
      </c>
      <c r="G316" t="n">
        <v>1.82</v>
      </c>
      <c r="H316" t="n">
        <v>2</v>
      </c>
      <c r="I316" t="n">
        <v>9</v>
      </c>
      <c r="J316" t="n">
        <v>1</v>
      </c>
      <c r="K316" t="n">
        <v>0</v>
      </c>
      <c r="L316" t="n">
        <v>119920</v>
      </c>
      <c r="M316" t="n">
        <v>149900</v>
      </c>
      <c r="N316" t="n">
        <v>91</v>
      </c>
      <c r="O316" t="n">
        <v>0.91</v>
      </c>
      <c r="P316" t="n">
        <v>1</v>
      </c>
      <c r="Q316" t="n">
        <v>0.37</v>
      </c>
      <c r="R316" t="n">
        <v>2</v>
      </c>
      <c r="S316" t="n">
        <v>34102.25</v>
      </c>
      <c r="T316" t="n">
        <v>16</v>
      </c>
      <c r="U316" t="n">
        <v>17</v>
      </c>
      <c r="V316" t="n">
        <v>30</v>
      </c>
      <c r="W316" t="n">
        <v>7</v>
      </c>
      <c r="X316" t="n">
        <v>8.79120879120879</v>
      </c>
      <c r="Y316" t="n">
        <v>1</v>
      </c>
      <c r="Z316" t="n">
        <v>5</v>
      </c>
      <c r="AA316" t="n">
        <v>1</v>
      </c>
      <c r="AB316" t="n">
        <v>4</v>
      </c>
      <c r="AC316" t="n">
        <v>4</v>
      </c>
      <c r="AD316" t="n">
        <v>119920</v>
      </c>
      <c r="AE316" t="n">
        <v>479680</v>
      </c>
      <c r="AF316" t="n">
        <v>10352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21</v>
      </c>
      <c r="AL316" t="inlineStr">
        <is>
          <t>Miss Glam Damar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"20100479649"</f>
        <v/>
      </c>
      <c r="C317" t="inlineStr">
        <is>
          <t>BARENBLISS Bloomdew Moonlight Dewy Mesh Cushion LW1 Bluebell 15gr</t>
        </is>
      </c>
      <c r="D317" t="inlineStr">
        <is>
          <t>Miss Glam Damar</t>
        </is>
      </c>
      <c r="E317" t="n">
        <v>17</v>
      </c>
      <c r="F317" t="n">
        <v>0.09100000000000001</v>
      </c>
      <c r="G317" t="n">
        <v>0.91</v>
      </c>
      <c r="H317" t="n">
        <v>2</v>
      </c>
      <c r="I317" t="n">
        <v>9</v>
      </c>
      <c r="J317" t="n">
        <v>1</v>
      </c>
      <c r="K317" t="n">
        <v>0</v>
      </c>
      <c r="L317" t="n">
        <v>119920</v>
      </c>
      <c r="M317" t="n">
        <v>149900</v>
      </c>
      <c r="N317" t="n">
        <v>91</v>
      </c>
      <c r="O317" t="n">
        <v>0.91</v>
      </c>
      <c r="P317" t="n">
        <v>1</v>
      </c>
      <c r="Q317" t="n">
        <v>0.22</v>
      </c>
      <c r="R317" t="n">
        <v>1</v>
      </c>
      <c r="S317" t="n">
        <v>13640.9</v>
      </c>
      <c r="T317" t="n">
        <v>9</v>
      </c>
      <c r="U317" t="n">
        <v>10</v>
      </c>
      <c r="V317" t="n">
        <v>30</v>
      </c>
      <c r="W317" t="n">
        <v>3</v>
      </c>
      <c r="X317" t="n">
        <v>186.8131868131868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10352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21</v>
      </c>
      <c r="AL317" t="inlineStr">
        <is>
          <t>Miss Glam Damar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"20100479727"</f>
        <v/>
      </c>
      <c r="C318" t="inlineStr">
        <is>
          <t>BARENBLISS Bloomdew Moonlight Dewy Mesh Cushion LW2 Daisy 15gr</t>
        </is>
      </c>
      <c r="D318" t="inlineStr">
        <is>
          <t>Miss Glam Damar</t>
        </is>
      </c>
      <c r="E318" t="n">
        <v>26</v>
      </c>
      <c r="F318" t="n">
        <v>0.09100000000000001</v>
      </c>
      <c r="G318" t="n">
        <v>0.91</v>
      </c>
      <c r="H318" t="n">
        <v>2</v>
      </c>
      <c r="I318" t="n">
        <v>9</v>
      </c>
      <c r="J318" t="n">
        <v>1</v>
      </c>
      <c r="K318" t="n">
        <v>0</v>
      </c>
      <c r="L318" t="n">
        <v>119920</v>
      </c>
      <c r="M318" t="n">
        <v>149900</v>
      </c>
      <c r="N318" t="n">
        <v>91</v>
      </c>
      <c r="O318" t="n">
        <v>0.91</v>
      </c>
      <c r="P318" t="n">
        <v>1</v>
      </c>
      <c r="Q318" t="n">
        <v>0.22</v>
      </c>
      <c r="R318" t="n">
        <v>3</v>
      </c>
      <c r="S318" t="n">
        <v>13640.9</v>
      </c>
      <c r="T318" t="n">
        <v>9</v>
      </c>
      <c r="U318" t="n">
        <v>10</v>
      </c>
      <c r="V318" t="n">
        <v>30</v>
      </c>
      <c r="W318" t="n">
        <v>3</v>
      </c>
      <c r="X318" t="n">
        <v>285.7142857142857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10352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21</v>
      </c>
      <c r="AL318" t="inlineStr">
        <is>
          <t>Miss Glam Damar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"20100479801"</f>
        <v/>
      </c>
      <c r="C319" t="inlineStr">
        <is>
          <t>BARENBLISS Bloomdew Moonlight Dewy Mesh Cushion MC1 Freesia 15gr</t>
        </is>
      </c>
      <c r="D319" t="inlineStr">
        <is>
          <t>Miss Glam Damar</t>
        </is>
      </c>
      <c r="E319" t="n">
        <v>9</v>
      </c>
      <c r="F319" t="n">
        <v>0.06370000000000001</v>
      </c>
      <c r="G319" t="n">
        <v>0.91</v>
      </c>
      <c r="H319" t="n">
        <v>2</v>
      </c>
      <c r="I319" t="n">
        <v>9</v>
      </c>
      <c r="J319" t="n">
        <v>1</v>
      </c>
      <c r="K319" t="n">
        <v>0</v>
      </c>
      <c r="L319" t="n">
        <v>119920</v>
      </c>
      <c r="M319" t="n">
        <v>149900</v>
      </c>
      <c r="N319" t="n">
        <v>91</v>
      </c>
      <c r="O319" t="n">
        <v>0.91</v>
      </c>
      <c r="P319" t="n">
        <v>1</v>
      </c>
      <c r="Q319" t="n">
        <v>0.07000000000000001</v>
      </c>
      <c r="R319" t="n">
        <v>1</v>
      </c>
      <c r="S319" t="n">
        <v>9548.630000000001</v>
      </c>
      <c r="T319" t="n">
        <v>9</v>
      </c>
      <c r="U319" t="n">
        <v>10</v>
      </c>
      <c r="V319" t="n">
        <v>30</v>
      </c>
      <c r="W319" t="n">
        <v>2</v>
      </c>
      <c r="X319" t="n">
        <v>141.287284144427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10352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21</v>
      </c>
      <c r="AL319" t="inlineStr">
        <is>
          <t>Miss Glam Damar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"20100479955"</f>
        <v/>
      </c>
      <c r="C320" t="inlineStr">
        <is>
          <t>BARENBLISS Bloomdew Moonlight Dewy Mesh Cushion MW1 Gardenia 15r</t>
        </is>
      </c>
      <c r="D320" t="inlineStr">
        <is>
          <t>Miss Glam Damar</t>
        </is>
      </c>
      <c r="E320" t="n">
        <v>12</v>
      </c>
      <c r="F320" t="n">
        <v>0.2275</v>
      </c>
      <c r="G320" t="n">
        <v>1.82</v>
      </c>
      <c r="H320" t="n">
        <v>2</v>
      </c>
      <c r="I320" t="n">
        <v>9</v>
      </c>
      <c r="J320" t="n">
        <v>1</v>
      </c>
      <c r="K320" t="n">
        <v>0</v>
      </c>
      <c r="L320" t="n">
        <v>119920</v>
      </c>
      <c r="M320" t="n">
        <v>149900</v>
      </c>
      <c r="N320" t="n">
        <v>91</v>
      </c>
      <c r="O320" t="n">
        <v>0.91</v>
      </c>
      <c r="P320" t="n">
        <v>1</v>
      </c>
      <c r="Q320" t="n">
        <v>0.31</v>
      </c>
      <c r="R320" t="n">
        <v>3</v>
      </c>
      <c r="S320" t="n">
        <v>34102.25</v>
      </c>
      <c r="T320" t="n">
        <v>16</v>
      </c>
      <c r="U320" t="n">
        <v>17</v>
      </c>
      <c r="V320" t="n">
        <v>30</v>
      </c>
      <c r="W320" t="n">
        <v>7</v>
      </c>
      <c r="X320" t="n">
        <v>52.74725274725274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10352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21</v>
      </c>
      <c r="AL320" t="inlineStr">
        <is>
          <t>Miss Glam Damar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"8809851670620"</f>
        <v/>
      </c>
      <c r="C321" t="inlineStr">
        <is>
          <t>BARENBLISS Ceramoist Glow Lip Serum</t>
        </is>
      </c>
      <c r="D321" t="inlineStr">
        <is>
          <t>Miss Glam Damar</t>
        </is>
      </c>
      <c r="E321" t="n">
        <v>37</v>
      </c>
      <c r="F321" t="n">
        <v>0.4459</v>
      </c>
      <c r="G321" t="n">
        <v>2.73</v>
      </c>
      <c r="H321" t="n">
        <v>2</v>
      </c>
      <c r="I321" t="n">
        <v>9</v>
      </c>
      <c r="J321" t="n">
        <v>3</v>
      </c>
      <c r="K321" t="n">
        <v>0</v>
      </c>
      <c r="L321" t="n">
        <v>50328</v>
      </c>
      <c r="M321" t="n">
        <v>69900</v>
      </c>
      <c r="N321" t="n">
        <v>91</v>
      </c>
      <c r="O321" t="n">
        <v>0.91</v>
      </c>
      <c r="P321" t="n">
        <v>1</v>
      </c>
      <c r="Q321" t="n">
        <v>0.32</v>
      </c>
      <c r="R321" t="n">
        <v>3</v>
      </c>
      <c r="S321" t="n">
        <v>31168.41</v>
      </c>
      <c r="T321" t="n">
        <v>24</v>
      </c>
      <c r="U321" t="n">
        <v>25</v>
      </c>
      <c r="V321" t="n">
        <v>30</v>
      </c>
      <c r="W321" t="n">
        <v>14</v>
      </c>
      <c r="X321" t="n">
        <v>82.97824624355236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10352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21</v>
      </c>
      <c r="AL321" t="inlineStr">
        <is>
          <t>Miss Glam Damar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"8809851671016"</f>
        <v/>
      </c>
      <c r="C322" t="inlineStr">
        <is>
          <t>BARENBLISS Cheerful Lip Velvel 12 Latte Muse 2.5gr</t>
        </is>
      </c>
      <c r="D322" t="inlineStr">
        <is>
          <t>Miss Glam Damar</t>
        </is>
      </c>
      <c r="E322" t="n">
        <v>11</v>
      </c>
      <c r="F322" t="n">
        <v>0.1092</v>
      </c>
      <c r="G322" t="n">
        <v>1.82</v>
      </c>
      <c r="H322" t="n">
        <v>2</v>
      </c>
      <c r="I322" t="n">
        <v>9</v>
      </c>
      <c r="J322" t="n">
        <v>3</v>
      </c>
      <c r="K322" t="n">
        <v>0</v>
      </c>
      <c r="L322" t="n">
        <v>52488</v>
      </c>
      <c r="M322" t="n">
        <v>72900</v>
      </c>
      <c r="N322" t="n">
        <v>91</v>
      </c>
      <c r="O322" t="n">
        <v>0.91</v>
      </c>
      <c r="P322" t="n">
        <v>1</v>
      </c>
      <c r="Q322" t="n">
        <v>0.08</v>
      </c>
      <c r="R322" t="n">
        <v>1</v>
      </c>
      <c r="S322" t="n">
        <v>7960.68</v>
      </c>
      <c r="T322" t="n">
        <v>17</v>
      </c>
      <c r="U322" t="n">
        <v>18</v>
      </c>
      <c r="V322" t="n">
        <v>30</v>
      </c>
      <c r="W322" t="n">
        <v>4</v>
      </c>
      <c r="X322" t="n">
        <v>100.7326007326007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10352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21</v>
      </c>
      <c r="AL322" t="inlineStr">
        <is>
          <t>Miss Glam Damar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"8809851671009"</f>
        <v/>
      </c>
      <c r="C323" t="inlineStr">
        <is>
          <t>BARENBLISS Cherrful Lip Velvet 11 Coral Bloom 2.5gr</t>
        </is>
      </c>
      <c r="D323" t="inlineStr">
        <is>
          <t>Miss Glam Damar</t>
        </is>
      </c>
      <c r="E323" t="n">
        <v>11</v>
      </c>
      <c r="F323" t="n">
        <v>0.06370000000000001</v>
      </c>
      <c r="G323" t="n">
        <v>0.91</v>
      </c>
      <c r="H323" t="n">
        <v>2</v>
      </c>
      <c r="I323" t="n">
        <v>9</v>
      </c>
      <c r="J323" t="n">
        <v>3</v>
      </c>
      <c r="K323" t="n">
        <v>0</v>
      </c>
      <c r="L323" t="n">
        <v>52488</v>
      </c>
      <c r="M323" t="n">
        <v>72900</v>
      </c>
      <c r="N323" t="n">
        <v>91</v>
      </c>
      <c r="O323" t="n">
        <v>0.91</v>
      </c>
      <c r="P323" t="n">
        <v>1</v>
      </c>
      <c r="Q323" t="n">
        <v>0.15</v>
      </c>
      <c r="R323" t="n">
        <v>2</v>
      </c>
      <c r="S323" t="n">
        <v>4643.73</v>
      </c>
      <c r="T323" t="n">
        <v>9</v>
      </c>
      <c r="U323" t="n">
        <v>10</v>
      </c>
      <c r="V323" t="n">
        <v>30</v>
      </c>
      <c r="W323" t="n">
        <v>2</v>
      </c>
      <c r="X323" t="n">
        <v>172.6844583987441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10352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21</v>
      </c>
      <c r="AL323" t="inlineStr">
        <is>
          <t>Miss Glam Damar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"8991748000907"</f>
        <v/>
      </c>
      <c r="C324" t="inlineStr">
        <is>
          <t>BARENBLISS Cherry Makes Cheerful Lip Velvet 01 Blushed Moment</t>
        </is>
      </c>
      <c r="D324" t="inlineStr">
        <is>
          <t>Miss Glam Damar</t>
        </is>
      </c>
      <c r="E324" t="n">
        <v>30</v>
      </c>
      <c r="F324" t="n">
        <v>0.6825</v>
      </c>
      <c r="G324" t="n">
        <v>2.73</v>
      </c>
      <c r="H324" t="n">
        <v>2</v>
      </c>
      <c r="I324" t="n">
        <v>9</v>
      </c>
      <c r="J324" t="n">
        <v>3</v>
      </c>
      <c r="K324" t="n">
        <v>0</v>
      </c>
      <c r="L324" t="n">
        <v>56899</v>
      </c>
      <c r="M324" t="n">
        <v>72900</v>
      </c>
      <c r="N324" t="n">
        <v>91</v>
      </c>
      <c r="O324" t="n">
        <v>0.91</v>
      </c>
      <c r="P324" t="n">
        <v>1</v>
      </c>
      <c r="Q324" t="n">
        <v>0.41</v>
      </c>
      <c r="R324" t="n">
        <v>2</v>
      </c>
      <c r="S324" t="n">
        <v>49754.25</v>
      </c>
      <c r="T324" t="n">
        <v>24</v>
      </c>
      <c r="U324" t="n">
        <v>26</v>
      </c>
      <c r="V324" t="n">
        <v>30</v>
      </c>
      <c r="W324" t="n">
        <v>21</v>
      </c>
      <c r="X324" t="n">
        <v>43.95604395604396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10352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21</v>
      </c>
      <c r="AL324" t="inlineStr">
        <is>
          <t>Miss Glam Damar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"8991748000914"</f>
        <v/>
      </c>
      <c r="C325" t="inlineStr">
        <is>
          <t>BARENBLISS Cherry Makes Cheerful Lip Velvet 02 Rosewood Dream</t>
        </is>
      </c>
      <c r="D325" t="inlineStr">
        <is>
          <t>Miss Glam Damar</t>
        </is>
      </c>
      <c r="E325" t="n">
        <v>90</v>
      </c>
      <c r="F325" t="n">
        <v>0.6825</v>
      </c>
      <c r="G325" t="n">
        <v>3.64</v>
      </c>
      <c r="H325" t="n">
        <v>2</v>
      </c>
      <c r="I325" t="n">
        <v>9</v>
      </c>
      <c r="J325" t="n">
        <v>3</v>
      </c>
      <c r="K325" t="n">
        <v>0</v>
      </c>
      <c r="L325" t="n">
        <v>55220</v>
      </c>
      <c r="M325" t="n">
        <v>72900</v>
      </c>
      <c r="N325" t="n">
        <v>91</v>
      </c>
      <c r="O325" t="n">
        <v>0.91</v>
      </c>
      <c r="P325" t="n">
        <v>1</v>
      </c>
      <c r="Q325" t="n">
        <v>0.39</v>
      </c>
      <c r="R325" t="n">
        <v>3</v>
      </c>
      <c r="S325" t="n">
        <v>49754.25</v>
      </c>
      <c r="T325" t="n">
        <v>32</v>
      </c>
      <c r="U325" t="n">
        <v>34</v>
      </c>
      <c r="V325" t="n">
        <v>30</v>
      </c>
      <c r="W325" t="n">
        <v>21</v>
      </c>
      <c r="X325" t="n">
        <v>131.8681318681319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10352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21</v>
      </c>
      <c r="AL325" t="inlineStr">
        <is>
          <t>Miss Glam Damar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"8991748000921"</f>
        <v/>
      </c>
      <c r="C326" t="inlineStr">
        <is>
          <t>BARENBLISS Cherry Makes Cheerful Lip Velvet 03 Cherish Delight</t>
        </is>
      </c>
      <c r="D326" t="inlineStr">
        <is>
          <t>Miss Glam Damar</t>
        </is>
      </c>
      <c r="E326" t="n">
        <v>24</v>
      </c>
      <c r="F326" t="n">
        <v>0.3367</v>
      </c>
      <c r="G326" t="n">
        <v>2.73</v>
      </c>
      <c r="H326" t="n">
        <v>2</v>
      </c>
      <c r="I326" t="n">
        <v>9</v>
      </c>
      <c r="J326" t="n">
        <v>3</v>
      </c>
      <c r="K326" t="n">
        <v>0</v>
      </c>
      <c r="L326" t="n">
        <v>58242</v>
      </c>
      <c r="M326" t="n">
        <v>72900</v>
      </c>
      <c r="N326" t="n">
        <v>91</v>
      </c>
      <c r="O326" t="n">
        <v>0.91</v>
      </c>
      <c r="P326" t="n">
        <v>1</v>
      </c>
      <c r="Q326" t="n">
        <v>0.36</v>
      </c>
      <c r="R326" t="n">
        <v>2</v>
      </c>
      <c r="S326" t="n">
        <v>24545.43</v>
      </c>
      <c r="T326" t="n">
        <v>24</v>
      </c>
      <c r="U326" t="n">
        <v>25</v>
      </c>
      <c r="V326" t="n">
        <v>30</v>
      </c>
      <c r="W326" t="n">
        <v>11</v>
      </c>
      <c r="X326" t="n">
        <v>71.28007128007128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10352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21</v>
      </c>
      <c r="AL326" t="inlineStr">
        <is>
          <t>Miss Glam Damar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"8991748000938"</f>
        <v/>
      </c>
      <c r="C327" t="inlineStr">
        <is>
          <t>BARENBLISS Cherry Makes Cheerful Lip Velvet 04 Wine Thrill</t>
        </is>
      </c>
      <c r="D327" t="inlineStr">
        <is>
          <t>Miss Glam Damar</t>
        </is>
      </c>
      <c r="E327" t="n">
        <v>89</v>
      </c>
      <c r="F327" t="n">
        <v>0.4277</v>
      </c>
      <c r="G327" t="n">
        <v>2.73</v>
      </c>
      <c r="H327" t="n">
        <v>2</v>
      </c>
      <c r="I327" t="n">
        <v>9</v>
      </c>
      <c r="J327" t="n">
        <v>3</v>
      </c>
      <c r="K327" t="n">
        <v>0</v>
      </c>
      <c r="L327" t="n">
        <v>53796</v>
      </c>
      <c r="M327" t="n">
        <v>72900</v>
      </c>
      <c r="N327" t="n">
        <v>91</v>
      </c>
      <c r="O327" t="n">
        <v>0.91</v>
      </c>
      <c r="P327" t="n">
        <v>1</v>
      </c>
      <c r="Q327" t="n">
        <v>0.22</v>
      </c>
      <c r="R327" t="n">
        <v>2</v>
      </c>
      <c r="S327" t="n">
        <v>31179.33</v>
      </c>
      <c r="T327" t="n">
        <v>24</v>
      </c>
      <c r="U327" t="n">
        <v>25</v>
      </c>
      <c r="V327" t="n">
        <v>30</v>
      </c>
      <c r="W327" t="n">
        <v>13</v>
      </c>
      <c r="X327" t="n">
        <v>208.0897825578677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10352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21</v>
      </c>
      <c r="AL327" t="inlineStr">
        <is>
          <t>Miss Glam Damar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"8991748000945"</f>
        <v/>
      </c>
      <c r="C328" t="inlineStr">
        <is>
          <t>BARENBLISS Cherry Makes Cheerful Lip Velvet 05 Autumn Walk</t>
        </is>
      </c>
      <c r="D328" t="inlineStr">
        <is>
          <t>Miss Glam Damar</t>
        </is>
      </c>
      <c r="E328" t="n">
        <v>59</v>
      </c>
      <c r="F328" t="n">
        <v>0.2639</v>
      </c>
      <c r="G328" t="n">
        <v>1.82</v>
      </c>
      <c r="H328" t="n">
        <v>2</v>
      </c>
      <c r="I328" t="n">
        <v>9</v>
      </c>
      <c r="J328" t="n">
        <v>3</v>
      </c>
      <c r="K328" t="n">
        <v>0</v>
      </c>
      <c r="L328" t="n">
        <v>53548</v>
      </c>
      <c r="M328" t="n">
        <v>72900</v>
      </c>
      <c r="N328" t="n">
        <v>91</v>
      </c>
      <c r="O328" t="n">
        <v>0.91</v>
      </c>
      <c r="P328" t="n">
        <v>1</v>
      </c>
      <c r="Q328" t="n">
        <v>0.07000000000000001</v>
      </c>
      <c r="R328" t="n">
        <v>1</v>
      </c>
      <c r="S328" t="n">
        <v>19238.31</v>
      </c>
      <c r="T328" t="n">
        <v>16</v>
      </c>
      <c r="U328" t="n">
        <v>17</v>
      </c>
      <c r="V328" t="n">
        <v>30</v>
      </c>
      <c r="W328" t="n">
        <v>8</v>
      </c>
      <c r="X328" t="n">
        <v>223.5695339143615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10352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21</v>
      </c>
      <c r="AL328" t="inlineStr">
        <is>
          <t>Miss Glam Damar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"8991748000952"</f>
        <v/>
      </c>
      <c r="C329" t="inlineStr">
        <is>
          <t>BARENBLISS Cherry Makes Cheerful Lip Velvet 06 Summer Sunset</t>
        </is>
      </c>
      <c r="D329" t="inlineStr">
        <is>
          <t>Miss Glam Damar</t>
        </is>
      </c>
      <c r="E329" t="n">
        <v>48</v>
      </c>
      <c r="F329" t="n">
        <v>0.2912</v>
      </c>
      <c r="G329" t="n">
        <v>1.82</v>
      </c>
      <c r="H329" t="n">
        <v>2</v>
      </c>
      <c r="I329" t="n">
        <v>9</v>
      </c>
      <c r="J329" t="n">
        <v>3</v>
      </c>
      <c r="K329" t="n">
        <v>0</v>
      </c>
      <c r="L329" t="n">
        <v>53374</v>
      </c>
      <c r="M329" t="n">
        <v>72900</v>
      </c>
      <c r="N329" t="n">
        <v>91</v>
      </c>
      <c r="O329" t="n">
        <v>0.91</v>
      </c>
      <c r="P329" t="n">
        <v>1</v>
      </c>
      <c r="Q329" t="n">
        <v>0.32</v>
      </c>
      <c r="R329" t="n">
        <v>3</v>
      </c>
      <c r="S329" t="n">
        <v>21228.48</v>
      </c>
      <c r="T329" t="n">
        <v>16</v>
      </c>
      <c r="U329" t="n">
        <v>17</v>
      </c>
      <c r="V329" t="n">
        <v>30</v>
      </c>
      <c r="W329" t="n">
        <v>9</v>
      </c>
      <c r="X329" t="n">
        <v>164.8351648351648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10352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21</v>
      </c>
      <c r="AL329" t="inlineStr">
        <is>
          <t>Miss Glam Damar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"8809851670583"</f>
        <v/>
      </c>
      <c r="C330" t="inlineStr">
        <is>
          <t>BARENBLISS Cherry Makes Cheerful Lip Velvet 07 Beige Sunrise</t>
        </is>
      </c>
      <c r="D330" t="inlineStr">
        <is>
          <t>Miss Glam Damar</t>
        </is>
      </c>
      <c r="E330" t="n">
        <v>-1</v>
      </c>
      <c r="F330" t="n">
        <v>0.19</v>
      </c>
      <c r="G330" t="n">
        <v>2</v>
      </c>
      <c r="H330" t="n">
        <v>2</v>
      </c>
      <c r="I330" t="n">
        <v>9</v>
      </c>
      <c r="J330" t="n">
        <v>3</v>
      </c>
      <c r="K330" t="n">
        <v>0</v>
      </c>
      <c r="L330" t="n">
        <v>52488</v>
      </c>
      <c r="M330" t="n">
        <v>72900</v>
      </c>
      <c r="N330" t="n">
        <v>91</v>
      </c>
      <c r="O330" t="n">
        <v>0.91</v>
      </c>
      <c r="P330" t="n">
        <v>0</v>
      </c>
      <c r="Q330" t="n">
        <v>0.19</v>
      </c>
      <c r="R330" t="n">
        <v>2</v>
      </c>
      <c r="S330" t="n">
        <v>13851</v>
      </c>
      <c r="T330" t="n">
        <v>18</v>
      </c>
      <c r="U330" t="n">
        <v>19</v>
      </c>
      <c r="V330" t="n">
        <v>30</v>
      </c>
      <c r="W330" t="n">
        <v>6</v>
      </c>
      <c r="X330" t="n">
        <v>-5.263157894736842</v>
      </c>
      <c r="Y330" t="n">
        <v>1</v>
      </c>
      <c r="Z330" t="n">
        <v>7</v>
      </c>
      <c r="AA330" t="n">
        <v>3</v>
      </c>
      <c r="AB330" t="n">
        <v>4</v>
      </c>
      <c r="AC330" t="n">
        <v>4</v>
      </c>
      <c r="AD330" t="n">
        <v>157464</v>
      </c>
      <c r="AE330" t="n">
        <v>209952</v>
      </c>
      <c r="AF330" t="n">
        <v>10352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21</v>
      </c>
      <c r="AL330" t="inlineStr">
        <is>
          <t>Miss Glam Damar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"8809851670590"</f>
        <v/>
      </c>
      <c r="C331" t="inlineStr">
        <is>
          <t>BARENBLISS Cherry Makes Cheerful Lip Velvet 08 Choco Sense</t>
        </is>
      </c>
      <c r="D331" t="inlineStr">
        <is>
          <t>Miss Glam Damar</t>
        </is>
      </c>
      <c r="E331" t="n">
        <v>9</v>
      </c>
      <c r="F331" t="n">
        <v>0.1547</v>
      </c>
      <c r="G331" t="n">
        <v>1.82</v>
      </c>
      <c r="H331" t="n">
        <v>2</v>
      </c>
      <c r="I331" t="n">
        <v>9</v>
      </c>
      <c r="J331" t="n">
        <v>3</v>
      </c>
      <c r="K331" t="n">
        <v>0</v>
      </c>
      <c r="L331" t="n">
        <v>52488</v>
      </c>
      <c r="M331" t="n">
        <v>72900</v>
      </c>
      <c r="N331" t="n">
        <v>91</v>
      </c>
      <c r="O331" t="n">
        <v>0.91</v>
      </c>
      <c r="P331" t="n">
        <v>1</v>
      </c>
      <c r="Q331" t="n">
        <v>0.31</v>
      </c>
      <c r="R331" t="n">
        <v>2</v>
      </c>
      <c r="S331" t="n">
        <v>11277.63</v>
      </c>
      <c r="T331" t="n">
        <v>17</v>
      </c>
      <c r="U331" t="n">
        <v>18</v>
      </c>
      <c r="V331" t="n">
        <v>30</v>
      </c>
      <c r="W331" t="n">
        <v>5</v>
      </c>
      <c r="X331" t="n">
        <v>58.17711700064641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10352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21</v>
      </c>
      <c r="AL331" t="inlineStr">
        <is>
          <t>Miss Glam Damar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"8809851670750"</f>
        <v/>
      </c>
      <c r="C332" t="inlineStr">
        <is>
          <t>BARENBLISS Dream Chaser Quad Eyeshadow Palette 01 Coral Honay Lake</t>
        </is>
      </c>
      <c r="D332" t="inlineStr">
        <is>
          <t>Miss Glam Damar</t>
        </is>
      </c>
      <c r="E332" t="n">
        <v>62</v>
      </c>
      <c r="F332" t="n">
        <v>0.1365</v>
      </c>
      <c r="G332" t="n">
        <v>1.82</v>
      </c>
      <c r="H332" t="n">
        <v>2</v>
      </c>
      <c r="I332" t="n">
        <v>9</v>
      </c>
      <c r="J332" t="n">
        <v>3</v>
      </c>
      <c r="K332" t="n">
        <v>0</v>
      </c>
      <c r="L332" t="n">
        <v>87920</v>
      </c>
      <c r="M332" t="n">
        <v>109900</v>
      </c>
      <c r="N332" t="n">
        <v>91</v>
      </c>
      <c r="O332" t="n">
        <v>0.91</v>
      </c>
      <c r="P332" t="n">
        <v>1</v>
      </c>
      <c r="Q332" t="n">
        <v>0.02</v>
      </c>
      <c r="R332" t="n">
        <v>1</v>
      </c>
      <c r="S332" t="n">
        <v>15001.35</v>
      </c>
      <c r="T332" t="n">
        <v>17</v>
      </c>
      <c r="U332" t="n">
        <v>18</v>
      </c>
      <c r="V332" t="n">
        <v>30</v>
      </c>
      <c r="W332" t="n">
        <v>5</v>
      </c>
      <c r="X332" t="n">
        <v>454.2124542124542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10352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21</v>
      </c>
      <c r="AL332" t="inlineStr">
        <is>
          <t>Miss Glam Damar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"8809851670767"</f>
        <v/>
      </c>
      <c r="C333" t="inlineStr">
        <is>
          <t>BARENBLISS Dream Chaser Quad Eyeshadow Palette 02 Coral Cloud</t>
        </is>
      </c>
      <c r="D333" t="inlineStr">
        <is>
          <t>Miss Glam Damar</t>
        </is>
      </c>
      <c r="E333" t="n">
        <v>34</v>
      </c>
      <c r="F333" t="n">
        <v>0.1729</v>
      </c>
      <c r="G333" t="n">
        <v>1.82</v>
      </c>
      <c r="H333" t="n">
        <v>2</v>
      </c>
      <c r="I333" t="n">
        <v>9</v>
      </c>
      <c r="J333" t="n">
        <v>3</v>
      </c>
      <c r="K333" t="n">
        <v>0</v>
      </c>
      <c r="L333" t="n">
        <v>87920</v>
      </c>
      <c r="M333" t="n">
        <v>109900</v>
      </c>
      <c r="N333" t="n">
        <v>91</v>
      </c>
      <c r="O333" t="n">
        <v>0.91</v>
      </c>
      <c r="P333" t="n">
        <v>1</v>
      </c>
      <c r="Q333" t="n">
        <v>0.24</v>
      </c>
      <c r="R333" t="n">
        <v>3</v>
      </c>
      <c r="S333" t="n">
        <v>19001.71</v>
      </c>
      <c r="T333" t="n">
        <v>17</v>
      </c>
      <c r="U333" t="n">
        <v>18</v>
      </c>
      <c r="V333" t="n">
        <v>30</v>
      </c>
      <c r="W333" t="n">
        <v>6</v>
      </c>
      <c r="X333" t="n">
        <v>196.6454598033546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10352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21</v>
      </c>
      <c r="AL333" t="inlineStr">
        <is>
          <t>Miss Glam Damar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"8809851670774"</f>
        <v/>
      </c>
      <c r="C334" t="inlineStr">
        <is>
          <t>BARENBLISS Dream Chaser Quad Eyeshadow Palette 03 Sugary Rose</t>
        </is>
      </c>
      <c r="D334" t="inlineStr">
        <is>
          <t>Miss Glam Damar</t>
        </is>
      </c>
      <c r="E334" t="n">
        <v>81</v>
      </c>
      <c r="F334" t="n">
        <v>0.1092</v>
      </c>
      <c r="G334" t="n">
        <v>1.82</v>
      </c>
      <c r="H334" t="n">
        <v>2</v>
      </c>
      <c r="I334" t="n">
        <v>9</v>
      </c>
      <c r="J334" t="n">
        <v>3</v>
      </c>
      <c r="K334" t="n">
        <v>0</v>
      </c>
      <c r="L334" t="n">
        <v>87920</v>
      </c>
      <c r="M334" t="n">
        <v>109900</v>
      </c>
      <c r="N334" t="n">
        <v>91</v>
      </c>
      <c r="O334" t="n">
        <v>0.91</v>
      </c>
      <c r="P334" t="n">
        <v>1</v>
      </c>
      <c r="Q334" t="n">
        <v>0.39</v>
      </c>
      <c r="R334" t="n">
        <v>2</v>
      </c>
      <c r="S334" t="n">
        <v>12001.08</v>
      </c>
      <c r="T334" t="n">
        <v>17</v>
      </c>
      <c r="U334" t="n">
        <v>18</v>
      </c>
      <c r="V334" t="n">
        <v>30</v>
      </c>
      <c r="W334" t="n">
        <v>4</v>
      </c>
      <c r="X334" t="n">
        <v>741.7582417582418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10352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21</v>
      </c>
      <c r="AL334" t="inlineStr">
        <is>
          <t>Miss Glam Damar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"8809851670781"</f>
        <v/>
      </c>
      <c r="C335" t="inlineStr">
        <is>
          <t>BARENBLISS Dream Chaser Quad Eyeshadow Palette 04 Dreamer Dust</t>
        </is>
      </c>
      <c r="D335" t="inlineStr">
        <is>
          <t>Miss Glam Damar</t>
        </is>
      </c>
      <c r="E335" t="n">
        <v>32</v>
      </c>
      <c r="F335" t="n">
        <v>0.3276</v>
      </c>
      <c r="G335" t="n">
        <v>1.82</v>
      </c>
      <c r="H335" t="n">
        <v>2</v>
      </c>
      <c r="I335" t="n">
        <v>9</v>
      </c>
      <c r="J335" t="n">
        <v>3</v>
      </c>
      <c r="K335" t="n">
        <v>0</v>
      </c>
      <c r="L335" t="n">
        <v>87920</v>
      </c>
      <c r="M335" t="n">
        <v>109900</v>
      </c>
      <c r="N335" t="n">
        <v>91</v>
      </c>
      <c r="O335" t="n">
        <v>0.91</v>
      </c>
      <c r="P335" t="n">
        <v>1</v>
      </c>
      <c r="Q335" t="n">
        <v>0.32</v>
      </c>
      <c r="R335" t="n">
        <v>3</v>
      </c>
      <c r="S335" t="n">
        <v>36003.24</v>
      </c>
      <c r="T335" t="n">
        <v>16</v>
      </c>
      <c r="U335" t="n">
        <v>17</v>
      </c>
      <c r="V335" t="n">
        <v>30</v>
      </c>
      <c r="W335" t="n">
        <v>10</v>
      </c>
      <c r="X335" t="n">
        <v>97.68009768009767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10352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21</v>
      </c>
      <c r="AL335" t="inlineStr">
        <is>
          <t>Miss Glam Damar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"8809851670460"</f>
        <v/>
      </c>
      <c r="C336" t="inlineStr">
        <is>
          <t>BARENBLISS Fine To Refine Compact Powder 04 Medium Blossom Burst</t>
        </is>
      </c>
      <c r="D336" t="inlineStr">
        <is>
          <t>Miss Glam Damar</t>
        </is>
      </c>
      <c r="E336" t="n">
        <v>2</v>
      </c>
      <c r="F336" t="n">
        <v>0.2184</v>
      </c>
      <c r="G336" t="n">
        <v>1.82</v>
      </c>
      <c r="H336" t="n">
        <v>2</v>
      </c>
      <c r="I336" t="n">
        <v>9</v>
      </c>
      <c r="J336" t="n">
        <v>3</v>
      </c>
      <c r="K336" t="n">
        <v>0</v>
      </c>
      <c r="L336" t="n">
        <v>93528</v>
      </c>
      <c r="M336" t="n">
        <v>129900</v>
      </c>
      <c r="N336" t="n">
        <v>91</v>
      </c>
      <c r="O336" t="n">
        <v>0.91</v>
      </c>
      <c r="P336" t="n">
        <v>1</v>
      </c>
      <c r="Q336" t="n">
        <v>0.25</v>
      </c>
      <c r="R336" t="n">
        <v>1</v>
      </c>
      <c r="S336" t="n">
        <v>28370.16</v>
      </c>
      <c r="T336" t="n">
        <v>16</v>
      </c>
      <c r="U336" t="n">
        <v>17</v>
      </c>
      <c r="V336" t="n">
        <v>30</v>
      </c>
      <c r="W336" t="n">
        <v>7</v>
      </c>
      <c r="X336" t="n">
        <v>9.157509157509157</v>
      </c>
      <c r="Y336" t="n">
        <v>1</v>
      </c>
      <c r="Z336" t="n">
        <v>5</v>
      </c>
      <c r="AA336" t="n">
        <v>0</v>
      </c>
      <c r="AB336" t="n">
        <v>5</v>
      </c>
      <c r="AC336" t="n">
        <v>5</v>
      </c>
      <c r="AD336" t="n">
        <v>0</v>
      </c>
      <c r="AE336" t="n">
        <v>467640</v>
      </c>
      <c r="AF336" t="n">
        <v>10352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21</v>
      </c>
      <c r="AL336" t="inlineStr">
        <is>
          <t>Miss Glam Damar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"8991748000877"</f>
        <v/>
      </c>
      <c r="C337" t="inlineStr">
        <is>
          <t>BARENBLISS Fine To Refine Compact Powder Fair Light 01</t>
        </is>
      </c>
      <c r="D337" t="inlineStr">
        <is>
          <t>Miss Glam Damar</t>
        </is>
      </c>
      <c r="E337" t="n">
        <v>12</v>
      </c>
      <c r="F337" t="n">
        <v>0.06370000000000001</v>
      </c>
      <c r="G337" t="n">
        <v>0.91</v>
      </c>
      <c r="H337" t="n">
        <v>2</v>
      </c>
      <c r="I337" t="n">
        <v>9</v>
      </c>
      <c r="J337" t="n">
        <v>3</v>
      </c>
      <c r="K337" t="n">
        <v>0</v>
      </c>
      <c r="L337" t="n">
        <v>93528</v>
      </c>
      <c r="M337" t="n">
        <v>129900</v>
      </c>
      <c r="N337" t="n">
        <v>91</v>
      </c>
      <c r="O337" t="n">
        <v>0.91</v>
      </c>
      <c r="P337" t="n">
        <v>1</v>
      </c>
      <c r="Q337" t="n">
        <v>0.14</v>
      </c>
      <c r="R337" t="n">
        <v>1</v>
      </c>
      <c r="S337" t="n">
        <v>8274.630000000001</v>
      </c>
      <c r="T337" t="n">
        <v>9</v>
      </c>
      <c r="U337" t="n">
        <v>10</v>
      </c>
      <c r="V337" t="n">
        <v>30</v>
      </c>
      <c r="W337" t="n">
        <v>2</v>
      </c>
      <c r="X337" t="n">
        <v>188.3830455259026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10352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21</v>
      </c>
      <c r="AL337" t="inlineStr">
        <is>
          <t>Miss Glam Damar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"8991748000891"</f>
        <v/>
      </c>
      <c r="C338" t="inlineStr">
        <is>
          <t>BARENBLISS Fine To Refine Compact Powder Warm Beige Nectar 03</t>
        </is>
      </c>
      <c r="D338" t="inlineStr">
        <is>
          <t>Miss Glam Damar</t>
        </is>
      </c>
      <c r="E338" t="n">
        <v>16</v>
      </c>
      <c r="F338" t="n">
        <v>0.0728</v>
      </c>
      <c r="G338" t="n">
        <v>1.82</v>
      </c>
      <c r="H338" t="n">
        <v>2</v>
      </c>
      <c r="I338" t="n">
        <v>9</v>
      </c>
      <c r="J338" t="n">
        <v>3</v>
      </c>
      <c r="K338" t="n">
        <v>0</v>
      </c>
      <c r="L338" t="n">
        <v>93528</v>
      </c>
      <c r="M338" t="n">
        <v>129900</v>
      </c>
      <c r="N338" t="n">
        <v>91</v>
      </c>
      <c r="O338" t="n">
        <v>0.91</v>
      </c>
      <c r="P338" t="n">
        <v>1</v>
      </c>
      <c r="Q338" t="n">
        <v>0.12</v>
      </c>
      <c r="R338" t="n">
        <v>1</v>
      </c>
      <c r="S338" t="n">
        <v>9456.720000000001</v>
      </c>
      <c r="T338" t="n">
        <v>17</v>
      </c>
      <c r="U338" t="n">
        <v>18</v>
      </c>
      <c r="V338" t="n">
        <v>30</v>
      </c>
      <c r="W338" t="n">
        <v>3</v>
      </c>
      <c r="X338" t="n">
        <v>219.7802197802198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10352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21</v>
      </c>
      <c r="AL338" t="inlineStr">
        <is>
          <t>Miss Glam Damar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"8809851670262"</f>
        <v/>
      </c>
      <c r="C339" t="inlineStr">
        <is>
          <t>BARENBLISS Full Bloom Transferproof Matte Tint 01 Fresh Dawn</t>
        </is>
      </c>
      <c r="D339" t="inlineStr">
        <is>
          <t>Miss Glam Damar</t>
        </is>
      </c>
      <c r="E339" t="n">
        <v>64</v>
      </c>
      <c r="F339" t="n">
        <v>0.09100000000000001</v>
      </c>
      <c r="G339" t="n">
        <v>1.82</v>
      </c>
      <c r="H339" t="n">
        <v>2</v>
      </c>
      <c r="I339" t="n">
        <v>9</v>
      </c>
      <c r="J339" t="n">
        <v>3</v>
      </c>
      <c r="K339" t="n">
        <v>0</v>
      </c>
      <c r="L339" t="n">
        <v>52488</v>
      </c>
      <c r="M339" t="n">
        <v>72900</v>
      </c>
      <c r="N339" t="n">
        <v>91</v>
      </c>
      <c r="O339" t="n">
        <v>0.91</v>
      </c>
      <c r="P339" t="n">
        <v>1</v>
      </c>
      <c r="Q339" t="n">
        <v>0.19</v>
      </c>
      <c r="R339" t="n">
        <v>1</v>
      </c>
      <c r="S339" t="n">
        <v>6633.900000000001</v>
      </c>
      <c r="T339" t="n">
        <v>17</v>
      </c>
      <c r="U339" t="n">
        <v>18</v>
      </c>
      <c r="V339" t="n">
        <v>30</v>
      </c>
      <c r="W339" t="n">
        <v>3</v>
      </c>
      <c r="X339" t="n">
        <v>703.2967032967032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10352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21</v>
      </c>
      <c r="AL339" t="inlineStr">
        <is>
          <t>Miss Glam Damar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"8809851670279"</f>
        <v/>
      </c>
      <c r="C340" t="inlineStr">
        <is>
          <t>BARENBLISS Full Bloom Transferproof Matte Tint 02 Magical Mimosa</t>
        </is>
      </c>
      <c r="D340" t="inlineStr">
        <is>
          <t>Miss Glam Damar</t>
        </is>
      </c>
      <c r="E340" t="n">
        <v>53</v>
      </c>
      <c r="F340" t="n">
        <v>0.2912</v>
      </c>
      <c r="G340" t="n">
        <v>1.82</v>
      </c>
      <c r="H340" t="n">
        <v>2</v>
      </c>
      <c r="I340" t="n">
        <v>9</v>
      </c>
      <c r="J340" t="n">
        <v>3</v>
      </c>
      <c r="K340" t="n">
        <v>0</v>
      </c>
      <c r="L340" t="n">
        <v>52488</v>
      </c>
      <c r="M340" t="n">
        <v>72900</v>
      </c>
      <c r="N340" t="n">
        <v>91</v>
      </c>
      <c r="O340" t="n">
        <v>0.91</v>
      </c>
      <c r="P340" t="n">
        <v>1</v>
      </c>
      <c r="Q340" t="n">
        <v>0.2</v>
      </c>
      <c r="R340" t="n">
        <v>2</v>
      </c>
      <c r="S340" t="n">
        <v>21228.48</v>
      </c>
      <c r="T340" t="n">
        <v>16</v>
      </c>
      <c r="U340" t="n">
        <v>17</v>
      </c>
      <c r="V340" t="n">
        <v>30</v>
      </c>
      <c r="W340" t="n">
        <v>9</v>
      </c>
      <c r="X340" t="n">
        <v>182.0054945054945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10352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21</v>
      </c>
      <c r="AL340" t="inlineStr">
        <is>
          <t>Miss Glam Damar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"8809851670286"</f>
        <v/>
      </c>
      <c r="C341" t="inlineStr">
        <is>
          <t>BARENBLISS Full Bloom Transferproof Matte Tint 03 Pollen Harvest</t>
        </is>
      </c>
      <c r="D341" t="inlineStr">
        <is>
          <t>Miss Glam Damar</t>
        </is>
      </c>
      <c r="E341" t="n">
        <v>98</v>
      </c>
      <c r="F341" t="n">
        <v>0.0728</v>
      </c>
      <c r="G341" t="n">
        <v>1.82</v>
      </c>
      <c r="H341" t="n">
        <v>2</v>
      </c>
      <c r="I341" t="n">
        <v>9</v>
      </c>
      <c r="J341" t="n">
        <v>3</v>
      </c>
      <c r="K341" t="n">
        <v>0</v>
      </c>
      <c r="L341" t="n">
        <v>52488</v>
      </c>
      <c r="M341" t="n">
        <v>72900</v>
      </c>
      <c r="N341" t="n">
        <v>91</v>
      </c>
      <c r="O341" t="n">
        <v>0.91</v>
      </c>
      <c r="P341" t="n">
        <v>1</v>
      </c>
      <c r="Q341" t="n">
        <v>0.22</v>
      </c>
      <c r="R341" t="n">
        <v>2</v>
      </c>
      <c r="S341" t="n">
        <v>5307.12</v>
      </c>
      <c r="T341" t="n">
        <v>17</v>
      </c>
      <c r="U341" t="n">
        <v>18</v>
      </c>
      <c r="V341" t="n">
        <v>30</v>
      </c>
      <c r="W341" t="n">
        <v>3</v>
      </c>
      <c r="X341" t="n">
        <v>1346.153846153846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10352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21</v>
      </c>
      <c r="AL341" t="inlineStr">
        <is>
          <t>Miss Glam Damar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"8809851670293"</f>
        <v/>
      </c>
      <c r="C342" t="inlineStr">
        <is>
          <t>BARENBLISS Full Bloom Transferproof Matte Tint 04 Sunny Rose</t>
        </is>
      </c>
      <c r="D342" t="inlineStr">
        <is>
          <t>Miss Glam Damar</t>
        </is>
      </c>
      <c r="E342" t="n">
        <v>19</v>
      </c>
      <c r="F342" t="n">
        <v>0.3549</v>
      </c>
      <c r="G342" t="n">
        <v>1.82</v>
      </c>
      <c r="H342" t="n">
        <v>2</v>
      </c>
      <c r="I342" t="n">
        <v>9</v>
      </c>
      <c r="J342" t="n">
        <v>3</v>
      </c>
      <c r="K342" t="n">
        <v>0</v>
      </c>
      <c r="L342" t="n">
        <v>53946</v>
      </c>
      <c r="M342" t="n">
        <v>72900</v>
      </c>
      <c r="N342" t="n">
        <v>91</v>
      </c>
      <c r="O342" t="n">
        <v>0.91</v>
      </c>
      <c r="P342" t="n">
        <v>1</v>
      </c>
      <c r="Q342" t="n">
        <v>0.41</v>
      </c>
      <c r="R342" t="n">
        <v>3</v>
      </c>
      <c r="S342" t="n">
        <v>25872.21</v>
      </c>
      <c r="T342" t="n">
        <v>16</v>
      </c>
      <c r="U342" t="n">
        <v>17</v>
      </c>
      <c r="V342" t="n">
        <v>30</v>
      </c>
      <c r="W342" t="n">
        <v>11</v>
      </c>
      <c r="X342" t="n">
        <v>53.53620738236122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10352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21</v>
      </c>
      <c r="AL342" t="inlineStr">
        <is>
          <t>Miss Glam Damar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"8809851670309"</f>
        <v/>
      </c>
      <c r="C343" t="inlineStr">
        <is>
          <t>BARENBLISS Full Bloom Transferproof Matte Tint 05 Ruby Daisy</t>
        </is>
      </c>
      <c r="D343" t="inlineStr">
        <is>
          <t>Miss Glam Damar</t>
        </is>
      </c>
      <c r="E343" t="n">
        <v>40</v>
      </c>
      <c r="F343" t="n">
        <v>0.0728</v>
      </c>
      <c r="G343" t="n">
        <v>1.82</v>
      </c>
      <c r="H343" t="n">
        <v>2</v>
      </c>
      <c r="I343" t="n">
        <v>9</v>
      </c>
      <c r="J343" t="n">
        <v>3</v>
      </c>
      <c r="K343" t="n">
        <v>0</v>
      </c>
      <c r="L343" t="n">
        <v>52488</v>
      </c>
      <c r="M343" t="n">
        <v>72900</v>
      </c>
      <c r="N343" t="n">
        <v>91</v>
      </c>
      <c r="O343" t="n">
        <v>0.91</v>
      </c>
      <c r="P343" t="n">
        <v>1</v>
      </c>
      <c r="Q343" t="n">
        <v>0.08</v>
      </c>
      <c r="R343" t="n">
        <v>1</v>
      </c>
      <c r="S343" t="n">
        <v>5307.12</v>
      </c>
      <c r="T343" t="n">
        <v>17</v>
      </c>
      <c r="U343" t="n">
        <v>18</v>
      </c>
      <c r="V343" t="n">
        <v>30</v>
      </c>
      <c r="W343" t="n">
        <v>3</v>
      </c>
      <c r="X343" t="n">
        <v>549.4505494505494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10352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21</v>
      </c>
      <c r="AL343" t="inlineStr">
        <is>
          <t>Miss Glam Damar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"8809851670316"</f>
        <v/>
      </c>
      <c r="C344" t="inlineStr">
        <is>
          <t>BARENBLISS Full Bloom Transferproof Matte Tint 06 Sassy Season</t>
        </is>
      </c>
      <c r="D344" t="inlineStr">
        <is>
          <t>Miss Glam Damar</t>
        </is>
      </c>
      <c r="E344" t="n">
        <v>103</v>
      </c>
      <c r="F344" t="n">
        <v>0.182</v>
      </c>
      <c r="G344" t="n">
        <v>1.82</v>
      </c>
      <c r="H344" t="n">
        <v>2</v>
      </c>
      <c r="I344" t="n">
        <v>9</v>
      </c>
      <c r="J344" t="n">
        <v>3</v>
      </c>
      <c r="K344" t="n">
        <v>0</v>
      </c>
      <c r="L344" t="n">
        <v>52488</v>
      </c>
      <c r="M344" t="n">
        <v>72900</v>
      </c>
      <c r="N344" t="n">
        <v>91</v>
      </c>
      <c r="O344" t="n">
        <v>0.91</v>
      </c>
      <c r="P344" t="n">
        <v>1</v>
      </c>
      <c r="Q344" t="n">
        <v>0.17</v>
      </c>
      <c r="R344" t="n">
        <v>2</v>
      </c>
      <c r="S344" t="n">
        <v>13267.8</v>
      </c>
      <c r="T344" t="n">
        <v>17</v>
      </c>
      <c r="U344" t="n">
        <v>18</v>
      </c>
      <c r="V344" t="n">
        <v>30</v>
      </c>
      <c r="W344" t="n">
        <v>6</v>
      </c>
      <c r="X344" t="n">
        <v>565.9340659340659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10352</v>
      </c>
      <c r="AG344" t="n">
        <v>170</v>
      </c>
      <c r="AH344" t="inlineStr">
        <is>
          <t>PT. JALUR MANDIRI UTAMA - PPN (PDG)</t>
        </is>
      </c>
      <c r="AI344" t="n">
        <v>903</v>
      </c>
      <c r="AJ344" t="inlineStr">
        <is>
          <t>BARENBLISS</t>
        </is>
      </c>
      <c r="AK344" t="n">
        <v>21</v>
      </c>
      <c r="AL344" t="inlineStr">
        <is>
          <t>Miss Glam Damar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"8809851671207"</f>
        <v/>
      </c>
      <c r="C345" t="inlineStr">
        <is>
          <t>BARENBLISS Full Bloom Transferproof Matte Tint 07 Water Lily 3gr</t>
        </is>
      </c>
      <c r="D345" t="inlineStr">
        <is>
          <t>Miss Glam Damar</t>
        </is>
      </c>
      <c r="E345" t="n">
        <v>52</v>
      </c>
      <c r="F345" t="n">
        <v>0.2457</v>
      </c>
      <c r="G345" t="n">
        <v>1.82</v>
      </c>
      <c r="H345" t="n">
        <v>2</v>
      </c>
      <c r="I345" t="n">
        <v>9</v>
      </c>
      <c r="J345" t="n">
        <v>3</v>
      </c>
      <c r="K345" t="n">
        <v>0</v>
      </c>
      <c r="L345" t="n">
        <v>53502</v>
      </c>
      <c r="M345" t="n">
        <v>72900</v>
      </c>
      <c r="N345" t="n">
        <v>91</v>
      </c>
      <c r="O345" t="n">
        <v>0.91</v>
      </c>
      <c r="P345" t="n">
        <v>1</v>
      </c>
      <c r="Q345" t="n">
        <v>0.24</v>
      </c>
      <c r="R345" t="n">
        <v>2</v>
      </c>
      <c r="S345" t="n">
        <v>17911.53</v>
      </c>
      <c r="T345" t="n">
        <v>16</v>
      </c>
      <c r="U345" t="n">
        <v>17</v>
      </c>
      <c r="V345" t="n">
        <v>30</v>
      </c>
      <c r="W345" t="n">
        <v>8</v>
      </c>
      <c r="X345" t="n">
        <v>211.6402116402116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10352</v>
      </c>
      <c r="AG345" t="n">
        <v>170</v>
      </c>
      <c r="AH345" t="inlineStr">
        <is>
          <t>PT. JALUR MANDIRI UTAMA - PPN (PDG)</t>
        </is>
      </c>
      <c r="AI345" t="n">
        <v>903</v>
      </c>
      <c r="AJ345" t="inlineStr">
        <is>
          <t>BARENBLISS</t>
        </is>
      </c>
      <c r="AK345" t="n">
        <v>21</v>
      </c>
      <c r="AL345" t="inlineStr">
        <is>
          <t>Miss Glam Damar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"8809851671245"</f>
        <v/>
      </c>
      <c r="C346" t="inlineStr">
        <is>
          <t>BARENBLISS Full Bloom Transferproof Matte Tint 11 Sweet Marigold 3gr</t>
        </is>
      </c>
      <c r="D346" t="inlineStr">
        <is>
          <t>Miss Glam Damar</t>
        </is>
      </c>
      <c r="E346" t="n">
        <v>11</v>
      </c>
      <c r="F346" t="n">
        <v>0.06370000000000001</v>
      </c>
      <c r="G346" t="n">
        <v>0.91</v>
      </c>
      <c r="H346" t="n">
        <v>2</v>
      </c>
      <c r="I346" t="n">
        <v>9</v>
      </c>
      <c r="J346" t="n">
        <v>3</v>
      </c>
      <c r="K346" t="n">
        <v>0</v>
      </c>
      <c r="L346" t="n">
        <v>52488</v>
      </c>
      <c r="M346" t="n">
        <v>72900</v>
      </c>
      <c r="N346" t="n">
        <v>91</v>
      </c>
      <c r="O346" t="n">
        <v>0.91</v>
      </c>
      <c r="P346" t="n">
        <v>1</v>
      </c>
      <c r="Q346" t="n">
        <v>0.02</v>
      </c>
      <c r="R346" t="n">
        <v>1</v>
      </c>
      <c r="S346" t="n">
        <v>4643.73</v>
      </c>
      <c r="T346" t="n">
        <v>9</v>
      </c>
      <c r="U346" t="n">
        <v>10</v>
      </c>
      <c r="V346" t="n">
        <v>30</v>
      </c>
      <c r="W346" t="n">
        <v>2</v>
      </c>
      <c r="X346" t="n">
        <v>172.6844583987441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10352</v>
      </c>
      <c r="AG346" t="n">
        <v>170</v>
      </c>
      <c r="AH346" t="inlineStr">
        <is>
          <t>PT. JALUR MANDIRI UTAMA - PPN (PDG)</t>
        </is>
      </c>
      <c r="AI346" t="n">
        <v>903</v>
      </c>
      <c r="AJ346" t="inlineStr">
        <is>
          <t>BARENBLISS</t>
        </is>
      </c>
      <c r="AK346" t="n">
        <v>21</v>
      </c>
      <c r="AL346" t="inlineStr">
        <is>
          <t>Miss Glam Damar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"8809851671252"</f>
        <v/>
      </c>
      <c r="C347" t="inlineStr">
        <is>
          <t>BARENBLISS Full Bloom Transferproof Matte Tint 12 Poppy Posy 3gr</t>
        </is>
      </c>
      <c r="D347" t="inlineStr">
        <is>
          <t>Miss Glam Damar</t>
        </is>
      </c>
      <c r="E347" t="n">
        <v>5</v>
      </c>
      <c r="F347" t="n">
        <v>0.08</v>
      </c>
      <c r="G347" t="n">
        <v>1</v>
      </c>
      <c r="H347" t="n">
        <v>2</v>
      </c>
      <c r="I347" t="n">
        <v>9</v>
      </c>
      <c r="J347" t="n">
        <v>3</v>
      </c>
      <c r="K347" t="n">
        <v>0</v>
      </c>
      <c r="L347" t="n">
        <v>52488</v>
      </c>
      <c r="M347" t="n">
        <v>72900</v>
      </c>
      <c r="N347" t="n">
        <v>91</v>
      </c>
      <c r="O347" t="n">
        <v>0.91</v>
      </c>
      <c r="P347" t="n">
        <v>0</v>
      </c>
      <c r="Q347" t="n">
        <v>0.08</v>
      </c>
      <c r="R347" t="n">
        <v>1</v>
      </c>
      <c r="S347" t="n">
        <v>5832</v>
      </c>
      <c r="T347" t="n">
        <v>9</v>
      </c>
      <c r="U347" t="n">
        <v>10</v>
      </c>
      <c r="V347" t="n">
        <v>30</v>
      </c>
      <c r="W347" t="n">
        <v>3</v>
      </c>
      <c r="X347" t="n">
        <v>62.5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10352</v>
      </c>
      <c r="AG347" t="n">
        <v>170</v>
      </c>
      <c r="AH347" t="inlineStr">
        <is>
          <t>PT. JALUR MANDIRI UTAMA - PPN (PDG)</t>
        </is>
      </c>
      <c r="AI347" t="n">
        <v>903</v>
      </c>
      <c r="AJ347" t="inlineStr">
        <is>
          <t>BARENBLISS</t>
        </is>
      </c>
      <c r="AK347" t="n">
        <v>21</v>
      </c>
      <c r="AL347" t="inlineStr">
        <is>
          <t>Miss Glam Damar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"8809851672914"</f>
        <v/>
      </c>
      <c r="C348" t="inlineStr">
        <is>
          <t>BARENBLISS Gold Makes Gorgeous Lip Balm 3.2gr</t>
        </is>
      </c>
      <c r="D348" t="inlineStr">
        <is>
          <t>Miss Glam Damar</t>
        </is>
      </c>
      <c r="E348" t="n">
        <v>39</v>
      </c>
      <c r="F348" t="n">
        <v>0.3367</v>
      </c>
      <c r="G348" t="n">
        <v>1.82</v>
      </c>
      <c r="H348" t="n">
        <v>2</v>
      </c>
      <c r="I348" t="n">
        <v>9</v>
      </c>
      <c r="J348" t="n">
        <v>3</v>
      </c>
      <c r="K348" t="n">
        <v>0</v>
      </c>
      <c r="L348" t="n">
        <v>55920</v>
      </c>
      <c r="M348" t="n">
        <v>69900</v>
      </c>
      <c r="N348" t="n">
        <v>91</v>
      </c>
      <c r="O348" t="n">
        <v>0.91</v>
      </c>
      <c r="P348" t="n">
        <v>1</v>
      </c>
      <c r="Q348" t="n">
        <v>0.36</v>
      </c>
      <c r="R348" t="n">
        <v>3</v>
      </c>
      <c r="S348" t="n">
        <v>23535.33</v>
      </c>
      <c r="T348" t="n">
        <v>16</v>
      </c>
      <c r="U348" t="n">
        <v>17</v>
      </c>
      <c r="V348" t="n">
        <v>30</v>
      </c>
      <c r="W348" t="n">
        <v>11</v>
      </c>
      <c r="X348" t="n">
        <v>115.8301158301158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10352</v>
      </c>
      <c r="AG348" t="n">
        <v>170</v>
      </c>
      <c r="AH348" t="inlineStr">
        <is>
          <t>PT. JALUR MANDIRI UTAMA - PPN (PDG)</t>
        </is>
      </c>
      <c r="AI348" t="n">
        <v>903</v>
      </c>
      <c r="AJ348" t="inlineStr">
        <is>
          <t>BARENBLISS</t>
        </is>
      </c>
      <c r="AK348" t="n">
        <v>21</v>
      </c>
      <c r="AL348" t="inlineStr">
        <is>
          <t>Miss Glam Damar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"8809851672440"</f>
        <v/>
      </c>
      <c r="C349" t="inlineStr">
        <is>
          <t>BARENBLISS Lily Makes Luminous Glow Tint 01 Queen Bae 2.5g</t>
        </is>
      </c>
      <c r="D349" t="inlineStr">
        <is>
          <t>Miss Glam Damar</t>
        </is>
      </c>
      <c r="E349" t="n">
        <v>43</v>
      </c>
      <c r="F349" t="n">
        <v>0.6461</v>
      </c>
      <c r="G349" t="n">
        <v>4.55</v>
      </c>
      <c r="H349" t="n">
        <v>2</v>
      </c>
      <c r="I349" t="n">
        <v>9</v>
      </c>
      <c r="J349" t="n">
        <v>3</v>
      </c>
      <c r="K349" t="n">
        <v>0</v>
      </c>
      <c r="L349" t="n">
        <v>58320</v>
      </c>
      <c r="M349" t="n">
        <v>72900</v>
      </c>
      <c r="N349" t="n">
        <v>91</v>
      </c>
      <c r="O349" t="n">
        <v>0.91</v>
      </c>
      <c r="P349" t="n">
        <v>1</v>
      </c>
      <c r="Q349" t="n">
        <v>0.31</v>
      </c>
      <c r="R349" t="n">
        <v>3</v>
      </c>
      <c r="S349" t="n">
        <v>47100.69</v>
      </c>
      <c r="T349" t="n">
        <v>40</v>
      </c>
      <c r="U349" t="n">
        <v>42</v>
      </c>
      <c r="V349" t="n">
        <v>30</v>
      </c>
      <c r="W349" t="n">
        <v>20</v>
      </c>
      <c r="X349" t="n">
        <v>66.55316514471444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10352</v>
      </c>
      <c r="AG349" t="n">
        <v>170</v>
      </c>
      <c r="AH349" t="inlineStr">
        <is>
          <t>PT. JALUR MANDIRI UTAMA - PPN (PDG)</t>
        </is>
      </c>
      <c r="AI349" t="n">
        <v>903</v>
      </c>
      <c r="AJ349" t="inlineStr">
        <is>
          <t>BARENBLISS</t>
        </is>
      </c>
      <c r="AK349" t="n">
        <v>21</v>
      </c>
      <c r="AL349" t="inlineStr">
        <is>
          <t>Miss Glam Damar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"8809851672457"</f>
        <v/>
      </c>
      <c r="C350" t="inlineStr">
        <is>
          <t>BARENBLISS Lily Makes Luminous Glow Tint 02 Rose Glaze 2.5gr</t>
        </is>
      </c>
      <c r="D350" t="inlineStr">
        <is>
          <t>Miss Glam Damar</t>
        </is>
      </c>
      <c r="E350" t="n">
        <v>120</v>
      </c>
      <c r="F350" t="n">
        <v>0.3731</v>
      </c>
      <c r="G350" t="n">
        <v>2.73</v>
      </c>
      <c r="H350" t="n">
        <v>2</v>
      </c>
      <c r="I350" t="n">
        <v>9</v>
      </c>
      <c r="J350" t="n">
        <v>3</v>
      </c>
      <c r="K350" t="n">
        <v>0</v>
      </c>
      <c r="L350" t="n">
        <v>58320</v>
      </c>
      <c r="M350" t="n">
        <v>72900</v>
      </c>
      <c r="N350" t="n">
        <v>91</v>
      </c>
      <c r="O350" t="n">
        <v>0.91</v>
      </c>
      <c r="P350" t="n">
        <v>1</v>
      </c>
      <c r="Q350" t="n">
        <v>0.2</v>
      </c>
      <c r="R350" t="n">
        <v>2</v>
      </c>
      <c r="S350" t="n">
        <v>27198.99</v>
      </c>
      <c r="T350" t="n">
        <v>24</v>
      </c>
      <c r="U350" t="n">
        <v>25</v>
      </c>
      <c r="V350" t="n">
        <v>30</v>
      </c>
      <c r="W350" t="n">
        <v>12</v>
      </c>
      <c r="X350" t="n">
        <v>321.6295899222729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10352</v>
      </c>
      <c r="AG350" t="n">
        <v>170</v>
      </c>
      <c r="AH350" t="inlineStr">
        <is>
          <t>PT. JALUR MANDIRI UTAMA - PPN (PDG)</t>
        </is>
      </c>
      <c r="AI350" t="n">
        <v>903</v>
      </c>
      <c r="AJ350" t="inlineStr">
        <is>
          <t>BARENBLISS</t>
        </is>
      </c>
      <c r="AK350" t="n">
        <v>21</v>
      </c>
      <c r="AL350" t="inlineStr">
        <is>
          <t>Miss Glam Damar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"8809851672464"</f>
        <v/>
      </c>
      <c r="C351" t="inlineStr">
        <is>
          <t>BARENBLISS Lily Makes Luminous Glow Tint 03 Figgy Plum 2.5gr</t>
        </is>
      </c>
      <c r="D351" t="inlineStr">
        <is>
          <t>Miss Glam Damar</t>
        </is>
      </c>
      <c r="E351" t="n">
        <v>44</v>
      </c>
      <c r="F351" t="n">
        <v>1.2376</v>
      </c>
      <c r="G351" t="n">
        <v>5.46</v>
      </c>
      <c r="H351" t="n">
        <v>2</v>
      </c>
      <c r="I351" t="n">
        <v>9</v>
      </c>
      <c r="J351" t="n">
        <v>3</v>
      </c>
      <c r="K351" t="n">
        <v>0</v>
      </c>
      <c r="L351" t="n">
        <v>58320</v>
      </c>
      <c r="M351" t="n">
        <v>72900</v>
      </c>
      <c r="N351" t="n">
        <v>91</v>
      </c>
      <c r="O351" t="n">
        <v>0.91</v>
      </c>
      <c r="P351" t="n">
        <v>1</v>
      </c>
      <c r="Q351" t="n">
        <v>0.93</v>
      </c>
      <c r="R351" t="n">
        <v>4</v>
      </c>
      <c r="S351" t="n">
        <v>90221.04000000001</v>
      </c>
      <c r="T351" t="n">
        <v>47</v>
      </c>
      <c r="U351" t="n">
        <v>50</v>
      </c>
      <c r="V351" t="n">
        <v>30</v>
      </c>
      <c r="W351" t="n">
        <v>38</v>
      </c>
      <c r="X351" t="n">
        <v>35.55268261150614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10352</v>
      </c>
      <c r="AG351" t="n">
        <v>170</v>
      </c>
      <c r="AH351" t="inlineStr">
        <is>
          <t>PT. JALUR MANDIRI UTAMA - PPN (PDG)</t>
        </is>
      </c>
      <c r="AI351" t="n">
        <v>903</v>
      </c>
      <c r="AJ351" t="inlineStr">
        <is>
          <t>BARENBLISS</t>
        </is>
      </c>
      <c r="AK351" t="n">
        <v>21</v>
      </c>
      <c r="AL351" t="inlineStr">
        <is>
          <t>Miss Glam Damar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"8809851672471"</f>
        <v/>
      </c>
      <c r="C352" t="inlineStr">
        <is>
          <t>BARENBLISS Lily Makes Luminous Glow Tint 04 Sunset Drop 2.5gr</t>
        </is>
      </c>
      <c r="D352" t="inlineStr">
        <is>
          <t>Miss Glam Damar</t>
        </is>
      </c>
      <c r="E352" t="n">
        <v>19</v>
      </c>
      <c r="F352" t="n">
        <v>0.4641</v>
      </c>
      <c r="G352" t="n">
        <v>4.55</v>
      </c>
      <c r="H352" t="n">
        <v>2</v>
      </c>
      <c r="I352" t="n">
        <v>9</v>
      </c>
      <c r="J352" t="n">
        <v>3</v>
      </c>
      <c r="K352" t="n">
        <v>0</v>
      </c>
      <c r="L352" t="n">
        <v>58320</v>
      </c>
      <c r="M352" t="n">
        <v>72900</v>
      </c>
      <c r="N352" t="n">
        <v>91</v>
      </c>
      <c r="O352" t="n">
        <v>0.91</v>
      </c>
      <c r="P352" t="n">
        <v>1</v>
      </c>
      <c r="Q352" t="n">
        <v>0.27</v>
      </c>
      <c r="R352" t="n">
        <v>2</v>
      </c>
      <c r="S352" t="n">
        <v>33832.89</v>
      </c>
      <c r="T352" t="n">
        <v>41</v>
      </c>
      <c r="U352" t="n">
        <v>42</v>
      </c>
      <c r="V352" t="n">
        <v>30</v>
      </c>
      <c r="W352" t="n">
        <v>14</v>
      </c>
      <c r="X352" t="n">
        <v>40.93945270415858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10352</v>
      </c>
      <c r="AG352" t="n">
        <v>170</v>
      </c>
      <c r="AH352" t="inlineStr">
        <is>
          <t>PT. JALUR MANDIRI UTAMA - PPN (PDG)</t>
        </is>
      </c>
      <c r="AI352" t="n">
        <v>903</v>
      </c>
      <c r="AJ352" t="inlineStr">
        <is>
          <t>BARENBLISS</t>
        </is>
      </c>
      <c r="AK352" t="n">
        <v>21</v>
      </c>
      <c r="AL352" t="inlineStr">
        <is>
          <t>Miss Glam Damar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"8809851672488"</f>
        <v/>
      </c>
      <c r="C353" t="inlineStr">
        <is>
          <t>BARENBLISS Lily Makes Luminous Glow Tint 05 Burn Pomelo 2.5gr</t>
        </is>
      </c>
      <c r="D353" t="inlineStr">
        <is>
          <t>Miss Glam Damar</t>
        </is>
      </c>
      <c r="E353" t="n">
        <v>79</v>
      </c>
      <c r="F353" t="n">
        <v>0.1365</v>
      </c>
      <c r="G353" t="n">
        <v>1.82</v>
      </c>
      <c r="H353" t="n">
        <v>2</v>
      </c>
      <c r="I353" t="n">
        <v>9</v>
      </c>
      <c r="J353" t="n">
        <v>3</v>
      </c>
      <c r="K353" t="n">
        <v>0</v>
      </c>
      <c r="L353" t="n">
        <v>58320</v>
      </c>
      <c r="M353" t="n">
        <v>72900</v>
      </c>
      <c r="N353" t="n">
        <v>91</v>
      </c>
      <c r="O353" t="n">
        <v>0.91</v>
      </c>
      <c r="P353" t="n">
        <v>1</v>
      </c>
      <c r="Q353" t="n">
        <v>0.03</v>
      </c>
      <c r="R353" t="n">
        <v>1</v>
      </c>
      <c r="S353" t="n">
        <v>9950.85</v>
      </c>
      <c r="T353" t="n">
        <v>17</v>
      </c>
      <c r="U353" t="n">
        <v>18</v>
      </c>
      <c r="V353" t="n">
        <v>30</v>
      </c>
      <c r="W353" t="n">
        <v>5</v>
      </c>
      <c r="X353" t="n">
        <v>578.7545787545787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10352</v>
      </c>
      <c r="AG353" t="n">
        <v>170</v>
      </c>
      <c r="AH353" t="inlineStr">
        <is>
          <t>PT. JALUR MANDIRI UTAMA - PPN (PDG)</t>
        </is>
      </c>
      <c r="AI353" t="n">
        <v>903</v>
      </c>
      <c r="AJ353" t="inlineStr">
        <is>
          <t>BARENBLISS</t>
        </is>
      </c>
      <c r="AK353" t="n">
        <v>21</v>
      </c>
      <c r="AL353" t="inlineStr">
        <is>
          <t>Miss Glam Damar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"8809851672495"</f>
        <v/>
      </c>
      <c r="C354" t="inlineStr">
        <is>
          <t>BARENBLISS Lily Makes Luminous Glow Tint 06 Garnet Crush 2.5gr</t>
        </is>
      </c>
      <c r="D354" t="inlineStr">
        <is>
          <t>Miss Glam Damar</t>
        </is>
      </c>
      <c r="E354" t="n">
        <v>69</v>
      </c>
      <c r="F354" t="n">
        <v>0.2639</v>
      </c>
      <c r="G354" t="n">
        <v>2.73</v>
      </c>
      <c r="H354" t="n">
        <v>2</v>
      </c>
      <c r="I354" t="n">
        <v>9</v>
      </c>
      <c r="J354" t="n">
        <v>3</v>
      </c>
      <c r="K354" t="n">
        <v>0</v>
      </c>
      <c r="L354" t="n">
        <v>58320</v>
      </c>
      <c r="M354" t="n">
        <v>72900</v>
      </c>
      <c r="N354" t="n">
        <v>91</v>
      </c>
      <c r="O354" t="n">
        <v>0.91</v>
      </c>
      <c r="P354" t="n">
        <v>1</v>
      </c>
      <c r="Q354" t="n">
        <v>0.19</v>
      </c>
      <c r="R354" t="n">
        <v>7</v>
      </c>
      <c r="S354" t="n">
        <v>19238.31</v>
      </c>
      <c r="T354" t="n">
        <v>25</v>
      </c>
      <c r="U354" t="n">
        <v>26</v>
      </c>
      <c r="V354" t="n">
        <v>30</v>
      </c>
      <c r="W354" t="n">
        <v>8</v>
      </c>
      <c r="X354" t="n">
        <v>261.4626752557787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10352</v>
      </c>
      <c r="AG354" t="n">
        <v>170</v>
      </c>
      <c r="AH354" t="inlineStr">
        <is>
          <t>PT. JALUR MANDIRI UTAMA - PPN (PDG)</t>
        </is>
      </c>
      <c r="AI354" t="n">
        <v>903</v>
      </c>
      <c r="AJ354" t="inlineStr">
        <is>
          <t>BARENBLISS</t>
        </is>
      </c>
      <c r="AK354" t="n">
        <v>21</v>
      </c>
      <c r="AL354" t="inlineStr">
        <is>
          <t>Miss Glam Damar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"20100706325"</f>
        <v/>
      </c>
      <c r="C355" t="inlineStr">
        <is>
          <t>BARENBLISS LockLock Hydra Smooth Poreless Primer 20gr</t>
        </is>
      </c>
      <c r="D355" t="inlineStr">
        <is>
          <t>Miss Glam Damar</t>
        </is>
      </c>
      <c r="E355" t="n">
        <v>54</v>
      </c>
      <c r="F355" t="n">
        <v>0.3549</v>
      </c>
      <c r="G355" t="n">
        <v>1.82</v>
      </c>
      <c r="H355" t="n">
        <v>2</v>
      </c>
      <c r="I355" t="n">
        <v>9</v>
      </c>
      <c r="J355" t="n">
        <v>3</v>
      </c>
      <c r="K355" t="n">
        <v>0</v>
      </c>
      <c r="L355" t="n">
        <v>63200</v>
      </c>
      <c r="M355" t="n">
        <v>79000</v>
      </c>
      <c r="N355" t="n">
        <v>91</v>
      </c>
      <c r="O355" t="n">
        <v>0.91</v>
      </c>
      <c r="P355" t="n">
        <v>1</v>
      </c>
      <c r="Q355" t="n">
        <v>0.2</v>
      </c>
      <c r="R355" t="n">
        <v>2</v>
      </c>
      <c r="S355" t="n">
        <v>28037.1</v>
      </c>
      <c r="T355" t="n">
        <v>16</v>
      </c>
      <c r="U355" t="n">
        <v>17</v>
      </c>
      <c r="V355" t="n">
        <v>30</v>
      </c>
      <c r="W355" t="n">
        <v>11</v>
      </c>
      <c r="X355" t="n">
        <v>152.1555367709214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10352</v>
      </c>
      <c r="AG355" t="n">
        <v>170</v>
      </c>
      <c r="AH355" t="inlineStr">
        <is>
          <t>PT. JALUR MANDIRI UTAMA - PPN (PDG)</t>
        </is>
      </c>
      <c r="AI355" t="n">
        <v>903</v>
      </c>
      <c r="AJ355" t="inlineStr">
        <is>
          <t>BARENBLISS</t>
        </is>
      </c>
      <c r="AK355" t="n">
        <v>21</v>
      </c>
      <c r="AL355" t="inlineStr">
        <is>
          <t>Miss Glam Damar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"8809851671573"</f>
        <v/>
      </c>
      <c r="C356" t="inlineStr">
        <is>
          <t>BARENBLISS Locklook Dewy Setting Spray 50ml</t>
        </is>
      </c>
      <c r="D356" t="inlineStr">
        <is>
          <t>Miss Glam Damar</t>
        </is>
      </c>
      <c r="E356" t="n">
        <v>18</v>
      </c>
      <c r="F356" t="n">
        <v>0.4186</v>
      </c>
      <c r="G356" t="n">
        <v>1.82</v>
      </c>
      <c r="H356" t="n">
        <v>2</v>
      </c>
      <c r="I356" t="n">
        <v>9</v>
      </c>
      <c r="J356" t="n">
        <v>3</v>
      </c>
      <c r="K356" t="n">
        <v>0</v>
      </c>
      <c r="L356" t="n">
        <v>57520</v>
      </c>
      <c r="M356" t="n">
        <v>71900</v>
      </c>
      <c r="N356" t="n">
        <v>91</v>
      </c>
      <c r="O356" t="n">
        <v>0.91</v>
      </c>
      <c r="P356" t="n">
        <v>1</v>
      </c>
      <c r="Q356" t="n">
        <v>0.51</v>
      </c>
      <c r="R356" t="n">
        <v>3</v>
      </c>
      <c r="S356" t="n">
        <v>30097.34</v>
      </c>
      <c r="T356" t="n">
        <v>16</v>
      </c>
      <c r="U356" t="n">
        <v>17</v>
      </c>
      <c r="V356" t="n">
        <v>30</v>
      </c>
      <c r="W356" t="n">
        <v>13</v>
      </c>
      <c r="X356" t="n">
        <v>43.00047778308647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10352</v>
      </c>
      <c r="AG356" t="n">
        <v>170</v>
      </c>
      <c r="AH356" t="inlineStr">
        <is>
          <t>PT. JALUR MANDIRI UTAMA - PPN (PDG)</t>
        </is>
      </c>
      <c r="AI356" t="n">
        <v>903</v>
      </c>
      <c r="AJ356" t="inlineStr">
        <is>
          <t>BARENBLISS</t>
        </is>
      </c>
      <c r="AK356" t="n">
        <v>21</v>
      </c>
      <c r="AL356" t="inlineStr">
        <is>
          <t>Miss Glam Damar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BARENBLISS</t>
        </is>
      </c>
      <c r="B357" s="2">
        <f>"20100706742"</f>
        <v/>
      </c>
      <c r="C357" t="inlineStr">
        <is>
          <t>BARENBLISS Locklook Matte &amp; Blur Primer 20gr</t>
        </is>
      </c>
      <c r="D357" t="inlineStr">
        <is>
          <t>Miss Glam Damar</t>
        </is>
      </c>
      <c r="E357" t="n">
        <v>30</v>
      </c>
      <c r="F357" t="n">
        <v>0.4914000000000001</v>
      </c>
      <c r="G357" t="n">
        <v>2.73</v>
      </c>
      <c r="H357" t="n">
        <v>2</v>
      </c>
      <c r="I357" t="n">
        <v>9</v>
      </c>
      <c r="J357" t="n">
        <v>1</v>
      </c>
      <c r="K357" t="n">
        <v>0</v>
      </c>
      <c r="L357" t="n">
        <v>63200</v>
      </c>
      <c r="M357" t="n">
        <v>79000</v>
      </c>
      <c r="N357" t="n">
        <v>91</v>
      </c>
      <c r="O357" t="n">
        <v>0.91</v>
      </c>
      <c r="P357" t="n">
        <v>1</v>
      </c>
      <c r="Q357" t="n">
        <v>0.86</v>
      </c>
      <c r="R357" t="n">
        <v>4</v>
      </c>
      <c r="S357" t="n">
        <v>38820.60000000001</v>
      </c>
      <c r="T357" t="n">
        <v>24</v>
      </c>
      <c r="U357" t="n">
        <v>25</v>
      </c>
      <c r="V357" t="n">
        <v>30</v>
      </c>
      <c r="W357" t="n">
        <v>15</v>
      </c>
      <c r="X357" t="n">
        <v>61.05006105006104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10352</v>
      </c>
      <c r="AG357" t="n">
        <v>170</v>
      </c>
      <c r="AH357" t="inlineStr">
        <is>
          <t>PT. JALUR MANDIRI UTAMA - PPN (PDG)</t>
        </is>
      </c>
      <c r="AI357" t="n">
        <v>903</v>
      </c>
      <c r="AJ357" t="inlineStr">
        <is>
          <t>BARENBLISS</t>
        </is>
      </c>
      <c r="AK357" t="n">
        <v>21</v>
      </c>
      <c r="AL357" t="inlineStr">
        <is>
          <t>Miss Glam Damar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BARENBLISS</t>
        </is>
      </c>
      <c r="B358" s="2">
        <f>"8809851671566"</f>
        <v/>
      </c>
      <c r="C358" t="inlineStr">
        <is>
          <t>BARENBLISS Locklook Matte Setting Spray 50ml</t>
        </is>
      </c>
      <c r="D358" t="inlineStr">
        <is>
          <t>Miss Glam Damar</t>
        </is>
      </c>
      <c r="E358" t="n">
        <v>34</v>
      </c>
      <c r="F358" t="n">
        <v>0.4914000000000001</v>
      </c>
      <c r="G358" t="n">
        <v>2.73</v>
      </c>
      <c r="H358" t="n">
        <v>2</v>
      </c>
      <c r="I358" t="n">
        <v>9</v>
      </c>
      <c r="J358" t="n">
        <v>3</v>
      </c>
      <c r="K358" t="n">
        <v>0</v>
      </c>
      <c r="L358" t="n">
        <v>57520</v>
      </c>
      <c r="M358" t="n">
        <v>71900</v>
      </c>
      <c r="N358" t="n">
        <v>91</v>
      </c>
      <c r="O358" t="n">
        <v>0.91</v>
      </c>
      <c r="P358" t="n">
        <v>1</v>
      </c>
      <c r="Q358" t="n">
        <v>0.63</v>
      </c>
      <c r="R358" t="n">
        <v>3</v>
      </c>
      <c r="S358" t="n">
        <v>35331.66</v>
      </c>
      <c r="T358" t="n">
        <v>24</v>
      </c>
      <c r="U358" t="n">
        <v>25</v>
      </c>
      <c r="V358" t="n">
        <v>30</v>
      </c>
      <c r="W358" t="n">
        <v>15</v>
      </c>
      <c r="X358" t="n">
        <v>69.19006919006918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10352</v>
      </c>
      <c r="AG358" t="n">
        <v>170</v>
      </c>
      <c r="AH358" t="inlineStr">
        <is>
          <t>PT. JALUR MANDIRI UTAMA - PPN (PDG)</t>
        </is>
      </c>
      <c r="AI358" t="n">
        <v>903</v>
      </c>
      <c r="AJ358" t="inlineStr">
        <is>
          <t>BARENBLISS</t>
        </is>
      </c>
      <c r="AK358" t="n">
        <v>21</v>
      </c>
      <c r="AL358" t="inlineStr">
        <is>
          <t>Miss Glam Damar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BARENBLISS</t>
        </is>
      </c>
      <c r="B359" s="2">
        <f>"20100706131"</f>
        <v/>
      </c>
      <c r="C359" t="inlineStr">
        <is>
          <t>BARENBLISS Locklook Silky Flawless Tinted Primer 20gr</t>
        </is>
      </c>
      <c r="D359" t="inlineStr">
        <is>
          <t>Miss Glam Damar</t>
        </is>
      </c>
      <c r="E359" t="n">
        <v>38</v>
      </c>
      <c r="F359" t="n">
        <v>0.3549</v>
      </c>
      <c r="G359" t="n">
        <v>1.82</v>
      </c>
      <c r="H359" t="n">
        <v>2</v>
      </c>
      <c r="I359" t="n">
        <v>9</v>
      </c>
      <c r="J359" t="n">
        <v>3</v>
      </c>
      <c r="K359" t="n">
        <v>0</v>
      </c>
      <c r="L359" t="n">
        <v>63200</v>
      </c>
      <c r="M359" t="n">
        <v>79000</v>
      </c>
      <c r="N359" t="n">
        <v>91</v>
      </c>
      <c r="O359" t="n">
        <v>0.91</v>
      </c>
      <c r="P359" t="n">
        <v>1</v>
      </c>
      <c r="Q359" t="n">
        <v>0.2</v>
      </c>
      <c r="R359" t="n">
        <v>2</v>
      </c>
      <c r="S359" t="n">
        <v>28037.1</v>
      </c>
      <c r="T359" t="n">
        <v>16</v>
      </c>
      <c r="U359" t="n">
        <v>17</v>
      </c>
      <c r="V359" t="n">
        <v>30</v>
      </c>
      <c r="W359" t="n">
        <v>11</v>
      </c>
      <c r="X359" t="n">
        <v>107.0724147647224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10352</v>
      </c>
      <c r="AG359" t="n">
        <v>170</v>
      </c>
      <c r="AH359" t="inlineStr">
        <is>
          <t>PT. JALUR MANDIRI UTAMA - PPN (PDG)</t>
        </is>
      </c>
      <c r="AI359" t="n">
        <v>903</v>
      </c>
      <c r="AJ359" t="inlineStr">
        <is>
          <t>BARENBLISS</t>
        </is>
      </c>
      <c r="AK359" t="n">
        <v>21</v>
      </c>
      <c r="AL359" t="inlineStr">
        <is>
          <t>Miss Glam Damar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BARENBLISS</t>
        </is>
      </c>
      <c r="B360" s="2">
        <f>"203003110527"</f>
        <v/>
      </c>
      <c r="C360" t="inlineStr">
        <is>
          <t>BARENBLISS Lychee Makes Lovely Blur Tint Duo 27 Embrace Hug 2,5gr</t>
        </is>
      </c>
      <c r="D360" t="inlineStr">
        <is>
          <t>Miss Glam Damar</t>
        </is>
      </c>
      <c r="E360" t="n">
        <v>15</v>
      </c>
      <c r="F360" t="n">
        <v>0.15</v>
      </c>
      <c r="G360" t="n">
        <v>4</v>
      </c>
      <c r="H360" t="n">
        <v>2</v>
      </c>
      <c r="I360" t="n">
        <v>9</v>
      </c>
      <c r="J360" t="n">
        <v>1</v>
      </c>
      <c r="K360" t="n">
        <v>0</v>
      </c>
      <c r="L360" t="n">
        <v>63920</v>
      </c>
      <c r="M360" t="n">
        <v>79900</v>
      </c>
      <c r="N360" t="n">
        <v>91</v>
      </c>
      <c r="O360" t="n">
        <v>0.91</v>
      </c>
      <c r="P360" t="n">
        <v>0</v>
      </c>
      <c r="Q360" t="n">
        <v>0.15</v>
      </c>
      <c r="R360" t="n">
        <v>4</v>
      </c>
      <c r="S360" t="n">
        <v>11985</v>
      </c>
      <c r="T360" t="n">
        <v>36</v>
      </c>
      <c r="U360" t="n">
        <v>37</v>
      </c>
      <c r="V360" t="n">
        <v>30</v>
      </c>
      <c r="W360" t="n">
        <v>5</v>
      </c>
      <c r="X360" t="n">
        <v>100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10352</v>
      </c>
      <c r="AG360" t="n">
        <v>170</v>
      </c>
      <c r="AH360" t="inlineStr">
        <is>
          <t>PT. JALUR MANDIRI UTAMA - PPN (PDG)</t>
        </is>
      </c>
      <c r="AI360" t="n">
        <v>903</v>
      </c>
      <c r="AJ360" t="inlineStr">
        <is>
          <t>BARENBLISS</t>
        </is>
      </c>
      <c r="AK360" t="n">
        <v>21</v>
      </c>
      <c r="AL360" t="inlineStr">
        <is>
          <t>Miss Glam Damar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BARENBLISS</t>
        </is>
      </c>
      <c r="B361" s="2">
        <f>"20200466036"</f>
        <v/>
      </c>
      <c r="C361" t="inlineStr">
        <is>
          <t>BARENBLISS Make Me Plushy Eyebrow Duo Dark Brown 0.19g+1gr</t>
        </is>
      </c>
      <c r="D361" t="inlineStr">
        <is>
          <t>Miss Glam Damar</t>
        </is>
      </c>
      <c r="E361" t="n">
        <v>68</v>
      </c>
      <c r="F361" t="n">
        <v>0.09100000000000001</v>
      </c>
      <c r="G361" t="n">
        <v>2.73</v>
      </c>
      <c r="H361" t="n">
        <v>2</v>
      </c>
      <c r="I361" t="n">
        <v>9</v>
      </c>
      <c r="J361" t="n">
        <v>1</v>
      </c>
      <c r="K361" t="n">
        <v>0</v>
      </c>
      <c r="L361" t="n">
        <v>47920</v>
      </c>
      <c r="M361" t="n">
        <v>59900</v>
      </c>
      <c r="N361" t="n">
        <v>91</v>
      </c>
      <c r="O361" t="n">
        <v>0.91</v>
      </c>
      <c r="P361" t="n">
        <v>1</v>
      </c>
      <c r="Q361" t="n">
        <v>1.14</v>
      </c>
      <c r="R361" t="n">
        <v>5</v>
      </c>
      <c r="S361" t="n">
        <v>5450.900000000001</v>
      </c>
      <c r="T361" t="n">
        <v>25</v>
      </c>
      <c r="U361" t="n">
        <v>26</v>
      </c>
      <c r="V361" t="n">
        <v>30</v>
      </c>
      <c r="W361" t="n">
        <v>3</v>
      </c>
      <c r="X361" t="n">
        <v>747.2527472527472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10352</v>
      </c>
      <c r="AG361" t="n">
        <v>170</v>
      </c>
      <c r="AH361" t="inlineStr">
        <is>
          <t>PT. JALUR MANDIRI UTAMA - PPN (PDG)</t>
        </is>
      </c>
      <c r="AI361" t="n">
        <v>903</v>
      </c>
      <c r="AJ361" t="inlineStr">
        <is>
          <t>BARENBLISS</t>
        </is>
      </c>
      <c r="AK361" t="n">
        <v>21</v>
      </c>
      <c r="AL361" t="inlineStr">
        <is>
          <t>Miss Glam Damar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BARENBLISS</t>
        </is>
      </c>
      <c r="B362" s="2">
        <f>"20200466131"</f>
        <v/>
      </c>
      <c r="C362" t="inlineStr">
        <is>
          <t>BARENBLISS Make Me Plushy Eyebrow Duo Natural Gray 0.19gr+1gr</t>
        </is>
      </c>
      <c r="D362" t="inlineStr">
        <is>
          <t>Miss Glam Damar</t>
        </is>
      </c>
      <c r="E362" t="n">
        <v>34</v>
      </c>
      <c r="F362" t="n">
        <v>0.6643</v>
      </c>
      <c r="G362" t="n">
        <v>2.73</v>
      </c>
      <c r="H362" t="n">
        <v>2</v>
      </c>
      <c r="I362" t="n">
        <v>9</v>
      </c>
      <c r="J362" t="n">
        <v>1</v>
      </c>
      <c r="K362" t="n">
        <v>0</v>
      </c>
      <c r="L362" t="n">
        <v>47920</v>
      </c>
      <c r="M362" t="n">
        <v>59900</v>
      </c>
      <c r="N362" t="n">
        <v>91</v>
      </c>
      <c r="O362" t="n">
        <v>0.91</v>
      </c>
      <c r="P362" t="n">
        <v>1</v>
      </c>
      <c r="Q362" t="n">
        <v>0.85</v>
      </c>
      <c r="R362" t="n">
        <v>4</v>
      </c>
      <c r="S362" t="n">
        <v>39791.57</v>
      </c>
      <c r="T362" t="n">
        <v>24</v>
      </c>
      <c r="U362" t="n">
        <v>26</v>
      </c>
      <c r="V362" t="n">
        <v>30</v>
      </c>
      <c r="W362" t="n">
        <v>20</v>
      </c>
      <c r="X362" t="n">
        <v>51.18169501731145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10352</v>
      </c>
      <c r="AG362" t="n">
        <v>170</v>
      </c>
      <c r="AH362" t="inlineStr">
        <is>
          <t>PT. JALUR MANDIRI UTAMA - PPN (PDG)</t>
        </is>
      </c>
      <c r="AI362" t="n">
        <v>903</v>
      </c>
      <c r="AJ362" t="inlineStr">
        <is>
          <t>BARENBLISS</t>
        </is>
      </c>
      <c r="AK362" t="n">
        <v>21</v>
      </c>
      <c r="AL362" t="inlineStr">
        <is>
          <t>Miss Glam Damar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BARENBLISS</t>
        </is>
      </c>
      <c r="B363" s="2">
        <f>"8809851671429"</f>
        <v/>
      </c>
      <c r="C363" t="inlineStr">
        <is>
          <t>BARENBLISS Mari Mori Make Up Remover Wipes 20pcs</t>
        </is>
      </c>
      <c r="D363" t="inlineStr">
        <is>
          <t>Miss Glam Damar</t>
        </is>
      </c>
      <c r="E363" t="n">
        <v>16</v>
      </c>
      <c r="F363" t="n">
        <v>0.2002</v>
      </c>
      <c r="G363" t="n">
        <v>1.82</v>
      </c>
      <c r="H363" t="n">
        <v>2</v>
      </c>
      <c r="I363" t="n">
        <v>9</v>
      </c>
      <c r="J363" t="n">
        <v>3</v>
      </c>
      <c r="K363" t="n">
        <v>0</v>
      </c>
      <c r="L363" t="n">
        <v>35920</v>
      </c>
      <c r="M363" t="n">
        <v>44900</v>
      </c>
      <c r="N363" t="n">
        <v>91</v>
      </c>
      <c r="O363" t="n">
        <v>0.91</v>
      </c>
      <c r="P363" t="n">
        <v>1</v>
      </c>
      <c r="Q363" t="n">
        <v>0.53</v>
      </c>
      <c r="R363" t="n">
        <v>3</v>
      </c>
      <c r="S363" t="n">
        <v>8988.980000000001</v>
      </c>
      <c r="T363" t="n">
        <v>16</v>
      </c>
      <c r="U363" t="n">
        <v>17</v>
      </c>
      <c r="V363" t="n">
        <v>30</v>
      </c>
      <c r="W363" t="n">
        <v>7</v>
      </c>
      <c r="X363" t="n">
        <v>79.92007992007991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10352</v>
      </c>
      <c r="AG363" t="n">
        <v>170</v>
      </c>
      <c r="AH363" t="inlineStr">
        <is>
          <t>PT. JALUR MANDIRI UTAMA - PPN (PDG)</t>
        </is>
      </c>
      <c r="AI363" t="n">
        <v>903</v>
      </c>
      <c r="AJ363" t="inlineStr">
        <is>
          <t>BARENBLISS</t>
        </is>
      </c>
      <c r="AK363" t="n">
        <v>21</v>
      </c>
      <c r="AL363" t="inlineStr">
        <is>
          <t>Miss Glam Damar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BARENBLISS</t>
        </is>
      </c>
      <c r="B364" s="2">
        <f>"8809851671412"</f>
        <v/>
      </c>
      <c r="C364" t="inlineStr">
        <is>
          <t>BARENBLISS Mari Mori Micellar Water 50ml</t>
        </is>
      </c>
      <c r="D364" t="inlineStr">
        <is>
          <t>Miss Glam Damar</t>
        </is>
      </c>
      <c r="E364" t="n">
        <v>36</v>
      </c>
      <c r="F364" t="n">
        <v>0.02</v>
      </c>
      <c r="G364" t="n">
        <v>1</v>
      </c>
      <c r="H364" t="n">
        <v>2</v>
      </c>
      <c r="I364" t="n">
        <v>9</v>
      </c>
      <c r="J364" t="n">
        <v>3</v>
      </c>
      <c r="K364" t="n">
        <v>0</v>
      </c>
      <c r="L364" t="n">
        <v>33520</v>
      </c>
      <c r="M364" t="n">
        <v>41900</v>
      </c>
      <c r="N364" t="n">
        <v>91</v>
      </c>
      <c r="O364" t="n">
        <v>0.91</v>
      </c>
      <c r="P364" t="n">
        <v>0</v>
      </c>
      <c r="Q364" t="n">
        <v>0.02</v>
      </c>
      <c r="R364" t="n">
        <v>1</v>
      </c>
      <c r="S364" t="n">
        <v>838</v>
      </c>
      <c r="T364" t="n">
        <v>9</v>
      </c>
      <c r="U364" t="n">
        <v>10</v>
      </c>
      <c r="V364" t="n">
        <v>30</v>
      </c>
      <c r="W364" t="n">
        <v>1</v>
      </c>
      <c r="X364" t="n">
        <v>1800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10352</v>
      </c>
      <c r="AG364" t="n">
        <v>170</v>
      </c>
      <c r="AH364" t="inlineStr">
        <is>
          <t>PT. JALUR MANDIRI UTAMA - PPN (PDG)</t>
        </is>
      </c>
      <c r="AI364" t="n">
        <v>903</v>
      </c>
      <c r="AJ364" t="inlineStr">
        <is>
          <t>BARENBLISS</t>
        </is>
      </c>
      <c r="AK364" t="n">
        <v>21</v>
      </c>
      <c r="AL364" t="inlineStr">
        <is>
          <t>Miss Glam Damar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BARENBLISS</t>
        </is>
      </c>
      <c r="B365" s="2">
        <f>"10100205112"</f>
        <v/>
      </c>
      <c r="C365" t="inlineStr">
        <is>
          <t>BARENBLISS Mari Mori Pore Cleansing Oil 160ml</t>
        </is>
      </c>
      <c r="D365" t="inlineStr">
        <is>
          <t>Miss Glam Damar</t>
        </is>
      </c>
      <c r="E365" t="n">
        <v>41</v>
      </c>
      <c r="F365" t="n">
        <v>0.32</v>
      </c>
      <c r="G365" t="n">
        <v>3</v>
      </c>
      <c r="H365" t="n">
        <v>2</v>
      </c>
      <c r="I365" t="n">
        <v>9</v>
      </c>
      <c r="J365" t="n">
        <v>1</v>
      </c>
      <c r="K365" t="n">
        <v>0</v>
      </c>
      <c r="L365" t="n">
        <v>111920</v>
      </c>
      <c r="M365" t="n">
        <v>139900</v>
      </c>
      <c r="N365" t="n">
        <v>91</v>
      </c>
      <c r="O365" t="n">
        <v>0.91</v>
      </c>
      <c r="P365" t="n">
        <v>0</v>
      </c>
      <c r="Q365" t="n">
        <v>0.32</v>
      </c>
      <c r="R365" t="n">
        <v>3</v>
      </c>
      <c r="S365" t="n">
        <v>44768</v>
      </c>
      <c r="T365" t="n">
        <v>27</v>
      </c>
      <c r="U365" t="n">
        <v>28</v>
      </c>
      <c r="V365" t="n">
        <v>30</v>
      </c>
      <c r="W365" t="n">
        <v>10</v>
      </c>
      <c r="X365" t="n">
        <v>128.125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10352</v>
      </c>
      <c r="AG365" t="n">
        <v>170</v>
      </c>
      <c r="AH365" t="inlineStr">
        <is>
          <t>PT. JALUR MANDIRI UTAMA - PPN (PDG)</t>
        </is>
      </c>
      <c r="AI365" t="n">
        <v>903</v>
      </c>
      <c r="AJ365" t="inlineStr">
        <is>
          <t>BARENBLISS</t>
        </is>
      </c>
      <c r="AK365" t="n">
        <v>21</v>
      </c>
      <c r="AL365" t="inlineStr">
        <is>
          <t>Miss Glam Damar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BARENBLISS</t>
        </is>
      </c>
      <c r="B366" s="2">
        <f>"8809851672945"</f>
        <v/>
      </c>
      <c r="C366" t="inlineStr">
        <is>
          <t>BARENBLISS Matte Lipstick No Gravity Transferproof 07 Mars Rose 3gr</t>
        </is>
      </c>
      <c r="D366" t="inlineStr">
        <is>
          <t>Miss Glam Damar</t>
        </is>
      </c>
      <c r="E366" t="n">
        <v>33</v>
      </c>
      <c r="F366" t="n">
        <v>0.1274</v>
      </c>
      <c r="G366" t="n">
        <v>0.91</v>
      </c>
      <c r="H366" t="n">
        <v>2</v>
      </c>
      <c r="I366" t="n">
        <v>9</v>
      </c>
      <c r="J366" t="n">
        <v>3</v>
      </c>
      <c r="K366" t="n">
        <v>0</v>
      </c>
      <c r="L366" t="n">
        <v>71920</v>
      </c>
      <c r="M366" t="n">
        <v>89900</v>
      </c>
      <c r="N366" t="n">
        <v>91</v>
      </c>
      <c r="O366" t="n">
        <v>0.91</v>
      </c>
      <c r="P366" t="n">
        <v>1</v>
      </c>
      <c r="Q366" t="n">
        <v>0.14</v>
      </c>
      <c r="R366" t="n">
        <v>3</v>
      </c>
      <c r="S366" t="n">
        <v>11453.26</v>
      </c>
      <c r="T366" t="n">
        <v>8</v>
      </c>
      <c r="U366" t="n">
        <v>9</v>
      </c>
      <c r="V366" t="n">
        <v>30</v>
      </c>
      <c r="W366" t="n">
        <v>4</v>
      </c>
      <c r="X366" t="n">
        <v>259.0266875981162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10352</v>
      </c>
      <c r="AG366" t="n">
        <v>170</v>
      </c>
      <c r="AH366" t="inlineStr">
        <is>
          <t>PT. JALUR MANDIRI UTAMA - PPN (PDG)</t>
        </is>
      </c>
      <c r="AI366" t="n">
        <v>903</v>
      </c>
      <c r="AJ366" t="inlineStr">
        <is>
          <t>BARENBLISS</t>
        </is>
      </c>
      <c r="AK366" t="n">
        <v>21</v>
      </c>
      <c r="AL366" t="inlineStr">
        <is>
          <t>Miss Glam Damar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BARENBLISS</t>
        </is>
      </c>
      <c r="B367" s="2">
        <f>"20100964629"</f>
        <v/>
      </c>
      <c r="C367" t="inlineStr">
        <is>
          <t>BARENBLISS Moist Mochi Paste Ph-Cream Blush P06 Mulberry Mist 4.5gr</t>
        </is>
      </c>
      <c r="D367" t="inlineStr">
        <is>
          <t>Miss Glam Damar</t>
        </is>
      </c>
      <c r="E367" t="n">
        <v>5</v>
      </c>
      <c r="F367" t="n">
        <v>0.2002</v>
      </c>
      <c r="G367" t="n">
        <v>1.82</v>
      </c>
      <c r="H367" t="n">
        <v>2</v>
      </c>
      <c r="I367" t="n">
        <v>9</v>
      </c>
      <c r="J367" t="n">
        <v>1</v>
      </c>
      <c r="K367" t="n">
        <v>0</v>
      </c>
      <c r="L367" t="n">
        <v>63920</v>
      </c>
      <c r="M367" t="n">
        <v>79900</v>
      </c>
      <c r="N367" t="n">
        <v>91</v>
      </c>
      <c r="O367" t="n">
        <v>0.91</v>
      </c>
      <c r="P367" t="n">
        <v>1</v>
      </c>
      <c r="Q367" t="n">
        <v>0.24</v>
      </c>
      <c r="R367" t="n">
        <v>2</v>
      </c>
      <c r="S367" t="n">
        <v>15995.98</v>
      </c>
      <c r="T367" t="n">
        <v>16</v>
      </c>
      <c r="U367" t="n">
        <v>17</v>
      </c>
      <c r="V367" t="n">
        <v>30</v>
      </c>
      <c r="W367" t="n">
        <v>7</v>
      </c>
      <c r="X367" t="n">
        <v>24.97502497502497</v>
      </c>
      <c r="Y367" t="n">
        <v>1</v>
      </c>
      <c r="Z367" t="n">
        <v>2</v>
      </c>
      <c r="AA367" t="n">
        <v>0</v>
      </c>
      <c r="AB367" t="n">
        <v>2</v>
      </c>
      <c r="AC367" t="n">
        <v>2</v>
      </c>
      <c r="AD367" t="n">
        <v>0</v>
      </c>
      <c r="AE367" t="n">
        <v>127840</v>
      </c>
      <c r="AF367" t="n">
        <v>10352</v>
      </c>
      <c r="AG367" t="n">
        <v>170</v>
      </c>
      <c r="AH367" t="inlineStr">
        <is>
          <t>PT. JALUR MANDIRI UTAMA - PPN (PDG)</t>
        </is>
      </c>
      <c r="AI367" t="n">
        <v>903</v>
      </c>
      <c r="AJ367" t="inlineStr">
        <is>
          <t>BARENBLISS</t>
        </is>
      </c>
      <c r="AK367" t="n">
        <v>21</v>
      </c>
      <c r="AL367" t="inlineStr">
        <is>
          <t>Miss Glam Damar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BARENBLISS</t>
        </is>
      </c>
      <c r="B368" s="2">
        <f>"8809851672884"</f>
        <v/>
      </c>
      <c r="C368" t="inlineStr">
        <is>
          <t>BARENBLISS Moist Mochi Paste Powder Blush 01 Berry Lava  4,5gr</t>
        </is>
      </c>
      <c r="D368" t="inlineStr">
        <is>
          <t>Miss Glam Damar</t>
        </is>
      </c>
      <c r="E368" t="n">
        <v>16</v>
      </c>
      <c r="F368" t="n">
        <v>0.4186</v>
      </c>
      <c r="G368" t="n">
        <v>2.73</v>
      </c>
      <c r="H368" t="n">
        <v>2</v>
      </c>
      <c r="I368" t="n">
        <v>9</v>
      </c>
      <c r="J368" t="n">
        <v>3</v>
      </c>
      <c r="K368" t="n">
        <v>0</v>
      </c>
      <c r="L368" t="n">
        <v>63920</v>
      </c>
      <c r="M368" t="n">
        <v>79900</v>
      </c>
      <c r="N368" t="n">
        <v>91</v>
      </c>
      <c r="O368" t="n">
        <v>0.91</v>
      </c>
      <c r="P368" t="n">
        <v>1</v>
      </c>
      <c r="Q368" t="n">
        <v>0.25</v>
      </c>
      <c r="R368" t="n">
        <v>2</v>
      </c>
      <c r="S368" t="n">
        <v>33446.14</v>
      </c>
      <c r="T368" t="n">
        <v>24</v>
      </c>
      <c r="U368" t="n">
        <v>25</v>
      </c>
      <c r="V368" t="n">
        <v>30</v>
      </c>
      <c r="W368" t="n">
        <v>13</v>
      </c>
      <c r="X368" t="n">
        <v>38.22264691829909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10352</v>
      </c>
      <c r="AG368" t="n">
        <v>170</v>
      </c>
      <c r="AH368" t="inlineStr">
        <is>
          <t>PT. JALUR MANDIRI UTAMA - PPN (PDG)</t>
        </is>
      </c>
      <c r="AI368" t="n">
        <v>903</v>
      </c>
      <c r="AJ368" t="inlineStr">
        <is>
          <t>BARENBLISS</t>
        </is>
      </c>
      <c r="AK368" t="n">
        <v>21</v>
      </c>
      <c r="AL368" t="inlineStr">
        <is>
          <t>Miss Glam Damar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BARENBLISS</t>
        </is>
      </c>
      <c r="B369" s="2">
        <f>"8809851672891"</f>
        <v/>
      </c>
      <c r="C369" t="inlineStr">
        <is>
          <t>BARENBLISS Moist Mochi Paste Powder Blush 02 Peachy Beach 4,5gr</t>
        </is>
      </c>
      <c r="D369" t="inlineStr">
        <is>
          <t>Miss Glam Damar</t>
        </is>
      </c>
      <c r="E369" t="n">
        <v>34</v>
      </c>
      <c r="F369" t="n">
        <v>0.2639</v>
      </c>
      <c r="G369" t="n">
        <v>3.64</v>
      </c>
      <c r="H369" t="n">
        <v>2</v>
      </c>
      <c r="I369" t="n">
        <v>9</v>
      </c>
      <c r="J369" t="n">
        <v>3</v>
      </c>
      <c r="K369" t="n">
        <v>0</v>
      </c>
      <c r="L369" t="n">
        <v>63920</v>
      </c>
      <c r="M369" t="n">
        <v>79900</v>
      </c>
      <c r="N369" t="n">
        <v>91</v>
      </c>
      <c r="O369" t="n">
        <v>0.91</v>
      </c>
      <c r="P369" t="n">
        <v>1</v>
      </c>
      <c r="Q369" t="n">
        <v>0.64</v>
      </c>
      <c r="R369" t="n">
        <v>4</v>
      </c>
      <c r="S369" t="n">
        <v>21085.61</v>
      </c>
      <c r="T369" t="n">
        <v>33</v>
      </c>
      <c r="U369" t="n">
        <v>34</v>
      </c>
      <c r="V369" t="n">
        <v>30</v>
      </c>
      <c r="W369" t="n">
        <v>8</v>
      </c>
      <c r="X369" t="n">
        <v>128.8366805608185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10352</v>
      </c>
      <c r="AG369" t="n">
        <v>170</v>
      </c>
      <c r="AH369" t="inlineStr">
        <is>
          <t>PT. JALUR MANDIRI UTAMA - PPN (PDG)</t>
        </is>
      </c>
      <c r="AI369" t="n">
        <v>903</v>
      </c>
      <c r="AJ369" t="inlineStr">
        <is>
          <t>BARENBLISS</t>
        </is>
      </c>
      <c r="AK369" t="n">
        <v>21</v>
      </c>
      <c r="AL369" t="inlineStr">
        <is>
          <t>Miss Glam Damar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BARENBLISS</t>
        </is>
      </c>
      <c r="B370" s="2">
        <f>"8809851672907"</f>
        <v/>
      </c>
      <c r="C370" t="inlineStr">
        <is>
          <t>BARENBLISS Moist Mochi Paste Powder Blush 03 Sunset Mango 4,5gr</t>
        </is>
      </c>
      <c r="D370" t="inlineStr">
        <is>
          <t>Miss Glam Damar</t>
        </is>
      </c>
      <c r="E370" t="n">
        <v>21</v>
      </c>
      <c r="F370" t="n">
        <v>0.91</v>
      </c>
      <c r="G370" t="n">
        <v>4.55</v>
      </c>
      <c r="H370" t="n">
        <v>2</v>
      </c>
      <c r="I370" t="n">
        <v>9</v>
      </c>
      <c r="J370" t="n">
        <v>3</v>
      </c>
      <c r="K370" t="n">
        <v>0</v>
      </c>
      <c r="L370" t="n">
        <v>63920</v>
      </c>
      <c r="M370" t="n">
        <v>79900</v>
      </c>
      <c r="N370" t="n">
        <v>91</v>
      </c>
      <c r="O370" t="n">
        <v>0.91</v>
      </c>
      <c r="P370" t="n">
        <v>1</v>
      </c>
      <c r="Q370" t="n">
        <v>0.93</v>
      </c>
      <c r="R370" t="n">
        <v>4</v>
      </c>
      <c r="S370" t="n">
        <v>72709</v>
      </c>
      <c r="T370" t="n">
        <v>40</v>
      </c>
      <c r="U370" t="n">
        <v>42</v>
      </c>
      <c r="V370" t="n">
        <v>30</v>
      </c>
      <c r="W370" t="n">
        <v>28</v>
      </c>
      <c r="X370" t="n">
        <v>23.07692307692308</v>
      </c>
      <c r="Y370" t="n">
        <v>1</v>
      </c>
      <c r="Z370" t="n">
        <v>7</v>
      </c>
      <c r="AA370" t="n">
        <v>0</v>
      </c>
      <c r="AB370" t="n">
        <v>7</v>
      </c>
      <c r="AC370" t="n">
        <v>7</v>
      </c>
      <c r="AD370" t="n">
        <v>0</v>
      </c>
      <c r="AE370" t="n">
        <v>447440</v>
      </c>
      <c r="AF370" t="n">
        <v>10352</v>
      </c>
      <c r="AG370" t="n">
        <v>170</v>
      </c>
      <c r="AH370" t="inlineStr">
        <is>
          <t>PT. JALUR MANDIRI UTAMA - PPN (PDG)</t>
        </is>
      </c>
      <c r="AI370" t="n">
        <v>903</v>
      </c>
      <c r="AJ370" t="inlineStr">
        <is>
          <t>BARENBLISS</t>
        </is>
      </c>
      <c r="AK370" t="n">
        <v>21</v>
      </c>
      <c r="AL370" t="inlineStr">
        <is>
          <t>Miss Glam Damar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BARENBLISS</t>
        </is>
      </c>
      <c r="B371" s="2">
        <f>"20100967543"</f>
        <v/>
      </c>
      <c r="C371" t="inlineStr">
        <is>
          <t>BARENBLISS Moist Mochi Paste Powder Blush B10 Cosmic Grape 4.5gr</t>
        </is>
      </c>
      <c r="D371" t="inlineStr">
        <is>
          <t>Miss Glam Damar</t>
        </is>
      </c>
      <c r="E371" t="n">
        <v>31</v>
      </c>
      <c r="F371" t="n">
        <v>0.02</v>
      </c>
      <c r="G371" t="n">
        <v>1</v>
      </c>
      <c r="H371" t="n">
        <v>2</v>
      </c>
      <c r="I371" t="n">
        <v>9</v>
      </c>
      <c r="J371" t="n">
        <v>1</v>
      </c>
      <c r="K371" t="n">
        <v>0</v>
      </c>
      <c r="L371" t="n">
        <v>63920</v>
      </c>
      <c r="M371" t="n">
        <v>79900</v>
      </c>
      <c r="N371" t="n">
        <v>91</v>
      </c>
      <c r="O371" t="n">
        <v>0.91</v>
      </c>
      <c r="P371" t="n">
        <v>0</v>
      </c>
      <c r="Q371" t="n">
        <v>0.02</v>
      </c>
      <c r="R371" t="n">
        <v>1</v>
      </c>
      <c r="S371" t="n">
        <v>1598</v>
      </c>
      <c r="T371" t="n">
        <v>9</v>
      </c>
      <c r="U371" t="n">
        <v>10</v>
      </c>
      <c r="V371" t="n">
        <v>30</v>
      </c>
      <c r="W371" t="n">
        <v>1</v>
      </c>
      <c r="X371" t="n">
        <v>1550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10352</v>
      </c>
      <c r="AG371" t="n">
        <v>170</v>
      </c>
      <c r="AH371" t="inlineStr">
        <is>
          <t>PT. JALUR MANDIRI UTAMA - PPN (PDG)</t>
        </is>
      </c>
      <c r="AI371" t="n">
        <v>903</v>
      </c>
      <c r="AJ371" t="inlineStr">
        <is>
          <t>BARENBLISS</t>
        </is>
      </c>
      <c r="AK371" t="n">
        <v>21</v>
      </c>
      <c r="AL371" t="inlineStr">
        <is>
          <t>Miss Glam Damar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BARENBLISS</t>
        </is>
      </c>
      <c r="B372" s="2">
        <f>"20100965815"</f>
        <v/>
      </c>
      <c r="C372" t="inlineStr">
        <is>
          <t>BARENBLISS Moist Mochi Paste Powder Blush B12 Fig Delight 4.5gr</t>
        </is>
      </c>
      <c r="D372" t="inlineStr">
        <is>
          <t>Miss Glam Damar</t>
        </is>
      </c>
      <c r="E372" t="n">
        <v>45</v>
      </c>
      <c r="F372" t="n">
        <v>0.2457</v>
      </c>
      <c r="G372" t="n">
        <v>3.64</v>
      </c>
      <c r="H372" t="n">
        <v>2</v>
      </c>
      <c r="I372" t="n">
        <v>9</v>
      </c>
      <c r="J372" t="n">
        <v>1</v>
      </c>
      <c r="K372" t="n">
        <v>0</v>
      </c>
      <c r="L372" t="n">
        <v>63920</v>
      </c>
      <c r="M372" t="n">
        <v>79900</v>
      </c>
      <c r="N372" t="n">
        <v>91</v>
      </c>
      <c r="O372" t="n">
        <v>0.91</v>
      </c>
      <c r="P372" t="n">
        <v>1</v>
      </c>
      <c r="Q372" t="n">
        <v>0.1</v>
      </c>
      <c r="R372" t="n">
        <v>2</v>
      </c>
      <c r="S372" t="n">
        <v>19631.43</v>
      </c>
      <c r="T372" t="n">
        <v>33</v>
      </c>
      <c r="U372" t="n">
        <v>34</v>
      </c>
      <c r="V372" t="n">
        <v>30</v>
      </c>
      <c r="W372" t="n">
        <v>8</v>
      </c>
      <c r="X372" t="n">
        <v>183.1501831501831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10352</v>
      </c>
      <c r="AG372" t="n">
        <v>170</v>
      </c>
      <c r="AH372" t="inlineStr">
        <is>
          <t>PT. JALUR MANDIRI UTAMA - PPN (PDG)</t>
        </is>
      </c>
      <c r="AI372" t="n">
        <v>903</v>
      </c>
      <c r="AJ372" t="inlineStr">
        <is>
          <t>BARENBLISS</t>
        </is>
      </c>
      <c r="AK372" t="n">
        <v>21</v>
      </c>
      <c r="AL372" t="inlineStr">
        <is>
          <t>Miss Glam Damar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BARENBLISS</t>
        </is>
      </c>
      <c r="B373" s="2">
        <f>"20100965902"</f>
        <v/>
      </c>
      <c r="C373" t="inlineStr">
        <is>
          <t>BARENBLISS Moist Mochi Paste Powder Blush B25 Sunkist Flush 4.5gr</t>
        </is>
      </c>
      <c r="D373" t="inlineStr">
        <is>
          <t>Miss Glam Damar</t>
        </is>
      </c>
      <c r="E373" t="n">
        <v>40</v>
      </c>
      <c r="F373" t="n">
        <v>0.2457</v>
      </c>
      <c r="G373" t="n">
        <v>3.64</v>
      </c>
      <c r="H373" t="n">
        <v>2</v>
      </c>
      <c r="I373" t="n">
        <v>9</v>
      </c>
      <c r="J373" t="n">
        <v>1</v>
      </c>
      <c r="K373" t="n">
        <v>0</v>
      </c>
      <c r="L373" t="n">
        <v>64028</v>
      </c>
      <c r="M373" t="n">
        <v>79900</v>
      </c>
      <c r="N373" t="n">
        <v>91</v>
      </c>
      <c r="O373" t="n">
        <v>0.91</v>
      </c>
      <c r="P373" t="n">
        <v>1</v>
      </c>
      <c r="Q373" t="n">
        <v>0.51</v>
      </c>
      <c r="R373" t="n">
        <v>2</v>
      </c>
      <c r="S373" t="n">
        <v>19631.43</v>
      </c>
      <c r="T373" t="n">
        <v>33</v>
      </c>
      <c r="U373" t="n">
        <v>34</v>
      </c>
      <c r="V373" t="n">
        <v>30</v>
      </c>
      <c r="W373" t="n">
        <v>8</v>
      </c>
      <c r="X373" t="n">
        <v>162.8001628001628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10352</v>
      </c>
      <c r="AG373" t="n">
        <v>170</v>
      </c>
      <c r="AH373" t="inlineStr">
        <is>
          <t>PT. JALUR MANDIRI UTAMA - PPN (PDG)</t>
        </is>
      </c>
      <c r="AI373" t="n">
        <v>903</v>
      </c>
      <c r="AJ373" t="inlineStr">
        <is>
          <t>BARENBLISS</t>
        </is>
      </c>
      <c r="AK373" t="n">
        <v>21</v>
      </c>
      <c r="AL373" t="inlineStr">
        <is>
          <t>Miss Glam Damar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BARENBLISS</t>
        </is>
      </c>
      <c r="B374" s="2">
        <f>"20101114306"</f>
        <v/>
      </c>
      <c r="C374" t="inlineStr">
        <is>
          <t>BARENBLISS Moist Mochi Paste Powder Highlighter H21 Cream Soda 4.5gr</t>
        </is>
      </c>
      <c r="D374" t="inlineStr">
        <is>
          <t>Miss Glam Damar</t>
        </is>
      </c>
      <c r="E374" t="n">
        <v>54</v>
      </c>
      <c r="F374" t="n">
        <v>0.1092</v>
      </c>
      <c r="G374" t="n">
        <v>2.73</v>
      </c>
      <c r="H374" t="n">
        <v>2</v>
      </c>
      <c r="I374" t="n">
        <v>9</v>
      </c>
      <c r="J374" t="n">
        <v>1</v>
      </c>
      <c r="K374" t="n">
        <v>0</v>
      </c>
      <c r="L374" t="n">
        <v>63920</v>
      </c>
      <c r="M374" t="n">
        <v>79900</v>
      </c>
      <c r="N374" t="n">
        <v>91</v>
      </c>
      <c r="O374" t="n">
        <v>0.91</v>
      </c>
      <c r="P374" t="n">
        <v>1</v>
      </c>
      <c r="Q374" t="n">
        <v>0.15</v>
      </c>
      <c r="R374" t="n">
        <v>2</v>
      </c>
      <c r="S374" t="n">
        <v>8725.08</v>
      </c>
      <c r="T374" t="n">
        <v>25</v>
      </c>
      <c r="U374" t="n">
        <v>26</v>
      </c>
      <c r="V374" t="n">
        <v>30</v>
      </c>
      <c r="W374" t="n">
        <v>4</v>
      </c>
      <c r="X374" t="n">
        <v>494.5054945054945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10352</v>
      </c>
      <c r="AG374" t="n">
        <v>170</v>
      </c>
      <c r="AH374" t="inlineStr">
        <is>
          <t>PT. JALUR MANDIRI UTAMA - PPN (PDG)</t>
        </is>
      </c>
      <c r="AI374" t="n">
        <v>903</v>
      </c>
      <c r="AJ374" t="inlineStr">
        <is>
          <t>BARENBLISS</t>
        </is>
      </c>
      <c r="AK374" t="n">
        <v>21</v>
      </c>
      <c r="AL374" t="inlineStr">
        <is>
          <t>Miss Glam Damar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BARENBLISS</t>
        </is>
      </c>
      <c r="B375" s="2">
        <f>"20101114435"</f>
        <v/>
      </c>
      <c r="C375" t="inlineStr">
        <is>
          <t>BARENBLISS Moist Mochi Paste Powder Highlighter H56 Amber Pear 4.5gr</t>
        </is>
      </c>
      <c r="D375" t="inlineStr">
        <is>
          <t>Miss Glam Damar</t>
        </is>
      </c>
      <c r="E375" t="n">
        <v>31</v>
      </c>
      <c r="F375" t="n">
        <v>0.1092</v>
      </c>
      <c r="G375" t="n">
        <v>2.73</v>
      </c>
      <c r="H375" t="n">
        <v>2</v>
      </c>
      <c r="I375" t="n">
        <v>9</v>
      </c>
      <c r="J375" t="n">
        <v>1</v>
      </c>
      <c r="K375" t="n">
        <v>0</v>
      </c>
      <c r="L375" t="n">
        <v>63920</v>
      </c>
      <c r="M375" t="n">
        <v>79900</v>
      </c>
      <c r="N375" t="n">
        <v>91</v>
      </c>
      <c r="O375" t="n">
        <v>0.91</v>
      </c>
      <c r="P375" t="n">
        <v>1</v>
      </c>
      <c r="Q375" t="n">
        <v>0.37</v>
      </c>
      <c r="R375" t="n">
        <v>4</v>
      </c>
      <c r="S375" t="n">
        <v>8725.08</v>
      </c>
      <c r="T375" t="n">
        <v>25</v>
      </c>
      <c r="U375" t="n">
        <v>26</v>
      </c>
      <c r="V375" t="n">
        <v>30</v>
      </c>
      <c r="W375" t="n">
        <v>4</v>
      </c>
      <c r="X375" t="n">
        <v>283.8827838827839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10352</v>
      </c>
      <c r="AG375" t="n">
        <v>170</v>
      </c>
      <c r="AH375" t="inlineStr">
        <is>
          <t>PT. JALUR MANDIRI UTAMA - PPN (PDG)</t>
        </is>
      </c>
      <c r="AI375" t="n">
        <v>903</v>
      </c>
      <c r="AJ375" t="inlineStr">
        <is>
          <t>BARENBLISS</t>
        </is>
      </c>
      <c r="AK375" t="n">
        <v>21</v>
      </c>
      <c r="AL375" t="inlineStr">
        <is>
          <t>Miss Glam Damar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BARENBLISS</t>
        </is>
      </c>
      <c r="B376" s="2">
        <f>"20101114517"</f>
        <v/>
      </c>
      <c r="C376" t="inlineStr">
        <is>
          <t>BARENBLISS Moist Mochi Paste Powder Highlighter H99 Cranberry Crush 4.5gr</t>
        </is>
      </c>
      <c r="D376" t="inlineStr">
        <is>
          <t>Miss Glam Damar</t>
        </is>
      </c>
      <c r="E376" t="n">
        <v>53</v>
      </c>
      <c r="F376" t="n">
        <v>0.06370000000000001</v>
      </c>
      <c r="G376" t="n">
        <v>0.91</v>
      </c>
      <c r="H376" t="n">
        <v>2</v>
      </c>
      <c r="I376" t="n">
        <v>9</v>
      </c>
      <c r="J376" t="n">
        <v>1</v>
      </c>
      <c r="K376" t="n">
        <v>0</v>
      </c>
      <c r="L376" t="n">
        <v>63920</v>
      </c>
      <c r="M376" t="n">
        <v>79900</v>
      </c>
      <c r="N376" t="n">
        <v>91</v>
      </c>
      <c r="O376" t="n">
        <v>0.91</v>
      </c>
      <c r="P376" t="n">
        <v>1</v>
      </c>
      <c r="Q376" t="n">
        <v>0.12</v>
      </c>
      <c r="R376" t="n">
        <v>1</v>
      </c>
      <c r="S376" t="n">
        <v>5089.63</v>
      </c>
      <c r="T376" t="n">
        <v>9</v>
      </c>
      <c r="U376" t="n">
        <v>10</v>
      </c>
      <c r="V376" t="n">
        <v>30</v>
      </c>
      <c r="W376" t="n">
        <v>2</v>
      </c>
      <c r="X376" t="n">
        <v>832.0251177394034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10352</v>
      </c>
      <c r="AG376" t="n">
        <v>170</v>
      </c>
      <c r="AH376" t="inlineStr">
        <is>
          <t>PT. JALUR MANDIRI UTAMA - PPN (PDG)</t>
        </is>
      </c>
      <c r="AI376" t="n">
        <v>903</v>
      </c>
      <c r="AJ376" t="inlineStr">
        <is>
          <t>BARENBLISS</t>
        </is>
      </c>
      <c r="AK376" t="n">
        <v>21</v>
      </c>
      <c r="AL376" t="inlineStr">
        <is>
          <t>Miss Glam Damar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BARENBLISS</t>
        </is>
      </c>
      <c r="B377" s="2">
        <f>"203002194434"</f>
        <v/>
      </c>
      <c r="C377" t="inlineStr">
        <is>
          <t>BARENBLISS Multiverse Of Me Dual Lip Cream O01 Peach Pride 2.5G+3.5gr</t>
        </is>
      </c>
      <c r="D377" t="inlineStr">
        <is>
          <t>Miss Glam Damar</t>
        </is>
      </c>
      <c r="E377" t="n">
        <v>46</v>
      </c>
      <c r="F377" t="n">
        <v>0.05</v>
      </c>
      <c r="G377" t="n">
        <v>1</v>
      </c>
      <c r="H377" t="n">
        <v>2</v>
      </c>
      <c r="I377" t="n">
        <v>9</v>
      </c>
      <c r="J377" t="n">
        <v>1</v>
      </c>
      <c r="K377" t="n">
        <v>0</v>
      </c>
      <c r="L377" t="n">
        <v>55920</v>
      </c>
      <c r="M377" t="n">
        <v>69900</v>
      </c>
      <c r="N377" t="n">
        <v>91</v>
      </c>
      <c r="O377" t="n">
        <v>0.91</v>
      </c>
      <c r="P377" t="n">
        <v>0</v>
      </c>
      <c r="Q377" t="n">
        <v>0.05</v>
      </c>
      <c r="R377" t="n">
        <v>1</v>
      </c>
      <c r="S377" t="n">
        <v>3495</v>
      </c>
      <c r="T377" t="n">
        <v>9</v>
      </c>
      <c r="U377" t="n">
        <v>10</v>
      </c>
      <c r="V377" t="n">
        <v>30</v>
      </c>
      <c r="W377" t="n">
        <v>2</v>
      </c>
      <c r="X377" t="n">
        <v>920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10352</v>
      </c>
      <c r="AG377" t="n">
        <v>170</v>
      </c>
      <c r="AH377" t="inlineStr">
        <is>
          <t>PT. JALUR MANDIRI UTAMA - PPN (PDG)</t>
        </is>
      </c>
      <c r="AI377" t="n">
        <v>903</v>
      </c>
      <c r="AJ377" t="inlineStr">
        <is>
          <t>BARENBLISS</t>
        </is>
      </c>
      <c r="AK377" t="n">
        <v>21</v>
      </c>
      <c r="AL377" t="inlineStr">
        <is>
          <t>Miss Glam Damar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BARENBLISS</t>
        </is>
      </c>
      <c r="B378" s="2">
        <f>"203002194509"</f>
        <v/>
      </c>
      <c r="C378" t="inlineStr">
        <is>
          <t>BARENBLISS Multiverse Of Me Dual Lip Cream P02 Deeply In Rose 2.5G+3.5gr</t>
        </is>
      </c>
      <c r="D378" t="inlineStr">
        <is>
          <t>Miss Glam Damar</t>
        </is>
      </c>
      <c r="E378" t="n">
        <v>32</v>
      </c>
      <c r="F378" t="n">
        <v>0.0273</v>
      </c>
      <c r="G378" t="n">
        <v>0.91</v>
      </c>
      <c r="H378" t="n">
        <v>2</v>
      </c>
      <c r="I378" t="n">
        <v>9</v>
      </c>
      <c r="J378" t="n">
        <v>1</v>
      </c>
      <c r="K378" t="n">
        <v>0</v>
      </c>
      <c r="L378" t="n">
        <v>55920</v>
      </c>
      <c r="M378" t="n">
        <v>69900</v>
      </c>
      <c r="N378" t="n">
        <v>91</v>
      </c>
      <c r="O378" t="n">
        <v>0.91</v>
      </c>
      <c r="P378" t="n">
        <v>1</v>
      </c>
      <c r="Q378" t="n">
        <v>0.34</v>
      </c>
      <c r="R378" t="n">
        <v>2</v>
      </c>
      <c r="S378" t="n">
        <v>1908.27</v>
      </c>
      <c r="T378" t="n">
        <v>9</v>
      </c>
      <c r="U378" t="n">
        <v>10</v>
      </c>
      <c r="V378" t="n">
        <v>30</v>
      </c>
      <c r="W378" t="n">
        <v>1</v>
      </c>
      <c r="X378" t="n">
        <v>1172.161172161172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10352</v>
      </c>
      <c r="AG378" t="n">
        <v>170</v>
      </c>
      <c r="AH378" t="inlineStr">
        <is>
          <t>PT. JALUR MANDIRI UTAMA - PPN (PDG)</t>
        </is>
      </c>
      <c r="AI378" t="n">
        <v>903</v>
      </c>
      <c r="AJ378" t="inlineStr">
        <is>
          <t>BARENBLISS</t>
        </is>
      </c>
      <c r="AK378" t="n">
        <v>21</v>
      </c>
      <c r="AL378" t="inlineStr">
        <is>
          <t>Miss Glam Damar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BARENBLISS</t>
        </is>
      </c>
      <c r="B379" s="2">
        <f>"203002194758"</f>
        <v/>
      </c>
      <c r="C379" t="inlineStr">
        <is>
          <t>BARENBLISS Multiverse Of Me Dual Lip Cream P03 Sweet Mauve 2.5G+3.5gr</t>
        </is>
      </c>
      <c r="D379" t="inlineStr">
        <is>
          <t>Miss Glam Damar</t>
        </is>
      </c>
      <c r="E379" t="n">
        <v>25</v>
      </c>
      <c r="F379" t="n">
        <v>0.1729</v>
      </c>
      <c r="G379" t="n">
        <v>0.91</v>
      </c>
      <c r="H379" t="n">
        <v>2</v>
      </c>
      <c r="I379" t="n">
        <v>9</v>
      </c>
      <c r="J379" t="n">
        <v>1</v>
      </c>
      <c r="K379" t="n">
        <v>0</v>
      </c>
      <c r="L379" t="n">
        <v>55920</v>
      </c>
      <c r="M379" t="n">
        <v>69900</v>
      </c>
      <c r="N379" t="n">
        <v>91</v>
      </c>
      <c r="O379" t="n">
        <v>0.91</v>
      </c>
      <c r="P379" t="n">
        <v>1</v>
      </c>
      <c r="Q379" t="n">
        <v>0.47</v>
      </c>
      <c r="R379" t="n">
        <v>4</v>
      </c>
      <c r="S379" t="n">
        <v>12085.71</v>
      </c>
      <c r="T379" t="n">
        <v>8</v>
      </c>
      <c r="U379" t="n">
        <v>9</v>
      </c>
      <c r="V379" t="n">
        <v>30</v>
      </c>
      <c r="W379" t="n">
        <v>6</v>
      </c>
      <c r="X379" t="n">
        <v>144.5922498554077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10352</v>
      </c>
      <c r="AG379" t="n">
        <v>170</v>
      </c>
      <c r="AH379" t="inlineStr">
        <is>
          <t>PT. JALUR MANDIRI UTAMA - PPN (PDG)</t>
        </is>
      </c>
      <c r="AI379" t="n">
        <v>903</v>
      </c>
      <c r="AJ379" t="inlineStr">
        <is>
          <t>BARENBLISS</t>
        </is>
      </c>
      <c r="AK379" t="n">
        <v>21</v>
      </c>
      <c r="AL379" t="inlineStr">
        <is>
          <t>Miss Glam Damar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BARENBLISS</t>
        </is>
      </c>
      <c r="B380" s="2">
        <f>"203002194831"</f>
        <v/>
      </c>
      <c r="C380" t="inlineStr">
        <is>
          <t>BARENBLISS Multiverse Of Me Dual Lip Cream R04 Scarlet Heart 2.5G+3.5gr</t>
        </is>
      </c>
      <c r="D380" t="inlineStr">
        <is>
          <t>Miss Glam Damar</t>
        </is>
      </c>
      <c r="E380" t="n">
        <v>25</v>
      </c>
      <c r="F380" t="n">
        <v>0.44</v>
      </c>
      <c r="G380" t="n">
        <v>3</v>
      </c>
      <c r="H380" t="n">
        <v>2</v>
      </c>
      <c r="I380" t="n">
        <v>9</v>
      </c>
      <c r="J380" t="n">
        <v>1</v>
      </c>
      <c r="K380" t="n">
        <v>0</v>
      </c>
      <c r="L380" t="n">
        <v>55920</v>
      </c>
      <c r="M380" t="n">
        <v>69900</v>
      </c>
      <c r="N380" t="n">
        <v>91</v>
      </c>
      <c r="O380" t="n">
        <v>0.91</v>
      </c>
      <c r="P380" t="n">
        <v>0</v>
      </c>
      <c r="Q380" t="n">
        <v>0.44</v>
      </c>
      <c r="R380" t="n">
        <v>3</v>
      </c>
      <c r="S380" t="n">
        <v>30756</v>
      </c>
      <c r="T380" t="n">
        <v>27</v>
      </c>
      <c r="U380" t="n">
        <v>28</v>
      </c>
      <c r="V380" t="n">
        <v>30</v>
      </c>
      <c r="W380" t="n">
        <v>14</v>
      </c>
      <c r="X380" t="n">
        <v>56.81818181818182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10352</v>
      </c>
      <c r="AG380" t="n">
        <v>170</v>
      </c>
      <c r="AH380" t="inlineStr">
        <is>
          <t>PT. JALUR MANDIRI UTAMA - PPN (PDG)</t>
        </is>
      </c>
      <c r="AI380" t="n">
        <v>903</v>
      </c>
      <c r="AJ380" t="inlineStr">
        <is>
          <t>BARENBLISS</t>
        </is>
      </c>
      <c r="AK380" t="n">
        <v>21</v>
      </c>
      <c r="AL380" t="inlineStr">
        <is>
          <t>Miss Glam Damar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BARENBLISS</t>
        </is>
      </c>
      <c r="B381" s="2">
        <f>"8809851672501"</f>
        <v/>
      </c>
      <c r="C381" t="inlineStr">
        <is>
          <t>BARENBLISS My  Uv Sunscreen Serum spf 50 30gr</t>
        </is>
      </c>
      <c r="D381" t="inlineStr">
        <is>
          <t>Miss Glam Damar</t>
        </is>
      </c>
      <c r="E381" t="n">
        <v>79</v>
      </c>
      <c r="F381" t="n">
        <v>0.1092</v>
      </c>
      <c r="G381" t="n">
        <v>1.82</v>
      </c>
      <c r="H381" t="n">
        <v>2</v>
      </c>
      <c r="I381" t="n">
        <v>9</v>
      </c>
      <c r="J381" t="n">
        <v>3</v>
      </c>
      <c r="K381" t="n">
        <v>0</v>
      </c>
      <c r="L381" t="n">
        <v>71920</v>
      </c>
      <c r="M381" t="n">
        <v>89900</v>
      </c>
      <c r="N381" t="n">
        <v>91</v>
      </c>
      <c r="O381" t="n">
        <v>0.91</v>
      </c>
      <c r="P381" t="n">
        <v>1</v>
      </c>
      <c r="Q381" t="n">
        <v>0.17</v>
      </c>
      <c r="R381" t="n">
        <v>2</v>
      </c>
      <c r="S381" t="n">
        <v>9817.08</v>
      </c>
      <c r="T381" t="n">
        <v>17</v>
      </c>
      <c r="U381" t="n">
        <v>18</v>
      </c>
      <c r="V381" t="n">
        <v>30</v>
      </c>
      <c r="W381" t="n">
        <v>4</v>
      </c>
      <c r="X381" t="n">
        <v>723.4432234432234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10352</v>
      </c>
      <c r="AG381" t="n">
        <v>170</v>
      </c>
      <c r="AH381" t="inlineStr">
        <is>
          <t>PT. JALUR MANDIRI UTAMA - PPN (PDG)</t>
        </is>
      </c>
      <c r="AI381" t="n">
        <v>903</v>
      </c>
      <c r="AJ381" t="inlineStr">
        <is>
          <t>BARENBLISS</t>
        </is>
      </c>
      <c r="AK381" t="n">
        <v>21</v>
      </c>
      <c r="AL381" t="inlineStr">
        <is>
          <t>Miss Glam Damar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BARENBLISS</t>
        </is>
      </c>
      <c r="B382" s="2">
        <f>"8809851672426"</f>
        <v/>
      </c>
      <c r="C382" t="inlineStr">
        <is>
          <t>BARENBLISS My Uv Amor Sunscreen Spray SPF 50 Pa +++ 100ml</t>
        </is>
      </c>
      <c r="D382" t="inlineStr">
        <is>
          <t>Miss Glam Damar</t>
        </is>
      </c>
      <c r="E382" t="n">
        <v>35</v>
      </c>
      <c r="F382" t="n">
        <v>0.0182</v>
      </c>
      <c r="G382" t="n">
        <v>0.91</v>
      </c>
      <c r="H382" t="n">
        <v>2</v>
      </c>
      <c r="I382" t="n">
        <v>9</v>
      </c>
      <c r="J382" t="n">
        <v>3</v>
      </c>
      <c r="K382" t="n">
        <v>0</v>
      </c>
      <c r="L382" t="n">
        <v>95920</v>
      </c>
      <c r="M382" t="n">
        <v>119900</v>
      </c>
      <c r="N382" t="n">
        <v>91</v>
      </c>
      <c r="O382" t="n">
        <v>0.91</v>
      </c>
      <c r="P382" t="n">
        <v>1</v>
      </c>
      <c r="Q382" t="n">
        <v>0.07000000000000001</v>
      </c>
      <c r="R382" t="n">
        <v>1</v>
      </c>
      <c r="S382" t="n">
        <v>2182.18</v>
      </c>
      <c r="T382" t="n">
        <v>9</v>
      </c>
      <c r="U382" t="n">
        <v>10</v>
      </c>
      <c r="V382" t="n">
        <v>30</v>
      </c>
      <c r="W382" t="n">
        <v>1</v>
      </c>
      <c r="X382" t="n">
        <v>1923.076923076923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10352</v>
      </c>
      <c r="AG382" t="n">
        <v>170</v>
      </c>
      <c r="AH382" t="inlineStr">
        <is>
          <t>PT. JALUR MANDIRI UTAMA - PPN (PDG)</t>
        </is>
      </c>
      <c r="AI382" t="n">
        <v>903</v>
      </c>
      <c r="AJ382" t="inlineStr">
        <is>
          <t>BARENBLISS</t>
        </is>
      </c>
      <c r="AK382" t="n">
        <v>21</v>
      </c>
      <c r="AL382" t="inlineStr">
        <is>
          <t>Miss Glam Damar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BARENBLISS</t>
        </is>
      </c>
      <c r="B383" s="2">
        <f>"8809851670910"</f>
        <v/>
      </c>
      <c r="C383" t="inlineStr">
        <is>
          <t>BARENBLISS No Gravity Transferproof Matte Lipstick 01 Mercury Peach 3gr</t>
        </is>
      </c>
      <c r="D383" t="inlineStr">
        <is>
          <t>Miss Glam Damar</t>
        </is>
      </c>
      <c r="E383" t="n">
        <v>31</v>
      </c>
      <c r="F383" t="n">
        <v>0.5824</v>
      </c>
      <c r="G383" t="n">
        <v>2.73</v>
      </c>
      <c r="H383" t="n">
        <v>2</v>
      </c>
      <c r="I383" t="n">
        <v>9</v>
      </c>
      <c r="J383" t="n">
        <v>3</v>
      </c>
      <c r="K383" t="n">
        <v>0</v>
      </c>
      <c r="L383" t="n">
        <v>71920</v>
      </c>
      <c r="M383" t="n">
        <v>89900</v>
      </c>
      <c r="N383" t="n">
        <v>91</v>
      </c>
      <c r="O383" t="n">
        <v>0.91</v>
      </c>
      <c r="P383" t="n">
        <v>1</v>
      </c>
      <c r="Q383" t="n">
        <v>0.59</v>
      </c>
      <c r="R383" t="n">
        <v>3</v>
      </c>
      <c r="S383" t="n">
        <v>52357.76</v>
      </c>
      <c r="T383" t="n">
        <v>24</v>
      </c>
      <c r="U383" t="n">
        <v>26</v>
      </c>
      <c r="V383" t="n">
        <v>30</v>
      </c>
      <c r="W383" t="n">
        <v>18</v>
      </c>
      <c r="X383" t="n">
        <v>53.22802197802198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10352</v>
      </c>
      <c r="AG383" t="n">
        <v>170</v>
      </c>
      <c r="AH383" t="inlineStr">
        <is>
          <t>PT. JALUR MANDIRI UTAMA - PPN (PDG)</t>
        </is>
      </c>
      <c r="AI383" t="n">
        <v>903</v>
      </c>
      <c r="AJ383" t="inlineStr">
        <is>
          <t>BARENBLISS</t>
        </is>
      </c>
      <c r="AK383" t="n">
        <v>21</v>
      </c>
      <c r="AL383" t="inlineStr">
        <is>
          <t>Miss Glam Damar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BARENBLISS</t>
        </is>
      </c>
      <c r="B384" s="2">
        <f>"8809851670927"</f>
        <v/>
      </c>
      <c r="C384" t="inlineStr">
        <is>
          <t>BARENBLISS No Gravity Transferproof Matte Lipstick 02 Saturn Nude 3gr</t>
        </is>
      </c>
      <c r="D384" t="inlineStr">
        <is>
          <t>Miss Glam Damar</t>
        </is>
      </c>
      <c r="E384" t="n">
        <v>47</v>
      </c>
      <c r="F384" t="n">
        <v>1.092</v>
      </c>
      <c r="G384" t="n">
        <v>4.55</v>
      </c>
      <c r="H384" t="n">
        <v>2</v>
      </c>
      <c r="I384" t="n">
        <v>9</v>
      </c>
      <c r="J384" t="n">
        <v>3</v>
      </c>
      <c r="K384" t="n">
        <v>0</v>
      </c>
      <c r="L384" t="n">
        <v>71920</v>
      </c>
      <c r="M384" t="n">
        <v>89900</v>
      </c>
      <c r="N384" t="n">
        <v>91</v>
      </c>
      <c r="O384" t="n">
        <v>0.91</v>
      </c>
      <c r="P384" t="n">
        <v>1</v>
      </c>
      <c r="Q384" t="n">
        <v>0.63</v>
      </c>
      <c r="R384" t="n">
        <v>3</v>
      </c>
      <c r="S384" t="n">
        <v>98170.8</v>
      </c>
      <c r="T384" t="n">
        <v>39</v>
      </c>
      <c r="U384" t="n">
        <v>42</v>
      </c>
      <c r="V384" t="n">
        <v>30</v>
      </c>
      <c r="W384" t="n">
        <v>33</v>
      </c>
      <c r="X384" t="n">
        <v>43.04029304029304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10352</v>
      </c>
      <c r="AG384" t="n">
        <v>170</v>
      </c>
      <c r="AH384" t="inlineStr">
        <is>
          <t>PT. JALUR MANDIRI UTAMA - PPN (PDG)</t>
        </is>
      </c>
      <c r="AI384" t="n">
        <v>903</v>
      </c>
      <c r="AJ384" t="inlineStr">
        <is>
          <t>BARENBLISS</t>
        </is>
      </c>
      <c r="AK384" t="n">
        <v>21</v>
      </c>
      <c r="AL384" t="inlineStr">
        <is>
          <t>Miss Glam Damar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BARENBLISS</t>
        </is>
      </c>
      <c r="B385" s="2">
        <f>"8809851670934"</f>
        <v/>
      </c>
      <c r="C385" t="inlineStr">
        <is>
          <t>BARENBLISS No Gravity Transferproof Matte Lipstick 03 Venus Coral 3gr</t>
        </is>
      </c>
      <c r="D385" t="inlineStr">
        <is>
          <t>Miss Glam Damar</t>
        </is>
      </c>
      <c r="E385" t="n">
        <v>41</v>
      </c>
      <c r="F385" t="n">
        <v>1.3923</v>
      </c>
      <c r="G385" t="n">
        <v>4.55</v>
      </c>
      <c r="H385" t="n">
        <v>2</v>
      </c>
      <c r="I385" t="n">
        <v>9</v>
      </c>
      <c r="J385" t="n">
        <v>3</v>
      </c>
      <c r="K385" t="n">
        <v>0</v>
      </c>
      <c r="L385" t="n">
        <v>71920</v>
      </c>
      <c r="M385" t="n">
        <v>89900</v>
      </c>
      <c r="N385" t="n">
        <v>91</v>
      </c>
      <c r="O385" t="n">
        <v>0.91</v>
      </c>
      <c r="P385" t="n">
        <v>1</v>
      </c>
      <c r="Q385" t="n">
        <v>0.58</v>
      </c>
      <c r="R385" t="n">
        <v>3</v>
      </c>
      <c r="S385" t="n">
        <v>125167.77</v>
      </c>
      <c r="T385" t="n">
        <v>39</v>
      </c>
      <c r="U385" t="n">
        <v>42</v>
      </c>
      <c r="V385" t="n">
        <v>30</v>
      </c>
      <c r="W385" t="n">
        <v>42</v>
      </c>
      <c r="X385" t="n">
        <v>29.44767650650003</v>
      </c>
      <c r="Y385" t="n">
        <v>1</v>
      </c>
      <c r="Z385" t="n">
        <v>1</v>
      </c>
      <c r="AA385" t="n">
        <v>0</v>
      </c>
      <c r="AB385" t="n">
        <v>1</v>
      </c>
      <c r="AC385" t="n">
        <v>3</v>
      </c>
      <c r="AD385" t="n">
        <v>0</v>
      </c>
      <c r="AE385" t="n">
        <v>215760</v>
      </c>
      <c r="AF385" t="n">
        <v>10352</v>
      </c>
      <c r="AG385" t="n">
        <v>170</v>
      </c>
      <c r="AH385" t="inlineStr">
        <is>
          <t>PT. JALUR MANDIRI UTAMA - PPN (PDG)</t>
        </is>
      </c>
      <c r="AI385" t="n">
        <v>903</v>
      </c>
      <c r="AJ385" t="inlineStr">
        <is>
          <t>BARENBLISS</t>
        </is>
      </c>
      <c r="AK385" t="n">
        <v>21</v>
      </c>
      <c r="AL385" t="inlineStr">
        <is>
          <t>Miss Glam Damar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BARENBLISS</t>
        </is>
      </c>
      <c r="B386" s="2">
        <f>"8809851670941"</f>
        <v/>
      </c>
      <c r="C386" t="inlineStr">
        <is>
          <t>BARENBLISS No Gravity Transferproof Matte Lipstick 04 Jupiter Ruby 3gr</t>
        </is>
      </c>
      <c r="D386" t="inlineStr">
        <is>
          <t>Miss Glam Damar</t>
        </is>
      </c>
      <c r="E386" t="n">
        <v>42</v>
      </c>
      <c r="F386" t="n">
        <v>1.0374</v>
      </c>
      <c r="G386" t="n">
        <v>3.64</v>
      </c>
      <c r="H386" t="n">
        <v>2</v>
      </c>
      <c r="I386" t="n">
        <v>9</v>
      </c>
      <c r="J386" t="n">
        <v>3</v>
      </c>
      <c r="K386" t="n">
        <v>0</v>
      </c>
      <c r="L386" t="n">
        <v>71920</v>
      </c>
      <c r="M386" t="n">
        <v>89900</v>
      </c>
      <c r="N386" t="n">
        <v>91</v>
      </c>
      <c r="O386" t="n">
        <v>0.91</v>
      </c>
      <c r="P386" t="n">
        <v>1</v>
      </c>
      <c r="Q386" t="n">
        <v>0.9</v>
      </c>
      <c r="R386" t="n">
        <v>3</v>
      </c>
      <c r="S386" t="n">
        <v>93262.25999999999</v>
      </c>
      <c r="T386" t="n">
        <v>31</v>
      </c>
      <c r="U386" t="n">
        <v>34</v>
      </c>
      <c r="V386" t="n">
        <v>30</v>
      </c>
      <c r="W386" t="n">
        <v>32</v>
      </c>
      <c r="X386" t="n">
        <v>40.48582995951418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10352</v>
      </c>
      <c r="AG386" t="n">
        <v>170</v>
      </c>
      <c r="AH386" t="inlineStr">
        <is>
          <t>PT. JALUR MANDIRI UTAMA - PPN (PDG)</t>
        </is>
      </c>
      <c r="AI386" t="n">
        <v>903</v>
      </c>
      <c r="AJ386" t="inlineStr">
        <is>
          <t>BARENBLISS</t>
        </is>
      </c>
      <c r="AK386" t="n">
        <v>21</v>
      </c>
      <c r="AL386" t="inlineStr">
        <is>
          <t>Miss Glam Damar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BARENBLISS</t>
        </is>
      </c>
      <c r="B387" s="2">
        <f>"8809851672952"</f>
        <v/>
      </c>
      <c r="C387" t="inlineStr">
        <is>
          <t>BARENBLISS No Gravity Transferproof Matte Lipstick 08 Earth Berry 3gr</t>
        </is>
      </c>
      <c r="D387" t="inlineStr">
        <is>
          <t>Miss Glam Damar</t>
        </is>
      </c>
      <c r="E387" t="n">
        <v>13</v>
      </c>
      <c r="F387" t="n">
        <v>0.06370000000000001</v>
      </c>
      <c r="G387" t="n">
        <v>1.82</v>
      </c>
      <c r="H387" t="n">
        <v>2</v>
      </c>
      <c r="I387" t="n">
        <v>9</v>
      </c>
      <c r="J387" t="n">
        <v>3</v>
      </c>
      <c r="K387" t="n">
        <v>0</v>
      </c>
      <c r="L387" t="n">
        <v>71920</v>
      </c>
      <c r="M387" t="n">
        <v>89900</v>
      </c>
      <c r="N387" t="n">
        <v>91</v>
      </c>
      <c r="O387" t="n">
        <v>0.91</v>
      </c>
      <c r="P387" t="n">
        <v>1</v>
      </c>
      <c r="Q387" t="n">
        <v>0.12</v>
      </c>
      <c r="R387" t="n">
        <v>1</v>
      </c>
      <c r="S387" t="n">
        <v>5726.630000000001</v>
      </c>
      <c r="T387" t="n">
        <v>17</v>
      </c>
      <c r="U387" t="n">
        <v>18</v>
      </c>
      <c r="V387" t="n">
        <v>30</v>
      </c>
      <c r="W387" t="n">
        <v>2</v>
      </c>
      <c r="X387" t="n">
        <v>204.0816326530612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10352</v>
      </c>
      <c r="AG387" t="n">
        <v>170</v>
      </c>
      <c r="AH387" t="inlineStr">
        <is>
          <t>PT. JALUR MANDIRI UTAMA - PPN (PDG)</t>
        </is>
      </c>
      <c r="AI387" t="n">
        <v>903</v>
      </c>
      <c r="AJ387" t="inlineStr">
        <is>
          <t>BARENBLISS</t>
        </is>
      </c>
      <c r="AK387" t="n">
        <v>21</v>
      </c>
      <c r="AL387" t="inlineStr">
        <is>
          <t>Miss Glam Damar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BARENBLISS</t>
        </is>
      </c>
      <c r="B388" s="2">
        <f>"8997227897617"</f>
        <v/>
      </c>
      <c r="C388" t="inlineStr">
        <is>
          <t>BARENBLISS Peach Makes Perfect Lip Tint 01 Paradise Found</t>
        </is>
      </c>
      <c r="D388" t="inlineStr">
        <is>
          <t>Miss Glam Damar</t>
        </is>
      </c>
      <c r="E388" t="n">
        <v>70</v>
      </c>
      <c r="F388" t="n">
        <v>0.5733</v>
      </c>
      <c r="G388" t="n">
        <v>2.73</v>
      </c>
      <c r="H388" t="n">
        <v>2</v>
      </c>
      <c r="I388" t="n">
        <v>9</v>
      </c>
      <c r="J388" t="n">
        <v>3</v>
      </c>
      <c r="K388" t="n">
        <v>0</v>
      </c>
      <c r="L388" t="n">
        <v>54411</v>
      </c>
      <c r="M388" t="n">
        <v>72900</v>
      </c>
      <c r="N388" t="n">
        <v>91</v>
      </c>
      <c r="O388" t="n">
        <v>0.91</v>
      </c>
      <c r="P388" t="n">
        <v>1</v>
      </c>
      <c r="Q388" t="n">
        <v>0.19</v>
      </c>
      <c r="R388" t="n">
        <v>2</v>
      </c>
      <c r="S388" t="n">
        <v>41793.57</v>
      </c>
      <c r="T388" t="n">
        <v>24</v>
      </c>
      <c r="U388" t="n">
        <v>26</v>
      </c>
      <c r="V388" t="n">
        <v>30</v>
      </c>
      <c r="W388" t="n">
        <v>18</v>
      </c>
      <c r="X388" t="n">
        <v>122.1001221001221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10352</v>
      </c>
      <c r="AG388" t="n">
        <v>170</v>
      </c>
      <c r="AH388" t="inlineStr">
        <is>
          <t>PT. JALUR MANDIRI UTAMA - PPN (PDG)</t>
        </is>
      </c>
      <c r="AI388" t="n">
        <v>903</v>
      </c>
      <c r="AJ388" t="inlineStr">
        <is>
          <t>BARENBLISS</t>
        </is>
      </c>
      <c r="AK388" t="n">
        <v>21</v>
      </c>
      <c r="AL388" t="inlineStr">
        <is>
          <t>Miss Glam Damar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BARENBLISS</t>
        </is>
      </c>
      <c r="B389" s="2">
        <f>"8997227897624"</f>
        <v/>
      </c>
      <c r="C389" t="inlineStr">
        <is>
          <t>BARENBLISS Peach Makes Perfect Lip Tint 02 Pretty Please</t>
        </is>
      </c>
      <c r="D389" t="inlineStr">
        <is>
          <t>Miss Glam Damar</t>
        </is>
      </c>
      <c r="E389" t="n">
        <v>9</v>
      </c>
      <c r="F389" t="n">
        <v>0.3549</v>
      </c>
      <c r="G389" t="n">
        <v>1.82</v>
      </c>
      <c r="H389" t="n">
        <v>2</v>
      </c>
      <c r="I389" t="n">
        <v>9</v>
      </c>
      <c r="J389" t="n">
        <v>3</v>
      </c>
      <c r="K389" t="n">
        <v>0</v>
      </c>
      <c r="L389" t="n">
        <v>58320</v>
      </c>
      <c r="M389" t="n">
        <v>72900</v>
      </c>
      <c r="N389" t="n">
        <v>91</v>
      </c>
      <c r="O389" t="n">
        <v>0.91</v>
      </c>
      <c r="P389" t="n">
        <v>1</v>
      </c>
      <c r="Q389" t="n">
        <v>0.58</v>
      </c>
      <c r="R389" t="n">
        <v>4</v>
      </c>
      <c r="S389" t="n">
        <v>25872.21</v>
      </c>
      <c r="T389" t="n">
        <v>16</v>
      </c>
      <c r="U389" t="n">
        <v>17</v>
      </c>
      <c r="V389" t="n">
        <v>30</v>
      </c>
      <c r="W389" t="n">
        <v>11</v>
      </c>
      <c r="X389" t="n">
        <v>25.35925612848689</v>
      </c>
      <c r="Y389" t="n">
        <v>1</v>
      </c>
      <c r="Z389" t="n">
        <v>2</v>
      </c>
      <c r="AA389" t="n">
        <v>0</v>
      </c>
      <c r="AB389" t="n">
        <v>2</v>
      </c>
      <c r="AC389" t="n">
        <v>3</v>
      </c>
      <c r="AD389" t="n">
        <v>0</v>
      </c>
      <c r="AE389" t="n">
        <v>174960</v>
      </c>
      <c r="AF389" t="n">
        <v>10352</v>
      </c>
      <c r="AG389" t="n">
        <v>170</v>
      </c>
      <c r="AH389" t="inlineStr">
        <is>
          <t>PT. JALUR MANDIRI UTAMA - PPN (PDG)</t>
        </is>
      </c>
      <c r="AI389" t="n">
        <v>903</v>
      </c>
      <c r="AJ389" t="inlineStr">
        <is>
          <t>BARENBLISS</t>
        </is>
      </c>
      <c r="AK389" t="n">
        <v>21</v>
      </c>
      <c r="AL389" t="inlineStr">
        <is>
          <t>Miss Glam Damar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BARENBLISS</t>
        </is>
      </c>
      <c r="B390" s="2">
        <f>"8997227897631"</f>
        <v/>
      </c>
      <c r="C390" t="inlineStr">
        <is>
          <t>BARENBLISS Peach Makes Perfect Lip Tint 03 Take Change</t>
        </is>
      </c>
      <c r="D390" t="inlineStr">
        <is>
          <t>Miss Glam Damar</t>
        </is>
      </c>
      <c r="E390" t="n">
        <v>30</v>
      </c>
      <c r="F390" t="n">
        <v>0.4641</v>
      </c>
      <c r="G390" t="n">
        <v>3.64</v>
      </c>
      <c r="H390" t="n">
        <v>2</v>
      </c>
      <c r="I390" t="n">
        <v>9</v>
      </c>
      <c r="J390" t="n">
        <v>3</v>
      </c>
      <c r="K390" t="n">
        <v>0</v>
      </c>
      <c r="L390" t="n">
        <v>55677</v>
      </c>
      <c r="M390" t="n">
        <v>72900</v>
      </c>
      <c r="N390" t="n">
        <v>91</v>
      </c>
      <c r="O390" t="n">
        <v>0.91</v>
      </c>
      <c r="P390" t="n">
        <v>1</v>
      </c>
      <c r="Q390" t="n">
        <v>0.46</v>
      </c>
      <c r="R390" t="n">
        <v>3</v>
      </c>
      <c r="S390" t="n">
        <v>33832.89</v>
      </c>
      <c r="T390" t="n">
        <v>32</v>
      </c>
      <c r="U390" t="n">
        <v>33</v>
      </c>
      <c r="V390" t="n">
        <v>30</v>
      </c>
      <c r="W390" t="n">
        <v>14</v>
      </c>
      <c r="X390" t="n">
        <v>64.64124111182934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10352</v>
      </c>
      <c r="AG390" t="n">
        <v>170</v>
      </c>
      <c r="AH390" t="inlineStr">
        <is>
          <t>PT. JALUR MANDIRI UTAMA - PPN (PDG)</t>
        </is>
      </c>
      <c r="AI390" t="n">
        <v>903</v>
      </c>
      <c r="AJ390" t="inlineStr">
        <is>
          <t>BARENBLISS</t>
        </is>
      </c>
      <c r="AK390" t="n">
        <v>21</v>
      </c>
      <c r="AL390" t="inlineStr">
        <is>
          <t>Miss Glam Damar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BARENBLISS</t>
        </is>
      </c>
      <c r="B391" s="2">
        <f>"8809851670538"</f>
        <v/>
      </c>
      <c r="C391" t="inlineStr">
        <is>
          <t>BARENBLISS Peach Makes Perfect Lip Tint 05 Good Vibes</t>
        </is>
      </c>
      <c r="D391" t="inlineStr">
        <is>
          <t>Miss Glam Damar</t>
        </is>
      </c>
      <c r="E391" t="n">
        <v>4</v>
      </c>
      <c r="F391" t="n">
        <v>0.09100000000000001</v>
      </c>
      <c r="G391" t="n">
        <v>1.82</v>
      </c>
      <c r="H391" t="n">
        <v>2</v>
      </c>
      <c r="I391" t="n">
        <v>9</v>
      </c>
      <c r="J391" t="n">
        <v>3</v>
      </c>
      <c r="K391" t="n">
        <v>0</v>
      </c>
      <c r="L391" t="n">
        <v>52488</v>
      </c>
      <c r="M391" t="n">
        <v>72900</v>
      </c>
      <c r="N391" t="n">
        <v>91</v>
      </c>
      <c r="O391" t="n">
        <v>0.91</v>
      </c>
      <c r="P391" t="n">
        <v>1</v>
      </c>
      <c r="Q391" t="n">
        <v>0.05</v>
      </c>
      <c r="R391" t="n">
        <v>1</v>
      </c>
      <c r="S391" t="n">
        <v>6633.900000000001</v>
      </c>
      <c r="T391" t="n">
        <v>17</v>
      </c>
      <c r="U391" t="n">
        <v>18</v>
      </c>
      <c r="V391" t="n">
        <v>30</v>
      </c>
      <c r="W391" t="n">
        <v>3</v>
      </c>
      <c r="X391" t="n">
        <v>43.95604395604395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10352</v>
      </c>
      <c r="AG391" t="n">
        <v>170</v>
      </c>
      <c r="AH391" t="inlineStr">
        <is>
          <t>PT. JALUR MANDIRI UTAMA - PPN (PDG)</t>
        </is>
      </c>
      <c r="AI391" t="n">
        <v>903</v>
      </c>
      <c r="AJ391" t="inlineStr">
        <is>
          <t>BARENBLISS</t>
        </is>
      </c>
      <c r="AK391" t="n">
        <v>21</v>
      </c>
      <c r="AL391" t="inlineStr">
        <is>
          <t>Miss Glam Damar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BARENBLISS</t>
        </is>
      </c>
      <c r="B392" s="2">
        <f>"8809851670545"</f>
        <v/>
      </c>
      <c r="C392" t="inlineStr">
        <is>
          <t>BARENBLISS Peach Makes Perfect Lip Tint 06 Brave Enough</t>
        </is>
      </c>
      <c r="D392" t="inlineStr">
        <is>
          <t>Miss Glam Damar</t>
        </is>
      </c>
      <c r="E392" t="n">
        <v>42</v>
      </c>
      <c r="F392" t="n">
        <v>0.3094</v>
      </c>
      <c r="G392" t="n">
        <v>1.82</v>
      </c>
      <c r="H392" t="n">
        <v>2</v>
      </c>
      <c r="I392" t="n">
        <v>9</v>
      </c>
      <c r="J392" t="n">
        <v>3</v>
      </c>
      <c r="K392" t="n">
        <v>0</v>
      </c>
      <c r="L392" t="n">
        <v>52612</v>
      </c>
      <c r="M392" t="n">
        <v>72900</v>
      </c>
      <c r="N392" t="n">
        <v>91</v>
      </c>
      <c r="O392" t="n">
        <v>0.91</v>
      </c>
      <c r="P392" t="n">
        <v>1</v>
      </c>
      <c r="Q392" t="n">
        <v>0.36</v>
      </c>
      <c r="R392" t="n">
        <v>2</v>
      </c>
      <c r="S392" t="n">
        <v>22555.26</v>
      </c>
      <c r="T392" t="n">
        <v>16</v>
      </c>
      <c r="U392" t="n">
        <v>17</v>
      </c>
      <c r="V392" t="n">
        <v>30</v>
      </c>
      <c r="W392" t="n">
        <v>10</v>
      </c>
      <c r="X392" t="n">
        <v>135.7466063348416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10352</v>
      </c>
      <c r="AG392" t="n">
        <v>170</v>
      </c>
      <c r="AH392" t="inlineStr">
        <is>
          <t>PT. JALUR MANDIRI UTAMA - PPN (PDG)</t>
        </is>
      </c>
      <c r="AI392" t="n">
        <v>903</v>
      </c>
      <c r="AJ392" t="inlineStr">
        <is>
          <t>BARENBLISS</t>
        </is>
      </c>
      <c r="AK392" t="n">
        <v>21</v>
      </c>
      <c r="AL392" t="inlineStr">
        <is>
          <t>Miss Glam Damar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BARENBLISS</t>
        </is>
      </c>
      <c r="B393" s="2">
        <f>"8809851670675"</f>
        <v/>
      </c>
      <c r="C393" t="inlineStr">
        <is>
          <t>BARENBLISS Peach Makes Perfect Lip Tint 07 Love Always</t>
        </is>
      </c>
      <c r="D393" t="inlineStr">
        <is>
          <t>Miss Glam Damar</t>
        </is>
      </c>
      <c r="E393" t="n">
        <v>12</v>
      </c>
      <c r="F393" t="n">
        <v>0.02</v>
      </c>
      <c r="G393" t="n">
        <v>1</v>
      </c>
      <c r="H393" t="n">
        <v>2</v>
      </c>
      <c r="I393" t="n">
        <v>9</v>
      </c>
      <c r="J393" t="n">
        <v>3</v>
      </c>
      <c r="K393" t="n">
        <v>0</v>
      </c>
      <c r="L393" t="n">
        <v>52488</v>
      </c>
      <c r="M393" t="n">
        <v>72900</v>
      </c>
      <c r="N393" t="n">
        <v>91</v>
      </c>
      <c r="O393" t="n">
        <v>0.91</v>
      </c>
      <c r="P393" t="n">
        <v>0</v>
      </c>
      <c r="Q393" t="n">
        <v>0.02</v>
      </c>
      <c r="R393" t="n">
        <v>1</v>
      </c>
      <c r="S393" t="n">
        <v>1458</v>
      </c>
      <c r="T393" t="n">
        <v>9</v>
      </c>
      <c r="U393" t="n">
        <v>10</v>
      </c>
      <c r="V393" t="n">
        <v>30</v>
      </c>
      <c r="W393" t="n">
        <v>1</v>
      </c>
      <c r="X393" t="n">
        <v>600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10352</v>
      </c>
      <c r="AG393" t="n">
        <v>170</v>
      </c>
      <c r="AH393" t="inlineStr">
        <is>
          <t>PT. JALUR MANDIRI UTAMA - PPN (PDG)</t>
        </is>
      </c>
      <c r="AI393" t="n">
        <v>903</v>
      </c>
      <c r="AJ393" t="inlineStr">
        <is>
          <t>BARENBLISS</t>
        </is>
      </c>
      <c r="AK393" t="n">
        <v>21</v>
      </c>
      <c r="AL393" t="inlineStr">
        <is>
          <t>Miss Glam Damar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BARENBLISS</t>
        </is>
      </c>
      <c r="B394" s="2">
        <f>"8809851670682"</f>
        <v/>
      </c>
      <c r="C394" t="inlineStr">
        <is>
          <t>BARENBLISS Peach Makes Perfect Lip Tint 08 Peach Out</t>
        </is>
      </c>
      <c r="D394" t="inlineStr">
        <is>
          <t>Miss Glam Damar</t>
        </is>
      </c>
      <c r="E394" t="n">
        <v>31</v>
      </c>
      <c r="F394" t="n">
        <v>0.04550000000000001</v>
      </c>
      <c r="G394" t="n">
        <v>0.91</v>
      </c>
      <c r="H394" t="n">
        <v>2</v>
      </c>
      <c r="I394" t="n">
        <v>9</v>
      </c>
      <c r="J394" t="n">
        <v>3</v>
      </c>
      <c r="K394" t="n">
        <v>0</v>
      </c>
      <c r="L394" t="n">
        <v>52488</v>
      </c>
      <c r="M394" t="n">
        <v>72900</v>
      </c>
      <c r="N394" t="n">
        <v>91</v>
      </c>
      <c r="O394" t="n">
        <v>0.91</v>
      </c>
      <c r="P394" t="n">
        <v>1</v>
      </c>
      <c r="Q394" t="n">
        <v>0.05</v>
      </c>
      <c r="R394" t="n">
        <v>1</v>
      </c>
      <c r="S394" t="n">
        <v>3316.95</v>
      </c>
      <c r="T394" t="n">
        <v>9</v>
      </c>
      <c r="U394" t="n">
        <v>10</v>
      </c>
      <c r="V394" t="n">
        <v>30</v>
      </c>
      <c r="W394" t="n">
        <v>2</v>
      </c>
      <c r="X394" t="n">
        <v>681.3186813186812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10352</v>
      </c>
      <c r="AG394" t="n">
        <v>170</v>
      </c>
      <c r="AH394" t="inlineStr">
        <is>
          <t>PT. JALUR MANDIRI UTAMA - PPN (PDG)</t>
        </is>
      </c>
      <c r="AI394" t="n">
        <v>903</v>
      </c>
      <c r="AJ394" t="inlineStr">
        <is>
          <t>BARENBLISS</t>
        </is>
      </c>
      <c r="AK394" t="n">
        <v>21</v>
      </c>
      <c r="AL394" t="inlineStr">
        <is>
          <t>Miss Glam Damar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BARENBLISS</t>
        </is>
      </c>
      <c r="B395" s="2">
        <f>"8809851670699"</f>
        <v/>
      </c>
      <c r="C395" t="inlineStr">
        <is>
          <t>BARENBLISS Peach Makes Perfect Lip Tint 09 Enjoy Today 3Ml</t>
        </is>
      </c>
      <c r="D395" t="inlineStr">
        <is>
          <t>Miss Glam Damar</t>
        </is>
      </c>
      <c r="E395" t="n">
        <v>70</v>
      </c>
      <c r="F395" t="n">
        <v>0.1547</v>
      </c>
      <c r="G395" t="n">
        <v>0.91</v>
      </c>
      <c r="H395" t="n">
        <v>2</v>
      </c>
      <c r="I395" t="n">
        <v>9</v>
      </c>
      <c r="J395" t="n">
        <v>3</v>
      </c>
      <c r="K395" t="n">
        <v>0</v>
      </c>
      <c r="L395" t="n">
        <v>53374</v>
      </c>
      <c r="M395" t="n">
        <v>72900</v>
      </c>
      <c r="N395" t="n">
        <v>91</v>
      </c>
      <c r="O395" t="n">
        <v>0.91</v>
      </c>
      <c r="P395" t="n">
        <v>1</v>
      </c>
      <c r="Q395" t="n">
        <v>0.1</v>
      </c>
      <c r="R395" t="n">
        <v>3</v>
      </c>
      <c r="S395" t="n">
        <v>11277.63</v>
      </c>
      <c r="T395" t="n">
        <v>8</v>
      </c>
      <c r="U395" t="n">
        <v>9</v>
      </c>
      <c r="V395" t="n">
        <v>30</v>
      </c>
      <c r="W395" t="n">
        <v>5</v>
      </c>
      <c r="X395" t="n">
        <v>452.4886877828054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10352</v>
      </c>
      <c r="AG395" t="n">
        <v>170</v>
      </c>
      <c r="AH395" t="inlineStr">
        <is>
          <t>PT. JALUR MANDIRI UTAMA - PPN (PDG)</t>
        </is>
      </c>
      <c r="AI395" t="n">
        <v>903</v>
      </c>
      <c r="AJ395" t="inlineStr">
        <is>
          <t>BARENBLISS</t>
        </is>
      </c>
      <c r="AK395" t="n">
        <v>21</v>
      </c>
      <c r="AL395" t="inlineStr">
        <is>
          <t>Miss Glam Damar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BARENBLISS</t>
        </is>
      </c>
      <c r="B396" s="2">
        <f>"8809851670705"</f>
        <v/>
      </c>
      <c r="C396" t="inlineStr">
        <is>
          <t>BARENBLISS Peach Makes Perfect Liptint 10 Stayyclassy 2,5gr</t>
        </is>
      </c>
      <c r="D396" t="inlineStr">
        <is>
          <t>Miss Glam Damar</t>
        </is>
      </c>
      <c r="E396" t="n">
        <v>1</v>
      </c>
      <c r="F396" t="n">
        <v>0.182</v>
      </c>
      <c r="G396" t="n">
        <v>0.91</v>
      </c>
      <c r="H396" t="n">
        <v>2</v>
      </c>
      <c r="I396" t="n">
        <v>9</v>
      </c>
      <c r="J396" t="n">
        <v>3</v>
      </c>
      <c r="K396" t="n">
        <v>0</v>
      </c>
      <c r="L396" t="n">
        <v>52488</v>
      </c>
      <c r="M396" t="n">
        <v>72900</v>
      </c>
      <c r="N396" t="n">
        <v>91</v>
      </c>
      <c r="O396" t="n">
        <v>0.91</v>
      </c>
      <c r="P396" t="n">
        <v>1</v>
      </c>
      <c r="Q396" t="n">
        <v>0.27</v>
      </c>
      <c r="R396" t="n">
        <v>3</v>
      </c>
      <c r="S396" t="n">
        <v>13267.8</v>
      </c>
      <c r="T396" t="n">
        <v>8</v>
      </c>
      <c r="U396" t="n">
        <v>9</v>
      </c>
      <c r="V396" t="n">
        <v>30</v>
      </c>
      <c r="W396" t="n">
        <v>6</v>
      </c>
      <c r="X396" t="n">
        <v>5.494505494505494</v>
      </c>
      <c r="Y396" t="n">
        <v>1</v>
      </c>
      <c r="Z396" t="n">
        <v>5</v>
      </c>
      <c r="AA396" t="n">
        <v>1</v>
      </c>
      <c r="AB396" t="n">
        <v>4</v>
      </c>
      <c r="AC396" t="n">
        <v>4</v>
      </c>
      <c r="AD396" t="n">
        <v>52488</v>
      </c>
      <c r="AE396" t="n">
        <v>209952</v>
      </c>
      <c r="AF396" t="n">
        <v>10352</v>
      </c>
      <c r="AG396" t="n">
        <v>170</v>
      </c>
      <c r="AH396" t="inlineStr">
        <is>
          <t>PT. JALUR MANDIRI UTAMA - PPN (PDG)</t>
        </is>
      </c>
      <c r="AI396" t="n">
        <v>903</v>
      </c>
      <c r="AJ396" t="inlineStr">
        <is>
          <t>BARENBLISS</t>
        </is>
      </c>
      <c r="AK396" t="n">
        <v>21</v>
      </c>
      <c r="AL396" t="inlineStr">
        <is>
          <t>Miss Glam Damar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BARENBLISS</t>
        </is>
      </c>
      <c r="B397" s="2">
        <f>"8809851670712"</f>
        <v/>
      </c>
      <c r="C397" t="inlineStr">
        <is>
          <t>BARENBLISS Peach Makes Perfect Liptint 11 Fairy Talle 2,5gr</t>
        </is>
      </c>
      <c r="D397" t="inlineStr">
        <is>
          <t>Miss Glam Damar</t>
        </is>
      </c>
      <c r="E397" t="n">
        <v>34</v>
      </c>
      <c r="F397" t="n">
        <v>0.0182</v>
      </c>
      <c r="G397" t="n">
        <v>0.91</v>
      </c>
      <c r="H397" t="n">
        <v>2</v>
      </c>
      <c r="I397" t="n">
        <v>9</v>
      </c>
      <c r="J397" t="n">
        <v>3</v>
      </c>
      <c r="K397" t="n">
        <v>0</v>
      </c>
      <c r="L397" t="n">
        <v>52488</v>
      </c>
      <c r="M397" t="n">
        <v>72900</v>
      </c>
      <c r="N397" t="n">
        <v>91</v>
      </c>
      <c r="O397" t="n">
        <v>0.91</v>
      </c>
      <c r="P397" t="n">
        <v>1</v>
      </c>
      <c r="Q397" t="n">
        <v>0.02</v>
      </c>
      <c r="R397" t="n">
        <v>1</v>
      </c>
      <c r="S397" t="n">
        <v>1326.78</v>
      </c>
      <c r="T397" t="n">
        <v>9</v>
      </c>
      <c r="U397" t="n">
        <v>10</v>
      </c>
      <c r="V397" t="n">
        <v>30</v>
      </c>
      <c r="W397" t="n">
        <v>1</v>
      </c>
      <c r="X397" t="n">
        <v>1868.131868131868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10352</v>
      </c>
      <c r="AG397" t="n">
        <v>170</v>
      </c>
      <c r="AH397" t="inlineStr">
        <is>
          <t>PT. JALUR MANDIRI UTAMA - PPN (PDG)</t>
        </is>
      </c>
      <c r="AI397" t="n">
        <v>903</v>
      </c>
      <c r="AJ397" t="inlineStr">
        <is>
          <t>BARENBLISS</t>
        </is>
      </c>
      <c r="AK397" t="n">
        <v>21</v>
      </c>
      <c r="AL397" t="inlineStr">
        <is>
          <t>Miss Glam Damar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BARENBLISS</t>
        </is>
      </c>
      <c r="B398" s="2">
        <f>"8809851671054"</f>
        <v/>
      </c>
      <c r="C398" t="inlineStr">
        <is>
          <t>BARENBLISS Peach Makes Perfect Liptint 12 Fly High 2,5gr</t>
        </is>
      </c>
      <c r="D398" t="inlineStr">
        <is>
          <t>Miss Glam Damar</t>
        </is>
      </c>
      <c r="E398" t="n">
        <v>28</v>
      </c>
      <c r="F398" t="n">
        <v>0.4186</v>
      </c>
      <c r="G398" t="n">
        <v>2.73</v>
      </c>
      <c r="H398" t="n">
        <v>2</v>
      </c>
      <c r="I398" t="n">
        <v>9</v>
      </c>
      <c r="J398" t="n">
        <v>3</v>
      </c>
      <c r="K398" t="n">
        <v>0</v>
      </c>
      <c r="L398" t="n">
        <v>52588</v>
      </c>
      <c r="M398" t="n">
        <v>72900</v>
      </c>
      <c r="N398" t="n">
        <v>91</v>
      </c>
      <c r="O398" t="n">
        <v>0.91</v>
      </c>
      <c r="P398" t="n">
        <v>1</v>
      </c>
      <c r="Q398" t="n">
        <v>0.41</v>
      </c>
      <c r="R398" t="n">
        <v>3</v>
      </c>
      <c r="S398" t="n">
        <v>30515.94</v>
      </c>
      <c r="T398" t="n">
        <v>24</v>
      </c>
      <c r="U398" t="n">
        <v>25</v>
      </c>
      <c r="V398" t="n">
        <v>30</v>
      </c>
      <c r="W398" t="n">
        <v>13</v>
      </c>
      <c r="X398" t="n">
        <v>66.8896321070234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10352</v>
      </c>
      <c r="AG398" t="n">
        <v>170</v>
      </c>
      <c r="AH398" t="inlineStr">
        <is>
          <t>PT. JALUR MANDIRI UTAMA - PPN (PDG)</t>
        </is>
      </c>
      <c r="AI398" t="n">
        <v>903</v>
      </c>
      <c r="AJ398" t="inlineStr">
        <is>
          <t>BARENBLISS</t>
        </is>
      </c>
      <c r="AK398" t="n">
        <v>21</v>
      </c>
      <c r="AL398" t="inlineStr">
        <is>
          <t>Miss Glam Damar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BARENBLISS</t>
        </is>
      </c>
      <c r="B399" s="2">
        <f>"8809851671061"</f>
        <v/>
      </c>
      <c r="C399" t="inlineStr">
        <is>
          <t>BARENBLISS Peach Makes Perfect Liptint 13 rise 2,5gr</t>
        </is>
      </c>
      <c r="D399" t="inlineStr">
        <is>
          <t>Miss Glam Damar</t>
        </is>
      </c>
      <c r="E399" t="n">
        <v>32</v>
      </c>
      <c r="F399" t="n">
        <v>0.1547</v>
      </c>
      <c r="G399" t="n">
        <v>0.91</v>
      </c>
      <c r="H399" t="n">
        <v>2</v>
      </c>
      <c r="I399" t="n">
        <v>9</v>
      </c>
      <c r="J399" t="n">
        <v>3</v>
      </c>
      <c r="K399" t="n">
        <v>0</v>
      </c>
      <c r="L399" t="n">
        <v>53997</v>
      </c>
      <c r="M399" t="n">
        <v>72900</v>
      </c>
      <c r="N399" t="n">
        <v>91</v>
      </c>
      <c r="O399" t="n">
        <v>0.91</v>
      </c>
      <c r="P399" t="n">
        <v>1</v>
      </c>
      <c r="Q399" t="n">
        <v>0.17</v>
      </c>
      <c r="R399" t="n">
        <v>2</v>
      </c>
      <c r="S399" t="n">
        <v>11277.63</v>
      </c>
      <c r="T399" t="n">
        <v>8</v>
      </c>
      <c r="U399" t="n">
        <v>9</v>
      </c>
      <c r="V399" t="n">
        <v>30</v>
      </c>
      <c r="W399" t="n">
        <v>5</v>
      </c>
      <c r="X399" t="n">
        <v>206.8519715578539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10352</v>
      </c>
      <c r="AG399" t="n">
        <v>170</v>
      </c>
      <c r="AH399" t="inlineStr">
        <is>
          <t>PT. JALUR MANDIRI UTAMA - PPN (PDG)</t>
        </is>
      </c>
      <c r="AI399" t="n">
        <v>903</v>
      </c>
      <c r="AJ399" t="inlineStr">
        <is>
          <t>BARENBLISS</t>
        </is>
      </c>
      <c r="AK399" t="n">
        <v>21</v>
      </c>
      <c r="AL399" t="inlineStr">
        <is>
          <t>Miss Glam Damar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BARENBLISS</t>
        </is>
      </c>
      <c r="B400" s="2">
        <f>"8809851671078"</f>
        <v/>
      </c>
      <c r="C400" t="inlineStr">
        <is>
          <t>BARENBLISS Perfect Lip Tint Peach Makes 14 Bold Moves 12ml</t>
        </is>
      </c>
      <c r="D400" t="inlineStr">
        <is>
          <t>Miss Glam Damar</t>
        </is>
      </c>
      <c r="E400" t="n">
        <v>42</v>
      </c>
      <c r="F400" t="n">
        <v>0.0182</v>
      </c>
      <c r="G400" t="n">
        <v>0.91</v>
      </c>
      <c r="H400" t="n">
        <v>2</v>
      </c>
      <c r="I400" t="n">
        <v>9</v>
      </c>
      <c r="J400" t="n">
        <v>3</v>
      </c>
      <c r="K400" t="n">
        <v>0</v>
      </c>
      <c r="L400" t="n">
        <v>49680</v>
      </c>
      <c r="M400" t="n">
        <v>69000</v>
      </c>
      <c r="N400" t="n">
        <v>91</v>
      </c>
      <c r="O400" t="n">
        <v>0.91</v>
      </c>
      <c r="P400" t="n">
        <v>1</v>
      </c>
      <c r="Q400" t="n">
        <v>0.02</v>
      </c>
      <c r="R400" t="n">
        <v>1</v>
      </c>
      <c r="S400" t="n">
        <v>1255.8</v>
      </c>
      <c r="T400" t="n">
        <v>9</v>
      </c>
      <c r="U400" t="n">
        <v>10</v>
      </c>
      <c r="V400" t="n">
        <v>30</v>
      </c>
      <c r="W400" t="n">
        <v>1</v>
      </c>
      <c r="X400" t="n">
        <v>2307.692307692308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10352</v>
      </c>
      <c r="AG400" t="n">
        <v>170</v>
      </c>
      <c r="AH400" t="inlineStr">
        <is>
          <t>PT. JALUR MANDIRI UTAMA - PPN (PDG)</t>
        </is>
      </c>
      <c r="AI400" t="n">
        <v>903</v>
      </c>
      <c r="AJ400" t="inlineStr">
        <is>
          <t>BARENBLISS</t>
        </is>
      </c>
      <c r="AK400" t="n">
        <v>21</v>
      </c>
      <c r="AL400" t="inlineStr">
        <is>
          <t>Miss Glam Damar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BARENBLISS</t>
        </is>
      </c>
      <c r="B401" s="2">
        <f>"8809851672822"</f>
        <v/>
      </c>
      <c r="C401" t="inlineStr">
        <is>
          <t>BARENBLISS Plum Makes Plumping Lip Gloss 01 Bare 2.5gr</t>
        </is>
      </c>
      <c r="D401" t="inlineStr">
        <is>
          <t>Miss Glam Damar</t>
        </is>
      </c>
      <c r="E401" t="n">
        <v>36</v>
      </c>
      <c r="F401" t="n">
        <v>0.4459</v>
      </c>
      <c r="G401" t="n">
        <v>1.82</v>
      </c>
      <c r="H401" t="n">
        <v>2</v>
      </c>
      <c r="I401" t="n">
        <v>9</v>
      </c>
      <c r="J401" t="n">
        <v>3</v>
      </c>
      <c r="K401" t="n">
        <v>0</v>
      </c>
      <c r="L401" t="n">
        <v>53071</v>
      </c>
      <c r="M401" t="n">
        <v>72900</v>
      </c>
      <c r="N401" t="n">
        <v>91</v>
      </c>
      <c r="O401" t="n">
        <v>0.91</v>
      </c>
      <c r="P401" t="n">
        <v>1</v>
      </c>
      <c r="Q401" t="n">
        <v>0.24</v>
      </c>
      <c r="R401" t="n">
        <v>2</v>
      </c>
      <c r="S401" t="n">
        <v>32506.11</v>
      </c>
      <c r="T401" t="n">
        <v>16</v>
      </c>
      <c r="U401" t="n">
        <v>17</v>
      </c>
      <c r="V401" t="n">
        <v>30</v>
      </c>
      <c r="W401" t="n">
        <v>14</v>
      </c>
      <c r="X401" t="n">
        <v>80.73559093967256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10352</v>
      </c>
      <c r="AG401" t="n">
        <v>170</v>
      </c>
      <c r="AH401" t="inlineStr">
        <is>
          <t>PT. JALUR MANDIRI UTAMA - PPN (PDG)</t>
        </is>
      </c>
      <c r="AI401" t="n">
        <v>903</v>
      </c>
      <c r="AJ401" t="inlineStr">
        <is>
          <t>BARENBLISS</t>
        </is>
      </c>
      <c r="AK401" t="n">
        <v>21</v>
      </c>
      <c r="AL401" t="inlineStr">
        <is>
          <t>Miss Glam Damar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BARENBLISS</t>
        </is>
      </c>
      <c r="B402" s="2">
        <f>"8809851672839"</f>
        <v/>
      </c>
      <c r="C402" t="inlineStr">
        <is>
          <t>BARENBLISS Plum Makes Plumping Lip Gloss 02 Mlbb 2.5gr</t>
        </is>
      </c>
      <c r="D402" t="inlineStr">
        <is>
          <t>Miss Glam Damar</t>
        </is>
      </c>
      <c r="E402" t="n">
        <v>11</v>
      </c>
      <c r="F402" t="n">
        <v>0.4368</v>
      </c>
      <c r="G402" t="n">
        <v>5.46</v>
      </c>
      <c r="H402" t="n">
        <v>2</v>
      </c>
      <c r="I402" t="n">
        <v>9</v>
      </c>
      <c r="J402" t="n">
        <v>3</v>
      </c>
      <c r="K402" t="n">
        <v>0</v>
      </c>
      <c r="L402" t="n">
        <v>58320</v>
      </c>
      <c r="M402" t="n">
        <v>72900</v>
      </c>
      <c r="N402" t="n">
        <v>91</v>
      </c>
      <c r="O402" t="n">
        <v>0.91</v>
      </c>
      <c r="P402" t="n">
        <v>1</v>
      </c>
      <c r="Q402" t="n">
        <v>0.53</v>
      </c>
      <c r="R402" t="n">
        <v>3</v>
      </c>
      <c r="S402" t="n">
        <v>31842.72</v>
      </c>
      <c r="T402" t="n">
        <v>49</v>
      </c>
      <c r="U402" t="n">
        <v>50</v>
      </c>
      <c r="V402" t="n">
        <v>30</v>
      </c>
      <c r="W402" t="n">
        <v>14</v>
      </c>
      <c r="X402" t="n">
        <v>25.18315018315018</v>
      </c>
      <c r="Y402" t="n">
        <v>1</v>
      </c>
      <c r="Z402" t="n">
        <v>3</v>
      </c>
      <c r="AA402" t="n">
        <v>0</v>
      </c>
      <c r="AB402" t="n">
        <v>3</v>
      </c>
      <c r="AC402" t="n">
        <v>3</v>
      </c>
      <c r="AD402" t="n">
        <v>0</v>
      </c>
      <c r="AE402" t="n">
        <v>174960</v>
      </c>
      <c r="AF402" t="n">
        <v>10352</v>
      </c>
      <c r="AG402" t="n">
        <v>170</v>
      </c>
      <c r="AH402" t="inlineStr">
        <is>
          <t>PT. JALUR MANDIRI UTAMA - PPN (PDG)</t>
        </is>
      </c>
      <c r="AI402" t="n">
        <v>903</v>
      </c>
      <c r="AJ402" t="inlineStr">
        <is>
          <t>BARENBLISS</t>
        </is>
      </c>
      <c r="AK402" t="n">
        <v>21</v>
      </c>
      <c r="AL402" t="inlineStr">
        <is>
          <t>Miss Glam Damar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BARENBLISS</t>
        </is>
      </c>
      <c r="B403" s="2">
        <f>"8809851672846"</f>
        <v/>
      </c>
      <c r="C403" t="inlineStr">
        <is>
          <t>BARENBLISS Plum Makes Plumping Lip Gloss 03 Too Hot 2.5gr</t>
        </is>
      </c>
      <c r="D403" t="inlineStr">
        <is>
          <t>Miss Glam Damar</t>
        </is>
      </c>
      <c r="E403" t="n">
        <v>34</v>
      </c>
      <c r="F403" t="n">
        <v>0.5277999999999999</v>
      </c>
      <c r="G403" t="n">
        <v>2.73</v>
      </c>
      <c r="H403" t="n">
        <v>2</v>
      </c>
      <c r="I403" t="n">
        <v>9</v>
      </c>
      <c r="J403" t="n">
        <v>3</v>
      </c>
      <c r="K403" t="n">
        <v>0</v>
      </c>
      <c r="L403" t="n">
        <v>58320</v>
      </c>
      <c r="M403" t="n">
        <v>72900</v>
      </c>
      <c r="N403" t="n">
        <v>91</v>
      </c>
      <c r="O403" t="n">
        <v>0.91</v>
      </c>
      <c r="P403" t="n">
        <v>1</v>
      </c>
      <c r="Q403" t="n">
        <v>0.46</v>
      </c>
      <c r="R403" t="n">
        <v>3</v>
      </c>
      <c r="S403" t="n">
        <v>38476.62</v>
      </c>
      <c r="T403" t="n">
        <v>24</v>
      </c>
      <c r="U403" t="n">
        <v>26</v>
      </c>
      <c r="V403" t="n">
        <v>30</v>
      </c>
      <c r="W403" t="n">
        <v>16</v>
      </c>
      <c r="X403" t="n">
        <v>64.41834028040925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10352</v>
      </c>
      <c r="AG403" t="n">
        <v>170</v>
      </c>
      <c r="AH403" t="inlineStr">
        <is>
          <t>PT. JALUR MANDIRI UTAMA - PPN (PDG)</t>
        </is>
      </c>
      <c r="AI403" t="n">
        <v>903</v>
      </c>
      <c r="AJ403" t="inlineStr">
        <is>
          <t>BARENBLISS</t>
        </is>
      </c>
      <c r="AK403" t="n">
        <v>21</v>
      </c>
      <c r="AL403" t="inlineStr">
        <is>
          <t>Miss Glam Damar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BARENBLISS</t>
        </is>
      </c>
      <c r="B404" s="2">
        <f>"20200220203"</f>
        <v/>
      </c>
      <c r="C404" t="inlineStr">
        <is>
          <t>BARENBLISS Roll To Clean Mascara Remover 8gr</t>
        </is>
      </c>
      <c r="D404" t="inlineStr">
        <is>
          <t>Miss Glam Damar</t>
        </is>
      </c>
      <c r="E404" t="n">
        <v>54</v>
      </c>
      <c r="F404" t="n">
        <v>0.91</v>
      </c>
      <c r="G404" t="n">
        <v>3.64</v>
      </c>
      <c r="H404" t="n">
        <v>2</v>
      </c>
      <c r="I404" t="n">
        <v>9</v>
      </c>
      <c r="J404" t="n">
        <v>1</v>
      </c>
      <c r="K404" t="n">
        <v>0</v>
      </c>
      <c r="L404" t="n">
        <v>39920</v>
      </c>
      <c r="M404" t="n">
        <v>49900</v>
      </c>
      <c r="N404" t="n">
        <v>91</v>
      </c>
      <c r="O404" t="n">
        <v>0.91</v>
      </c>
      <c r="P404" t="n">
        <v>1</v>
      </c>
      <c r="Q404" t="n">
        <v>0.78</v>
      </c>
      <c r="R404" t="n">
        <v>5</v>
      </c>
      <c r="S404" t="n">
        <v>45409</v>
      </c>
      <c r="T404" t="n">
        <v>31</v>
      </c>
      <c r="U404" t="n">
        <v>33</v>
      </c>
      <c r="V404" t="n">
        <v>30</v>
      </c>
      <c r="W404" t="n">
        <v>28</v>
      </c>
      <c r="X404" t="n">
        <v>59.34065934065934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10352</v>
      </c>
      <c r="AG404" t="n">
        <v>170</v>
      </c>
      <c r="AH404" t="inlineStr">
        <is>
          <t>PT. JALUR MANDIRI UTAMA - PPN (PDG)</t>
        </is>
      </c>
      <c r="AI404" t="n">
        <v>903</v>
      </c>
      <c r="AJ404" t="inlineStr">
        <is>
          <t>BARENBLISS</t>
        </is>
      </c>
      <c r="AK404" t="n">
        <v>21</v>
      </c>
      <c r="AL404" t="inlineStr">
        <is>
          <t>Miss Glam Damar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BARENBLISS</t>
        </is>
      </c>
      <c r="B405" s="2">
        <f>"20200219335"</f>
        <v/>
      </c>
      <c r="C405" t="inlineStr">
        <is>
          <t>BARENBLISS Roll To High Mascara 8gr</t>
        </is>
      </c>
      <c r="D405" t="inlineStr">
        <is>
          <t>Miss Glam Damar</t>
        </is>
      </c>
      <c r="E405" t="n">
        <v>179</v>
      </c>
      <c r="F405" t="n">
        <v>2.4661</v>
      </c>
      <c r="G405" t="n">
        <v>6.37</v>
      </c>
      <c r="H405" t="n">
        <v>2</v>
      </c>
      <c r="I405" t="n">
        <v>9</v>
      </c>
      <c r="J405" t="n">
        <v>3</v>
      </c>
      <c r="K405" t="n">
        <v>0</v>
      </c>
      <c r="L405" t="n">
        <v>66320</v>
      </c>
      <c r="M405" t="n">
        <v>82900</v>
      </c>
      <c r="N405" t="n">
        <v>91</v>
      </c>
      <c r="O405" t="n">
        <v>0.91</v>
      </c>
      <c r="P405" t="n">
        <v>1</v>
      </c>
      <c r="Q405" t="n">
        <v>2.36</v>
      </c>
      <c r="R405" t="n">
        <v>8</v>
      </c>
      <c r="S405" t="n">
        <v>204439.69</v>
      </c>
      <c r="T405" t="n">
        <v>53</v>
      </c>
      <c r="U405" t="n">
        <v>58</v>
      </c>
      <c r="V405" t="n">
        <v>30</v>
      </c>
      <c r="W405" t="n">
        <v>74</v>
      </c>
      <c r="X405" t="n">
        <v>72.58424232593974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10352</v>
      </c>
      <c r="AG405" t="n">
        <v>170</v>
      </c>
      <c r="AH405" t="inlineStr">
        <is>
          <t>PT. JALUR MANDIRI UTAMA - PPN (PDG)</t>
        </is>
      </c>
      <c r="AI405" t="n">
        <v>903</v>
      </c>
      <c r="AJ405" t="inlineStr">
        <is>
          <t>BARENBLISS</t>
        </is>
      </c>
      <c r="AK405" t="n">
        <v>21</v>
      </c>
      <c r="AL405" t="inlineStr">
        <is>
          <t>Miss Glam Damar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BARENBLISS</t>
        </is>
      </c>
      <c r="B406" s="2">
        <f>"20200218628"</f>
        <v/>
      </c>
      <c r="C406" t="inlineStr">
        <is>
          <t>BARENBLISS Roll To Length Steel Mascara 6gr</t>
        </is>
      </c>
      <c r="D406" t="inlineStr">
        <is>
          <t>Miss Glam Damar</t>
        </is>
      </c>
      <c r="E406" t="n">
        <v>113</v>
      </c>
      <c r="F406" t="n">
        <v>3.549</v>
      </c>
      <c r="G406" t="n">
        <v>13.65</v>
      </c>
      <c r="H406" t="n">
        <v>2</v>
      </c>
      <c r="I406" t="n">
        <v>9</v>
      </c>
      <c r="J406" t="n">
        <v>3</v>
      </c>
      <c r="K406" t="n">
        <v>0</v>
      </c>
      <c r="L406" t="n">
        <v>66320</v>
      </c>
      <c r="M406" t="n">
        <v>82900</v>
      </c>
      <c r="N406" t="n">
        <v>91</v>
      </c>
      <c r="O406" t="n">
        <v>0.91</v>
      </c>
      <c r="P406" t="n">
        <v>1</v>
      </c>
      <c r="Q406" t="n">
        <v>2.61</v>
      </c>
      <c r="R406" t="n">
        <v>8</v>
      </c>
      <c r="S406" t="n">
        <v>294212.1</v>
      </c>
      <c r="T406" t="n">
        <v>116</v>
      </c>
      <c r="U406" t="n">
        <v>124</v>
      </c>
      <c r="V406" t="n">
        <v>30</v>
      </c>
      <c r="W406" t="n">
        <v>107</v>
      </c>
      <c r="X406" t="n">
        <v>31.83995491687799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10352</v>
      </c>
      <c r="AG406" t="n">
        <v>170</v>
      </c>
      <c r="AH406" t="inlineStr">
        <is>
          <t>PT. JALUR MANDIRI UTAMA - PPN (PDG)</t>
        </is>
      </c>
      <c r="AI406" t="n">
        <v>903</v>
      </c>
      <c r="AJ406" t="inlineStr">
        <is>
          <t>BARENBLISS</t>
        </is>
      </c>
      <c r="AK406" t="n">
        <v>21</v>
      </c>
      <c r="AL406" t="inlineStr">
        <is>
          <t>Miss Glam Damar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BARENBLISS</t>
        </is>
      </c>
      <c r="B407" s="2">
        <f>"20200219337"</f>
        <v/>
      </c>
      <c r="C407" t="inlineStr">
        <is>
          <t>BARENBLISS Roll To Volume Mascara 8gr</t>
        </is>
      </c>
      <c r="D407" t="inlineStr">
        <is>
          <t>Miss Glam Damar</t>
        </is>
      </c>
      <c r="E407" t="n">
        <v>112</v>
      </c>
      <c r="F407" t="n">
        <v>3.0576</v>
      </c>
      <c r="G407" t="n">
        <v>10.01</v>
      </c>
      <c r="H407" t="n">
        <v>2</v>
      </c>
      <c r="I407" t="n">
        <v>9</v>
      </c>
      <c r="J407" t="n">
        <v>3</v>
      </c>
      <c r="K407" t="n">
        <v>0</v>
      </c>
      <c r="L407" t="n">
        <v>63149</v>
      </c>
      <c r="M407" t="n">
        <v>82900</v>
      </c>
      <c r="N407" t="n">
        <v>91</v>
      </c>
      <c r="O407" t="n">
        <v>0.91</v>
      </c>
      <c r="P407" t="n">
        <v>1</v>
      </c>
      <c r="Q407" t="n">
        <v>2.83</v>
      </c>
      <c r="R407" t="n">
        <v>7</v>
      </c>
      <c r="S407" t="n">
        <v>253475.04</v>
      </c>
      <c r="T407" t="n">
        <v>84</v>
      </c>
      <c r="U407" t="n">
        <v>91</v>
      </c>
      <c r="V407" t="n">
        <v>30</v>
      </c>
      <c r="W407" t="n">
        <v>92</v>
      </c>
      <c r="X407" t="n">
        <v>36.63003663003663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10352</v>
      </c>
      <c r="AG407" t="n">
        <v>170</v>
      </c>
      <c r="AH407" t="inlineStr">
        <is>
          <t>PT. JALUR MANDIRI UTAMA - PPN (PDG)</t>
        </is>
      </c>
      <c r="AI407" t="n">
        <v>903</v>
      </c>
      <c r="AJ407" t="inlineStr">
        <is>
          <t>BARENBLISS</t>
        </is>
      </c>
      <c r="AK407" t="n">
        <v>21</v>
      </c>
      <c r="AL407" t="inlineStr">
        <is>
          <t>Miss Glam Damar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BARENBLISS</t>
        </is>
      </c>
      <c r="B408" s="2">
        <f>"8809851672921"</f>
        <v/>
      </c>
      <c r="C408" t="inlineStr">
        <is>
          <t>BARENBLISS Silver Makes Stunning Lip Balm 3.2gr</t>
        </is>
      </c>
      <c r="D408" t="inlineStr">
        <is>
          <t>Miss Glam Damar</t>
        </is>
      </c>
      <c r="E408" t="n">
        <v>15</v>
      </c>
      <c r="F408" t="n">
        <v>0.8644999999999999</v>
      </c>
      <c r="G408" t="n">
        <v>3.64</v>
      </c>
      <c r="H408" t="n">
        <v>2</v>
      </c>
      <c r="I408" t="n">
        <v>9</v>
      </c>
      <c r="J408" t="n">
        <v>3</v>
      </c>
      <c r="K408" t="n">
        <v>0</v>
      </c>
      <c r="L408" t="n">
        <v>55920</v>
      </c>
      <c r="M408" t="n">
        <v>69900</v>
      </c>
      <c r="N408" t="n">
        <v>91</v>
      </c>
      <c r="O408" t="n">
        <v>0.91</v>
      </c>
      <c r="P408" t="n">
        <v>1</v>
      </c>
      <c r="Q408" t="n">
        <v>0.6899999999999999</v>
      </c>
      <c r="R408" t="n">
        <v>4</v>
      </c>
      <c r="S408" t="n">
        <v>60428.55</v>
      </c>
      <c r="T408" t="n">
        <v>32</v>
      </c>
      <c r="U408" t="n">
        <v>34</v>
      </c>
      <c r="V408" t="n">
        <v>30</v>
      </c>
      <c r="W408" t="n">
        <v>26</v>
      </c>
      <c r="X408" t="n">
        <v>17.35106998264893</v>
      </c>
      <c r="Y408" t="n">
        <v>1</v>
      </c>
      <c r="Z408" t="n">
        <v>11</v>
      </c>
      <c r="AA408" t="n">
        <v>0</v>
      </c>
      <c r="AB408" t="n">
        <v>11</v>
      </c>
      <c r="AC408" t="n">
        <v>11</v>
      </c>
      <c r="AD408" t="n">
        <v>0</v>
      </c>
      <c r="AE408" t="n">
        <v>615120</v>
      </c>
      <c r="AF408" t="n">
        <v>10352</v>
      </c>
      <c r="AG408" t="n">
        <v>170</v>
      </c>
      <c r="AH408" t="inlineStr">
        <is>
          <t>PT. JALUR MANDIRI UTAMA - PPN (PDG)</t>
        </is>
      </c>
      <c r="AI408" t="n">
        <v>903</v>
      </c>
      <c r="AJ408" t="inlineStr">
        <is>
          <t>BARENBLISS</t>
        </is>
      </c>
      <c r="AK408" t="n">
        <v>21</v>
      </c>
      <c r="AL408" t="inlineStr">
        <is>
          <t>Miss Glam Damar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BARENBLISS</t>
        </is>
      </c>
      <c r="B409" s="2">
        <f>"203001104557"</f>
        <v/>
      </c>
      <c r="C409" t="inlineStr">
        <is>
          <t>BARENBLISS Star-Glazing Steel Lipcerin 018 Milky Way 1.8gr</t>
        </is>
      </c>
      <c r="D409" t="inlineStr">
        <is>
          <t>Miss Glam Damar</t>
        </is>
      </c>
      <c r="E409" t="n">
        <v>39</v>
      </c>
      <c r="F409" t="n">
        <v>0.0273</v>
      </c>
      <c r="G409" t="n">
        <v>0.91</v>
      </c>
      <c r="H409" t="n">
        <v>2</v>
      </c>
      <c r="I409" t="n">
        <v>9</v>
      </c>
      <c r="J409" t="n">
        <v>1</v>
      </c>
      <c r="K409" t="n">
        <v>0</v>
      </c>
      <c r="L409" t="n">
        <v>71920</v>
      </c>
      <c r="M409" t="n">
        <v>89900</v>
      </c>
      <c r="N409" t="n">
        <v>91</v>
      </c>
      <c r="O409" t="n">
        <v>0.91</v>
      </c>
      <c r="P409" t="n">
        <v>1</v>
      </c>
      <c r="Q409" t="n">
        <v>0.03</v>
      </c>
      <c r="R409" t="n">
        <v>2</v>
      </c>
      <c r="S409" t="n">
        <v>2454.27</v>
      </c>
      <c r="T409" t="n">
        <v>9</v>
      </c>
      <c r="U409" t="n">
        <v>10</v>
      </c>
      <c r="V409" t="n">
        <v>30</v>
      </c>
      <c r="W409" t="n">
        <v>1</v>
      </c>
      <c r="X409" t="n">
        <v>1428.571428571428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10352</v>
      </c>
      <c r="AG409" t="n">
        <v>170</v>
      </c>
      <c r="AH409" t="inlineStr">
        <is>
          <t>PT. JALUR MANDIRI UTAMA - PPN (PDG)</t>
        </is>
      </c>
      <c r="AI409" t="n">
        <v>903</v>
      </c>
      <c r="AJ409" t="inlineStr">
        <is>
          <t>BARENBLISS</t>
        </is>
      </c>
      <c r="AK409" t="n">
        <v>21</v>
      </c>
      <c r="AL409" t="inlineStr">
        <is>
          <t>Miss Glam Damar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BARENBLISS</t>
        </is>
      </c>
      <c r="B410" s="2">
        <f>"203001104644"</f>
        <v/>
      </c>
      <c r="C410" t="inlineStr">
        <is>
          <t>BARENBLISS Star-Glazing Steel Lipcerin 066 Aurora Blaze 1.8gr</t>
        </is>
      </c>
      <c r="D410" t="inlineStr">
        <is>
          <t>Miss Glam Damar</t>
        </is>
      </c>
      <c r="E410" t="n">
        <v>39</v>
      </c>
      <c r="F410" t="n">
        <v>0.5733</v>
      </c>
      <c r="G410" t="n">
        <v>3.64</v>
      </c>
      <c r="H410" t="n">
        <v>2</v>
      </c>
      <c r="I410" t="n">
        <v>9</v>
      </c>
      <c r="J410" t="n">
        <v>1</v>
      </c>
      <c r="K410" t="n">
        <v>0</v>
      </c>
      <c r="L410" t="n">
        <v>71920</v>
      </c>
      <c r="M410" t="n">
        <v>89900</v>
      </c>
      <c r="N410" t="n">
        <v>91</v>
      </c>
      <c r="O410" t="n">
        <v>0.91</v>
      </c>
      <c r="P410" t="n">
        <v>1</v>
      </c>
      <c r="Q410" t="n">
        <v>0.44</v>
      </c>
      <c r="R410" t="n">
        <v>4</v>
      </c>
      <c r="S410" t="n">
        <v>51539.67000000001</v>
      </c>
      <c r="T410" t="n">
        <v>32</v>
      </c>
      <c r="U410" t="n">
        <v>34</v>
      </c>
      <c r="V410" t="n">
        <v>30</v>
      </c>
      <c r="W410" t="n">
        <v>18</v>
      </c>
      <c r="X410" t="n">
        <v>68.02721088435374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10352</v>
      </c>
      <c r="AG410" t="n">
        <v>170</v>
      </c>
      <c r="AH410" t="inlineStr">
        <is>
          <t>PT. JALUR MANDIRI UTAMA - PPN (PDG)</t>
        </is>
      </c>
      <c r="AI410" t="n">
        <v>903</v>
      </c>
      <c r="AJ410" t="inlineStr">
        <is>
          <t>BARENBLISS</t>
        </is>
      </c>
      <c r="AK410" t="n">
        <v>21</v>
      </c>
      <c r="AL410" t="inlineStr">
        <is>
          <t>Miss Glam Damar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BARENBLISS</t>
        </is>
      </c>
      <c r="B411" s="2">
        <f>"203001104733"</f>
        <v/>
      </c>
      <c r="C411" t="inlineStr">
        <is>
          <t>BARENBLISS Star-Glazing Steel Lipcerin 118 Nebula Nights 1.8gr</t>
        </is>
      </c>
      <c r="D411" t="inlineStr">
        <is>
          <t>Miss Glam Damar</t>
        </is>
      </c>
      <c r="E411" t="n">
        <v>79</v>
      </c>
      <c r="F411" t="n">
        <v>0.1365</v>
      </c>
      <c r="G411" t="n">
        <v>1.82</v>
      </c>
      <c r="H411" t="n">
        <v>2</v>
      </c>
      <c r="I411" t="n">
        <v>9</v>
      </c>
      <c r="J411" t="n">
        <v>1</v>
      </c>
      <c r="K411" t="n">
        <v>0</v>
      </c>
      <c r="L411" t="n">
        <v>71920</v>
      </c>
      <c r="M411" t="n">
        <v>89900</v>
      </c>
      <c r="N411" t="n">
        <v>91</v>
      </c>
      <c r="O411" t="n">
        <v>0.91</v>
      </c>
      <c r="P411" t="n">
        <v>1</v>
      </c>
      <c r="Q411" t="n">
        <v>0.15</v>
      </c>
      <c r="R411" t="n">
        <v>1</v>
      </c>
      <c r="S411" t="n">
        <v>12271.35</v>
      </c>
      <c r="T411" t="n">
        <v>17</v>
      </c>
      <c r="U411" t="n">
        <v>18</v>
      </c>
      <c r="V411" t="n">
        <v>30</v>
      </c>
      <c r="W411" t="n">
        <v>5</v>
      </c>
      <c r="X411" t="n">
        <v>578.7545787545787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10352</v>
      </c>
      <c r="AG411" t="n">
        <v>170</v>
      </c>
      <c r="AH411" t="inlineStr">
        <is>
          <t>PT. JALUR MANDIRI UTAMA - PPN (PDG)</t>
        </is>
      </c>
      <c r="AI411" t="n">
        <v>903</v>
      </c>
      <c r="AJ411" t="inlineStr">
        <is>
          <t>BARENBLISS</t>
        </is>
      </c>
      <c r="AK411" t="n">
        <v>21</v>
      </c>
      <c r="AL411" t="inlineStr">
        <is>
          <t>Miss Glam Damar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BARENBLISS</t>
        </is>
      </c>
      <c r="B412" s="2">
        <f>"203001104859"</f>
        <v/>
      </c>
      <c r="C412" t="inlineStr">
        <is>
          <t>BARENBLISS Star-Glazing Steel Lipcerin 222 Dazzling Meteor 1.8gr</t>
        </is>
      </c>
      <c r="D412" t="inlineStr">
        <is>
          <t>Miss Glam Damar</t>
        </is>
      </c>
      <c r="E412" t="n">
        <v>43</v>
      </c>
      <c r="F412" t="n">
        <v>0.182</v>
      </c>
      <c r="G412" t="n">
        <v>2.73</v>
      </c>
      <c r="H412" t="n">
        <v>2</v>
      </c>
      <c r="I412" t="n">
        <v>9</v>
      </c>
      <c r="J412" t="n">
        <v>1</v>
      </c>
      <c r="K412" t="n">
        <v>0</v>
      </c>
      <c r="L412" t="n">
        <v>71920</v>
      </c>
      <c r="M412" t="n">
        <v>89900</v>
      </c>
      <c r="N412" t="n">
        <v>91</v>
      </c>
      <c r="O412" t="n">
        <v>0.91</v>
      </c>
      <c r="P412" t="n">
        <v>1</v>
      </c>
      <c r="Q412" t="n">
        <v>0.15</v>
      </c>
      <c r="R412" t="n">
        <v>2</v>
      </c>
      <c r="S412" t="n">
        <v>16361.8</v>
      </c>
      <c r="T412" t="n">
        <v>25</v>
      </c>
      <c r="U412" t="n">
        <v>26</v>
      </c>
      <c r="V412" t="n">
        <v>30</v>
      </c>
      <c r="W412" t="n">
        <v>6</v>
      </c>
      <c r="X412" t="n">
        <v>236.2637362637362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10352</v>
      </c>
      <c r="AG412" t="n">
        <v>170</v>
      </c>
      <c r="AH412" t="inlineStr">
        <is>
          <t>PT. JALUR MANDIRI UTAMA - PPN (PDG)</t>
        </is>
      </c>
      <c r="AI412" t="n">
        <v>903</v>
      </c>
      <c r="AJ412" t="inlineStr">
        <is>
          <t>BARENBLISS</t>
        </is>
      </c>
      <c r="AK412" t="n">
        <v>21</v>
      </c>
      <c r="AL412" t="inlineStr">
        <is>
          <t>Miss Glam Damar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BARENBLISS</t>
        </is>
      </c>
      <c r="B413" s="2">
        <f>"203001104933"</f>
        <v/>
      </c>
      <c r="C413" t="inlineStr">
        <is>
          <t>BARENBLISS Star-Glazing Steel Lipcerin 377 Cosmic Comet 1.8gr</t>
        </is>
      </c>
      <c r="D413" t="inlineStr">
        <is>
          <t>Miss Glam Damar</t>
        </is>
      </c>
      <c r="E413" t="n">
        <v>39</v>
      </c>
      <c r="F413" t="n">
        <v>0.3731</v>
      </c>
      <c r="G413" t="n">
        <v>4.55</v>
      </c>
      <c r="H413" t="n">
        <v>2</v>
      </c>
      <c r="I413" t="n">
        <v>9</v>
      </c>
      <c r="J413" t="n">
        <v>1</v>
      </c>
      <c r="K413" t="n">
        <v>0</v>
      </c>
      <c r="L413" t="n">
        <v>71920</v>
      </c>
      <c r="M413" t="n">
        <v>89900</v>
      </c>
      <c r="N413" t="n">
        <v>91</v>
      </c>
      <c r="O413" t="n">
        <v>0.91</v>
      </c>
      <c r="P413" t="n">
        <v>1</v>
      </c>
      <c r="Q413" t="n">
        <v>0.37</v>
      </c>
      <c r="R413" t="n">
        <v>3</v>
      </c>
      <c r="S413" t="n">
        <v>33541.69</v>
      </c>
      <c r="T413" t="n">
        <v>41</v>
      </c>
      <c r="U413" t="n">
        <v>42</v>
      </c>
      <c r="V413" t="n">
        <v>30</v>
      </c>
      <c r="W413" t="n">
        <v>12</v>
      </c>
      <c r="X413" t="n">
        <v>104.5296167247387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10352</v>
      </c>
      <c r="AG413" t="n">
        <v>170</v>
      </c>
      <c r="AH413" t="inlineStr">
        <is>
          <t>PT. JALUR MANDIRI UTAMA - PPN (PDG)</t>
        </is>
      </c>
      <c r="AI413" t="n">
        <v>903</v>
      </c>
      <c r="AJ413" t="inlineStr">
        <is>
          <t>BARENBLISS</t>
        </is>
      </c>
      <c r="AK413" t="n">
        <v>21</v>
      </c>
      <c r="AL413" t="inlineStr">
        <is>
          <t>Miss Glam Damar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BARENBLISS</t>
        </is>
      </c>
      <c r="B414" s="2">
        <f>"8809851671214"</f>
        <v/>
      </c>
      <c r="C414" t="inlineStr">
        <is>
          <t>BARENBLISS Transferproof Matte Tint Full Bloom 08 Jasmine Bud 3gr</t>
        </is>
      </c>
      <c r="D414" t="inlineStr">
        <is>
          <t>Miss Glam Damar</t>
        </is>
      </c>
      <c r="E414" t="n">
        <v>19</v>
      </c>
      <c r="F414" t="n">
        <v>0.04550000000000001</v>
      </c>
      <c r="G414" t="n">
        <v>0.91</v>
      </c>
      <c r="H414" t="n">
        <v>2</v>
      </c>
      <c r="I414" t="n">
        <v>9</v>
      </c>
      <c r="J414" t="n">
        <v>3</v>
      </c>
      <c r="K414" t="n">
        <v>0</v>
      </c>
      <c r="L414" t="n">
        <v>52488</v>
      </c>
      <c r="M414" t="n">
        <v>72900</v>
      </c>
      <c r="N414" t="n">
        <v>91</v>
      </c>
      <c r="O414" t="n">
        <v>0.91</v>
      </c>
      <c r="P414" t="n">
        <v>1</v>
      </c>
      <c r="Q414" t="n">
        <v>0.02</v>
      </c>
      <c r="R414" t="n">
        <v>1</v>
      </c>
      <c r="S414" t="n">
        <v>3316.95</v>
      </c>
      <c r="T414" t="n">
        <v>9</v>
      </c>
      <c r="U414" t="n">
        <v>10</v>
      </c>
      <c r="V414" t="n">
        <v>30</v>
      </c>
      <c r="W414" t="n">
        <v>2</v>
      </c>
      <c r="X414" t="n">
        <v>417.5824175824175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10352</v>
      </c>
      <c r="AG414" t="n">
        <v>170</v>
      </c>
      <c r="AH414" t="inlineStr">
        <is>
          <t>PT. JALUR MANDIRI UTAMA - PPN (PDG)</t>
        </is>
      </c>
      <c r="AI414" t="n">
        <v>903</v>
      </c>
      <c r="AJ414" t="inlineStr">
        <is>
          <t>BARENBLISS</t>
        </is>
      </c>
      <c r="AK414" t="n">
        <v>21</v>
      </c>
      <c r="AL414" t="inlineStr">
        <is>
          <t>Miss Glam Damar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BARENBLISS</t>
        </is>
      </c>
      <c r="B415" s="2">
        <f>"8809851671221"</f>
        <v/>
      </c>
      <c r="C415" t="inlineStr">
        <is>
          <t>BARENBLISS Transferproof Matte Tint Full Bloom 09 Tulip Flush 3gr</t>
        </is>
      </c>
      <c r="D415" t="inlineStr">
        <is>
          <t>Miss Glam Damar</t>
        </is>
      </c>
      <c r="E415" t="n">
        <v>78</v>
      </c>
      <c r="F415" t="n">
        <v>0.09100000000000001</v>
      </c>
      <c r="G415" t="n">
        <v>0.91</v>
      </c>
      <c r="H415" t="n">
        <v>2</v>
      </c>
      <c r="I415" t="n">
        <v>9</v>
      </c>
      <c r="J415" t="n">
        <v>3</v>
      </c>
      <c r="K415" t="n">
        <v>0</v>
      </c>
      <c r="L415" t="n">
        <v>52488</v>
      </c>
      <c r="M415" t="n">
        <v>72900</v>
      </c>
      <c r="N415" t="n">
        <v>91</v>
      </c>
      <c r="O415" t="n">
        <v>0.91</v>
      </c>
      <c r="P415" t="n">
        <v>1</v>
      </c>
      <c r="Q415" t="n">
        <v>0.1</v>
      </c>
      <c r="R415" t="n">
        <v>2</v>
      </c>
      <c r="S415" t="n">
        <v>6633.900000000001</v>
      </c>
      <c r="T415" t="n">
        <v>9</v>
      </c>
      <c r="U415" t="n">
        <v>10</v>
      </c>
      <c r="V415" t="n">
        <v>30</v>
      </c>
      <c r="W415" t="n">
        <v>3</v>
      </c>
      <c r="X415" t="n">
        <v>857.142857142857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10352</v>
      </c>
      <c r="AG415" t="n">
        <v>170</v>
      </c>
      <c r="AH415" t="inlineStr">
        <is>
          <t>PT. JALUR MANDIRI UTAMA - PPN (PDG)</t>
        </is>
      </c>
      <c r="AI415" t="n">
        <v>903</v>
      </c>
      <c r="AJ415" t="inlineStr">
        <is>
          <t>BARENBLISS</t>
        </is>
      </c>
      <c r="AK415" t="n">
        <v>21</v>
      </c>
      <c r="AL415" t="inlineStr">
        <is>
          <t>Miss Glam Damar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BATH &amp; BODY WORKS</t>
        </is>
      </c>
      <c r="B416" s="2">
        <f>"667558791271"</f>
        <v/>
      </c>
      <c r="C416" t="inlineStr">
        <is>
          <t>BATH &amp; BODY WORKS Ballet Nights 236ml</t>
        </is>
      </c>
      <c r="D416" t="inlineStr">
        <is>
          <t>Miss Glam Damar</t>
        </is>
      </c>
      <c r="E416" t="n">
        <v>1</v>
      </c>
      <c r="F416" t="n">
        <v>0.02</v>
      </c>
      <c r="G416" t="n">
        <v>1</v>
      </c>
      <c r="H416" t="n">
        <v>4</v>
      </c>
      <c r="I416" t="n">
        <v>21</v>
      </c>
      <c r="J416" t="n">
        <v>3</v>
      </c>
      <c r="K416" t="n">
        <v>0</v>
      </c>
      <c r="L416" t="n">
        <v>180738</v>
      </c>
      <c r="M416" t="n">
        <v>215000</v>
      </c>
      <c r="N416" t="n">
        <v>91</v>
      </c>
      <c r="O416" t="n">
        <v>0.91</v>
      </c>
      <c r="P416" t="n">
        <v>0</v>
      </c>
      <c r="Q416" t="n">
        <v>0.02</v>
      </c>
      <c r="R416" t="n">
        <v>1</v>
      </c>
      <c r="S416" t="n">
        <v>4300</v>
      </c>
      <c r="T416" t="n">
        <v>21</v>
      </c>
      <c r="U416" t="n">
        <v>22</v>
      </c>
      <c r="V416" t="n">
        <v>30</v>
      </c>
      <c r="W416" t="n">
        <v>1</v>
      </c>
      <c r="X416" t="n">
        <v>50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3286</v>
      </c>
      <c r="AG416" t="n">
        <v>1</v>
      </c>
      <c r="AH416" t="inlineStr">
        <is>
          <t>PT. BERSAMA DISTRIVERSA INDONESIA (DC CIPUTAT)</t>
        </is>
      </c>
      <c r="AI416" t="n">
        <v>21</v>
      </c>
      <c r="AJ416" t="inlineStr">
        <is>
          <t>BATH &amp; BODY WORKS</t>
        </is>
      </c>
      <c r="AK416" t="n">
        <v>21</v>
      </c>
      <c r="AL416" t="inlineStr">
        <is>
          <t>Miss Glam Damar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BATH &amp; BODY WORKS</t>
        </is>
      </c>
      <c r="B417" s="2">
        <f>"667559098812"</f>
        <v/>
      </c>
      <c r="C417" t="inlineStr">
        <is>
          <t>BATH &amp; BODY WORKS Calypsa Clementine 75ml</t>
        </is>
      </c>
      <c r="D417" t="inlineStr">
        <is>
          <t>Miss Glam Damar</t>
        </is>
      </c>
      <c r="E417" t="n">
        <v>4</v>
      </c>
      <c r="F417" t="n">
        <v>0.02</v>
      </c>
      <c r="G417" t="n">
        <v>1</v>
      </c>
      <c r="H417" t="n">
        <v>4</v>
      </c>
      <c r="I417" t="n">
        <v>21</v>
      </c>
      <c r="J417" t="n">
        <v>3</v>
      </c>
      <c r="K417" t="n">
        <v>0</v>
      </c>
      <c r="L417" t="n">
        <v>82000</v>
      </c>
      <c r="M417" t="n">
        <v>115000</v>
      </c>
      <c r="N417" t="n">
        <v>91</v>
      </c>
      <c r="O417" t="n">
        <v>0.91</v>
      </c>
      <c r="P417" t="n">
        <v>0</v>
      </c>
      <c r="Q417" t="n">
        <v>0.02</v>
      </c>
      <c r="R417" t="n">
        <v>1</v>
      </c>
      <c r="S417" t="n">
        <v>2300</v>
      </c>
      <c r="T417" t="n">
        <v>21</v>
      </c>
      <c r="U417" t="n">
        <v>22</v>
      </c>
      <c r="V417" t="n">
        <v>30</v>
      </c>
      <c r="W417" t="n">
        <v>1</v>
      </c>
      <c r="X417" t="n">
        <v>200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3286</v>
      </c>
      <c r="AG417" t="n">
        <v>1</v>
      </c>
      <c r="AH417" t="inlineStr">
        <is>
          <t>PT. BERSAMA DISTRIVERSA INDONESIA (DC CIPUTAT)</t>
        </is>
      </c>
      <c r="AI417" t="n">
        <v>21</v>
      </c>
      <c r="AJ417" t="inlineStr">
        <is>
          <t>BATH &amp; BODY WORKS</t>
        </is>
      </c>
      <c r="AK417" t="n">
        <v>21</v>
      </c>
      <c r="AL417" t="inlineStr">
        <is>
          <t>Miss Glam Damar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BATH &amp; BODY WORKS</t>
        </is>
      </c>
      <c r="B418" s="2">
        <f>"667559111696"</f>
        <v/>
      </c>
      <c r="C418" t="inlineStr">
        <is>
          <t>BATH &amp; BODY WORKS Costa Rica Pink Pineapple Sunrise 75ml</t>
        </is>
      </c>
      <c r="D418" t="inlineStr">
        <is>
          <t>Miss Glam Damar</t>
        </is>
      </c>
      <c r="E418" t="n">
        <v>4</v>
      </c>
      <c r="F418" t="n">
        <v>0.02</v>
      </c>
      <c r="G418" t="n">
        <v>1</v>
      </c>
      <c r="H418" t="n">
        <v>4</v>
      </c>
      <c r="I418" t="n">
        <v>21</v>
      </c>
      <c r="J418" t="n">
        <v>3</v>
      </c>
      <c r="K418" t="n">
        <v>0</v>
      </c>
      <c r="L418" t="n">
        <v>82000</v>
      </c>
      <c r="M418" t="n">
        <v>115000</v>
      </c>
      <c r="N418" t="n">
        <v>91</v>
      </c>
      <c r="O418" t="n">
        <v>0.91</v>
      </c>
      <c r="P418" t="n">
        <v>0</v>
      </c>
      <c r="Q418" t="n">
        <v>0.02</v>
      </c>
      <c r="R418" t="n">
        <v>1</v>
      </c>
      <c r="S418" t="n">
        <v>2300</v>
      </c>
      <c r="T418" t="n">
        <v>21</v>
      </c>
      <c r="U418" t="n">
        <v>22</v>
      </c>
      <c r="V418" t="n">
        <v>30</v>
      </c>
      <c r="W418" t="n">
        <v>1</v>
      </c>
      <c r="X418" t="n">
        <v>200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3286</v>
      </c>
      <c r="AG418" t="n">
        <v>1</v>
      </c>
      <c r="AH418" t="inlineStr">
        <is>
          <t>PT. BERSAMA DISTRIVERSA INDONESIA (DC CIPUTAT)</t>
        </is>
      </c>
      <c r="AI418" t="n">
        <v>21</v>
      </c>
      <c r="AJ418" t="inlineStr">
        <is>
          <t>BATH &amp; BODY WORKS</t>
        </is>
      </c>
      <c r="AK418" t="n">
        <v>21</v>
      </c>
      <c r="AL418" t="inlineStr">
        <is>
          <t>Miss Glam Damar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BATH &amp; BODY WORKS</t>
        </is>
      </c>
      <c r="B419" s="2">
        <f>"667556039061"</f>
        <v/>
      </c>
      <c r="C419" t="inlineStr">
        <is>
          <t>BATH &amp; BODY WORKS Fragrance Mist Dark Kiss Travel Size 75 ml</t>
        </is>
      </c>
      <c r="D419" t="inlineStr">
        <is>
          <t>Miss Glam Damar</t>
        </is>
      </c>
      <c r="E419" t="n">
        <v>0</v>
      </c>
      <c r="F419" t="n">
        <v>0.08</v>
      </c>
      <c r="G419" t="n">
        <v>1</v>
      </c>
      <c r="H419" t="n">
        <v>4</v>
      </c>
      <c r="I419" t="n">
        <v>21</v>
      </c>
      <c r="J419" t="n">
        <v>3</v>
      </c>
      <c r="K419" t="n">
        <v>0</v>
      </c>
      <c r="L419" t="n">
        <v>98378</v>
      </c>
      <c r="M419" t="n">
        <v>121500</v>
      </c>
      <c r="N419" t="n">
        <v>91</v>
      </c>
      <c r="O419" t="n">
        <v>0.91</v>
      </c>
      <c r="P419" t="n">
        <v>0</v>
      </c>
      <c r="Q419" t="n">
        <v>0.08</v>
      </c>
      <c r="R419" t="n">
        <v>1</v>
      </c>
      <c r="S419" t="n">
        <v>9720</v>
      </c>
      <c r="T419" t="n">
        <v>21</v>
      </c>
      <c r="U419" t="n">
        <v>22</v>
      </c>
      <c r="V419" t="n">
        <v>30</v>
      </c>
      <c r="W419" t="n">
        <v>3</v>
      </c>
      <c r="X419" t="n">
        <v>0</v>
      </c>
      <c r="Y419" t="n">
        <v>1</v>
      </c>
      <c r="Z419" t="n">
        <v>3</v>
      </c>
      <c r="AA419" t="n">
        <v>2</v>
      </c>
      <c r="AB419" t="n">
        <v>1</v>
      </c>
      <c r="AC419" t="n">
        <v>3</v>
      </c>
      <c r="AD419" t="n">
        <v>196756</v>
      </c>
      <c r="AE419" t="n">
        <v>295134</v>
      </c>
      <c r="AF419" t="n">
        <v>3286</v>
      </c>
      <c r="AG419" t="n">
        <v>1</v>
      </c>
      <c r="AH419" t="inlineStr">
        <is>
          <t>PT. BERSAMA DISTRIVERSA INDONESIA (DC CIPUTAT)</t>
        </is>
      </c>
      <c r="AI419" t="n">
        <v>21</v>
      </c>
      <c r="AJ419" t="inlineStr">
        <is>
          <t>BATH &amp; BODY WORKS</t>
        </is>
      </c>
      <c r="AK419" t="n">
        <v>21</v>
      </c>
      <c r="AL419" t="inlineStr">
        <is>
          <t>Miss Glam Damar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BATH &amp; BODY WORKS</t>
        </is>
      </c>
      <c r="B420" s="2">
        <f>"667558205136"</f>
        <v/>
      </c>
      <c r="C420" t="inlineStr">
        <is>
          <t>BATH &amp; BODY WORKS In The Stars 236ml</t>
        </is>
      </c>
      <c r="D420" t="inlineStr">
        <is>
          <t>Miss Glam Damar</t>
        </is>
      </c>
      <c r="E420" t="n">
        <v>0</v>
      </c>
      <c r="F420" t="n">
        <v>0.0273</v>
      </c>
      <c r="G420" t="n">
        <v>0.91</v>
      </c>
      <c r="H420" t="n">
        <v>4</v>
      </c>
      <c r="I420" t="n">
        <v>21</v>
      </c>
      <c r="J420" t="n">
        <v>3</v>
      </c>
      <c r="K420" t="n">
        <v>0</v>
      </c>
      <c r="L420" t="n">
        <v>164751</v>
      </c>
      <c r="M420" t="n">
        <v>215000</v>
      </c>
      <c r="N420" t="n">
        <v>91</v>
      </c>
      <c r="O420" t="n">
        <v>0.91</v>
      </c>
      <c r="P420" t="n">
        <v>1</v>
      </c>
      <c r="Q420" t="n">
        <v>0.03</v>
      </c>
      <c r="R420" t="n">
        <v>1</v>
      </c>
      <c r="S420" t="n">
        <v>5869.5</v>
      </c>
      <c r="T420" t="n">
        <v>20</v>
      </c>
      <c r="U420" t="n">
        <v>21</v>
      </c>
      <c r="V420" t="n">
        <v>30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n">
        <v>0</v>
      </c>
      <c r="AC420" t="n">
        <v>0</v>
      </c>
      <c r="AD420" t="n">
        <v>164751</v>
      </c>
      <c r="AE420" t="n">
        <v>0</v>
      </c>
      <c r="AF420" t="n">
        <v>3286</v>
      </c>
      <c r="AG420" t="n">
        <v>1</v>
      </c>
      <c r="AH420" t="inlineStr">
        <is>
          <t>PT. BERSAMA DISTRIVERSA INDONESIA (DC CIPUTAT)</t>
        </is>
      </c>
      <c r="AI420" t="n">
        <v>21</v>
      </c>
      <c r="AJ420" t="inlineStr">
        <is>
          <t>BATH &amp; BODY WORKS</t>
        </is>
      </c>
      <c r="AK420" t="n">
        <v>21</v>
      </c>
      <c r="AL420" t="inlineStr">
        <is>
          <t>Miss Glam Damar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BATH &amp; BODY WORKS</t>
        </is>
      </c>
      <c r="B421" s="2">
        <f>"667558547137"</f>
        <v/>
      </c>
      <c r="C421" t="inlineStr">
        <is>
          <t>BATH &amp; BODY WORKS Luminous 236ml</t>
        </is>
      </c>
      <c r="D421" t="inlineStr">
        <is>
          <t>Miss Glam Damar</t>
        </is>
      </c>
      <c r="E421" t="n">
        <v>1</v>
      </c>
      <c r="F421" t="n">
        <v>0.0273</v>
      </c>
      <c r="G421" t="n">
        <v>0.91</v>
      </c>
      <c r="H421" t="n">
        <v>4</v>
      </c>
      <c r="I421" t="n">
        <v>21</v>
      </c>
      <c r="J421" t="n">
        <v>3</v>
      </c>
      <c r="K421" t="n">
        <v>0</v>
      </c>
      <c r="L421" t="n">
        <v>180738</v>
      </c>
      <c r="M421" t="n">
        <v>215000</v>
      </c>
      <c r="N421" t="n">
        <v>91</v>
      </c>
      <c r="O421" t="n">
        <v>0.91</v>
      </c>
      <c r="P421" t="n">
        <v>1</v>
      </c>
      <c r="Q421" t="n">
        <v>0.05</v>
      </c>
      <c r="R421" t="n">
        <v>1</v>
      </c>
      <c r="S421" t="n">
        <v>5869.5</v>
      </c>
      <c r="T421" t="n">
        <v>20</v>
      </c>
      <c r="U421" t="n">
        <v>21</v>
      </c>
      <c r="V421" t="n">
        <v>30</v>
      </c>
      <c r="W421" t="n">
        <v>1</v>
      </c>
      <c r="X421" t="n">
        <v>36.63003663003663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3286</v>
      </c>
      <c r="AG421" t="n">
        <v>1</v>
      </c>
      <c r="AH421" t="inlineStr">
        <is>
          <t>PT. BERSAMA DISTRIVERSA INDONESIA (DC CIPUTAT)</t>
        </is>
      </c>
      <c r="AI421" t="n">
        <v>21</v>
      </c>
      <c r="AJ421" t="inlineStr">
        <is>
          <t>BATH &amp; BODY WORKS</t>
        </is>
      </c>
      <c r="AK421" t="n">
        <v>21</v>
      </c>
      <c r="AL421" t="inlineStr">
        <is>
          <t>Miss Glam Damar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BATH &amp; BODY WORKS</t>
        </is>
      </c>
      <c r="B422" s="2">
        <f>"667558791295"</f>
        <v/>
      </c>
      <c r="C422" t="inlineStr">
        <is>
          <t>BATH &amp; BODY WORKS Pink Suede 236ml</t>
        </is>
      </c>
      <c r="D422" t="inlineStr">
        <is>
          <t>Miss Glam Damar</t>
        </is>
      </c>
      <c r="E422" t="n">
        <v>0</v>
      </c>
      <c r="F422" t="n">
        <v>0.03</v>
      </c>
      <c r="G422" t="n">
        <v>1</v>
      </c>
      <c r="H422" t="n">
        <v>4</v>
      </c>
      <c r="I422" t="n">
        <v>21</v>
      </c>
      <c r="J422" t="n">
        <v>3</v>
      </c>
      <c r="K422" t="n">
        <v>0</v>
      </c>
      <c r="L422" t="n">
        <v>141504</v>
      </c>
      <c r="M422" t="n">
        <v>215000</v>
      </c>
      <c r="N422" t="n">
        <v>91</v>
      </c>
      <c r="O422" t="n">
        <v>0.91</v>
      </c>
      <c r="P422" t="n">
        <v>0</v>
      </c>
      <c r="Q422" t="n">
        <v>0.03</v>
      </c>
      <c r="R422" t="n">
        <v>1</v>
      </c>
      <c r="S422" t="n">
        <v>6450</v>
      </c>
      <c r="T422" t="n">
        <v>21</v>
      </c>
      <c r="U422" t="n">
        <v>22</v>
      </c>
      <c r="V422" t="n">
        <v>30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n">
        <v>0</v>
      </c>
      <c r="AC422" t="n">
        <v>0</v>
      </c>
      <c r="AD422" t="n">
        <v>141504</v>
      </c>
      <c r="AE422" t="n">
        <v>0</v>
      </c>
      <c r="AF422" t="n">
        <v>3286</v>
      </c>
      <c r="AG422" t="n">
        <v>1</v>
      </c>
      <c r="AH422" t="inlineStr">
        <is>
          <t>PT. BERSAMA DISTRIVERSA INDONESIA (DC CIPUTAT)</t>
        </is>
      </c>
      <c r="AI422" t="n">
        <v>21</v>
      </c>
      <c r="AJ422" t="inlineStr">
        <is>
          <t>BATH &amp; BODY WORKS</t>
        </is>
      </c>
      <c r="AK422" t="n">
        <v>21</v>
      </c>
      <c r="AL422" t="inlineStr">
        <is>
          <t>Miss Glam Damar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BATH &amp; BODY WORKS</t>
        </is>
      </c>
      <c r="B423" s="2">
        <f>"667556131949"</f>
        <v/>
      </c>
      <c r="C423" t="inlineStr">
        <is>
          <t>BATH &amp; BODY WORKS You're The One Fine Fragrance Mist 236ml</t>
        </is>
      </c>
      <c r="D423" t="inlineStr">
        <is>
          <t>Miss Glam Damar</t>
        </is>
      </c>
      <c r="E423" t="n">
        <v>5</v>
      </c>
      <c r="F423" t="n">
        <v>0.0273</v>
      </c>
      <c r="G423" t="n">
        <v>0.91</v>
      </c>
      <c r="H423" t="n">
        <v>4</v>
      </c>
      <c r="I423" t="n">
        <v>21</v>
      </c>
      <c r="J423" t="n">
        <v>3</v>
      </c>
      <c r="K423" t="n">
        <v>0</v>
      </c>
      <c r="L423" t="n">
        <v>181622</v>
      </c>
      <c r="M423" t="n">
        <v>220000</v>
      </c>
      <c r="N423" t="n">
        <v>91</v>
      </c>
      <c r="O423" t="n">
        <v>0.91</v>
      </c>
      <c r="P423" t="n">
        <v>1</v>
      </c>
      <c r="Q423" t="n">
        <v>0.03</v>
      </c>
      <c r="R423" t="n">
        <v>1</v>
      </c>
      <c r="S423" t="n">
        <v>6006</v>
      </c>
      <c r="T423" t="n">
        <v>20</v>
      </c>
      <c r="U423" t="n">
        <v>21</v>
      </c>
      <c r="V423" t="n">
        <v>30</v>
      </c>
      <c r="W423" t="n">
        <v>1</v>
      </c>
      <c r="X423" t="n">
        <v>183.1501831501832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3286</v>
      </c>
      <c r="AG423" t="n">
        <v>1</v>
      </c>
      <c r="AH423" t="inlineStr">
        <is>
          <t>PT. BERSAMA DISTRIVERSA INDONESIA (DC CIPUTAT)</t>
        </is>
      </c>
      <c r="AI423" t="n">
        <v>21</v>
      </c>
      <c r="AJ423" t="inlineStr">
        <is>
          <t>BATH &amp; BODY WORKS</t>
        </is>
      </c>
      <c r="AK423" t="n">
        <v>21</v>
      </c>
      <c r="AL423" t="inlineStr">
        <is>
          <t>Miss Glam Damar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BATISTE</t>
        </is>
      </c>
      <c r="B424" s="2">
        <f>"5010724527481"</f>
        <v/>
      </c>
      <c r="C424" t="inlineStr">
        <is>
          <t>BATISTE Dry Shampoo Clean &amp; Classic Original 120gr</t>
        </is>
      </c>
      <c r="D424" t="inlineStr">
        <is>
          <t>Miss Glam Damar</t>
        </is>
      </c>
      <c r="E424" t="n">
        <v>5</v>
      </c>
      <c r="F424" t="n">
        <v>0.0182</v>
      </c>
      <c r="G424" t="n">
        <v>0.91</v>
      </c>
      <c r="H424" t="n">
        <v>4</v>
      </c>
      <c r="I424" t="n">
        <v>7</v>
      </c>
      <c r="J424" t="n">
        <v>3</v>
      </c>
      <c r="K424" t="n">
        <v>0</v>
      </c>
      <c r="L424" t="n">
        <v>84057</v>
      </c>
      <c r="M424" t="n">
        <v>104500</v>
      </c>
      <c r="N424" t="n">
        <v>91</v>
      </c>
      <c r="O424" t="n">
        <v>0.91</v>
      </c>
      <c r="P424" t="n">
        <v>1</v>
      </c>
      <c r="Q424" t="n">
        <v>0.14</v>
      </c>
      <c r="R424" t="n">
        <v>3</v>
      </c>
      <c r="S424" t="n">
        <v>1901.9</v>
      </c>
      <c r="T424" t="n">
        <v>7</v>
      </c>
      <c r="U424" t="n">
        <v>8</v>
      </c>
      <c r="V424" t="n">
        <v>30</v>
      </c>
      <c r="W424" t="n">
        <v>1</v>
      </c>
      <c r="X424" t="n">
        <v>274.7252747252747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1287</v>
      </c>
      <c r="AG424" t="n">
        <v>3449</v>
      </c>
      <c r="AH424" t="inlineStr">
        <is>
          <t>CV. PRIMA PERKASA SEJAHTERA - PPN (PDG)</t>
        </is>
      </c>
      <c r="AI424" t="n">
        <v>981</v>
      </c>
      <c r="AJ424" t="inlineStr">
        <is>
          <t>BATISTE</t>
        </is>
      </c>
      <c r="AK424" t="n">
        <v>21</v>
      </c>
      <c r="AL424" t="inlineStr">
        <is>
          <t>Miss Glam Damar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BATISTE</t>
        </is>
      </c>
      <c r="B425" s="2">
        <f>"5010724527375"</f>
        <v/>
      </c>
      <c r="C425" t="inlineStr">
        <is>
          <t>BATISTE Dry Shampoo Floral &amp; Flirty Blush 200ml</t>
        </is>
      </c>
      <c r="D425" t="inlineStr">
        <is>
          <t>Miss Glam Damar</t>
        </is>
      </c>
      <c r="E425" t="n">
        <v>1</v>
      </c>
      <c r="F425" t="n">
        <v>0.07000000000000001</v>
      </c>
      <c r="G425" t="n">
        <v>1</v>
      </c>
      <c r="H425" t="n">
        <v>4</v>
      </c>
      <c r="I425" t="n">
        <v>7</v>
      </c>
      <c r="J425" t="n">
        <v>3</v>
      </c>
      <c r="K425" t="n">
        <v>0</v>
      </c>
      <c r="L425" t="n">
        <v>84057</v>
      </c>
      <c r="M425" t="n">
        <v>105500</v>
      </c>
      <c r="N425" t="n">
        <v>91</v>
      </c>
      <c r="O425" t="n">
        <v>0.91</v>
      </c>
      <c r="P425" t="n">
        <v>0</v>
      </c>
      <c r="Q425" t="n">
        <v>0.07000000000000001</v>
      </c>
      <c r="R425" t="n">
        <v>1</v>
      </c>
      <c r="S425" t="n">
        <v>7385.000000000001</v>
      </c>
      <c r="T425" t="n">
        <v>7</v>
      </c>
      <c r="U425" t="n">
        <v>8</v>
      </c>
      <c r="V425" t="n">
        <v>30</v>
      </c>
      <c r="W425" t="n">
        <v>3</v>
      </c>
      <c r="X425" t="n">
        <v>14.28571428571428</v>
      </c>
      <c r="Y425" t="n">
        <v>1</v>
      </c>
      <c r="Z425" t="n">
        <v>2</v>
      </c>
      <c r="AA425" t="n">
        <v>0</v>
      </c>
      <c r="AB425" t="n">
        <v>2</v>
      </c>
      <c r="AC425" t="n">
        <v>3</v>
      </c>
      <c r="AD425" t="n">
        <v>0</v>
      </c>
      <c r="AE425" t="n">
        <v>252171</v>
      </c>
      <c r="AF425" t="n">
        <v>1287</v>
      </c>
      <c r="AG425" t="n">
        <v>3449</v>
      </c>
      <c r="AH425" t="inlineStr">
        <is>
          <t>CV. PRIMA PERKASA SEJAHTERA - PPN (PDG)</t>
        </is>
      </c>
      <c r="AI425" t="n">
        <v>981</v>
      </c>
      <c r="AJ425" t="inlineStr">
        <is>
          <t>BATISTE</t>
        </is>
      </c>
      <c r="AK425" t="n">
        <v>21</v>
      </c>
      <c r="AL425" t="inlineStr">
        <is>
          <t>Miss Glam Damar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BDL</t>
        </is>
      </c>
      <c r="B426" s="2">
        <f>"8992803993097"</f>
        <v/>
      </c>
      <c r="C426" t="inlineStr">
        <is>
          <t>BDL Brightening Facial Wash Papaya Extract 100gr</t>
        </is>
      </c>
      <c r="D426" t="inlineStr">
        <is>
          <t>Miss Glam Damar</t>
        </is>
      </c>
      <c r="E426" t="n">
        <v>0</v>
      </c>
      <c r="F426" t="n">
        <v>0.03</v>
      </c>
      <c r="G426" t="n">
        <v>1</v>
      </c>
      <c r="H426" t="n">
        <v>1</v>
      </c>
      <c r="I426" t="n">
        <v>7</v>
      </c>
      <c r="J426" t="n">
        <v>3</v>
      </c>
      <c r="K426" t="n">
        <v>0</v>
      </c>
      <c r="L426" t="n">
        <v>16400</v>
      </c>
      <c r="M426" t="n">
        <v>20000</v>
      </c>
      <c r="N426" t="n">
        <v>91</v>
      </c>
      <c r="O426" t="n">
        <v>0.91</v>
      </c>
      <c r="P426" t="n">
        <v>0</v>
      </c>
      <c r="Q426" t="n">
        <v>0.03</v>
      </c>
      <c r="R426" t="n">
        <v>1</v>
      </c>
      <c r="S426" t="n">
        <v>600</v>
      </c>
      <c r="T426" t="n">
        <v>7</v>
      </c>
      <c r="U426" t="n">
        <v>8</v>
      </c>
      <c r="V426" t="n">
        <v>30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n">
        <v>0</v>
      </c>
      <c r="AC426" t="n">
        <v>0</v>
      </c>
      <c r="AD426" t="n">
        <v>16400</v>
      </c>
      <c r="AE426" t="n">
        <v>0</v>
      </c>
      <c r="AF426" t="n">
        <v>11127</v>
      </c>
      <c r="AG426" t="n">
        <v>54</v>
      </c>
      <c r="AH426" t="inlineStr">
        <is>
          <t>PT. MIRANTI ADILLHA - PPN (PDG)</t>
        </is>
      </c>
      <c r="AI426" t="n">
        <v>754</v>
      </c>
      <c r="AJ426" t="inlineStr">
        <is>
          <t>BDL</t>
        </is>
      </c>
      <c r="AK426" t="n">
        <v>21</v>
      </c>
      <c r="AL426" t="inlineStr">
        <is>
          <t>Miss Glam Damar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BDL</t>
        </is>
      </c>
      <c r="B427" s="2">
        <f>"101001112516"</f>
        <v/>
      </c>
      <c r="C427" t="inlineStr">
        <is>
          <t>BDL Facial Wash Papaya 120gr</t>
        </is>
      </c>
      <c r="D427" t="inlineStr">
        <is>
          <t>Miss Glam Damar</t>
        </is>
      </c>
      <c r="E427" t="n">
        <v>8</v>
      </c>
      <c r="F427" t="n">
        <v>0.2821</v>
      </c>
      <c r="G427" t="n">
        <v>1.82</v>
      </c>
      <c r="H427" t="n">
        <v>1</v>
      </c>
      <c r="I427" t="n">
        <v>7</v>
      </c>
      <c r="J427" t="n">
        <v>1</v>
      </c>
      <c r="K427" t="n">
        <v>0</v>
      </c>
      <c r="L427" t="n">
        <v>28322</v>
      </c>
      <c r="M427" t="n">
        <v>34000</v>
      </c>
      <c r="N427" t="n">
        <v>91</v>
      </c>
      <c r="O427" t="n">
        <v>0.91</v>
      </c>
      <c r="P427" t="n">
        <v>1</v>
      </c>
      <c r="Q427" t="n">
        <v>0.12</v>
      </c>
      <c r="R427" t="n">
        <v>1</v>
      </c>
      <c r="S427" t="n">
        <v>9591.400000000001</v>
      </c>
      <c r="T427" t="n">
        <v>13</v>
      </c>
      <c r="U427" t="n">
        <v>14</v>
      </c>
      <c r="V427" t="n">
        <v>30</v>
      </c>
      <c r="W427" t="n">
        <v>9</v>
      </c>
      <c r="X427" t="n">
        <v>28.35873803615739</v>
      </c>
      <c r="Y427" t="n">
        <v>1</v>
      </c>
      <c r="Z427" t="n">
        <v>1</v>
      </c>
      <c r="AA427" t="n">
        <v>0</v>
      </c>
      <c r="AB427" t="n">
        <v>1</v>
      </c>
      <c r="AC427" t="n">
        <v>1</v>
      </c>
      <c r="AD427" t="n">
        <v>0</v>
      </c>
      <c r="AE427" t="n">
        <v>28322</v>
      </c>
      <c r="AF427" t="n">
        <v>11127</v>
      </c>
      <c r="AG427" t="n">
        <v>54</v>
      </c>
      <c r="AH427" t="inlineStr">
        <is>
          <t>PT. MIRANTI ADILLHA - PPN (PDG)</t>
        </is>
      </c>
      <c r="AI427" t="n">
        <v>754</v>
      </c>
      <c r="AJ427" t="inlineStr">
        <is>
          <t>BDL</t>
        </is>
      </c>
      <c r="AK427" t="n">
        <v>21</v>
      </c>
      <c r="AL427" t="inlineStr">
        <is>
          <t>Miss Glam Damar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BDL</t>
        </is>
      </c>
      <c r="B428" s="2">
        <f>"8992803661644"</f>
        <v/>
      </c>
      <c r="C428" t="inlineStr">
        <is>
          <t>BDL Papaya Extract Brightening Soap 128gr</t>
        </is>
      </c>
      <c r="D428" t="inlineStr">
        <is>
          <t>Miss Glam Damar</t>
        </is>
      </c>
      <c r="E428" t="n">
        <v>11</v>
      </c>
      <c r="F428" t="n">
        <v>0.7280000000000001</v>
      </c>
      <c r="G428" t="n">
        <v>3.64</v>
      </c>
      <c r="H428" t="n">
        <v>1</v>
      </c>
      <c r="I428" t="n">
        <v>7</v>
      </c>
      <c r="J428" t="n">
        <v>3</v>
      </c>
      <c r="K428" t="n">
        <v>0</v>
      </c>
      <c r="L428" t="n">
        <v>11383</v>
      </c>
      <c r="M428" t="n">
        <v>13500</v>
      </c>
      <c r="N428" t="n">
        <v>91</v>
      </c>
      <c r="O428" t="n">
        <v>0.91</v>
      </c>
      <c r="P428" t="n">
        <v>1</v>
      </c>
      <c r="Q428" t="n">
        <v>0.46</v>
      </c>
      <c r="R428" t="n">
        <v>2</v>
      </c>
      <c r="S428" t="n">
        <v>9828.000000000002</v>
      </c>
      <c r="T428" t="n">
        <v>25</v>
      </c>
      <c r="U428" t="n">
        <v>26</v>
      </c>
      <c r="V428" t="n">
        <v>30</v>
      </c>
      <c r="W428" t="n">
        <v>22</v>
      </c>
      <c r="X428" t="n">
        <v>15.10989010989011</v>
      </c>
      <c r="Y428" t="n">
        <v>1</v>
      </c>
      <c r="Z428" t="n">
        <v>11</v>
      </c>
      <c r="AA428" t="n">
        <v>0</v>
      </c>
      <c r="AB428" t="n">
        <v>11</v>
      </c>
      <c r="AC428" t="n">
        <v>11</v>
      </c>
      <c r="AD428" t="n">
        <v>0</v>
      </c>
      <c r="AE428" t="n">
        <v>125213</v>
      </c>
      <c r="AF428" t="n">
        <v>11127</v>
      </c>
      <c r="AG428" t="n">
        <v>54</v>
      </c>
      <c r="AH428" t="inlineStr">
        <is>
          <t>PT. MIRANTI ADILLHA - PPN (PDG)</t>
        </is>
      </c>
      <c r="AI428" t="n">
        <v>754</v>
      </c>
      <c r="AJ428" t="inlineStr">
        <is>
          <t>BDL</t>
        </is>
      </c>
      <c r="AK428" t="n">
        <v>21</v>
      </c>
      <c r="AL428" t="inlineStr">
        <is>
          <t>Miss Glam Damar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BDL</t>
        </is>
      </c>
      <c r="B429" s="2">
        <f>"8992803662771"</f>
        <v/>
      </c>
      <c r="C429" t="inlineStr">
        <is>
          <t>BDL Papaya Extract Brightening Soap 60gr</t>
        </is>
      </c>
      <c r="D429" t="inlineStr">
        <is>
          <t>Miss Glam Damar</t>
        </is>
      </c>
      <c r="E429" t="n">
        <v>14</v>
      </c>
      <c r="F429" t="n">
        <v>1.3377</v>
      </c>
      <c r="G429" t="n">
        <v>4.55</v>
      </c>
      <c r="H429" t="n">
        <v>1</v>
      </c>
      <c r="I429" t="n">
        <v>7</v>
      </c>
      <c r="J429" t="n">
        <v>3</v>
      </c>
      <c r="K429" t="n">
        <v>0</v>
      </c>
      <c r="L429" t="n">
        <v>6122</v>
      </c>
      <c r="M429" t="n">
        <v>7500</v>
      </c>
      <c r="N429" t="n">
        <v>91</v>
      </c>
      <c r="O429" t="n">
        <v>0.91</v>
      </c>
      <c r="P429" t="n">
        <v>1</v>
      </c>
      <c r="Q429" t="n">
        <v>0.34</v>
      </c>
      <c r="R429" t="n">
        <v>4</v>
      </c>
      <c r="S429" t="n">
        <v>10032.75</v>
      </c>
      <c r="T429" t="n">
        <v>31</v>
      </c>
      <c r="U429" t="n">
        <v>33</v>
      </c>
      <c r="V429" t="n">
        <v>30</v>
      </c>
      <c r="W429" t="n">
        <v>41</v>
      </c>
      <c r="X429" t="n">
        <v>10.46572475143904</v>
      </c>
      <c r="Y429" t="n">
        <v>1</v>
      </c>
      <c r="Z429" t="n">
        <v>27</v>
      </c>
      <c r="AA429" t="n">
        <v>0</v>
      </c>
      <c r="AB429" t="n">
        <v>27</v>
      </c>
      <c r="AC429" t="n">
        <v>27</v>
      </c>
      <c r="AD429" t="n">
        <v>0</v>
      </c>
      <c r="AE429" t="n">
        <v>165294</v>
      </c>
      <c r="AF429" t="n">
        <v>11127</v>
      </c>
      <c r="AG429" t="n">
        <v>54</v>
      </c>
      <c r="AH429" t="inlineStr">
        <is>
          <t>PT. MIRANTI ADILLHA - PPN (PDG)</t>
        </is>
      </c>
      <c r="AI429" t="n">
        <v>754</v>
      </c>
      <c r="AJ429" t="inlineStr">
        <is>
          <t>BDL</t>
        </is>
      </c>
      <c r="AK429" t="n">
        <v>21</v>
      </c>
      <c r="AL429" t="inlineStr">
        <is>
          <t>Miss Glam Damar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BDL</t>
        </is>
      </c>
      <c r="B430" s="2">
        <f>"8992803661682"</f>
        <v/>
      </c>
      <c r="C430" t="inlineStr">
        <is>
          <t>BDL Papaya Extract Brightening Transparent Soap 90gr</t>
        </is>
      </c>
      <c r="D430" t="inlineStr">
        <is>
          <t>Miss Glam Damar</t>
        </is>
      </c>
      <c r="E430" t="n">
        <v>3</v>
      </c>
      <c r="F430" t="n">
        <v>0.4277</v>
      </c>
      <c r="G430" t="n">
        <v>2.73</v>
      </c>
      <c r="H430" t="n">
        <v>1</v>
      </c>
      <c r="I430" t="n">
        <v>7</v>
      </c>
      <c r="J430" t="n">
        <v>3</v>
      </c>
      <c r="K430" t="n">
        <v>0</v>
      </c>
      <c r="L430" t="n">
        <v>7659</v>
      </c>
      <c r="M430" t="n">
        <v>9500</v>
      </c>
      <c r="N430" t="n">
        <v>91</v>
      </c>
      <c r="O430" t="n">
        <v>0.91</v>
      </c>
      <c r="P430" t="n">
        <v>1</v>
      </c>
      <c r="Q430" t="n">
        <v>0.2</v>
      </c>
      <c r="R430" t="n">
        <v>1</v>
      </c>
      <c r="S430" t="n">
        <v>4063.15</v>
      </c>
      <c r="T430" t="n">
        <v>19</v>
      </c>
      <c r="U430" t="n">
        <v>20</v>
      </c>
      <c r="V430" t="n">
        <v>30</v>
      </c>
      <c r="W430" t="n">
        <v>13</v>
      </c>
      <c r="X430" t="n">
        <v>7.01426233341127</v>
      </c>
      <c r="Y430" t="n">
        <v>1</v>
      </c>
      <c r="Z430" t="n">
        <v>10</v>
      </c>
      <c r="AA430" t="n">
        <v>0</v>
      </c>
      <c r="AB430" t="n">
        <v>10</v>
      </c>
      <c r="AC430" t="n">
        <v>10</v>
      </c>
      <c r="AD430" t="n">
        <v>0</v>
      </c>
      <c r="AE430" t="n">
        <v>76590</v>
      </c>
      <c r="AF430" t="n">
        <v>11127</v>
      </c>
      <c r="AG430" t="n">
        <v>54</v>
      </c>
      <c r="AH430" t="inlineStr">
        <is>
          <t>PT. MIRANTI ADILLHA - PPN (PDG)</t>
        </is>
      </c>
      <c r="AI430" t="n">
        <v>754</v>
      </c>
      <c r="AJ430" t="inlineStr">
        <is>
          <t>BDL</t>
        </is>
      </c>
      <c r="AK430" t="n">
        <v>21</v>
      </c>
      <c r="AL430" t="inlineStr">
        <is>
          <t>Miss Glam Damar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BEAUTETOX</t>
        </is>
      </c>
      <c r="B431" s="2">
        <f>"8997235380149"</f>
        <v/>
      </c>
      <c r="C431" t="inlineStr">
        <is>
          <t>BEAUTETOX Chocowhite Body Exfoliator Scrub 120g</t>
        </is>
      </c>
      <c r="D431" t="inlineStr">
        <is>
          <t>Miss Glam Damar</t>
        </is>
      </c>
      <c r="E431" t="n">
        <v>1</v>
      </c>
      <c r="F431" t="n">
        <v>0.06370000000000001</v>
      </c>
      <c r="G431" t="n">
        <v>1.82</v>
      </c>
      <c r="H431" t="n">
        <v>4</v>
      </c>
      <c r="I431" t="n">
        <v>21</v>
      </c>
      <c r="J431" t="n">
        <v>3</v>
      </c>
      <c r="K431" t="n">
        <v>0</v>
      </c>
      <c r="L431" t="n">
        <v>40000</v>
      </c>
      <c r="M431" t="n">
        <v>50000</v>
      </c>
      <c r="N431" t="n">
        <v>91</v>
      </c>
      <c r="O431" t="n">
        <v>0.91</v>
      </c>
      <c r="P431" t="n">
        <v>1</v>
      </c>
      <c r="Q431" t="n">
        <v>0.03</v>
      </c>
      <c r="R431" t="n">
        <v>1</v>
      </c>
      <c r="S431" t="n">
        <v>3185</v>
      </c>
      <c r="T431" t="n">
        <v>38</v>
      </c>
      <c r="U431" t="n">
        <v>39</v>
      </c>
      <c r="V431" t="n">
        <v>30</v>
      </c>
      <c r="W431" t="n">
        <v>2</v>
      </c>
      <c r="X431" t="n">
        <v>15.69858712715855</v>
      </c>
      <c r="Y431" t="n">
        <v>1</v>
      </c>
      <c r="Z431" t="n">
        <v>1</v>
      </c>
      <c r="AA431" t="n">
        <v>1</v>
      </c>
      <c r="AB431" t="n">
        <v>0</v>
      </c>
      <c r="AC431" t="n">
        <v>0</v>
      </c>
      <c r="AD431" t="n">
        <v>40000</v>
      </c>
      <c r="AE431" t="n">
        <v>0</v>
      </c>
      <c r="AF431" t="n">
        <v>3350</v>
      </c>
      <c r="AG431" t="n">
        <v>1</v>
      </c>
      <c r="AH431" t="inlineStr">
        <is>
          <t>PT. BERSAMA DISTRIVERSA INDONESIA (DC CIPUTAT)</t>
        </is>
      </c>
      <c r="AI431" t="n">
        <v>76</v>
      </c>
      <c r="AJ431" t="inlineStr">
        <is>
          <t>BEAUTETOX</t>
        </is>
      </c>
      <c r="AK431" t="n">
        <v>21</v>
      </c>
      <c r="AL431" t="inlineStr">
        <is>
          <t>Miss Glam Damar</t>
        </is>
      </c>
      <c r="AM431" t="n">
        <v>3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BEAUTETOX</t>
        </is>
      </c>
      <c r="B432" s="2">
        <f>"8997235380095"</f>
        <v/>
      </c>
      <c r="C432" t="inlineStr">
        <is>
          <t>BEAUTETOX Whitemilky Gluta Collagen Soap 50gr</t>
        </is>
      </c>
      <c r="D432" t="inlineStr">
        <is>
          <t>Miss Glam Damar</t>
        </is>
      </c>
      <c r="E432" t="n">
        <v>0</v>
      </c>
      <c r="F432" t="n">
        <v>0.4459</v>
      </c>
      <c r="G432" t="n">
        <v>2.73</v>
      </c>
      <c r="H432" t="n">
        <v>4</v>
      </c>
      <c r="I432" t="n">
        <v>21</v>
      </c>
      <c r="J432" t="n">
        <v>3</v>
      </c>
      <c r="K432" t="n">
        <v>0</v>
      </c>
      <c r="L432" t="n">
        <v>29000</v>
      </c>
      <c r="M432" t="n">
        <v>50000</v>
      </c>
      <c r="N432" t="n">
        <v>91</v>
      </c>
      <c r="O432" t="n">
        <v>0.91</v>
      </c>
      <c r="P432" t="n">
        <v>1</v>
      </c>
      <c r="Q432" t="n">
        <v>0.07000000000000001</v>
      </c>
      <c r="R432" t="n">
        <v>1</v>
      </c>
      <c r="S432" t="n">
        <v>22295</v>
      </c>
      <c r="T432" t="n">
        <v>56</v>
      </c>
      <c r="U432" t="n">
        <v>58</v>
      </c>
      <c r="V432" t="n">
        <v>30</v>
      </c>
      <c r="W432" t="n">
        <v>14</v>
      </c>
      <c r="X432" t="n">
        <v>0</v>
      </c>
      <c r="Y432" t="n">
        <v>1</v>
      </c>
      <c r="Z432" t="n">
        <v>14</v>
      </c>
      <c r="AA432" t="n">
        <v>10</v>
      </c>
      <c r="AB432" t="n">
        <v>4</v>
      </c>
      <c r="AC432" t="n">
        <v>4</v>
      </c>
      <c r="AD432" t="n">
        <v>290000</v>
      </c>
      <c r="AE432" t="n">
        <v>116000</v>
      </c>
      <c r="AF432" t="n">
        <v>3350</v>
      </c>
      <c r="AG432" t="n">
        <v>1</v>
      </c>
      <c r="AH432" t="inlineStr">
        <is>
          <t>PT. BERSAMA DISTRIVERSA INDONESIA (DC CIPUTAT)</t>
        </is>
      </c>
      <c r="AI432" t="n">
        <v>76</v>
      </c>
      <c r="AJ432" t="inlineStr">
        <is>
          <t>BEAUTETOX</t>
        </is>
      </c>
      <c r="AK432" t="n">
        <v>21</v>
      </c>
      <c r="AL432" t="inlineStr">
        <is>
          <t>Miss Glam Damar</t>
        </is>
      </c>
      <c r="AM432" t="n">
        <v>3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BEAUTY OF JOSEON</t>
        </is>
      </c>
      <c r="B433" s="2">
        <f>"8809657114960"</f>
        <v/>
      </c>
      <c r="C433" t="inlineStr">
        <is>
          <t>BEAUTY OF JOSEON Glow Serum Propolis 30ml</t>
        </is>
      </c>
      <c r="D433" t="inlineStr">
        <is>
          <t>Miss Glam Damar</t>
        </is>
      </c>
      <c r="E433" t="n">
        <v>0</v>
      </c>
      <c r="F433" t="n">
        <v>0.0182</v>
      </c>
      <c r="G433" t="n">
        <v>0</v>
      </c>
      <c r="H433" t="n">
        <v>4</v>
      </c>
      <c r="I433" t="n">
        <v>21</v>
      </c>
      <c r="J433" t="n">
        <v>3</v>
      </c>
      <c r="K433" t="n">
        <v>0</v>
      </c>
      <c r="L433" t="n">
        <v>166759</v>
      </c>
      <c r="M433" t="n">
        <v>225000</v>
      </c>
      <c r="N433" t="n">
        <v>91</v>
      </c>
      <c r="O433" t="n">
        <v>0.91</v>
      </c>
      <c r="P433" t="n">
        <v>1</v>
      </c>
      <c r="Q433" t="n">
        <v>0.02</v>
      </c>
      <c r="R433" t="n">
        <v>1</v>
      </c>
      <c r="S433" t="n">
        <v>4095</v>
      </c>
      <c r="T433" t="n">
        <v>0</v>
      </c>
      <c r="U433" t="n">
        <v>1</v>
      </c>
      <c r="V433" t="n">
        <v>30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n">
        <v>0</v>
      </c>
      <c r="AC433" t="n">
        <v>0</v>
      </c>
      <c r="AD433" t="n">
        <v>166759</v>
      </c>
      <c r="AE433" t="n">
        <v>0</v>
      </c>
      <c r="AF433" t="n">
        <v>3416</v>
      </c>
      <c r="AG433" t="n">
        <v>1</v>
      </c>
      <c r="AH433" t="inlineStr">
        <is>
          <t>PT. BERSAMA DISTRIVERSA INDONESIA (DC CIPUTAT)</t>
        </is>
      </c>
      <c r="AI433" t="n">
        <v>1136</v>
      </c>
      <c r="AJ433" t="inlineStr">
        <is>
          <t>BEAUTY OF JOSEON</t>
        </is>
      </c>
      <c r="AK433" t="n">
        <v>21</v>
      </c>
      <c r="AL433" t="inlineStr">
        <is>
          <t>Miss Glam Damar</t>
        </is>
      </c>
      <c r="AM433" t="n">
        <v>3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BEAUTYINU</t>
        </is>
      </c>
      <c r="B434" s="2">
        <f>"30200191545"</f>
        <v/>
      </c>
      <c r="C434" t="inlineStr">
        <is>
          <t>BEAUTYINU Brightening Booster Gold Powder Serbuk Pemutih Badan &amp; Wajah 25gr</t>
        </is>
      </c>
      <c r="D434" t="inlineStr">
        <is>
          <t>Miss Glam Damar</t>
        </is>
      </c>
      <c r="E434" t="n">
        <v>2</v>
      </c>
      <c r="F434" t="n">
        <v>0.06370000000000001</v>
      </c>
      <c r="G434" t="n">
        <v>0.91</v>
      </c>
      <c r="H434" t="n">
        <v>4</v>
      </c>
      <c r="I434" t="n">
        <v>21</v>
      </c>
      <c r="J434" t="n">
        <v>1</v>
      </c>
      <c r="K434" t="n">
        <v>0</v>
      </c>
      <c r="L434" t="n">
        <v>28291</v>
      </c>
      <c r="M434" t="n">
        <v>38000</v>
      </c>
      <c r="N434" t="n">
        <v>91</v>
      </c>
      <c r="O434" t="n">
        <v>0.91</v>
      </c>
      <c r="P434" t="n">
        <v>1</v>
      </c>
      <c r="Q434" t="n">
        <v>0.25</v>
      </c>
      <c r="R434" t="n">
        <v>2</v>
      </c>
      <c r="S434" t="n">
        <v>2420.6</v>
      </c>
      <c r="T434" t="n">
        <v>19</v>
      </c>
      <c r="U434" t="n">
        <v>20</v>
      </c>
      <c r="V434" t="n">
        <v>30</v>
      </c>
      <c r="W434" t="n">
        <v>2</v>
      </c>
      <c r="X434" t="n">
        <v>31.39717425431711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3449</v>
      </c>
      <c r="AG434" t="n">
        <v>1</v>
      </c>
      <c r="AH434" t="inlineStr">
        <is>
          <t>PT. BERSAMA DISTRIVERSA INDONESIA (DC CIPUTAT)</t>
        </is>
      </c>
      <c r="AI434" t="n">
        <v>1450</v>
      </c>
      <c r="AJ434" t="inlineStr">
        <is>
          <t>BEAUTYINU</t>
        </is>
      </c>
      <c r="AK434" t="n">
        <v>21</v>
      </c>
      <c r="AL434" t="inlineStr">
        <is>
          <t>Miss Glam Damar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BEAUTYINU</t>
        </is>
      </c>
      <c r="B435" s="2">
        <f>"30100129707"</f>
        <v/>
      </c>
      <c r="C435" t="inlineStr">
        <is>
          <t>BEAUTYINU Kefir Collagen Soap Bar 60gr</t>
        </is>
      </c>
      <c r="D435" t="inlineStr">
        <is>
          <t>Miss Glam Damar</t>
        </is>
      </c>
      <c r="E435" t="n">
        <v>17</v>
      </c>
      <c r="F435" t="n">
        <v>0.04550000000000001</v>
      </c>
      <c r="G435" t="n">
        <v>0.91</v>
      </c>
      <c r="H435" t="n">
        <v>4</v>
      </c>
      <c r="I435" t="n">
        <v>21</v>
      </c>
      <c r="J435" t="n">
        <v>3</v>
      </c>
      <c r="K435" t="n">
        <v>0</v>
      </c>
      <c r="L435" t="n">
        <v>21475</v>
      </c>
      <c r="M435" t="n">
        <v>30000</v>
      </c>
      <c r="N435" t="n">
        <v>91</v>
      </c>
      <c r="O435" t="n">
        <v>0.91</v>
      </c>
      <c r="P435" t="n">
        <v>1</v>
      </c>
      <c r="Q435" t="n">
        <v>0.03</v>
      </c>
      <c r="R435" t="n">
        <v>1</v>
      </c>
      <c r="S435" t="n">
        <v>1365</v>
      </c>
      <c r="T435" t="n">
        <v>19</v>
      </c>
      <c r="U435" t="n">
        <v>20</v>
      </c>
      <c r="V435" t="n">
        <v>30</v>
      </c>
      <c r="W435" t="n">
        <v>2</v>
      </c>
      <c r="X435" t="n">
        <v>373.6263736263736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3449</v>
      </c>
      <c r="AG435" t="n">
        <v>1</v>
      </c>
      <c r="AH435" t="inlineStr">
        <is>
          <t>PT. BERSAMA DISTRIVERSA INDONESIA (DC CIPUTAT)</t>
        </is>
      </c>
      <c r="AI435" t="n">
        <v>1450</v>
      </c>
      <c r="AJ435" t="inlineStr">
        <is>
          <t>BEAUTYINU</t>
        </is>
      </c>
      <c r="AK435" t="n">
        <v>21</v>
      </c>
      <c r="AL435" t="inlineStr">
        <is>
          <t>Miss Glam Damar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BEBLISS</t>
        </is>
      </c>
      <c r="B436" s="2">
        <f>"30400484606"</f>
        <v/>
      </c>
      <c r="C436" t="inlineStr">
        <is>
          <t>BEBLISS Body Mist Parfume Berry Bunch 30ml</t>
        </is>
      </c>
      <c r="D436" t="inlineStr">
        <is>
          <t>Miss Glam Damar</t>
        </is>
      </c>
      <c r="E436" t="n">
        <v>5</v>
      </c>
      <c r="F436" t="n">
        <v>0.4732</v>
      </c>
      <c r="G436" t="n">
        <v>2.73</v>
      </c>
      <c r="H436" t="n">
        <v>4</v>
      </c>
      <c r="I436" t="n">
        <v>21</v>
      </c>
      <c r="J436" t="n">
        <v>1</v>
      </c>
      <c r="K436" t="n">
        <v>0</v>
      </c>
      <c r="L436" t="n">
        <v>6364</v>
      </c>
      <c r="M436" t="n">
        <v>10000</v>
      </c>
      <c r="N436" t="n">
        <v>91</v>
      </c>
      <c r="O436" t="n">
        <v>0.91</v>
      </c>
      <c r="P436" t="n">
        <v>1</v>
      </c>
      <c r="Q436" t="n">
        <v>0.2</v>
      </c>
      <c r="R436" t="n">
        <v>2</v>
      </c>
      <c r="S436" t="n">
        <v>4732</v>
      </c>
      <c r="T436" t="n">
        <v>56</v>
      </c>
      <c r="U436" t="n">
        <v>58</v>
      </c>
      <c r="V436" t="n">
        <v>30</v>
      </c>
      <c r="W436" t="n">
        <v>15</v>
      </c>
      <c r="X436" t="n">
        <v>10.56635672020287</v>
      </c>
      <c r="Y436" t="n">
        <v>1</v>
      </c>
      <c r="Z436" t="n">
        <v>10</v>
      </c>
      <c r="AA436" t="n">
        <v>5</v>
      </c>
      <c r="AB436" t="n">
        <v>5</v>
      </c>
      <c r="AC436" t="n">
        <v>5</v>
      </c>
      <c r="AD436" t="n">
        <v>31820</v>
      </c>
      <c r="AE436" t="n">
        <v>31820</v>
      </c>
      <c r="AF436" t="n">
        <v>3482</v>
      </c>
      <c r="AG436" t="n">
        <v>1</v>
      </c>
      <c r="AH436" t="inlineStr">
        <is>
          <t>PT. BERSAMA DISTRIVERSA INDONESIA (DC CIPUTAT)</t>
        </is>
      </c>
      <c r="AI436" t="n">
        <v>2258</v>
      </c>
      <c r="AJ436" t="inlineStr">
        <is>
          <t>BEBLISS</t>
        </is>
      </c>
      <c r="AK436" t="n">
        <v>21</v>
      </c>
      <c r="AL436" t="inlineStr">
        <is>
          <t>Miss Glam Damar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BEBLISS</t>
        </is>
      </c>
      <c r="B437" s="2">
        <f>"30400485126"</f>
        <v/>
      </c>
      <c r="C437" t="inlineStr">
        <is>
          <t>BEBLISS Body Mist Parfume Creamy Cake 30ml</t>
        </is>
      </c>
      <c r="D437" t="inlineStr">
        <is>
          <t>Miss Glam Damar</t>
        </is>
      </c>
      <c r="E437" t="n">
        <v>28</v>
      </c>
      <c r="F437" t="n">
        <v>0.6279</v>
      </c>
      <c r="G437" t="n">
        <v>2.73</v>
      </c>
      <c r="H437" t="n">
        <v>4</v>
      </c>
      <c r="I437" t="n">
        <v>21</v>
      </c>
      <c r="J437" t="n">
        <v>1</v>
      </c>
      <c r="K437" t="n">
        <v>0</v>
      </c>
      <c r="L437" t="n">
        <v>6341</v>
      </c>
      <c r="M437" t="n">
        <v>10000</v>
      </c>
      <c r="N437" t="n">
        <v>91</v>
      </c>
      <c r="O437" t="n">
        <v>0.91</v>
      </c>
      <c r="P437" t="n">
        <v>1</v>
      </c>
      <c r="Q437" t="n">
        <v>0.17</v>
      </c>
      <c r="R437" t="n">
        <v>2</v>
      </c>
      <c r="S437" t="n">
        <v>6279</v>
      </c>
      <c r="T437" t="n">
        <v>55</v>
      </c>
      <c r="U437" t="n">
        <v>58</v>
      </c>
      <c r="V437" t="n">
        <v>30</v>
      </c>
      <c r="W437" t="n">
        <v>19</v>
      </c>
      <c r="X437" t="n">
        <v>44.59308807134894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3482</v>
      </c>
      <c r="AG437" t="n">
        <v>1</v>
      </c>
      <c r="AH437" t="inlineStr">
        <is>
          <t>PT. BERSAMA DISTRIVERSA INDONESIA (DC CIPUTAT)</t>
        </is>
      </c>
      <c r="AI437" t="n">
        <v>2258</v>
      </c>
      <c r="AJ437" t="inlineStr">
        <is>
          <t>BEBLISS</t>
        </is>
      </c>
      <c r="AK437" t="n">
        <v>21</v>
      </c>
      <c r="AL437" t="inlineStr">
        <is>
          <t>Miss Glam Damar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BEBLISS</t>
        </is>
      </c>
      <c r="B438" s="2">
        <f>"30400484842"</f>
        <v/>
      </c>
      <c r="C438" t="inlineStr">
        <is>
          <t>BEBLISS Body Mist Parfume Melted Caramel 30ml</t>
        </is>
      </c>
      <c r="D438" t="inlineStr">
        <is>
          <t>Miss Glam Damar</t>
        </is>
      </c>
      <c r="E438" t="n">
        <v>44</v>
      </c>
      <c r="F438" t="n">
        <v>0.2002</v>
      </c>
      <c r="G438" t="n">
        <v>1.82</v>
      </c>
      <c r="H438" t="n">
        <v>4</v>
      </c>
      <c r="I438" t="n">
        <v>21</v>
      </c>
      <c r="J438" t="n">
        <v>1</v>
      </c>
      <c r="K438" t="n">
        <v>0</v>
      </c>
      <c r="L438" t="n">
        <v>6375</v>
      </c>
      <c r="M438" t="n">
        <v>10000</v>
      </c>
      <c r="N438" t="n">
        <v>91</v>
      </c>
      <c r="O438" t="n">
        <v>0.91</v>
      </c>
      <c r="P438" t="n">
        <v>1</v>
      </c>
      <c r="Q438" t="n">
        <v>0.08</v>
      </c>
      <c r="R438" t="n">
        <v>3</v>
      </c>
      <c r="S438" t="n">
        <v>2002</v>
      </c>
      <c r="T438" t="n">
        <v>38</v>
      </c>
      <c r="U438" t="n">
        <v>39</v>
      </c>
      <c r="V438" t="n">
        <v>30</v>
      </c>
      <c r="W438" t="n">
        <v>7</v>
      </c>
      <c r="X438" t="n">
        <v>219.7802197802198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3482</v>
      </c>
      <c r="AG438" t="n">
        <v>1</v>
      </c>
      <c r="AH438" t="inlineStr">
        <is>
          <t>PT. BERSAMA DISTRIVERSA INDONESIA (DC CIPUTAT)</t>
        </is>
      </c>
      <c r="AI438" t="n">
        <v>2258</v>
      </c>
      <c r="AJ438" t="inlineStr">
        <is>
          <t>BEBLISS</t>
        </is>
      </c>
      <c r="AK438" t="n">
        <v>21</v>
      </c>
      <c r="AL438" t="inlineStr">
        <is>
          <t>Miss Glam Damar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BEBLISS</t>
        </is>
      </c>
      <c r="B439" s="2">
        <f>"30400484940"</f>
        <v/>
      </c>
      <c r="C439" t="inlineStr">
        <is>
          <t>BEBLISS Body Mist Parfume Mood Chocolate 30ml</t>
        </is>
      </c>
      <c r="D439" t="inlineStr">
        <is>
          <t>Miss Glam Damar</t>
        </is>
      </c>
      <c r="E439" t="n">
        <v>34</v>
      </c>
      <c r="F439" t="n">
        <v>0.1547</v>
      </c>
      <c r="G439" t="n">
        <v>1.82</v>
      </c>
      <c r="H439" t="n">
        <v>4</v>
      </c>
      <c r="I439" t="n">
        <v>21</v>
      </c>
      <c r="J439" t="n">
        <v>1</v>
      </c>
      <c r="K439" t="n">
        <v>0</v>
      </c>
      <c r="L439" t="n">
        <v>6374</v>
      </c>
      <c r="M439" t="n">
        <v>10000</v>
      </c>
      <c r="N439" t="n">
        <v>91</v>
      </c>
      <c r="O439" t="n">
        <v>0.91</v>
      </c>
      <c r="P439" t="n">
        <v>1</v>
      </c>
      <c r="Q439" t="n">
        <v>0.02</v>
      </c>
      <c r="R439" t="n">
        <v>1</v>
      </c>
      <c r="S439" t="n">
        <v>1547</v>
      </c>
      <c r="T439" t="n">
        <v>38</v>
      </c>
      <c r="U439" t="n">
        <v>39</v>
      </c>
      <c r="V439" t="n">
        <v>30</v>
      </c>
      <c r="W439" t="n">
        <v>5</v>
      </c>
      <c r="X439" t="n">
        <v>219.7802197802198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3482</v>
      </c>
      <c r="AG439" t="n">
        <v>1</v>
      </c>
      <c r="AH439" t="inlineStr">
        <is>
          <t>PT. BERSAMA DISTRIVERSA INDONESIA (DC CIPUTAT)</t>
        </is>
      </c>
      <c r="AI439" t="n">
        <v>2258</v>
      </c>
      <c r="AJ439" t="inlineStr">
        <is>
          <t>BEBLISS</t>
        </is>
      </c>
      <c r="AK439" t="n">
        <v>21</v>
      </c>
      <c r="AL439" t="inlineStr">
        <is>
          <t>Miss Glam Damar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BEBLISS</t>
        </is>
      </c>
      <c r="B440" s="2">
        <f>"30400485028"</f>
        <v/>
      </c>
      <c r="C440" t="inlineStr">
        <is>
          <t>BEBLISS Body Mist Parfume O'Milky Cake 30ml</t>
        </is>
      </c>
      <c r="D440" t="inlineStr">
        <is>
          <t>Miss Glam Damar</t>
        </is>
      </c>
      <c r="E440" t="n">
        <v>38</v>
      </c>
      <c r="F440" t="n">
        <v>0.0273</v>
      </c>
      <c r="G440" t="n">
        <v>1.82</v>
      </c>
      <c r="H440" t="n">
        <v>4</v>
      </c>
      <c r="I440" t="n">
        <v>21</v>
      </c>
      <c r="J440" t="n">
        <v>1</v>
      </c>
      <c r="K440" t="n">
        <v>0</v>
      </c>
      <c r="L440" t="n">
        <v>6385</v>
      </c>
      <c r="M440" t="n">
        <v>10000</v>
      </c>
      <c r="N440" t="n">
        <v>91</v>
      </c>
      <c r="O440" t="n">
        <v>0.91</v>
      </c>
      <c r="P440" t="n">
        <v>1</v>
      </c>
      <c r="Q440" t="n">
        <v>0.02</v>
      </c>
      <c r="R440" t="n">
        <v>1</v>
      </c>
      <c r="S440" t="n">
        <v>273</v>
      </c>
      <c r="T440" t="n">
        <v>39</v>
      </c>
      <c r="U440" t="n">
        <v>40</v>
      </c>
      <c r="V440" t="n">
        <v>30</v>
      </c>
      <c r="W440" t="n">
        <v>1</v>
      </c>
      <c r="X440" t="n">
        <v>1391.941391941392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3482</v>
      </c>
      <c r="AG440" t="n">
        <v>1</v>
      </c>
      <c r="AH440" t="inlineStr">
        <is>
          <t>PT. BERSAMA DISTRIVERSA INDONESIA (DC CIPUTAT)</t>
        </is>
      </c>
      <c r="AI440" t="n">
        <v>2258</v>
      </c>
      <c r="AJ440" t="inlineStr">
        <is>
          <t>BEBLISS</t>
        </is>
      </c>
      <c r="AK440" t="n">
        <v>21</v>
      </c>
      <c r="AL440" t="inlineStr">
        <is>
          <t>Miss Glam Damar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BEBLISS</t>
        </is>
      </c>
      <c r="B441" s="2">
        <f>"30400484705"</f>
        <v/>
      </c>
      <c r="C441" t="inlineStr">
        <is>
          <t>BEBLISS Body Mist Parfume Oh My Baby 30ml</t>
        </is>
      </c>
      <c r="D441" t="inlineStr">
        <is>
          <t>Miss Glam Damar</t>
        </is>
      </c>
      <c r="E441" t="n">
        <v>0</v>
      </c>
      <c r="F441" t="n">
        <v>0.6279</v>
      </c>
      <c r="G441" t="n">
        <v>4.55</v>
      </c>
      <c r="H441" t="n">
        <v>4</v>
      </c>
      <c r="I441" t="n">
        <v>21</v>
      </c>
      <c r="J441" t="n">
        <v>1</v>
      </c>
      <c r="K441" t="n">
        <v>0</v>
      </c>
      <c r="L441" t="n">
        <v>6370</v>
      </c>
      <c r="M441" t="n">
        <v>10000</v>
      </c>
      <c r="N441" t="n">
        <v>91</v>
      </c>
      <c r="O441" t="n">
        <v>0.91</v>
      </c>
      <c r="P441" t="n">
        <v>1</v>
      </c>
      <c r="Q441" t="n">
        <v>0.3</v>
      </c>
      <c r="R441" t="n">
        <v>2</v>
      </c>
      <c r="S441" t="n">
        <v>6279</v>
      </c>
      <c r="T441" t="n">
        <v>94</v>
      </c>
      <c r="U441" t="n">
        <v>97</v>
      </c>
      <c r="V441" t="n">
        <v>30</v>
      </c>
      <c r="W441" t="n">
        <v>19</v>
      </c>
      <c r="X441" t="n">
        <v>0</v>
      </c>
      <c r="Y441" t="n">
        <v>1</v>
      </c>
      <c r="Z441" t="n">
        <v>19</v>
      </c>
      <c r="AA441" t="n">
        <v>14</v>
      </c>
      <c r="AB441" t="n">
        <v>5</v>
      </c>
      <c r="AC441" t="n">
        <v>5</v>
      </c>
      <c r="AD441" t="n">
        <v>89180</v>
      </c>
      <c r="AE441" t="n">
        <v>31850</v>
      </c>
      <c r="AF441" t="n">
        <v>3482</v>
      </c>
      <c r="AG441" t="n">
        <v>1</v>
      </c>
      <c r="AH441" t="inlineStr">
        <is>
          <t>PT. BERSAMA DISTRIVERSA INDONESIA (DC CIPUTAT)</t>
        </is>
      </c>
      <c r="AI441" t="n">
        <v>2258</v>
      </c>
      <c r="AJ441" t="inlineStr">
        <is>
          <t>BEBLISS</t>
        </is>
      </c>
      <c r="AK441" t="n">
        <v>21</v>
      </c>
      <c r="AL441" t="inlineStr">
        <is>
          <t>Miss Glam Damar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BEBLISS</t>
        </is>
      </c>
      <c r="B442" s="2">
        <f>"304002159052"</f>
        <v/>
      </c>
      <c r="C442" t="inlineStr">
        <is>
          <t>BEBLISS Eau De Parfume Butterfly Era Romantic Series 35ml</t>
        </is>
      </c>
      <c r="D442" t="inlineStr">
        <is>
          <t>Miss Glam Damar</t>
        </is>
      </c>
      <c r="E442" t="n">
        <v>39</v>
      </c>
      <c r="F442" t="n">
        <v>0.5824</v>
      </c>
      <c r="G442" t="n">
        <v>2.73</v>
      </c>
      <c r="H442" t="n">
        <v>4</v>
      </c>
      <c r="I442" t="n">
        <v>21</v>
      </c>
      <c r="J442" t="n">
        <v>1</v>
      </c>
      <c r="K442" t="n">
        <v>0</v>
      </c>
      <c r="L442" t="n">
        <v>15449</v>
      </c>
      <c r="M442" t="n">
        <v>25000</v>
      </c>
      <c r="N442" t="n">
        <v>91</v>
      </c>
      <c r="O442" t="n">
        <v>0.91</v>
      </c>
      <c r="P442" t="n">
        <v>1</v>
      </c>
      <c r="Q442" t="n">
        <v>0.8100000000000001</v>
      </c>
      <c r="R442" t="n">
        <v>4</v>
      </c>
      <c r="S442" t="n">
        <v>14560</v>
      </c>
      <c r="T442" t="n">
        <v>56</v>
      </c>
      <c r="U442" t="n">
        <v>59</v>
      </c>
      <c r="V442" t="n">
        <v>30</v>
      </c>
      <c r="W442" t="n">
        <v>18</v>
      </c>
      <c r="X442" t="n">
        <v>66.96428571428571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3482</v>
      </c>
      <c r="AG442" t="n">
        <v>1</v>
      </c>
      <c r="AH442" t="inlineStr">
        <is>
          <t>PT. BERSAMA DISTRIVERSA INDONESIA (DC CIPUTAT)</t>
        </is>
      </c>
      <c r="AI442" t="n">
        <v>2258</v>
      </c>
      <c r="AJ442" t="inlineStr">
        <is>
          <t>BEBLISS</t>
        </is>
      </c>
      <c r="AK442" t="n">
        <v>21</v>
      </c>
      <c r="AL442" t="inlineStr">
        <is>
          <t>Miss Glam Damar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BEBLISS</t>
        </is>
      </c>
      <c r="B443" s="2">
        <f>"30400260510"</f>
        <v/>
      </c>
      <c r="C443" t="inlineStr">
        <is>
          <t>BEBLISS Eau De Parfume Exclusive Fresh Teh Jumbo 50ml</t>
        </is>
      </c>
      <c r="D443" t="inlineStr">
        <is>
          <t>Miss Glam Damar</t>
        </is>
      </c>
      <c r="E443" t="n">
        <v>1</v>
      </c>
      <c r="F443" t="n">
        <v>0.0364</v>
      </c>
      <c r="G443" t="n">
        <v>0.91</v>
      </c>
      <c r="H443" t="n">
        <v>4</v>
      </c>
      <c r="I443" t="n">
        <v>21</v>
      </c>
      <c r="J443" t="n">
        <v>1</v>
      </c>
      <c r="K443" t="n">
        <v>0</v>
      </c>
      <c r="L443" t="n">
        <v>32149</v>
      </c>
      <c r="M443" t="n">
        <v>40000</v>
      </c>
      <c r="N443" t="n">
        <v>91</v>
      </c>
      <c r="O443" t="n">
        <v>0.91</v>
      </c>
      <c r="P443" t="n">
        <v>1</v>
      </c>
      <c r="Q443" t="n">
        <v>0.05</v>
      </c>
      <c r="R443" t="n">
        <v>1</v>
      </c>
      <c r="S443" t="n">
        <v>1456</v>
      </c>
      <c r="T443" t="n">
        <v>19</v>
      </c>
      <c r="U443" t="n">
        <v>20</v>
      </c>
      <c r="V443" t="n">
        <v>30</v>
      </c>
      <c r="W443" t="n">
        <v>2</v>
      </c>
      <c r="X443" t="n">
        <v>27.47252747252747</v>
      </c>
      <c r="Y443" t="n">
        <v>1</v>
      </c>
      <c r="Z443" t="n">
        <v>1</v>
      </c>
      <c r="AA443" t="n">
        <v>0</v>
      </c>
      <c r="AB443" t="n">
        <v>1</v>
      </c>
      <c r="AC443" t="n">
        <v>1</v>
      </c>
      <c r="AD443" t="n">
        <v>0</v>
      </c>
      <c r="AE443" t="n">
        <v>32149</v>
      </c>
      <c r="AF443" t="n">
        <v>3482</v>
      </c>
      <c r="AG443" t="n">
        <v>1</v>
      </c>
      <c r="AH443" t="inlineStr">
        <is>
          <t>PT. BERSAMA DISTRIVERSA INDONESIA (DC CIPUTAT)</t>
        </is>
      </c>
      <c r="AI443" t="n">
        <v>2258</v>
      </c>
      <c r="AJ443" t="inlineStr">
        <is>
          <t>BEBLISS</t>
        </is>
      </c>
      <c r="AK443" t="n">
        <v>21</v>
      </c>
      <c r="AL443" t="inlineStr">
        <is>
          <t>Miss Glam Damar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BEBLISS</t>
        </is>
      </c>
      <c r="B444" s="2">
        <f>"304002159125"</f>
        <v/>
      </c>
      <c r="C444" t="inlineStr">
        <is>
          <t>BEBLISS Eau De Parfume Keep In Touch Era Romantic Series 35ml</t>
        </is>
      </c>
      <c r="D444" t="inlineStr">
        <is>
          <t>Miss Glam Damar</t>
        </is>
      </c>
      <c r="E444" t="n">
        <v>2</v>
      </c>
      <c r="F444" t="n">
        <v>0.2184</v>
      </c>
      <c r="G444" t="n">
        <v>1.82</v>
      </c>
      <c r="H444" t="n">
        <v>4</v>
      </c>
      <c r="I444" t="n">
        <v>21</v>
      </c>
      <c r="J444" t="n">
        <v>1</v>
      </c>
      <c r="K444" t="n">
        <v>0</v>
      </c>
      <c r="L444" t="n">
        <v>15330</v>
      </c>
      <c r="M444" t="n">
        <v>25000</v>
      </c>
      <c r="N444" t="n">
        <v>91</v>
      </c>
      <c r="O444" t="n">
        <v>0.91</v>
      </c>
      <c r="P444" t="n">
        <v>1</v>
      </c>
      <c r="Q444" t="n">
        <v>0.5600000000000001</v>
      </c>
      <c r="R444" t="n">
        <v>3</v>
      </c>
      <c r="S444" t="n">
        <v>5460</v>
      </c>
      <c r="T444" t="n">
        <v>38</v>
      </c>
      <c r="U444" t="n">
        <v>39</v>
      </c>
      <c r="V444" t="n">
        <v>30</v>
      </c>
      <c r="W444" t="n">
        <v>7</v>
      </c>
      <c r="X444" t="n">
        <v>9.157509157509157</v>
      </c>
      <c r="Y444" t="n">
        <v>1</v>
      </c>
      <c r="Z444" t="n">
        <v>5</v>
      </c>
      <c r="AA444" t="n">
        <v>3</v>
      </c>
      <c r="AB444" t="n">
        <v>2</v>
      </c>
      <c r="AC444" t="n">
        <v>2</v>
      </c>
      <c r="AD444" t="n">
        <v>45990</v>
      </c>
      <c r="AE444" t="n">
        <v>30660</v>
      </c>
      <c r="AF444" t="n">
        <v>3482</v>
      </c>
      <c r="AG444" t="n">
        <v>1</v>
      </c>
      <c r="AH444" t="inlineStr">
        <is>
          <t>PT. BERSAMA DISTRIVERSA INDONESIA (DC CIPUTAT)</t>
        </is>
      </c>
      <c r="AI444" t="n">
        <v>2258</v>
      </c>
      <c r="AJ444" t="inlineStr">
        <is>
          <t>BEBLISS</t>
        </is>
      </c>
      <c r="AK444" t="n">
        <v>21</v>
      </c>
      <c r="AL444" t="inlineStr">
        <is>
          <t>Miss Glam Damar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BEBLISS</t>
        </is>
      </c>
      <c r="B445" s="2">
        <f>"30400263830"</f>
        <v/>
      </c>
      <c r="C445" t="inlineStr">
        <is>
          <t>BEBLISS Eau De Parfume Love Cycle Series Butterfly Era 25ml</t>
        </is>
      </c>
      <c r="D445" t="inlineStr">
        <is>
          <t>Miss Glam Damar</t>
        </is>
      </c>
      <c r="E445" t="n">
        <v>10</v>
      </c>
      <c r="F445" t="n">
        <v>0.2002</v>
      </c>
      <c r="G445" t="n">
        <v>2.73</v>
      </c>
      <c r="H445" t="n">
        <v>4</v>
      </c>
      <c r="I445" t="n">
        <v>21</v>
      </c>
      <c r="J445" t="n">
        <v>1</v>
      </c>
      <c r="K445" t="n">
        <v>0</v>
      </c>
      <c r="L445" t="n">
        <v>14994</v>
      </c>
      <c r="M445" t="n">
        <v>19000</v>
      </c>
      <c r="N445" t="n">
        <v>91</v>
      </c>
      <c r="O445" t="n">
        <v>0.91</v>
      </c>
      <c r="P445" t="n">
        <v>1</v>
      </c>
      <c r="Q445" t="n">
        <v>0.08</v>
      </c>
      <c r="R445" t="n">
        <v>2</v>
      </c>
      <c r="S445" t="n">
        <v>3803.8</v>
      </c>
      <c r="T445" t="n">
        <v>57</v>
      </c>
      <c r="U445" t="n">
        <v>58</v>
      </c>
      <c r="V445" t="n">
        <v>30</v>
      </c>
      <c r="W445" t="n">
        <v>7</v>
      </c>
      <c r="X445" t="n">
        <v>49.95004995004994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3482</v>
      </c>
      <c r="AG445" t="n">
        <v>1</v>
      </c>
      <c r="AH445" t="inlineStr">
        <is>
          <t>PT. BERSAMA DISTRIVERSA INDONESIA (DC CIPUTAT)</t>
        </is>
      </c>
      <c r="AI445" t="n">
        <v>2258</v>
      </c>
      <c r="AJ445" t="inlineStr">
        <is>
          <t>BEBLISS</t>
        </is>
      </c>
      <c r="AK445" t="n">
        <v>21</v>
      </c>
      <c r="AL445" t="inlineStr">
        <is>
          <t>Miss Glam Damar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BEBLISS</t>
        </is>
      </c>
      <c r="B446" s="2">
        <f>"30400264038"</f>
        <v/>
      </c>
      <c r="C446" t="inlineStr">
        <is>
          <t>BEBLISS Eau De Parfume Love Cycle Series Serana Era 25ml</t>
        </is>
      </c>
      <c r="D446" t="inlineStr">
        <is>
          <t>Miss Glam Damar</t>
        </is>
      </c>
      <c r="E446" t="n">
        <v>7</v>
      </c>
      <c r="F446" t="n">
        <v>0.4732</v>
      </c>
      <c r="G446" t="n">
        <v>4.55</v>
      </c>
      <c r="H446" t="n">
        <v>4</v>
      </c>
      <c r="I446" t="n">
        <v>21</v>
      </c>
      <c r="J446" t="n">
        <v>1</v>
      </c>
      <c r="K446" t="n">
        <v>0</v>
      </c>
      <c r="L446" t="n">
        <v>14994</v>
      </c>
      <c r="M446" t="n">
        <v>19000</v>
      </c>
      <c r="N446" t="n">
        <v>91</v>
      </c>
      <c r="O446" t="n">
        <v>0.91</v>
      </c>
      <c r="P446" t="n">
        <v>1</v>
      </c>
      <c r="Q446" t="n">
        <v>0.14</v>
      </c>
      <c r="R446" t="n">
        <v>2</v>
      </c>
      <c r="S446" t="n">
        <v>8990.799999999999</v>
      </c>
      <c r="T446" t="n">
        <v>94</v>
      </c>
      <c r="U446" t="n">
        <v>96</v>
      </c>
      <c r="V446" t="n">
        <v>30</v>
      </c>
      <c r="W446" t="n">
        <v>15</v>
      </c>
      <c r="X446" t="n">
        <v>14.79289940828402</v>
      </c>
      <c r="Y446" t="n">
        <v>1</v>
      </c>
      <c r="Z446" t="n">
        <v>8</v>
      </c>
      <c r="AA446" t="n">
        <v>3</v>
      </c>
      <c r="AB446" t="n">
        <v>5</v>
      </c>
      <c r="AC446" t="n">
        <v>5</v>
      </c>
      <c r="AD446" t="n">
        <v>44982</v>
      </c>
      <c r="AE446" t="n">
        <v>74970</v>
      </c>
      <c r="AF446" t="n">
        <v>3482</v>
      </c>
      <c r="AG446" t="n">
        <v>1</v>
      </c>
      <c r="AH446" t="inlineStr">
        <is>
          <t>PT. BERSAMA DISTRIVERSA INDONESIA (DC CIPUTAT)</t>
        </is>
      </c>
      <c r="AI446" t="n">
        <v>2258</v>
      </c>
      <c r="AJ446" t="inlineStr">
        <is>
          <t>BEBLISS</t>
        </is>
      </c>
      <c r="AK446" t="n">
        <v>21</v>
      </c>
      <c r="AL446" t="inlineStr">
        <is>
          <t>Miss Glam Damar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BEBLISS</t>
        </is>
      </c>
      <c r="B447" s="2">
        <f>"30400263915"</f>
        <v/>
      </c>
      <c r="C447" t="inlineStr">
        <is>
          <t>BEBLISS Eau De Parfume Love Cycle Series Silent Era 25ml</t>
        </is>
      </c>
      <c r="D447" t="inlineStr">
        <is>
          <t>Miss Glam Damar</t>
        </is>
      </c>
      <c r="E447" t="n">
        <v>0</v>
      </c>
      <c r="F447" t="n">
        <v>0.3367</v>
      </c>
      <c r="G447" t="n">
        <v>2.73</v>
      </c>
      <c r="H447" t="n">
        <v>4</v>
      </c>
      <c r="I447" t="n">
        <v>21</v>
      </c>
      <c r="J447" t="n">
        <v>1</v>
      </c>
      <c r="K447" t="n">
        <v>0</v>
      </c>
      <c r="L447" t="n">
        <v>14994</v>
      </c>
      <c r="M447" t="n">
        <v>19000</v>
      </c>
      <c r="N447" t="n">
        <v>91</v>
      </c>
      <c r="O447" t="n">
        <v>0.91</v>
      </c>
      <c r="P447" t="n">
        <v>1</v>
      </c>
      <c r="Q447" t="n">
        <v>0.27</v>
      </c>
      <c r="R447" t="n">
        <v>3</v>
      </c>
      <c r="S447" t="n">
        <v>6397.3</v>
      </c>
      <c r="T447" t="n">
        <v>56</v>
      </c>
      <c r="U447" t="n">
        <v>58</v>
      </c>
      <c r="V447" t="n">
        <v>30</v>
      </c>
      <c r="W447" t="n">
        <v>11</v>
      </c>
      <c r="X447" t="n">
        <v>0</v>
      </c>
      <c r="Y447" t="n">
        <v>1</v>
      </c>
      <c r="Z447" t="n">
        <v>11</v>
      </c>
      <c r="AA447" t="n">
        <v>8</v>
      </c>
      <c r="AB447" t="n">
        <v>3</v>
      </c>
      <c r="AC447" t="n">
        <v>3</v>
      </c>
      <c r="AD447" t="n">
        <v>119952</v>
      </c>
      <c r="AE447" t="n">
        <v>44982</v>
      </c>
      <c r="AF447" t="n">
        <v>3482</v>
      </c>
      <c r="AG447" t="n">
        <v>1</v>
      </c>
      <c r="AH447" t="inlineStr">
        <is>
          <t>PT. BERSAMA DISTRIVERSA INDONESIA (DC CIPUTAT)</t>
        </is>
      </c>
      <c r="AI447" t="n">
        <v>2258</v>
      </c>
      <c r="AJ447" t="inlineStr">
        <is>
          <t>BEBLISS</t>
        </is>
      </c>
      <c r="AK447" t="n">
        <v>21</v>
      </c>
      <c r="AL447" t="inlineStr">
        <is>
          <t>Miss Glam Damar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BEBLISS</t>
        </is>
      </c>
      <c r="B448" s="2">
        <f>"304002159258"</f>
        <v/>
      </c>
      <c r="C448" t="inlineStr">
        <is>
          <t>BEBLISS Eau De Parfume Timeless Love Era Romantic Series 35ml</t>
        </is>
      </c>
      <c r="D448" t="inlineStr">
        <is>
          <t>Miss Glam Damar</t>
        </is>
      </c>
      <c r="E448" t="n">
        <v>27</v>
      </c>
      <c r="F448" t="n">
        <v>1.1739</v>
      </c>
      <c r="G448" t="n">
        <v>5.46</v>
      </c>
      <c r="H448" t="n">
        <v>4</v>
      </c>
      <c r="I448" t="n">
        <v>21</v>
      </c>
      <c r="J448" t="n">
        <v>1</v>
      </c>
      <c r="K448" t="n">
        <v>0</v>
      </c>
      <c r="L448" t="n">
        <v>15450</v>
      </c>
      <c r="M448" t="n">
        <v>25000</v>
      </c>
      <c r="N448" t="n">
        <v>91</v>
      </c>
      <c r="O448" t="n">
        <v>0.91</v>
      </c>
      <c r="P448" t="n">
        <v>1</v>
      </c>
      <c r="Q448" t="n">
        <v>0.8</v>
      </c>
      <c r="R448" t="n">
        <v>10</v>
      </c>
      <c r="S448" t="n">
        <v>29347.5</v>
      </c>
      <c r="T448" t="n">
        <v>110</v>
      </c>
      <c r="U448" t="n">
        <v>115</v>
      </c>
      <c r="V448" t="n">
        <v>30</v>
      </c>
      <c r="W448" t="n">
        <v>36</v>
      </c>
      <c r="X448" t="n">
        <v>23.00025555839509</v>
      </c>
      <c r="Y448" t="n">
        <v>1</v>
      </c>
      <c r="Z448" t="n">
        <v>9</v>
      </c>
      <c r="AA448" t="n">
        <v>0</v>
      </c>
      <c r="AB448" t="n">
        <v>9</v>
      </c>
      <c r="AC448" t="n">
        <v>9</v>
      </c>
      <c r="AD448" t="n">
        <v>0</v>
      </c>
      <c r="AE448" t="n">
        <v>139050</v>
      </c>
      <c r="AF448" t="n">
        <v>3482</v>
      </c>
      <c r="AG448" t="n">
        <v>1</v>
      </c>
      <c r="AH448" t="inlineStr">
        <is>
          <t>PT. BERSAMA DISTRIVERSA INDONESIA (DC CIPUTAT)</t>
        </is>
      </c>
      <c r="AI448" t="n">
        <v>2258</v>
      </c>
      <c r="AJ448" t="inlineStr">
        <is>
          <t>BEBLISS</t>
        </is>
      </c>
      <c r="AK448" t="n">
        <v>21</v>
      </c>
      <c r="AL448" t="inlineStr">
        <is>
          <t>Miss Glam Damar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BEERU</t>
        </is>
      </c>
      <c r="B449" s="2">
        <f>"60100403522"</f>
        <v/>
      </c>
      <c r="C449" t="inlineStr">
        <is>
          <t>BEERU Stevia Natural Sweetener 15ml</t>
        </is>
      </c>
      <c r="D449" t="inlineStr">
        <is>
          <t>Miss Glam Damar</t>
        </is>
      </c>
      <c r="E449" t="n">
        <v>15</v>
      </c>
      <c r="F449" t="n">
        <v>0.2093</v>
      </c>
      <c r="G449" t="n">
        <v>3.64</v>
      </c>
      <c r="H449" t="n">
        <v>4</v>
      </c>
      <c r="I449" t="n">
        <v>21</v>
      </c>
      <c r="J449" t="n">
        <v>1</v>
      </c>
      <c r="K449" t="n">
        <v>0</v>
      </c>
      <c r="L449" t="n">
        <v>55249</v>
      </c>
      <c r="M449" t="n">
        <v>75000</v>
      </c>
      <c r="N449" t="n">
        <v>91</v>
      </c>
      <c r="O449" t="n">
        <v>0.91</v>
      </c>
      <c r="P449" t="n">
        <v>1</v>
      </c>
      <c r="Q449" t="n">
        <v>0.07000000000000001</v>
      </c>
      <c r="R449" t="n">
        <v>1</v>
      </c>
      <c r="S449" t="n">
        <v>15697.5</v>
      </c>
      <c r="T449" t="n">
        <v>76</v>
      </c>
      <c r="U449" t="n">
        <v>77</v>
      </c>
      <c r="V449" t="n">
        <v>30</v>
      </c>
      <c r="W449" t="n">
        <v>7</v>
      </c>
      <c r="X449" t="n">
        <v>71.66746297181079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3515</v>
      </c>
      <c r="AG449" t="n">
        <v>1</v>
      </c>
      <c r="AH449" t="inlineStr">
        <is>
          <t>PT. BERSAMA DISTRIVERSA INDONESIA (DC CIPUTAT)</t>
        </is>
      </c>
      <c r="AI449" t="n">
        <v>2259</v>
      </c>
      <c r="AJ449" t="inlineStr">
        <is>
          <t>BEERU</t>
        </is>
      </c>
      <c r="AK449" t="n">
        <v>21</v>
      </c>
      <c r="AL449" t="inlineStr">
        <is>
          <t>Miss Glam Damar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BEERU</t>
        </is>
      </c>
      <c r="B450" s="2">
        <f>"60100302417"</f>
        <v/>
      </c>
      <c r="C450" t="inlineStr">
        <is>
          <t>BEERU Stevia Natural Sweetener 5ml</t>
        </is>
      </c>
      <c r="D450" t="inlineStr">
        <is>
          <t>Miss Glam Damar</t>
        </is>
      </c>
      <c r="E450" t="n">
        <v>3</v>
      </c>
      <c r="F450" t="n">
        <v>0.3822</v>
      </c>
      <c r="G450" t="n">
        <v>5.46</v>
      </c>
      <c r="H450" t="n">
        <v>4</v>
      </c>
      <c r="I450" t="n">
        <v>21</v>
      </c>
      <c r="J450" t="n">
        <v>1</v>
      </c>
      <c r="K450" t="n">
        <v>0</v>
      </c>
      <c r="L450" t="n">
        <v>27761</v>
      </c>
      <c r="M450" t="n">
        <v>37000</v>
      </c>
      <c r="N450" t="n">
        <v>91</v>
      </c>
      <c r="O450" t="n">
        <v>0.91</v>
      </c>
      <c r="P450" t="n">
        <v>1</v>
      </c>
      <c r="Q450" t="n">
        <v>0.41</v>
      </c>
      <c r="R450" t="n">
        <v>2</v>
      </c>
      <c r="S450" t="n">
        <v>14141.4</v>
      </c>
      <c r="T450" t="n">
        <v>114</v>
      </c>
      <c r="U450" t="n">
        <v>116</v>
      </c>
      <c r="V450" t="n">
        <v>30</v>
      </c>
      <c r="W450" t="n">
        <v>12</v>
      </c>
      <c r="X450" t="n">
        <v>7.849293563579278</v>
      </c>
      <c r="Y450" t="n">
        <v>1</v>
      </c>
      <c r="Z450" t="n">
        <v>9</v>
      </c>
      <c r="AA450" t="n">
        <v>6</v>
      </c>
      <c r="AB450" t="n">
        <v>3</v>
      </c>
      <c r="AC450" t="n">
        <v>3</v>
      </c>
      <c r="AD450" t="n">
        <v>166566</v>
      </c>
      <c r="AE450" t="n">
        <v>83283</v>
      </c>
      <c r="AF450" t="n">
        <v>3515</v>
      </c>
      <c r="AG450" t="n">
        <v>1</v>
      </c>
      <c r="AH450" t="inlineStr">
        <is>
          <t>PT. BERSAMA DISTRIVERSA INDONESIA (DC CIPUTAT)</t>
        </is>
      </c>
      <c r="AI450" t="n">
        <v>2259</v>
      </c>
      <c r="AJ450" t="inlineStr">
        <is>
          <t>BEERU</t>
        </is>
      </c>
      <c r="AK450" t="n">
        <v>21</v>
      </c>
      <c r="AL450" t="inlineStr">
        <is>
          <t>Miss Glam Damar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BETADINE</t>
        </is>
      </c>
      <c r="B451" s="2">
        <f>"8992843992111"</f>
        <v/>
      </c>
      <c r="C451" t="inlineStr">
        <is>
          <t>BETADINE Cleanser Povide-lodine 7,5% 100ml</t>
        </is>
      </c>
      <c r="D451" t="inlineStr">
        <is>
          <t>Miss Glam Damar</t>
        </is>
      </c>
      <c r="E451" t="n">
        <v>5</v>
      </c>
      <c r="F451" t="n">
        <v>0.6461</v>
      </c>
      <c r="G451" t="n">
        <v>4.55</v>
      </c>
      <c r="H451" t="n">
        <v>4</v>
      </c>
      <c r="I451" t="n">
        <v>21</v>
      </c>
      <c r="J451" t="n">
        <v>3</v>
      </c>
      <c r="K451" t="n">
        <v>0</v>
      </c>
      <c r="L451" t="n">
        <v>41705</v>
      </c>
      <c r="M451" t="n">
        <v>56500</v>
      </c>
      <c r="N451" t="n">
        <v>91</v>
      </c>
      <c r="O451" t="n">
        <v>0.91</v>
      </c>
      <c r="P451" t="n">
        <v>1</v>
      </c>
      <c r="Q451" t="n">
        <v>0.12</v>
      </c>
      <c r="R451" t="n">
        <v>1</v>
      </c>
      <c r="S451" t="n">
        <v>36504.65</v>
      </c>
      <c r="T451" t="n">
        <v>93</v>
      </c>
      <c r="U451" t="n">
        <v>96</v>
      </c>
      <c r="V451" t="n">
        <v>30</v>
      </c>
      <c r="W451" t="n">
        <v>20</v>
      </c>
      <c r="X451" t="n">
        <v>7.73874013310633</v>
      </c>
      <c r="Y451" t="n">
        <v>1</v>
      </c>
      <c r="Z451" t="n">
        <v>15</v>
      </c>
      <c r="AA451" t="n">
        <v>9</v>
      </c>
      <c r="AB451" t="n">
        <v>6</v>
      </c>
      <c r="AC451" t="n">
        <v>6</v>
      </c>
      <c r="AD451" t="n">
        <v>375345</v>
      </c>
      <c r="AE451" t="n">
        <v>250230</v>
      </c>
      <c r="AF451" t="n">
        <v>3548</v>
      </c>
      <c r="AG451" t="n">
        <v>1</v>
      </c>
      <c r="AH451" t="inlineStr">
        <is>
          <t>PT. BERSAMA DISTRIVERSA INDONESIA (DC CIPUTAT)</t>
        </is>
      </c>
      <c r="AI451" t="n">
        <v>1527</v>
      </c>
      <c r="AJ451" t="inlineStr">
        <is>
          <t>BETADINE</t>
        </is>
      </c>
      <c r="AK451" t="n">
        <v>21</v>
      </c>
      <c r="AL451" t="inlineStr">
        <is>
          <t>Miss Glam Damar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BETADINE</t>
        </is>
      </c>
      <c r="B452" s="2">
        <f>"8992843100615"</f>
        <v/>
      </c>
      <c r="C452" t="inlineStr">
        <is>
          <t>BETADINE Feminine Hygiene Povidone-Iodine 10% 60ml</t>
        </is>
      </c>
      <c r="D452" t="inlineStr">
        <is>
          <t>Miss Glam Damar</t>
        </is>
      </c>
      <c r="E452" t="n">
        <v>0</v>
      </c>
      <c r="F452" t="n">
        <v>0.17</v>
      </c>
      <c r="G452" t="n">
        <v>3</v>
      </c>
      <c r="H452" t="n">
        <v>4</v>
      </c>
      <c r="I452" t="n">
        <v>21</v>
      </c>
      <c r="J452" t="n">
        <v>3</v>
      </c>
      <c r="K452" t="n">
        <v>0</v>
      </c>
      <c r="L452" t="n">
        <v>38675</v>
      </c>
      <c r="M452" t="n">
        <v>48000</v>
      </c>
      <c r="N452" t="n">
        <v>91</v>
      </c>
      <c r="O452" t="n">
        <v>0.91</v>
      </c>
      <c r="P452" t="n">
        <v>0</v>
      </c>
      <c r="Q452" t="n">
        <v>0.17</v>
      </c>
      <c r="R452" t="n">
        <v>3</v>
      </c>
      <c r="S452" t="n">
        <v>8160.000000000001</v>
      </c>
      <c r="T452" t="n">
        <v>63</v>
      </c>
      <c r="U452" t="n">
        <v>64</v>
      </c>
      <c r="V452" t="n">
        <v>30</v>
      </c>
      <c r="W452" t="n">
        <v>6</v>
      </c>
      <c r="X452" t="n">
        <v>0</v>
      </c>
      <c r="Y452" t="n">
        <v>1</v>
      </c>
      <c r="Z452" t="n">
        <v>6</v>
      </c>
      <c r="AA452" t="n">
        <v>4</v>
      </c>
      <c r="AB452" t="n">
        <v>2</v>
      </c>
      <c r="AC452" t="n">
        <v>3</v>
      </c>
      <c r="AD452" t="n">
        <v>154700</v>
      </c>
      <c r="AE452" t="n">
        <v>116025</v>
      </c>
      <c r="AF452" t="n">
        <v>3548</v>
      </c>
      <c r="AG452" t="n">
        <v>1</v>
      </c>
      <c r="AH452" t="inlineStr">
        <is>
          <t>PT. BERSAMA DISTRIVERSA INDONESIA (DC CIPUTAT)</t>
        </is>
      </c>
      <c r="AI452" t="n">
        <v>1527</v>
      </c>
      <c r="AJ452" t="inlineStr">
        <is>
          <t>BETADINE</t>
        </is>
      </c>
      <c r="AK452" t="n">
        <v>21</v>
      </c>
      <c r="AL452" t="inlineStr">
        <is>
          <t>Miss Glam Damar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BETADINE</t>
        </is>
      </c>
      <c r="B453" s="2">
        <f>"8859350702209"</f>
        <v/>
      </c>
      <c r="C453" t="inlineStr">
        <is>
          <t>BETADINE Feminine Wash Natural Daun Sirih Radiance Blossom 110ml</t>
        </is>
      </c>
      <c r="D453" t="inlineStr">
        <is>
          <t>Miss Glam Damar</t>
        </is>
      </c>
      <c r="E453" t="n">
        <v>1</v>
      </c>
      <c r="F453" t="n">
        <v>0.06370000000000001</v>
      </c>
      <c r="G453" t="n">
        <v>0.91</v>
      </c>
      <c r="H453" t="n">
        <v>4</v>
      </c>
      <c r="I453" t="n">
        <v>21</v>
      </c>
      <c r="J453" t="n">
        <v>3</v>
      </c>
      <c r="K453" t="n">
        <v>0</v>
      </c>
      <c r="L453" t="n">
        <v>18695</v>
      </c>
      <c r="M453" t="n">
        <v>25000</v>
      </c>
      <c r="N453" t="n">
        <v>91</v>
      </c>
      <c r="O453" t="n">
        <v>0.91</v>
      </c>
      <c r="P453" t="n">
        <v>1</v>
      </c>
      <c r="Q453" t="n">
        <v>0.08</v>
      </c>
      <c r="R453" t="n">
        <v>2</v>
      </c>
      <c r="S453" t="n">
        <v>1592.5</v>
      </c>
      <c r="T453" t="n">
        <v>19</v>
      </c>
      <c r="U453" t="n">
        <v>20</v>
      </c>
      <c r="V453" t="n">
        <v>30</v>
      </c>
      <c r="W453" t="n">
        <v>2</v>
      </c>
      <c r="X453" t="n">
        <v>15.69858712715855</v>
      </c>
      <c r="Y453" t="n">
        <v>1</v>
      </c>
      <c r="Z453" t="n">
        <v>1</v>
      </c>
      <c r="AA453" t="n">
        <v>1</v>
      </c>
      <c r="AB453" t="n">
        <v>0</v>
      </c>
      <c r="AC453" t="n">
        <v>0</v>
      </c>
      <c r="AD453" t="n">
        <v>18695</v>
      </c>
      <c r="AE453" t="n">
        <v>0</v>
      </c>
      <c r="AF453" t="n">
        <v>3548</v>
      </c>
      <c r="AG453" t="n">
        <v>1</v>
      </c>
      <c r="AH453" t="inlineStr">
        <is>
          <t>PT. BERSAMA DISTRIVERSA INDONESIA (DC CIPUTAT)</t>
        </is>
      </c>
      <c r="AI453" t="n">
        <v>1527</v>
      </c>
      <c r="AJ453" t="inlineStr">
        <is>
          <t>BETADINE</t>
        </is>
      </c>
      <c r="AK453" t="n">
        <v>21</v>
      </c>
      <c r="AL453" t="inlineStr">
        <is>
          <t>Miss Glam Damar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BETADINE</t>
        </is>
      </c>
      <c r="B454" s="2">
        <f>"11100106401"</f>
        <v/>
      </c>
      <c r="C454" t="inlineStr">
        <is>
          <t>BETADINE Mouthwash and Gargle 190ml</t>
        </is>
      </c>
      <c r="D454" t="inlineStr">
        <is>
          <t>Miss Glam Damar</t>
        </is>
      </c>
      <c r="E454" t="n">
        <v>0</v>
      </c>
      <c r="F454" t="n">
        <v>0.0273</v>
      </c>
      <c r="G454" t="n">
        <v>0.91</v>
      </c>
      <c r="H454" t="n">
        <v>4</v>
      </c>
      <c r="I454" t="n">
        <v>21</v>
      </c>
      <c r="J454" t="n">
        <v>1</v>
      </c>
      <c r="K454" t="n">
        <v>0</v>
      </c>
      <c r="L454" t="n">
        <v>49375</v>
      </c>
      <c r="M454" t="n">
        <v>58500</v>
      </c>
      <c r="N454" t="n">
        <v>91</v>
      </c>
      <c r="O454" t="n">
        <v>0.91</v>
      </c>
      <c r="P454" t="n">
        <v>1</v>
      </c>
      <c r="Q454" t="n">
        <v>0.07000000000000001</v>
      </c>
      <c r="R454" t="n">
        <v>1</v>
      </c>
      <c r="S454" t="n">
        <v>1597.05</v>
      </c>
      <c r="T454" t="n">
        <v>20</v>
      </c>
      <c r="U454" t="n">
        <v>21</v>
      </c>
      <c r="V454" t="n">
        <v>30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n">
        <v>0</v>
      </c>
      <c r="AC454" t="n">
        <v>0</v>
      </c>
      <c r="AD454" t="n">
        <v>49375</v>
      </c>
      <c r="AE454" t="n">
        <v>0</v>
      </c>
      <c r="AF454" t="n">
        <v>3548</v>
      </c>
      <c r="AG454" t="n">
        <v>1</v>
      </c>
      <c r="AH454" t="inlineStr">
        <is>
          <t>PT. BERSAMA DISTRIVERSA INDONESIA (DC CIPUTAT)</t>
        </is>
      </c>
      <c r="AI454" t="n">
        <v>1527</v>
      </c>
      <c r="AJ454" t="inlineStr">
        <is>
          <t>BETADINE</t>
        </is>
      </c>
      <c r="AK454" t="n">
        <v>21</v>
      </c>
      <c r="AL454" t="inlineStr">
        <is>
          <t>Miss Glam Damar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BETADINE</t>
        </is>
      </c>
      <c r="B455" s="2">
        <f>"8992843121009"</f>
        <v/>
      </c>
      <c r="C455" t="inlineStr">
        <is>
          <t>BETADINE Mouthwash And Gargle Povidone- Iodine 10% 100ml</t>
        </is>
      </c>
      <c r="D455" t="inlineStr">
        <is>
          <t>Miss Glam Damar</t>
        </is>
      </c>
      <c r="E455" t="n">
        <v>0</v>
      </c>
      <c r="F455" t="n">
        <v>0.02</v>
      </c>
      <c r="G455" t="n">
        <v>1</v>
      </c>
      <c r="H455" t="n">
        <v>4</v>
      </c>
      <c r="I455" t="n">
        <v>21</v>
      </c>
      <c r="J455" t="n">
        <v>1</v>
      </c>
      <c r="K455" t="n">
        <v>0</v>
      </c>
      <c r="L455" t="n">
        <v>32745</v>
      </c>
      <c r="M455" t="n">
        <v>39000</v>
      </c>
      <c r="N455" t="n">
        <v>91</v>
      </c>
      <c r="O455" t="n">
        <v>0.91</v>
      </c>
      <c r="P455" t="n">
        <v>0</v>
      </c>
      <c r="Q455" t="n">
        <v>0.02</v>
      </c>
      <c r="R455" t="n">
        <v>1</v>
      </c>
      <c r="S455" t="n">
        <v>780</v>
      </c>
      <c r="T455" t="n">
        <v>21</v>
      </c>
      <c r="U455" t="n">
        <v>22</v>
      </c>
      <c r="V455" t="n">
        <v>30</v>
      </c>
      <c r="W455" t="n">
        <v>1</v>
      </c>
      <c r="X455" t="n">
        <v>0</v>
      </c>
      <c r="Y455" t="n">
        <v>1</v>
      </c>
      <c r="Z455" t="n">
        <v>1</v>
      </c>
      <c r="AA455" t="n">
        <v>1</v>
      </c>
      <c r="AB455" t="n">
        <v>0</v>
      </c>
      <c r="AC455" t="n">
        <v>0</v>
      </c>
      <c r="AD455" t="n">
        <v>32745</v>
      </c>
      <c r="AE455" t="n">
        <v>0</v>
      </c>
      <c r="AF455" t="n">
        <v>3548</v>
      </c>
      <c r="AG455" t="n">
        <v>1</v>
      </c>
      <c r="AH455" t="inlineStr">
        <is>
          <t>PT. BERSAMA DISTRIVERSA INDONESIA (DC CIPUTAT)</t>
        </is>
      </c>
      <c r="AI455" t="n">
        <v>1527</v>
      </c>
      <c r="AJ455" t="inlineStr">
        <is>
          <t>BETADINE</t>
        </is>
      </c>
      <c r="AK455" t="n">
        <v>21</v>
      </c>
      <c r="AL455" t="inlineStr">
        <is>
          <t>Miss Glam Damar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BIO 2</t>
        </is>
      </c>
      <c r="B456" s="2">
        <f>"9555348108136"</f>
        <v/>
      </c>
      <c r="C456" t="inlineStr">
        <is>
          <t>BIO 2 Anti Frizz Serum Vitamin Rambut 200ml</t>
        </is>
      </c>
      <c r="D456" t="inlineStr">
        <is>
          <t>Miss Glam Damar</t>
        </is>
      </c>
      <c r="E456" t="n">
        <v>24</v>
      </c>
      <c r="F456" t="n">
        <v>0.7280000000000001</v>
      </c>
      <c r="G456" t="n">
        <v>3.64</v>
      </c>
      <c r="H456" t="n">
        <v>2</v>
      </c>
      <c r="I456" t="n">
        <v>16</v>
      </c>
      <c r="J456" t="n">
        <v>3</v>
      </c>
      <c r="K456" t="n">
        <v>0</v>
      </c>
      <c r="L456" t="n">
        <v>33300</v>
      </c>
      <c r="M456" t="n">
        <v>44000</v>
      </c>
      <c r="N456" t="n">
        <v>91</v>
      </c>
      <c r="O456" t="n">
        <v>0.91</v>
      </c>
      <c r="P456" t="n">
        <v>1</v>
      </c>
      <c r="Q456" t="n">
        <v>0.41</v>
      </c>
      <c r="R456" t="n">
        <v>4</v>
      </c>
      <c r="S456" t="n">
        <v>32032</v>
      </c>
      <c r="T456" t="n">
        <v>57</v>
      </c>
      <c r="U456" t="n">
        <v>59</v>
      </c>
      <c r="V456" t="n">
        <v>30</v>
      </c>
      <c r="W456" t="n">
        <v>22</v>
      </c>
      <c r="X456" t="n">
        <v>32.96703296703296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348</v>
      </c>
      <c r="AG456" t="n">
        <v>107</v>
      </c>
      <c r="AH456" t="inlineStr">
        <is>
          <t xml:space="preserve">CV. DAHLIA - PPN (PDG) </t>
        </is>
      </c>
      <c r="AI456" t="n">
        <v>358</v>
      </c>
      <c r="AJ456" t="inlineStr">
        <is>
          <t>BIO 2</t>
        </is>
      </c>
      <c r="AK456" t="n">
        <v>21</v>
      </c>
      <c r="AL456" t="inlineStr">
        <is>
          <t>Miss Glam Damar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BIO 2</t>
        </is>
      </c>
      <c r="B457" s="2">
        <f>"9555416902642"</f>
        <v/>
      </c>
      <c r="C457" t="inlineStr">
        <is>
          <t>BIO 2 Color Anti Frizz Serum Green 70ml</t>
        </is>
      </c>
      <c r="D457" t="inlineStr">
        <is>
          <t>Miss Glam Damar</t>
        </is>
      </c>
      <c r="E457" t="n">
        <v>10</v>
      </c>
      <c r="F457" t="n">
        <v>0.03</v>
      </c>
      <c r="G457" t="n">
        <v>0</v>
      </c>
      <c r="H457" t="n">
        <v>2</v>
      </c>
      <c r="I457" t="n">
        <v>16</v>
      </c>
      <c r="J457" t="n">
        <v>3</v>
      </c>
      <c r="K457" t="n">
        <v>0</v>
      </c>
      <c r="L457" t="n">
        <v>21600</v>
      </c>
      <c r="M457" t="n">
        <v>25500</v>
      </c>
      <c r="N457" t="n">
        <v>91</v>
      </c>
      <c r="O457" t="n">
        <v>0.91</v>
      </c>
      <c r="P457" t="n">
        <v>0</v>
      </c>
      <c r="Q457" t="n">
        <v>0.03</v>
      </c>
      <c r="R457" t="n">
        <v>0</v>
      </c>
      <c r="S457" t="n">
        <v>765</v>
      </c>
      <c r="T457" t="n">
        <v>0</v>
      </c>
      <c r="U457" t="n">
        <v>1</v>
      </c>
      <c r="V457" t="n">
        <v>30</v>
      </c>
      <c r="W457" t="n">
        <v>1</v>
      </c>
      <c r="X457" t="n">
        <v>333.3333333333334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348</v>
      </c>
      <c r="AG457" t="n">
        <v>107</v>
      </c>
      <c r="AH457" t="inlineStr">
        <is>
          <t xml:space="preserve">CV. DAHLIA - PPN (PDG) </t>
        </is>
      </c>
      <c r="AI457" t="n">
        <v>358</v>
      </c>
      <c r="AJ457" t="inlineStr">
        <is>
          <t>BIO 2</t>
        </is>
      </c>
      <c r="AK457" t="n">
        <v>21</v>
      </c>
      <c r="AL457" t="inlineStr">
        <is>
          <t>Miss Glam Damar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BIO 2</t>
        </is>
      </c>
      <c r="B458" s="2">
        <f>"9555416900761"</f>
        <v/>
      </c>
      <c r="C458" t="inlineStr">
        <is>
          <t>BIO 2 Color Care Hijab Hair Vitamin Rambut 200ml</t>
        </is>
      </c>
      <c r="D458" t="inlineStr">
        <is>
          <t>Miss Glam Damar</t>
        </is>
      </c>
      <c r="E458" t="n">
        <v>24</v>
      </c>
      <c r="F458" t="n">
        <v>0.4641</v>
      </c>
      <c r="G458" t="n">
        <v>1.82</v>
      </c>
      <c r="H458" t="n">
        <v>2</v>
      </c>
      <c r="I458" t="n">
        <v>16</v>
      </c>
      <c r="J458" t="n">
        <v>3</v>
      </c>
      <c r="K458" t="n">
        <v>0</v>
      </c>
      <c r="L458" t="n">
        <v>33300</v>
      </c>
      <c r="M458" t="n">
        <v>44000</v>
      </c>
      <c r="N458" t="n">
        <v>91</v>
      </c>
      <c r="O458" t="n">
        <v>0.91</v>
      </c>
      <c r="P458" t="n">
        <v>1</v>
      </c>
      <c r="Q458" t="n">
        <v>0.5600000000000001</v>
      </c>
      <c r="R458" t="n">
        <v>3</v>
      </c>
      <c r="S458" t="n">
        <v>20420.4</v>
      </c>
      <c r="T458" t="n">
        <v>29</v>
      </c>
      <c r="U458" t="n">
        <v>30</v>
      </c>
      <c r="V458" t="n">
        <v>30</v>
      </c>
      <c r="W458" t="n">
        <v>14</v>
      </c>
      <c r="X458" t="n">
        <v>51.71299288946348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348</v>
      </c>
      <c r="AG458" t="n">
        <v>107</v>
      </c>
      <c r="AH458" t="inlineStr">
        <is>
          <t xml:space="preserve">CV. DAHLIA - PPN (PDG) </t>
        </is>
      </c>
      <c r="AI458" t="n">
        <v>358</v>
      </c>
      <c r="AJ458" t="inlineStr">
        <is>
          <t>BIO 2</t>
        </is>
      </c>
      <c r="AK458" t="n">
        <v>21</v>
      </c>
      <c r="AL458" t="inlineStr">
        <is>
          <t>Miss Glam Damar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BIO 2</t>
        </is>
      </c>
      <c r="B459" s="2">
        <f>"9555416902659"</f>
        <v/>
      </c>
      <c r="C459" t="inlineStr">
        <is>
          <t>BIO 2 Color Care Serum Red 70ml</t>
        </is>
      </c>
      <c r="D459" t="inlineStr">
        <is>
          <t>Miss Glam Damar</t>
        </is>
      </c>
      <c r="E459" t="n">
        <v>0</v>
      </c>
      <c r="F459" t="n">
        <v>0.7098000000000001</v>
      </c>
      <c r="G459" t="n">
        <v>3.64</v>
      </c>
      <c r="H459" t="n">
        <v>2</v>
      </c>
      <c r="I459" t="n">
        <v>16</v>
      </c>
      <c r="J459" t="n">
        <v>3</v>
      </c>
      <c r="K459" t="n">
        <v>0</v>
      </c>
      <c r="L459" t="n">
        <v>21600</v>
      </c>
      <c r="M459" t="n">
        <v>25500</v>
      </c>
      <c r="N459" t="n">
        <v>91</v>
      </c>
      <c r="O459" t="n">
        <v>0.91</v>
      </c>
      <c r="P459" t="n">
        <v>1</v>
      </c>
      <c r="Q459" t="n">
        <v>0.52</v>
      </c>
      <c r="R459" t="n">
        <v>4</v>
      </c>
      <c r="S459" t="n">
        <v>18099.9</v>
      </c>
      <c r="T459" t="n">
        <v>57</v>
      </c>
      <c r="U459" t="n">
        <v>59</v>
      </c>
      <c r="V459" t="n">
        <v>30</v>
      </c>
      <c r="W459" t="n">
        <v>22</v>
      </c>
      <c r="X459" t="n">
        <v>0</v>
      </c>
      <c r="Y459" t="n">
        <v>1</v>
      </c>
      <c r="Z459" t="n">
        <v>22</v>
      </c>
      <c r="AA459" t="n">
        <v>12</v>
      </c>
      <c r="AB459" t="n">
        <v>10</v>
      </c>
      <c r="AC459" t="n">
        <v>10</v>
      </c>
      <c r="AD459" t="n">
        <v>259200</v>
      </c>
      <c r="AE459" t="n">
        <v>216000</v>
      </c>
      <c r="AF459" t="n">
        <v>348</v>
      </c>
      <c r="AG459" t="n">
        <v>107</v>
      </c>
      <c r="AH459" t="inlineStr">
        <is>
          <t xml:space="preserve">CV. DAHLIA - PPN (PDG) </t>
        </is>
      </c>
      <c r="AI459" t="n">
        <v>358</v>
      </c>
      <c r="AJ459" t="inlineStr">
        <is>
          <t>BIO 2</t>
        </is>
      </c>
      <c r="AK459" t="n">
        <v>21</v>
      </c>
      <c r="AL459" t="inlineStr">
        <is>
          <t>Miss Glam Damar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BIO 2</t>
        </is>
      </c>
      <c r="B460" s="2">
        <f>"9555416902666"</f>
        <v/>
      </c>
      <c r="C460" t="inlineStr">
        <is>
          <t>BIO 2 Color Care Serum White 70ml</t>
        </is>
      </c>
      <c r="D460" t="inlineStr">
        <is>
          <t>Miss Glam Damar</t>
        </is>
      </c>
      <c r="E460" t="n">
        <v>9</v>
      </c>
      <c r="F460" t="n">
        <v>0.05</v>
      </c>
      <c r="G460" t="n">
        <v>0</v>
      </c>
      <c r="H460" t="n">
        <v>2</v>
      </c>
      <c r="I460" t="n">
        <v>16</v>
      </c>
      <c r="J460" t="n">
        <v>3</v>
      </c>
      <c r="K460" t="n">
        <v>0</v>
      </c>
      <c r="L460" t="n">
        <v>21600</v>
      </c>
      <c r="M460" t="n">
        <v>25500</v>
      </c>
      <c r="N460" t="n">
        <v>91</v>
      </c>
      <c r="O460" t="n">
        <v>0.91</v>
      </c>
      <c r="P460" t="n">
        <v>0</v>
      </c>
      <c r="Q460" t="n">
        <v>0.05</v>
      </c>
      <c r="R460" t="n">
        <v>0</v>
      </c>
      <c r="S460" t="n">
        <v>1275</v>
      </c>
      <c r="T460" t="n">
        <v>0</v>
      </c>
      <c r="U460" t="n">
        <v>1</v>
      </c>
      <c r="V460" t="n">
        <v>30</v>
      </c>
      <c r="W460" t="n">
        <v>2</v>
      </c>
      <c r="X460" t="n">
        <v>180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348</v>
      </c>
      <c r="AG460" t="n">
        <v>107</v>
      </c>
      <c r="AH460" t="inlineStr">
        <is>
          <t xml:space="preserve">CV. DAHLIA - PPN (PDG) </t>
        </is>
      </c>
      <c r="AI460" t="n">
        <v>358</v>
      </c>
      <c r="AJ460" t="inlineStr">
        <is>
          <t>BIO 2</t>
        </is>
      </c>
      <c r="AK460" t="n">
        <v>21</v>
      </c>
      <c r="AL460" t="inlineStr">
        <is>
          <t>Miss Glam Damar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BIO 2</t>
        </is>
      </c>
      <c r="B461" s="2">
        <f>"9555416902673"</f>
        <v/>
      </c>
      <c r="C461" t="inlineStr">
        <is>
          <t>BIO 2 Crystalizing Hair Care Serum Blue 70ml</t>
        </is>
      </c>
      <c r="D461" t="inlineStr">
        <is>
          <t>Miss Glam Damar</t>
        </is>
      </c>
      <c r="E461" t="n">
        <v>7</v>
      </c>
      <c r="F461" t="n">
        <v>0.9555000000000001</v>
      </c>
      <c r="G461" t="n">
        <v>4.55</v>
      </c>
      <c r="H461" t="n">
        <v>2</v>
      </c>
      <c r="I461" t="n">
        <v>16</v>
      </c>
      <c r="J461" t="n">
        <v>3</v>
      </c>
      <c r="K461" t="n">
        <v>0</v>
      </c>
      <c r="L461" t="n">
        <v>21600</v>
      </c>
      <c r="M461" t="n">
        <v>25500</v>
      </c>
      <c r="N461" t="n">
        <v>91</v>
      </c>
      <c r="O461" t="n">
        <v>0.91</v>
      </c>
      <c r="P461" t="n">
        <v>1</v>
      </c>
      <c r="Q461" t="n">
        <v>0.39</v>
      </c>
      <c r="R461" t="n">
        <v>3</v>
      </c>
      <c r="S461" t="n">
        <v>24365.25</v>
      </c>
      <c r="T461" t="n">
        <v>71</v>
      </c>
      <c r="U461" t="n">
        <v>73</v>
      </c>
      <c r="V461" t="n">
        <v>30</v>
      </c>
      <c r="W461" t="n">
        <v>29</v>
      </c>
      <c r="X461" t="n">
        <v>7.326007326007325</v>
      </c>
      <c r="Y461" t="n">
        <v>1</v>
      </c>
      <c r="Z461" t="n">
        <v>22</v>
      </c>
      <c r="AA461" t="n">
        <v>9</v>
      </c>
      <c r="AB461" t="n">
        <v>13</v>
      </c>
      <c r="AC461" t="n">
        <v>13</v>
      </c>
      <c r="AD461" t="n">
        <v>194400</v>
      </c>
      <c r="AE461" t="n">
        <v>280800</v>
      </c>
      <c r="AF461" t="n">
        <v>348</v>
      </c>
      <c r="AG461" t="n">
        <v>107</v>
      </c>
      <c r="AH461" t="inlineStr">
        <is>
          <t xml:space="preserve">CV. DAHLIA - PPN (PDG) </t>
        </is>
      </c>
      <c r="AI461" t="n">
        <v>358</v>
      </c>
      <c r="AJ461" t="inlineStr">
        <is>
          <t>BIO 2</t>
        </is>
      </c>
      <c r="AK461" t="n">
        <v>21</v>
      </c>
      <c r="AL461" t="inlineStr">
        <is>
          <t>Miss Glam Damar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BIO 2</t>
        </is>
      </c>
      <c r="B462" s="2">
        <f>"9555348108129"</f>
        <v/>
      </c>
      <c r="C462" t="inlineStr">
        <is>
          <t>BIO2 Color Care Serum Merah 200ml</t>
        </is>
      </c>
      <c r="D462" t="inlineStr">
        <is>
          <t>Miss Glam Damar</t>
        </is>
      </c>
      <c r="E462" t="n">
        <v>25</v>
      </c>
      <c r="F462" t="n">
        <v>0.8644999999999999</v>
      </c>
      <c r="G462" t="n">
        <v>3.64</v>
      </c>
      <c r="H462" t="n">
        <v>2</v>
      </c>
      <c r="I462" t="n">
        <v>16</v>
      </c>
      <c r="J462" t="n">
        <v>3</v>
      </c>
      <c r="K462" t="n">
        <v>0</v>
      </c>
      <c r="L462" t="n">
        <v>33300</v>
      </c>
      <c r="M462" t="n">
        <v>44000</v>
      </c>
      <c r="N462" t="n">
        <v>91</v>
      </c>
      <c r="O462" t="n">
        <v>0.91</v>
      </c>
      <c r="P462" t="n">
        <v>1</v>
      </c>
      <c r="Q462" t="n">
        <v>0.88</v>
      </c>
      <c r="R462" t="n">
        <v>4</v>
      </c>
      <c r="S462" t="n">
        <v>38038</v>
      </c>
      <c r="T462" t="n">
        <v>57</v>
      </c>
      <c r="U462" t="n">
        <v>59</v>
      </c>
      <c r="V462" t="n">
        <v>30</v>
      </c>
      <c r="W462" t="n">
        <v>26</v>
      </c>
      <c r="X462" t="n">
        <v>28.91844997108155</v>
      </c>
      <c r="Y462" t="n">
        <v>1</v>
      </c>
      <c r="Z462" t="n">
        <v>1</v>
      </c>
      <c r="AA462" t="n">
        <v>0</v>
      </c>
      <c r="AB462" t="n">
        <v>1</v>
      </c>
      <c r="AC462" t="n">
        <v>3</v>
      </c>
      <c r="AD462" t="n">
        <v>0</v>
      </c>
      <c r="AE462" t="n">
        <v>99900</v>
      </c>
      <c r="AF462" t="n">
        <v>348</v>
      </c>
      <c r="AG462" t="n">
        <v>107</v>
      </c>
      <c r="AH462" t="inlineStr">
        <is>
          <t xml:space="preserve">CV. DAHLIA - PPN (PDG) </t>
        </is>
      </c>
      <c r="AI462" t="n">
        <v>358</v>
      </c>
      <c r="AJ462" t="inlineStr">
        <is>
          <t>BIO 2</t>
        </is>
      </c>
      <c r="AK462" t="n">
        <v>21</v>
      </c>
      <c r="AL462" t="inlineStr">
        <is>
          <t>Miss Glam Damar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BIO 2</t>
        </is>
      </c>
      <c r="B463" s="2">
        <f>"9555348108112"</f>
        <v/>
      </c>
      <c r="C463" t="inlineStr">
        <is>
          <t>BIO2 Hair Care Serum Biru 200ml</t>
        </is>
      </c>
      <c r="D463" t="inlineStr">
        <is>
          <t>Miss Glam Damar</t>
        </is>
      </c>
      <c r="E463" t="n">
        <v>19</v>
      </c>
      <c r="F463" t="n">
        <v>0.7371000000000001</v>
      </c>
      <c r="G463" t="n">
        <v>4.55</v>
      </c>
      <c r="H463" t="n">
        <v>2</v>
      </c>
      <c r="I463" t="n">
        <v>16</v>
      </c>
      <c r="J463" t="n">
        <v>3</v>
      </c>
      <c r="K463" t="n">
        <v>0</v>
      </c>
      <c r="L463" t="n">
        <v>33300</v>
      </c>
      <c r="M463" t="n">
        <v>44000</v>
      </c>
      <c r="N463" t="n">
        <v>91</v>
      </c>
      <c r="O463" t="n">
        <v>0.91</v>
      </c>
      <c r="P463" t="n">
        <v>1</v>
      </c>
      <c r="Q463" t="n">
        <v>0.53</v>
      </c>
      <c r="R463" t="n">
        <v>3</v>
      </c>
      <c r="S463" t="n">
        <v>32432.40000000001</v>
      </c>
      <c r="T463" t="n">
        <v>72</v>
      </c>
      <c r="U463" t="n">
        <v>74</v>
      </c>
      <c r="V463" t="n">
        <v>30</v>
      </c>
      <c r="W463" t="n">
        <v>23</v>
      </c>
      <c r="X463" t="n">
        <v>25.77669244335911</v>
      </c>
      <c r="Y463" t="n">
        <v>1</v>
      </c>
      <c r="Z463" t="n">
        <v>4</v>
      </c>
      <c r="AA463" t="n">
        <v>0</v>
      </c>
      <c r="AB463" t="n">
        <v>4</v>
      </c>
      <c r="AC463" t="n">
        <v>4</v>
      </c>
      <c r="AD463" t="n">
        <v>0</v>
      </c>
      <c r="AE463" t="n">
        <v>133200</v>
      </c>
      <c r="AF463" t="n">
        <v>348</v>
      </c>
      <c r="AG463" t="n">
        <v>107</v>
      </c>
      <c r="AH463" t="inlineStr">
        <is>
          <t xml:space="preserve">CV. DAHLIA - PPN (PDG) </t>
        </is>
      </c>
      <c r="AI463" t="n">
        <v>358</v>
      </c>
      <c r="AJ463" t="inlineStr">
        <is>
          <t>BIO 2</t>
        </is>
      </c>
      <c r="AK463" t="n">
        <v>21</v>
      </c>
      <c r="AL463" t="inlineStr">
        <is>
          <t>Miss Glam Damar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BIO 2</t>
        </is>
      </c>
      <c r="B464" s="2">
        <f>"9555900416747"</f>
        <v/>
      </c>
      <c r="C464" t="inlineStr">
        <is>
          <t>BIO2 Hair Care Serum White 200ml</t>
        </is>
      </c>
      <c r="D464" t="inlineStr">
        <is>
          <t>Miss Glam Damar</t>
        </is>
      </c>
      <c r="E464" t="n">
        <v>18</v>
      </c>
      <c r="F464" t="n">
        <v>0.6825</v>
      </c>
      <c r="G464" t="n">
        <v>3.64</v>
      </c>
      <c r="H464" t="n">
        <v>2</v>
      </c>
      <c r="I464" t="n">
        <v>16</v>
      </c>
      <c r="J464" t="n">
        <v>3</v>
      </c>
      <c r="K464" t="n">
        <v>0</v>
      </c>
      <c r="L464" t="n">
        <v>33300</v>
      </c>
      <c r="M464" t="n">
        <v>44000</v>
      </c>
      <c r="N464" t="n">
        <v>91</v>
      </c>
      <c r="O464" t="n">
        <v>0.91</v>
      </c>
      <c r="P464" t="n">
        <v>1</v>
      </c>
      <c r="Q464" t="n">
        <v>0.46</v>
      </c>
      <c r="R464" t="n">
        <v>3</v>
      </c>
      <c r="S464" t="n">
        <v>30030</v>
      </c>
      <c r="T464" t="n">
        <v>57</v>
      </c>
      <c r="U464" t="n">
        <v>59</v>
      </c>
      <c r="V464" t="n">
        <v>30</v>
      </c>
      <c r="W464" t="n">
        <v>21</v>
      </c>
      <c r="X464" t="n">
        <v>26.37362637362637</v>
      </c>
      <c r="Y464" t="n">
        <v>1</v>
      </c>
      <c r="Z464" t="n">
        <v>3</v>
      </c>
      <c r="AA464" t="n">
        <v>0</v>
      </c>
      <c r="AB464" t="n">
        <v>3</v>
      </c>
      <c r="AC464" t="n">
        <v>3</v>
      </c>
      <c r="AD464" t="n">
        <v>0</v>
      </c>
      <c r="AE464" t="n">
        <v>99900</v>
      </c>
      <c r="AF464" t="n">
        <v>348</v>
      </c>
      <c r="AG464" t="n">
        <v>107</v>
      </c>
      <c r="AH464" t="inlineStr">
        <is>
          <t xml:space="preserve">CV. DAHLIA - PPN (PDG) </t>
        </is>
      </c>
      <c r="AI464" t="n">
        <v>358</v>
      </c>
      <c r="AJ464" t="inlineStr">
        <is>
          <t>BIO 2</t>
        </is>
      </c>
      <c r="AK464" t="n">
        <v>21</v>
      </c>
      <c r="AL464" t="inlineStr">
        <is>
          <t>Miss Glam Damar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BIO BEAUTY LAB</t>
        </is>
      </c>
      <c r="B465" s="2">
        <f>"10300722127"</f>
        <v/>
      </c>
      <c r="C465" t="inlineStr">
        <is>
          <t>BIO BEAUTY LAB Acne Barrier Hydro Moisturizer 30gr</t>
        </is>
      </c>
      <c r="D465" t="inlineStr">
        <is>
          <t>Miss Glam Damar</t>
        </is>
      </c>
      <c r="E465" t="n">
        <v>1</v>
      </c>
      <c r="F465" t="n">
        <v>0.02</v>
      </c>
      <c r="G465" t="n">
        <v>1</v>
      </c>
      <c r="H465" t="n">
        <v>4</v>
      </c>
      <c r="I465" t="n">
        <v>21</v>
      </c>
      <c r="J465" t="n">
        <v>1</v>
      </c>
      <c r="K465" t="n">
        <v>0</v>
      </c>
      <c r="L465" t="n">
        <v>162341</v>
      </c>
      <c r="M465" t="n">
        <v>203000</v>
      </c>
      <c r="N465" t="n">
        <v>91</v>
      </c>
      <c r="O465" t="n">
        <v>0.91</v>
      </c>
      <c r="P465" t="n">
        <v>0</v>
      </c>
      <c r="Q465" t="n">
        <v>0.02</v>
      </c>
      <c r="R465" t="n">
        <v>1</v>
      </c>
      <c r="S465" t="n">
        <v>4060</v>
      </c>
      <c r="T465" t="n">
        <v>21</v>
      </c>
      <c r="U465" t="n">
        <v>22</v>
      </c>
      <c r="V465" t="n">
        <v>30</v>
      </c>
      <c r="W465" t="n">
        <v>1</v>
      </c>
      <c r="X465" t="n">
        <v>50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3581</v>
      </c>
      <c r="AG465" t="n">
        <v>1</v>
      </c>
      <c r="AH465" t="inlineStr">
        <is>
          <t>PT. BERSAMA DISTRIVERSA INDONESIA (DC CIPUTAT)</t>
        </is>
      </c>
      <c r="AI465" t="n">
        <v>389</v>
      </c>
      <c r="AJ465" t="inlineStr">
        <is>
          <t>BIO BEAUTY LAB</t>
        </is>
      </c>
      <c r="AK465" t="n">
        <v>21</v>
      </c>
      <c r="AL465" t="inlineStr">
        <is>
          <t>Miss Glam Damar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BIO BEAUTY LAB</t>
        </is>
      </c>
      <c r="B466" s="2">
        <f>"8997236031491"</f>
        <v/>
      </c>
      <c r="C466" t="inlineStr">
        <is>
          <t>BIO BEAUTY LAB Glycolic Brightening Cleanser 100ml</t>
        </is>
      </c>
      <c r="D466" t="inlineStr">
        <is>
          <t>Miss Glam Damar</t>
        </is>
      </c>
      <c r="E466" t="n">
        <v>0</v>
      </c>
      <c r="F466" t="n">
        <v>0.02</v>
      </c>
      <c r="G466" t="n">
        <v>1</v>
      </c>
      <c r="H466" t="n">
        <v>4</v>
      </c>
      <c r="I466" t="n">
        <v>21</v>
      </c>
      <c r="J466" t="n">
        <v>3</v>
      </c>
      <c r="K466" t="n">
        <v>0</v>
      </c>
      <c r="L466" t="n">
        <v>131902</v>
      </c>
      <c r="M466" t="n">
        <v>184000</v>
      </c>
      <c r="N466" t="n">
        <v>91</v>
      </c>
      <c r="O466" t="n">
        <v>0.91</v>
      </c>
      <c r="P466" t="n">
        <v>0</v>
      </c>
      <c r="Q466" t="n">
        <v>0.02</v>
      </c>
      <c r="R466" t="n">
        <v>1</v>
      </c>
      <c r="S466" t="n">
        <v>3680</v>
      </c>
      <c r="T466" t="n">
        <v>21</v>
      </c>
      <c r="U466" t="n">
        <v>22</v>
      </c>
      <c r="V466" t="n">
        <v>30</v>
      </c>
      <c r="W466" t="n">
        <v>1</v>
      </c>
      <c r="X466" t="n">
        <v>0</v>
      </c>
      <c r="Y466" t="n">
        <v>1</v>
      </c>
      <c r="Z466" t="n">
        <v>1</v>
      </c>
      <c r="AA466" t="n">
        <v>1</v>
      </c>
      <c r="AB466" t="n">
        <v>0</v>
      </c>
      <c r="AC466" t="n">
        <v>0</v>
      </c>
      <c r="AD466" t="n">
        <v>131902</v>
      </c>
      <c r="AE466" t="n">
        <v>0</v>
      </c>
      <c r="AF466" t="n">
        <v>3581</v>
      </c>
      <c r="AG466" t="n">
        <v>1</v>
      </c>
      <c r="AH466" t="inlineStr">
        <is>
          <t>PT. BERSAMA DISTRIVERSA INDONESIA (DC CIPUTAT)</t>
        </is>
      </c>
      <c r="AI466" t="n">
        <v>389</v>
      </c>
      <c r="AJ466" t="inlineStr">
        <is>
          <t>BIO BEAUTY LAB</t>
        </is>
      </c>
      <c r="AK466" t="n">
        <v>21</v>
      </c>
      <c r="AL466" t="inlineStr">
        <is>
          <t>Miss Glam Damar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BIO BEAUTY LAB</t>
        </is>
      </c>
      <c r="B467" s="2">
        <f>"8997236030234"</f>
        <v/>
      </c>
      <c r="C467" t="inlineStr">
        <is>
          <t>BIO BEAUTY LAB Luxurious Facial Oil Serum 5ml</t>
        </is>
      </c>
      <c r="D467" t="inlineStr">
        <is>
          <t>Miss Glam Damar</t>
        </is>
      </c>
      <c r="E467" t="n">
        <v>0</v>
      </c>
      <c r="F467" t="n">
        <v>0.03</v>
      </c>
      <c r="G467" t="n">
        <v>1</v>
      </c>
      <c r="H467" t="n">
        <v>4</v>
      </c>
      <c r="I467" t="n">
        <v>21</v>
      </c>
      <c r="J467" t="n">
        <v>3</v>
      </c>
      <c r="K467" t="n">
        <v>0</v>
      </c>
      <c r="L467" t="n">
        <v>86099</v>
      </c>
      <c r="M467" t="n">
        <v>120000</v>
      </c>
      <c r="N467" t="n">
        <v>91</v>
      </c>
      <c r="O467" t="n">
        <v>0.91</v>
      </c>
      <c r="P467" t="n">
        <v>0</v>
      </c>
      <c r="Q467" t="n">
        <v>0.03</v>
      </c>
      <c r="R467" t="n">
        <v>1</v>
      </c>
      <c r="S467" t="n">
        <v>3600</v>
      </c>
      <c r="T467" t="n">
        <v>21</v>
      </c>
      <c r="U467" t="n">
        <v>22</v>
      </c>
      <c r="V467" t="n">
        <v>30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n">
        <v>0</v>
      </c>
      <c r="AC467" t="n">
        <v>0</v>
      </c>
      <c r="AD467" t="n">
        <v>86099</v>
      </c>
      <c r="AE467" t="n">
        <v>0</v>
      </c>
      <c r="AF467" t="n">
        <v>3581</v>
      </c>
      <c r="AG467" t="n">
        <v>1</v>
      </c>
      <c r="AH467" t="inlineStr">
        <is>
          <t>PT. BERSAMA DISTRIVERSA INDONESIA (DC CIPUTAT)</t>
        </is>
      </c>
      <c r="AI467" t="n">
        <v>389</v>
      </c>
      <c r="AJ467" t="inlineStr">
        <is>
          <t>BIO BEAUTY LAB</t>
        </is>
      </c>
      <c r="AK467" t="n">
        <v>21</v>
      </c>
      <c r="AL467" t="inlineStr">
        <is>
          <t>Miss Glam Damar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BIO BEAUTY LAB</t>
        </is>
      </c>
      <c r="B468" s="2">
        <f>"10400515535"</f>
        <v/>
      </c>
      <c r="C468" t="inlineStr">
        <is>
          <t>BIO BEAUTY LAB Luxurious Perfecting Sunscreen 50gr</t>
        </is>
      </c>
      <c r="D468" t="inlineStr">
        <is>
          <t>Miss Glam Damar</t>
        </is>
      </c>
      <c r="E468" t="n">
        <v>0</v>
      </c>
      <c r="F468" t="n">
        <v>0.03</v>
      </c>
      <c r="G468" t="n">
        <v>1</v>
      </c>
      <c r="H468" t="n">
        <v>4</v>
      </c>
      <c r="I468" t="n">
        <v>21</v>
      </c>
      <c r="J468" t="n">
        <v>1</v>
      </c>
      <c r="K468" t="n">
        <v>0</v>
      </c>
      <c r="L468" t="n">
        <v>183341</v>
      </c>
      <c r="M468" t="n">
        <v>216500</v>
      </c>
      <c r="N468" t="n">
        <v>91</v>
      </c>
      <c r="O468" t="n">
        <v>0.91</v>
      </c>
      <c r="P468" t="n">
        <v>0</v>
      </c>
      <c r="Q468" t="n">
        <v>0.03</v>
      </c>
      <c r="R468" t="n">
        <v>1</v>
      </c>
      <c r="S468" t="n">
        <v>6495</v>
      </c>
      <c r="T468" t="n">
        <v>21</v>
      </c>
      <c r="U468" t="n">
        <v>22</v>
      </c>
      <c r="V468" t="n">
        <v>30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n">
        <v>0</v>
      </c>
      <c r="AC468" t="n">
        <v>0</v>
      </c>
      <c r="AD468" t="n">
        <v>183341</v>
      </c>
      <c r="AE468" t="n">
        <v>0</v>
      </c>
      <c r="AF468" t="n">
        <v>3581</v>
      </c>
      <c r="AG468" t="n">
        <v>1</v>
      </c>
      <c r="AH468" t="inlineStr">
        <is>
          <t>PT. BERSAMA DISTRIVERSA INDONESIA (DC CIPUTAT)</t>
        </is>
      </c>
      <c r="AI468" t="n">
        <v>389</v>
      </c>
      <c r="AJ468" t="inlineStr">
        <is>
          <t>BIO BEAUTY LAB</t>
        </is>
      </c>
      <c r="AK468" t="n">
        <v>21</v>
      </c>
      <c r="AL468" t="inlineStr">
        <is>
          <t>Miss Glam Damar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BIO HERBAL</t>
        </is>
      </c>
      <c r="B469" s="2">
        <f>"8997019532290"</f>
        <v/>
      </c>
      <c r="C469" t="inlineStr">
        <is>
          <t>BIO HERBAL Bulus Putih Massage Oil 15ml</t>
        </is>
      </c>
      <c r="D469" t="inlineStr">
        <is>
          <t>Miss Glam Damar</t>
        </is>
      </c>
      <c r="E469" t="n">
        <v>5</v>
      </c>
      <c r="F469" t="n">
        <v>0.02</v>
      </c>
      <c r="G469" t="n">
        <v>1</v>
      </c>
      <c r="H469" t="n">
        <v>4</v>
      </c>
      <c r="I469" t="n">
        <v>21</v>
      </c>
      <c r="J469" t="n">
        <v>3</v>
      </c>
      <c r="K469" t="n">
        <v>0</v>
      </c>
      <c r="L469" t="n">
        <v>16089</v>
      </c>
      <c r="M469" t="n">
        <v>29000</v>
      </c>
      <c r="N469" t="n">
        <v>91</v>
      </c>
      <c r="O469" t="n">
        <v>0.91</v>
      </c>
      <c r="P469" t="n">
        <v>0</v>
      </c>
      <c r="Q469" t="n">
        <v>0.02</v>
      </c>
      <c r="R469" t="n">
        <v>1</v>
      </c>
      <c r="S469" t="n">
        <v>580</v>
      </c>
      <c r="T469" t="n">
        <v>21</v>
      </c>
      <c r="U469" t="n">
        <v>22</v>
      </c>
      <c r="V469" t="n">
        <v>30</v>
      </c>
      <c r="W469" t="n">
        <v>1</v>
      </c>
      <c r="X469" t="n">
        <v>250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3614</v>
      </c>
      <c r="AG469" t="n">
        <v>1</v>
      </c>
      <c r="AH469" t="inlineStr">
        <is>
          <t>PT. BERSAMA DISTRIVERSA INDONESIA (DC CIPUTAT)</t>
        </is>
      </c>
      <c r="AI469" t="n">
        <v>1016</v>
      </c>
      <c r="AJ469" t="inlineStr">
        <is>
          <t>BIO HERBAL</t>
        </is>
      </c>
      <c r="AK469" t="n">
        <v>21</v>
      </c>
      <c r="AL469" t="inlineStr">
        <is>
          <t>Miss Glam Damar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BIO HERBAL</t>
        </is>
      </c>
      <c r="B470" s="2">
        <f>"8997019532788"</f>
        <v/>
      </c>
      <c r="C470" t="inlineStr">
        <is>
          <t>BIO HERBAL Foot &amp; Heel Cream 50gr</t>
        </is>
      </c>
      <c r="D470" t="inlineStr">
        <is>
          <t>Miss Glam Damar</t>
        </is>
      </c>
      <c r="E470" t="n">
        <v>1</v>
      </c>
      <c r="F470" t="n">
        <v>0.07000000000000001</v>
      </c>
      <c r="G470" t="n">
        <v>1</v>
      </c>
      <c r="H470" t="n">
        <v>4</v>
      </c>
      <c r="I470" t="n">
        <v>21</v>
      </c>
      <c r="J470" t="n">
        <v>3</v>
      </c>
      <c r="K470" t="n">
        <v>0</v>
      </c>
      <c r="L470" t="n">
        <v>25191</v>
      </c>
      <c r="M470" t="n">
        <v>32500</v>
      </c>
      <c r="N470" t="n">
        <v>91</v>
      </c>
      <c r="O470" t="n">
        <v>0.91</v>
      </c>
      <c r="P470" t="n">
        <v>0</v>
      </c>
      <c r="Q470" t="n">
        <v>0.07000000000000001</v>
      </c>
      <c r="R470" t="n">
        <v>1</v>
      </c>
      <c r="S470" t="n">
        <v>2275</v>
      </c>
      <c r="T470" t="n">
        <v>21</v>
      </c>
      <c r="U470" t="n">
        <v>22</v>
      </c>
      <c r="V470" t="n">
        <v>30</v>
      </c>
      <c r="W470" t="n">
        <v>3</v>
      </c>
      <c r="X470" t="n">
        <v>14.28571428571428</v>
      </c>
      <c r="Y470" t="n">
        <v>1</v>
      </c>
      <c r="Z470" t="n">
        <v>2</v>
      </c>
      <c r="AA470" t="n">
        <v>1</v>
      </c>
      <c r="AB470" t="n">
        <v>1</v>
      </c>
      <c r="AC470" t="n">
        <v>3</v>
      </c>
      <c r="AD470" t="n">
        <v>25191</v>
      </c>
      <c r="AE470" t="n">
        <v>75573</v>
      </c>
      <c r="AF470" t="n">
        <v>3614</v>
      </c>
      <c r="AG470" t="n">
        <v>1</v>
      </c>
      <c r="AH470" t="inlineStr">
        <is>
          <t>PT. BERSAMA DISTRIVERSA INDONESIA (DC CIPUTAT)</t>
        </is>
      </c>
      <c r="AI470" t="n">
        <v>1016</v>
      </c>
      <c r="AJ470" t="inlineStr">
        <is>
          <t>BIO HERBAL</t>
        </is>
      </c>
      <c r="AK470" t="n">
        <v>21</v>
      </c>
      <c r="AL470" t="inlineStr">
        <is>
          <t>Miss Glam Damar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BIO HERBAL</t>
        </is>
      </c>
      <c r="B471" s="2">
        <f>"8997019532474"</f>
        <v/>
      </c>
      <c r="C471" t="inlineStr">
        <is>
          <t>BIO HERBAL Foot Spray 60ml</t>
        </is>
      </c>
      <c r="D471" t="inlineStr">
        <is>
          <t>Miss Glam Damar</t>
        </is>
      </c>
      <c r="E471" t="n">
        <v>3</v>
      </c>
      <c r="F471" t="n">
        <v>0.02</v>
      </c>
      <c r="G471" t="n">
        <v>1</v>
      </c>
      <c r="H471" t="n">
        <v>4</v>
      </c>
      <c r="I471" t="n">
        <v>21</v>
      </c>
      <c r="J471" t="n">
        <v>3</v>
      </c>
      <c r="K471" t="n">
        <v>0</v>
      </c>
      <c r="L471" t="n">
        <v>21191</v>
      </c>
      <c r="M471" t="n">
        <v>27000</v>
      </c>
      <c r="N471" t="n">
        <v>91</v>
      </c>
      <c r="O471" t="n">
        <v>0.91</v>
      </c>
      <c r="P471" t="n">
        <v>0</v>
      </c>
      <c r="Q471" t="n">
        <v>0.02</v>
      </c>
      <c r="R471" t="n">
        <v>1</v>
      </c>
      <c r="S471" t="n">
        <v>540</v>
      </c>
      <c r="T471" t="n">
        <v>21</v>
      </c>
      <c r="U471" t="n">
        <v>22</v>
      </c>
      <c r="V471" t="n">
        <v>30</v>
      </c>
      <c r="W471" t="n">
        <v>1</v>
      </c>
      <c r="X471" t="n">
        <v>150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3614</v>
      </c>
      <c r="AG471" t="n">
        <v>1</v>
      </c>
      <c r="AH471" t="inlineStr">
        <is>
          <t>PT. BERSAMA DISTRIVERSA INDONESIA (DC CIPUTAT)</t>
        </is>
      </c>
      <c r="AI471" t="n">
        <v>1016</v>
      </c>
      <c r="AJ471" t="inlineStr">
        <is>
          <t>BIO HERBAL</t>
        </is>
      </c>
      <c r="AK471" t="n">
        <v>21</v>
      </c>
      <c r="AL471" t="inlineStr">
        <is>
          <t>Miss Glam Damar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BIO HERBAL</t>
        </is>
      </c>
      <c r="B472" s="2">
        <f>"8997019532863"</f>
        <v/>
      </c>
      <c r="C472" t="inlineStr">
        <is>
          <t>BIO HERBAL Underarm Cream Brightening 50gr</t>
        </is>
      </c>
      <c r="D472" t="inlineStr">
        <is>
          <t>Miss Glam Damar</t>
        </is>
      </c>
      <c r="E472" t="n">
        <v>3</v>
      </c>
      <c r="F472" t="n">
        <v>0.05</v>
      </c>
      <c r="G472" t="n">
        <v>1</v>
      </c>
      <c r="H472" t="n">
        <v>4</v>
      </c>
      <c r="I472" t="n">
        <v>21</v>
      </c>
      <c r="J472" t="n">
        <v>3</v>
      </c>
      <c r="K472" t="n">
        <v>0</v>
      </c>
      <c r="L472" t="n">
        <v>25598</v>
      </c>
      <c r="M472" t="n">
        <v>32500</v>
      </c>
      <c r="N472" t="n">
        <v>91</v>
      </c>
      <c r="O472" t="n">
        <v>0.91</v>
      </c>
      <c r="P472" t="n">
        <v>0</v>
      </c>
      <c r="Q472" t="n">
        <v>0.05</v>
      </c>
      <c r="R472" t="n">
        <v>1</v>
      </c>
      <c r="S472" t="n">
        <v>1625</v>
      </c>
      <c r="T472" t="n">
        <v>21</v>
      </c>
      <c r="U472" t="n">
        <v>22</v>
      </c>
      <c r="V472" t="n">
        <v>30</v>
      </c>
      <c r="W472" t="n">
        <v>2</v>
      </c>
      <c r="X472" t="n">
        <v>60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3614</v>
      </c>
      <c r="AG472" t="n">
        <v>1</v>
      </c>
      <c r="AH472" t="inlineStr">
        <is>
          <t>PT. BERSAMA DISTRIVERSA INDONESIA (DC CIPUTAT)</t>
        </is>
      </c>
      <c r="AI472" t="n">
        <v>1016</v>
      </c>
      <c r="AJ472" t="inlineStr">
        <is>
          <t>BIO HERBAL</t>
        </is>
      </c>
      <c r="AK472" t="n">
        <v>21</v>
      </c>
      <c r="AL472" t="inlineStr">
        <is>
          <t>Miss Glam Damar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BIO-OIL</t>
        </is>
      </c>
      <c r="B473" s="2">
        <f>"6001159121787"</f>
        <v/>
      </c>
      <c r="C473" t="inlineStr">
        <is>
          <t>BIO OIL Gel Kulit Kering 50ml</t>
        </is>
      </c>
      <c r="D473" t="inlineStr">
        <is>
          <t>Miss Glam Damar</t>
        </is>
      </c>
      <c r="E473" t="n">
        <v>2</v>
      </c>
      <c r="F473" t="n">
        <v>0.09100000000000001</v>
      </c>
      <c r="G473" t="n">
        <v>1.82</v>
      </c>
      <c r="H473" t="n">
        <v>5</v>
      </c>
      <c r="I473" t="n">
        <v>6</v>
      </c>
      <c r="J473" t="n">
        <v>3</v>
      </c>
      <c r="K473" t="n">
        <v>0</v>
      </c>
      <c r="L473" t="n">
        <v>79200</v>
      </c>
      <c r="M473" t="n">
        <v>98000</v>
      </c>
      <c r="N473" t="n">
        <v>91</v>
      </c>
      <c r="O473" t="n">
        <v>0.91</v>
      </c>
      <c r="P473" t="n">
        <v>1</v>
      </c>
      <c r="Q473" t="n">
        <v>0.14</v>
      </c>
      <c r="R473" t="n">
        <v>1</v>
      </c>
      <c r="S473" t="n">
        <v>8918.000000000002</v>
      </c>
      <c r="T473" t="n">
        <v>11</v>
      </c>
      <c r="U473" t="n">
        <v>12</v>
      </c>
      <c r="V473" t="n">
        <v>30</v>
      </c>
      <c r="W473" t="n">
        <v>3</v>
      </c>
      <c r="X473" t="n">
        <v>21.97802197802197</v>
      </c>
      <c r="Y473" t="n">
        <v>1</v>
      </c>
      <c r="Z473" t="n">
        <v>1</v>
      </c>
      <c r="AA473" t="n">
        <v>0</v>
      </c>
      <c r="AB473" t="n">
        <v>1</v>
      </c>
      <c r="AC473" t="n">
        <v>3</v>
      </c>
      <c r="AD473" t="n">
        <v>0</v>
      </c>
      <c r="AE473" t="n">
        <v>237600</v>
      </c>
      <c r="AF473" t="n">
        <v>12094</v>
      </c>
      <c r="AG473" t="n">
        <v>41</v>
      </c>
      <c r="AH473" t="inlineStr">
        <is>
          <t>PT. RADIANT SENTRAL NUTRINDO - PPN (PDG)</t>
        </is>
      </c>
      <c r="AI473" t="n">
        <v>41</v>
      </c>
      <c r="AJ473" t="inlineStr">
        <is>
          <t>BIO-OIL</t>
        </is>
      </c>
      <c r="AK473" t="n">
        <v>21</v>
      </c>
      <c r="AL473" t="inlineStr">
        <is>
          <t>Miss Glam Damar</t>
        </is>
      </c>
      <c r="AM473" t="n">
        <v>5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BIO-OIL</t>
        </is>
      </c>
      <c r="B474" s="2">
        <f>"6001159113751"</f>
        <v/>
      </c>
      <c r="C474" t="inlineStr">
        <is>
          <t>BIO OIL Skin Care Oil 200ml</t>
        </is>
      </c>
      <c r="D474" t="inlineStr">
        <is>
          <t>Miss Glam Damar</t>
        </is>
      </c>
      <c r="E474" t="n">
        <v>5</v>
      </c>
      <c r="F474" t="n">
        <v>0.0182</v>
      </c>
      <c r="G474" t="n">
        <v>0.91</v>
      </c>
      <c r="H474" t="n">
        <v>5</v>
      </c>
      <c r="I474" t="n">
        <v>6</v>
      </c>
      <c r="J474" t="n">
        <v>3</v>
      </c>
      <c r="K474" t="n">
        <v>0</v>
      </c>
      <c r="L474" t="n">
        <v>316000</v>
      </c>
      <c r="M474" t="n">
        <v>391000</v>
      </c>
      <c r="N474" t="n">
        <v>91</v>
      </c>
      <c r="O474" t="n">
        <v>0.91</v>
      </c>
      <c r="P474" t="n">
        <v>1</v>
      </c>
      <c r="Q474" t="n">
        <v>0.02</v>
      </c>
      <c r="R474" t="n">
        <v>1</v>
      </c>
      <c r="S474" t="n">
        <v>7116.200000000001</v>
      </c>
      <c r="T474" t="n">
        <v>6</v>
      </c>
      <c r="U474" t="n">
        <v>7</v>
      </c>
      <c r="V474" t="n">
        <v>30</v>
      </c>
      <c r="W474" t="n">
        <v>1</v>
      </c>
      <c r="X474" t="n">
        <v>274.7252747252747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12094</v>
      </c>
      <c r="AG474" t="n">
        <v>41</v>
      </c>
      <c r="AH474" t="inlineStr">
        <is>
          <t>PT. RADIANT SENTRAL NUTRINDO - PPN (PDG)</t>
        </is>
      </c>
      <c r="AI474" t="n">
        <v>41</v>
      </c>
      <c r="AJ474" t="inlineStr">
        <is>
          <t>BIO-OIL</t>
        </is>
      </c>
      <c r="AK474" t="n">
        <v>21</v>
      </c>
      <c r="AL474" t="inlineStr">
        <is>
          <t>Miss Glam Damar</t>
        </is>
      </c>
      <c r="AM474" t="n">
        <v>5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BIO-OIL</t>
        </is>
      </c>
      <c r="B475" s="2">
        <f>"6001159125488"</f>
        <v/>
      </c>
      <c r="C475" t="inlineStr">
        <is>
          <t>BIO-OIL Skin Care (Natural) Oil 25ml</t>
        </is>
      </c>
      <c r="D475" t="inlineStr">
        <is>
          <t>Miss Glam Damar</t>
        </is>
      </c>
      <c r="E475" t="n">
        <v>13</v>
      </c>
      <c r="F475" t="n">
        <v>0.1547</v>
      </c>
      <c r="G475" t="n">
        <v>0.91</v>
      </c>
      <c r="H475" t="n">
        <v>5</v>
      </c>
      <c r="I475" t="n">
        <v>6</v>
      </c>
      <c r="J475" t="n">
        <v>3</v>
      </c>
      <c r="K475" t="n">
        <v>0</v>
      </c>
      <c r="L475" t="n">
        <v>80000</v>
      </c>
      <c r="M475" t="n">
        <v>98000</v>
      </c>
      <c r="N475" t="n">
        <v>91</v>
      </c>
      <c r="O475" t="n">
        <v>0.91</v>
      </c>
      <c r="P475" t="n">
        <v>1</v>
      </c>
      <c r="Q475" t="n">
        <v>0.17</v>
      </c>
      <c r="R475" t="n">
        <v>2</v>
      </c>
      <c r="S475" t="n">
        <v>15160.6</v>
      </c>
      <c r="T475" t="n">
        <v>5</v>
      </c>
      <c r="U475" t="n">
        <v>6</v>
      </c>
      <c r="V475" t="n">
        <v>30</v>
      </c>
      <c r="W475" t="n">
        <v>5</v>
      </c>
      <c r="X475" t="n">
        <v>84.03361344537815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12094</v>
      </c>
      <c r="AG475" t="n">
        <v>41</v>
      </c>
      <c r="AH475" t="inlineStr">
        <is>
          <t>PT. RADIANT SENTRAL NUTRINDO - PPN (PDG)</t>
        </is>
      </c>
      <c r="AI475" t="n">
        <v>41</v>
      </c>
      <c r="AJ475" t="inlineStr">
        <is>
          <t>BIO-OIL</t>
        </is>
      </c>
      <c r="AK475" t="n">
        <v>21</v>
      </c>
      <c r="AL475" t="inlineStr">
        <is>
          <t>Miss Glam Damar</t>
        </is>
      </c>
      <c r="AM475" t="n">
        <v>5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BIO-OIL</t>
        </is>
      </c>
      <c r="B476" s="2">
        <f>"6001159113744"</f>
        <v/>
      </c>
      <c r="C476" t="inlineStr">
        <is>
          <t>BIO-OIL Skincare Oil 125ml</t>
        </is>
      </c>
      <c r="D476" t="inlineStr">
        <is>
          <t>Miss Glam Damar</t>
        </is>
      </c>
      <c r="E476" t="n">
        <v>8</v>
      </c>
      <c r="F476" t="n">
        <v>0.06370000000000001</v>
      </c>
      <c r="G476" t="n">
        <v>0.91</v>
      </c>
      <c r="H476" t="n">
        <v>5</v>
      </c>
      <c r="I476" t="n">
        <v>6</v>
      </c>
      <c r="J476" t="n">
        <v>3</v>
      </c>
      <c r="K476" t="n">
        <v>0</v>
      </c>
      <c r="L476" t="n">
        <v>226400</v>
      </c>
      <c r="M476" t="n">
        <v>294000</v>
      </c>
      <c r="N476" t="n">
        <v>91</v>
      </c>
      <c r="O476" t="n">
        <v>0.91</v>
      </c>
      <c r="P476" t="n">
        <v>1</v>
      </c>
      <c r="Q476" t="n">
        <v>0.08</v>
      </c>
      <c r="R476" t="n">
        <v>2</v>
      </c>
      <c r="S476" t="n">
        <v>18727.8</v>
      </c>
      <c r="T476" t="n">
        <v>6</v>
      </c>
      <c r="U476" t="n">
        <v>7</v>
      </c>
      <c r="V476" t="n">
        <v>30</v>
      </c>
      <c r="W476" t="n">
        <v>2</v>
      </c>
      <c r="X476" t="n">
        <v>125.5886970172684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12094</v>
      </c>
      <c r="AG476" t="n">
        <v>41</v>
      </c>
      <c r="AH476" t="inlineStr">
        <is>
          <t>PT. RADIANT SENTRAL NUTRINDO - PPN (PDG)</t>
        </is>
      </c>
      <c r="AI476" t="n">
        <v>41</v>
      </c>
      <c r="AJ476" t="inlineStr">
        <is>
          <t>BIO-OIL</t>
        </is>
      </c>
      <c r="AK476" t="n">
        <v>21</v>
      </c>
      <c r="AL476" t="inlineStr">
        <is>
          <t>Miss Glam Damar</t>
        </is>
      </c>
      <c r="AM476" t="n">
        <v>5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BIO-OIL</t>
        </is>
      </c>
      <c r="B477" s="2">
        <f>"6001159113737"</f>
        <v/>
      </c>
      <c r="C477" t="inlineStr">
        <is>
          <t>BIO-OIL Skincare Oil 60ml</t>
        </is>
      </c>
      <c r="D477" t="inlineStr">
        <is>
          <t>Miss Glam Damar</t>
        </is>
      </c>
      <c r="E477" t="n">
        <v>7</v>
      </c>
      <c r="F477" t="n">
        <v>0.182</v>
      </c>
      <c r="G477" t="n">
        <v>1.82</v>
      </c>
      <c r="H477" t="n">
        <v>5</v>
      </c>
      <c r="I477" t="n">
        <v>6</v>
      </c>
      <c r="J477" t="n">
        <v>3</v>
      </c>
      <c r="K477" t="n">
        <v>0</v>
      </c>
      <c r="L477" t="n">
        <v>136000</v>
      </c>
      <c r="M477" t="n">
        <v>167000</v>
      </c>
      <c r="N477" t="n">
        <v>91</v>
      </c>
      <c r="O477" t="n">
        <v>0.91</v>
      </c>
      <c r="P477" t="n">
        <v>1</v>
      </c>
      <c r="Q477" t="n">
        <v>0.1</v>
      </c>
      <c r="R477" t="n">
        <v>2</v>
      </c>
      <c r="S477" t="n">
        <v>30394</v>
      </c>
      <c r="T477" t="n">
        <v>11</v>
      </c>
      <c r="U477" t="n">
        <v>12</v>
      </c>
      <c r="V477" t="n">
        <v>30</v>
      </c>
      <c r="W477" t="n">
        <v>6</v>
      </c>
      <c r="X477" t="n">
        <v>38.46153846153846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12094</v>
      </c>
      <c r="AG477" t="n">
        <v>41</v>
      </c>
      <c r="AH477" t="inlineStr">
        <is>
          <t>PT. RADIANT SENTRAL NUTRINDO - PPN (PDG)</t>
        </is>
      </c>
      <c r="AI477" t="n">
        <v>41</v>
      </c>
      <c r="AJ477" t="inlineStr">
        <is>
          <t>BIO-OIL</t>
        </is>
      </c>
      <c r="AK477" t="n">
        <v>21</v>
      </c>
      <c r="AL477" t="inlineStr">
        <is>
          <t>Miss Glam Damar</t>
        </is>
      </c>
      <c r="AM477" t="n">
        <v>5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BIOAQUA</t>
        </is>
      </c>
      <c r="B478" s="2">
        <f>"6957148429214"</f>
        <v/>
      </c>
      <c r="C478" t="inlineStr">
        <is>
          <t>BIOAQUA  Milk + Nica Glowing &amp; Brightening Set</t>
        </is>
      </c>
      <c r="D478" t="inlineStr">
        <is>
          <t>Miss Glam Damar</t>
        </is>
      </c>
      <c r="E478" t="n">
        <v>1</v>
      </c>
      <c r="F478" t="n">
        <v>0.06370000000000001</v>
      </c>
      <c r="G478" t="n">
        <v>0.91</v>
      </c>
      <c r="H478" t="n">
        <v>2</v>
      </c>
      <c r="I478" t="n">
        <v>16</v>
      </c>
      <c r="J478" t="n">
        <v>3</v>
      </c>
      <c r="K478" t="n">
        <v>0</v>
      </c>
      <c r="L478" t="n">
        <v>88000</v>
      </c>
      <c r="M478" t="n">
        <v>110000</v>
      </c>
      <c r="N478" t="n">
        <v>91</v>
      </c>
      <c r="O478" t="n">
        <v>0.91</v>
      </c>
      <c r="P478" t="n">
        <v>1</v>
      </c>
      <c r="Q478" t="n">
        <v>0.03</v>
      </c>
      <c r="R478" t="n">
        <v>1</v>
      </c>
      <c r="S478" t="n">
        <v>7007.000000000001</v>
      </c>
      <c r="T478" t="n">
        <v>15</v>
      </c>
      <c r="U478" t="n">
        <v>16</v>
      </c>
      <c r="V478" t="n">
        <v>30</v>
      </c>
      <c r="W478" t="n">
        <v>2</v>
      </c>
      <c r="X478" t="n">
        <v>15.69858712715855</v>
      </c>
      <c r="Y478" t="n">
        <v>1</v>
      </c>
      <c r="Z478" t="n">
        <v>1</v>
      </c>
      <c r="AA478" t="n">
        <v>1</v>
      </c>
      <c r="AB478" t="n">
        <v>0</v>
      </c>
      <c r="AC478" t="n">
        <v>0</v>
      </c>
      <c r="AD478" t="n">
        <v>88000</v>
      </c>
      <c r="AE478" t="n">
        <v>0</v>
      </c>
      <c r="AF478" t="n">
        <v>369</v>
      </c>
      <c r="AG478" t="n">
        <v>107</v>
      </c>
      <c r="AH478" t="inlineStr">
        <is>
          <t xml:space="preserve">CV. DAHLIA - PPN (PDG) </t>
        </is>
      </c>
      <c r="AI478" t="n">
        <v>996</v>
      </c>
      <c r="AJ478" t="inlineStr">
        <is>
          <t>BIOAQUA</t>
        </is>
      </c>
      <c r="AK478" t="n">
        <v>21</v>
      </c>
      <c r="AL478" t="inlineStr">
        <is>
          <t>Miss Glam Damar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BIOAQUA</t>
        </is>
      </c>
      <c r="B479" s="2">
        <f>"6957148425513"</f>
        <v/>
      </c>
      <c r="C479" t="inlineStr">
        <is>
          <t>BIOAQUA Aloevera Nicotinamide Essence Mask 25gr</t>
        </is>
      </c>
      <c r="D479" t="inlineStr">
        <is>
          <t>Miss Glam Damar</t>
        </is>
      </c>
      <c r="E479" t="n">
        <v>1</v>
      </c>
      <c r="F479" t="n">
        <v>0.88</v>
      </c>
      <c r="G479" t="n">
        <v>14</v>
      </c>
      <c r="H479" t="n">
        <v>2</v>
      </c>
      <c r="I479" t="n">
        <v>16</v>
      </c>
      <c r="J479" t="n">
        <v>3</v>
      </c>
      <c r="K479" t="n">
        <v>0</v>
      </c>
      <c r="L479" t="n">
        <v>2717</v>
      </c>
      <c r="M479" t="n">
        <v>3500</v>
      </c>
      <c r="N479" t="n">
        <v>91</v>
      </c>
      <c r="O479" t="n">
        <v>0.91</v>
      </c>
      <c r="P479" t="n">
        <v>0</v>
      </c>
      <c r="Q479" t="n">
        <v>0.88</v>
      </c>
      <c r="R479" t="n">
        <v>14</v>
      </c>
      <c r="S479" t="n">
        <v>3080</v>
      </c>
      <c r="T479" t="n">
        <v>223</v>
      </c>
      <c r="U479" t="n">
        <v>225</v>
      </c>
      <c r="V479" t="n">
        <v>30</v>
      </c>
      <c r="W479" t="n">
        <v>27</v>
      </c>
      <c r="X479" t="n">
        <v>1.136363636363636</v>
      </c>
      <c r="Y479" t="n">
        <v>1</v>
      </c>
      <c r="Z479" t="n">
        <v>26</v>
      </c>
      <c r="AA479" t="n">
        <v>14</v>
      </c>
      <c r="AB479" t="n">
        <v>12</v>
      </c>
      <c r="AC479" t="n">
        <v>12</v>
      </c>
      <c r="AD479" t="n">
        <v>38038</v>
      </c>
      <c r="AE479" t="n">
        <v>32604</v>
      </c>
      <c r="AF479" t="n">
        <v>369</v>
      </c>
      <c r="AG479" t="n">
        <v>107</v>
      </c>
      <c r="AH479" t="inlineStr">
        <is>
          <t xml:space="preserve">CV. DAHLIA - PPN (PDG) </t>
        </is>
      </c>
      <c r="AI479" t="n">
        <v>996</v>
      </c>
      <c r="AJ479" t="inlineStr">
        <is>
          <t>BIOAQUA</t>
        </is>
      </c>
      <c r="AK479" t="n">
        <v>21</v>
      </c>
      <c r="AL479" t="inlineStr">
        <is>
          <t>Miss Glam Damar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BIOAQUA</t>
        </is>
      </c>
      <c r="B480" s="2">
        <f>"6957148425520"</f>
        <v/>
      </c>
      <c r="C480" t="inlineStr">
        <is>
          <t>BIOAQUA Avocado Bifida Ferment Lysate Essence Mask 25gr</t>
        </is>
      </c>
      <c r="D480" t="inlineStr">
        <is>
          <t>Miss Glam Damar</t>
        </is>
      </c>
      <c r="E480" t="n">
        <v>0</v>
      </c>
      <c r="F480" t="n">
        <v>4.613700000000001</v>
      </c>
      <c r="G480" t="n">
        <v>17.29</v>
      </c>
      <c r="H480" t="n">
        <v>2</v>
      </c>
      <c r="I480" t="n">
        <v>16</v>
      </c>
      <c r="J480" t="n">
        <v>3</v>
      </c>
      <c r="K480" t="n">
        <v>0</v>
      </c>
      <c r="L480" t="n">
        <v>2719</v>
      </c>
      <c r="M480" t="n">
        <v>3500</v>
      </c>
      <c r="N480" t="n">
        <v>91</v>
      </c>
      <c r="O480" t="n">
        <v>0.91</v>
      </c>
      <c r="P480" t="n">
        <v>1</v>
      </c>
      <c r="Q480" t="n">
        <v>5.17</v>
      </c>
      <c r="R480" t="n">
        <v>15</v>
      </c>
      <c r="S480" t="n">
        <v>16147.95</v>
      </c>
      <c r="T480" t="n">
        <v>268</v>
      </c>
      <c r="U480" t="n">
        <v>278</v>
      </c>
      <c r="V480" t="n">
        <v>30</v>
      </c>
      <c r="W480" t="n">
        <v>139</v>
      </c>
      <c r="X480" t="n">
        <v>0</v>
      </c>
      <c r="Y480" t="n">
        <v>1</v>
      </c>
      <c r="Z480" t="n">
        <v>139</v>
      </c>
      <c r="AA480" t="n">
        <v>74</v>
      </c>
      <c r="AB480" t="n">
        <v>65</v>
      </c>
      <c r="AC480" t="n">
        <v>65</v>
      </c>
      <c r="AD480" t="n">
        <v>201206</v>
      </c>
      <c r="AE480" t="n">
        <v>176735</v>
      </c>
      <c r="AF480" t="n">
        <v>369</v>
      </c>
      <c r="AG480" t="n">
        <v>107</v>
      </c>
      <c r="AH480" t="inlineStr">
        <is>
          <t xml:space="preserve">CV. DAHLIA - PPN (PDG) </t>
        </is>
      </c>
      <c r="AI480" t="n">
        <v>996</v>
      </c>
      <c r="AJ480" t="inlineStr">
        <is>
          <t>BIOAQUA</t>
        </is>
      </c>
      <c r="AK480" t="n">
        <v>21</v>
      </c>
      <c r="AL480" t="inlineStr">
        <is>
          <t>Miss Glam Damar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BIOAQUA</t>
        </is>
      </c>
      <c r="B481" s="2">
        <f>"6957148425537"</f>
        <v/>
      </c>
      <c r="C481" t="inlineStr">
        <is>
          <t>BIOAQUA Blackcurrant Hyaluronic Acid Essence Mask 25gr</t>
        </is>
      </c>
      <c r="D481" t="inlineStr">
        <is>
          <t>Miss Glam Damar</t>
        </is>
      </c>
      <c r="E481" t="n">
        <v>249</v>
      </c>
      <c r="F481" t="n">
        <v>2.1021</v>
      </c>
      <c r="G481" t="n">
        <v>8.19</v>
      </c>
      <c r="H481" t="n">
        <v>2</v>
      </c>
      <c r="I481" t="n">
        <v>16</v>
      </c>
      <c r="J481" t="n">
        <v>3</v>
      </c>
      <c r="K481" t="n">
        <v>0</v>
      </c>
      <c r="L481" t="n">
        <v>2720</v>
      </c>
      <c r="M481" t="n">
        <v>3500</v>
      </c>
      <c r="N481" t="n">
        <v>91</v>
      </c>
      <c r="O481" t="n">
        <v>0.91</v>
      </c>
      <c r="P481" t="n">
        <v>1</v>
      </c>
      <c r="Q481" t="n">
        <v>2.61</v>
      </c>
      <c r="R481" t="n">
        <v>12</v>
      </c>
      <c r="S481" t="n">
        <v>7357.35</v>
      </c>
      <c r="T481" t="n">
        <v>127</v>
      </c>
      <c r="U481" t="n">
        <v>132</v>
      </c>
      <c r="V481" t="n">
        <v>30</v>
      </c>
      <c r="W481" t="n">
        <v>64</v>
      </c>
      <c r="X481" t="n">
        <v>118.4529755958327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369</v>
      </c>
      <c r="AG481" t="n">
        <v>107</v>
      </c>
      <c r="AH481" t="inlineStr">
        <is>
          <t xml:space="preserve">CV. DAHLIA - PPN (PDG) </t>
        </is>
      </c>
      <c r="AI481" t="n">
        <v>996</v>
      </c>
      <c r="AJ481" t="inlineStr">
        <is>
          <t>BIOAQUA</t>
        </is>
      </c>
      <c r="AK481" t="n">
        <v>21</v>
      </c>
      <c r="AL481" t="inlineStr">
        <is>
          <t>Miss Glam Damar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BIOAQUA</t>
        </is>
      </c>
      <c r="B482" s="2">
        <f>"6957148425544"</f>
        <v/>
      </c>
      <c r="C482" t="inlineStr">
        <is>
          <t>BIOAQUA Blueberry Collagen Essence Mask 25g</t>
        </is>
      </c>
      <c r="D482" t="inlineStr">
        <is>
          <t>Miss Glam Damar</t>
        </is>
      </c>
      <c r="E482" t="n">
        <v>173</v>
      </c>
      <c r="F482" t="n">
        <v>1.4378</v>
      </c>
      <c r="G482" t="n">
        <v>10.01</v>
      </c>
      <c r="H482" t="n">
        <v>2</v>
      </c>
      <c r="I482" t="n">
        <v>16</v>
      </c>
      <c r="J482" t="n">
        <v>3</v>
      </c>
      <c r="K482" t="n">
        <v>0</v>
      </c>
      <c r="L482" t="n">
        <v>2720</v>
      </c>
      <c r="M482" t="n">
        <v>3500</v>
      </c>
      <c r="N482" t="n">
        <v>91</v>
      </c>
      <c r="O482" t="n">
        <v>0.91</v>
      </c>
      <c r="P482" t="n">
        <v>1</v>
      </c>
      <c r="Q482" t="n">
        <v>1.47</v>
      </c>
      <c r="R482" t="n">
        <v>11</v>
      </c>
      <c r="S482" t="n">
        <v>5032.300000000001</v>
      </c>
      <c r="T482" t="n">
        <v>158</v>
      </c>
      <c r="U482" t="n">
        <v>161</v>
      </c>
      <c r="V482" t="n">
        <v>30</v>
      </c>
      <c r="W482" t="n">
        <v>44</v>
      </c>
      <c r="X482" t="n">
        <v>120.3227152594241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369</v>
      </c>
      <c r="AG482" t="n">
        <v>107</v>
      </c>
      <c r="AH482" t="inlineStr">
        <is>
          <t xml:space="preserve">CV. DAHLIA - PPN (PDG) </t>
        </is>
      </c>
      <c r="AI482" t="n">
        <v>996</v>
      </c>
      <c r="AJ482" t="inlineStr">
        <is>
          <t>BIOAQUA</t>
        </is>
      </c>
      <c r="AK482" t="n">
        <v>21</v>
      </c>
      <c r="AL482" t="inlineStr">
        <is>
          <t>Miss Glam Damar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BIOAQUA</t>
        </is>
      </c>
      <c r="B483" s="2">
        <f>"6957148427807"</f>
        <v/>
      </c>
      <c r="C483" t="inlineStr">
        <is>
          <t>BIOAQUA Calendula Refreshing Soothing Mask 28gr</t>
        </is>
      </c>
      <c r="D483" t="inlineStr">
        <is>
          <t>Miss Glam Damar</t>
        </is>
      </c>
      <c r="E483" t="n">
        <v>47</v>
      </c>
      <c r="F483" t="n">
        <v>4.6228</v>
      </c>
      <c r="G483" t="n">
        <v>10.92</v>
      </c>
      <c r="H483" t="n">
        <v>2</v>
      </c>
      <c r="I483" t="n">
        <v>16</v>
      </c>
      <c r="J483" t="n">
        <v>3</v>
      </c>
      <c r="K483" t="n">
        <v>0</v>
      </c>
      <c r="L483" t="n">
        <v>3120</v>
      </c>
      <c r="M483" t="n">
        <v>4000</v>
      </c>
      <c r="N483" t="n">
        <v>91</v>
      </c>
      <c r="O483" t="n">
        <v>0.91</v>
      </c>
      <c r="P483" t="n">
        <v>1</v>
      </c>
      <c r="Q483" t="n">
        <v>3.24</v>
      </c>
      <c r="R483" t="n">
        <v>9</v>
      </c>
      <c r="S483" t="n">
        <v>18491.2</v>
      </c>
      <c r="T483" t="n">
        <v>166</v>
      </c>
      <c r="U483" t="n">
        <v>176</v>
      </c>
      <c r="V483" t="n">
        <v>30</v>
      </c>
      <c r="W483" t="n">
        <v>139</v>
      </c>
      <c r="X483" t="n">
        <v>10.16699835597473</v>
      </c>
      <c r="Y483" t="n">
        <v>1</v>
      </c>
      <c r="Z483" t="n">
        <v>92</v>
      </c>
      <c r="AA483" t="n">
        <v>27</v>
      </c>
      <c r="AB483" t="n">
        <v>65</v>
      </c>
      <c r="AC483" t="n">
        <v>65</v>
      </c>
      <c r="AD483" t="n">
        <v>84240</v>
      </c>
      <c r="AE483" t="n">
        <v>202800</v>
      </c>
      <c r="AF483" t="n">
        <v>369</v>
      </c>
      <c r="AG483" t="n">
        <v>107</v>
      </c>
      <c r="AH483" t="inlineStr">
        <is>
          <t xml:space="preserve">CV. DAHLIA - PPN (PDG) </t>
        </is>
      </c>
      <c r="AI483" t="n">
        <v>996</v>
      </c>
      <c r="AJ483" t="inlineStr">
        <is>
          <t>BIOAQUA</t>
        </is>
      </c>
      <c r="AK483" t="n">
        <v>21</v>
      </c>
      <c r="AL483" t="inlineStr">
        <is>
          <t>Miss Glam Damar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BIOAQUA</t>
        </is>
      </c>
      <c r="B484" s="2">
        <f>"6957148428477"</f>
        <v/>
      </c>
      <c r="C484" t="inlineStr">
        <is>
          <t>BIOAQUA Carrot Hydrating Essence Mask 25gr</t>
        </is>
      </c>
      <c r="D484" t="inlineStr">
        <is>
          <t>Miss Glam Damar</t>
        </is>
      </c>
      <c r="E484" t="n">
        <v>0</v>
      </c>
      <c r="F484" t="n">
        <v>7.7259</v>
      </c>
      <c r="G484" t="n">
        <v>20.93</v>
      </c>
      <c r="H484" t="n">
        <v>2</v>
      </c>
      <c r="I484" t="n">
        <v>16</v>
      </c>
      <c r="J484" t="n">
        <v>3</v>
      </c>
      <c r="K484" t="n">
        <v>0</v>
      </c>
      <c r="L484" t="n">
        <v>2720</v>
      </c>
      <c r="M484" t="n">
        <v>3500</v>
      </c>
      <c r="N484" t="n">
        <v>91</v>
      </c>
      <c r="O484" t="n">
        <v>0.91</v>
      </c>
      <c r="P484" t="n">
        <v>1</v>
      </c>
      <c r="Q484" t="n">
        <v>4.87</v>
      </c>
      <c r="R484" t="n">
        <v>25</v>
      </c>
      <c r="S484" t="n">
        <v>27040.65</v>
      </c>
      <c r="T484" t="n">
        <v>320</v>
      </c>
      <c r="U484" t="n">
        <v>336</v>
      </c>
      <c r="V484" t="n">
        <v>30</v>
      </c>
      <c r="W484" t="n">
        <v>232</v>
      </c>
      <c r="X484" t="n">
        <v>0</v>
      </c>
      <c r="Y484" t="n">
        <v>1</v>
      </c>
      <c r="Z484" t="n">
        <v>232</v>
      </c>
      <c r="AA484" t="n">
        <v>124</v>
      </c>
      <c r="AB484" t="n">
        <v>108</v>
      </c>
      <c r="AC484" t="n">
        <v>108</v>
      </c>
      <c r="AD484" t="n">
        <v>337280</v>
      </c>
      <c r="AE484" t="n">
        <v>293760</v>
      </c>
      <c r="AF484" t="n">
        <v>369</v>
      </c>
      <c r="AG484" t="n">
        <v>107</v>
      </c>
      <c r="AH484" t="inlineStr">
        <is>
          <t xml:space="preserve">CV. DAHLIA - PPN (PDG) </t>
        </is>
      </c>
      <c r="AI484" t="n">
        <v>996</v>
      </c>
      <c r="AJ484" t="inlineStr">
        <is>
          <t>BIOAQUA</t>
        </is>
      </c>
      <c r="AK484" t="n">
        <v>21</v>
      </c>
      <c r="AL484" t="inlineStr">
        <is>
          <t>Miss Glam Damar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BIOAQUA</t>
        </is>
      </c>
      <c r="B485" s="2">
        <f>"6957148425551"</f>
        <v/>
      </c>
      <c r="C485" t="inlineStr">
        <is>
          <t>BIOAQUA Centella Astaxanthin Essence Mask 25g</t>
        </is>
      </c>
      <c r="D485" t="inlineStr">
        <is>
          <t>Miss Glam Damar</t>
        </is>
      </c>
      <c r="E485" t="n">
        <v>0</v>
      </c>
      <c r="F485" t="n">
        <v>7.5712</v>
      </c>
      <c r="G485" t="n">
        <v>18.2</v>
      </c>
      <c r="H485" t="n">
        <v>2</v>
      </c>
      <c r="I485" t="n">
        <v>16</v>
      </c>
      <c r="J485" t="n">
        <v>3</v>
      </c>
      <c r="K485" t="n">
        <v>0</v>
      </c>
      <c r="L485" t="n">
        <v>2720</v>
      </c>
      <c r="M485" t="n">
        <v>3500</v>
      </c>
      <c r="N485" t="n">
        <v>91</v>
      </c>
      <c r="O485" t="n">
        <v>0.91</v>
      </c>
      <c r="P485" t="n">
        <v>1</v>
      </c>
      <c r="Q485" t="n">
        <v>7.53</v>
      </c>
      <c r="R485" t="n">
        <v>26</v>
      </c>
      <c r="S485" t="n">
        <v>26499.2</v>
      </c>
      <c r="T485" t="n">
        <v>277</v>
      </c>
      <c r="U485" t="n">
        <v>293</v>
      </c>
      <c r="V485" t="n">
        <v>30</v>
      </c>
      <c r="W485" t="n">
        <v>228</v>
      </c>
      <c r="X485" t="n">
        <v>0</v>
      </c>
      <c r="Y485" t="n">
        <v>1</v>
      </c>
      <c r="Z485" t="n">
        <v>228</v>
      </c>
      <c r="AA485" t="n">
        <v>122</v>
      </c>
      <c r="AB485" t="n">
        <v>106</v>
      </c>
      <c r="AC485" t="n">
        <v>106</v>
      </c>
      <c r="AD485" t="n">
        <v>331840</v>
      </c>
      <c r="AE485" t="n">
        <v>288320</v>
      </c>
      <c r="AF485" t="n">
        <v>369</v>
      </c>
      <c r="AG485" t="n">
        <v>107</v>
      </c>
      <c r="AH485" t="inlineStr">
        <is>
          <t xml:space="preserve">CV. DAHLIA - PPN (PDG) </t>
        </is>
      </c>
      <c r="AI485" t="n">
        <v>996</v>
      </c>
      <c r="AJ485" t="inlineStr">
        <is>
          <t>BIOAQUA</t>
        </is>
      </c>
      <c r="AK485" t="n">
        <v>21</v>
      </c>
      <c r="AL485" t="inlineStr">
        <is>
          <t>Miss Glam Damar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BIOAQUA</t>
        </is>
      </c>
      <c r="B486" s="2">
        <f>"6957148425568"</f>
        <v/>
      </c>
      <c r="C486" t="inlineStr">
        <is>
          <t>BIOAQUA Chamomile Amino Acid Essence Mask 25g</t>
        </is>
      </c>
      <c r="D486" t="inlineStr">
        <is>
          <t>Miss Glam Damar</t>
        </is>
      </c>
      <c r="E486" t="n">
        <v>18</v>
      </c>
      <c r="F486" t="n">
        <v>3.9676</v>
      </c>
      <c r="G486" t="n">
        <v>10.92</v>
      </c>
      <c r="H486" t="n">
        <v>2</v>
      </c>
      <c r="I486" t="n">
        <v>16</v>
      </c>
      <c r="J486" t="n">
        <v>3</v>
      </c>
      <c r="K486" t="n">
        <v>0</v>
      </c>
      <c r="L486" t="n">
        <v>2720</v>
      </c>
      <c r="M486" t="n">
        <v>3500</v>
      </c>
      <c r="N486" t="n">
        <v>91</v>
      </c>
      <c r="O486" t="n">
        <v>0.91</v>
      </c>
      <c r="P486" t="n">
        <v>1</v>
      </c>
      <c r="Q486" t="n">
        <v>2.39</v>
      </c>
      <c r="R486" t="n">
        <v>11</v>
      </c>
      <c r="S486" t="n">
        <v>13886.6</v>
      </c>
      <c r="T486" t="n">
        <v>167</v>
      </c>
      <c r="U486" t="n">
        <v>175</v>
      </c>
      <c r="V486" t="n">
        <v>30</v>
      </c>
      <c r="W486" t="n">
        <v>120</v>
      </c>
      <c r="X486" t="n">
        <v>4.53674765601371</v>
      </c>
      <c r="Y486" t="n">
        <v>1</v>
      </c>
      <c r="Z486" t="n">
        <v>102</v>
      </c>
      <c r="AA486" t="n">
        <v>46</v>
      </c>
      <c r="AB486" t="n">
        <v>56</v>
      </c>
      <c r="AC486" t="n">
        <v>56</v>
      </c>
      <c r="AD486" t="n">
        <v>125120</v>
      </c>
      <c r="AE486" t="n">
        <v>152320</v>
      </c>
      <c r="AF486" t="n">
        <v>369</v>
      </c>
      <c r="AG486" t="n">
        <v>107</v>
      </c>
      <c r="AH486" t="inlineStr">
        <is>
          <t xml:space="preserve">CV. DAHLIA - PPN (PDG) </t>
        </is>
      </c>
      <c r="AI486" t="n">
        <v>996</v>
      </c>
      <c r="AJ486" t="inlineStr">
        <is>
          <t>BIOAQUA</t>
        </is>
      </c>
      <c r="AK486" t="n">
        <v>21</v>
      </c>
      <c r="AL486" t="inlineStr">
        <is>
          <t>Miss Glam Damar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BIOAQUA</t>
        </is>
      </c>
      <c r="B487" s="2">
        <f>"6957148428408"</f>
        <v/>
      </c>
      <c r="C487" t="inlineStr">
        <is>
          <t>BIOAQUA Coconut Nourishing &amp; Antioxidant Essence Mask 25g</t>
        </is>
      </c>
      <c r="D487" t="inlineStr">
        <is>
          <t>Miss Glam Damar</t>
        </is>
      </c>
      <c r="E487" t="n">
        <v>53</v>
      </c>
      <c r="F487" t="n">
        <v>3.64</v>
      </c>
      <c r="G487" t="n">
        <v>13.65</v>
      </c>
      <c r="H487" t="n">
        <v>2</v>
      </c>
      <c r="I487" t="n">
        <v>16</v>
      </c>
      <c r="J487" t="n">
        <v>3</v>
      </c>
      <c r="K487" t="n">
        <v>0</v>
      </c>
      <c r="L487" t="n">
        <v>2720</v>
      </c>
      <c r="M487" t="n">
        <v>3500</v>
      </c>
      <c r="N487" t="n">
        <v>91</v>
      </c>
      <c r="O487" t="n">
        <v>0.91</v>
      </c>
      <c r="P487" t="n">
        <v>1</v>
      </c>
      <c r="Q487" t="n">
        <v>3.15</v>
      </c>
      <c r="R487" t="n">
        <v>10</v>
      </c>
      <c r="S487" t="n">
        <v>12740</v>
      </c>
      <c r="T487" t="n">
        <v>212</v>
      </c>
      <c r="U487" t="n">
        <v>220</v>
      </c>
      <c r="V487" t="n">
        <v>30</v>
      </c>
      <c r="W487" t="n">
        <v>110</v>
      </c>
      <c r="X487" t="n">
        <v>14.56043956043956</v>
      </c>
      <c r="Y487" t="n">
        <v>1</v>
      </c>
      <c r="Z487" t="n">
        <v>57</v>
      </c>
      <c r="AA487" t="n">
        <v>6</v>
      </c>
      <c r="AB487" t="n">
        <v>51</v>
      </c>
      <c r="AC487" t="n">
        <v>51</v>
      </c>
      <c r="AD487" t="n">
        <v>16320</v>
      </c>
      <c r="AE487" t="n">
        <v>138720</v>
      </c>
      <c r="AF487" t="n">
        <v>369</v>
      </c>
      <c r="AG487" t="n">
        <v>107</v>
      </c>
      <c r="AH487" t="inlineStr">
        <is>
          <t xml:space="preserve">CV. DAHLIA - PPN (PDG) </t>
        </is>
      </c>
      <c r="AI487" t="n">
        <v>996</v>
      </c>
      <c r="AJ487" t="inlineStr">
        <is>
          <t>BIOAQUA</t>
        </is>
      </c>
      <c r="AK487" t="n">
        <v>21</v>
      </c>
      <c r="AL487" t="inlineStr">
        <is>
          <t>Miss Glam Damar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BIOAQUA</t>
        </is>
      </c>
      <c r="B488" s="2">
        <f>"10500176107"</f>
        <v/>
      </c>
      <c r="C488" t="inlineStr">
        <is>
          <t>BIOAQUA Creamy Silk Soft Mask 30gr</t>
        </is>
      </c>
      <c r="D488" t="inlineStr">
        <is>
          <t>Miss Glam Damar</t>
        </is>
      </c>
      <c r="E488" t="n">
        <v>80</v>
      </c>
      <c r="F488" t="n">
        <v>4.7775</v>
      </c>
      <c r="G488" t="n">
        <v>11.83</v>
      </c>
      <c r="H488" t="n">
        <v>2</v>
      </c>
      <c r="I488" t="n">
        <v>16</v>
      </c>
      <c r="J488" t="n">
        <v>1</v>
      </c>
      <c r="K488" t="n">
        <v>0</v>
      </c>
      <c r="L488" t="n">
        <v>3120</v>
      </c>
      <c r="M488" t="n">
        <v>4000</v>
      </c>
      <c r="N488" t="n">
        <v>91</v>
      </c>
      <c r="O488" t="n">
        <v>0.91</v>
      </c>
      <c r="P488" t="n">
        <v>1</v>
      </c>
      <c r="Q488" t="n">
        <v>2.88</v>
      </c>
      <c r="R488" t="n">
        <v>10</v>
      </c>
      <c r="S488" t="n">
        <v>19110</v>
      </c>
      <c r="T488" t="n">
        <v>180</v>
      </c>
      <c r="U488" t="n">
        <v>190</v>
      </c>
      <c r="V488" t="n">
        <v>30</v>
      </c>
      <c r="W488" t="n">
        <v>144</v>
      </c>
      <c r="X488" t="n">
        <v>16.74515960230246</v>
      </c>
      <c r="Y488" t="n">
        <v>1</v>
      </c>
      <c r="Z488" t="n">
        <v>64</v>
      </c>
      <c r="AA488" t="n">
        <v>0</v>
      </c>
      <c r="AB488" t="n">
        <v>64</v>
      </c>
      <c r="AC488" t="n">
        <v>64</v>
      </c>
      <c r="AD488" t="n">
        <v>0</v>
      </c>
      <c r="AE488" t="n">
        <v>199680</v>
      </c>
      <c r="AF488" t="n">
        <v>369</v>
      </c>
      <c r="AG488" t="n">
        <v>107</v>
      </c>
      <c r="AH488" t="inlineStr">
        <is>
          <t xml:space="preserve">CV. DAHLIA - PPN (PDG) </t>
        </is>
      </c>
      <c r="AI488" t="n">
        <v>996</v>
      </c>
      <c r="AJ488" t="inlineStr">
        <is>
          <t>BIOAQUA</t>
        </is>
      </c>
      <c r="AK488" t="n">
        <v>21</v>
      </c>
      <c r="AL488" t="inlineStr">
        <is>
          <t>Miss Glam Damar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BIOAQUA</t>
        </is>
      </c>
      <c r="B489" s="2">
        <f>"6957148428460"</f>
        <v/>
      </c>
      <c r="C489" t="inlineStr">
        <is>
          <t>BIOAQUA Cucumber Ceramide EOP Fresh &amp; Hydrating Essence Mask 25g</t>
        </is>
      </c>
      <c r="D489" t="inlineStr">
        <is>
          <t>Miss Glam Damar</t>
        </is>
      </c>
      <c r="E489" t="n">
        <v>7</v>
      </c>
      <c r="F489" t="n">
        <v>6.6794</v>
      </c>
      <c r="G489" t="n">
        <v>17.29</v>
      </c>
      <c r="H489" t="n">
        <v>2</v>
      </c>
      <c r="I489" t="n">
        <v>16</v>
      </c>
      <c r="J489" t="n">
        <v>3</v>
      </c>
      <c r="K489" t="n">
        <v>0</v>
      </c>
      <c r="L489" t="n">
        <v>2720</v>
      </c>
      <c r="M489" t="n">
        <v>4000</v>
      </c>
      <c r="N489" t="n">
        <v>91</v>
      </c>
      <c r="O489" t="n">
        <v>0.91</v>
      </c>
      <c r="P489" t="n">
        <v>1</v>
      </c>
      <c r="Q489" t="n">
        <v>8.529999999999999</v>
      </c>
      <c r="R489" t="n">
        <v>27</v>
      </c>
      <c r="S489" t="n">
        <v>26717.6</v>
      </c>
      <c r="T489" t="n">
        <v>264</v>
      </c>
      <c r="U489" t="n">
        <v>278</v>
      </c>
      <c r="V489" t="n">
        <v>30</v>
      </c>
      <c r="W489" t="n">
        <v>201</v>
      </c>
      <c r="X489" t="n">
        <v>1.047998323202683</v>
      </c>
      <c r="Y489" t="n">
        <v>1</v>
      </c>
      <c r="Z489" t="n">
        <v>194</v>
      </c>
      <c r="AA489" t="n">
        <v>100</v>
      </c>
      <c r="AB489" t="n">
        <v>94</v>
      </c>
      <c r="AC489" t="n">
        <v>94</v>
      </c>
      <c r="AD489" t="n">
        <v>272000</v>
      </c>
      <c r="AE489" t="n">
        <v>255680</v>
      </c>
      <c r="AF489" t="n">
        <v>369</v>
      </c>
      <c r="AG489" t="n">
        <v>107</v>
      </c>
      <c r="AH489" t="inlineStr">
        <is>
          <t xml:space="preserve">CV. DAHLIA - PPN (PDG) </t>
        </is>
      </c>
      <c r="AI489" t="n">
        <v>996</v>
      </c>
      <c r="AJ489" t="inlineStr">
        <is>
          <t>BIOAQUA</t>
        </is>
      </c>
      <c r="AK489" t="n">
        <v>21</v>
      </c>
      <c r="AL489" t="inlineStr">
        <is>
          <t>Miss Glam Damar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BIOAQUA</t>
        </is>
      </c>
      <c r="B490" s="2">
        <f>"6957148428491"</f>
        <v/>
      </c>
      <c r="C490" t="inlineStr">
        <is>
          <t>BIOAQUA Dragon Fruit Nourishing Essence Mask 25g</t>
        </is>
      </c>
      <c r="D490" t="inlineStr">
        <is>
          <t>Miss Glam Damar</t>
        </is>
      </c>
      <c r="E490" t="n">
        <v>0</v>
      </c>
      <c r="F490" t="n">
        <v>14.378</v>
      </c>
      <c r="G490" t="n">
        <v>34.58</v>
      </c>
      <c r="H490" t="n">
        <v>2</v>
      </c>
      <c r="I490" t="n">
        <v>16</v>
      </c>
      <c r="J490" t="n">
        <v>3</v>
      </c>
      <c r="K490" t="n">
        <v>0</v>
      </c>
      <c r="L490" t="n">
        <v>2720</v>
      </c>
      <c r="M490" t="n">
        <v>3500</v>
      </c>
      <c r="N490" t="n">
        <v>91</v>
      </c>
      <c r="O490" t="n">
        <v>0.91</v>
      </c>
      <c r="P490" t="n">
        <v>1</v>
      </c>
      <c r="Q490" t="n">
        <v>3.18</v>
      </c>
      <c r="R490" t="n">
        <v>17</v>
      </c>
      <c r="S490" t="n">
        <v>50323.00000000001</v>
      </c>
      <c r="T490" t="n">
        <v>525</v>
      </c>
      <c r="U490" t="n">
        <v>554</v>
      </c>
      <c r="V490" t="n">
        <v>30</v>
      </c>
      <c r="W490" t="n">
        <v>432</v>
      </c>
      <c r="X490" t="n">
        <v>0</v>
      </c>
      <c r="Y490" t="n">
        <v>1</v>
      </c>
      <c r="Z490" t="n">
        <v>432</v>
      </c>
      <c r="AA490" t="n">
        <v>231</v>
      </c>
      <c r="AB490" t="n">
        <v>201</v>
      </c>
      <c r="AC490" t="n">
        <v>201</v>
      </c>
      <c r="AD490" t="n">
        <v>628320</v>
      </c>
      <c r="AE490" t="n">
        <v>546720</v>
      </c>
      <c r="AF490" t="n">
        <v>369</v>
      </c>
      <c r="AG490" t="n">
        <v>107</v>
      </c>
      <c r="AH490" t="inlineStr">
        <is>
          <t xml:space="preserve">CV. DAHLIA - PPN (PDG) </t>
        </is>
      </c>
      <c r="AI490" t="n">
        <v>996</v>
      </c>
      <c r="AJ490" t="inlineStr">
        <is>
          <t>BIOAQUA</t>
        </is>
      </c>
      <c r="AK490" t="n">
        <v>21</v>
      </c>
      <c r="AL490" t="inlineStr">
        <is>
          <t>Miss Glam Damar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BIOAQUA</t>
        </is>
      </c>
      <c r="B491" s="2">
        <f>"6957148427739"</f>
        <v/>
      </c>
      <c r="C491" t="inlineStr">
        <is>
          <t>BIOAQUA Edelweiss Salicylic Acid Acne Mask 28g</t>
        </is>
      </c>
      <c r="D491" t="inlineStr">
        <is>
          <t>Miss Glam Damar</t>
        </is>
      </c>
      <c r="E491" t="n">
        <v>0</v>
      </c>
      <c r="F491" t="n">
        <v>16.2071</v>
      </c>
      <c r="G491" t="n">
        <v>32.76</v>
      </c>
      <c r="H491" t="n">
        <v>2</v>
      </c>
      <c r="I491" t="n">
        <v>16</v>
      </c>
      <c r="J491" t="n">
        <v>3</v>
      </c>
      <c r="K491" t="n">
        <v>0</v>
      </c>
      <c r="L491" t="n">
        <v>3120</v>
      </c>
      <c r="M491" t="n">
        <v>4000</v>
      </c>
      <c r="N491" t="n">
        <v>91</v>
      </c>
      <c r="O491" t="n">
        <v>0.91</v>
      </c>
      <c r="P491" t="n">
        <v>1</v>
      </c>
      <c r="Q491" t="n">
        <v>9.779999999999999</v>
      </c>
      <c r="R491" t="n">
        <v>24</v>
      </c>
      <c r="S491" t="n">
        <v>64828.4</v>
      </c>
      <c r="T491" t="n">
        <v>492</v>
      </c>
      <c r="U491" t="n">
        <v>525</v>
      </c>
      <c r="V491" t="n">
        <v>30</v>
      </c>
      <c r="W491" t="n">
        <v>487</v>
      </c>
      <c r="X491" t="n">
        <v>0</v>
      </c>
      <c r="Y491" t="n">
        <v>1</v>
      </c>
      <c r="Z491" t="n">
        <v>487</v>
      </c>
      <c r="AA491" t="n">
        <v>260</v>
      </c>
      <c r="AB491" t="n">
        <v>227</v>
      </c>
      <c r="AC491" t="n">
        <v>227</v>
      </c>
      <c r="AD491" t="n">
        <v>811200</v>
      </c>
      <c r="AE491" t="n">
        <v>708240</v>
      </c>
      <c r="AF491" t="n">
        <v>369</v>
      </c>
      <c r="AG491" t="n">
        <v>107</v>
      </c>
      <c r="AH491" t="inlineStr">
        <is>
          <t xml:space="preserve">CV. DAHLIA - PPN (PDG) </t>
        </is>
      </c>
      <c r="AI491" t="n">
        <v>996</v>
      </c>
      <c r="AJ491" t="inlineStr">
        <is>
          <t>BIOAQUA</t>
        </is>
      </c>
      <c r="AK491" t="n">
        <v>21</v>
      </c>
      <c r="AL491" t="inlineStr">
        <is>
          <t>Miss Glam Damar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BIOAQUA</t>
        </is>
      </c>
      <c r="B492" s="2">
        <f>"6957148424417"</f>
        <v/>
      </c>
      <c r="C492" t="inlineStr">
        <is>
          <t>BIOAQUA Facial Essense Capsule Vitamin E 60pcs</t>
        </is>
      </c>
      <c r="D492" t="inlineStr">
        <is>
          <t>Miss Glam Damar</t>
        </is>
      </c>
      <c r="E492" t="n">
        <v>2</v>
      </c>
      <c r="F492" t="n">
        <v>0.2002</v>
      </c>
      <c r="G492" t="n">
        <v>1.82</v>
      </c>
      <c r="H492" t="n">
        <v>2</v>
      </c>
      <c r="I492" t="n">
        <v>16</v>
      </c>
      <c r="J492" t="n">
        <v>3</v>
      </c>
      <c r="K492" t="n">
        <v>0</v>
      </c>
      <c r="L492" t="n">
        <v>16000</v>
      </c>
      <c r="M492" t="n">
        <v>20000</v>
      </c>
      <c r="N492" t="n">
        <v>91</v>
      </c>
      <c r="O492" t="n">
        <v>0.91</v>
      </c>
      <c r="P492" t="n">
        <v>1</v>
      </c>
      <c r="Q492" t="n">
        <v>0.05</v>
      </c>
      <c r="R492" t="n">
        <v>1</v>
      </c>
      <c r="S492" t="n">
        <v>4004</v>
      </c>
      <c r="T492" t="n">
        <v>29</v>
      </c>
      <c r="U492" t="n">
        <v>30</v>
      </c>
      <c r="V492" t="n">
        <v>30</v>
      </c>
      <c r="W492" t="n">
        <v>7</v>
      </c>
      <c r="X492" t="n">
        <v>9.990009990009989</v>
      </c>
      <c r="Y492" t="n">
        <v>1</v>
      </c>
      <c r="Z492" t="n">
        <v>5</v>
      </c>
      <c r="AA492" t="n">
        <v>2</v>
      </c>
      <c r="AB492" t="n">
        <v>3</v>
      </c>
      <c r="AC492" t="n">
        <v>3</v>
      </c>
      <c r="AD492" t="n">
        <v>32000</v>
      </c>
      <c r="AE492" t="n">
        <v>48000</v>
      </c>
      <c r="AF492" t="n">
        <v>369</v>
      </c>
      <c r="AG492" t="n">
        <v>107</v>
      </c>
      <c r="AH492" t="inlineStr">
        <is>
          <t xml:space="preserve">CV. DAHLIA - PPN (PDG) </t>
        </is>
      </c>
      <c r="AI492" t="n">
        <v>996</v>
      </c>
      <c r="AJ492" t="inlineStr">
        <is>
          <t>BIOAQUA</t>
        </is>
      </c>
      <c r="AK492" t="n">
        <v>21</v>
      </c>
      <c r="AL492" t="inlineStr">
        <is>
          <t>Miss Glam Damar</t>
        </is>
      </c>
      <c r="AM492" t="n">
        <v>2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BIOAQUA</t>
        </is>
      </c>
      <c r="B493" s="2">
        <f>"203003107103"</f>
        <v/>
      </c>
      <c r="C493" t="inlineStr">
        <is>
          <t>BIOAQUA Fantastic Me Glossy Lip Tint Berry Jam 2.3gr</t>
        </is>
      </c>
      <c r="D493" t="inlineStr">
        <is>
          <t>Miss Glam Damar</t>
        </is>
      </c>
      <c r="E493" t="n">
        <v>8</v>
      </c>
      <c r="F493" t="n">
        <v>0.1547</v>
      </c>
      <c r="G493" t="n">
        <v>1.82</v>
      </c>
      <c r="H493" t="n">
        <v>2</v>
      </c>
      <c r="I493" t="n">
        <v>16</v>
      </c>
      <c r="J493" t="n">
        <v>1</v>
      </c>
      <c r="K493" t="n">
        <v>0</v>
      </c>
      <c r="L493" t="n">
        <v>22800</v>
      </c>
      <c r="M493" t="n">
        <v>28500</v>
      </c>
      <c r="N493" t="n">
        <v>91</v>
      </c>
      <c r="O493" t="n">
        <v>0.91</v>
      </c>
      <c r="P493" t="n">
        <v>1</v>
      </c>
      <c r="Q493" t="n">
        <v>0.07000000000000001</v>
      </c>
      <c r="R493" t="n">
        <v>1</v>
      </c>
      <c r="S493" t="n">
        <v>4408.95</v>
      </c>
      <c r="T493" t="n">
        <v>29</v>
      </c>
      <c r="U493" t="n">
        <v>30</v>
      </c>
      <c r="V493" t="n">
        <v>30</v>
      </c>
      <c r="W493" t="n">
        <v>5</v>
      </c>
      <c r="X493" t="n">
        <v>51.71299288946348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369</v>
      </c>
      <c r="AG493" t="n">
        <v>107</v>
      </c>
      <c r="AH493" t="inlineStr">
        <is>
          <t xml:space="preserve">CV. DAHLIA - PPN (PDG) </t>
        </is>
      </c>
      <c r="AI493" t="n">
        <v>996</v>
      </c>
      <c r="AJ493" t="inlineStr">
        <is>
          <t>BIOAQUA</t>
        </is>
      </c>
      <c r="AK493" t="n">
        <v>21</v>
      </c>
      <c r="AL493" t="inlineStr">
        <is>
          <t>Miss Glam Damar</t>
        </is>
      </c>
      <c r="AM493" t="n">
        <v>2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BIOAQUA</t>
        </is>
      </c>
      <c r="B494" s="2">
        <f>"6957148431514"</f>
        <v/>
      </c>
      <c r="C494" t="inlineStr">
        <is>
          <t>BIOAQUA Fantastic Me Glossy Lip Tint Nude Pink 2.3gr</t>
        </is>
      </c>
      <c r="D494" t="inlineStr">
        <is>
          <t>Miss Glam Damar</t>
        </is>
      </c>
      <c r="E494" t="n">
        <v>1</v>
      </c>
      <c r="F494" t="n">
        <v>0.182</v>
      </c>
      <c r="G494" t="n">
        <v>1.82</v>
      </c>
      <c r="H494" t="n">
        <v>2</v>
      </c>
      <c r="I494" t="n">
        <v>16</v>
      </c>
      <c r="J494" t="n">
        <v>3</v>
      </c>
      <c r="K494" t="n">
        <v>0</v>
      </c>
      <c r="L494" t="n">
        <v>24000</v>
      </c>
      <c r="M494" t="n">
        <v>30000</v>
      </c>
      <c r="N494" t="n">
        <v>91</v>
      </c>
      <c r="O494" t="n">
        <v>0.91</v>
      </c>
      <c r="P494" t="n">
        <v>1</v>
      </c>
      <c r="Q494" t="n">
        <v>0.03</v>
      </c>
      <c r="R494" t="n">
        <v>1</v>
      </c>
      <c r="S494" t="n">
        <v>5460.000000000001</v>
      </c>
      <c r="T494" t="n">
        <v>29</v>
      </c>
      <c r="U494" t="n">
        <v>30</v>
      </c>
      <c r="V494" t="n">
        <v>30</v>
      </c>
      <c r="W494" t="n">
        <v>6</v>
      </c>
      <c r="X494" t="n">
        <v>5.494505494505494</v>
      </c>
      <c r="Y494" t="n">
        <v>1</v>
      </c>
      <c r="Z494" t="n">
        <v>5</v>
      </c>
      <c r="AA494" t="n">
        <v>2</v>
      </c>
      <c r="AB494" t="n">
        <v>3</v>
      </c>
      <c r="AC494" t="n">
        <v>3</v>
      </c>
      <c r="AD494" t="n">
        <v>48000</v>
      </c>
      <c r="AE494" t="n">
        <v>72000</v>
      </c>
      <c r="AF494" t="n">
        <v>369</v>
      </c>
      <c r="AG494" t="n">
        <v>107</v>
      </c>
      <c r="AH494" t="inlineStr">
        <is>
          <t xml:space="preserve">CV. DAHLIA - PPN (PDG) </t>
        </is>
      </c>
      <c r="AI494" t="n">
        <v>996</v>
      </c>
      <c r="AJ494" t="inlineStr">
        <is>
          <t>BIOAQUA</t>
        </is>
      </c>
      <c r="AK494" t="n">
        <v>21</v>
      </c>
      <c r="AL494" t="inlineStr">
        <is>
          <t>Miss Glam Damar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BIOAQUA</t>
        </is>
      </c>
      <c r="B495" s="2">
        <f>"203003106932"</f>
        <v/>
      </c>
      <c r="C495" t="inlineStr">
        <is>
          <t>BIOAQUA Fantastic Me Glossy Lip Tint Plum Rush 2.3gr</t>
        </is>
      </c>
      <c r="D495" t="inlineStr">
        <is>
          <t>Miss Glam Damar</t>
        </is>
      </c>
      <c r="E495" t="n">
        <v>8</v>
      </c>
      <c r="F495" t="n">
        <v>0.182</v>
      </c>
      <c r="G495" t="n">
        <v>2.73</v>
      </c>
      <c r="H495" t="n">
        <v>2</v>
      </c>
      <c r="I495" t="n">
        <v>16</v>
      </c>
      <c r="J495" t="n">
        <v>1</v>
      </c>
      <c r="K495" t="n">
        <v>0</v>
      </c>
      <c r="L495" t="n">
        <v>22800</v>
      </c>
      <c r="M495" t="n">
        <v>28500</v>
      </c>
      <c r="N495" t="n">
        <v>91</v>
      </c>
      <c r="O495" t="n">
        <v>0.91</v>
      </c>
      <c r="P495" t="n">
        <v>1</v>
      </c>
      <c r="Q495" t="n">
        <v>0.03</v>
      </c>
      <c r="R495" t="n">
        <v>1</v>
      </c>
      <c r="S495" t="n">
        <v>5187.000000000001</v>
      </c>
      <c r="T495" t="n">
        <v>44</v>
      </c>
      <c r="U495" t="n">
        <v>45</v>
      </c>
      <c r="V495" t="n">
        <v>30</v>
      </c>
      <c r="W495" t="n">
        <v>6</v>
      </c>
      <c r="X495" t="n">
        <v>43.95604395604395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369</v>
      </c>
      <c r="AG495" t="n">
        <v>107</v>
      </c>
      <c r="AH495" t="inlineStr">
        <is>
          <t xml:space="preserve">CV. DAHLIA - PPN (PDG) </t>
        </is>
      </c>
      <c r="AI495" t="n">
        <v>996</v>
      </c>
      <c r="AJ495" t="inlineStr">
        <is>
          <t>BIOAQUA</t>
        </is>
      </c>
      <c r="AK495" t="n">
        <v>21</v>
      </c>
      <c r="AL495" t="inlineStr">
        <is>
          <t>Miss Glam Damar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BIOAQUA</t>
        </is>
      </c>
      <c r="B496" s="2">
        <f>"203003107026"</f>
        <v/>
      </c>
      <c r="C496" t="inlineStr">
        <is>
          <t>BIOAQUA Fantastic Me Glossy Lip Tint Ruby Kiss 2.3gr</t>
        </is>
      </c>
      <c r="D496" t="inlineStr">
        <is>
          <t>Miss Glam Damar</t>
        </is>
      </c>
      <c r="E496" t="n">
        <v>8</v>
      </c>
      <c r="F496" t="n">
        <v>0.0728</v>
      </c>
      <c r="G496" t="n">
        <v>1.82</v>
      </c>
      <c r="H496" t="n">
        <v>2</v>
      </c>
      <c r="I496" t="n">
        <v>16</v>
      </c>
      <c r="J496" t="n">
        <v>1</v>
      </c>
      <c r="K496" t="n">
        <v>0</v>
      </c>
      <c r="L496" t="n">
        <v>22800</v>
      </c>
      <c r="M496" t="n">
        <v>28500</v>
      </c>
      <c r="N496" t="n">
        <v>91</v>
      </c>
      <c r="O496" t="n">
        <v>0.91</v>
      </c>
      <c r="P496" t="n">
        <v>1</v>
      </c>
      <c r="Q496" t="n">
        <v>0.05</v>
      </c>
      <c r="R496" t="n">
        <v>1</v>
      </c>
      <c r="S496" t="n">
        <v>2074.8</v>
      </c>
      <c r="T496" t="n">
        <v>29</v>
      </c>
      <c r="U496" t="n">
        <v>30</v>
      </c>
      <c r="V496" t="n">
        <v>30</v>
      </c>
      <c r="W496" t="n">
        <v>3</v>
      </c>
      <c r="X496" t="n">
        <v>109.8901098901099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369</v>
      </c>
      <c r="AG496" t="n">
        <v>107</v>
      </c>
      <c r="AH496" t="inlineStr">
        <is>
          <t xml:space="preserve">CV. DAHLIA - PPN (PDG) </t>
        </is>
      </c>
      <c r="AI496" t="n">
        <v>996</v>
      </c>
      <c r="AJ496" t="inlineStr">
        <is>
          <t>BIOAQUA</t>
        </is>
      </c>
      <c r="AK496" t="n">
        <v>21</v>
      </c>
      <c r="AL496" t="inlineStr">
        <is>
          <t>Miss Glam Damar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BIOAQUA</t>
        </is>
      </c>
      <c r="B497" s="2">
        <f>"6957148431538"</f>
        <v/>
      </c>
      <c r="C497" t="inlineStr">
        <is>
          <t>BIOAQUA Fantastic Me Glossy Lip Tint Withered Rose 2.3gr</t>
        </is>
      </c>
      <c r="D497" t="inlineStr">
        <is>
          <t>Miss Glam Damar</t>
        </is>
      </c>
      <c r="E497" t="n">
        <v>0</v>
      </c>
      <c r="F497" t="n">
        <v>0.1729</v>
      </c>
      <c r="G497" t="n">
        <v>1.82</v>
      </c>
      <c r="H497" t="n">
        <v>2</v>
      </c>
      <c r="I497" t="n">
        <v>16</v>
      </c>
      <c r="J497" t="n">
        <v>3</v>
      </c>
      <c r="K497" t="n">
        <v>0</v>
      </c>
      <c r="L497" t="n">
        <v>24000</v>
      </c>
      <c r="M497" t="n">
        <v>30000</v>
      </c>
      <c r="N497" t="n">
        <v>91</v>
      </c>
      <c r="O497" t="n">
        <v>0.91</v>
      </c>
      <c r="P497" t="n">
        <v>1</v>
      </c>
      <c r="Q497" t="n">
        <v>0.13</v>
      </c>
      <c r="R497" t="n">
        <v>1</v>
      </c>
      <c r="S497" t="n">
        <v>5187</v>
      </c>
      <c r="T497" t="n">
        <v>29</v>
      </c>
      <c r="U497" t="n">
        <v>30</v>
      </c>
      <c r="V497" t="n">
        <v>30</v>
      </c>
      <c r="W497" t="n">
        <v>6</v>
      </c>
      <c r="X497" t="n">
        <v>0</v>
      </c>
      <c r="Y497" t="n">
        <v>1</v>
      </c>
      <c r="Z497" t="n">
        <v>6</v>
      </c>
      <c r="AA497" t="n">
        <v>3</v>
      </c>
      <c r="AB497" t="n">
        <v>3</v>
      </c>
      <c r="AC497" t="n">
        <v>3</v>
      </c>
      <c r="AD497" t="n">
        <v>72000</v>
      </c>
      <c r="AE497" t="n">
        <v>72000</v>
      </c>
      <c r="AF497" t="n">
        <v>369</v>
      </c>
      <c r="AG497" t="n">
        <v>107</v>
      </c>
      <c r="AH497" t="inlineStr">
        <is>
          <t xml:space="preserve">CV. DAHLIA - PPN (PDG) </t>
        </is>
      </c>
      <c r="AI497" t="n">
        <v>996</v>
      </c>
      <c r="AJ497" t="inlineStr">
        <is>
          <t>BIOAQUA</t>
        </is>
      </c>
      <c r="AK497" t="n">
        <v>21</v>
      </c>
      <c r="AL497" t="inlineStr">
        <is>
          <t>Miss Glam Damar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BIOAQUA</t>
        </is>
      </c>
      <c r="B498" s="2">
        <f>"10500176207"</f>
        <v/>
      </c>
      <c r="C498" t="inlineStr">
        <is>
          <t>BIOAQUA Fresh Care Mask 30gr</t>
        </is>
      </c>
      <c r="D498" t="inlineStr">
        <is>
          <t>Miss Glam Damar</t>
        </is>
      </c>
      <c r="E498" t="n">
        <v>38</v>
      </c>
      <c r="F498" t="n">
        <v>17.0079</v>
      </c>
      <c r="G498" t="n">
        <v>31.85</v>
      </c>
      <c r="H498" t="n">
        <v>2</v>
      </c>
      <c r="I498" t="n">
        <v>16</v>
      </c>
      <c r="J498" t="n">
        <v>1</v>
      </c>
      <c r="K498" t="n">
        <v>0</v>
      </c>
      <c r="L498" t="n">
        <v>3120</v>
      </c>
      <c r="M498" t="n">
        <v>4000</v>
      </c>
      <c r="N498" t="n">
        <v>91</v>
      </c>
      <c r="O498" t="n">
        <v>0.91</v>
      </c>
      <c r="P498" t="n">
        <v>1</v>
      </c>
      <c r="Q498" t="n">
        <v>7.17</v>
      </c>
      <c r="R498" t="n">
        <v>21</v>
      </c>
      <c r="S498" t="n">
        <v>68031.60000000001</v>
      </c>
      <c r="T498" t="n">
        <v>476</v>
      </c>
      <c r="U498" t="n">
        <v>511</v>
      </c>
      <c r="V498" t="n">
        <v>30</v>
      </c>
      <c r="W498" t="n">
        <v>511</v>
      </c>
      <c r="X498" t="n">
        <v>2.234255845812828</v>
      </c>
      <c r="Y498" t="n">
        <v>1</v>
      </c>
      <c r="Z498" t="n">
        <v>473</v>
      </c>
      <c r="AA498" t="n">
        <v>235</v>
      </c>
      <c r="AB498" t="n">
        <v>238</v>
      </c>
      <c r="AC498" t="n">
        <v>238</v>
      </c>
      <c r="AD498" t="n">
        <v>733200</v>
      </c>
      <c r="AE498" t="n">
        <v>742560</v>
      </c>
      <c r="AF498" t="n">
        <v>369</v>
      </c>
      <c r="AG498" t="n">
        <v>107</v>
      </c>
      <c r="AH498" t="inlineStr">
        <is>
          <t xml:space="preserve">CV. DAHLIA - PPN (PDG) </t>
        </is>
      </c>
      <c r="AI498" t="n">
        <v>996</v>
      </c>
      <c r="AJ498" t="inlineStr">
        <is>
          <t>BIOAQUA</t>
        </is>
      </c>
      <c r="AK498" t="n">
        <v>21</v>
      </c>
      <c r="AL498" t="inlineStr">
        <is>
          <t>Miss Glam Damar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BIOAQUA</t>
        </is>
      </c>
      <c r="B499" s="2">
        <f>"6957148427777"</f>
        <v/>
      </c>
      <c r="C499" t="inlineStr">
        <is>
          <t>BIOAQUA Gardenia Ection Sensitive Repair Mask 28g</t>
        </is>
      </c>
      <c r="D499" t="inlineStr">
        <is>
          <t>Miss Glam Damar</t>
        </is>
      </c>
      <c r="E499" t="n">
        <v>0</v>
      </c>
      <c r="F499" t="n">
        <v>0.02</v>
      </c>
      <c r="G499" t="n">
        <v>4</v>
      </c>
      <c r="H499" t="n">
        <v>2</v>
      </c>
      <c r="I499" t="n">
        <v>16</v>
      </c>
      <c r="J499" t="n">
        <v>3</v>
      </c>
      <c r="K499" t="n">
        <v>0</v>
      </c>
      <c r="L499" t="n">
        <v>3120</v>
      </c>
      <c r="M499" t="n">
        <v>4000</v>
      </c>
      <c r="N499" t="n">
        <v>91</v>
      </c>
      <c r="O499" t="n">
        <v>0.91</v>
      </c>
      <c r="P499" t="n">
        <v>0</v>
      </c>
      <c r="Q499" t="n">
        <v>0.02</v>
      </c>
      <c r="R499" t="n">
        <v>4</v>
      </c>
      <c r="S499" t="n">
        <v>80</v>
      </c>
      <c r="T499" t="n">
        <v>64</v>
      </c>
      <c r="U499" t="n">
        <v>65</v>
      </c>
      <c r="V499" t="n">
        <v>30</v>
      </c>
      <c r="W499" t="n">
        <v>1</v>
      </c>
      <c r="X499" t="n">
        <v>0</v>
      </c>
      <c r="Y499" t="n">
        <v>1</v>
      </c>
      <c r="Z499" t="n">
        <v>1</v>
      </c>
      <c r="AA499" t="n">
        <v>1</v>
      </c>
      <c r="AB499" t="n">
        <v>0</v>
      </c>
      <c r="AC499" t="n">
        <v>0</v>
      </c>
      <c r="AD499" t="n">
        <v>3120</v>
      </c>
      <c r="AE499" t="n">
        <v>0</v>
      </c>
      <c r="AF499" t="n">
        <v>369</v>
      </c>
      <c r="AG499" t="n">
        <v>107</v>
      </c>
      <c r="AH499" t="inlineStr">
        <is>
          <t xml:space="preserve">CV. DAHLIA - PPN (PDG) </t>
        </is>
      </c>
      <c r="AI499" t="n">
        <v>996</v>
      </c>
      <c r="AJ499" t="inlineStr">
        <is>
          <t>BIOAQUA</t>
        </is>
      </c>
      <c r="AK499" t="n">
        <v>21</v>
      </c>
      <c r="AL499" t="inlineStr">
        <is>
          <t>Miss Glam Damar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BIOAQUA</t>
        </is>
      </c>
      <c r="B500" s="2">
        <f>"6957148428415"</f>
        <v/>
      </c>
      <c r="C500" t="inlineStr">
        <is>
          <t>BIOAQUA Grape Copper Tripeptide Essence Mask 25g</t>
        </is>
      </c>
      <c r="D500" t="inlineStr">
        <is>
          <t>Miss Glam Damar</t>
        </is>
      </c>
      <c r="E500" t="n">
        <v>0</v>
      </c>
      <c r="F500" t="n">
        <v>3.1577</v>
      </c>
      <c r="G500" t="n">
        <v>21.84</v>
      </c>
      <c r="H500" t="n">
        <v>2</v>
      </c>
      <c r="I500" t="n">
        <v>16</v>
      </c>
      <c r="J500" t="n">
        <v>3</v>
      </c>
      <c r="K500" t="n">
        <v>0</v>
      </c>
      <c r="L500" t="n">
        <v>2720</v>
      </c>
      <c r="M500" t="n">
        <v>3500</v>
      </c>
      <c r="N500" t="n">
        <v>91</v>
      </c>
      <c r="O500" t="n">
        <v>0.91</v>
      </c>
      <c r="P500" t="n">
        <v>1</v>
      </c>
      <c r="Q500" t="n">
        <v>4.41</v>
      </c>
      <c r="R500" t="n">
        <v>13</v>
      </c>
      <c r="S500" t="n">
        <v>11051.95</v>
      </c>
      <c r="T500" t="n">
        <v>344</v>
      </c>
      <c r="U500" t="n">
        <v>351</v>
      </c>
      <c r="V500" t="n">
        <v>30</v>
      </c>
      <c r="W500" t="n">
        <v>95</v>
      </c>
      <c r="X500" t="n">
        <v>0</v>
      </c>
      <c r="Y500" t="n">
        <v>1</v>
      </c>
      <c r="Z500" t="n">
        <v>95</v>
      </c>
      <c r="AA500" t="n">
        <v>51</v>
      </c>
      <c r="AB500" t="n">
        <v>44</v>
      </c>
      <c r="AC500" t="n">
        <v>44</v>
      </c>
      <c r="AD500" t="n">
        <v>138720</v>
      </c>
      <c r="AE500" t="n">
        <v>119680</v>
      </c>
      <c r="AF500" t="n">
        <v>369</v>
      </c>
      <c r="AG500" t="n">
        <v>107</v>
      </c>
      <c r="AH500" t="inlineStr">
        <is>
          <t xml:space="preserve">CV. DAHLIA - PPN (PDG) </t>
        </is>
      </c>
      <c r="AI500" t="n">
        <v>996</v>
      </c>
      <c r="AJ500" t="inlineStr">
        <is>
          <t>BIOAQUA</t>
        </is>
      </c>
      <c r="AK500" t="n">
        <v>21</v>
      </c>
      <c r="AL500" t="inlineStr">
        <is>
          <t>Miss Glam Damar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BIOAQUA</t>
        </is>
      </c>
      <c r="B501" s="2">
        <f>"6957148428422"</f>
        <v/>
      </c>
      <c r="C501" t="inlineStr">
        <is>
          <t>BIOAQUA Grapefruit Algae Essence Mask 25g</t>
        </is>
      </c>
      <c r="D501" t="inlineStr">
        <is>
          <t>Miss Glam Damar</t>
        </is>
      </c>
      <c r="E501" t="n">
        <v>43</v>
      </c>
      <c r="F501" t="n">
        <v>6.388199999999999</v>
      </c>
      <c r="G501" t="n">
        <v>18.2</v>
      </c>
      <c r="H501" t="n">
        <v>2</v>
      </c>
      <c r="I501" t="n">
        <v>16</v>
      </c>
      <c r="J501" t="n">
        <v>3</v>
      </c>
      <c r="K501" t="n">
        <v>0</v>
      </c>
      <c r="L501" t="n">
        <v>2720</v>
      </c>
      <c r="M501" t="n">
        <v>3500</v>
      </c>
      <c r="N501" t="n">
        <v>91</v>
      </c>
      <c r="O501" t="n">
        <v>0.91</v>
      </c>
      <c r="P501" t="n">
        <v>1</v>
      </c>
      <c r="Q501" t="n">
        <v>3.39</v>
      </c>
      <c r="R501" t="n">
        <v>14</v>
      </c>
      <c r="S501" t="n">
        <v>22358.7</v>
      </c>
      <c r="T501" t="n">
        <v>279</v>
      </c>
      <c r="U501" t="n">
        <v>292</v>
      </c>
      <c r="V501" t="n">
        <v>30</v>
      </c>
      <c r="W501" t="n">
        <v>192</v>
      </c>
      <c r="X501" t="n">
        <v>6.731160577314424</v>
      </c>
      <c r="Y501" t="n">
        <v>1</v>
      </c>
      <c r="Z501" t="n">
        <v>149</v>
      </c>
      <c r="AA501" t="n">
        <v>60</v>
      </c>
      <c r="AB501" t="n">
        <v>89</v>
      </c>
      <c r="AC501" t="n">
        <v>89</v>
      </c>
      <c r="AD501" t="n">
        <v>163200</v>
      </c>
      <c r="AE501" t="n">
        <v>242080</v>
      </c>
      <c r="AF501" t="n">
        <v>369</v>
      </c>
      <c r="AG501" t="n">
        <v>107</v>
      </c>
      <c r="AH501" t="inlineStr">
        <is>
          <t xml:space="preserve">CV. DAHLIA - PPN (PDG) </t>
        </is>
      </c>
      <c r="AI501" t="n">
        <v>996</v>
      </c>
      <c r="AJ501" t="inlineStr">
        <is>
          <t>BIOAQUA</t>
        </is>
      </c>
      <c r="AK501" t="n">
        <v>21</v>
      </c>
      <c r="AL501" t="inlineStr">
        <is>
          <t>Miss Glam Damar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BIOAQUA</t>
        </is>
      </c>
      <c r="B502" s="2">
        <f>"6957148425575"</f>
        <v/>
      </c>
      <c r="C502" t="inlineStr">
        <is>
          <t>BIOAQUA Honey Fullerene Essence Mask 25gr</t>
        </is>
      </c>
      <c r="D502" t="inlineStr">
        <is>
          <t>Miss Glam Damar</t>
        </is>
      </c>
      <c r="E502" t="n">
        <v>0</v>
      </c>
      <c r="F502" t="n">
        <v>6.9888</v>
      </c>
      <c r="G502" t="n">
        <v>18.2</v>
      </c>
      <c r="H502" t="n">
        <v>2</v>
      </c>
      <c r="I502" t="n">
        <v>16</v>
      </c>
      <c r="J502" t="n">
        <v>3</v>
      </c>
      <c r="K502" t="n">
        <v>0</v>
      </c>
      <c r="L502" t="n">
        <v>2720</v>
      </c>
      <c r="M502" t="n">
        <v>3500</v>
      </c>
      <c r="N502" t="n">
        <v>91</v>
      </c>
      <c r="O502" t="n">
        <v>0.91</v>
      </c>
      <c r="P502" t="n">
        <v>1</v>
      </c>
      <c r="Q502" t="n">
        <v>3.76</v>
      </c>
      <c r="R502" t="n">
        <v>13</v>
      </c>
      <c r="S502" t="n">
        <v>24460.8</v>
      </c>
      <c r="T502" t="n">
        <v>278</v>
      </c>
      <c r="U502" t="n">
        <v>292</v>
      </c>
      <c r="V502" t="n">
        <v>30</v>
      </c>
      <c r="W502" t="n">
        <v>210</v>
      </c>
      <c r="X502" t="n">
        <v>0</v>
      </c>
      <c r="Y502" t="n">
        <v>1</v>
      </c>
      <c r="Z502" t="n">
        <v>210</v>
      </c>
      <c r="AA502" t="n">
        <v>112</v>
      </c>
      <c r="AB502" t="n">
        <v>98</v>
      </c>
      <c r="AC502" t="n">
        <v>98</v>
      </c>
      <c r="AD502" t="n">
        <v>304640</v>
      </c>
      <c r="AE502" t="n">
        <v>266560</v>
      </c>
      <c r="AF502" t="n">
        <v>369</v>
      </c>
      <c r="AG502" t="n">
        <v>107</v>
      </c>
      <c r="AH502" t="inlineStr">
        <is>
          <t xml:space="preserve">CV. DAHLIA - PPN (PDG) </t>
        </is>
      </c>
      <c r="AI502" t="n">
        <v>996</v>
      </c>
      <c r="AJ502" t="inlineStr">
        <is>
          <t>BIOAQUA</t>
        </is>
      </c>
      <c r="AK502" t="n">
        <v>21</v>
      </c>
      <c r="AL502" t="inlineStr">
        <is>
          <t>Miss Glam Damar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BIOAQUA</t>
        </is>
      </c>
      <c r="B503" s="2">
        <f>"6957148425582"</f>
        <v/>
      </c>
      <c r="C503" t="inlineStr">
        <is>
          <t>BIOAQUA Kiwi Vitamin E Delicate Moisturizing Essence Mask 25g</t>
        </is>
      </c>
      <c r="D503" t="inlineStr">
        <is>
          <t>Miss Glam Damar</t>
        </is>
      </c>
      <c r="E503" t="n">
        <v>1</v>
      </c>
      <c r="F503" t="n">
        <v>1.6835</v>
      </c>
      <c r="G503" t="n">
        <v>8.19</v>
      </c>
      <c r="H503" t="n">
        <v>2</v>
      </c>
      <c r="I503" t="n">
        <v>16</v>
      </c>
      <c r="J503" t="n">
        <v>3</v>
      </c>
      <c r="K503" t="n">
        <v>0</v>
      </c>
      <c r="L503" t="n">
        <v>2720</v>
      </c>
      <c r="M503" t="n">
        <v>3500</v>
      </c>
      <c r="N503" t="n">
        <v>91</v>
      </c>
      <c r="O503" t="n">
        <v>0.91</v>
      </c>
      <c r="P503" t="n">
        <v>1</v>
      </c>
      <c r="Q503" t="n">
        <v>2.37</v>
      </c>
      <c r="R503" t="n">
        <v>26</v>
      </c>
      <c r="S503" t="n">
        <v>5892.250000000001</v>
      </c>
      <c r="T503" t="n">
        <v>128</v>
      </c>
      <c r="U503" t="n">
        <v>132</v>
      </c>
      <c r="V503" t="n">
        <v>30</v>
      </c>
      <c r="W503" t="n">
        <v>51</v>
      </c>
      <c r="X503" t="n">
        <v>0.5940005940005939</v>
      </c>
      <c r="Y503" t="n">
        <v>1</v>
      </c>
      <c r="Z503" t="n">
        <v>50</v>
      </c>
      <c r="AA503" t="n">
        <v>26</v>
      </c>
      <c r="AB503" t="n">
        <v>24</v>
      </c>
      <c r="AC503" t="n">
        <v>24</v>
      </c>
      <c r="AD503" t="n">
        <v>70720</v>
      </c>
      <c r="AE503" t="n">
        <v>65280</v>
      </c>
      <c r="AF503" t="n">
        <v>369</v>
      </c>
      <c r="AG503" t="n">
        <v>107</v>
      </c>
      <c r="AH503" t="inlineStr">
        <is>
          <t xml:space="preserve">CV. DAHLIA - PPN (PDG) </t>
        </is>
      </c>
      <c r="AI503" t="n">
        <v>996</v>
      </c>
      <c r="AJ503" t="inlineStr">
        <is>
          <t>BIOAQUA</t>
        </is>
      </c>
      <c r="AK503" t="n">
        <v>21</v>
      </c>
      <c r="AL503" t="inlineStr">
        <is>
          <t>Miss Glam Damar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BIOAQUA</t>
        </is>
      </c>
      <c r="B504" s="2">
        <f>"6957148425599"</f>
        <v/>
      </c>
      <c r="C504" t="inlineStr">
        <is>
          <t>BIOAQUA Lemon Vitamin C Essence Mask 25gr</t>
        </is>
      </c>
      <c r="D504" t="inlineStr">
        <is>
          <t>Miss Glam Damar</t>
        </is>
      </c>
      <c r="E504" t="n">
        <v>372</v>
      </c>
      <c r="F504" t="n">
        <v>4.7957</v>
      </c>
      <c r="G504" t="n">
        <v>23.66</v>
      </c>
      <c r="H504" t="n">
        <v>2</v>
      </c>
      <c r="I504" t="n">
        <v>16</v>
      </c>
      <c r="J504" t="n">
        <v>3</v>
      </c>
      <c r="K504" t="n">
        <v>0</v>
      </c>
      <c r="L504" t="n">
        <v>2720</v>
      </c>
      <c r="M504" t="n">
        <v>3500</v>
      </c>
      <c r="N504" t="n">
        <v>91</v>
      </c>
      <c r="O504" t="n">
        <v>0.91</v>
      </c>
      <c r="P504" t="n">
        <v>1</v>
      </c>
      <c r="Q504" t="n">
        <v>4.71</v>
      </c>
      <c r="R504" t="n">
        <v>28</v>
      </c>
      <c r="S504" t="n">
        <v>16784.95</v>
      </c>
      <c r="T504" t="n">
        <v>369</v>
      </c>
      <c r="U504" t="n">
        <v>379</v>
      </c>
      <c r="V504" t="n">
        <v>30</v>
      </c>
      <c r="W504" t="n">
        <v>144</v>
      </c>
      <c r="X504" t="n">
        <v>77.56948933419521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369</v>
      </c>
      <c r="AG504" t="n">
        <v>107</v>
      </c>
      <c r="AH504" t="inlineStr">
        <is>
          <t xml:space="preserve">CV. DAHLIA - PPN (PDG) </t>
        </is>
      </c>
      <c r="AI504" t="n">
        <v>996</v>
      </c>
      <c r="AJ504" t="inlineStr">
        <is>
          <t>BIOAQUA</t>
        </is>
      </c>
      <c r="AK504" t="n">
        <v>21</v>
      </c>
      <c r="AL504" t="inlineStr">
        <is>
          <t>Miss Glam Damar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BIOAQUA</t>
        </is>
      </c>
      <c r="B505" s="2">
        <f>"6957148427784"</f>
        <v/>
      </c>
      <c r="C505" t="inlineStr">
        <is>
          <t>BIOAQUA Lily Lactobacillus Anti Aging Mask 28g</t>
        </is>
      </c>
      <c r="D505" t="inlineStr">
        <is>
          <t>Miss Glam Damar</t>
        </is>
      </c>
      <c r="E505" t="n">
        <v>40</v>
      </c>
      <c r="F505" t="n">
        <v>5.678400000000001</v>
      </c>
      <c r="G505" t="n">
        <v>13.65</v>
      </c>
      <c r="H505" t="n">
        <v>2</v>
      </c>
      <c r="I505" t="n">
        <v>16</v>
      </c>
      <c r="J505" t="n">
        <v>3</v>
      </c>
      <c r="K505" t="n">
        <v>0</v>
      </c>
      <c r="L505" t="n">
        <v>3120</v>
      </c>
      <c r="M505" t="n">
        <v>4000</v>
      </c>
      <c r="N505" t="n">
        <v>91</v>
      </c>
      <c r="O505" t="n">
        <v>0.91</v>
      </c>
      <c r="P505" t="n">
        <v>1</v>
      </c>
      <c r="Q505" t="n">
        <v>1.02</v>
      </c>
      <c r="R505" t="n">
        <v>7</v>
      </c>
      <c r="S505" t="n">
        <v>22713.6</v>
      </c>
      <c r="T505" t="n">
        <v>208</v>
      </c>
      <c r="U505" t="n">
        <v>220</v>
      </c>
      <c r="V505" t="n">
        <v>30</v>
      </c>
      <c r="W505" t="n">
        <v>171</v>
      </c>
      <c r="X505" t="n">
        <v>7.044237813468582</v>
      </c>
      <c r="Y505" t="n">
        <v>1</v>
      </c>
      <c r="Z505" t="n">
        <v>131</v>
      </c>
      <c r="AA505" t="n">
        <v>51</v>
      </c>
      <c r="AB505" t="n">
        <v>80</v>
      </c>
      <c r="AC505" t="n">
        <v>80</v>
      </c>
      <c r="AD505" t="n">
        <v>159120</v>
      </c>
      <c r="AE505" t="n">
        <v>249600</v>
      </c>
      <c r="AF505" t="n">
        <v>369</v>
      </c>
      <c r="AG505" t="n">
        <v>107</v>
      </c>
      <c r="AH505" t="inlineStr">
        <is>
          <t xml:space="preserve">CV. DAHLIA - PPN (PDG) </t>
        </is>
      </c>
      <c r="AI505" t="n">
        <v>996</v>
      </c>
      <c r="AJ505" t="inlineStr">
        <is>
          <t>BIOAQUA</t>
        </is>
      </c>
      <c r="AK505" t="n">
        <v>21</v>
      </c>
      <c r="AL505" t="inlineStr">
        <is>
          <t>Miss Glam Damar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BIOAQUA</t>
        </is>
      </c>
      <c r="B506" s="2">
        <f>"10500176301"</f>
        <v/>
      </c>
      <c r="C506" t="inlineStr">
        <is>
          <t>BIOAQUA Luminous Blooming Mask 30gr</t>
        </is>
      </c>
      <c r="D506" t="inlineStr">
        <is>
          <t>Miss Glam Damar</t>
        </is>
      </c>
      <c r="E506" t="n">
        <v>43</v>
      </c>
      <c r="F506" t="n">
        <v>9.8553</v>
      </c>
      <c r="G506" t="n">
        <v>28.21</v>
      </c>
      <c r="H506" t="n">
        <v>2</v>
      </c>
      <c r="I506" t="n">
        <v>16</v>
      </c>
      <c r="J506" t="n">
        <v>1</v>
      </c>
      <c r="K506" t="n">
        <v>0</v>
      </c>
      <c r="L506" t="n">
        <v>3120</v>
      </c>
      <c r="M506" t="n">
        <v>4000</v>
      </c>
      <c r="N506" t="n">
        <v>91</v>
      </c>
      <c r="O506" t="n">
        <v>0.91</v>
      </c>
      <c r="P506" t="n">
        <v>1</v>
      </c>
      <c r="Q506" t="n">
        <v>5.41</v>
      </c>
      <c r="R506" t="n">
        <v>22</v>
      </c>
      <c r="S506" t="n">
        <v>39421.2</v>
      </c>
      <c r="T506" t="n">
        <v>432</v>
      </c>
      <c r="U506" t="n">
        <v>452</v>
      </c>
      <c r="V506" t="n">
        <v>30</v>
      </c>
      <c r="W506" t="n">
        <v>296</v>
      </c>
      <c r="X506" t="n">
        <v>4.363134557040374</v>
      </c>
      <c r="Y506" t="n">
        <v>1</v>
      </c>
      <c r="Z506" t="n">
        <v>253</v>
      </c>
      <c r="AA506" t="n">
        <v>115</v>
      </c>
      <c r="AB506" t="n">
        <v>138</v>
      </c>
      <c r="AC506" t="n">
        <v>138</v>
      </c>
      <c r="AD506" t="n">
        <v>358800</v>
      </c>
      <c r="AE506" t="n">
        <v>430560</v>
      </c>
      <c r="AF506" t="n">
        <v>369</v>
      </c>
      <c r="AG506" t="n">
        <v>107</v>
      </c>
      <c r="AH506" t="inlineStr">
        <is>
          <t xml:space="preserve">CV. DAHLIA - PPN (PDG) </t>
        </is>
      </c>
      <c r="AI506" t="n">
        <v>996</v>
      </c>
      <c r="AJ506" t="inlineStr">
        <is>
          <t>BIOAQUA</t>
        </is>
      </c>
      <c r="AK506" t="n">
        <v>21</v>
      </c>
      <c r="AL506" t="inlineStr">
        <is>
          <t>Miss Glam Damar</t>
        </is>
      </c>
      <c r="AM506" t="n">
        <v>2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BIOAQUA</t>
        </is>
      </c>
      <c r="B507" s="2">
        <f>"10500176447"</f>
        <v/>
      </c>
      <c r="C507" t="inlineStr">
        <is>
          <t>BIOAQUA Luxurious Care Mask 30gr</t>
        </is>
      </c>
      <c r="D507" t="inlineStr">
        <is>
          <t>Miss Glam Damar</t>
        </is>
      </c>
      <c r="E507" t="n">
        <v>14</v>
      </c>
      <c r="F507" t="n">
        <v>7.6804</v>
      </c>
      <c r="G507" t="n">
        <v>20.93</v>
      </c>
      <c r="H507" t="n">
        <v>2</v>
      </c>
      <c r="I507" t="n">
        <v>16</v>
      </c>
      <c r="J507" t="n">
        <v>1</v>
      </c>
      <c r="K507" t="n">
        <v>0</v>
      </c>
      <c r="L507" t="n">
        <v>3120</v>
      </c>
      <c r="M507" t="n">
        <v>4000</v>
      </c>
      <c r="N507" t="n">
        <v>91</v>
      </c>
      <c r="O507" t="n">
        <v>0.91</v>
      </c>
      <c r="P507" t="n">
        <v>1</v>
      </c>
      <c r="Q507" t="n">
        <v>3.78</v>
      </c>
      <c r="R507" t="n">
        <v>30</v>
      </c>
      <c r="S507" t="n">
        <v>30721.6</v>
      </c>
      <c r="T507" t="n">
        <v>320</v>
      </c>
      <c r="U507" t="n">
        <v>336</v>
      </c>
      <c r="V507" t="n">
        <v>30</v>
      </c>
      <c r="W507" t="n">
        <v>231</v>
      </c>
      <c r="X507" t="n">
        <v>1.822821728034998</v>
      </c>
      <c r="Y507" t="n">
        <v>1</v>
      </c>
      <c r="Z507" t="n">
        <v>217</v>
      </c>
      <c r="AA507" t="n">
        <v>109</v>
      </c>
      <c r="AB507" t="n">
        <v>108</v>
      </c>
      <c r="AC507" t="n">
        <v>108</v>
      </c>
      <c r="AD507" t="n">
        <v>340080</v>
      </c>
      <c r="AE507" t="n">
        <v>336960</v>
      </c>
      <c r="AF507" t="n">
        <v>369</v>
      </c>
      <c r="AG507" t="n">
        <v>107</v>
      </c>
      <c r="AH507" t="inlineStr">
        <is>
          <t xml:space="preserve">CV. DAHLIA - PPN (PDG) </t>
        </is>
      </c>
      <c r="AI507" t="n">
        <v>996</v>
      </c>
      <c r="AJ507" t="inlineStr">
        <is>
          <t>BIOAQUA</t>
        </is>
      </c>
      <c r="AK507" t="n">
        <v>21</v>
      </c>
      <c r="AL507" t="inlineStr">
        <is>
          <t>Miss Glam Damar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BIOAQUA</t>
        </is>
      </c>
      <c r="B508" s="2">
        <f>"6957148428484"</f>
        <v/>
      </c>
      <c r="C508" t="inlineStr">
        <is>
          <t>BIOAQUA Mangosteen Nourishing Essence Mask 25g</t>
        </is>
      </c>
      <c r="D508" t="inlineStr">
        <is>
          <t>Miss Glam Damar</t>
        </is>
      </c>
      <c r="E508" t="n">
        <v>0</v>
      </c>
      <c r="F508" t="n">
        <v>7.634900000000001</v>
      </c>
      <c r="G508" t="n">
        <v>23.66</v>
      </c>
      <c r="H508" t="n">
        <v>2</v>
      </c>
      <c r="I508" t="n">
        <v>16</v>
      </c>
      <c r="J508" t="n">
        <v>3</v>
      </c>
      <c r="K508" t="n">
        <v>0</v>
      </c>
      <c r="L508" t="n">
        <v>2720</v>
      </c>
      <c r="M508" t="n">
        <v>3500</v>
      </c>
      <c r="N508" t="n">
        <v>91</v>
      </c>
      <c r="O508" t="n">
        <v>0.91</v>
      </c>
      <c r="P508" t="n">
        <v>1</v>
      </c>
      <c r="Q508" t="n">
        <v>6.55</v>
      </c>
      <c r="R508" t="n">
        <v>22</v>
      </c>
      <c r="S508" t="n">
        <v>26722.15</v>
      </c>
      <c r="T508" t="n">
        <v>364</v>
      </c>
      <c r="U508" t="n">
        <v>380</v>
      </c>
      <c r="V508" t="n">
        <v>30</v>
      </c>
      <c r="W508" t="n">
        <v>230</v>
      </c>
      <c r="X508" t="n">
        <v>0</v>
      </c>
      <c r="Y508" t="n">
        <v>1</v>
      </c>
      <c r="Z508" t="n">
        <v>230</v>
      </c>
      <c r="AA508" t="n">
        <v>123</v>
      </c>
      <c r="AB508" t="n">
        <v>107</v>
      </c>
      <c r="AC508" t="n">
        <v>107</v>
      </c>
      <c r="AD508" t="n">
        <v>334560</v>
      </c>
      <c r="AE508" t="n">
        <v>291040</v>
      </c>
      <c r="AF508" t="n">
        <v>369</v>
      </c>
      <c r="AG508" t="n">
        <v>107</v>
      </c>
      <c r="AH508" t="inlineStr">
        <is>
          <t xml:space="preserve">CV. DAHLIA - PPN (PDG) </t>
        </is>
      </c>
      <c r="AI508" t="n">
        <v>996</v>
      </c>
      <c r="AJ508" t="inlineStr">
        <is>
          <t>BIOAQUA</t>
        </is>
      </c>
      <c r="AK508" t="n">
        <v>21</v>
      </c>
      <c r="AL508" t="inlineStr">
        <is>
          <t>Miss Glam Damar</t>
        </is>
      </c>
      <c r="AM508" t="n">
        <v>2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BIOAQUA</t>
        </is>
      </c>
      <c r="B509" s="2">
        <f>"6957148428439"</f>
        <v/>
      </c>
      <c r="C509" t="inlineStr">
        <is>
          <t>BIOAQUA Orange Moisturizing Essence Mask 25gr</t>
        </is>
      </c>
      <c r="D509" t="inlineStr">
        <is>
          <t>Miss Glam Damar</t>
        </is>
      </c>
      <c r="E509" t="n">
        <v>119</v>
      </c>
      <c r="F509" t="n">
        <v>1.4378</v>
      </c>
      <c r="G509" t="n">
        <v>11.83</v>
      </c>
      <c r="H509" t="n">
        <v>2</v>
      </c>
      <c r="I509" t="n">
        <v>16</v>
      </c>
      <c r="J509" t="n">
        <v>3</v>
      </c>
      <c r="K509" t="n">
        <v>0</v>
      </c>
      <c r="L509" t="n">
        <v>2720</v>
      </c>
      <c r="M509" t="n">
        <v>3500</v>
      </c>
      <c r="N509" t="n">
        <v>91</v>
      </c>
      <c r="O509" t="n">
        <v>0.91</v>
      </c>
      <c r="P509" t="n">
        <v>1</v>
      </c>
      <c r="Q509" t="n">
        <v>0.8</v>
      </c>
      <c r="R509" t="n">
        <v>8</v>
      </c>
      <c r="S509" t="n">
        <v>5032.300000000001</v>
      </c>
      <c r="T509" t="n">
        <v>187</v>
      </c>
      <c r="U509" t="n">
        <v>190</v>
      </c>
      <c r="V509" t="n">
        <v>30</v>
      </c>
      <c r="W509" t="n">
        <v>44</v>
      </c>
      <c r="X509" t="n">
        <v>82.76533592989288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369</v>
      </c>
      <c r="AG509" t="n">
        <v>107</v>
      </c>
      <c r="AH509" t="inlineStr">
        <is>
          <t xml:space="preserve">CV. DAHLIA - PPN (PDG) </t>
        </is>
      </c>
      <c r="AI509" t="n">
        <v>996</v>
      </c>
      <c r="AJ509" t="inlineStr">
        <is>
          <t>BIOAQUA</t>
        </is>
      </c>
      <c r="AK509" t="n">
        <v>21</v>
      </c>
      <c r="AL509" t="inlineStr">
        <is>
          <t>Miss Glam Damar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BIOAQUA</t>
        </is>
      </c>
      <c r="B510" s="2">
        <f>"6957148428507"</f>
        <v/>
      </c>
      <c r="C510" t="inlineStr">
        <is>
          <t>BIOAQUA Papaya Elasticity Essence Mask 25g</t>
        </is>
      </c>
      <c r="D510" t="inlineStr">
        <is>
          <t>Miss Glam Damar</t>
        </is>
      </c>
      <c r="E510" t="n">
        <v>0</v>
      </c>
      <c r="F510" t="n">
        <v>4.0495</v>
      </c>
      <c r="G510" t="n">
        <v>10.01</v>
      </c>
      <c r="H510" t="n">
        <v>2</v>
      </c>
      <c r="I510" t="n">
        <v>16</v>
      </c>
      <c r="J510" t="n">
        <v>3</v>
      </c>
      <c r="K510" t="n">
        <v>0</v>
      </c>
      <c r="L510" t="n">
        <v>2720</v>
      </c>
      <c r="M510" t="n">
        <v>3500</v>
      </c>
      <c r="N510" t="n">
        <v>91</v>
      </c>
      <c r="O510" t="n">
        <v>0.91</v>
      </c>
      <c r="P510" t="n">
        <v>1</v>
      </c>
      <c r="Q510" t="n">
        <v>3</v>
      </c>
      <c r="R510" t="n">
        <v>9</v>
      </c>
      <c r="S510" t="n">
        <v>14173.25</v>
      </c>
      <c r="T510" t="n">
        <v>153</v>
      </c>
      <c r="U510" t="n">
        <v>162</v>
      </c>
      <c r="V510" t="n">
        <v>30</v>
      </c>
      <c r="W510" t="n">
        <v>122</v>
      </c>
      <c r="X510" t="n">
        <v>0</v>
      </c>
      <c r="Y510" t="n">
        <v>1</v>
      </c>
      <c r="Z510" t="n">
        <v>122</v>
      </c>
      <c r="AA510" t="n">
        <v>65</v>
      </c>
      <c r="AB510" t="n">
        <v>57</v>
      </c>
      <c r="AC510" t="n">
        <v>57</v>
      </c>
      <c r="AD510" t="n">
        <v>176800</v>
      </c>
      <c r="AE510" t="n">
        <v>155040</v>
      </c>
      <c r="AF510" t="n">
        <v>369</v>
      </c>
      <c r="AG510" t="n">
        <v>107</v>
      </c>
      <c r="AH510" t="inlineStr">
        <is>
          <t xml:space="preserve">CV. DAHLIA - PPN (PDG) </t>
        </is>
      </c>
      <c r="AI510" t="n">
        <v>996</v>
      </c>
      <c r="AJ510" t="inlineStr">
        <is>
          <t>BIOAQUA</t>
        </is>
      </c>
      <c r="AK510" t="n">
        <v>21</v>
      </c>
      <c r="AL510" t="inlineStr">
        <is>
          <t>Miss Glam Damar</t>
        </is>
      </c>
      <c r="AM510" t="n">
        <v>2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BIOAQUA</t>
        </is>
      </c>
      <c r="B511" s="2">
        <f>"6957148424400"</f>
        <v/>
      </c>
      <c r="C511" t="inlineStr">
        <is>
          <t>BIOAQUA Peach Extract Sheet Mask 25gr</t>
        </is>
      </c>
      <c r="D511" t="inlineStr">
        <is>
          <t>Miss Glam Damar</t>
        </is>
      </c>
      <c r="E511" t="n">
        <v>208</v>
      </c>
      <c r="F511" t="n">
        <v>6.4155</v>
      </c>
      <c r="G511" t="n">
        <v>27.3</v>
      </c>
      <c r="H511" t="n">
        <v>2</v>
      </c>
      <c r="I511" t="n">
        <v>16</v>
      </c>
      <c r="J511" t="n">
        <v>36</v>
      </c>
      <c r="K511" t="n">
        <v>0</v>
      </c>
      <c r="L511" t="n">
        <v>2720</v>
      </c>
      <c r="M511" t="n">
        <v>3500</v>
      </c>
      <c r="N511" t="n">
        <v>91</v>
      </c>
      <c r="O511" t="n">
        <v>0.91</v>
      </c>
      <c r="P511" t="n">
        <v>1</v>
      </c>
      <c r="Q511" t="n">
        <v>3.71</v>
      </c>
      <c r="R511" t="n">
        <v>14</v>
      </c>
      <c r="S511" t="n">
        <v>22454.25</v>
      </c>
      <c r="T511" t="n">
        <v>424</v>
      </c>
      <c r="U511" t="n">
        <v>437</v>
      </c>
      <c r="V511" t="n">
        <v>30</v>
      </c>
      <c r="W511" t="n">
        <v>193</v>
      </c>
      <c r="X511" t="n">
        <v>32.42147922998987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369</v>
      </c>
      <c r="AG511" t="n">
        <v>107</v>
      </c>
      <c r="AH511" t="inlineStr">
        <is>
          <t xml:space="preserve">CV. DAHLIA - PPN (PDG) </t>
        </is>
      </c>
      <c r="AI511" t="n">
        <v>996</v>
      </c>
      <c r="AJ511" t="inlineStr">
        <is>
          <t>BIOAQUA</t>
        </is>
      </c>
      <c r="AK511" t="n">
        <v>21</v>
      </c>
      <c r="AL511" t="inlineStr">
        <is>
          <t>Miss Glam Damar</t>
        </is>
      </c>
      <c r="AM511" t="n">
        <v>2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BIOAQUA</t>
        </is>
      </c>
      <c r="B512" s="2">
        <f>"6957148429078"</f>
        <v/>
      </c>
      <c r="C512" t="inlineStr">
        <is>
          <t>BIOAQUA Peach Niacinamide Facial Exfoliating Gel 100g</t>
        </is>
      </c>
      <c r="D512" t="inlineStr">
        <is>
          <t>Miss Glam Damar</t>
        </is>
      </c>
      <c r="E512" t="n">
        <v>4</v>
      </c>
      <c r="F512" t="n">
        <v>1.0192</v>
      </c>
      <c r="G512" t="n">
        <v>3.64</v>
      </c>
      <c r="H512" t="n">
        <v>2</v>
      </c>
      <c r="I512" t="n">
        <v>16</v>
      </c>
      <c r="J512" t="n">
        <v>3</v>
      </c>
      <c r="K512" t="n">
        <v>0</v>
      </c>
      <c r="L512" t="n">
        <v>16000</v>
      </c>
      <c r="M512" t="n">
        <v>20000</v>
      </c>
      <c r="N512" t="n">
        <v>91</v>
      </c>
      <c r="O512" t="n">
        <v>0.91</v>
      </c>
      <c r="P512" t="n">
        <v>1</v>
      </c>
      <c r="Q512" t="n">
        <v>0.19</v>
      </c>
      <c r="R512" t="n">
        <v>2</v>
      </c>
      <c r="S512" t="n">
        <v>20384</v>
      </c>
      <c r="T512" t="n">
        <v>57</v>
      </c>
      <c r="U512" t="n">
        <v>60</v>
      </c>
      <c r="V512" t="n">
        <v>30</v>
      </c>
      <c r="W512" t="n">
        <v>31</v>
      </c>
      <c r="X512" t="n">
        <v>3.924646781789638</v>
      </c>
      <c r="Y512" t="n">
        <v>1</v>
      </c>
      <c r="Z512" t="n">
        <v>27</v>
      </c>
      <c r="AA512" t="n">
        <v>13</v>
      </c>
      <c r="AB512" t="n">
        <v>14</v>
      </c>
      <c r="AC512" t="n">
        <v>14</v>
      </c>
      <c r="AD512" t="n">
        <v>208000</v>
      </c>
      <c r="AE512" t="n">
        <v>224000</v>
      </c>
      <c r="AF512" t="n">
        <v>369</v>
      </c>
      <c r="AG512" t="n">
        <v>107</v>
      </c>
      <c r="AH512" t="inlineStr">
        <is>
          <t xml:space="preserve">CV. DAHLIA - PPN (PDG) </t>
        </is>
      </c>
      <c r="AI512" t="n">
        <v>996</v>
      </c>
      <c r="AJ512" t="inlineStr">
        <is>
          <t>BIOAQUA</t>
        </is>
      </c>
      <c r="AK512" t="n">
        <v>21</v>
      </c>
      <c r="AL512" t="inlineStr">
        <is>
          <t>Miss Glam Damar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BIOAQUA</t>
        </is>
      </c>
      <c r="B513" s="2">
        <f>"6957148425612"</f>
        <v/>
      </c>
      <c r="C513" t="inlineStr">
        <is>
          <t>BIOAQUA Pomegranate Oligopeptide Essence Mask 25gr</t>
        </is>
      </c>
      <c r="D513" t="inlineStr">
        <is>
          <t>Miss Glam Damar</t>
        </is>
      </c>
      <c r="E513" t="n">
        <v>55</v>
      </c>
      <c r="F513" t="n">
        <v>6.506500000000001</v>
      </c>
      <c r="G513" t="n">
        <v>42.77</v>
      </c>
      <c r="H513" t="n">
        <v>2</v>
      </c>
      <c r="I513" t="n">
        <v>16</v>
      </c>
      <c r="J513" t="n">
        <v>3</v>
      </c>
      <c r="K513" t="n">
        <v>0</v>
      </c>
      <c r="L513" t="n">
        <v>2720</v>
      </c>
      <c r="M513" t="n">
        <v>3500</v>
      </c>
      <c r="N513" t="n">
        <v>91</v>
      </c>
      <c r="O513" t="n">
        <v>0.91</v>
      </c>
      <c r="P513" t="n">
        <v>1</v>
      </c>
      <c r="Q513" t="n">
        <v>7.54</v>
      </c>
      <c r="R513" t="n">
        <v>29</v>
      </c>
      <c r="S513" t="n">
        <v>22772.75</v>
      </c>
      <c r="T513" t="n">
        <v>672</v>
      </c>
      <c r="U513" t="n">
        <v>686</v>
      </c>
      <c r="V513" t="n">
        <v>30</v>
      </c>
      <c r="W513" t="n">
        <v>196</v>
      </c>
      <c r="X513" t="n">
        <v>8.453085376162297</v>
      </c>
      <c r="Y513" t="n">
        <v>1</v>
      </c>
      <c r="Z513" t="n">
        <v>141</v>
      </c>
      <c r="AA513" t="n">
        <v>50</v>
      </c>
      <c r="AB513" t="n">
        <v>91</v>
      </c>
      <c r="AC513" t="n">
        <v>91</v>
      </c>
      <c r="AD513" t="n">
        <v>136000</v>
      </c>
      <c r="AE513" t="n">
        <v>247520</v>
      </c>
      <c r="AF513" t="n">
        <v>369</v>
      </c>
      <c r="AG513" t="n">
        <v>107</v>
      </c>
      <c r="AH513" t="inlineStr">
        <is>
          <t xml:space="preserve">CV. DAHLIA - PPN (PDG) </t>
        </is>
      </c>
      <c r="AI513" t="n">
        <v>996</v>
      </c>
      <c r="AJ513" t="inlineStr">
        <is>
          <t>BIOAQUA</t>
        </is>
      </c>
      <c r="AK513" t="n">
        <v>21</v>
      </c>
      <c r="AL513" t="inlineStr">
        <is>
          <t>Miss Glam Damar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BIOAQUA</t>
        </is>
      </c>
      <c r="B514" s="2">
        <f>"6957148427753"</f>
        <v/>
      </c>
      <c r="C514" t="inlineStr">
        <is>
          <t>BIOAQUA Rose Yeast Elastic Tender Mask 28gr</t>
        </is>
      </c>
      <c r="D514" t="inlineStr">
        <is>
          <t>Miss Glam Damar</t>
        </is>
      </c>
      <c r="E514" t="n">
        <v>67</v>
      </c>
      <c r="F514" t="n">
        <v>4.5682</v>
      </c>
      <c r="G514" t="n">
        <v>11.83</v>
      </c>
      <c r="H514" t="n">
        <v>2</v>
      </c>
      <c r="I514" t="n">
        <v>16</v>
      </c>
      <c r="J514" t="n">
        <v>3</v>
      </c>
      <c r="K514" t="n">
        <v>0</v>
      </c>
      <c r="L514" t="n">
        <v>3120</v>
      </c>
      <c r="M514" t="n">
        <v>4000</v>
      </c>
      <c r="N514" t="n">
        <v>91</v>
      </c>
      <c r="O514" t="n">
        <v>0.91</v>
      </c>
      <c r="P514" t="n">
        <v>1</v>
      </c>
      <c r="Q514" t="n">
        <v>4.15</v>
      </c>
      <c r="R514" t="n">
        <v>12</v>
      </c>
      <c r="S514" t="n">
        <v>18272.8</v>
      </c>
      <c r="T514" t="n">
        <v>181</v>
      </c>
      <c r="U514" t="n">
        <v>191</v>
      </c>
      <c r="V514" t="n">
        <v>30</v>
      </c>
      <c r="W514" t="n">
        <v>138</v>
      </c>
      <c r="X514" t="n">
        <v>14.6666082921063</v>
      </c>
      <c r="Y514" t="n">
        <v>1</v>
      </c>
      <c r="Z514" t="n">
        <v>71</v>
      </c>
      <c r="AA514" t="n">
        <v>7</v>
      </c>
      <c r="AB514" t="n">
        <v>64</v>
      </c>
      <c r="AC514" t="n">
        <v>64</v>
      </c>
      <c r="AD514" t="n">
        <v>21840</v>
      </c>
      <c r="AE514" t="n">
        <v>199680</v>
      </c>
      <c r="AF514" t="n">
        <v>369</v>
      </c>
      <c r="AG514" t="n">
        <v>107</v>
      </c>
      <c r="AH514" t="inlineStr">
        <is>
          <t xml:space="preserve">CV. DAHLIA - PPN (PDG) </t>
        </is>
      </c>
      <c r="AI514" t="n">
        <v>996</v>
      </c>
      <c r="AJ514" t="inlineStr">
        <is>
          <t>BIOAQUA</t>
        </is>
      </c>
      <c r="AK514" t="n">
        <v>21</v>
      </c>
      <c r="AL514" t="inlineStr">
        <is>
          <t>Miss Glam Damar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BIOAQUA</t>
        </is>
      </c>
      <c r="B515" s="2">
        <f>"6957148427722"</f>
        <v/>
      </c>
      <c r="C515" t="inlineStr">
        <is>
          <t>BIOAQUA Sakura Niacinamide Brightening Mask 28gr</t>
        </is>
      </c>
      <c r="D515" t="inlineStr">
        <is>
          <t>Miss Glam Damar</t>
        </is>
      </c>
      <c r="E515" t="n">
        <v>30</v>
      </c>
      <c r="F515" t="n">
        <v>14.6328</v>
      </c>
      <c r="G515" t="n">
        <v>44.59</v>
      </c>
      <c r="H515" t="n">
        <v>2</v>
      </c>
      <c r="I515" t="n">
        <v>16</v>
      </c>
      <c r="J515" t="n">
        <v>3</v>
      </c>
      <c r="K515" t="n">
        <v>0</v>
      </c>
      <c r="L515" t="n">
        <v>3120</v>
      </c>
      <c r="M515" t="n">
        <v>4000</v>
      </c>
      <c r="N515" t="n">
        <v>91</v>
      </c>
      <c r="O515" t="n">
        <v>0.91</v>
      </c>
      <c r="P515" t="n">
        <v>1</v>
      </c>
      <c r="Q515" t="n">
        <v>15.41</v>
      </c>
      <c r="R515" t="n">
        <v>45</v>
      </c>
      <c r="S515" t="n">
        <v>58531.2</v>
      </c>
      <c r="T515" t="n">
        <v>685</v>
      </c>
      <c r="U515" t="n">
        <v>715</v>
      </c>
      <c r="V515" t="n">
        <v>30</v>
      </c>
      <c r="W515" t="n">
        <v>439</v>
      </c>
      <c r="X515" t="n">
        <v>2.050188617352796</v>
      </c>
      <c r="Y515" t="n">
        <v>1</v>
      </c>
      <c r="Z515" t="n">
        <v>409</v>
      </c>
      <c r="AA515" t="n">
        <v>205</v>
      </c>
      <c r="AB515" t="n">
        <v>204</v>
      </c>
      <c r="AC515" t="n">
        <v>204</v>
      </c>
      <c r="AD515" t="n">
        <v>639600</v>
      </c>
      <c r="AE515" t="n">
        <v>636480</v>
      </c>
      <c r="AF515" t="n">
        <v>369</v>
      </c>
      <c r="AG515" t="n">
        <v>107</v>
      </c>
      <c r="AH515" t="inlineStr">
        <is>
          <t xml:space="preserve">CV. DAHLIA - PPN (PDG) </t>
        </is>
      </c>
      <c r="AI515" t="n">
        <v>996</v>
      </c>
      <c r="AJ515" t="inlineStr">
        <is>
          <t>BIOAQUA</t>
        </is>
      </c>
      <c r="AK515" t="n">
        <v>21</v>
      </c>
      <c r="AL515" t="inlineStr">
        <is>
          <t>Miss Glam Damar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BIOAQUA</t>
        </is>
      </c>
      <c r="B516" s="2">
        <f>"6957148425629"</f>
        <v/>
      </c>
      <c r="C516" t="inlineStr">
        <is>
          <t>BIOAQUA Sea Bucktorn Sheet Mask 25gr</t>
        </is>
      </c>
      <c r="D516" t="inlineStr">
        <is>
          <t>Miss Glam Damar</t>
        </is>
      </c>
      <c r="E516" t="n">
        <v>67</v>
      </c>
      <c r="F516" t="n">
        <v>6.706700000000001</v>
      </c>
      <c r="G516" t="n">
        <v>19.11</v>
      </c>
      <c r="H516" t="n">
        <v>2</v>
      </c>
      <c r="I516" t="n">
        <v>16</v>
      </c>
      <c r="J516" t="n">
        <v>3</v>
      </c>
      <c r="K516" t="n">
        <v>0</v>
      </c>
      <c r="L516" t="n">
        <v>2720</v>
      </c>
      <c r="M516" t="n">
        <v>3500</v>
      </c>
      <c r="N516" t="n">
        <v>91</v>
      </c>
      <c r="O516" t="n">
        <v>0.91</v>
      </c>
      <c r="P516" t="n">
        <v>1</v>
      </c>
      <c r="Q516" t="n">
        <v>5.73</v>
      </c>
      <c r="R516" t="n">
        <v>17</v>
      </c>
      <c r="S516" t="n">
        <v>23473.45</v>
      </c>
      <c r="T516" t="n">
        <v>293</v>
      </c>
      <c r="U516" t="n">
        <v>307</v>
      </c>
      <c r="V516" t="n">
        <v>30</v>
      </c>
      <c r="W516" t="n">
        <v>202</v>
      </c>
      <c r="X516" t="n">
        <v>9.990009990009989</v>
      </c>
      <c r="Y516" t="n">
        <v>1</v>
      </c>
      <c r="Z516" t="n">
        <v>135</v>
      </c>
      <c r="AA516" t="n">
        <v>41</v>
      </c>
      <c r="AB516" t="n">
        <v>94</v>
      </c>
      <c r="AC516" t="n">
        <v>94</v>
      </c>
      <c r="AD516" t="n">
        <v>111520</v>
      </c>
      <c r="AE516" t="n">
        <v>255680</v>
      </c>
      <c r="AF516" t="n">
        <v>369</v>
      </c>
      <c r="AG516" t="n">
        <v>107</v>
      </c>
      <c r="AH516" t="inlineStr">
        <is>
          <t xml:space="preserve">CV. DAHLIA - PPN (PDG) </t>
        </is>
      </c>
      <c r="AI516" t="n">
        <v>996</v>
      </c>
      <c r="AJ516" t="inlineStr">
        <is>
          <t>BIOAQUA</t>
        </is>
      </c>
      <c r="AK516" t="n">
        <v>21</v>
      </c>
      <c r="AL516" t="inlineStr">
        <is>
          <t>Miss Glam Damar</t>
        </is>
      </c>
      <c r="AM516" t="n">
        <v>2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BIOAQUA</t>
        </is>
      </c>
      <c r="B517" s="2">
        <f>"6957148427760"</f>
        <v/>
      </c>
      <c r="C517" t="inlineStr">
        <is>
          <t>BIOAQUA Sophora Ceramide Moisturizing Mask 28g</t>
        </is>
      </c>
      <c r="D517" t="inlineStr">
        <is>
          <t>Miss Glam Damar</t>
        </is>
      </c>
      <c r="E517" t="n">
        <v>74</v>
      </c>
      <c r="F517" t="n">
        <v>4.5682</v>
      </c>
      <c r="G517" t="n">
        <v>11.83</v>
      </c>
      <c r="H517" t="n">
        <v>2</v>
      </c>
      <c r="I517" t="n">
        <v>16</v>
      </c>
      <c r="J517" t="n">
        <v>3</v>
      </c>
      <c r="K517" t="n">
        <v>0</v>
      </c>
      <c r="L517" t="n">
        <v>3120</v>
      </c>
      <c r="M517" t="n">
        <v>4000</v>
      </c>
      <c r="N517" t="n">
        <v>91</v>
      </c>
      <c r="O517" t="n">
        <v>0.91</v>
      </c>
      <c r="P517" t="n">
        <v>1</v>
      </c>
      <c r="Q517" t="n">
        <v>4.47</v>
      </c>
      <c r="R517" t="n">
        <v>11</v>
      </c>
      <c r="S517" t="n">
        <v>18272.8</v>
      </c>
      <c r="T517" t="n">
        <v>181</v>
      </c>
      <c r="U517" t="n">
        <v>191</v>
      </c>
      <c r="V517" t="n">
        <v>30</v>
      </c>
      <c r="W517" t="n">
        <v>138</v>
      </c>
      <c r="X517" t="n">
        <v>16.19894050172935</v>
      </c>
      <c r="Y517" t="n">
        <v>1</v>
      </c>
      <c r="Z517" t="n">
        <v>64</v>
      </c>
      <c r="AA517" t="n">
        <v>0</v>
      </c>
      <c r="AB517" t="n">
        <v>64</v>
      </c>
      <c r="AC517" t="n">
        <v>64</v>
      </c>
      <c r="AD517" t="n">
        <v>0</v>
      </c>
      <c r="AE517" t="n">
        <v>199680</v>
      </c>
      <c r="AF517" t="n">
        <v>369</v>
      </c>
      <c r="AG517" t="n">
        <v>107</v>
      </c>
      <c r="AH517" t="inlineStr">
        <is>
          <t xml:space="preserve">CV. DAHLIA - PPN (PDG) </t>
        </is>
      </c>
      <c r="AI517" t="n">
        <v>996</v>
      </c>
      <c r="AJ517" t="inlineStr">
        <is>
          <t>BIOAQUA</t>
        </is>
      </c>
      <c r="AK517" t="n">
        <v>21</v>
      </c>
      <c r="AL517" t="inlineStr">
        <is>
          <t>Miss Glam Damar</t>
        </is>
      </c>
      <c r="AM517" t="n">
        <v>2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BIOAQUA</t>
        </is>
      </c>
      <c r="B518" s="2">
        <f>"6957148428514"</f>
        <v/>
      </c>
      <c r="C518" t="inlineStr">
        <is>
          <t>BIOAQUA Tomato Moisturizing Essence Mask 25gr</t>
        </is>
      </c>
      <c r="D518" t="inlineStr">
        <is>
          <t>Miss Glam Damar</t>
        </is>
      </c>
      <c r="E518" t="n">
        <v>0</v>
      </c>
      <c r="F518" t="n">
        <v>0.55</v>
      </c>
      <c r="G518" t="n">
        <v>10</v>
      </c>
      <c r="H518" t="n">
        <v>2</v>
      </c>
      <c r="I518" t="n">
        <v>16</v>
      </c>
      <c r="J518" t="n">
        <v>3</v>
      </c>
      <c r="K518" t="n">
        <v>0</v>
      </c>
      <c r="L518" t="n">
        <v>2713</v>
      </c>
      <c r="M518" t="n">
        <v>4000</v>
      </c>
      <c r="N518" t="n">
        <v>91</v>
      </c>
      <c r="O518" t="n">
        <v>0.91</v>
      </c>
      <c r="P518" t="n">
        <v>0</v>
      </c>
      <c r="Q518" t="n">
        <v>0.55</v>
      </c>
      <c r="R518" t="n">
        <v>10</v>
      </c>
      <c r="S518" t="n">
        <v>2200</v>
      </c>
      <c r="T518" t="n">
        <v>159</v>
      </c>
      <c r="U518" t="n">
        <v>161</v>
      </c>
      <c r="V518" t="n">
        <v>30</v>
      </c>
      <c r="W518" t="n">
        <v>17</v>
      </c>
      <c r="X518" t="n">
        <v>0</v>
      </c>
      <c r="Y518" t="n">
        <v>1</v>
      </c>
      <c r="Z518" t="n">
        <v>17</v>
      </c>
      <c r="AA518" t="n">
        <v>9</v>
      </c>
      <c r="AB518" t="n">
        <v>8</v>
      </c>
      <c r="AC518" t="n">
        <v>8</v>
      </c>
      <c r="AD518" t="n">
        <v>24417</v>
      </c>
      <c r="AE518" t="n">
        <v>21704</v>
      </c>
      <c r="AF518" t="n">
        <v>369</v>
      </c>
      <c r="AG518" t="n">
        <v>107</v>
      </c>
      <c r="AH518" t="inlineStr">
        <is>
          <t xml:space="preserve">CV. DAHLIA - PPN (PDG) </t>
        </is>
      </c>
      <c r="AI518" t="n">
        <v>996</v>
      </c>
      <c r="AJ518" t="inlineStr">
        <is>
          <t>BIOAQUA</t>
        </is>
      </c>
      <c r="AK518" t="n">
        <v>21</v>
      </c>
      <c r="AL518" t="inlineStr">
        <is>
          <t>Miss Glam Damar</t>
        </is>
      </c>
      <c r="AM518" t="n">
        <v>2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BIOAQUA</t>
        </is>
      </c>
      <c r="B519" s="2">
        <f>"10500176545"</f>
        <v/>
      </c>
      <c r="C519" t="inlineStr">
        <is>
          <t>BIOAQUA Velvet Touch Mask 30gr</t>
        </is>
      </c>
      <c r="D519" t="inlineStr">
        <is>
          <t>Miss Glam Damar</t>
        </is>
      </c>
      <c r="E519" t="n">
        <v>49</v>
      </c>
      <c r="F519" t="n">
        <v>2.912</v>
      </c>
      <c r="G519" t="n">
        <v>9.1</v>
      </c>
      <c r="H519" t="n">
        <v>2</v>
      </c>
      <c r="I519" t="n">
        <v>16</v>
      </c>
      <c r="J519" t="n">
        <v>1</v>
      </c>
      <c r="K519" t="n">
        <v>0</v>
      </c>
      <c r="L519" t="n">
        <v>3120</v>
      </c>
      <c r="M519" t="n">
        <v>4000</v>
      </c>
      <c r="N519" t="n">
        <v>91</v>
      </c>
      <c r="O519" t="n">
        <v>0.91</v>
      </c>
      <c r="P519" t="n">
        <v>1</v>
      </c>
      <c r="Q519" t="n">
        <v>1.73</v>
      </c>
      <c r="R519" t="n">
        <v>8</v>
      </c>
      <c r="S519" t="n">
        <v>11648</v>
      </c>
      <c r="T519" t="n">
        <v>140</v>
      </c>
      <c r="U519" t="n">
        <v>146</v>
      </c>
      <c r="V519" t="n">
        <v>30</v>
      </c>
      <c r="W519" t="n">
        <v>88</v>
      </c>
      <c r="X519" t="n">
        <v>16.82692307692307</v>
      </c>
      <c r="Y519" t="n">
        <v>1</v>
      </c>
      <c r="Z519" t="n">
        <v>39</v>
      </c>
      <c r="AA519" t="n">
        <v>0</v>
      </c>
      <c r="AB519" t="n">
        <v>39</v>
      </c>
      <c r="AC519" t="n">
        <v>39</v>
      </c>
      <c r="AD519" t="n">
        <v>0</v>
      </c>
      <c r="AE519" t="n">
        <v>121680</v>
      </c>
      <c r="AF519" t="n">
        <v>369</v>
      </c>
      <c r="AG519" t="n">
        <v>107</v>
      </c>
      <c r="AH519" t="inlineStr">
        <is>
          <t xml:space="preserve">CV. DAHLIA - PPN (PDG) </t>
        </is>
      </c>
      <c r="AI519" t="n">
        <v>996</v>
      </c>
      <c r="AJ519" t="inlineStr">
        <is>
          <t>BIOAQUA</t>
        </is>
      </c>
      <c r="AK519" t="n">
        <v>21</v>
      </c>
      <c r="AL519" t="inlineStr">
        <is>
          <t>Miss Glam Damar</t>
        </is>
      </c>
      <c r="AM519" t="n">
        <v>2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BIOAQUA</t>
        </is>
      </c>
      <c r="B520" s="2">
        <f>"6957148428590"</f>
        <v/>
      </c>
      <c r="C520" t="inlineStr">
        <is>
          <t>BIOAQUA X UNNY 7x Ceramide Moisturize Cleanser 100gr</t>
        </is>
      </c>
      <c r="D520" t="inlineStr">
        <is>
          <t>Miss Glam Damar</t>
        </is>
      </c>
      <c r="E520" t="n">
        <v>5</v>
      </c>
      <c r="F520" t="n">
        <v>0.09100000000000001</v>
      </c>
      <c r="G520" t="n">
        <v>0.91</v>
      </c>
      <c r="H520" t="n">
        <v>2</v>
      </c>
      <c r="I520" t="n">
        <v>16</v>
      </c>
      <c r="J520" t="n">
        <v>3</v>
      </c>
      <c r="K520" t="n">
        <v>0</v>
      </c>
      <c r="L520" t="n">
        <v>40000</v>
      </c>
      <c r="M520" t="n">
        <v>50000</v>
      </c>
      <c r="N520" t="n">
        <v>91</v>
      </c>
      <c r="O520" t="n">
        <v>0.91</v>
      </c>
      <c r="P520" t="n">
        <v>1</v>
      </c>
      <c r="Q520" t="n">
        <v>0.02</v>
      </c>
      <c r="R520" t="n">
        <v>1</v>
      </c>
      <c r="S520" t="n">
        <v>4550.000000000001</v>
      </c>
      <c r="T520" t="n">
        <v>15</v>
      </c>
      <c r="U520" t="n">
        <v>16</v>
      </c>
      <c r="V520" t="n">
        <v>30</v>
      </c>
      <c r="W520" t="n">
        <v>3</v>
      </c>
      <c r="X520" t="n">
        <v>54.94505494505494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369</v>
      </c>
      <c r="AG520" t="n">
        <v>107</v>
      </c>
      <c r="AH520" t="inlineStr">
        <is>
          <t xml:space="preserve">CV. DAHLIA - PPN (PDG) </t>
        </is>
      </c>
      <c r="AI520" t="n">
        <v>996</v>
      </c>
      <c r="AJ520" t="inlineStr">
        <is>
          <t>BIOAQUA</t>
        </is>
      </c>
      <c r="AK520" t="n">
        <v>21</v>
      </c>
      <c r="AL520" t="inlineStr">
        <is>
          <t>Miss Glam Damar</t>
        </is>
      </c>
      <c r="AM520" t="n">
        <v>2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BIODERMA</t>
        </is>
      </c>
      <c r="B521" s="2">
        <f>"3401399694127"</f>
        <v/>
      </c>
      <c r="C521" t="inlineStr">
        <is>
          <t>BIODERMA Hydrabio H2O 250ml</t>
        </is>
      </c>
      <c r="D521" t="inlineStr">
        <is>
          <t>Miss Glam Damar</t>
        </is>
      </c>
      <c r="E521" t="n">
        <v>2</v>
      </c>
      <c r="F521" t="n">
        <v>0.05</v>
      </c>
      <c r="G521" t="n">
        <v>1</v>
      </c>
      <c r="H521" t="n">
        <v>4</v>
      </c>
      <c r="I521" t="n">
        <v>21</v>
      </c>
      <c r="J521" t="n">
        <v>3</v>
      </c>
      <c r="K521" t="n">
        <v>0</v>
      </c>
      <c r="L521" t="n">
        <v>179226</v>
      </c>
      <c r="M521" t="n">
        <v>285000</v>
      </c>
      <c r="N521" t="n">
        <v>91</v>
      </c>
      <c r="O521" t="n">
        <v>0.91</v>
      </c>
      <c r="P521" t="n">
        <v>0</v>
      </c>
      <c r="Q521" t="n">
        <v>0.05</v>
      </c>
      <c r="R521" t="n">
        <v>1</v>
      </c>
      <c r="S521" t="n">
        <v>14250</v>
      </c>
      <c r="T521" t="n">
        <v>21</v>
      </c>
      <c r="U521" t="n">
        <v>22</v>
      </c>
      <c r="V521" t="n">
        <v>30</v>
      </c>
      <c r="W521" t="n">
        <v>2</v>
      </c>
      <c r="X521" t="n">
        <v>40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3680</v>
      </c>
      <c r="AG521" t="n">
        <v>1</v>
      </c>
      <c r="AH521" t="inlineStr">
        <is>
          <t>PT. BERSAMA DISTRIVERSA INDONESIA (DC CIPUTAT)</t>
        </is>
      </c>
      <c r="AI521" t="n">
        <v>42</v>
      </c>
      <c r="AJ521" t="inlineStr">
        <is>
          <t>BIODERMA</t>
        </is>
      </c>
      <c r="AK521" t="n">
        <v>21</v>
      </c>
      <c r="AL521" t="inlineStr">
        <is>
          <t>Miss Glam Damar</t>
        </is>
      </c>
      <c r="AM521" t="n">
        <v>3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BIODERMA</t>
        </is>
      </c>
      <c r="B522" s="2">
        <f>"3401528521157"</f>
        <v/>
      </c>
      <c r="C522" t="inlineStr">
        <is>
          <t>BIODERMA Hydrobio H2O Micellar Water 100ml</t>
        </is>
      </c>
      <c r="D522" t="inlineStr">
        <is>
          <t>Miss Glam Damar</t>
        </is>
      </c>
      <c r="E522" t="n">
        <v>2</v>
      </c>
      <c r="F522" t="n">
        <v>0.14</v>
      </c>
      <c r="G522" t="n">
        <v>1</v>
      </c>
      <c r="H522" t="n">
        <v>4</v>
      </c>
      <c r="I522" t="n">
        <v>21</v>
      </c>
      <c r="J522" t="n">
        <v>3</v>
      </c>
      <c r="K522" t="n">
        <v>0</v>
      </c>
      <c r="L522" t="n">
        <v>102088</v>
      </c>
      <c r="M522" t="n">
        <v>148500</v>
      </c>
      <c r="N522" t="n">
        <v>91</v>
      </c>
      <c r="O522" t="n">
        <v>0.91</v>
      </c>
      <c r="P522" t="n">
        <v>0</v>
      </c>
      <c r="Q522" t="n">
        <v>0.14</v>
      </c>
      <c r="R522" t="n">
        <v>1</v>
      </c>
      <c r="S522" t="n">
        <v>20790</v>
      </c>
      <c r="T522" t="n">
        <v>21</v>
      </c>
      <c r="U522" t="n">
        <v>22</v>
      </c>
      <c r="V522" t="n">
        <v>30</v>
      </c>
      <c r="W522" t="n">
        <v>5</v>
      </c>
      <c r="X522" t="n">
        <v>14.28571428571428</v>
      </c>
      <c r="Y522" t="n">
        <v>1</v>
      </c>
      <c r="Z522" t="n">
        <v>3</v>
      </c>
      <c r="AA522" t="n">
        <v>1</v>
      </c>
      <c r="AB522" t="n">
        <v>2</v>
      </c>
      <c r="AC522" t="n">
        <v>3</v>
      </c>
      <c r="AD522" t="n">
        <v>102088</v>
      </c>
      <c r="AE522" t="n">
        <v>306264</v>
      </c>
      <c r="AF522" t="n">
        <v>3680</v>
      </c>
      <c r="AG522" t="n">
        <v>1</v>
      </c>
      <c r="AH522" t="inlineStr">
        <is>
          <t>PT. BERSAMA DISTRIVERSA INDONESIA (DC CIPUTAT)</t>
        </is>
      </c>
      <c r="AI522" t="n">
        <v>42</v>
      </c>
      <c r="AJ522" t="inlineStr">
        <is>
          <t>BIODERMA</t>
        </is>
      </c>
      <c r="AK522" t="n">
        <v>21</v>
      </c>
      <c r="AL522" t="inlineStr">
        <is>
          <t>Miss Glam Damar</t>
        </is>
      </c>
      <c r="AM522" t="n">
        <v>3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BIODERMA</t>
        </is>
      </c>
      <c r="B523" s="2">
        <f>"3401395376935"</f>
        <v/>
      </c>
      <c r="C523" t="inlineStr">
        <is>
          <t>BIODERMA Sebium H2O Micellar Water 100ml</t>
        </is>
      </c>
      <c r="D523" t="inlineStr">
        <is>
          <t>Miss Glam Damar</t>
        </is>
      </c>
      <c r="E523" t="n">
        <v>14</v>
      </c>
      <c r="F523" t="n">
        <v>0.0182</v>
      </c>
      <c r="G523" t="n">
        <v>0.91</v>
      </c>
      <c r="H523" t="n">
        <v>4</v>
      </c>
      <c r="I523" t="n">
        <v>21</v>
      </c>
      <c r="J523" t="n">
        <v>3</v>
      </c>
      <c r="K523" t="n">
        <v>0</v>
      </c>
      <c r="L523" t="n">
        <v>103555</v>
      </c>
      <c r="M523" t="n">
        <v>181600</v>
      </c>
      <c r="N523" t="n">
        <v>91</v>
      </c>
      <c r="O523" t="n">
        <v>0.91</v>
      </c>
      <c r="P523" t="n">
        <v>1</v>
      </c>
      <c r="Q523" t="n">
        <v>0.07000000000000001</v>
      </c>
      <c r="R523" t="n">
        <v>1</v>
      </c>
      <c r="S523" t="n">
        <v>3305.12</v>
      </c>
      <c r="T523" t="n">
        <v>20</v>
      </c>
      <c r="U523" t="n">
        <v>21</v>
      </c>
      <c r="V523" t="n">
        <v>30</v>
      </c>
      <c r="W523" t="n">
        <v>1</v>
      </c>
      <c r="X523" t="n">
        <v>769.2307692307692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3680</v>
      </c>
      <c r="AG523" t="n">
        <v>1</v>
      </c>
      <c r="AH523" t="inlineStr">
        <is>
          <t>PT. BERSAMA DISTRIVERSA INDONESIA (DC CIPUTAT)</t>
        </is>
      </c>
      <c r="AI523" t="n">
        <v>42</v>
      </c>
      <c r="AJ523" t="inlineStr">
        <is>
          <t>BIODERMA</t>
        </is>
      </c>
      <c r="AK523" t="n">
        <v>21</v>
      </c>
      <c r="AL523" t="inlineStr">
        <is>
          <t>Miss Glam Damar</t>
        </is>
      </c>
      <c r="AM523" t="n">
        <v>3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BIODERMA</t>
        </is>
      </c>
      <c r="B524" s="2">
        <f>"3401572288297"</f>
        <v/>
      </c>
      <c r="C524" t="inlineStr">
        <is>
          <t>BIODERMA Sebium H2O Micellar Water 250ml</t>
        </is>
      </c>
      <c r="D524" t="inlineStr">
        <is>
          <t>Miss Glam Damar</t>
        </is>
      </c>
      <c r="E524" t="n">
        <v>0</v>
      </c>
      <c r="F524" t="n">
        <v>0.02</v>
      </c>
      <c r="G524" t="n">
        <v>1</v>
      </c>
      <c r="H524" t="n">
        <v>4</v>
      </c>
      <c r="I524" t="n">
        <v>21</v>
      </c>
      <c r="J524" t="n">
        <v>3</v>
      </c>
      <c r="K524" t="n">
        <v>0</v>
      </c>
      <c r="L524" t="n">
        <v>167301</v>
      </c>
      <c r="M524" t="n">
        <v>259500</v>
      </c>
      <c r="N524" t="n">
        <v>91</v>
      </c>
      <c r="O524" t="n">
        <v>0.91</v>
      </c>
      <c r="P524" t="n">
        <v>0</v>
      </c>
      <c r="Q524" t="n">
        <v>0.02</v>
      </c>
      <c r="R524" t="n">
        <v>1</v>
      </c>
      <c r="S524" t="n">
        <v>5190</v>
      </c>
      <c r="T524" t="n">
        <v>21</v>
      </c>
      <c r="U524" t="n">
        <v>22</v>
      </c>
      <c r="V524" t="n">
        <v>30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n">
        <v>0</v>
      </c>
      <c r="AC524" t="n">
        <v>0</v>
      </c>
      <c r="AD524" t="n">
        <v>167301</v>
      </c>
      <c r="AE524" t="n">
        <v>0</v>
      </c>
      <c r="AF524" t="n">
        <v>3680</v>
      </c>
      <c r="AG524" t="n">
        <v>1</v>
      </c>
      <c r="AH524" t="inlineStr">
        <is>
          <t>PT. BERSAMA DISTRIVERSA INDONESIA (DC CIPUTAT)</t>
        </is>
      </c>
      <c r="AI524" t="n">
        <v>42</v>
      </c>
      <c r="AJ524" t="inlineStr">
        <is>
          <t>BIODERMA</t>
        </is>
      </c>
      <c r="AK524" t="n">
        <v>21</v>
      </c>
      <c r="AL524" t="inlineStr">
        <is>
          <t>Miss Glam Damar</t>
        </is>
      </c>
      <c r="AM524" t="n">
        <v>3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BIODERMA</t>
        </is>
      </c>
      <c r="B525" s="2">
        <f>"3401395376706"</f>
        <v/>
      </c>
      <c r="C525" t="inlineStr">
        <is>
          <t>BIODERMA Sensibio H2O Micellar Water 100ml</t>
        </is>
      </c>
      <c r="D525" t="inlineStr">
        <is>
          <t>Miss Glam Damar</t>
        </is>
      </c>
      <c r="E525" t="n">
        <v>8</v>
      </c>
      <c r="F525" t="n">
        <v>0.08</v>
      </c>
      <c r="G525" t="n">
        <v>1</v>
      </c>
      <c r="H525" t="n">
        <v>4</v>
      </c>
      <c r="I525" t="n">
        <v>21</v>
      </c>
      <c r="J525" t="n">
        <v>3</v>
      </c>
      <c r="K525" t="n">
        <v>0</v>
      </c>
      <c r="L525" t="n">
        <v>105505</v>
      </c>
      <c r="M525" t="n">
        <v>144000</v>
      </c>
      <c r="N525" t="n">
        <v>91</v>
      </c>
      <c r="O525" t="n">
        <v>0.91</v>
      </c>
      <c r="P525" t="n">
        <v>0</v>
      </c>
      <c r="Q525" t="n">
        <v>0.08</v>
      </c>
      <c r="R525" t="n">
        <v>1</v>
      </c>
      <c r="S525" t="n">
        <v>11520</v>
      </c>
      <c r="T525" t="n">
        <v>21</v>
      </c>
      <c r="U525" t="n">
        <v>22</v>
      </c>
      <c r="V525" t="n">
        <v>30</v>
      </c>
      <c r="W525" t="n">
        <v>3</v>
      </c>
      <c r="X525" t="n">
        <v>100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3680</v>
      </c>
      <c r="AG525" t="n">
        <v>1</v>
      </c>
      <c r="AH525" t="inlineStr">
        <is>
          <t>PT. BERSAMA DISTRIVERSA INDONESIA (DC CIPUTAT)</t>
        </is>
      </c>
      <c r="AI525" t="n">
        <v>42</v>
      </c>
      <c r="AJ525" t="inlineStr">
        <is>
          <t>BIODERMA</t>
        </is>
      </c>
      <c r="AK525" t="n">
        <v>21</v>
      </c>
      <c r="AL525" t="inlineStr">
        <is>
          <t>Miss Glam Damar</t>
        </is>
      </c>
      <c r="AM525" t="n">
        <v>3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BIODERMA</t>
        </is>
      </c>
      <c r="B526" s="2">
        <f>"3401575390447"</f>
        <v/>
      </c>
      <c r="C526" t="inlineStr">
        <is>
          <t>BIODERMA Sensibio H2O Micellar Water 250ml</t>
        </is>
      </c>
      <c r="D526" t="inlineStr">
        <is>
          <t>Miss Glam Damar</t>
        </is>
      </c>
      <c r="E526" t="n">
        <v>14</v>
      </c>
      <c r="F526" t="n">
        <v>0.0273</v>
      </c>
      <c r="G526" t="n">
        <v>0.91</v>
      </c>
      <c r="H526" t="n">
        <v>4</v>
      </c>
      <c r="I526" t="n">
        <v>21</v>
      </c>
      <c r="J526" t="n">
        <v>3</v>
      </c>
      <c r="K526" t="n">
        <v>0</v>
      </c>
      <c r="L526" t="n">
        <v>201419</v>
      </c>
      <c r="M526" t="n">
        <v>315000</v>
      </c>
      <c r="N526" t="n">
        <v>91</v>
      </c>
      <c r="O526" t="n">
        <v>0.91</v>
      </c>
      <c r="P526" t="n">
        <v>1</v>
      </c>
      <c r="Q526" t="n">
        <v>0.03</v>
      </c>
      <c r="R526" t="n">
        <v>1</v>
      </c>
      <c r="S526" t="n">
        <v>8599.5</v>
      </c>
      <c r="T526" t="n">
        <v>20</v>
      </c>
      <c r="U526" t="n">
        <v>21</v>
      </c>
      <c r="V526" t="n">
        <v>30</v>
      </c>
      <c r="W526" t="n">
        <v>1</v>
      </c>
      <c r="X526" t="n">
        <v>512.8205128205128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3680</v>
      </c>
      <c r="AG526" t="n">
        <v>1</v>
      </c>
      <c r="AH526" t="inlineStr">
        <is>
          <t>PT. BERSAMA DISTRIVERSA INDONESIA (DC CIPUTAT)</t>
        </is>
      </c>
      <c r="AI526" t="n">
        <v>42</v>
      </c>
      <c r="AJ526" t="inlineStr">
        <is>
          <t>BIODERMA</t>
        </is>
      </c>
      <c r="AK526" t="n">
        <v>21</v>
      </c>
      <c r="AL526" t="inlineStr">
        <is>
          <t>Miss Glam Damar</t>
        </is>
      </c>
      <c r="AM526" t="n">
        <v>3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BIORE</t>
        </is>
      </c>
      <c r="B527" s="2">
        <f>"8992727004244"</f>
        <v/>
      </c>
      <c r="C527" t="inlineStr">
        <is>
          <t>BIORE Facial Foam Bright and Oil Clear 100gr</t>
        </is>
      </c>
      <c r="D527" t="inlineStr">
        <is>
          <t>Miss Glam Damar</t>
        </is>
      </c>
      <c r="E527" t="n">
        <v>8</v>
      </c>
      <c r="F527" t="n">
        <v>0.06370000000000001</v>
      </c>
      <c r="G527" t="n">
        <v>0.91</v>
      </c>
      <c r="H527" t="n">
        <v>2</v>
      </c>
      <c r="I527" t="n">
        <v>2</v>
      </c>
      <c r="J527" t="n">
        <v>3</v>
      </c>
      <c r="K527" t="n">
        <v>0</v>
      </c>
      <c r="L527" t="n">
        <v>23643</v>
      </c>
      <c r="M527" t="n">
        <v>29000</v>
      </c>
      <c r="N527" t="n">
        <v>91</v>
      </c>
      <c r="O527" t="n">
        <v>0.91</v>
      </c>
      <c r="P527" t="n">
        <v>1</v>
      </c>
      <c r="Q527" t="n">
        <v>0.14</v>
      </c>
      <c r="R527" t="n">
        <v>3</v>
      </c>
      <c r="S527" t="n">
        <v>1847.3</v>
      </c>
      <c r="T527" t="n">
        <v>2</v>
      </c>
      <c r="U527" t="n">
        <v>3</v>
      </c>
      <c r="V527" t="n">
        <v>30</v>
      </c>
      <c r="W527" t="n">
        <v>2</v>
      </c>
      <c r="X527" t="n">
        <v>125.5886970172684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1852</v>
      </c>
      <c r="AG527" t="n">
        <v>3299</v>
      </c>
      <c r="AH527" t="inlineStr">
        <is>
          <t>CV. ZIHABIB CIPTA MANDIRI - PPN (PDG)</t>
        </is>
      </c>
      <c r="AI527" t="n">
        <v>43</v>
      </c>
      <c r="AJ527" t="inlineStr">
        <is>
          <t>BIORE</t>
        </is>
      </c>
      <c r="AK527" t="n">
        <v>21</v>
      </c>
      <c r="AL527" t="inlineStr">
        <is>
          <t>Miss Glam Damar</t>
        </is>
      </c>
      <c r="AM527" t="n">
        <v>4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BIORE</t>
        </is>
      </c>
      <c r="B528" s="2">
        <f>"10100306046"</f>
        <v/>
      </c>
      <c r="C528" t="inlineStr">
        <is>
          <t>BIORE Makeup Remover perfect Cleansing Water Green Tea 400ml</t>
        </is>
      </c>
      <c r="D528" t="inlineStr">
        <is>
          <t>Miss Glam Damar</t>
        </is>
      </c>
      <c r="E528" t="n">
        <v>0</v>
      </c>
      <c r="F528" t="n">
        <v>0.0273</v>
      </c>
      <c r="G528" t="n">
        <v>0.91</v>
      </c>
      <c r="H528" t="n">
        <v>2</v>
      </c>
      <c r="I528" t="n">
        <v>2</v>
      </c>
      <c r="J528" t="n">
        <v>3</v>
      </c>
      <c r="K528" t="n">
        <v>0</v>
      </c>
      <c r="L528" t="n">
        <v>73038</v>
      </c>
      <c r="M528" t="n">
        <v>86000</v>
      </c>
      <c r="N528" t="n">
        <v>91</v>
      </c>
      <c r="O528" t="n">
        <v>0.91</v>
      </c>
      <c r="P528" t="n">
        <v>1</v>
      </c>
      <c r="Q528" t="n">
        <v>0.03</v>
      </c>
      <c r="R528" t="n">
        <v>1</v>
      </c>
      <c r="S528" t="n">
        <v>2347.8</v>
      </c>
      <c r="T528" t="n">
        <v>2</v>
      </c>
      <c r="U528" t="n">
        <v>3</v>
      </c>
      <c r="V528" t="n">
        <v>30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n">
        <v>0</v>
      </c>
      <c r="AC528" t="n">
        <v>0</v>
      </c>
      <c r="AD528" t="n">
        <v>73038</v>
      </c>
      <c r="AE528" t="n">
        <v>0</v>
      </c>
      <c r="AF528" t="n">
        <v>1852</v>
      </c>
      <c r="AG528" t="n">
        <v>3299</v>
      </c>
      <c r="AH528" t="inlineStr">
        <is>
          <t>CV. ZIHABIB CIPTA MANDIRI - PPN (PDG)</t>
        </is>
      </c>
      <c r="AI528" t="n">
        <v>43</v>
      </c>
      <c r="AJ528" t="inlineStr">
        <is>
          <t>BIORE</t>
        </is>
      </c>
      <c r="AK528" t="n">
        <v>21</v>
      </c>
      <c r="AL528" t="inlineStr">
        <is>
          <t>Miss Glam Damar</t>
        </is>
      </c>
      <c r="AM528" t="n">
        <v>4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BIORE</t>
        </is>
      </c>
      <c r="B529" s="2">
        <f>"10100306122"</f>
        <v/>
      </c>
      <c r="C529" t="inlineStr">
        <is>
          <t>BIORE Makeup Remover Perfect Cleansing Water Soften Up 400ml</t>
        </is>
      </c>
      <c r="D529" t="inlineStr">
        <is>
          <t>Miss Glam Damar</t>
        </is>
      </c>
      <c r="E529" t="n">
        <v>3</v>
      </c>
      <c r="F529" t="n">
        <v>0.0182</v>
      </c>
      <c r="G529" t="n">
        <v>0.91</v>
      </c>
      <c r="H529" t="n">
        <v>2</v>
      </c>
      <c r="I529" t="n">
        <v>2</v>
      </c>
      <c r="J529" t="n">
        <v>3</v>
      </c>
      <c r="K529" t="n">
        <v>0</v>
      </c>
      <c r="L529" t="n">
        <v>73038</v>
      </c>
      <c r="M529" t="n">
        <v>86000</v>
      </c>
      <c r="N529" t="n">
        <v>91</v>
      </c>
      <c r="O529" t="n">
        <v>0.91</v>
      </c>
      <c r="P529" t="n">
        <v>1</v>
      </c>
      <c r="Q529" t="n">
        <v>0.07000000000000001</v>
      </c>
      <c r="R529" t="n">
        <v>1</v>
      </c>
      <c r="S529" t="n">
        <v>1565.2</v>
      </c>
      <c r="T529" t="n">
        <v>2</v>
      </c>
      <c r="U529" t="n">
        <v>3</v>
      </c>
      <c r="V529" t="n">
        <v>30</v>
      </c>
      <c r="W529" t="n">
        <v>1</v>
      </c>
      <c r="X529" t="n">
        <v>164.8351648351648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1852</v>
      </c>
      <c r="AG529" t="n">
        <v>3299</v>
      </c>
      <c r="AH529" t="inlineStr">
        <is>
          <t>CV. ZIHABIB CIPTA MANDIRI - PPN (PDG)</t>
        </is>
      </c>
      <c r="AI529" t="n">
        <v>43</v>
      </c>
      <c r="AJ529" t="inlineStr">
        <is>
          <t>BIORE</t>
        </is>
      </c>
      <c r="AK529" t="n">
        <v>21</v>
      </c>
      <c r="AL529" t="inlineStr">
        <is>
          <t>Miss Glam Damar</t>
        </is>
      </c>
      <c r="AM529" t="n">
        <v>4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BIORE</t>
        </is>
      </c>
      <c r="B530" s="2">
        <f>"8992727008518"</f>
        <v/>
      </c>
      <c r="C530" t="inlineStr">
        <is>
          <t>BIORE Uv Fresh &amp; Bright Instant Cover Spf 50PA+++ 30gr</t>
        </is>
      </c>
      <c r="D530" t="inlineStr">
        <is>
          <t>Miss Glam Damar</t>
        </is>
      </c>
      <c r="E530" t="n">
        <v>7</v>
      </c>
      <c r="F530" t="n">
        <v>0.2</v>
      </c>
      <c r="G530" t="n">
        <v>2</v>
      </c>
      <c r="H530" t="n">
        <v>2</v>
      </c>
      <c r="I530" t="n">
        <v>2</v>
      </c>
      <c r="J530" t="n">
        <v>3</v>
      </c>
      <c r="K530" t="n">
        <v>0</v>
      </c>
      <c r="L530" t="n">
        <v>31024</v>
      </c>
      <c r="M530" t="n">
        <v>37000</v>
      </c>
      <c r="N530" t="n">
        <v>91</v>
      </c>
      <c r="O530" t="n">
        <v>0.91</v>
      </c>
      <c r="P530" t="n">
        <v>0</v>
      </c>
      <c r="Q530" t="n">
        <v>0.2</v>
      </c>
      <c r="R530" t="n">
        <v>2</v>
      </c>
      <c r="S530" t="n">
        <v>7400</v>
      </c>
      <c r="T530" t="n">
        <v>4</v>
      </c>
      <c r="U530" t="n">
        <v>5</v>
      </c>
      <c r="V530" t="n">
        <v>30</v>
      </c>
      <c r="W530" t="n">
        <v>6</v>
      </c>
      <c r="X530" t="n">
        <v>35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1852</v>
      </c>
      <c r="AG530" t="n">
        <v>3299</v>
      </c>
      <c r="AH530" t="inlineStr">
        <is>
          <t>CV. ZIHABIB CIPTA MANDIRI - PPN (PDG)</t>
        </is>
      </c>
      <c r="AI530" t="n">
        <v>43</v>
      </c>
      <c r="AJ530" t="inlineStr">
        <is>
          <t>BIORE</t>
        </is>
      </c>
      <c r="AK530" t="n">
        <v>21</v>
      </c>
      <c r="AL530" t="inlineStr">
        <is>
          <t>Miss Glam Damar</t>
        </is>
      </c>
      <c r="AM530" t="n">
        <v>4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BIORE</t>
        </is>
      </c>
      <c r="B531" s="2">
        <f>"8992727008501"</f>
        <v/>
      </c>
      <c r="C531" t="inlineStr">
        <is>
          <t>BIORE Uv Fresh &amp; Bright Oil Control Matte Spf 50 PA+++ 30gr</t>
        </is>
      </c>
      <c r="D531" t="inlineStr">
        <is>
          <t>Miss Glam Damar</t>
        </is>
      </c>
      <c r="E531" t="n">
        <v>0</v>
      </c>
      <c r="F531" t="n">
        <v>0.2</v>
      </c>
      <c r="G531" t="n">
        <v>4</v>
      </c>
      <c r="H531" t="n">
        <v>2</v>
      </c>
      <c r="I531" t="n">
        <v>2</v>
      </c>
      <c r="J531" t="n">
        <v>3</v>
      </c>
      <c r="K531" t="n">
        <v>6</v>
      </c>
      <c r="L531" t="n">
        <v>31024</v>
      </c>
      <c r="M531" t="n">
        <v>37000</v>
      </c>
      <c r="N531" t="n">
        <v>91</v>
      </c>
      <c r="O531" t="n">
        <v>0.91</v>
      </c>
      <c r="P531" t="n">
        <v>0</v>
      </c>
      <c r="Q531" t="n">
        <v>0.2</v>
      </c>
      <c r="R531" t="n">
        <v>4</v>
      </c>
      <c r="S531" t="n">
        <v>7400</v>
      </c>
      <c r="T531" t="n">
        <v>8</v>
      </c>
      <c r="U531" t="n">
        <v>9</v>
      </c>
      <c r="V531" t="n">
        <v>30</v>
      </c>
      <c r="W531" t="n">
        <v>6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1852</v>
      </c>
      <c r="AG531" t="n">
        <v>3299</v>
      </c>
      <c r="AH531" t="inlineStr">
        <is>
          <t>CV. ZIHABIB CIPTA MANDIRI - PPN (PDG)</t>
        </is>
      </c>
      <c r="AI531" t="n">
        <v>43</v>
      </c>
      <c r="AJ531" t="inlineStr">
        <is>
          <t>BIORE</t>
        </is>
      </c>
      <c r="AK531" t="n">
        <v>21</v>
      </c>
      <c r="AL531" t="inlineStr">
        <is>
          <t>Miss Glam Damar</t>
        </is>
      </c>
      <c r="AM531" t="n">
        <v>4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BIORE</t>
        </is>
      </c>
      <c r="B532" s="2">
        <f>"8992727009003"</f>
        <v/>
      </c>
      <c r="C532" t="inlineStr">
        <is>
          <t>BIORE Uv Fresh &amp; Bright Oil Control Soothing 30gr</t>
        </is>
      </c>
      <c r="D532" t="inlineStr">
        <is>
          <t>Miss Glam Damar</t>
        </is>
      </c>
      <c r="E532" t="n">
        <v>5</v>
      </c>
      <c r="F532" t="n">
        <v>0.182</v>
      </c>
      <c r="G532" t="n">
        <v>0.91</v>
      </c>
      <c r="H532" t="n">
        <v>2</v>
      </c>
      <c r="I532" t="n">
        <v>2</v>
      </c>
      <c r="J532" t="n">
        <v>3</v>
      </c>
      <c r="K532" t="n">
        <v>0</v>
      </c>
      <c r="L532" t="n">
        <v>27922</v>
      </c>
      <c r="M532" t="n">
        <v>37500</v>
      </c>
      <c r="N532" t="n">
        <v>91</v>
      </c>
      <c r="O532" t="n">
        <v>0.91</v>
      </c>
      <c r="P532" t="n">
        <v>1</v>
      </c>
      <c r="Q532" t="n">
        <v>0.02</v>
      </c>
      <c r="R532" t="n">
        <v>1</v>
      </c>
      <c r="S532" t="n">
        <v>6825.000000000001</v>
      </c>
      <c r="T532" t="n">
        <v>2</v>
      </c>
      <c r="U532" t="n">
        <v>3</v>
      </c>
      <c r="V532" t="n">
        <v>30</v>
      </c>
      <c r="W532" t="n">
        <v>6</v>
      </c>
      <c r="X532" t="n">
        <v>27.47252747252747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1852</v>
      </c>
      <c r="AG532" t="n">
        <v>3299</v>
      </c>
      <c r="AH532" t="inlineStr">
        <is>
          <t>CV. ZIHABIB CIPTA MANDIRI - PPN (PDG)</t>
        </is>
      </c>
      <c r="AI532" t="n">
        <v>43</v>
      </c>
      <c r="AJ532" t="inlineStr">
        <is>
          <t>BIORE</t>
        </is>
      </c>
      <c r="AK532" t="n">
        <v>21</v>
      </c>
      <c r="AL532" t="inlineStr">
        <is>
          <t>Miss Glam Damar</t>
        </is>
      </c>
      <c r="AM532" t="n">
        <v>4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BIZARRE</t>
        </is>
      </c>
      <c r="B533" s="2">
        <f>"8992902212365"</f>
        <v/>
      </c>
      <c r="C533" t="inlineStr">
        <is>
          <t>BIZARRE Eau De Toilette Candy Rose 50ml</t>
        </is>
      </c>
      <c r="D533" t="inlineStr">
        <is>
          <t>Miss Glam Damar</t>
        </is>
      </c>
      <c r="E533" t="n">
        <v>4</v>
      </c>
      <c r="F533" t="n">
        <v>0.05</v>
      </c>
      <c r="G533" t="n">
        <v>1</v>
      </c>
      <c r="H533" t="n">
        <v>3</v>
      </c>
      <c r="I533" t="n">
        <v>11</v>
      </c>
      <c r="J533" t="n">
        <v>3</v>
      </c>
      <c r="K533" t="n">
        <v>0</v>
      </c>
      <c r="L533" t="n">
        <v>23262</v>
      </c>
      <c r="M533" t="n">
        <v>35000</v>
      </c>
      <c r="N533" t="n">
        <v>91</v>
      </c>
      <c r="O533" t="n">
        <v>0.91</v>
      </c>
      <c r="P533" t="n">
        <v>0</v>
      </c>
      <c r="Q533" t="n">
        <v>0.05</v>
      </c>
      <c r="R533" t="n">
        <v>1</v>
      </c>
      <c r="S533" t="n">
        <v>1750</v>
      </c>
      <c r="T533" t="n">
        <v>11</v>
      </c>
      <c r="U533" t="n">
        <v>12</v>
      </c>
      <c r="V533" t="n">
        <v>30</v>
      </c>
      <c r="W533" t="n">
        <v>2</v>
      </c>
      <c r="X533" t="n">
        <v>80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9967</v>
      </c>
      <c r="AG533" t="n">
        <v>78</v>
      </c>
      <c r="AH533" t="inlineStr">
        <is>
          <t>PT. GLORIENTA P.H - PPN (PDG)</t>
        </is>
      </c>
      <c r="AI533" t="n">
        <v>44</v>
      </c>
      <c r="AJ533" t="inlineStr">
        <is>
          <t>BIZARRE</t>
        </is>
      </c>
      <c r="AK533" t="n">
        <v>21</v>
      </c>
      <c r="AL533" t="inlineStr">
        <is>
          <t>Miss Glam Damar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BIZARRE</t>
        </is>
      </c>
      <c r="B534" s="2">
        <f>"8992902212099"</f>
        <v/>
      </c>
      <c r="C534" t="inlineStr">
        <is>
          <t>BIZARRE Eau De Toilette Dream Angel 50ml</t>
        </is>
      </c>
      <c r="D534" t="inlineStr">
        <is>
          <t>Miss Glam Damar</t>
        </is>
      </c>
      <c r="E534" t="n">
        <v>2</v>
      </c>
      <c r="F534" t="n">
        <v>0.0273</v>
      </c>
      <c r="G534" t="n">
        <v>0.91</v>
      </c>
      <c r="H534" t="n">
        <v>3</v>
      </c>
      <c r="I534" t="n">
        <v>11</v>
      </c>
      <c r="J534" t="n">
        <v>3</v>
      </c>
      <c r="K534" t="n">
        <v>0</v>
      </c>
      <c r="L534" t="n">
        <v>21842</v>
      </c>
      <c r="M534" t="n">
        <v>35000</v>
      </c>
      <c r="N534" t="n">
        <v>91</v>
      </c>
      <c r="O534" t="n">
        <v>0.91</v>
      </c>
      <c r="P534" t="n">
        <v>1</v>
      </c>
      <c r="Q534" t="n">
        <v>0.12</v>
      </c>
      <c r="R534" t="n">
        <v>2</v>
      </c>
      <c r="S534" t="n">
        <v>955.5</v>
      </c>
      <c r="T534" t="n">
        <v>10</v>
      </c>
      <c r="U534" t="n">
        <v>11</v>
      </c>
      <c r="V534" t="n">
        <v>30</v>
      </c>
      <c r="W534" t="n">
        <v>1</v>
      </c>
      <c r="X534" t="n">
        <v>73.26007326007326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9967</v>
      </c>
      <c r="AG534" t="n">
        <v>78</v>
      </c>
      <c r="AH534" t="inlineStr">
        <is>
          <t>PT. GLORIENTA P.H - PPN (PDG)</t>
        </is>
      </c>
      <c r="AI534" t="n">
        <v>44</v>
      </c>
      <c r="AJ534" t="inlineStr">
        <is>
          <t>BIZARRE</t>
        </is>
      </c>
      <c r="AK534" t="n">
        <v>21</v>
      </c>
      <c r="AL534" t="inlineStr">
        <is>
          <t>Miss Glam Damar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BIZARRE</t>
        </is>
      </c>
      <c r="B535" s="2">
        <f>"8992902212389"</f>
        <v/>
      </c>
      <c r="C535" t="inlineStr">
        <is>
          <t>BIZARRE Eau De Toilette Love Potion 50ml</t>
        </is>
      </c>
      <c r="D535" t="inlineStr">
        <is>
          <t>Miss Glam Damar</t>
        </is>
      </c>
      <c r="E535" t="n">
        <v>2</v>
      </c>
      <c r="F535" t="n">
        <v>0.0273</v>
      </c>
      <c r="G535" t="n">
        <v>0.91</v>
      </c>
      <c r="H535" t="n">
        <v>3</v>
      </c>
      <c r="I535" t="n">
        <v>11</v>
      </c>
      <c r="J535" t="n">
        <v>3</v>
      </c>
      <c r="K535" t="n">
        <v>0</v>
      </c>
      <c r="L535" t="n">
        <v>22400</v>
      </c>
      <c r="M535" t="n">
        <v>35000</v>
      </c>
      <c r="N535" t="n">
        <v>91</v>
      </c>
      <c r="O535" t="n">
        <v>0.91</v>
      </c>
      <c r="P535" t="n">
        <v>1</v>
      </c>
      <c r="Q535" t="n">
        <v>0.05</v>
      </c>
      <c r="R535" t="n">
        <v>2</v>
      </c>
      <c r="S535" t="n">
        <v>955.5</v>
      </c>
      <c r="T535" t="n">
        <v>10</v>
      </c>
      <c r="U535" t="n">
        <v>11</v>
      </c>
      <c r="V535" t="n">
        <v>30</v>
      </c>
      <c r="W535" t="n">
        <v>1</v>
      </c>
      <c r="X535" t="n">
        <v>73.26007326007326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9967</v>
      </c>
      <c r="AG535" t="n">
        <v>78</v>
      </c>
      <c r="AH535" t="inlineStr">
        <is>
          <t>PT. GLORIENTA P.H - PPN (PDG)</t>
        </is>
      </c>
      <c r="AI535" t="n">
        <v>44</v>
      </c>
      <c r="AJ535" t="inlineStr">
        <is>
          <t>BIZARRE</t>
        </is>
      </c>
      <c r="AK535" t="n">
        <v>21</v>
      </c>
      <c r="AL535" t="inlineStr">
        <is>
          <t>Miss Glam Damar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BIZARRE</t>
        </is>
      </c>
      <c r="B536" s="2">
        <f>"8992902212082"</f>
        <v/>
      </c>
      <c r="C536" t="inlineStr">
        <is>
          <t>BIZARRE Eau De Toilette Seduction 50ml</t>
        </is>
      </c>
      <c r="D536" t="inlineStr">
        <is>
          <t>Miss Glam Damar</t>
        </is>
      </c>
      <c r="E536" t="n">
        <v>4</v>
      </c>
      <c r="F536" t="n">
        <v>0.0273</v>
      </c>
      <c r="G536" t="n">
        <v>0.91</v>
      </c>
      <c r="H536" t="n">
        <v>3</v>
      </c>
      <c r="I536" t="n">
        <v>11</v>
      </c>
      <c r="J536" t="n">
        <v>3</v>
      </c>
      <c r="K536" t="n">
        <v>0</v>
      </c>
      <c r="L536" t="n">
        <v>21842</v>
      </c>
      <c r="M536" t="n">
        <v>35000</v>
      </c>
      <c r="N536" t="n">
        <v>91</v>
      </c>
      <c r="O536" t="n">
        <v>0.91</v>
      </c>
      <c r="P536" t="n">
        <v>1</v>
      </c>
      <c r="Q536" t="n">
        <v>0.03</v>
      </c>
      <c r="R536" t="n">
        <v>1</v>
      </c>
      <c r="S536" t="n">
        <v>955.5</v>
      </c>
      <c r="T536" t="n">
        <v>10</v>
      </c>
      <c r="U536" t="n">
        <v>11</v>
      </c>
      <c r="V536" t="n">
        <v>30</v>
      </c>
      <c r="W536" t="n">
        <v>1</v>
      </c>
      <c r="X536" t="n">
        <v>146.5201465201465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9967</v>
      </c>
      <c r="AG536" t="n">
        <v>78</v>
      </c>
      <c r="AH536" t="inlineStr">
        <is>
          <t>PT. GLORIENTA P.H - PPN (PDG)</t>
        </is>
      </c>
      <c r="AI536" t="n">
        <v>44</v>
      </c>
      <c r="AJ536" t="inlineStr">
        <is>
          <t>BIZARRE</t>
        </is>
      </c>
      <c r="AK536" t="n">
        <v>21</v>
      </c>
      <c r="AL536" t="inlineStr">
        <is>
          <t>Miss Glam Damar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BIZARRE</t>
        </is>
      </c>
      <c r="B537" s="2">
        <f>"8992902212075"</f>
        <v/>
      </c>
      <c r="C537" t="inlineStr">
        <is>
          <t>BIZARRE Eau De Toilette Sexy Killer 50ml</t>
        </is>
      </c>
      <c r="D537" t="inlineStr">
        <is>
          <t>Miss Glam Damar</t>
        </is>
      </c>
      <c r="E537" t="n">
        <v>1</v>
      </c>
      <c r="F537" t="n">
        <v>0.1729</v>
      </c>
      <c r="G537" t="n">
        <v>1.82</v>
      </c>
      <c r="H537" t="n">
        <v>3</v>
      </c>
      <c r="I537" t="n">
        <v>11</v>
      </c>
      <c r="J537" t="n">
        <v>3</v>
      </c>
      <c r="K537" t="n">
        <v>0</v>
      </c>
      <c r="L537" t="n">
        <v>21842</v>
      </c>
      <c r="M537" t="n">
        <v>30000</v>
      </c>
      <c r="N537" t="n">
        <v>91</v>
      </c>
      <c r="O537" t="n">
        <v>0.91</v>
      </c>
      <c r="P537" t="n">
        <v>1</v>
      </c>
      <c r="Q537" t="n">
        <v>0.14</v>
      </c>
      <c r="R537" t="n">
        <v>1</v>
      </c>
      <c r="S537" t="n">
        <v>5187</v>
      </c>
      <c r="T537" t="n">
        <v>20</v>
      </c>
      <c r="U537" t="n">
        <v>21</v>
      </c>
      <c r="V537" t="n">
        <v>30</v>
      </c>
      <c r="W537" t="n">
        <v>6</v>
      </c>
      <c r="X537" t="n">
        <v>5.78368999421631</v>
      </c>
      <c r="Y537" t="n">
        <v>1</v>
      </c>
      <c r="Z537" t="n">
        <v>5</v>
      </c>
      <c r="AA537" t="n">
        <v>1</v>
      </c>
      <c r="AB537" t="n">
        <v>4</v>
      </c>
      <c r="AC537" t="n">
        <v>4</v>
      </c>
      <c r="AD537" t="n">
        <v>21842</v>
      </c>
      <c r="AE537" t="n">
        <v>87368</v>
      </c>
      <c r="AF537" t="n">
        <v>9967</v>
      </c>
      <c r="AG537" t="n">
        <v>78</v>
      </c>
      <c r="AH537" t="inlineStr">
        <is>
          <t>PT. GLORIENTA P.H - PPN (PDG)</t>
        </is>
      </c>
      <c r="AI537" t="n">
        <v>44</v>
      </c>
      <c r="AJ537" t="inlineStr">
        <is>
          <t>BIZARRE</t>
        </is>
      </c>
      <c r="AK537" t="n">
        <v>21</v>
      </c>
      <c r="AL537" t="inlineStr">
        <is>
          <t>Miss Glam Damar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BIZARRE</t>
        </is>
      </c>
      <c r="B538" s="2">
        <f>"8992902212396"</f>
        <v/>
      </c>
      <c r="C538" t="inlineStr">
        <is>
          <t>BIZARRE Eau De Toilette Velvet Kiss 50ml</t>
        </is>
      </c>
      <c r="D538" t="inlineStr">
        <is>
          <t>Miss Glam Damar</t>
        </is>
      </c>
      <c r="E538" t="n">
        <v>4</v>
      </c>
      <c r="F538" t="n">
        <v>0.1729</v>
      </c>
      <c r="G538" t="n">
        <v>0.91</v>
      </c>
      <c r="H538" t="n">
        <v>3</v>
      </c>
      <c r="I538" t="n">
        <v>11</v>
      </c>
      <c r="J538" t="n">
        <v>3</v>
      </c>
      <c r="K538" t="n">
        <v>0</v>
      </c>
      <c r="L538" t="n">
        <v>21842</v>
      </c>
      <c r="M538" t="n">
        <v>30000</v>
      </c>
      <c r="N538" t="n">
        <v>91</v>
      </c>
      <c r="O538" t="n">
        <v>0.91</v>
      </c>
      <c r="P538" t="n">
        <v>1</v>
      </c>
      <c r="Q538" t="n">
        <v>0.03</v>
      </c>
      <c r="R538" t="n">
        <v>1</v>
      </c>
      <c r="S538" t="n">
        <v>5187</v>
      </c>
      <c r="T538" t="n">
        <v>10</v>
      </c>
      <c r="U538" t="n">
        <v>11</v>
      </c>
      <c r="V538" t="n">
        <v>30</v>
      </c>
      <c r="W538" t="n">
        <v>6</v>
      </c>
      <c r="X538" t="n">
        <v>23.13475997686524</v>
      </c>
      <c r="Y538" t="n">
        <v>1</v>
      </c>
      <c r="Z538" t="n">
        <v>2</v>
      </c>
      <c r="AA538" t="n">
        <v>0</v>
      </c>
      <c r="AB538" t="n">
        <v>2</v>
      </c>
      <c r="AC538" t="n">
        <v>3</v>
      </c>
      <c r="AD538" t="n">
        <v>0</v>
      </c>
      <c r="AE538" t="n">
        <v>65526</v>
      </c>
      <c r="AF538" t="n">
        <v>9967</v>
      </c>
      <c r="AG538" t="n">
        <v>78</v>
      </c>
      <c r="AH538" t="inlineStr">
        <is>
          <t>PT. GLORIENTA P.H - PPN (PDG)</t>
        </is>
      </c>
      <c r="AI538" t="n">
        <v>44</v>
      </c>
      <c r="AJ538" t="inlineStr">
        <is>
          <t>BIZARRE</t>
        </is>
      </c>
      <c r="AK538" t="n">
        <v>21</v>
      </c>
      <c r="AL538" t="inlineStr">
        <is>
          <t>Miss Glam Damar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BIZARRE</t>
        </is>
      </c>
      <c r="B539" s="2">
        <f>"30400265049"</f>
        <v/>
      </c>
      <c r="C539" t="inlineStr">
        <is>
          <t>BIZARRE EDP Flower Power (Pink) 50ml</t>
        </is>
      </c>
      <c r="D539" t="inlineStr">
        <is>
          <t>Miss Glam Damar</t>
        </is>
      </c>
      <c r="E539" t="n">
        <v>0</v>
      </c>
      <c r="F539" t="n">
        <v>0.7098000000000001</v>
      </c>
      <c r="G539" t="n">
        <v>3.64</v>
      </c>
      <c r="H539" t="n">
        <v>3</v>
      </c>
      <c r="I539" t="n">
        <v>11</v>
      </c>
      <c r="J539" t="n">
        <v>1</v>
      </c>
      <c r="K539" t="n">
        <v>0</v>
      </c>
      <c r="L539" t="n">
        <v>27625</v>
      </c>
      <c r="M539" t="n">
        <v>32500</v>
      </c>
      <c r="N539" t="n">
        <v>91</v>
      </c>
      <c r="O539" t="n">
        <v>0.91</v>
      </c>
      <c r="P539" t="n">
        <v>1</v>
      </c>
      <c r="Q539" t="n">
        <v>0.13</v>
      </c>
      <c r="R539" t="n">
        <v>2</v>
      </c>
      <c r="S539" t="n">
        <v>23068.5</v>
      </c>
      <c r="T539" t="n">
        <v>38</v>
      </c>
      <c r="U539" t="n">
        <v>41</v>
      </c>
      <c r="V539" t="n">
        <v>30</v>
      </c>
      <c r="W539" t="n">
        <v>22</v>
      </c>
      <c r="X539" t="n">
        <v>0</v>
      </c>
      <c r="Y539" t="n">
        <v>1</v>
      </c>
      <c r="Z539" t="n">
        <v>22</v>
      </c>
      <c r="AA539" t="n">
        <v>8</v>
      </c>
      <c r="AB539" t="n">
        <v>14</v>
      </c>
      <c r="AC539" t="n">
        <v>14</v>
      </c>
      <c r="AD539" t="n">
        <v>221000</v>
      </c>
      <c r="AE539" t="n">
        <v>386750</v>
      </c>
      <c r="AF539" t="n">
        <v>9967</v>
      </c>
      <c r="AG539" t="n">
        <v>78</v>
      </c>
      <c r="AH539" t="inlineStr">
        <is>
          <t>PT. GLORIENTA P.H - PPN (PDG)</t>
        </is>
      </c>
      <c r="AI539" t="n">
        <v>44</v>
      </c>
      <c r="AJ539" t="inlineStr">
        <is>
          <t>BIZARRE</t>
        </is>
      </c>
      <c r="AK539" t="n">
        <v>21</v>
      </c>
      <c r="AL539" t="inlineStr">
        <is>
          <t>Miss Glam Damar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BIZARRE</t>
        </is>
      </c>
      <c r="B540" s="2">
        <f>"30400265236"</f>
        <v/>
      </c>
      <c r="C540" t="inlineStr">
        <is>
          <t>BIZARRE EDP Love Story (Biru) 50ml</t>
        </is>
      </c>
      <c r="D540" t="inlineStr">
        <is>
          <t>Miss Glam Damar</t>
        </is>
      </c>
      <c r="E540" t="n">
        <v>7</v>
      </c>
      <c r="F540" t="n">
        <v>0.3367</v>
      </c>
      <c r="G540" t="n">
        <v>1.82</v>
      </c>
      <c r="H540" t="n">
        <v>3</v>
      </c>
      <c r="I540" t="n">
        <v>11</v>
      </c>
      <c r="J540" t="n">
        <v>1</v>
      </c>
      <c r="K540" t="n">
        <v>0</v>
      </c>
      <c r="L540" t="n">
        <v>27625</v>
      </c>
      <c r="M540" t="n">
        <v>32500</v>
      </c>
      <c r="N540" t="n">
        <v>91</v>
      </c>
      <c r="O540" t="n">
        <v>0.91</v>
      </c>
      <c r="P540" t="n">
        <v>1</v>
      </c>
      <c r="Q540" t="n">
        <v>0.19</v>
      </c>
      <c r="R540" t="n">
        <v>3</v>
      </c>
      <c r="S540" t="n">
        <v>10942.75</v>
      </c>
      <c r="T540" t="n">
        <v>20</v>
      </c>
      <c r="U540" t="n">
        <v>22</v>
      </c>
      <c r="V540" t="n">
        <v>30</v>
      </c>
      <c r="W540" t="n">
        <v>11</v>
      </c>
      <c r="X540" t="n">
        <v>20.79002079002079</v>
      </c>
      <c r="Y540" t="n">
        <v>1</v>
      </c>
      <c r="Z540" t="n">
        <v>4</v>
      </c>
      <c r="AA540" t="n">
        <v>0</v>
      </c>
      <c r="AB540" t="n">
        <v>4</v>
      </c>
      <c r="AC540" t="n">
        <v>4</v>
      </c>
      <c r="AD540" t="n">
        <v>0</v>
      </c>
      <c r="AE540" t="n">
        <v>110500</v>
      </c>
      <c r="AF540" t="n">
        <v>9967</v>
      </c>
      <c r="AG540" t="n">
        <v>78</v>
      </c>
      <c r="AH540" t="inlineStr">
        <is>
          <t>PT. GLORIENTA P.H - PPN (PDG)</t>
        </is>
      </c>
      <c r="AI540" t="n">
        <v>44</v>
      </c>
      <c r="AJ540" t="inlineStr">
        <is>
          <t>BIZARRE</t>
        </is>
      </c>
      <c r="AK540" t="n">
        <v>21</v>
      </c>
      <c r="AL540" t="inlineStr">
        <is>
          <t>Miss Glam Damar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BIZARRE</t>
        </is>
      </c>
      <c r="B541" s="2">
        <f>"30400265312"</f>
        <v/>
      </c>
      <c r="C541" t="inlineStr">
        <is>
          <t>BIZARRE EDP Pure Bliss (Ungu) 50ml</t>
        </is>
      </c>
      <c r="D541" t="inlineStr">
        <is>
          <t>Miss Glam Damar</t>
        </is>
      </c>
      <c r="E541" t="n">
        <v>23</v>
      </c>
      <c r="F541" t="n">
        <v>0.2002</v>
      </c>
      <c r="G541" t="n">
        <v>2.73</v>
      </c>
      <c r="H541" t="n">
        <v>3</v>
      </c>
      <c r="I541" t="n">
        <v>11</v>
      </c>
      <c r="J541" t="n">
        <v>1</v>
      </c>
      <c r="K541" t="n">
        <v>0</v>
      </c>
      <c r="L541" t="n">
        <v>27625</v>
      </c>
      <c r="M541" t="n">
        <v>32500</v>
      </c>
      <c r="N541" t="n">
        <v>91</v>
      </c>
      <c r="O541" t="n">
        <v>0.91</v>
      </c>
      <c r="P541" t="n">
        <v>1</v>
      </c>
      <c r="Q541" t="n">
        <v>0.22</v>
      </c>
      <c r="R541" t="n">
        <v>2</v>
      </c>
      <c r="S541" t="n">
        <v>6506.500000000001</v>
      </c>
      <c r="T541" t="n">
        <v>30</v>
      </c>
      <c r="U541" t="n">
        <v>31</v>
      </c>
      <c r="V541" t="n">
        <v>30</v>
      </c>
      <c r="W541" t="n">
        <v>7</v>
      </c>
      <c r="X541" t="n">
        <v>114.8851148851149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9967</v>
      </c>
      <c r="AG541" t="n">
        <v>78</v>
      </c>
      <c r="AH541" t="inlineStr">
        <is>
          <t>PT. GLORIENTA P.H - PPN (PDG)</t>
        </is>
      </c>
      <c r="AI541" t="n">
        <v>44</v>
      </c>
      <c r="AJ541" t="inlineStr">
        <is>
          <t>BIZARRE</t>
        </is>
      </c>
      <c r="AK541" t="n">
        <v>21</v>
      </c>
      <c r="AL541" t="inlineStr">
        <is>
          <t>Miss Glam Damar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BIZARRE</t>
        </is>
      </c>
      <c r="B542" s="2">
        <f>"30400265101"</f>
        <v/>
      </c>
      <c r="C542" t="inlineStr">
        <is>
          <t>BIZARRE EDP Secret Garden (Hijau) 50ml</t>
        </is>
      </c>
      <c r="D542" t="inlineStr">
        <is>
          <t>Miss Glam Damar</t>
        </is>
      </c>
      <c r="E542" t="n">
        <v>7</v>
      </c>
      <c r="F542" t="n">
        <v>0.1547</v>
      </c>
      <c r="G542" t="n">
        <v>0.91</v>
      </c>
      <c r="H542" t="n">
        <v>3</v>
      </c>
      <c r="I542" t="n">
        <v>11</v>
      </c>
      <c r="J542" t="n">
        <v>1</v>
      </c>
      <c r="K542" t="n">
        <v>0</v>
      </c>
      <c r="L542" t="n">
        <v>27625</v>
      </c>
      <c r="M542" t="n">
        <v>32500</v>
      </c>
      <c r="N542" t="n">
        <v>91</v>
      </c>
      <c r="O542" t="n">
        <v>0.91</v>
      </c>
      <c r="P542" t="n">
        <v>1</v>
      </c>
      <c r="Q542" t="n">
        <v>0.19</v>
      </c>
      <c r="R542" t="n">
        <v>2</v>
      </c>
      <c r="S542" t="n">
        <v>5027.75</v>
      </c>
      <c r="T542" t="n">
        <v>10</v>
      </c>
      <c r="U542" t="n">
        <v>11</v>
      </c>
      <c r="V542" t="n">
        <v>30</v>
      </c>
      <c r="W542" t="n">
        <v>5</v>
      </c>
      <c r="X542" t="n">
        <v>45.24886877828054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9967</v>
      </c>
      <c r="AG542" t="n">
        <v>78</v>
      </c>
      <c r="AH542" t="inlineStr">
        <is>
          <t>PT. GLORIENTA P.H - PPN (PDG)</t>
        </is>
      </c>
      <c r="AI542" t="n">
        <v>44</v>
      </c>
      <c r="AJ542" t="inlineStr">
        <is>
          <t>BIZARRE</t>
        </is>
      </c>
      <c r="AK542" t="n">
        <v>21</v>
      </c>
      <c r="AL542" t="inlineStr">
        <is>
          <t>Miss Glam Damar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BLINKZ</t>
        </is>
      </c>
      <c r="B543" s="2">
        <f>"10100805107"</f>
        <v/>
      </c>
      <c r="C543" t="inlineStr">
        <is>
          <t>BLINKZ Soap 60gr</t>
        </is>
      </c>
      <c r="D543" t="inlineStr">
        <is>
          <t>Miss Glam Damar</t>
        </is>
      </c>
      <c r="E543" t="n">
        <v>8</v>
      </c>
      <c r="F543" t="n">
        <v>0.3822</v>
      </c>
      <c r="G543" t="n">
        <v>2.73</v>
      </c>
      <c r="H543" t="n">
        <v>4</v>
      </c>
      <c r="I543" t="n">
        <v>21</v>
      </c>
      <c r="J543" t="n">
        <v>3</v>
      </c>
      <c r="K543" t="n">
        <v>0</v>
      </c>
      <c r="L543" t="n">
        <v>21630</v>
      </c>
      <c r="M543" t="n">
        <v>30000</v>
      </c>
      <c r="N543" t="n">
        <v>91</v>
      </c>
      <c r="O543" t="n">
        <v>0.91</v>
      </c>
      <c r="P543" t="n">
        <v>1</v>
      </c>
      <c r="Q543" t="n">
        <v>0.27</v>
      </c>
      <c r="R543" t="n">
        <v>2</v>
      </c>
      <c r="S543" t="n">
        <v>11466</v>
      </c>
      <c r="T543" t="n">
        <v>56</v>
      </c>
      <c r="U543" t="n">
        <v>58</v>
      </c>
      <c r="V543" t="n">
        <v>30</v>
      </c>
      <c r="W543" t="n">
        <v>12</v>
      </c>
      <c r="X543" t="n">
        <v>20.93144950287807</v>
      </c>
      <c r="Y543" t="n">
        <v>1</v>
      </c>
      <c r="Z543" t="n">
        <v>4</v>
      </c>
      <c r="AA543" t="n">
        <v>1</v>
      </c>
      <c r="AB543" t="n">
        <v>3</v>
      </c>
      <c r="AC543" t="n">
        <v>3</v>
      </c>
      <c r="AD543" t="n">
        <v>21630</v>
      </c>
      <c r="AE543" t="n">
        <v>64890</v>
      </c>
      <c r="AF543" t="n">
        <v>3713</v>
      </c>
      <c r="AG543" t="n">
        <v>1</v>
      </c>
      <c r="AH543" t="inlineStr">
        <is>
          <t>PT. BERSAMA DISTRIVERSA INDONESIA (DC CIPUTAT)</t>
        </is>
      </c>
      <c r="AI543" t="n">
        <v>530</v>
      </c>
      <c r="AJ543" t="inlineStr">
        <is>
          <t>BLINKZ</t>
        </is>
      </c>
      <c r="AK543" t="n">
        <v>21</v>
      </c>
      <c r="AL543" t="inlineStr">
        <is>
          <t>Miss Glam Damar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BLP</t>
        </is>
      </c>
      <c r="B544" s="2">
        <f>"8997219433984"</f>
        <v/>
      </c>
      <c r="C544" t="inlineStr">
        <is>
          <t>BLP Baby Blush 1987</t>
        </is>
      </c>
      <c r="D544" t="inlineStr">
        <is>
          <t>Miss Glam Damar</t>
        </is>
      </c>
      <c r="E544" t="n">
        <v>5</v>
      </c>
      <c r="F544" t="n">
        <v>0.1274</v>
      </c>
      <c r="G544" t="n">
        <v>1.82</v>
      </c>
      <c r="H544" t="n">
        <v>4</v>
      </c>
      <c r="I544" t="n">
        <v>21</v>
      </c>
      <c r="J544" t="n">
        <v>3</v>
      </c>
      <c r="K544" t="n">
        <v>0</v>
      </c>
      <c r="L544" t="n">
        <v>79200</v>
      </c>
      <c r="M544" t="n">
        <v>99000</v>
      </c>
      <c r="N544" t="n">
        <v>91</v>
      </c>
      <c r="O544" t="n">
        <v>0.91</v>
      </c>
      <c r="P544" t="n">
        <v>1</v>
      </c>
      <c r="Q544" t="n">
        <v>0.08</v>
      </c>
      <c r="R544" t="n">
        <v>1</v>
      </c>
      <c r="S544" t="n">
        <v>12612.6</v>
      </c>
      <c r="T544" t="n">
        <v>38</v>
      </c>
      <c r="U544" t="n">
        <v>39</v>
      </c>
      <c r="V544" t="n">
        <v>30</v>
      </c>
      <c r="W544" t="n">
        <v>4</v>
      </c>
      <c r="X544" t="n">
        <v>39.24646781789639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3778</v>
      </c>
      <c r="AG544" t="n">
        <v>1</v>
      </c>
      <c r="AH544" t="inlineStr">
        <is>
          <t>PT. BERSAMA DISTRIVERSA INDONESIA (DC CIPUTAT)</t>
        </is>
      </c>
      <c r="AI544" t="n">
        <v>46</v>
      </c>
      <c r="AJ544" t="inlineStr">
        <is>
          <t>BLP</t>
        </is>
      </c>
      <c r="AK544" t="n">
        <v>21</v>
      </c>
      <c r="AL544" t="inlineStr">
        <is>
          <t>Miss Glam Damar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BLP</t>
        </is>
      </c>
      <c r="B545" s="2">
        <f>"8997219433991"</f>
        <v/>
      </c>
      <c r="C545" t="inlineStr">
        <is>
          <t>BLP Baby Blush 1989</t>
        </is>
      </c>
      <c r="D545" t="inlineStr">
        <is>
          <t>Miss Glam Damar</t>
        </is>
      </c>
      <c r="E545" t="n">
        <v>4</v>
      </c>
      <c r="F545" t="n">
        <v>0.04550000000000001</v>
      </c>
      <c r="G545" t="n">
        <v>0.91</v>
      </c>
      <c r="H545" t="n">
        <v>4</v>
      </c>
      <c r="I545" t="n">
        <v>21</v>
      </c>
      <c r="J545" t="n">
        <v>3</v>
      </c>
      <c r="K545" t="n">
        <v>0</v>
      </c>
      <c r="L545" t="n">
        <v>79200</v>
      </c>
      <c r="M545" t="n">
        <v>99000</v>
      </c>
      <c r="N545" t="n">
        <v>91</v>
      </c>
      <c r="O545" t="n">
        <v>0.91</v>
      </c>
      <c r="P545" t="n">
        <v>1</v>
      </c>
      <c r="Q545" t="n">
        <v>0.02</v>
      </c>
      <c r="R545" t="n">
        <v>1</v>
      </c>
      <c r="S545" t="n">
        <v>4504.500000000001</v>
      </c>
      <c r="T545" t="n">
        <v>19</v>
      </c>
      <c r="U545" t="n">
        <v>20</v>
      </c>
      <c r="V545" t="n">
        <v>30</v>
      </c>
      <c r="W545" t="n">
        <v>2</v>
      </c>
      <c r="X545" t="n">
        <v>87.9120879120879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3778</v>
      </c>
      <c r="AG545" t="n">
        <v>1</v>
      </c>
      <c r="AH545" t="inlineStr">
        <is>
          <t>PT. BERSAMA DISTRIVERSA INDONESIA (DC CIPUTAT)</t>
        </is>
      </c>
      <c r="AI545" t="n">
        <v>46</v>
      </c>
      <c r="AJ545" t="inlineStr">
        <is>
          <t>BLP</t>
        </is>
      </c>
      <c r="AK545" t="n">
        <v>21</v>
      </c>
      <c r="AL545" t="inlineStr">
        <is>
          <t>Miss Glam Damar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BLP</t>
        </is>
      </c>
      <c r="B546" s="2">
        <f>"8997219430341"</f>
        <v/>
      </c>
      <c r="C546" t="inlineStr">
        <is>
          <t>BLP Brow Definer Ash Brown 0.09gr</t>
        </is>
      </c>
      <c r="D546" t="inlineStr">
        <is>
          <t>Miss Glam Damar</t>
        </is>
      </c>
      <c r="E546" t="n">
        <v>5</v>
      </c>
      <c r="F546" t="n">
        <v>0.06370000000000001</v>
      </c>
      <c r="G546" t="n">
        <v>1.82</v>
      </c>
      <c r="H546" t="n">
        <v>4</v>
      </c>
      <c r="I546" t="n">
        <v>21</v>
      </c>
      <c r="J546" t="n">
        <v>3</v>
      </c>
      <c r="K546" t="n">
        <v>0</v>
      </c>
      <c r="L546" t="n">
        <v>111200</v>
      </c>
      <c r="M546" t="n">
        <v>139000</v>
      </c>
      <c r="N546" t="n">
        <v>91</v>
      </c>
      <c r="O546" t="n">
        <v>0.91</v>
      </c>
      <c r="P546" t="n">
        <v>1</v>
      </c>
      <c r="Q546" t="n">
        <v>0.02</v>
      </c>
      <c r="R546" t="n">
        <v>1</v>
      </c>
      <c r="S546" t="n">
        <v>8854.300000000001</v>
      </c>
      <c r="T546" t="n">
        <v>38</v>
      </c>
      <c r="U546" t="n">
        <v>39</v>
      </c>
      <c r="V546" t="n">
        <v>30</v>
      </c>
      <c r="W546" t="n">
        <v>2</v>
      </c>
      <c r="X546" t="n">
        <v>78.49293563579278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3778</v>
      </c>
      <c r="AG546" t="n">
        <v>1</v>
      </c>
      <c r="AH546" t="inlineStr">
        <is>
          <t>PT. BERSAMA DISTRIVERSA INDONESIA (DC CIPUTAT)</t>
        </is>
      </c>
      <c r="AI546" t="n">
        <v>46</v>
      </c>
      <c r="AJ546" t="inlineStr">
        <is>
          <t>BLP</t>
        </is>
      </c>
      <c r="AK546" t="n">
        <v>21</v>
      </c>
      <c r="AL546" t="inlineStr">
        <is>
          <t>Miss Glam Damar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BLP</t>
        </is>
      </c>
      <c r="B547" s="2">
        <f>"8997219430181"</f>
        <v/>
      </c>
      <c r="C547" t="inlineStr">
        <is>
          <t>BLP Brow Definer Dark Brown 0,09gr</t>
        </is>
      </c>
      <c r="D547" t="inlineStr">
        <is>
          <t>Miss Glam Damar</t>
        </is>
      </c>
      <c r="E547" t="n">
        <v>6</v>
      </c>
      <c r="F547" t="n">
        <v>0.06370000000000001</v>
      </c>
      <c r="G547" t="n">
        <v>0.91</v>
      </c>
      <c r="H547" t="n">
        <v>4</v>
      </c>
      <c r="I547" t="n">
        <v>21</v>
      </c>
      <c r="J547" t="n">
        <v>3</v>
      </c>
      <c r="K547" t="n">
        <v>0</v>
      </c>
      <c r="L547" t="n">
        <v>107713</v>
      </c>
      <c r="M547" t="n">
        <v>139000</v>
      </c>
      <c r="N547" t="n">
        <v>91</v>
      </c>
      <c r="O547" t="n">
        <v>0.91</v>
      </c>
      <c r="P547" t="n">
        <v>1</v>
      </c>
      <c r="Q547" t="n">
        <v>0.05</v>
      </c>
      <c r="R547" t="n">
        <v>1</v>
      </c>
      <c r="S547" t="n">
        <v>8854.300000000001</v>
      </c>
      <c r="T547" t="n">
        <v>19</v>
      </c>
      <c r="U547" t="n">
        <v>20</v>
      </c>
      <c r="V547" t="n">
        <v>30</v>
      </c>
      <c r="W547" t="n">
        <v>2</v>
      </c>
      <c r="X547" t="n">
        <v>94.19152276295132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3778</v>
      </c>
      <c r="AG547" t="n">
        <v>1</v>
      </c>
      <c r="AH547" t="inlineStr">
        <is>
          <t>PT. BERSAMA DISTRIVERSA INDONESIA (DC CIPUTAT)</t>
        </is>
      </c>
      <c r="AI547" t="n">
        <v>46</v>
      </c>
      <c r="AJ547" t="inlineStr">
        <is>
          <t>BLP</t>
        </is>
      </c>
      <c r="AK547" t="n">
        <v>21</v>
      </c>
      <c r="AL547" t="inlineStr">
        <is>
          <t>Miss Glam Damar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BLP</t>
        </is>
      </c>
      <c r="B548" s="2">
        <f>"8997219433786"</f>
        <v/>
      </c>
      <c r="C548" t="inlineStr">
        <is>
          <t>BLP Butter Balm Cherry 3gr</t>
        </is>
      </c>
      <c r="D548" t="inlineStr">
        <is>
          <t>Miss Glam Damar</t>
        </is>
      </c>
      <c r="E548" t="n">
        <v>5</v>
      </c>
      <c r="F548" t="n">
        <v>0.0182</v>
      </c>
      <c r="G548" t="n">
        <v>0.91</v>
      </c>
      <c r="H548" t="n">
        <v>4</v>
      </c>
      <c r="I548" t="n">
        <v>21</v>
      </c>
      <c r="J548" t="n">
        <v>3</v>
      </c>
      <c r="K548" t="n">
        <v>0</v>
      </c>
      <c r="L548" t="n">
        <v>71200</v>
      </c>
      <c r="M548" t="n">
        <v>89000</v>
      </c>
      <c r="N548" t="n">
        <v>91</v>
      </c>
      <c r="O548" t="n">
        <v>0.91</v>
      </c>
      <c r="P548" t="n">
        <v>1</v>
      </c>
      <c r="Q548" t="n">
        <v>0.02</v>
      </c>
      <c r="R548" t="n">
        <v>1</v>
      </c>
      <c r="S548" t="n">
        <v>1619.8</v>
      </c>
      <c r="T548" t="n">
        <v>20</v>
      </c>
      <c r="U548" t="n">
        <v>21</v>
      </c>
      <c r="V548" t="n">
        <v>30</v>
      </c>
      <c r="W548" t="n">
        <v>1</v>
      </c>
      <c r="X548" t="n">
        <v>274.7252747252747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3778</v>
      </c>
      <c r="AG548" t="n">
        <v>1</v>
      </c>
      <c r="AH548" t="inlineStr">
        <is>
          <t>PT. BERSAMA DISTRIVERSA INDONESIA (DC CIPUTAT)</t>
        </is>
      </c>
      <c r="AI548" t="n">
        <v>46</v>
      </c>
      <c r="AJ548" t="inlineStr">
        <is>
          <t>BLP</t>
        </is>
      </c>
      <c r="AK548" t="n">
        <v>21</v>
      </c>
      <c r="AL548" t="inlineStr">
        <is>
          <t>Miss Glam Damar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BLP</t>
        </is>
      </c>
      <c r="B549" s="2">
        <f>"8997219430983"</f>
        <v/>
      </c>
      <c r="C549" t="inlineStr">
        <is>
          <t>BLP Compact Powder Beige 10,5gr</t>
        </is>
      </c>
      <c r="D549" t="inlineStr">
        <is>
          <t>Miss Glam Damar</t>
        </is>
      </c>
      <c r="E549" t="n">
        <v>3</v>
      </c>
      <c r="F549" t="n">
        <v>0.0182</v>
      </c>
      <c r="G549" t="n">
        <v>0.91</v>
      </c>
      <c r="H549" t="n">
        <v>4</v>
      </c>
      <c r="I549" t="n">
        <v>21</v>
      </c>
      <c r="J549" t="n">
        <v>3</v>
      </c>
      <c r="K549" t="n">
        <v>0</v>
      </c>
      <c r="L549" t="n">
        <v>119200</v>
      </c>
      <c r="M549" t="n">
        <v>149000</v>
      </c>
      <c r="N549" t="n">
        <v>91</v>
      </c>
      <c r="O549" t="n">
        <v>0.91</v>
      </c>
      <c r="P549" t="n">
        <v>1</v>
      </c>
      <c r="Q549" t="n">
        <v>0.1</v>
      </c>
      <c r="R549" t="n">
        <v>2</v>
      </c>
      <c r="S549" t="n">
        <v>2711.8</v>
      </c>
      <c r="T549" t="n">
        <v>20</v>
      </c>
      <c r="U549" t="n">
        <v>21</v>
      </c>
      <c r="V549" t="n">
        <v>30</v>
      </c>
      <c r="W549" t="n">
        <v>1</v>
      </c>
      <c r="X549" t="n">
        <v>164.8351648351648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3778</v>
      </c>
      <c r="AG549" t="n">
        <v>1</v>
      </c>
      <c r="AH549" t="inlineStr">
        <is>
          <t>PT. BERSAMA DISTRIVERSA INDONESIA (DC CIPUTAT)</t>
        </is>
      </c>
      <c r="AI549" t="n">
        <v>46</v>
      </c>
      <c r="AJ549" t="inlineStr">
        <is>
          <t>BLP</t>
        </is>
      </c>
      <c r="AK549" t="n">
        <v>21</v>
      </c>
      <c r="AL549" t="inlineStr">
        <is>
          <t>Miss Glam Damar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BLP</t>
        </is>
      </c>
      <c r="B550" s="2">
        <f>"8997219430969"</f>
        <v/>
      </c>
      <c r="C550" t="inlineStr">
        <is>
          <t>BLP Compact Powder Ivory 10,5gr</t>
        </is>
      </c>
      <c r="D550" t="inlineStr">
        <is>
          <t>Miss Glam Damar</t>
        </is>
      </c>
      <c r="E550" t="n">
        <v>6</v>
      </c>
      <c r="F550" t="n">
        <v>0.03</v>
      </c>
      <c r="G550" t="n">
        <v>1</v>
      </c>
      <c r="H550" t="n">
        <v>4</v>
      </c>
      <c r="I550" t="n">
        <v>21</v>
      </c>
      <c r="J550" t="n">
        <v>3</v>
      </c>
      <c r="K550" t="n">
        <v>0</v>
      </c>
      <c r="L550" t="n">
        <v>119200</v>
      </c>
      <c r="M550" t="n">
        <v>149000</v>
      </c>
      <c r="N550" t="n">
        <v>91</v>
      </c>
      <c r="O550" t="n">
        <v>0.91</v>
      </c>
      <c r="P550" t="n">
        <v>0</v>
      </c>
      <c r="Q550" t="n">
        <v>0.03</v>
      </c>
      <c r="R550" t="n">
        <v>1</v>
      </c>
      <c r="S550" t="n">
        <v>4470</v>
      </c>
      <c r="T550" t="n">
        <v>21</v>
      </c>
      <c r="U550" t="n">
        <v>22</v>
      </c>
      <c r="V550" t="n">
        <v>30</v>
      </c>
      <c r="W550" t="n">
        <v>1</v>
      </c>
      <c r="X550" t="n">
        <v>200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3778</v>
      </c>
      <c r="AG550" t="n">
        <v>1</v>
      </c>
      <c r="AH550" t="inlineStr">
        <is>
          <t>PT. BERSAMA DISTRIVERSA INDONESIA (DC CIPUTAT)</t>
        </is>
      </c>
      <c r="AI550" t="n">
        <v>46</v>
      </c>
      <c r="AJ550" t="inlineStr">
        <is>
          <t>BLP</t>
        </is>
      </c>
      <c r="AK550" t="n">
        <v>21</v>
      </c>
      <c r="AL550" t="inlineStr">
        <is>
          <t>Miss Glam Damar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BLP</t>
        </is>
      </c>
      <c r="B551" s="2">
        <f>"8997219430990"</f>
        <v/>
      </c>
      <c r="C551" t="inlineStr">
        <is>
          <t>BLP Compact Powder Medium Beige 10,5gr</t>
        </is>
      </c>
      <c r="D551" t="inlineStr">
        <is>
          <t>Miss Glam Damar</t>
        </is>
      </c>
      <c r="E551" t="n">
        <v>1</v>
      </c>
      <c r="F551" t="n">
        <v>0.02</v>
      </c>
      <c r="G551" t="n">
        <v>1</v>
      </c>
      <c r="H551" t="n">
        <v>4</v>
      </c>
      <c r="I551" t="n">
        <v>21</v>
      </c>
      <c r="J551" t="n">
        <v>3</v>
      </c>
      <c r="K551" t="n">
        <v>0</v>
      </c>
      <c r="L551" t="n">
        <v>119200</v>
      </c>
      <c r="M551" t="n">
        <v>149000</v>
      </c>
      <c r="N551" t="n">
        <v>91</v>
      </c>
      <c r="O551" t="n">
        <v>0.91</v>
      </c>
      <c r="P551" t="n">
        <v>0</v>
      </c>
      <c r="Q551" t="n">
        <v>0.02</v>
      </c>
      <c r="R551" t="n">
        <v>1</v>
      </c>
      <c r="S551" t="n">
        <v>2980</v>
      </c>
      <c r="T551" t="n">
        <v>21</v>
      </c>
      <c r="U551" t="n">
        <v>22</v>
      </c>
      <c r="V551" t="n">
        <v>30</v>
      </c>
      <c r="W551" t="n">
        <v>1</v>
      </c>
      <c r="X551" t="n">
        <v>50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3778</v>
      </c>
      <c r="AG551" t="n">
        <v>1</v>
      </c>
      <c r="AH551" t="inlineStr">
        <is>
          <t>PT. BERSAMA DISTRIVERSA INDONESIA (DC CIPUTAT)</t>
        </is>
      </c>
      <c r="AI551" t="n">
        <v>46</v>
      </c>
      <c r="AJ551" t="inlineStr">
        <is>
          <t>BLP</t>
        </is>
      </c>
      <c r="AK551" t="n">
        <v>21</v>
      </c>
      <c r="AL551" t="inlineStr">
        <is>
          <t>Miss Glam Damar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BLP</t>
        </is>
      </c>
      <c r="B552" s="2">
        <f>"8997219431065"</f>
        <v/>
      </c>
      <c r="C552" t="inlineStr">
        <is>
          <t>BLP Cover Cushion Ivory 13gr</t>
        </is>
      </c>
      <c r="D552" t="inlineStr">
        <is>
          <t>Miss Glam Damar</t>
        </is>
      </c>
      <c r="E552" t="n">
        <v>4</v>
      </c>
      <c r="F552" t="n">
        <v>0.03</v>
      </c>
      <c r="G552" t="n">
        <v>1</v>
      </c>
      <c r="H552" t="n">
        <v>4</v>
      </c>
      <c r="I552" t="n">
        <v>21</v>
      </c>
      <c r="J552" t="n">
        <v>3</v>
      </c>
      <c r="K552" t="n">
        <v>0</v>
      </c>
      <c r="L552" t="n">
        <v>159200</v>
      </c>
      <c r="M552" t="n">
        <v>199000</v>
      </c>
      <c r="N552" t="n">
        <v>91</v>
      </c>
      <c r="O552" t="n">
        <v>0.91</v>
      </c>
      <c r="P552" t="n">
        <v>0</v>
      </c>
      <c r="Q552" t="n">
        <v>0.03</v>
      </c>
      <c r="R552" t="n">
        <v>1</v>
      </c>
      <c r="S552" t="n">
        <v>5970</v>
      </c>
      <c r="T552" t="n">
        <v>21</v>
      </c>
      <c r="U552" t="n">
        <v>22</v>
      </c>
      <c r="V552" t="n">
        <v>30</v>
      </c>
      <c r="W552" t="n">
        <v>1</v>
      </c>
      <c r="X552" t="n">
        <v>133.3333333333333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3778</v>
      </c>
      <c r="AG552" t="n">
        <v>1</v>
      </c>
      <c r="AH552" t="inlineStr">
        <is>
          <t>PT. BERSAMA DISTRIVERSA INDONESIA (DC CIPUTAT)</t>
        </is>
      </c>
      <c r="AI552" t="n">
        <v>46</v>
      </c>
      <c r="AJ552" t="inlineStr">
        <is>
          <t>BLP</t>
        </is>
      </c>
      <c r="AK552" t="n">
        <v>21</v>
      </c>
      <c r="AL552" t="inlineStr">
        <is>
          <t>Miss Glam Damar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BLP</t>
        </is>
      </c>
      <c r="B553" s="2">
        <f>"8997219431386"</f>
        <v/>
      </c>
      <c r="C553" t="inlineStr">
        <is>
          <t>BLP Cover Cushion Warm Ivory 13gr</t>
        </is>
      </c>
      <c r="D553" t="inlineStr">
        <is>
          <t>Miss Glam Damar</t>
        </is>
      </c>
      <c r="E553" t="n">
        <v>5</v>
      </c>
      <c r="F553" t="n">
        <v>0.06370000000000001</v>
      </c>
      <c r="G553" t="n">
        <v>0.91</v>
      </c>
      <c r="H553" t="n">
        <v>4</v>
      </c>
      <c r="I553" t="n">
        <v>21</v>
      </c>
      <c r="J553" t="n">
        <v>3</v>
      </c>
      <c r="K553" t="n">
        <v>0</v>
      </c>
      <c r="L553" t="n">
        <v>159200</v>
      </c>
      <c r="M553" t="n">
        <v>199000</v>
      </c>
      <c r="N553" t="n">
        <v>91</v>
      </c>
      <c r="O553" t="n">
        <v>0.91</v>
      </c>
      <c r="P553" t="n">
        <v>1</v>
      </c>
      <c r="Q553" t="n">
        <v>0.05</v>
      </c>
      <c r="R553" t="n">
        <v>1</v>
      </c>
      <c r="S553" t="n">
        <v>12676.3</v>
      </c>
      <c r="T553" t="n">
        <v>19</v>
      </c>
      <c r="U553" t="n">
        <v>20</v>
      </c>
      <c r="V553" t="n">
        <v>30</v>
      </c>
      <c r="W553" t="n">
        <v>2</v>
      </c>
      <c r="X553" t="n">
        <v>78.49293563579278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3778</v>
      </c>
      <c r="AG553" t="n">
        <v>1</v>
      </c>
      <c r="AH553" t="inlineStr">
        <is>
          <t>PT. BERSAMA DISTRIVERSA INDONESIA (DC CIPUTAT)</t>
        </is>
      </c>
      <c r="AI553" t="n">
        <v>46</v>
      </c>
      <c r="AJ553" t="inlineStr">
        <is>
          <t>BLP</t>
        </is>
      </c>
      <c r="AK553" t="n">
        <v>21</v>
      </c>
      <c r="AL553" t="inlineStr">
        <is>
          <t>Miss Glam Damar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BLP</t>
        </is>
      </c>
      <c r="B554" s="2">
        <f>"20200468412"</f>
        <v/>
      </c>
      <c r="C554" t="inlineStr">
        <is>
          <t>BLP Dream Brow Dark Brown</t>
        </is>
      </c>
      <c r="D554" t="inlineStr">
        <is>
          <t>Miss Glam Damar</t>
        </is>
      </c>
      <c r="E554" t="n">
        <v>4</v>
      </c>
      <c r="F554" t="n">
        <v>0.02</v>
      </c>
      <c r="G554" t="n">
        <v>1</v>
      </c>
      <c r="H554" t="n">
        <v>4</v>
      </c>
      <c r="I554" t="n">
        <v>21</v>
      </c>
      <c r="J554" t="n">
        <v>1</v>
      </c>
      <c r="K554" t="n">
        <v>0</v>
      </c>
      <c r="L554" t="n">
        <v>87200</v>
      </c>
      <c r="M554" t="n">
        <v>109000</v>
      </c>
      <c r="N554" t="n">
        <v>91</v>
      </c>
      <c r="O554" t="n">
        <v>0.91</v>
      </c>
      <c r="P554" t="n">
        <v>0</v>
      </c>
      <c r="Q554" t="n">
        <v>0.02</v>
      </c>
      <c r="R554" t="n">
        <v>1</v>
      </c>
      <c r="S554" t="n">
        <v>2180</v>
      </c>
      <c r="T554" t="n">
        <v>21</v>
      </c>
      <c r="U554" t="n">
        <v>22</v>
      </c>
      <c r="V554" t="n">
        <v>30</v>
      </c>
      <c r="W554" t="n">
        <v>1</v>
      </c>
      <c r="X554" t="n">
        <v>200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3778</v>
      </c>
      <c r="AG554" t="n">
        <v>1</v>
      </c>
      <c r="AH554" t="inlineStr">
        <is>
          <t>PT. BERSAMA DISTRIVERSA INDONESIA (DC CIPUTAT)</t>
        </is>
      </c>
      <c r="AI554" t="n">
        <v>46</v>
      </c>
      <c r="AJ554" t="inlineStr">
        <is>
          <t>BLP</t>
        </is>
      </c>
      <c r="AK554" t="n">
        <v>21</v>
      </c>
      <c r="AL554" t="inlineStr">
        <is>
          <t>Miss Glam Damar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BLP</t>
        </is>
      </c>
      <c r="B555" s="2">
        <f>"304001105630"</f>
        <v/>
      </c>
      <c r="C555" t="inlineStr">
        <is>
          <t>BLP Everyday Hug de Parfum EDP 50ml</t>
        </is>
      </c>
      <c r="D555" t="inlineStr">
        <is>
          <t>Miss Glam Damar</t>
        </is>
      </c>
      <c r="E555" t="n">
        <v>5</v>
      </c>
      <c r="F555" t="n">
        <v>0.02</v>
      </c>
      <c r="G555" t="n">
        <v>1</v>
      </c>
      <c r="H555" t="n">
        <v>4</v>
      </c>
      <c r="I555" t="n">
        <v>21</v>
      </c>
      <c r="J555" t="n">
        <v>1</v>
      </c>
      <c r="K555" t="n">
        <v>0</v>
      </c>
      <c r="L555" t="n">
        <v>223253</v>
      </c>
      <c r="M555" t="n">
        <v>285000</v>
      </c>
      <c r="N555" t="n">
        <v>91</v>
      </c>
      <c r="O555" t="n">
        <v>0.91</v>
      </c>
      <c r="P555" t="n">
        <v>0</v>
      </c>
      <c r="Q555" t="n">
        <v>0.02</v>
      </c>
      <c r="R555" t="n">
        <v>1</v>
      </c>
      <c r="S555" t="n">
        <v>5700</v>
      </c>
      <c r="T555" t="n">
        <v>21</v>
      </c>
      <c r="U555" t="n">
        <v>22</v>
      </c>
      <c r="V555" t="n">
        <v>30</v>
      </c>
      <c r="W555" t="n">
        <v>1</v>
      </c>
      <c r="X555" t="n">
        <v>250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3778</v>
      </c>
      <c r="AG555" t="n">
        <v>1</v>
      </c>
      <c r="AH555" t="inlineStr">
        <is>
          <t>PT. BERSAMA DISTRIVERSA INDONESIA (DC CIPUTAT)</t>
        </is>
      </c>
      <c r="AI555" t="n">
        <v>46</v>
      </c>
      <c r="AJ555" t="inlineStr">
        <is>
          <t>BLP</t>
        </is>
      </c>
      <c r="AK555" t="n">
        <v>21</v>
      </c>
      <c r="AL555" t="inlineStr">
        <is>
          <t>Miss Glam Damar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BLP</t>
        </is>
      </c>
      <c r="B556" s="2">
        <f>"8997219430389"</f>
        <v/>
      </c>
      <c r="C556" t="inlineStr">
        <is>
          <t>BLP Eye Definer Noir</t>
        </is>
      </c>
      <c r="D556" t="inlineStr">
        <is>
          <t>Miss Glam Damar</t>
        </is>
      </c>
      <c r="E556" t="n">
        <v>11</v>
      </c>
      <c r="F556" t="n">
        <v>0.0182</v>
      </c>
      <c r="G556" t="n">
        <v>0.91</v>
      </c>
      <c r="H556" t="n">
        <v>4</v>
      </c>
      <c r="I556" t="n">
        <v>21</v>
      </c>
      <c r="J556" t="n">
        <v>3</v>
      </c>
      <c r="K556" t="n">
        <v>0</v>
      </c>
      <c r="L556" t="n">
        <v>84203</v>
      </c>
      <c r="M556" t="n">
        <v>109000</v>
      </c>
      <c r="N556" t="n">
        <v>91</v>
      </c>
      <c r="O556" t="n">
        <v>0.91</v>
      </c>
      <c r="P556" t="n">
        <v>1</v>
      </c>
      <c r="Q556" t="n">
        <v>0.05</v>
      </c>
      <c r="R556" t="n">
        <v>1</v>
      </c>
      <c r="S556" t="n">
        <v>1983.8</v>
      </c>
      <c r="T556" t="n">
        <v>20</v>
      </c>
      <c r="U556" t="n">
        <v>21</v>
      </c>
      <c r="V556" t="n">
        <v>30</v>
      </c>
      <c r="W556" t="n">
        <v>1</v>
      </c>
      <c r="X556" t="n">
        <v>604.3956043956043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3778</v>
      </c>
      <c r="AG556" t="n">
        <v>1</v>
      </c>
      <c r="AH556" t="inlineStr">
        <is>
          <t>PT. BERSAMA DISTRIVERSA INDONESIA (DC CIPUTAT)</t>
        </is>
      </c>
      <c r="AI556" t="n">
        <v>46</v>
      </c>
      <c r="AJ556" t="inlineStr">
        <is>
          <t>BLP</t>
        </is>
      </c>
      <c r="AK556" t="n">
        <v>21</v>
      </c>
      <c r="AL556" t="inlineStr">
        <is>
          <t>Miss Glam Damar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BLP</t>
        </is>
      </c>
      <c r="B557" s="2">
        <f>"8997219433960"</f>
        <v/>
      </c>
      <c r="C557" t="inlineStr">
        <is>
          <t>BLP Eyeshadow Pocket 1987</t>
        </is>
      </c>
      <c r="D557" t="inlineStr">
        <is>
          <t>Miss Glam Damar</t>
        </is>
      </c>
      <c r="E557" t="n">
        <v>8</v>
      </c>
      <c r="F557" t="n">
        <v>0.04550000000000001</v>
      </c>
      <c r="G557" t="n">
        <v>0.91</v>
      </c>
      <c r="H557" t="n">
        <v>4</v>
      </c>
      <c r="I557" t="n">
        <v>21</v>
      </c>
      <c r="J557" t="n">
        <v>3</v>
      </c>
      <c r="K557" t="n">
        <v>0</v>
      </c>
      <c r="L557" t="n">
        <v>103200</v>
      </c>
      <c r="M557" t="n">
        <v>129000</v>
      </c>
      <c r="N557" t="n">
        <v>91</v>
      </c>
      <c r="O557" t="n">
        <v>0.91</v>
      </c>
      <c r="P557" t="n">
        <v>1</v>
      </c>
      <c r="Q557" t="n">
        <v>0.08</v>
      </c>
      <c r="R557" t="n">
        <v>1</v>
      </c>
      <c r="S557" t="n">
        <v>5869.500000000001</v>
      </c>
      <c r="T557" t="n">
        <v>19</v>
      </c>
      <c r="U557" t="n">
        <v>20</v>
      </c>
      <c r="V557" t="n">
        <v>30</v>
      </c>
      <c r="W557" t="n">
        <v>2</v>
      </c>
      <c r="X557" t="n">
        <v>175.8241758241758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3778</v>
      </c>
      <c r="AG557" t="n">
        <v>1</v>
      </c>
      <c r="AH557" t="inlineStr">
        <is>
          <t>PT. BERSAMA DISTRIVERSA INDONESIA (DC CIPUTAT)</t>
        </is>
      </c>
      <c r="AI557" t="n">
        <v>46</v>
      </c>
      <c r="AJ557" t="inlineStr">
        <is>
          <t>BLP</t>
        </is>
      </c>
      <c r="AK557" t="n">
        <v>21</v>
      </c>
      <c r="AL557" t="inlineStr">
        <is>
          <t>Miss Glam Damar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BLP</t>
        </is>
      </c>
      <c r="B558" s="2">
        <f>"8997219433977"</f>
        <v/>
      </c>
      <c r="C558" t="inlineStr">
        <is>
          <t>BLP Eyeshadow Pocket 1989</t>
        </is>
      </c>
      <c r="D558" t="inlineStr">
        <is>
          <t>Miss Glam Damar</t>
        </is>
      </c>
      <c r="E558" t="n">
        <v>6</v>
      </c>
      <c r="F558" t="n">
        <v>0.06370000000000001</v>
      </c>
      <c r="G558" t="n">
        <v>0.91</v>
      </c>
      <c r="H558" t="n">
        <v>4</v>
      </c>
      <c r="I558" t="n">
        <v>21</v>
      </c>
      <c r="J558" t="n">
        <v>3</v>
      </c>
      <c r="K558" t="n">
        <v>0</v>
      </c>
      <c r="L558" t="n">
        <v>103200</v>
      </c>
      <c r="M558" t="n">
        <v>129000</v>
      </c>
      <c r="N558" t="n">
        <v>91</v>
      </c>
      <c r="O558" t="n">
        <v>0.91</v>
      </c>
      <c r="P558" t="n">
        <v>1</v>
      </c>
      <c r="Q558" t="n">
        <v>0.08</v>
      </c>
      <c r="R558" t="n">
        <v>1</v>
      </c>
      <c r="S558" t="n">
        <v>8217.300000000001</v>
      </c>
      <c r="T558" t="n">
        <v>19</v>
      </c>
      <c r="U558" t="n">
        <v>20</v>
      </c>
      <c r="V558" t="n">
        <v>30</v>
      </c>
      <c r="W558" t="n">
        <v>2</v>
      </c>
      <c r="X558" t="n">
        <v>94.19152276295132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3778</v>
      </c>
      <c r="AG558" t="n">
        <v>1</v>
      </c>
      <c r="AH558" t="inlineStr">
        <is>
          <t>PT. BERSAMA DISTRIVERSA INDONESIA (DC CIPUTAT)</t>
        </is>
      </c>
      <c r="AI558" t="n">
        <v>46</v>
      </c>
      <c r="AJ558" t="inlineStr">
        <is>
          <t>BLP</t>
        </is>
      </c>
      <c r="AK558" t="n">
        <v>21</v>
      </c>
      <c r="AL558" t="inlineStr">
        <is>
          <t>Miss Glam Damar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BLP</t>
        </is>
      </c>
      <c r="B559" s="2">
        <f>"8997219430808"</f>
        <v/>
      </c>
      <c r="C559" t="inlineStr">
        <is>
          <t>BLP Face Base Beige N20 33ml</t>
        </is>
      </c>
      <c r="D559" t="inlineStr">
        <is>
          <t>Miss Glam Damar</t>
        </is>
      </c>
      <c r="E559" t="n">
        <v>3</v>
      </c>
      <c r="F559" t="n">
        <v>0.02</v>
      </c>
      <c r="G559" t="n">
        <v>1</v>
      </c>
      <c r="H559" t="n">
        <v>4</v>
      </c>
      <c r="I559" t="n">
        <v>21</v>
      </c>
      <c r="J559" t="n">
        <v>3</v>
      </c>
      <c r="K559" t="n">
        <v>0</v>
      </c>
      <c r="L559" t="n">
        <v>159200</v>
      </c>
      <c r="M559" t="n">
        <v>199000</v>
      </c>
      <c r="N559" t="n">
        <v>91</v>
      </c>
      <c r="O559" t="n">
        <v>0.91</v>
      </c>
      <c r="P559" t="n">
        <v>0</v>
      </c>
      <c r="Q559" t="n">
        <v>0.02</v>
      </c>
      <c r="R559" t="n">
        <v>1</v>
      </c>
      <c r="S559" t="n">
        <v>3980</v>
      </c>
      <c r="T559" t="n">
        <v>21</v>
      </c>
      <c r="U559" t="n">
        <v>22</v>
      </c>
      <c r="V559" t="n">
        <v>30</v>
      </c>
      <c r="W559" t="n">
        <v>1</v>
      </c>
      <c r="X559" t="n">
        <v>150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3778</v>
      </c>
      <c r="AG559" t="n">
        <v>1</v>
      </c>
      <c r="AH559" t="inlineStr">
        <is>
          <t>PT. BERSAMA DISTRIVERSA INDONESIA (DC CIPUTAT)</t>
        </is>
      </c>
      <c r="AI559" t="n">
        <v>46</v>
      </c>
      <c r="AJ559" t="inlineStr">
        <is>
          <t>BLP</t>
        </is>
      </c>
      <c r="AK559" t="n">
        <v>21</v>
      </c>
      <c r="AL559" t="inlineStr">
        <is>
          <t>Miss Glam Damar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BLP</t>
        </is>
      </c>
      <c r="B560" s="2">
        <f>"8997219431270"</f>
        <v/>
      </c>
      <c r="C560" t="inlineStr">
        <is>
          <t>BLP Face Base Ivory 33ml</t>
        </is>
      </c>
      <c r="D560" t="inlineStr">
        <is>
          <t>Miss Glam Damar</t>
        </is>
      </c>
      <c r="E560" t="n">
        <v>0</v>
      </c>
      <c r="F560" t="n">
        <v>0.0273</v>
      </c>
      <c r="G560" t="n">
        <v>0.91</v>
      </c>
      <c r="H560" t="n">
        <v>4</v>
      </c>
      <c r="I560" t="n">
        <v>21</v>
      </c>
      <c r="J560" t="n">
        <v>3</v>
      </c>
      <c r="K560" t="n">
        <v>0</v>
      </c>
      <c r="L560" t="n">
        <v>159200</v>
      </c>
      <c r="M560" t="n">
        <v>199000</v>
      </c>
      <c r="N560" t="n">
        <v>91</v>
      </c>
      <c r="O560" t="n">
        <v>0.91</v>
      </c>
      <c r="P560" t="n">
        <v>1</v>
      </c>
      <c r="Q560" t="n">
        <v>0.04</v>
      </c>
      <c r="R560" t="n">
        <v>1</v>
      </c>
      <c r="S560" t="n">
        <v>5432.7</v>
      </c>
      <c r="T560" t="n">
        <v>20</v>
      </c>
      <c r="U560" t="n">
        <v>21</v>
      </c>
      <c r="V560" t="n">
        <v>30</v>
      </c>
      <c r="W560" t="n">
        <v>1</v>
      </c>
      <c r="X560" t="n">
        <v>0</v>
      </c>
      <c r="Y560" t="n">
        <v>1</v>
      </c>
      <c r="Z560" t="n">
        <v>1</v>
      </c>
      <c r="AA560" t="n">
        <v>1</v>
      </c>
      <c r="AB560" t="n">
        <v>0</v>
      </c>
      <c r="AC560" t="n">
        <v>0</v>
      </c>
      <c r="AD560" t="n">
        <v>159200</v>
      </c>
      <c r="AE560" t="n">
        <v>0</v>
      </c>
      <c r="AF560" t="n">
        <v>3778</v>
      </c>
      <c r="AG560" t="n">
        <v>1</v>
      </c>
      <c r="AH560" t="inlineStr">
        <is>
          <t>PT. BERSAMA DISTRIVERSA INDONESIA (DC CIPUTAT)</t>
        </is>
      </c>
      <c r="AI560" t="n">
        <v>46</v>
      </c>
      <c r="AJ560" t="inlineStr">
        <is>
          <t>BLP</t>
        </is>
      </c>
      <c r="AK560" t="n">
        <v>21</v>
      </c>
      <c r="AL560" t="inlineStr">
        <is>
          <t>Miss Glam Damar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BLP</t>
        </is>
      </c>
      <c r="B561" s="2">
        <f>"8997219431034"</f>
        <v/>
      </c>
      <c r="C561" t="inlineStr">
        <is>
          <t>BLP Face Concealer Honey 5gr</t>
        </is>
      </c>
      <c r="D561" t="inlineStr">
        <is>
          <t>Miss Glam Damar</t>
        </is>
      </c>
      <c r="E561" t="n">
        <v>5</v>
      </c>
      <c r="F561" t="n">
        <v>0.02</v>
      </c>
      <c r="G561" t="n">
        <v>1</v>
      </c>
      <c r="H561" t="n">
        <v>4</v>
      </c>
      <c r="I561" t="n">
        <v>21</v>
      </c>
      <c r="J561" t="n">
        <v>3</v>
      </c>
      <c r="K561" t="n">
        <v>0</v>
      </c>
      <c r="L561" t="n">
        <v>114800</v>
      </c>
      <c r="M561" t="n">
        <v>145000</v>
      </c>
      <c r="N561" t="n">
        <v>91</v>
      </c>
      <c r="O561" t="n">
        <v>0.91</v>
      </c>
      <c r="P561" t="n">
        <v>0</v>
      </c>
      <c r="Q561" t="n">
        <v>0.02</v>
      </c>
      <c r="R561" t="n">
        <v>1</v>
      </c>
      <c r="S561" t="n">
        <v>2900</v>
      </c>
      <c r="T561" t="n">
        <v>21</v>
      </c>
      <c r="U561" t="n">
        <v>22</v>
      </c>
      <c r="V561" t="n">
        <v>30</v>
      </c>
      <c r="W561" t="n">
        <v>1</v>
      </c>
      <c r="X561" t="n">
        <v>250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3778</v>
      </c>
      <c r="AG561" t="n">
        <v>1</v>
      </c>
      <c r="AH561" t="inlineStr">
        <is>
          <t>PT. BERSAMA DISTRIVERSA INDONESIA (DC CIPUTAT)</t>
        </is>
      </c>
      <c r="AI561" t="n">
        <v>46</v>
      </c>
      <c r="AJ561" t="inlineStr">
        <is>
          <t>BLP</t>
        </is>
      </c>
      <c r="AK561" t="n">
        <v>21</v>
      </c>
      <c r="AL561" t="inlineStr">
        <is>
          <t>Miss Glam Damar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BLP</t>
        </is>
      </c>
      <c r="B562" s="2">
        <f>"8997219431010"</f>
        <v/>
      </c>
      <c r="C562" t="inlineStr">
        <is>
          <t>BLP Face Concealer Light 5gr</t>
        </is>
      </c>
      <c r="D562" t="inlineStr">
        <is>
          <t>Miss Glam Damar</t>
        </is>
      </c>
      <c r="E562" t="n">
        <v>6</v>
      </c>
      <c r="F562" t="n">
        <v>0.03</v>
      </c>
      <c r="G562" t="n">
        <v>1</v>
      </c>
      <c r="H562" t="n">
        <v>4</v>
      </c>
      <c r="I562" t="n">
        <v>21</v>
      </c>
      <c r="J562" t="n">
        <v>3</v>
      </c>
      <c r="K562" t="n">
        <v>0</v>
      </c>
      <c r="L562" t="n">
        <v>116000</v>
      </c>
      <c r="M562" t="n">
        <v>145000</v>
      </c>
      <c r="N562" t="n">
        <v>91</v>
      </c>
      <c r="O562" t="n">
        <v>0.91</v>
      </c>
      <c r="P562" t="n">
        <v>0</v>
      </c>
      <c r="Q562" t="n">
        <v>0.03</v>
      </c>
      <c r="R562" t="n">
        <v>1</v>
      </c>
      <c r="S562" t="n">
        <v>4350</v>
      </c>
      <c r="T562" t="n">
        <v>21</v>
      </c>
      <c r="U562" t="n">
        <v>22</v>
      </c>
      <c r="V562" t="n">
        <v>30</v>
      </c>
      <c r="W562" t="n">
        <v>1</v>
      </c>
      <c r="X562" t="n">
        <v>200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3778</v>
      </c>
      <c r="AG562" t="n">
        <v>1</v>
      </c>
      <c r="AH562" t="inlineStr">
        <is>
          <t>PT. BERSAMA DISTRIVERSA INDONESIA (DC CIPUTAT)</t>
        </is>
      </c>
      <c r="AI562" t="n">
        <v>46</v>
      </c>
      <c r="AJ562" t="inlineStr">
        <is>
          <t>BLP</t>
        </is>
      </c>
      <c r="AK562" t="n">
        <v>21</v>
      </c>
      <c r="AL562" t="inlineStr">
        <is>
          <t>Miss Glam Damar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BLP</t>
        </is>
      </c>
      <c r="B563" s="2">
        <f>"8997219431027"</f>
        <v/>
      </c>
      <c r="C563" t="inlineStr">
        <is>
          <t>BLP Face Concealer Medium 5gr</t>
        </is>
      </c>
      <c r="D563" t="inlineStr">
        <is>
          <t>Miss Glam Damar</t>
        </is>
      </c>
      <c r="E563" t="n">
        <v>7</v>
      </c>
      <c r="F563" t="n">
        <v>0.0273</v>
      </c>
      <c r="G563" t="n">
        <v>0.91</v>
      </c>
      <c r="H563" t="n">
        <v>4</v>
      </c>
      <c r="I563" t="n">
        <v>21</v>
      </c>
      <c r="J563" t="n">
        <v>3</v>
      </c>
      <c r="K563" t="n">
        <v>0</v>
      </c>
      <c r="L563" t="n">
        <v>116000</v>
      </c>
      <c r="M563" t="n">
        <v>145000</v>
      </c>
      <c r="N563" t="n">
        <v>91</v>
      </c>
      <c r="O563" t="n">
        <v>0.91</v>
      </c>
      <c r="P563" t="n">
        <v>1</v>
      </c>
      <c r="Q563" t="n">
        <v>0.02</v>
      </c>
      <c r="R563" t="n">
        <v>1</v>
      </c>
      <c r="S563" t="n">
        <v>3958.5</v>
      </c>
      <c r="T563" t="n">
        <v>20</v>
      </c>
      <c r="U563" t="n">
        <v>21</v>
      </c>
      <c r="V563" t="n">
        <v>30</v>
      </c>
      <c r="W563" t="n">
        <v>1</v>
      </c>
      <c r="X563" t="n">
        <v>256.4102564102564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3778</v>
      </c>
      <c r="AG563" t="n">
        <v>1</v>
      </c>
      <c r="AH563" t="inlineStr">
        <is>
          <t>PT. BERSAMA DISTRIVERSA INDONESIA (DC CIPUTAT)</t>
        </is>
      </c>
      <c r="AI563" t="n">
        <v>46</v>
      </c>
      <c r="AJ563" t="inlineStr">
        <is>
          <t>BLP</t>
        </is>
      </c>
      <c r="AK563" t="n">
        <v>21</v>
      </c>
      <c r="AL563" t="inlineStr">
        <is>
          <t>Miss Glam Damar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BLP</t>
        </is>
      </c>
      <c r="B564" s="2">
        <f>"20101114829"</f>
        <v/>
      </c>
      <c r="C564" t="inlineStr">
        <is>
          <t>BLP Face Glow Picnic 4,5 gr</t>
        </is>
      </c>
      <c r="D564" t="inlineStr">
        <is>
          <t>Miss Glam Damar</t>
        </is>
      </c>
      <c r="E564" t="n">
        <v>4</v>
      </c>
      <c r="F564" t="n">
        <v>0.0728</v>
      </c>
      <c r="G564" t="n">
        <v>0.91</v>
      </c>
      <c r="H564" t="n">
        <v>4</v>
      </c>
      <c r="I564" t="n">
        <v>21</v>
      </c>
      <c r="J564" t="n">
        <v>1</v>
      </c>
      <c r="K564" t="n">
        <v>0</v>
      </c>
      <c r="L564" t="n">
        <v>90814</v>
      </c>
      <c r="M564" t="n">
        <v>115000</v>
      </c>
      <c r="N564" t="n">
        <v>91</v>
      </c>
      <c r="O564" t="n">
        <v>0.91</v>
      </c>
      <c r="P564" t="n">
        <v>1</v>
      </c>
      <c r="Q564" t="n">
        <v>0.08</v>
      </c>
      <c r="R564" t="n">
        <v>1</v>
      </c>
      <c r="S564" t="n">
        <v>8372</v>
      </c>
      <c r="T564" t="n">
        <v>19</v>
      </c>
      <c r="U564" t="n">
        <v>20</v>
      </c>
      <c r="V564" t="n">
        <v>30</v>
      </c>
      <c r="W564" t="n">
        <v>3</v>
      </c>
      <c r="X564" t="n">
        <v>54.94505494505494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3778</v>
      </c>
      <c r="AG564" t="n">
        <v>1</v>
      </c>
      <c r="AH564" t="inlineStr">
        <is>
          <t>PT. BERSAMA DISTRIVERSA INDONESIA (DC CIPUTAT)</t>
        </is>
      </c>
      <c r="AI564" t="n">
        <v>46</v>
      </c>
      <c r="AJ564" t="inlineStr">
        <is>
          <t>BLP</t>
        </is>
      </c>
      <c r="AK564" t="n">
        <v>21</v>
      </c>
      <c r="AL564" t="inlineStr">
        <is>
          <t>Miss Glam Damar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BLP</t>
        </is>
      </c>
      <c r="B565" s="2">
        <f>"20101114844"</f>
        <v/>
      </c>
      <c r="C565" t="inlineStr">
        <is>
          <t>BLP Face Glow Sunset 4,5 gr</t>
        </is>
      </c>
      <c r="D565" t="inlineStr">
        <is>
          <t>Miss Glam Damar</t>
        </is>
      </c>
      <c r="E565" t="n">
        <v>5</v>
      </c>
      <c r="F565" t="n">
        <v>0.0273</v>
      </c>
      <c r="G565" t="n">
        <v>0.91</v>
      </c>
      <c r="H565" t="n">
        <v>4</v>
      </c>
      <c r="I565" t="n">
        <v>21</v>
      </c>
      <c r="J565" t="n">
        <v>1</v>
      </c>
      <c r="K565" t="n">
        <v>0</v>
      </c>
      <c r="L565" t="n">
        <v>92000</v>
      </c>
      <c r="M565" t="n">
        <v>115000</v>
      </c>
      <c r="N565" t="n">
        <v>91</v>
      </c>
      <c r="O565" t="n">
        <v>0.91</v>
      </c>
      <c r="P565" t="n">
        <v>1</v>
      </c>
      <c r="Q565" t="n">
        <v>0.02</v>
      </c>
      <c r="R565" t="n">
        <v>1</v>
      </c>
      <c r="S565" t="n">
        <v>3139.5</v>
      </c>
      <c r="T565" t="n">
        <v>20</v>
      </c>
      <c r="U565" t="n">
        <v>21</v>
      </c>
      <c r="V565" t="n">
        <v>30</v>
      </c>
      <c r="W565" t="n">
        <v>1</v>
      </c>
      <c r="X565" t="n">
        <v>183.1501831501832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3778</v>
      </c>
      <c r="AG565" t="n">
        <v>1</v>
      </c>
      <c r="AH565" t="inlineStr">
        <is>
          <t>PT. BERSAMA DISTRIVERSA INDONESIA (DC CIPUTAT)</t>
        </is>
      </c>
      <c r="AI565" t="n">
        <v>46</v>
      </c>
      <c r="AJ565" t="inlineStr">
        <is>
          <t>BLP</t>
        </is>
      </c>
      <c r="AK565" t="n">
        <v>21</v>
      </c>
      <c r="AL565" t="inlineStr">
        <is>
          <t>Miss Glam Damar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BLP</t>
        </is>
      </c>
      <c r="B566" s="2">
        <f>"20101114856"</f>
        <v/>
      </c>
      <c r="C566" t="inlineStr">
        <is>
          <t>BLP Face Glow Watermelon 4,5 gr</t>
        </is>
      </c>
      <c r="D566" t="inlineStr">
        <is>
          <t>Miss Glam Damar</t>
        </is>
      </c>
      <c r="E566" t="n">
        <v>7</v>
      </c>
      <c r="F566" t="n">
        <v>0.07000000000000001</v>
      </c>
      <c r="G566" t="n">
        <v>1</v>
      </c>
      <c r="H566" t="n">
        <v>4</v>
      </c>
      <c r="I566" t="n">
        <v>21</v>
      </c>
      <c r="J566" t="n">
        <v>1</v>
      </c>
      <c r="K566" t="n">
        <v>0</v>
      </c>
      <c r="L566" t="n">
        <v>90567</v>
      </c>
      <c r="M566" t="n">
        <v>115000</v>
      </c>
      <c r="N566" t="n">
        <v>91</v>
      </c>
      <c r="O566" t="n">
        <v>0.91</v>
      </c>
      <c r="P566" t="n">
        <v>0</v>
      </c>
      <c r="Q566" t="n">
        <v>0.07000000000000001</v>
      </c>
      <c r="R566" t="n">
        <v>1</v>
      </c>
      <c r="S566" t="n">
        <v>8050.000000000001</v>
      </c>
      <c r="T566" t="n">
        <v>21</v>
      </c>
      <c r="U566" t="n">
        <v>22</v>
      </c>
      <c r="V566" t="n">
        <v>30</v>
      </c>
      <c r="W566" t="n">
        <v>3</v>
      </c>
      <c r="X566" t="n">
        <v>99.99999999999999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3778</v>
      </c>
      <c r="AG566" t="n">
        <v>1</v>
      </c>
      <c r="AH566" t="inlineStr">
        <is>
          <t>PT. BERSAMA DISTRIVERSA INDONESIA (DC CIPUTAT)</t>
        </is>
      </c>
      <c r="AI566" t="n">
        <v>46</v>
      </c>
      <c r="AJ566" t="inlineStr">
        <is>
          <t>BLP</t>
        </is>
      </c>
      <c r="AK566" t="n">
        <v>21</v>
      </c>
      <c r="AL566" t="inlineStr">
        <is>
          <t>Miss Glam Damar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BLP</t>
        </is>
      </c>
      <c r="B567" s="2">
        <f>"8997219430723"</f>
        <v/>
      </c>
      <c r="C567" t="inlineStr">
        <is>
          <t>BLP Face Powder Beige 10gr</t>
        </is>
      </c>
      <c r="D567" t="inlineStr">
        <is>
          <t>Miss Glam Damar</t>
        </is>
      </c>
      <c r="E567" t="n">
        <v>4</v>
      </c>
      <c r="F567" t="n">
        <v>0.0728</v>
      </c>
      <c r="G567" t="n">
        <v>0.91</v>
      </c>
      <c r="H567" t="n">
        <v>4</v>
      </c>
      <c r="I567" t="n">
        <v>21</v>
      </c>
      <c r="J567" t="n">
        <v>3</v>
      </c>
      <c r="K567" t="n">
        <v>0</v>
      </c>
      <c r="L567" t="n">
        <v>123921</v>
      </c>
      <c r="M567" t="n">
        <v>159000</v>
      </c>
      <c r="N567" t="n">
        <v>91</v>
      </c>
      <c r="O567" t="n">
        <v>0.91</v>
      </c>
      <c r="P567" t="n">
        <v>1</v>
      </c>
      <c r="Q567" t="n">
        <v>0.1</v>
      </c>
      <c r="R567" t="n">
        <v>2</v>
      </c>
      <c r="S567" t="n">
        <v>11575.2</v>
      </c>
      <c r="T567" t="n">
        <v>19</v>
      </c>
      <c r="U567" t="n">
        <v>20</v>
      </c>
      <c r="V567" t="n">
        <v>30</v>
      </c>
      <c r="W567" t="n">
        <v>3</v>
      </c>
      <c r="X567" t="n">
        <v>54.94505494505494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3778</v>
      </c>
      <c r="AG567" t="n">
        <v>1</v>
      </c>
      <c r="AH567" t="inlineStr">
        <is>
          <t>PT. BERSAMA DISTRIVERSA INDONESIA (DC CIPUTAT)</t>
        </is>
      </c>
      <c r="AI567" t="n">
        <v>46</v>
      </c>
      <c r="AJ567" t="inlineStr">
        <is>
          <t>BLP</t>
        </is>
      </c>
      <c r="AK567" t="n">
        <v>21</v>
      </c>
      <c r="AL567" t="inlineStr">
        <is>
          <t>Miss Glam Damar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BLP</t>
        </is>
      </c>
      <c r="B568" s="2">
        <f>"8997219430273"</f>
        <v/>
      </c>
      <c r="C568" t="inlineStr">
        <is>
          <t>BLP Face Powder Light Beige 10gr</t>
        </is>
      </c>
      <c r="D568" t="inlineStr">
        <is>
          <t>Miss Glam Damar</t>
        </is>
      </c>
      <c r="E568" t="n">
        <v>5</v>
      </c>
      <c r="F568" t="n">
        <v>0.03</v>
      </c>
      <c r="G568" t="n">
        <v>1</v>
      </c>
      <c r="H568" t="n">
        <v>4</v>
      </c>
      <c r="I568" t="n">
        <v>21</v>
      </c>
      <c r="J568" t="n">
        <v>3</v>
      </c>
      <c r="K568" t="n">
        <v>0</v>
      </c>
      <c r="L568" t="n">
        <v>127200</v>
      </c>
      <c r="M568" t="n">
        <v>159000</v>
      </c>
      <c r="N568" t="n">
        <v>91</v>
      </c>
      <c r="O568" t="n">
        <v>0.91</v>
      </c>
      <c r="P568" t="n">
        <v>0</v>
      </c>
      <c r="Q568" t="n">
        <v>0.03</v>
      </c>
      <c r="R568" t="n">
        <v>1</v>
      </c>
      <c r="S568" t="n">
        <v>4770</v>
      </c>
      <c r="T568" t="n">
        <v>21</v>
      </c>
      <c r="U568" t="n">
        <v>22</v>
      </c>
      <c r="V568" t="n">
        <v>30</v>
      </c>
      <c r="W568" t="n">
        <v>1</v>
      </c>
      <c r="X568" t="n">
        <v>166.6666666666667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3778</v>
      </c>
      <c r="AG568" t="n">
        <v>1</v>
      </c>
      <c r="AH568" t="inlineStr">
        <is>
          <t>PT. BERSAMA DISTRIVERSA INDONESIA (DC CIPUTAT)</t>
        </is>
      </c>
      <c r="AI568" t="n">
        <v>46</v>
      </c>
      <c r="AJ568" t="inlineStr">
        <is>
          <t>BLP</t>
        </is>
      </c>
      <c r="AK568" t="n">
        <v>21</v>
      </c>
      <c r="AL568" t="inlineStr">
        <is>
          <t>Miss Glam Damar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BLP</t>
        </is>
      </c>
      <c r="B569" s="2">
        <f>"8997219430280"</f>
        <v/>
      </c>
      <c r="C569" t="inlineStr">
        <is>
          <t>BLP Face Powder Medium Beige 10gr</t>
        </is>
      </c>
      <c r="D569" t="inlineStr">
        <is>
          <t>Miss Glam Damar</t>
        </is>
      </c>
      <c r="E569" t="n">
        <v>4</v>
      </c>
      <c r="F569" t="n">
        <v>0.02</v>
      </c>
      <c r="G569" t="n">
        <v>1</v>
      </c>
      <c r="H569" t="n">
        <v>4</v>
      </c>
      <c r="I569" t="n">
        <v>21</v>
      </c>
      <c r="J569" t="n">
        <v>3</v>
      </c>
      <c r="K569" t="n">
        <v>0</v>
      </c>
      <c r="L569" t="n">
        <v>123921</v>
      </c>
      <c r="M569" t="n">
        <v>159000</v>
      </c>
      <c r="N569" t="n">
        <v>91</v>
      </c>
      <c r="O569" t="n">
        <v>0.91</v>
      </c>
      <c r="P569" t="n">
        <v>0</v>
      </c>
      <c r="Q569" t="n">
        <v>0.02</v>
      </c>
      <c r="R569" t="n">
        <v>1</v>
      </c>
      <c r="S569" t="n">
        <v>3180</v>
      </c>
      <c r="T569" t="n">
        <v>21</v>
      </c>
      <c r="U569" t="n">
        <v>22</v>
      </c>
      <c r="V569" t="n">
        <v>30</v>
      </c>
      <c r="W569" t="n">
        <v>1</v>
      </c>
      <c r="X569" t="n">
        <v>200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3778</v>
      </c>
      <c r="AG569" t="n">
        <v>1</v>
      </c>
      <c r="AH569" t="inlineStr">
        <is>
          <t>PT. BERSAMA DISTRIVERSA INDONESIA (DC CIPUTAT)</t>
        </is>
      </c>
      <c r="AI569" t="n">
        <v>46</v>
      </c>
      <c r="AJ569" t="inlineStr">
        <is>
          <t>BLP</t>
        </is>
      </c>
      <c r="AK569" t="n">
        <v>21</v>
      </c>
      <c r="AL569" t="inlineStr">
        <is>
          <t>Miss Glam Damar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BLP</t>
        </is>
      </c>
      <c r="B570" s="2">
        <f>"20101115127"</f>
        <v/>
      </c>
      <c r="C570" t="inlineStr">
        <is>
          <t>BLP Highlighter Stardust Glow 3 gr</t>
        </is>
      </c>
      <c r="D570" t="inlineStr">
        <is>
          <t>Miss Glam Damar</t>
        </is>
      </c>
      <c r="E570" t="n">
        <v>4</v>
      </c>
      <c r="F570" t="n">
        <v>0.0273</v>
      </c>
      <c r="G570" t="n">
        <v>0.91</v>
      </c>
      <c r="H570" t="n">
        <v>4</v>
      </c>
      <c r="I570" t="n">
        <v>21</v>
      </c>
      <c r="J570" t="n">
        <v>1</v>
      </c>
      <c r="K570" t="n">
        <v>0</v>
      </c>
      <c r="L570" t="n">
        <v>103200</v>
      </c>
      <c r="M570" t="n">
        <v>129000</v>
      </c>
      <c r="N570" t="n">
        <v>91</v>
      </c>
      <c r="O570" t="n">
        <v>0.91</v>
      </c>
      <c r="P570" t="n">
        <v>1</v>
      </c>
      <c r="Q570" t="n">
        <v>0.03</v>
      </c>
      <c r="R570" t="n">
        <v>1</v>
      </c>
      <c r="S570" t="n">
        <v>3521.7</v>
      </c>
      <c r="T570" t="n">
        <v>20</v>
      </c>
      <c r="U570" t="n">
        <v>21</v>
      </c>
      <c r="V570" t="n">
        <v>30</v>
      </c>
      <c r="W570" t="n">
        <v>1</v>
      </c>
      <c r="X570" t="n">
        <v>146.5201465201465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3778</v>
      </c>
      <c r="AG570" t="n">
        <v>1</v>
      </c>
      <c r="AH570" t="inlineStr">
        <is>
          <t>PT. BERSAMA DISTRIVERSA INDONESIA (DC CIPUTAT)</t>
        </is>
      </c>
      <c r="AI570" t="n">
        <v>46</v>
      </c>
      <c r="AJ570" t="inlineStr">
        <is>
          <t>BLP</t>
        </is>
      </c>
      <c r="AK570" t="n">
        <v>21</v>
      </c>
      <c r="AL570" t="inlineStr">
        <is>
          <t>Miss Glam Damar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BLP</t>
        </is>
      </c>
      <c r="B571" s="2">
        <f>"8997219433618"</f>
        <v/>
      </c>
      <c r="C571" t="inlineStr">
        <is>
          <t>BLP Lash Bash Mascara 7ml</t>
        </is>
      </c>
      <c r="D571" t="inlineStr">
        <is>
          <t>Miss Glam Damar</t>
        </is>
      </c>
      <c r="E571" t="n">
        <v>4</v>
      </c>
      <c r="F571" t="n">
        <v>0.04550000000000001</v>
      </c>
      <c r="G571" t="n">
        <v>0.91</v>
      </c>
      <c r="H571" t="n">
        <v>4</v>
      </c>
      <c r="I571" t="n">
        <v>21</v>
      </c>
      <c r="J571" t="n">
        <v>3</v>
      </c>
      <c r="K571" t="n">
        <v>0</v>
      </c>
      <c r="L571" t="n">
        <v>111200</v>
      </c>
      <c r="M571" t="n">
        <v>139000</v>
      </c>
      <c r="N571" t="n">
        <v>91</v>
      </c>
      <c r="O571" t="n">
        <v>0.91</v>
      </c>
      <c r="P571" t="n">
        <v>1</v>
      </c>
      <c r="Q571" t="n">
        <v>0.05</v>
      </c>
      <c r="R571" t="n">
        <v>1</v>
      </c>
      <c r="S571" t="n">
        <v>6324.500000000001</v>
      </c>
      <c r="T571" t="n">
        <v>19</v>
      </c>
      <c r="U571" t="n">
        <v>20</v>
      </c>
      <c r="V571" t="n">
        <v>30</v>
      </c>
      <c r="W571" t="n">
        <v>2</v>
      </c>
      <c r="X571" t="n">
        <v>87.9120879120879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3778</v>
      </c>
      <c r="AG571" t="n">
        <v>1</v>
      </c>
      <c r="AH571" t="inlineStr">
        <is>
          <t>PT. BERSAMA DISTRIVERSA INDONESIA (DC CIPUTAT)</t>
        </is>
      </c>
      <c r="AI571" t="n">
        <v>46</v>
      </c>
      <c r="AJ571" t="inlineStr">
        <is>
          <t>BLP</t>
        </is>
      </c>
      <c r="AK571" t="n">
        <v>21</v>
      </c>
      <c r="AL571" t="inlineStr">
        <is>
          <t>Miss Glam Damar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BLP</t>
        </is>
      </c>
      <c r="B572" s="2">
        <f>"203002199145"</f>
        <v/>
      </c>
      <c r="C572" t="inlineStr">
        <is>
          <t>BLP Lip Cloud Ava 3,5gr</t>
        </is>
      </c>
      <c r="D572" t="inlineStr">
        <is>
          <t>Miss Glam Damar</t>
        </is>
      </c>
      <c r="E572" t="n">
        <v>4</v>
      </c>
      <c r="F572" t="n">
        <v>0.02</v>
      </c>
      <c r="G572" t="n">
        <v>1</v>
      </c>
      <c r="H572" t="n">
        <v>4</v>
      </c>
      <c r="I572" t="n">
        <v>21</v>
      </c>
      <c r="J572" t="n">
        <v>1</v>
      </c>
      <c r="K572" t="n">
        <v>0</v>
      </c>
      <c r="L572" t="n">
        <v>87200</v>
      </c>
      <c r="M572" t="n">
        <v>109000</v>
      </c>
      <c r="N572" t="n">
        <v>91</v>
      </c>
      <c r="O572" t="n">
        <v>0.91</v>
      </c>
      <c r="P572" t="n">
        <v>0</v>
      </c>
      <c r="Q572" t="n">
        <v>0.02</v>
      </c>
      <c r="R572" t="n">
        <v>1</v>
      </c>
      <c r="S572" t="n">
        <v>2180</v>
      </c>
      <c r="T572" t="n">
        <v>21</v>
      </c>
      <c r="U572" t="n">
        <v>22</v>
      </c>
      <c r="V572" t="n">
        <v>30</v>
      </c>
      <c r="W572" t="n">
        <v>1</v>
      </c>
      <c r="X572" t="n">
        <v>200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3778</v>
      </c>
      <c r="AG572" t="n">
        <v>1</v>
      </c>
      <c r="AH572" t="inlineStr">
        <is>
          <t>PT. BERSAMA DISTRIVERSA INDONESIA (DC CIPUTAT)</t>
        </is>
      </c>
      <c r="AI572" t="n">
        <v>46</v>
      </c>
      <c r="AJ572" t="inlineStr">
        <is>
          <t>BLP</t>
        </is>
      </c>
      <c r="AK572" t="n">
        <v>21</v>
      </c>
      <c r="AL572" t="inlineStr">
        <is>
          <t>Miss Glam Damar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BLP</t>
        </is>
      </c>
      <c r="B573" s="2">
        <f>"203002199105"</f>
        <v/>
      </c>
      <c r="C573" t="inlineStr">
        <is>
          <t>BLP Lip Cloud Luna 3,5gr</t>
        </is>
      </c>
      <c r="D573" t="inlineStr">
        <is>
          <t>Miss Glam Damar</t>
        </is>
      </c>
      <c r="E573" t="n">
        <v>7</v>
      </c>
      <c r="F573" t="n">
        <v>0.06370000000000001</v>
      </c>
      <c r="G573" t="n">
        <v>0.91</v>
      </c>
      <c r="H573" t="n">
        <v>4</v>
      </c>
      <c r="I573" t="n">
        <v>21</v>
      </c>
      <c r="J573" t="n">
        <v>1</v>
      </c>
      <c r="K573" t="n">
        <v>0</v>
      </c>
      <c r="L573" t="n">
        <v>87200</v>
      </c>
      <c r="M573" t="n">
        <v>109000</v>
      </c>
      <c r="N573" t="n">
        <v>91</v>
      </c>
      <c r="O573" t="n">
        <v>0.91</v>
      </c>
      <c r="P573" t="n">
        <v>1</v>
      </c>
      <c r="Q573" t="n">
        <v>0.02</v>
      </c>
      <c r="R573" t="n">
        <v>1</v>
      </c>
      <c r="S573" t="n">
        <v>6943.300000000001</v>
      </c>
      <c r="T573" t="n">
        <v>19</v>
      </c>
      <c r="U573" t="n">
        <v>20</v>
      </c>
      <c r="V573" t="n">
        <v>30</v>
      </c>
      <c r="W573" t="n">
        <v>2</v>
      </c>
      <c r="X573" t="n">
        <v>109.8901098901099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3778</v>
      </c>
      <c r="AG573" t="n">
        <v>1</v>
      </c>
      <c r="AH573" t="inlineStr">
        <is>
          <t>PT. BERSAMA DISTRIVERSA INDONESIA (DC CIPUTAT)</t>
        </is>
      </c>
      <c r="AI573" t="n">
        <v>46</v>
      </c>
      <c r="AJ573" t="inlineStr">
        <is>
          <t>BLP</t>
        </is>
      </c>
      <c r="AK573" t="n">
        <v>21</v>
      </c>
      <c r="AL573" t="inlineStr">
        <is>
          <t>Miss Glam Damar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BLP</t>
        </is>
      </c>
      <c r="B574" s="2">
        <f>"203002199117"</f>
        <v/>
      </c>
      <c r="C574" t="inlineStr">
        <is>
          <t>BLP Lip Cloud Orbit 3,5 gr</t>
        </is>
      </c>
      <c r="D574" t="inlineStr">
        <is>
          <t>Miss Glam Damar</t>
        </is>
      </c>
      <c r="E574" t="n">
        <v>5</v>
      </c>
      <c r="F574" t="n">
        <v>0.03</v>
      </c>
      <c r="G574" t="n">
        <v>1</v>
      </c>
      <c r="H574" t="n">
        <v>4</v>
      </c>
      <c r="I574" t="n">
        <v>21</v>
      </c>
      <c r="J574" t="n">
        <v>1</v>
      </c>
      <c r="K574" t="n">
        <v>0</v>
      </c>
      <c r="L574" t="n">
        <v>87200</v>
      </c>
      <c r="M574" t="n">
        <v>109000</v>
      </c>
      <c r="N574" t="n">
        <v>91</v>
      </c>
      <c r="O574" t="n">
        <v>0.91</v>
      </c>
      <c r="P574" t="n">
        <v>0</v>
      </c>
      <c r="Q574" t="n">
        <v>0.03</v>
      </c>
      <c r="R574" t="n">
        <v>1</v>
      </c>
      <c r="S574" t="n">
        <v>3270</v>
      </c>
      <c r="T574" t="n">
        <v>21</v>
      </c>
      <c r="U574" t="n">
        <v>22</v>
      </c>
      <c r="V574" t="n">
        <v>30</v>
      </c>
      <c r="W574" t="n">
        <v>1</v>
      </c>
      <c r="X574" t="n">
        <v>166.6666666666667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3778</v>
      </c>
      <c r="AG574" t="n">
        <v>1</v>
      </c>
      <c r="AH574" t="inlineStr">
        <is>
          <t>PT. BERSAMA DISTRIVERSA INDONESIA (DC CIPUTAT)</t>
        </is>
      </c>
      <c r="AI574" t="n">
        <v>46</v>
      </c>
      <c r="AJ574" t="inlineStr">
        <is>
          <t>BLP</t>
        </is>
      </c>
      <c r="AK574" t="n">
        <v>21</v>
      </c>
      <c r="AL574" t="inlineStr">
        <is>
          <t>Miss Glam Damar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BLP</t>
        </is>
      </c>
      <c r="B575" s="2">
        <f>"203002199127"</f>
        <v/>
      </c>
      <c r="C575" t="inlineStr">
        <is>
          <t>BLP Lip Cloud Orion 3,5gr</t>
        </is>
      </c>
      <c r="D575" t="inlineStr">
        <is>
          <t>Miss Glam Damar</t>
        </is>
      </c>
      <c r="E575" t="n">
        <v>5</v>
      </c>
      <c r="F575" t="n">
        <v>0.0182</v>
      </c>
      <c r="G575" t="n">
        <v>0.91</v>
      </c>
      <c r="H575" t="n">
        <v>4</v>
      </c>
      <c r="I575" t="n">
        <v>21</v>
      </c>
      <c r="J575" t="n">
        <v>1</v>
      </c>
      <c r="K575" t="n">
        <v>0</v>
      </c>
      <c r="L575" t="n">
        <v>87200</v>
      </c>
      <c r="M575" t="n">
        <v>109000</v>
      </c>
      <c r="N575" t="n">
        <v>91</v>
      </c>
      <c r="O575" t="n">
        <v>0.91</v>
      </c>
      <c r="P575" t="n">
        <v>1</v>
      </c>
      <c r="Q575" t="n">
        <v>0.02</v>
      </c>
      <c r="R575" t="n">
        <v>1</v>
      </c>
      <c r="S575" t="n">
        <v>1983.8</v>
      </c>
      <c r="T575" t="n">
        <v>20</v>
      </c>
      <c r="U575" t="n">
        <v>21</v>
      </c>
      <c r="V575" t="n">
        <v>30</v>
      </c>
      <c r="W575" t="n">
        <v>1</v>
      </c>
      <c r="X575" t="n">
        <v>274.7252747252747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3778</v>
      </c>
      <c r="AG575" t="n">
        <v>1</v>
      </c>
      <c r="AH575" t="inlineStr">
        <is>
          <t>PT. BERSAMA DISTRIVERSA INDONESIA (DC CIPUTAT)</t>
        </is>
      </c>
      <c r="AI575" t="n">
        <v>46</v>
      </c>
      <c r="AJ575" t="inlineStr">
        <is>
          <t>BLP</t>
        </is>
      </c>
      <c r="AK575" t="n">
        <v>21</v>
      </c>
      <c r="AL575" t="inlineStr">
        <is>
          <t>Miss Glam Damar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BLP</t>
        </is>
      </c>
      <c r="B576" s="2">
        <f>"8997219434011"</f>
        <v/>
      </c>
      <c r="C576" t="inlineStr">
        <is>
          <t>BLP Lip Coat Berry Fudge 5gr</t>
        </is>
      </c>
      <c r="D576" t="inlineStr">
        <is>
          <t>Miss Glam Damar</t>
        </is>
      </c>
      <c r="E576" t="n">
        <v>10</v>
      </c>
      <c r="F576" t="n">
        <v>0.0182</v>
      </c>
      <c r="G576" t="n">
        <v>0.91</v>
      </c>
      <c r="H576" t="n">
        <v>4</v>
      </c>
      <c r="I576" t="n">
        <v>21</v>
      </c>
      <c r="J576" t="n">
        <v>3</v>
      </c>
      <c r="K576" t="n">
        <v>0</v>
      </c>
      <c r="L576" t="n">
        <v>119200</v>
      </c>
      <c r="M576" t="n">
        <v>149000</v>
      </c>
      <c r="N576" t="n">
        <v>91</v>
      </c>
      <c r="O576" t="n">
        <v>0.91</v>
      </c>
      <c r="P576" t="n">
        <v>1</v>
      </c>
      <c r="Q576" t="n">
        <v>0.03</v>
      </c>
      <c r="R576" t="n">
        <v>1</v>
      </c>
      <c r="S576" t="n">
        <v>2711.8</v>
      </c>
      <c r="T576" t="n">
        <v>20</v>
      </c>
      <c r="U576" t="n">
        <v>21</v>
      </c>
      <c r="V576" t="n">
        <v>30</v>
      </c>
      <c r="W576" t="n">
        <v>1</v>
      </c>
      <c r="X576" t="n">
        <v>549.4505494505494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3778</v>
      </c>
      <c r="AG576" t="n">
        <v>1</v>
      </c>
      <c r="AH576" t="inlineStr">
        <is>
          <t>PT. BERSAMA DISTRIVERSA INDONESIA (DC CIPUTAT)</t>
        </is>
      </c>
      <c r="AI576" t="n">
        <v>46</v>
      </c>
      <c r="AJ576" t="inlineStr">
        <is>
          <t>BLP</t>
        </is>
      </c>
      <c r="AK576" t="n">
        <v>21</v>
      </c>
      <c r="AL576" t="inlineStr">
        <is>
          <t>Miss Glam Damar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BLP</t>
        </is>
      </c>
      <c r="B577" s="2">
        <f>"8997219430037"</f>
        <v/>
      </c>
      <c r="C577" t="inlineStr">
        <is>
          <t>BLP Lip Coat Burnt Cinnamon</t>
        </is>
      </c>
      <c r="D577" t="inlineStr">
        <is>
          <t>Miss Glam Damar</t>
        </is>
      </c>
      <c r="E577" t="n">
        <v>8</v>
      </c>
      <c r="F577" t="n">
        <v>0.0182</v>
      </c>
      <c r="G577" t="n">
        <v>0.91</v>
      </c>
      <c r="H577" t="n">
        <v>4</v>
      </c>
      <c r="I577" t="n">
        <v>21</v>
      </c>
      <c r="J577" t="n">
        <v>3</v>
      </c>
      <c r="K577" t="n">
        <v>0</v>
      </c>
      <c r="L577" t="n">
        <v>118381</v>
      </c>
      <c r="M577" t="n">
        <v>149000</v>
      </c>
      <c r="N577" t="n">
        <v>91</v>
      </c>
      <c r="O577" t="n">
        <v>0.91</v>
      </c>
      <c r="P577" t="n">
        <v>1</v>
      </c>
      <c r="Q577" t="n">
        <v>0.07000000000000001</v>
      </c>
      <c r="R577" t="n">
        <v>1</v>
      </c>
      <c r="S577" t="n">
        <v>2711.8</v>
      </c>
      <c r="T577" t="n">
        <v>20</v>
      </c>
      <c r="U577" t="n">
        <v>21</v>
      </c>
      <c r="V577" t="n">
        <v>30</v>
      </c>
      <c r="W577" t="n">
        <v>1</v>
      </c>
      <c r="X577" t="n">
        <v>439.5604395604395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3778</v>
      </c>
      <c r="AG577" t="n">
        <v>1</v>
      </c>
      <c r="AH577" t="inlineStr">
        <is>
          <t>PT. BERSAMA DISTRIVERSA INDONESIA (DC CIPUTAT)</t>
        </is>
      </c>
      <c r="AI577" t="n">
        <v>46</v>
      </c>
      <c r="AJ577" t="inlineStr">
        <is>
          <t>BLP</t>
        </is>
      </c>
      <c r="AK577" t="n">
        <v>21</v>
      </c>
      <c r="AL577" t="inlineStr">
        <is>
          <t>Miss Glam Damar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BLP</t>
        </is>
      </c>
      <c r="B578" s="2">
        <f>"8997219430044"</f>
        <v/>
      </c>
      <c r="C578" t="inlineStr">
        <is>
          <t>BLP Lip Coat Butter Fudge 4gr</t>
        </is>
      </c>
      <c r="D578" t="inlineStr">
        <is>
          <t>Miss Glam Damar</t>
        </is>
      </c>
      <c r="E578" t="n">
        <v>1</v>
      </c>
      <c r="F578" t="n">
        <v>0.03</v>
      </c>
      <c r="G578" t="n">
        <v>1</v>
      </c>
      <c r="H578" t="n">
        <v>4</v>
      </c>
      <c r="I578" t="n">
        <v>21</v>
      </c>
      <c r="J578" t="n">
        <v>3</v>
      </c>
      <c r="K578" t="n">
        <v>0</v>
      </c>
      <c r="L578" t="n">
        <v>119200</v>
      </c>
      <c r="M578" t="n">
        <v>149000</v>
      </c>
      <c r="N578" t="n">
        <v>91</v>
      </c>
      <c r="O578" t="n">
        <v>0.91</v>
      </c>
      <c r="P578" t="n">
        <v>0</v>
      </c>
      <c r="Q578" t="n">
        <v>0.03</v>
      </c>
      <c r="R578" t="n">
        <v>1</v>
      </c>
      <c r="S578" t="n">
        <v>4470</v>
      </c>
      <c r="T578" t="n">
        <v>21</v>
      </c>
      <c r="U578" t="n">
        <v>22</v>
      </c>
      <c r="V578" t="n">
        <v>30</v>
      </c>
      <c r="W578" t="n">
        <v>1</v>
      </c>
      <c r="X578" t="n">
        <v>33.33333333333334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3778</v>
      </c>
      <c r="AG578" t="n">
        <v>1</v>
      </c>
      <c r="AH578" t="inlineStr">
        <is>
          <t>PT. BERSAMA DISTRIVERSA INDONESIA (DC CIPUTAT)</t>
        </is>
      </c>
      <c r="AI578" t="n">
        <v>46</v>
      </c>
      <c r="AJ578" t="inlineStr">
        <is>
          <t>BLP</t>
        </is>
      </c>
      <c r="AK578" t="n">
        <v>21</v>
      </c>
      <c r="AL578" t="inlineStr">
        <is>
          <t>Miss Glam Damar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BLP</t>
        </is>
      </c>
      <c r="B579" s="2">
        <f>"8997219434004"</f>
        <v/>
      </c>
      <c r="C579" t="inlineStr">
        <is>
          <t>BLP Lip Coat Butter Fudge 5gr</t>
        </is>
      </c>
      <c r="D579" t="inlineStr">
        <is>
          <t>Miss Glam Damar</t>
        </is>
      </c>
      <c r="E579" t="n">
        <v>5</v>
      </c>
      <c r="F579" t="n">
        <v>0.1</v>
      </c>
      <c r="G579" t="n">
        <v>1</v>
      </c>
      <c r="H579" t="n">
        <v>4</v>
      </c>
      <c r="I579" t="n">
        <v>21</v>
      </c>
      <c r="J579" t="n">
        <v>3</v>
      </c>
      <c r="K579" t="n">
        <v>0</v>
      </c>
      <c r="L579" t="n">
        <v>115103</v>
      </c>
      <c r="M579" t="n">
        <v>149000</v>
      </c>
      <c r="N579" t="n">
        <v>91</v>
      </c>
      <c r="O579" t="n">
        <v>0.91</v>
      </c>
      <c r="P579" t="n">
        <v>0</v>
      </c>
      <c r="Q579" t="n">
        <v>0.1</v>
      </c>
      <c r="R579" t="n">
        <v>1</v>
      </c>
      <c r="S579" t="n">
        <v>14900</v>
      </c>
      <c r="T579" t="n">
        <v>21</v>
      </c>
      <c r="U579" t="n">
        <v>22</v>
      </c>
      <c r="V579" t="n">
        <v>30</v>
      </c>
      <c r="W579" t="n">
        <v>3</v>
      </c>
      <c r="X579" t="n">
        <v>50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3778</v>
      </c>
      <c r="AG579" t="n">
        <v>1</v>
      </c>
      <c r="AH579" t="inlineStr">
        <is>
          <t>PT. BERSAMA DISTRIVERSA INDONESIA (DC CIPUTAT)</t>
        </is>
      </c>
      <c r="AI579" t="n">
        <v>46</v>
      </c>
      <c r="AJ579" t="inlineStr">
        <is>
          <t>BLP</t>
        </is>
      </c>
      <c r="AK579" t="n">
        <v>21</v>
      </c>
      <c r="AL579" t="inlineStr">
        <is>
          <t>Miss Glam Damar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BLP</t>
        </is>
      </c>
      <c r="B580" s="2">
        <f>"8997219434097"</f>
        <v/>
      </c>
      <c r="C580" t="inlineStr">
        <is>
          <t>BLP Lip Coat Choco Fudge 5gr</t>
        </is>
      </c>
      <c r="D580" t="inlineStr">
        <is>
          <t>Miss Glam Damar</t>
        </is>
      </c>
      <c r="E580" t="n">
        <v>5</v>
      </c>
      <c r="F580" t="n">
        <v>0.0182</v>
      </c>
      <c r="G580" t="n">
        <v>0.91</v>
      </c>
      <c r="H580" t="n">
        <v>4</v>
      </c>
      <c r="I580" t="n">
        <v>21</v>
      </c>
      <c r="J580" t="n">
        <v>3</v>
      </c>
      <c r="K580" t="n">
        <v>0</v>
      </c>
      <c r="L580" t="n">
        <v>116742</v>
      </c>
      <c r="M580" t="n">
        <v>149000</v>
      </c>
      <c r="N580" t="n">
        <v>91</v>
      </c>
      <c r="O580" t="n">
        <v>0.91</v>
      </c>
      <c r="P580" t="n">
        <v>1</v>
      </c>
      <c r="Q580" t="n">
        <v>0.02</v>
      </c>
      <c r="R580" t="n">
        <v>1</v>
      </c>
      <c r="S580" t="n">
        <v>2711.8</v>
      </c>
      <c r="T580" t="n">
        <v>20</v>
      </c>
      <c r="U580" t="n">
        <v>21</v>
      </c>
      <c r="V580" t="n">
        <v>30</v>
      </c>
      <c r="W580" t="n">
        <v>1</v>
      </c>
      <c r="X580" t="n">
        <v>274.7252747252747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3778</v>
      </c>
      <c r="AG580" t="n">
        <v>1</v>
      </c>
      <c r="AH580" t="inlineStr">
        <is>
          <t>PT. BERSAMA DISTRIVERSA INDONESIA (DC CIPUTAT)</t>
        </is>
      </c>
      <c r="AI580" t="n">
        <v>46</v>
      </c>
      <c r="AJ580" t="inlineStr">
        <is>
          <t>BLP</t>
        </is>
      </c>
      <c r="AK580" t="n">
        <v>21</v>
      </c>
      <c r="AL580" t="inlineStr">
        <is>
          <t>Miss Glam Damar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BLP</t>
        </is>
      </c>
      <c r="B581" s="2">
        <f>"8997219430259"</f>
        <v/>
      </c>
      <c r="C581" t="inlineStr">
        <is>
          <t>BLP Lip Coat Peach Soda 4gr</t>
        </is>
      </c>
      <c r="D581" t="inlineStr">
        <is>
          <t>Miss Glam Damar</t>
        </is>
      </c>
      <c r="E581" t="n">
        <v>2</v>
      </c>
      <c r="F581" t="n">
        <v>0.0182</v>
      </c>
      <c r="G581" t="n">
        <v>0.91</v>
      </c>
      <c r="H581" t="n">
        <v>4</v>
      </c>
      <c r="I581" t="n">
        <v>21</v>
      </c>
      <c r="J581" t="n">
        <v>3</v>
      </c>
      <c r="K581" t="n">
        <v>0</v>
      </c>
      <c r="L581" t="n">
        <v>119200</v>
      </c>
      <c r="M581" t="n">
        <v>149000</v>
      </c>
      <c r="N581" t="n">
        <v>91</v>
      </c>
      <c r="O581" t="n">
        <v>0.91</v>
      </c>
      <c r="P581" t="n">
        <v>1</v>
      </c>
      <c r="Q581" t="n">
        <v>0.02</v>
      </c>
      <c r="R581" t="n">
        <v>0</v>
      </c>
      <c r="S581" t="n">
        <v>2711.8</v>
      </c>
      <c r="T581" t="n">
        <v>20</v>
      </c>
      <c r="U581" t="n">
        <v>21</v>
      </c>
      <c r="V581" t="n">
        <v>30</v>
      </c>
      <c r="W581" t="n">
        <v>1</v>
      </c>
      <c r="X581" t="n">
        <v>109.8901098901099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3778</v>
      </c>
      <c r="AG581" t="n">
        <v>1</v>
      </c>
      <c r="AH581" t="inlineStr">
        <is>
          <t>PT. BERSAMA DISTRIVERSA INDONESIA (DC CIPUTAT)</t>
        </is>
      </c>
      <c r="AI581" t="n">
        <v>46</v>
      </c>
      <c r="AJ581" t="inlineStr">
        <is>
          <t>BLP</t>
        </is>
      </c>
      <c r="AK581" t="n">
        <v>21</v>
      </c>
      <c r="AL581" t="inlineStr">
        <is>
          <t>Miss Glam Damar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BLP</t>
        </is>
      </c>
      <c r="B582" s="2">
        <f>"8997219430082"</f>
        <v/>
      </c>
      <c r="C582" t="inlineStr">
        <is>
          <t>BLP Lip Coat Persimmon Pie 4gr</t>
        </is>
      </c>
      <c r="D582" t="inlineStr">
        <is>
          <t>Miss Glam Damar</t>
        </is>
      </c>
      <c r="E582" t="n">
        <v>5</v>
      </c>
      <c r="F582" t="n">
        <v>0.0182</v>
      </c>
      <c r="G582" t="n">
        <v>0.91</v>
      </c>
      <c r="H582" t="n">
        <v>4</v>
      </c>
      <c r="I582" t="n">
        <v>21</v>
      </c>
      <c r="J582" t="n">
        <v>3</v>
      </c>
      <c r="K582" t="n">
        <v>0</v>
      </c>
      <c r="L582" t="n">
        <v>119200</v>
      </c>
      <c r="M582" t="n">
        <v>149000</v>
      </c>
      <c r="N582" t="n">
        <v>91</v>
      </c>
      <c r="O582" t="n">
        <v>0.91</v>
      </c>
      <c r="P582" t="n">
        <v>1</v>
      </c>
      <c r="Q582" t="n">
        <v>0.08</v>
      </c>
      <c r="R582" t="n">
        <v>2</v>
      </c>
      <c r="S582" t="n">
        <v>2711.8</v>
      </c>
      <c r="T582" t="n">
        <v>20</v>
      </c>
      <c r="U582" t="n">
        <v>21</v>
      </c>
      <c r="V582" t="n">
        <v>30</v>
      </c>
      <c r="W582" t="n">
        <v>1</v>
      </c>
      <c r="X582" t="n">
        <v>274.7252747252747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3778</v>
      </c>
      <c r="AG582" t="n">
        <v>1</v>
      </c>
      <c r="AH582" t="inlineStr">
        <is>
          <t>PT. BERSAMA DISTRIVERSA INDONESIA (DC CIPUTAT)</t>
        </is>
      </c>
      <c r="AI582" t="n">
        <v>46</v>
      </c>
      <c r="AJ582" t="inlineStr">
        <is>
          <t>BLP</t>
        </is>
      </c>
      <c r="AK582" t="n">
        <v>21</v>
      </c>
      <c r="AL582" t="inlineStr">
        <is>
          <t>Miss Glam Damar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BLP</t>
        </is>
      </c>
      <c r="B583" s="2">
        <f>"8997219430211"</f>
        <v/>
      </c>
      <c r="C583" t="inlineStr">
        <is>
          <t>BLP Lip Coat Pumpkin Sorbet 4gr</t>
        </is>
      </c>
      <c r="D583" t="inlineStr">
        <is>
          <t>Miss Glam Damar</t>
        </is>
      </c>
      <c r="E583" t="n">
        <v>6</v>
      </c>
      <c r="F583" t="n">
        <v>0.02</v>
      </c>
      <c r="G583" t="n">
        <v>0</v>
      </c>
      <c r="H583" t="n">
        <v>4</v>
      </c>
      <c r="I583" t="n">
        <v>21</v>
      </c>
      <c r="J583" t="n">
        <v>3</v>
      </c>
      <c r="K583" t="n">
        <v>0</v>
      </c>
      <c r="L583" t="n">
        <v>119200</v>
      </c>
      <c r="M583" t="n">
        <v>149000</v>
      </c>
      <c r="N583" t="n">
        <v>91</v>
      </c>
      <c r="O583" t="n">
        <v>0.91</v>
      </c>
      <c r="P583" t="n">
        <v>0</v>
      </c>
      <c r="Q583" t="n">
        <v>0.02</v>
      </c>
      <c r="R583" t="n">
        <v>0</v>
      </c>
      <c r="S583" t="n">
        <v>2980</v>
      </c>
      <c r="T583" t="n">
        <v>0</v>
      </c>
      <c r="U583" t="n">
        <v>1</v>
      </c>
      <c r="V583" t="n">
        <v>30</v>
      </c>
      <c r="W583" t="n">
        <v>1</v>
      </c>
      <c r="X583" t="n">
        <v>300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3778</v>
      </c>
      <c r="AG583" t="n">
        <v>1</v>
      </c>
      <c r="AH583" t="inlineStr">
        <is>
          <t>PT. BERSAMA DISTRIVERSA INDONESIA (DC CIPUTAT)</t>
        </is>
      </c>
      <c r="AI583" t="n">
        <v>46</v>
      </c>
      <c r="AJ583" t="inlineStr">
        <is>
          <t>BLP</t>
        </is>
      </c>
      <c r="AK583" t="n">
        <v>21</v>
      </c>
      <c r="AL583" t="inlineStr">
        <is>
          <t>Miss Glam Damar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BLP</t>
        </is>
      </c>
      <c r="B584" s="2">
        <f>"203002199613"</f>
        <v/>
      </c>
      <c r="C584" t="inlineStr">
        <is>
          <t>BLP Lip Cottin Tribute 4,5gr</t>
        </is>
      </c>
      <c r="D584" t="inlineStr">
        <is>
          <t>Miss Glam Damar</t>
        </is>
      </c>
      <c r="E584" t="n">
        <v>4</v>
      </c>
      <c r="F584" t="n">
        <v>0.0182</v>
      </c>
      <c r="G584" t="n">
        <v>0.91</v>
      </c>
      <c r="H584" t="n">
        <v>4</v>
      </c>
      <c r="I584" t="n">
        <v>21</v>
      </c>
      <c r="J584" t="n">
        <v>1</v>
      </c>
      <c r="K584" t="n">
        <v>0</v>
      </c>
      <c r="L584" t="n">
        <v>119200</v>
      </c>
      <c r="M584" t="n">
        <v>149000</v>
      </c>
      <c r="N584" t="n">
        <v>91</v>
      </c>
      <c r="O584" t="n">
        <v>0.91</v>
      </c>
      <c r="P584" t="n">
        <v>1</v>
      </c>
      <c r="Q584" t="n">
        <v>0.02</v>
      </c>
      <c r="R584" t="n">
        <v>1</v>
      </c>
      <c r="S584" t="n">
        <v>2711.8</v>
      </c>
      <c r="T584" t="n">
        <v>20</v>
      </c>
      <c r="U584" t="n">
        <v>21</v>
      </c>
      <c r="V584" t="n">
        <v>30</v>
      </c>
      <c r="W584" t="n">
        <v>1</v>
      </c>
      <c r="X584" t="n">
        <v>219.7802197802198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3778</v>
      </c>
      <c r="AG584" t="n">
        <v>1</v>
      </c>
      <c r="AH584" t="inlineStr">
        <is>
          <t>PT. BERSAMA DISTRIVERSA INDONESIA (DC CIPUTAT)</t>
        </is>
      </c>
      <c r="AI584" t="n">
        <v>46</v>
      </c>
      <c r="AJ584" t="inlineStr">
        <is>
          <t>BLP</t>
        </is>
      </c>
      <c r="AK584" t="n">
        <v>21</v>
      </c>
      <c r="AL584" t="inlineStr">
        <is>
          <t>Miss Glam Damar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BLP</t>
        </is>
      </c>
      <c r="B585" s="2">
        <f>"203002199623"</f>
        <v/>
      </c>
      <c r="C585" t="inlineStr">
        <is>
          <t>BLP Lip Gel Carnation 3,5gr</t>
        </is>
      </c>
      <c r="D585" t="inlineStr">
        <is>
          <t>Miss Glam Damar</t>
        </is>
      </c>
      <c r="E585" t="n">
        <v>4</v>
      </c>
      <c r="F585" t="n">
        <v>0.02</v>
      </c>
      <c r="G585" t="n">
        <v>1</v>
      </c>
      <c r="H585" t="n">
        <v>4</v>
      </c>
      <c r="I585" t="n">
        <v>21</v>
      </c>
      <c r="J585" t="n">
        <v>1</v>
      </c>
      <c r="K585" t="n">
        <v>0</v>
      </c>
      <c r="L585" t="n">
        <v>95200</v>
      </c>
      <c r="M585" t="n">
        <v>119000</v>
      </c>
      <c r="N585" t="n">
        <v>91</v>
      </c>
      <c r="O585" t="n">
        <v>0.91</v>
      </c>
      <c r="P585" t="n">
        <v>0</v>
      </c>
      <c r="Q585" t="n">
        <v>0.02</v>
      </c>
      <c r="R585" t="n">
        <v>1</v>
      </c>
      <c r="S585" t="n">
        <v>2380</v>
      </c>
      <c r="T585" t="n">
        <v>21</v>
      </c>
      <c r="U585" t="n">
        <v>22</v>
      </c>
      <c r="V585" t="n">
        <v>30</v>
      </c>
      <c r="W585" t="n">
        <v>1</v>
      </c>
      <c r="X585" t="n">
        <v>200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3778</v>
      </c>
      <c r="AG585" t="n">
        <v>1</v>
      </c>
      <c r="AH585" t="inlineStr">
        <is>
          <t>PT. BERSAMA DISTRIVERSA INDONESIA (DC CIPUTAT)</t>
        </is>
      </c>
      <c r="AI585" t="n">
        <v>46</v>
      </c>
      <c r="AJ585" t="inlineStr">
        <is>
          <t>BLP</t>
        </is>
      </c>
      <c r="AK585" t="n">
        <v>21</v>
      </c>
      <c r="AL585" t="inlineStr">
        <is>
          <t>Miss Glam Damar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BLP</t>
        </is>
      </c>
      <c r="B586" s="2">
        <f>"203002199641"</f>
        <v/>
      </c>
      <c r="C586" t="inlineStr">
        <is>
          <t>BLP Lip Gel Magnolia 3,5 gr</t>
        </is>
      </c>
      <c r="D586" t="inlineStr">
        <is>
          <t>Miss Glam Damar</t>
        </is>
      </c>
      <c r="E586" t="n">
        <v>4</v>
      </c>
      <c r="F586" t="n">
        <v>0.0182</v>
      </c>
      <c r="G586" t="n">
        <v>0.91</v>
      </c>
      <c r="H586" t="n">
        <v>4</v>
      </c>
      <c r="I586" t="n">
        <v>21</v>
      </c>
      <c r="J586" t="n">
        <v>1</v>
      </c>
      <c r="K586" t="n">
        <v>0</v>
      </c>
      <c r="L586" t="n">
        <v>95200</v>
      </c>
      <c r="M586" t="n">
        <v>119000</v>
      </c>
      <c r="N586" t="n">
        <v>91</v>
      </c>
      <c r="O586" t="n">
        <v>0.91</v>
      </c>
      <c r="P586" t="n">
        <v>1</v>
      </c>
      <c r="Q586" t="n">
        <v>0.02</v>
      </c>
      <c r="R586" t="n">
        <v>1</v>
      </c>
      <c r="S586" t="n">
        <v>2165.8</v>
      </c>
      <c r="T586" t="n">
        <v>20</v>
      </c>
      <c r="U586" t="n">
        <v>21</v>
      </c>
      <c r="V586" t="n">
        <v>30</v>
      </c>
      <c r="W586" t="n">
        <v>1</v>
      </c>
      <c r="X586" t="n">
        <v>219.7802197802198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3778</v>
      </c>
      <c r="AG586" t="n">
        <v>1</v>
      </c>
      <c r="AH586" t="inlineStr">
        <is>
          <t>PT. BERSAMA DISTRIVERSA INDONESIA (DC CIPUTAT)</t>
        </is>
      </c>
      <c r="AI586" t="n">
        <v>46</v>
      </c>
      <c r="AJ586" t="inlineStr">
        <is>
          <t>BLP</t>
        </is>
      </c>
      <c r="AK586" t="n">
        <v>21</v>
      </c>
      <c r="AL586" t="inlineStr">
        <is>
          <t>Miss Glam Damar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BLP</t>
        </is>
      </c>
      <c r="B587" s="2">
        <f>"8997219434028"</f>
        <v/>
      </c>
      <c r="C587" t="inlineStr">
        <is>
          <t>BLP Lip Liner Classic Beige</t>
        </is>
      </c>
      <c r="D587" t="inlineStr">
        <is>
          <t>Miss Glam Damar</t>
        </is>
      </c>
      <c r="E587" t="n">
        <v>11</v>
      </c>
      <c r="F587" t="n">
        <v>0.0182</v>
      </c>
      <c r="G587" t="n">
        <v>0.91</v>
      </c>
      <c r="H587" t="n">
        <v>4</v>
      </c>
      <c r="I587" t="n">
        <v>21</v>
      </c>
      <c r="J587" t="n">
        <v>3</v>
      </c>
      <c r="K587" t="n">
        <v>0</v>
      </c>
      <c r="L587" t="n">
        <v>76000</v>
      </c>
      <c r="M587" t="n">
        <v>95000</v>
      </c>
      <c r="N587" t="n">
        <v>91</v>
      </c>
      <c r="O587" t="n">
        <v>0.91</v>
      </c>
      <c r="P587" t="n">
        <v>1</v>
      </c>
      <c r="Q587" t="n">
        <v>0.12</v>
      </c>
      <c r="R587" t="n">
        <v>2</v>
      </c>
      <c r="S587" t="n">
        <v>1729</v>
      </c>
      <c r="T587" t="n">
        <v>20</v>
      </c>
      <c r="U587" t="n">
        <v>21</v>
      </c>
      <c r="V587" t="n">
        <v>30</v>
      </c>
      <c r="W587" t="n">
        <v>1</v>
      </c>
      <c r="X587" t="n">
        <v>604.3956043956043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3778</v>
      </c>
      <c r="AG587" t="n">
        <v>1</v>
      </c>
      <c r="AH587" t="inlineStr">
        <is>
          <t>PT. BERSAMA DISTRIVERSA INDONESIA (DC CIPUTAT)</t>
        </is>
      </c>
      <c r="AI587" t="n">
        <v>46</v>
      </c>
      <c r="AJ587" t="inlineStr">
        <is>
          <t>BLP</t>
        </is>
      </c>
      <c r="AK587" t="n">
        <v>21</v>
      </c>
      <c r="AL587" t="inlineStr">
        <is>
          <t>Miss Glam Damar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BLP</t>
        </is>
      </c>
      <c r="B588" s="2">
        <f>"8997219434035"</f>
        <v/>
      </c>
      <c r="C588" t="inlineStr">
        <is>
          <t>BLP Lip Liner Dusty Rose</t>
        </is>
      </c>
      <c r="D588" t="inlineStr">
        <is>
          <t>Miss Glam Damar</t>
        </is>
      </c>
      <c r="E588" t="n">
        <v>11</v>
      </c>
      <c r="F588" t="n">
        <v>0.1729</v>
      </c>
      <c r="G588" t="n">
        <v>1.82</v>
      </c>
      <c r="H588" t="n">
        <v>4</v>
      </c>
      <c r="I588" t="n">
        <v>21</v>
      </c>
      <c r="J588" t="n">
        <v>3</v>
      </c>
      <c r="K588" t="n">
        <v>0</v>
      </c>
      <c r="L588" t="n">
        <v>75667</v>
      </c>
      <c r="M588" t="n">
        <v>95000</v>
      </c>
      <c r="N588" t="n">
        <v>91</v>
      </c>
      <c r="O588" t="n">
        <v>0.91</v>
      </c>
      <c r="P588" t="n">
        <v>1</v>
      </c>
      <c r="Q588" t="n">
        <v>0.22</v>
      </c>
      <c r="R588" t="n">
        <v>3</v>
      </c>
      <c r="S588" t="n">
        <v>16425.5</v>
      </c>
      <c r="T588" t="n">
        <v>38</v>
      </c>
      <c r="U588" t="n">
        <v>39</v>
      </c>
      <c r="V588" t="n">
        <v>30</v>
      </c>
      <c r="W588" t="n">
        <v>6</v>
      </c>
      <c r="X588" t="n">
        <v>63.62058993637941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3778</v>
      </c>
      <c r="AG588" t="n">
        <v>1</v>
      </c>
      <c r="AH588" t="inlineStr">
        <is>
          <t>PT. BERSAMA DISTRIVERSA INDONESIA (DC CIPUTAT)</t>
        </is>
      </c>
      <c r="AI588" t="n">
        <v>46</v>
      </c>
      <c r="AJ588" t="inlineStr">
        <is>
          <t>BLP</t>
        </is>
      </c>
      <c r="AK588" t="n">
        <v>21</v>
      </c>
      <c r="AL588" t="inlineStr">
        <is>
          <t>Miss Glam Damar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BLP</t>
        </is>
      </c>
      <c r="B589" s="2">
        <f>"20300602254"</f>
        <v/>
      </c>
      <c r="C589" t="inlineStr">
        <is>
          <t>BLP Lip Liner Toasted Brown 0,3gr</t>
        </is>
      </c>
      <c r="D589" t="inlineStr">
        <is>
          <t>Miss Glam Damar</t>
        </is>
      </c>
      <c r="E589" t="n">
        <v>8</v>
      </c>
      <c r="F589" t="n">
        <v>0.0273</v>
      </c>
      <c r="G589" t="n">
        <v>0.91</v>
      </c>
      <c r="H589" t="n">
        <v>4</v>
      </c>
      <c r="I589" t="n">
        <v>21</v>
      </c>
      <c r="J589" t="n">
        <v>1</v>
      </c>
      <c r="K589" t="n">
        <v>0</v>
      </c>
      <c r="L589" t="n">
        <v>76000</v>
      </c>
      <c r="M589" t="n">
        <v>95000</v>
      </c>
      <c r="N589" t="n">
        <v>91</v>
      </c>
      <c r="O589" t="n">
        <v>0.91</v>
      </c>
      <c r="P589" t="n">
        <v>1</v>
      </c>
      <c r="Q589" t="n">
        <v>0.08</v>
      </c>
      <c r="R589" t="n">
        <v>1</v>
      </c>
      <c r="S589" t="n">
        <v>2593.5</v>
      </c>
      <c r="T589" t="n">
        <v>20</v>
      </c>
      <c r="U589" t="n">
        <v>21</v>
      </c>
      <c r="V589" t="n">
        <v>30</v>
      </c>
      <c r="W589" t="n">
        <v>1</v>
      </c>
      <c r="X589" t="n">
        <v>293.040293040293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3778</v>
      </c>
      <c r="AG589" t="n">
        <v>1</v>
      </c>
      <c r="AH589" t="inlineStr">
        <is>
          <t>PT. BERSAMA DISTRIVERSA INDONESIA (DC CIPUTAT)</t>
        </is>
      </c>
      <c r="AI589" t="n">
        <v>46</v>
      </c>
      <c r="AJ589" t="inlineStr">
        <is>
          <t>BLP</t>
        </is>
      </c>
      <c r="AK589" t="n">
        <v>21</v>
      </c>
      <c r="AL589" t="inlineStr">
        <is>
          <t>Miss Glam Damar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BLP</t>
        </is>
      </c>
      <c r="B590" s="2">
        <f>"20300602231"</f>
        <v/>
      </c>
      <c r="C590" t="inlineStr">
        <is>
          <t>BLP Lip Liner Winter Berry 0,3gr</t>
        </is>
      </c>
      <c r="D590" t="inlineStr">
        <is>
          <t>Miss Glam Damar</t>
        </is>
      </c>
      <c r="E590" t="n">
        <v>4</v>
      </c>
      <c r="F590" t="n">
        <v>0.06370000000000001</v>
      </c>
      <c r="G590" t="n">
        <v>0.91</v>
      </c>
      <c r="H590" t="n">
        <v>4</v>
      </c>
      <c r="I590" t="n">
        <v>21</v>
      </c>
      <c r="J590" t="n">
        <v>1</v>
      </c>
      <c r="K590" t="n">
        <v>0</v>
      </c>
      <c r="L590" t="n">
        <v>75129</v>
      </c>
      <c r="M590" t="n">
        <v>95000</v>
      </c>
      <c r="N590" t="n">
        <v>91</v>
      </c>
      <c r="O590" t="n">
        <v>0.91</v>
      </c>
      <c r="P590" t="n">
        <v>1</v>
      </c>
      <c r="Q590" t="n">
        <v>0.1</v>
      </c>
      <c r="R590" t="n">
        <v>1</v>
      </c>
      <c r="S590" t="n">
        <v>6051.500000000001</v>
      </c>
      <c r="T590" t="n">
        <v>19</v>
      </c>
      <c r="U590" t="n">
        <v>20</v>
      </c>
      <c r="V590" t="n">
        <v>30</v>
      </c>
      <c r="W590" t="n">
        <v>2</v>
      </c>
      <c r="X590" t="n">
        <v>62.79434850863422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3778</v>
      </c>
      <c r="AG590" t="n">
        <v>1</v>
      </c>
      <c r="AH590" t="inlineStr">
        <is>
          <t>PT. BERSAMA DISTRIVERSA INDONESIA (DC CIPUTAT)</t>
        </is>
      </c>
      <c r="AI590" t="n">
        <v>46</v>
      </c>
      <c r="AJ590" t="inlineStr">
        <is>
          <t>BLP</t>
        </is>
      </c>
      <c r="AK590" t="n">
        <v>21</v>
      </c>
      <c r="AL590" t="inlineStr">
        <is>
          <t>Miss Glam Damar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BLP</t>
        </is>
      </c>
      <c r="B591" s="2">
        <f>"8997219434066"</f>
        <v/>
      </c>
      <c r="C591" t="inlineStr">
        <is>
          <t>BLP Lip Petals Oak 4,5gr</t>
        </is>
      </c>
      <c r="D591" t="inlineStr">
        <is>
          <t>Miss Glam Damar</t>
        </is>
      </c>
      <c r="E591" t="n">
        <v>2</v>
      </c>
      <c r="F591" t="n">
        <v>0.03</v>
      </c>
      <c r="G591" t="n">
        <v>1</v>
      </c>
      <c r="H591" t="n">
        <v>4</v>
      </c>
      <c r="I591" t="n">
        <v>21</v>
      </c>
      <c r="J591" t="n">
        <v>3</v>
      </c>
      <c r="K591" t="n">
        <v>0</v>
      </c>
      <c r="L591" t="n">
        <v>119200</v>
      </c>
      <c r="M591" t="n">
        <v>149000</v>
      </c>
      <c r="N591" t="n">
        <v>91</v>
      </c>
      <c r="O591" t="n">
        <v>0.91</v>
      </c>
      <c r="P591" t="n">
        <v>0</v>
      </c>
      <c r="Q591" t="n">
        <v>0.03</v>
      </c>
      <c r="R591" t="n">
        <v>1</v>
      </c>
      <c r="S591" t="n">
        <v>4470</v>
      </c>
      <c r="T591" t="n">
        <v>21</v>
      </c>
      <c r="U591" t="n">
        <v>22</v>
      </c>
      <c r="V591" t="n">
        <v>30</v>
      </c>
      <c r="W591" t="n">
        <v>1</v>
      </c>
      <c r="X591" t="n">
        <v>66.66666666666667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3778</v>
      </c>
      <c r="AG591" t="n">
        <v>1</v>
      </c>
      <c r="AH591" t="inlineStr">
        <is>
          <t>PT. BERSAMA DISTRIVERSA INDONESIA (DC CIPUTAT)</t>
        </is>
      </c>
      <c r="AI591" t="n">
        <v>46</v>
      </c>
      <c r="AJ591" t="inlineStr">
        <is>
          <t>BLP</t>
        </is>
      </c>
      <c r="AK591" t="n">
        <v>21</v>
      </c>
      <c r="AL591" t="inlineStr">
        <is>
          <t>Miss Glam Damar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BLP</t>
        </is>
      </c>
      <c r="B592" s="2">
        <f>"8997219433632"</f>
        <v/>
      </c>
      <c r="C592" t="inlineStr">
        <is>
          <t>BLP Lip Vinyl Blossom 2.5ml</t>
        </is>
      </c>
      <c r="D592" t="inlineStr">
        <is>
          <t>Miss Glam Damar</t>
        </is>
      </c>
      <c r="E592" t="n">
        <v>6</v>
      </c>
      <c r="F592" t="n">
        <v>0.03</v>
      </c>
      <c r="G592" t="n">
        <v>1</v>
      </c>
      <c r="H592" t="n">
        <v>4</v>
      </c>
      <c r="I592" t="n">
        <v>21</v>
      </c>
      <c r="J592" t="n">
        <v>3</v>
      </c>
      <c r="K592" t="n">
        <v>0</v>
      </c>
      <c r="L592" t="n">
        <v>74800</v>
      </c>
      <c r="M592" t="n">
        <v>95000</v>
      </c>
      <c r="N592" t="n">
        <v>91</v>
      </c>
      <c r="O592" t="n">
        <v>0.91</v>
      </c>
      <c r="P592" t="n">
        <v>0</v>
      </c>
      <c r="Q592" t="n">
        <v>0.03</v>
      </c>
      <c r="R592" t="n">
        <v>1</v>
      </c>
      <c r="S592" t="n">
        <v>2850</v>
      </c>
      <c r="T592" t="n">
        <v>21</v>
      </c>
      <c r="U592" t="n">
        <v>22</v>
      </c>
      <c r="V592" t="n">
        <v>30</v>
      </c>
      <c r="W592" t="n">
        <v>1</v>
      </c>
      <c r="X592" t="n">
        <v>200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3778</v>
      </c>
      <c r="AG592" t="n">
        <v>1</v>
      </c>
      <c r="AH592" t="inlineStr">
        <is>
          <t>PT. BERSAMA DISTRIVERSA INDONESIA (DC CIPUTAT)</t>
        </is>
      </c>
      <c r="AI592" t="n">
        <v>46</v>
      </c>
      <c r="AJ592" t="inlineStr">
        <is>
          <t>BLP</t>
        </is>
      </c>
      <c r="AK592" t="n">
        <v>21</v>
      </c>
      <c r="AL592" t="inlineStr">
        <is>
          <t>Miss Glam Damar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BLP</t>
        </is>
      </c>
      <c r="B593" s="2">
        <f>"8997219430266"</f>
        <v/>
      </c>
      <c r="C593" t="inlineStr">
        <is>
          <t>BLP Matte Liner Pitch Black 1,2ml</t>
        </is>
      </c>
      <c r="D593" t="inlineStr">
        <is>
          <t>Miss Glam Damar</t>
        </is>
      </c>
      <c r="E593" t="n">
        <v>5</v>
      </c>
      <c r="F593" t="n">
        <v>0.04550000000000001</v>
      </c>
      <c r="G593" t="n">
        <v>0.91</v>
      </c>
      <c r="H593" t="n">
        <v>4</v>
      </c>
      <c r="I593" t="n">
        <v>21</v>
      </c>
      <c r="J593" t="n">
        <v>3</v>
      </c>
      <c r="K593" t="n">
        <v>0</v>
      </c>
      <c r="L593" t="n">
        <v>111200</v>
      </c>
      <c r="M593" t="n">
        <v>139000</v>
      </c>
      <c r="N593" t="n">
        <v>91</v>
      </c>
      <c r="O593" t="n">
        <v>0.91</v>
      </c>
      <c r="P593" t="n">
        <v>1</v>
      </c>
      <c r="Q593" t="n">
        <v>0.03</v>
      </c>
      <c r="R593" t="n">
        <v>1</v>
      </c>
      <c r="S593" t="n">
        <v>6324.500000000001</v>
      </c>
      <c r="T593" t="n">
        <v>19</v>
      </c>
      <c r="U593" t="n">
        <v>20</v>
      </c>
      <c r="V593" t="n">
        <v>30</v>
      </c>
      <c r="W593" t="n">
        <v>2</v>
      </c>
      <c r="X593" t="n">
        <v>109.8901098901099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3778</v>
      </c>
      <c r="AG593" t="n">
        <v>1</v>
      </c>
      <c r="AH593" t="inlineStr">
        <is>
          <t>PT. BERSAMA DISTRIVERSA INDONESIA (DC CIPUTAT)</t>
        </is>
      </c>
      <c r="AI593" t="n">
        <v>46</v>
      </c>
      <c r="AJ593" t="inlineStr">
        <is>
          <t>BLP</t>
        </is>
      </c>
      <c r="AK593" t="n">
        <v>21</v>
      </c>
      <c r="AL593" t="inlineStr">
        <is>
          <t>Miss Glam Damar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BLP</t>
        </is>
      </c>
      <c r="B594" s="2">
        <f>"20100967648"</f>
        <v/>
      </c>
      <c r="C594" t="inlineStr">
        <is>
          <t>BLP Moon Blush Milky Way 3,5gr</t>
        </is>
      </c>
      <c r="D594" t="inlineStr">
        <is>
          <t>Miss Glam Damar</t>
        </is>
      </c>
      <c r="E594" t="n">
        <v>6</v>
      </c>
      <c r="F594" t="n">
        <v>0.04550000000000001</v>
      </c>
      <c r="G594" t="n">
        <v>0.91</v>
      </c>
      <c r="H594" t="n">
        <v>4</v>
      </c>
      <c r="I594" t="n">
        <v>21</v>
      </c>
      <c r="J594" t="n">
        <v>1</v>
      </c>
      <c r="K594" t="n">
        <v>0</v>
      </c>
      <c r="L594" t="n">
        <v>87200</v>
      </c>
      <c r="M594" t="n">
        <v>109000</v>
      </c>
      <c r="N594" t="n">
        <v>91</v>
      </c>
      <c r="O594" t="n">
        <v>0.91</v>
      </c>
      <c r="P594" t="n">
        <v>1</v>
      </c>
      <c r="Q594" t="n">
        <v>0.03</v>
      </c>
      <c r="R594" t="n">
        <v>1</v>
      </c>
      <c r="S594" t="n">
        <v>4959.500000000001</v>
      </c>
      <c r="T594" t="n">
        <v>19</v>
      </c>
      <c r="U594" t="n">
        <v>20</v>
      </c>
      <c r="V594" t="n">
        <v>30</v>
      </c>
      <c r="W594" t="n">
        <v>2</v>
      </c>
      <c r="X594" t="n">
        <v>131.8681318681319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3778</v>
      </c>
      <c r="AG594" t="n">
        <v>1</v>
      </c>
      <c r="AH594" t="inlineStr">
        <is>
          <t>PT. BERSAMA DISTRIVERSA INDONESIA (DC CIPUTAT)</t>
        </is>
      </c>
      <c r="AI594" t="n">
        <v>46</v>
      </c>
      <c r="AJ594" t="inlineStr">
        <is>
          <t>BLP</t>
        </is>
      </c>
      <c r="AK594" t="n">
        <v>21</v>
      </c>
      <c r="AL594" t="inlineStr">
        <is>
          <t>Miss Glam Damar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BODY WHITE</t>
        </is>
      </c>
      <c r="B595" s="2">
        <f>"8997031153909"</f>
        <v/>
      </c>
      <c r="C595" t="inlineStr">
        <is>
          <t>BODY WHITE AHA Body Booster White Serum 100ml</t>
        </is>
      </c>
      <c r="D595" t="inlineStr">
        <is>
          <t>Miss Glam Damar</t>
        </is>
      </c>
      <c r="E595" t="n">
        <v>7</v>
      </c>
      <c r="F595" t="n">
        <v>0.7280000000000001</v>
      </c>
      <c r="G595" t="n">
        <v>2.73</v>
      </c>
      <c r="H595" t="n">
        <v>3</v>
      </c>
      <c r="I595" t="n">
        <v>11</v>
      </c>
      <c r="J595" t="n">
        <v>3</v>
      </c>
      <c r="K595" t="n">
        <v>0</v>
      </c>
      <c r="L595" t="n">
        <v>31501</v>
      </c>
      <c r="M595" t="n">
        <v>37500</v>
      </c>
      <c r="N595" t="n">
        <v>91</v>
      </c>
      <c r="O595" t="n">
        <v>0.91</v>
      </c>
      <c r="P595" t="n">
        <v>1</v>
      </c>
      <c r="Q595" t="n">
        <v>0.54</v>
      </c>
      <c r="R595" t="n">
        <v>4</v>
      </c>
      <c r="S595" t="n">
        <v>27300</v>
      </c>
      <c r="T595" t="n">
        <v>28</v>
      </c>
      <c r="U595" t="n">
        <v>31</v>
      </c>
      <c r="V595" t="n">
        <v>30</v>
      </c>
      <c r="W595" t="n">
        <v>22</v>
      </c>
      <c r="X595" t="n">
        <v>9.615384615384615</v>
      </c>
      <c r="Y595" t="n">
        <v>1</v>
      </c>
      <c r="Z595" t="n">
        <v>15</v>
      </c>
      <c r="AA595" t="n">
        <v>2</v>
      </c>
      <c r="AB595" t="n">
        <v>13</v>
      </c>
      <c r="AC595" t="n">
        <v>13</v>
      </c>
      <c r="AD595" t="n">
        <v>63002</v>
      </c>
      <c r="AE595" t="n">
        <v>409513</v>
      </c>
      <c r="AF595" t="n">
        <v>12785</v>
      </c>
      <c r="AG595" t="n">
        <v>2122</v>
      </c>
      <c r="AH595" t="inlineStr">
        <is>
          <t>PT. SINAR PADANG LESTARI - PPN (PDG)</t>
        </is>
      </c>
      <c r="AI595" t="n">
        <v>1830</v>
      </c>
      <c r="AJ595" t="inlineStr">
        <is>
          <t>BODY WHITE</t>
        </is>
      </c>
      <c r="AK595" t="n">
        <v>21</v>
      </c>
      <c r="AL595" t="inlineStr">
        <is>
          <t>Miss Glam Damar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BODY WHITE</t>
        </is>
      </c>
      <c r="B596" s="2">
        <f>"8997031153824"</f>
        <v/>
      </c>
      <c r="C596" t="inlineStr">
        <is>
          <t>BODY WHITE AHA Body Booster White Serum 30ml</t>
        </is>
      </c>
      <c r="D596" t="inlineStr">
        <is>
          <t>Miss Glam Damar</t>
        </is>
      </c>
      <c r="E596" t="n">
        <v>25</v>
      </c>
      <c r="F596" t="n">
        <v>1.6016</v>
      </c>
      <c r="G596" t="n">
        <v>4.55</v>
      </c>
      <c r="H596" t="n">
        <v>3</v>
      </c>
      <c r="I596" t="n">
        <v>11</v>
      </c>
      <c r="J596" t="n">
        <v>3</v>
      </c>
      <c r="K596" t="n">
        <v>0</v>
      </c>
      <c r="L596" t="n">
        <v>15750</v>
      </c>
      <c r="M596" t="n">
        <v>19000</v>
      </c>
      <c r="N596" t="n">
        <v>91</v>
      </c>
      <c r="O596" t="n">
        <v>0.91</v>
      </c>
      <c r="P596" t="n">
        <v>1</v>
      </c>
      <c r="Q596" t="n">
        <v>0.68</v>
      </c>
      <c r="R596" t="n">
        <v>4</v>
      </c>
      <c r="S596" t="n">
        <v>30430.4</v>
      </c>
      <c r="T596" t="n">
        <v>46</v>
      </c>
      <c r="U596" t="n">
        <v>51</v>
      </c>
      <c r="V596" t="n">
        <v>30</v>
      </c>
      <c r="W596" t="n">
        <v>49</v>
      </c>
      <c r="X596" t="n">
        <v>15.60939060939061</v>
      </c>
      <c r="Y596" t="n">
        <v>1</v>
      </c>
      <c r="Z596" t="n">
        <v>24</v>
      </c>
      <c r="AA596" t="n">
        <v>0</v>
      </c>
      <c r="AB596" t="n">
        <v>24</v>
      </c>
      <c r="AC596" t="n">
        <v>24</v>
      </c>
      <c r="AD596" t="n">
        <v>0</v>
      </c>
      <c r="AE596" t="n">
        <v>378000</v>
      </c>
      <c r="AF596" t="n">
        <v>12785</v>
      </c>
      <c r="AG596" t="n">
        <v>2122</v>
      </c>
      <c r="AH596" t="inlineStr">
        <is>
          <t>PT. SINAR PADANG LESTARI - PPN (PDG)</t>
        </is>
      </c>
      <c r="AI596" t="n">
        <v>1830</v>
      </c>
      <c r="AJ596" t="inlineStr">
        <is>
          <t>BODY WHITE</t>
        </is>
      </c>
      <c r="AK596" t="n">
        <v>21</v>
      </c>
      <c r="AL596" t="inlineStr">
        <is>
          <t>Miss Glam Damar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BODY WHITE</t>
        </is>
      </c>
      <c r="B597" s="2">
        <f>"8997031154036"</f>
        <v/>
      </c>
      <c r="C597" t="inlineStr">
        <is>
          <t>BODY WHITE AHA Gluta Hya Brightening Body Tone Up Serum 200ml</t>
        </is>
      </c>
      <c r="D597" t="inlineStr">
        <is>
          <t>Miss Glam Damar</t>
        </is>
      </c>
      <c r="E597" t="n">
        <v>4</v>
      </c>
      <c r="F597" t="n">
        <v>3.0121</v>
      </c>
      <c r="G597" t="n">
        <v>15.47</v>
      </c>
      <c r="H597" t="n">
        <v>3</v>
      </c>
      <c r="I597" t="n">
        <v>11</v>
      </c>
      <c r="J597" t="n">
        <v>3</v>
      </c>
      <c r="K597" t="n">
        <v>0</v>
      </c>
      <c r="L597" t="n">
        <v>31502</v>
      </c>
      <c r="M597" t="n">
        <v>37500</v>
      </c>
      <c r="N597" t="n">
        <v>91</v>
      </c>
      <c r="O597" t="n">
        <v>0.91</v>
      </c>
      <c r="P597" t="n">
        <v>1</v>
      </c>
      <c r="Q597" t="n">
        <v>0.58</v>
      </c>
      <c r="R597" t="n">
        <v>4</v>
      </c>
      <c r="S597" t="n">
        <v>112953.75</v>
      </c>
      <c r="T597" t="n">
        <v>162</v>
      </c>
      <c r="U597" t="n">
        <v>172</v>
      </c>
      <c r="V597" t="n">
        <v>30</v>
      </c>
      <c r="W597" t="n">
        <v>91</v>
      </c>
      <c r="X597" t="n">
        <v>1.327977158792869</v>
      </c>
      <c r="Y597" t="n">
        <v>1</v>
      </c>
      <c r="Z597" t="n">
        <v>87</v>
      </c>
      <c r="AA597" t="n">
        <v>30</v>
      </c>
      <c r="AB597" t="n">
        <v>57</v>
      </c>
      <c r="AC597" t="n">
        <v>57</v>
      </c>
      <c r="AD597" t="n">
        <v>945060</v>
      </c>
      <c r="AE597" t="n">
        <v>1795614</v>
      </c>
      <c r="AF597" t="n">
        <v>12785</v>
      </c>
      <c r="AG597" t="n">
        <v>2122</v>
      </c>
      <c r="AH597" t="inlineStr">
        <is>
          <t>PT. SINAR PADANG LESTARI - PPN (PDG)</t>
        </is>
      </c>
      <c r="AI597" t="n">
        <v>1830</v>
      </c>
      <c r="AJ597" t="inlineStr">
        <is>
          <t>BODY WHITE</t>
        </is>
      </c>
      <c r="AK597" t="n">
        <v>21</v>
      </c>
      <c r="AL597" t="inlineStr">
        <is>
          <t>Miss Glam Damar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BODY WHITE</t>
        </is>
      </c>
      <c r="B598" s="2">
        <f>"8997031153954"</f>
        <v/>
      </c>
      <c r="C598" t="inlineStr">
        <is>
          <t>BODY WHITE AHA Underarm Bright Cream 50ml</t>
        </is>
      </c>
      <c r="D598" t="inlineStr">
        <is>
          <t>Miss Glam Damar</t>
        </is>
      </c>
      <c r="E598" t="n">
        <v>3</v>
      </c>
      <c r="F598" t="n">
        <v>0.2002</v>
      </c>
      <c r="G598" t="n">
        <v>1.82</v>
      </c>
      <c r="H598" t="n">
        <v>3</v>
      </c>
      <c r="I598" t="n">
        <v>11</v>
      </c>
      <c r="J598" t="n">
        <v>3</v>
      </c>
      <c r="K598" t="n">
        <v>0</v>
      </c>
      <c r="L598" t="n">
        <v>22500</v>
      </c>
      <c r="M598" t="n">
        <v>26500</v>
      </c>
      <c r="N598" t="n">
        <v>91</v>
      </c>
      <c r="O598" t="n">
        <v>0.91</v>
      </c>
      <c r="P598" t="n">
        <v>1</v>
      </c>
      <c r="Q598" t="n">
        <v>0.08</v>
      </c>
      <c r="R598" t="n">
        <v>1</v>
      </c>
      <c r="S598" t="n">
        <v>5305.3</v>
      </c>
      <c r="T598" t="n">
        <v>20</v>
      </c>
      <c r="U598" t="n">
        <v>21</v>
      </c>
      <c r="V598" t="n">
        <v>30</v>
      </c>
      <c r="W598" t="n">
        <v>7</v>
      </c>
      <c r="X598" t="n">
        <v>14.98501498501498</v>
      </c>
      <c r="Y598" t="n">
        <v>1</v>
      </c>
      <c r="Z598" t="n">
        <v>4</v>
      </c>
      <c r="AA598" t="n">
        <v>0</v>
      </c>
      <c r="AB598" t="n">
        <v>4</v>
      </c>
      <c r="AC598" t="n">
        <v>4</v>
      </c>
      <c r="AD598" t="n">
        <v>0</v>
      </c>
      <c r="AE598" t="n">
        <v>90000</v>
      </c>
      <c r="AF598" t="n">
        <v>12785</v>
      </c>
      <c r="AG598" t="n">
        <v>2122</v>
      </c>
      <c r="AH598" t="inlineStr">
        <is>
          <t>PT. SINAR PADANG LESTARI - PPN (PDG)</t>
        </is>
      </c>
      <c r="AI598" t="n">
        <v>1830</v>
      </c>
      <c r="AJ598" t="inlineStr">
        <is>
          <t>BODY WHITE</t>
        </is>
      </c>
      <c r="AK598" t="n">
        <v>21</v>
      </c>
      <c r="AL598" t="inlineStr">
        <is>
          <t>Miss Glam Damar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BONAVIE</t>
        </is>
      </c>
      <c r="B599" s="2">
        <f>"8997220244548"</f>
        <v/>
      </c>
      <c r="C599" t="inlineStr">
        <is>
          <t>BONAVIE Body Mist Fleur du Jardin 30ml</t>
        </is>
      </c>
      <c r="D599" t="inlineStr">
        <is>
          <t>Miss Glam Damar</t>
        </is>
      </c>
      <c r="E599" t="n">
        <v>2</v>
      </c>
      <c r="F599" t="n">
        <v>0.2457</v>
      </c>
      <c r="G599" t="n">
        <v>1.82</v>
      </c>
      <c r="H599" t="n">
        <v>1</v>
      </c>
      <c r="I599" t="n">
        <v>7</v>
      </c>
      <c r="J599" t="n">
        <v>3</v>
      </c>
      <c r="K599" t="n">
        <v>0</v>
      </c>
      <c r="L599" t="n">
        <v>17425</v>
      </c>
      <c r="M599" t="n">
        <v>20500</v>
      </c>
      <c r="N599" t="n">
        <v>91</v>
      </c>
      <c r="O599" t="n">
        <v>0.91</v>
      </c>
      <c r="P599" t="n">
        <v>1</v>
      </c>
      <c r="Q599" t="n">
        <v>0.07000000000000001</v>
      </c>
      <c r="R599" t="n">
        <v>1</v>
      </c>
      <c r="S599" t="n">
        <v>5036.85</v>
      </c>
      <c r="T599" t="n">
        <v>13</v>
      </c>
      <c r="U599" t="n">
        <v>14</v>
      </c>
      <c r="V599" t="n">
        <v>30</v>
      </c>
      <c r="W599" t="n">
        <v>8</v>
      </c>
      <c r="X599" t="n">
        <v>8.140008140008138</v>
      </c>
      <c r="Y599" t="n">
        <v>1</v>
      </c>
      <c r="Z599" t="n">
        <v>6</v>
      </c>
      <c r="AA599" t="n">
        <v>0</v>
      </c>
      <c r="AB599" t="n">
        <v>6</v>
      </c>
      <c r="AC599" t="n">
        <v>6</v>
      </c>
      <c r="AD599" t="n">
        <v>0</v>
      </c>
      <c r="AE599" t="n">
        <v>104550</v>
      </c>
      <c r="AF599" t="n">
        <v>11135</v>
      </c>
      <c r="AG599" t="n">
        <v>54</v>
      </c>
      <c r="AH599" t="inlineStr">
        <is>
          <t>PT. MIRANTI ADILLHA - PPN (PDG)</t>
        </is>
      </c>
      <c r="AI599" t="n">
        <v>1434</v>
      </c>
      <c r="AJ599" t="inlineStr">
        <is>
          <t>BONAVIE</t>
        </is>
      </c>
      <c r="AK599" t="n">
        <v>21</v>
      </c>
      <c r="AL599" t="inlineStr">
        <is>
          <t>Miss Glam Damar</t>
        </is>
      </c>
      <c r="AM599" t="n">
        <v>3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BONAVIE</t>
        </is>
      </c>
      <c r="B600" s="2">
        <f>"8997220244531"</f>
        <v/>
      </c>
      <c r="C600" t="inlineStr">
        <is>
          <t>BONAVIE Body Mist Maison du Safran 30ml</t>
        </is>
      </c>
      <c r="D600" t="inlineStr">
        <is>
          <t>Miss Glam Damar</t>
        </is>
      </c>
      <c r="E600" t="n">
        <v>6</v>
      </c>
      <c r="F600" t="n">
        <v>0.3094</v>
      </c>
      <c r="G600" t="n">
        <v>1.82</v>
      </c>
      <c r="H600" t="n">
        <v>1</v>
      </c>
      <c r="I600" t="n">
        <v>7</v>
      </c>
      <c r="J600" t="n">
        <v>3</v>
      </c>
      <c r="K600" t="n">
        <v>0</v>
      </c>
      <c r="L600" t="n">
        <v>17425</v>
      </c>
      <c r="M600" t="n">
        <v>20500</v>
      </c>
      <c r="N600" t="n">
        <v>91</v>
      </c>
      <c r="O600" t="n">
        <v>0.91</v>
      </c>
      <c r="P600" t="n">
        <v>1</v>
      </c>
      <c r="Q600" t="n">
        <v>0.1</v>
      </c>
      <c r="R600" t="n">
        <v>2</v>
      </c>
      <c r="S600" t="n">
        <v>6342.7</v>
      </c>
      <c r="T600" t="n">
        <v>13</v>
      </c>
      <c r="U600" t="n">
        <v>14</v>
      </c>
      <c r="V600" t="n">
        <v>30</v>
      </c>
      <c r="W600" t="n">
        <v>10</v>
      </c>
      <c r="X600" t="n">
        <v>19.3923723335488</v>
      </c>
      <c r="Y600" t="n">
        <v>1</v>
      </c>
      <c r="Z600" t="n">
        <v>4</v>
      </c>
      <c r="AA600" t="n">
        <v>0</v>
      </c>
      <c r="AB600" t="n">
        <v>4</v>
      </c>
      <c r="AC600" t="n">
        <v>4</v>
      </c>
      <c r="AD600" t="n">
        <v>0</v>
      </c>
      <c r="AE600" t="n">
        <v>69700</v>
      </c>
      <c r="AF600" t="n">
        <v>11135</v>
      </c>
      <c r="AG600" t="n">
        <v>54</v>
      </c>
      <c r="AH600" t="inlineStr">
        <is>
          <t>PT. MIRANTI ADILLHA - PPN (PDG)</t>
        </is>
      </c>
      <c r="AI600" t="n">
        <v>1434</v>
      </c>
      <c r="AJ600" t="inlineStr">
        <is>
          <t>BONAVIE</t>
        </is>
      </c>
      <c r="AK600" t="n">
        <v>21</v>
      </c>
      <c r="AL600" t="inlineStr">
        <is>
          <t>Miss Glam Damar</t>
        </is>
      </c>
      <c r="AM600" t="n">
        <v>3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BONAVIE</t>
        </is>
      </c>
      <c r="B601" s="2">
        <f>"8997220244524"</f>
        <v/>
      </c>
      <c r="C601" t="inlineStr">
        <is>
          <t>BONAVIE Body Mist Marie Antoinette 30ml</t>
        </is>
      </c>
      <c r="D601" t="inlineStr">
        <is>
          <t>Miss Glam Damar</t>
        </is>
      </c>
      <c r="E601" t="n">
        <v>6</v>
      </c>
      <c r="F601" t="n">
        <v>0.1274</v>
      </c>
      <c r="G601" t="n">
        <v>0.91</v>
      </c>
      <c r="H601" t="n">
        <v>1</v>
      </c>
      <c r="I601" t="n">
        <v>7</v>
      </c>
      <c r="J601" t="n">
        <v>3</v>
      </c>
      <c r="K601" t="n">
        <v>0</v>
      </c>
      <c r="L601" t="n">
        <v>17425</v>
      </c>
      <c r="M601" t="n">
        <v>20500</v>
      </c>
      <c r="N601" t="n">
        <v>91</v>
      </c>
      <c r="O601" t="n">
        <v>0.91</v>
      </c>
      <c r="P601" t="n">
        <v>1</v>
      </c>
      <c r="Q601" t="n">
        <v>0.07000000000000001</v>
      </c>
      <c r="R601" t="n">
        <v>1</v>
      </c>
      <c r="S601" t="n">
        <v>2611.7</v>
      </c>
      <c r="T601" t="n">
        <v>7</v>
      </c>
      <c r="U601" t="n">
        <v>8</v>
      </c>
      <c r="V601" t="n">
        <v>30</v>
      </c>
      <c r="W601" t="n">
        <v>4</v>
      </c>
      <c r="X601" t="n">
        <v>47.09576138147566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11135</v>
      </c>
      <c r="AG601" t="n">
        <v>54</v>
      </c>
      <c r="AH601" t="inlineStr">
        <is>
          <t>PT. MIRANTI ADILLHA - PPN (PDG)</t>
        </is>
      </c>
      <c r="AI601" t="n">
        <v>1434</v>
      </c>
      <c r="AJ601" t="inlineStr">
        <is>
          <t>BONAVIE</t>
        </is>
      </c>
      <c r="AK601" t="n">
        <v>21</v>
      </c>
      <c r="AL601" t="inlineStr">
        <is>
          <t>Miss Glam Damar</t>
        </is>
      </c>
      <c r="AM601" t="n">
        <v>3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BONAVIE</t>
        </is>
      </c>
      <c r="B602" s="2">
        <f>"8997220245033"</f>
        <v/>
      </c>
      <c r="C602" t="inlineStr">
        <is>
          <t>BONAVIE Eau de Parfum - Crème Canele 30ml</t>
        </is>
      </c>
      <c r="D602" t="inlineStr">
        <is>
          <t>Miss Glam Damar</t>
        </is>
      </c>
      <c r="E602" t="n">
        <v>0</v>
      </c>
      <c r="F602" t="n">
        <v>2.2204</v>
      </c>
      <c r="G602" t="n">
        <v>3.64</v>
      </c>
      <c r="H602" t="n">
        <v>1</v>
      </c>
      <c r="I602" t="n">
        <v>7</v>
      </c>
      <c r="J602" t="n">
        <v>3</v>
      </c>
      <c r="K602" t="n">
        <v>0</v>
      </c>
      <c r="L602" t="n">
        <v>44203</v>
      </c>
      <c r="M602" t="n">
        <v>52000</v>
      </c>
      <c r="N602" t="n">
        <v>91</v>
      </c>
      <c r="O602" t="n">
        <v>0.91</v>
      </c>
      <c r="P602" t="n">
        <v>1</v>
      </c>
      <c r="Q602" t="n">
        <v>0.64</v>
      </c>
      <c r="R602" t="n">
        <v>3</v>
      </c>
      <c r="S602" t="n">
        <v>115460.8</v>
      </c>
      <c r="T602" t="n">
        <v>24</v>
      </c>
      <c r="U602" t="n">
        <v>27</v>
      </c>
      <c r="V602" t="n">
        <v>30</v>
      </c>
      <c r="W602" t="n">
        <v>67</v>
      </c>
      <c r="X602" t="n">
        <v>0</v>
      </c>
      <c r="Y602" t="n">
        <v>1</v>
      </c>
      <c r="Z602" t="n">
        <v>67</v>
      </c>
      <c r="AA602" t="n">
        <v>16</v>
      </c>
      <c r="AB602" t="n">
        <v>51</v>
      </c>
      <c r="AC602" t="n">
        <v>51</v>
      </c>
      <c r="AD602" t="n">
        <v>707248</v>
      </c>
      <c r="AE602" t="n">
        <v>2254353</v>
      </c>
      <c r="AF602" t="n">
        <v>11135</v>
      </c>
      <c r="AG602" t="n">
        <v>54</v>
      </c>
      <c r="AH602" t="inlineStr">
        <is>
          <t>PT. MIRANTI ADILLHA - PPN (PDG)</t>
        </is>
      </c>
      <c r="AI602" t="n">
        <v>1434</v>
      </c>
      <c r="AJ602" t="inlineStr">
        <is>
          <t>BONAVIE</t>
        </is>
      </c>
      <c r="AK602" t="n">
        <v>21</v>
      </c>
      <c r="AL602" t="inlineStr">
        <is>
          <t>Miss Glam Damar</t>
        </is>
      </c>
      <c r="AM602" t="n">
        <v>3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BONAVIE</t>
        </is>
      </c>
      <c r="B603" s="2">
        <f>"8997220245040"</f>
        <v/>
      </c>
      <c r="C603" t="inlineStr">
        <is>
          <t>BONAVIE Eau de Parfum - Fleur du Jardin 30ml</t>
        </is>
      </c>
      <c r="D603" t="inlineStr">
        <is>
          <t>Miss Glam Damar</t>
        </is>
      </c>
      <c r="E603" t="n">
        <v>2</v>
      </c>
      <c r="F603" t="n">
        <v>2.1567</v>
      </c>
      <c r="G603" t="n">
        <v>5.46</v>
      </c>
      <c r="H603" t="n">
        <v>1</v>
      </c>
      <c r="I603" t="n">
        <v>7</v>
      </c>
      <c r="J603" t="n">
        <v>12</v>
      </c>
      <c r="K603" t="n">
        <v>0</v>
      </c>
      <c r="L603" t="n">
        <v>44204</v>
      </c>
      <c r="M603" t="n">
        <v>52000</v>
      </c>
      <c r="N603" t="n">
        <v>91</v>
      </c>
      <c r="O603" t="n">
        <v>0.91</v>
      </c>
      <c r="P603" t="n">
        <v>1</v>
      </c>
      <c r="Q603" t="n">
        <v>0.8100000000000001</v>
      </c>
      <c r="R603" t="n">
        <v>2</v>
      </c>
      <c r="S603" t="n">
        <v>112148.4</v>
      </c>
      <c r="T603" t="n">
        <v>37</v>
      </c>
      <c r="U603" t="n">
        <v>40</v>
      </c>
      <c r="V603" t="n">
        <v>30</v>
      </c>
      <c r="W603" t="n">
        <v>65</v>
      </c>
      <c r="X603" t="n">
        <v>0.9273426994945981</v>
      </c>
      <c r="Y603" t="n">
        <v>1</v>
      </c>
      <c r="Z603" t="n">
        <v>63</v>
      </c>
      <c r="AA603" t="n">
        <v>14</v>
      </c>
      <c r="AB603" t="n">
        <v>49</v>
      </c>
      <c r="AC603" t="n">
        <v>49</v>
      </c>
      <c r="AD603" t="n">
        <v>618856</v>
      </c>
      <c r="AE603" t="n">
        <v>2165996</v>
      </c>
      <c r="AF603" t="n">
        <v>11135</v>
      </c>
      <c r="AG603" t="n">
        <v>54</v>
      </c>
      <c r="AH603" t="inlineStr">
        <is>
          <t>PT. MIRANTI ADILLHA - PPN (PDG)</t>
        </is>
      </c>
      <c r="AI603" t="n">
        <v>1434</v>
      </c>
      <c r="AJ603" t="inlineStr">
        <is>
          <t>BONAVIE</t>
        </is>
      </c>
      <c r="AK603" t="n">
        <v>21</v>
      </c>
      <c r="AL603" t="inlineStr">
        <is>
          <t>Miss Glam Damar</t>
        </is>
      </c>
      <c r="AM603" t="n">
        <v>3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BONAVIE</t>
        </is>
      </c>
      <c r="B604" s="2">
        <f>"8997220245262"</f>
        <v/>
      </c>
      <c r="C604" t="inlineStr">
        <is>
          <t>BONAVIE Eau de Parfum - Le Jasmin Doux 30ml</t>
        </is>
      </c>
      <c r="D604" t="inlineStr">
        <is>
          <t>Miss Glam Damar</t>
        </is>
      </c>
      <c r="E604" t="n">
        <v>14</v>
      </c>
      <c r="F604" t="n">
        <v>0.8008000000000001</v>
      </c>
      <c r="G604" t="n">
        <v>1.82</v>
      </c>
      <c r="H604" t="n">
        <v>1</v>
      </c>
      <c r="I604" t="n">
        <v>7</v>
      </c>
      <c r="J604" t="n">
        <v>3</v>
      </c>
      <c r="K604" t="n">
        <v>0</v>
      </c>
      <c r="L604" t="n">
        <v>44203</v>
      </c>
      <c r="M604" t="n">
        <v>52500</v>
      </c>
      <c r="N604" t="n">
        <v>91</v>
      </c>
      <c r="O604" t="n">
        <v>0.91</v>
      </c>
      <c r="P604" t="n">
        <v>1</v>
      </c>
      <c r="Q604" t="n">
        <v>0.37</v>
      </c>
      <c r="R604" t="n">
        <v>2</v>
      </c>
      <c r="S604" t="n">
        <v>42042</v>
      </c>
      <c r="T604" t="n">
        <v>12</v>
      </c>
      <c r="U604" t="n">
        <v>13</v>
      </c>
      <c r="V604" t="n">
        <v>30</v>
      </c>
      <c r="W604" t="n">
        <v>25</v>
      </c>
      <c r="X604" t="n">
        <v>17.48251748251748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11135</v>
      </c>
      <c r="AG604" t="n">
        <v>54</v>
      </c>
      <c r="AH604" t="inlineStr">
        <is>
          <t>PT. MIRANTI ADILLHA - PPN (PDG)</t>
        </is>
      </c>
      <c r="AI604" t="n">
        <v>1434</v>
      </c>
      <c r="AJ604" t="inlineStr">
        <is>
          <t>BONAVIE</t>
        </is>
      </c>
      <c r="AK604" t="n">
        <v>21</v>
      </c>
      <c r="AL604" t="inlineStr">
        <is>
          <t>Miss Glam Damar</t>
        </is>
      </c>
      <c r="AM604" t="n">
        <v>3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BONAVIE</t>
        </is>
      </c>
      <c r="B605" s="2">
        <f>"8997220245026"</f>
        <v/>
      </c>
      <c r="C605" t="inlineStr">
        <is>
          <t>BONAVIE Eau de Parfum - Marie Antoinette 30ml</t>
        </is>
      </c>
      <c r="D605" t="inlineStr">
        <is>
          <t>Miss Glam Damar</t>
        </is>
      </c>
      <c r="E605" t="n">
        <v>13</v>
      </c>
      <c r="F605" t="n">
        <v>0.7098000000000001</v>
      </c>
      <c r="G605" t="n">
        <v>2.73</v>
      </c>
      <c r="H605" t="n">
        <v>1</v>
      </c>
      <c r="I605" t="n">
        <v>7</v>
      </c>
      <c r="J605" t="n">
        <v>3</v>
      </c>
      <c r="K605" t="n">
        <v>0</v>
      </c>
      <c r="L605" t="n">
        <v>44203</v>
      </c>
      <c r="M605" t="n">
        <v>52000</v>
      </c>
      <c r="N605" t="n">
        <v>91</v>
      </c>
      <c r="O605" t="n">
        <v>0.91</v>
      </c>
      <c r="P605" t="n">
        <v>1</v>
      </c>
      <c r="Q605" t="n">
        <v>0.51</v>
      </c>
      <c r="R605" t="n">
        <v>2</v>
      </c>
      <c r="S605" t="n">
        <v>36909.60000000001</v>
      </c>
      <c r="T605" t="n">
        <v>19</v>
      </c>
      <c r="U605" t="n">
        <v>20</v>
      </c>
      <c r="V605" t="n">
        <v>30</v>
      </c>
      <c r="W605" t="n">
        <v>22</v>
      </c>
      <c r="X605" t="n">
        <v>18.31501831501831</v>
      </c>
      <c r="Y605" t="n">
        <v>1</v>
      </c>
      <c r="Z605" t="n">
        <v>9</v>
      </c>
      <c r="AA605" t="n">
        <v>0</v>
      </c>
      <c r="AB605" t="n">
        <v>9</v>
      </c>
      <c r="AC605" t="n">
        <v>9</v>
      </c>
      <c r="AD605" t="n">
        <v>0</v>
      </c>
      <c r="AE605" t="n">
        <v>397827</v>
      </c>
      <c r="AF605" t="n">
        <v>11135</v>
      </c>
      <c r="AG605" t="n">
        <v>54</v>
      </c>
      <c r="AH605" t="inlineStr">
        <is>
          <t>PT. MIRANTI ADILLHA - PPN (PDG)</t>
        </is>
      </c>
      <c r="AI605" t="n">
        <v>1434</v>
      </c>
      <c r="AJ605" t="inlineStr">
        <is>
          <t>BONAVIE</t>
        </is>
      </c>
      <c r="AK605" t="n">
        <v>21</v>
      </c>
      <c r="AL605" t="inlineStr">
        <is>
          <t>Miss Glam Damar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BONAVIE</t>
        </is>
      </c>
      <c r="B606" s="2">
        <f>"8997220245330"</f>
        <v/>
      </c>
      <c r="C606" t="inlineStr">
        <is>
          <t>BONAVIE Eau de Parfum - Mon Petit Soleil 30ml</t>
        </is>
      </c>
      <c r="D606" t="inlineStr">
        <is>
          <t>Miss Glam Damar</t>
        </is>
      </c>
      <c r="E606" t="n">
        <v>-2</v>
      </c>
      <c r="F606" t="n">
        <v>1.3923</v>
      </c>
      <c r="G606" t="n">
        <v>3.64</v>
      </c>
      <c r="H606" t="n">
        <v>1</v>
      </c>
      <c r="I606" t="n">
        <v>7</v>
      </c>
      <c r="J606" t="n">
        <v>3</v>
      </c>
      <c r="K606" t="n">
        <v>0</v>
      </c>
      <c r="L606" t="n">
        <v>44203</v>
      </c>
      <c r="M606" t="n">
        <v>52000</v>
      </c>
      <c r="N606" t="n">
        <v>91</v>
      </c>
      <c r="O606" t="n">
        <v>0.91</v>
      </c>
      <c r="P606" t="n">
        <v>1</v>
      </c>
      <c r="Q606" t="n">
        <v>0.52</v>
      </c>
      <c r="R606" t="n">
        <v>1</v>
      </c>
      <c r="S606" t="n">
        <v>72399.60000000001</v>
      </c>
      <c r="T606" t="n">
        <v>25</v>
      </c>
      <c r="U606" t="n">
        <v>27</v>
      </c>
      <c r="V606" t="n">
        <v>30</v>
      </c>
      <c r="W606" t="n">
        <v>42</v>
      </c>
      <c r="X606" t="n">
        <v>-1.436472024707319</v>
      </c>
      <c r="Y606" t="n">
        <v>1</v>
      </c>
      <c r="Z606" t="n">
        <v>44</v>
      </c>
      <c r="AA606" t="n">
        <v>12</v>
      </c>
      <c r="AB606" t="n">
        <v>32</v>
      </c>
      <c r="AC606" t="n">
        <v>32</v>
      </c>
      <c r="AD606" t="n">
        <v>530436</v>
      </c>
      <c r="AE606" t="n">
        <v>1414496</v>
      </c>
      <c r="AF606" t="n">
        <v>11135</v>
      </c>
      <c r="AG606" t="n">
        <v>54</v>
      </c>
      <c r="AH606" t="inlineStr">
        <is>
          <t>PT. MIRANTI ADILLHA - PPN (PDG)</t>
        </is>
      </c>
      <c r="AI606" t="n">
        <v>1434</v>
      </c>
      <c r="AJ606" t="inlineStr">
        <is>
          <t>BONAVIE</t>
        </is>
      </c>
      <c r="AK606" t="n">
        <v>21</v>
      </c>
      <c r="AL606" t="inlineStr">
        <is>
          <t>Miss Glam Damar</t>
        </is>
      </c>
      <c r="AM606" t="n">
        <v>3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BONAVIE</t>
        </is>
      </c>
      <c r="B607" s="2">
        <f>"30400261525"</f>
        <v/>
      </c>
      <c r="C607" t="inlineStr">
        <is>
          <t>BONAVIE Eau De Parfume Foret de Wulong 30ml</t>
        </is>
      </c>
      <c r="D607" t="inlineStr">
        <is>
          <t>Miss Glam Damar</t>
        </is>
      </c>
      <c r="E607" t="n">
        <v>3</v>
      </c>
      <c r="F607" t="n">
        <v>0.5277999999999999</v>
      </c>
      <c r="G607" t="n">
        <v>1.82</v>
      </c>
      <c r="H607" t="n">
        <v>1</v>
      </c>
      <c r="I607" t="n">
        <v>7</v>
      </c>
      <c r="J607" t="n">
        <v>1</v>
      </c>
      <c r="K607" t="n">
        <v>0</v>
      </c>
      <c r="L607" t="n">
        <v>44203</v>
      </c>
      <c r="M607" t="n">
        <v>52000</v>
      </c>
      <c r="N607" t="n">
        <v>91</v>
      </c>
      <c r="O607" t="n">
        <v>0.91</v>
      </c>
      <c r="P607" t="n">
        <v>1</v>
      </c>
      <c r="Q607" t="n">
        <v>0.54</v>
      </c>
      <c r="R607" t="n">
        <v>3</v>
      </c>
      <c r="S607" t="n">
        <v>27445.59999999999</v>
      </c>
      <c r="T607" t="n">
        <v>13</v>
      </c>
      <c r="U607" t="n">
        <v>14</v>
      </c>
      <c r="V607" t="n">
        <v>30</v>
      </c>
      <c r="W607" t="n">
        <v>16</v>
      </c>
      <c r="X607" t="n">
        <v>5.683971201212581</v>
      </c>
      <c r="Y607" t="n">
        <v>1</v>
      </c>
      <c r="Z607" t="n">
        <v>13</v>
      </c>
      <c r="AA607" t="n">
        <v>1</v>
      </c>
      <c r="AB607" t="n">
        <v>12</v>
      </c>
      <c r="AC607" t="n">
        <v>12</v>
      </c>
      <c r="AD607" t="n">
        <v>44203</v>
      </c>
      <c r="AE607" t="n">
        <v>530436</v>
      </c>
      <c r="AF607" t="n">
        <v>11135</v>
      </c>
      <c r="AG607" t="n">
        <v>54</v>
      </c>
      <c r="AH607" t="inlineStr">
        <is>
          <t>PT. MIRANTI ADILLHA - PPN (PDG)</t>
        </is>
      </c>
      <c r="AI607" t="n">
        <v>1434</v>
      </c>
      <c r="AJ607" t="inlineStr">
        <is>
          <t>BONAVIE</t>
        </is>
      </c>
      <c r="AK607" t="n">
        <v>21</v>
      </c>
      <c r="AL607" t="inlineStr">
        <is>
          <t>Miss Glam Damar</t>
        </is>
      </c>
      <c r="AM607" t="n">
        <v>3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BONAVIE</t>
        </is>
      </c>
      <c r="B608" s="2">
        <f>"30400264422"</f>
        <v/>
      </c>
      <c r="C608" t="inlineStr">
        <is>
          <t>BONAVIE Extrait de Parfum Balm Crème Canele 3.5gr</t>
        </is>
      </c>
      <c r="D608" t="inlineStr">
        <is>
          <t>Miss Glam Damar</t>
        </is>
      </c>
      <c r="E608" t="n">
        <v>2</v>
      </c>
      <c r="F608" t="n">
        <v>0.2457</v>
      </c>
      <c r="G608" t="n">
        <v>0.91</v>
      </c>
      <c r="H608" t="n">
        <v>1</v>
      </c>
      <c r="I608" t="n">
        <v>7</v>
      </c>
      <c r="J608" t="n">
        <v>1</v>
      </c>
      <c r="K608" t="n">
        <v>0</v>
      </c>
      <c r="L608" t="n">
        <v>44200</v>
      </c>
      <c r="M608" t="n">
        <v>52000</v>
      </c>
      <c r="N608" t="n">
        <v>91</v>
      </c>
      <c r="O608" t="n">
        <v>0.91</v>
      </c>
      <c r="P608" t="n">
        <v>1</v>
      </c>
      <c r="Q608" t="n">
        <v>0.34</v>
      </c>
      <c r="R608" t="n">
        <v>1</v>
      </c>
      <c r="S608" t="n">
        <v>12776.4</v>
      </c>
      <c r="T608" t="n">
        <v>7</v>
      </c>
      <c r="U608" t="n">
        <v>8</v>
      </c>
      <c r="V608" t="n">
        <v>30</v>
      </c>
      <c r="W608" t="n">
        <v>8</v>
      </c>
      <c r="X608" t="n">
        <v>8.140008140008138</v>
      </c>
      <c r="Y608" t="n">
        <v>1</v>
      </c>
      <c r="Z608" t="n">
        <v>6</v>
      </c>
      <c r="AA608" t="n">
        <v>0</v>
      </c>
      <c r="AB608" t="n">
        <v>6</v>
      </c>
      <c r="AC608" t="n">
        <v>6</v>
      </c>
      <c r="AD608" t="n">
        <v>0</v>
      </c>
      <c r="AE608" t="n">
        <v>265200</v>
      </c>
      <c r="AF608" t="n">
        <v>11135</v>
      </c>
      <c r="AG608" t="n">
        <v>54</v>
      </c>
      <c r="AH608" t="inlineStr">
        <is>
          <t>PT. MIRANTI ADILLHA - PPN (PDG)</t>
        </is>
      </c>
      <c r="AI608" t="n">
        <v>1434</v>
      </c>
      <c r="AJ608" t="inlineStr">
        <is>
          <t>BONAVIE</t>
        </is>
      </c>
      <c r="AK608" t="n">
        <v>21</v>
      </c>
      <c r="AL608" t="inlineStr">
        <is>
          <t>Miss Glam Damar</t>
        </is>
      </c>
      <c r="AM608" t="n">
        <v>3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BONAVIE</t>
        </is>
      </c>
      <c r="B609" s="2">
        <f>"30400264553"</f>
        <v/>
      </c>
      <c r="C609" t="inlineStr">
        <is>
          <t>BONAVIE Extrait de Parfum Balm Fleur du Jardin 3.5gr</t>
        </is>
      </c>
      <c r="D609" t="inlineStr">
        <is>
          <t>Miss Glam Damar</t>
        </is>
      </c>
      <c r="E609" t="n">
        <v>7</v>
      </c>
      <c r="F609" t="n">
        <v>0.3731</v>
      </c>
      <c r="G609" t="n">
        <v>2.73</v>
      </c>
      <c r="H609" t="n">
        <v>1</v>
      </c>
      <c r="I609" t="n">
        <v>7</v>
      </c>
      <c r="J609" t="n">
        <v>1</v>
      </c>
      <c r="K609" t="n">
        <v>0</v>
      </c>
      <c r="L609" t="n">
        <v>44200</v>
      </c>
      <c r="M609" t="n">
        <v>52000</v>
      </c>
      <c r="N609" t="n">
        <v>91</v>
      </c>
      <c r="O609" t="n">
        <v>0.91</v>
      </c>
      <c r="P609" t="n">
        <v>1</v>
      </c>
      <c r="Q609" t="n">
        <v>0.17</v>
      </c>
      <c r="R609" t="n">
        <v>1</v>
      </c>
      <c r="S609" t="n">
        <v>19401.2</v>
      </c>
      <c r="T609" t="n">
        <v>19</v>
      </c>
      <c r="U609" t="n">
        <v>20</v>
      </c>
      <c r="V609" t="n">
        <v>30</v>
      </c>
      <c r="W609" t="n">
        <v>12</v>
      </c>
      <c r="X609" t="n">
        <v>18.76172607879925</v>
      </c>
      <c r="Y609" t="n">
        <v>1</v>
      </c>
      <c r="Z609" t="n">
        <v>5</v>
      </c>
      <c r="AA609" t="n">
        <v>0</v>
      </c>
      <c r="AB609" t="n">
        <v>5</v>
      </c>
      <c r="AC609" t="n">
        <v>5</v>
      </c>
      <c r="AD609" t="n">
        <v>0</v>
      </c>
      <c r="AE609" t="n">
        <v>221000</v>
      </c>
      <c r="AF609" t="n">
        <v>11135</v>
      </c>
      <c r="AG609" t="n">
        <v>54</v>
      </c>
      <c r="AH609" t="inlineStr">
        <is>
          <t>PT. MIRANTI ADILLHA - PPN (PDG)</t>
        </is>
      </c>
      <c r="AI609" t="n">
        <v>1434</v>
      </c>
      <c r="AJ609" t="inlineStr">
        <is>
          <t>BONAVIE</t>
        </is>
      </c>
      <c r="AK609" t="n">
        <v>21</v>
      </c>
      <c r="AL609" t="inlineStr">
        <is>
          <t>Miss Glam Damar</t>
        </is>
      </c>
      <c r="AM609" t="n">
        <v>3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BONAVIE</t>
        </is>
      </c>
      <c r="B610" s="2">
        <f>"30400264335"</f>
        <v/>
      </c>
      <c r="C610" t="inlineStr">
        <is>
          <t>BONAVIE Extrait de Parfum Balm Marie Antoinette 3.5gr</t>
        </is>
      </c>
      <c r="D610" t="inlineStr">
        <is>
          <t>Miss Glam Damar</t>
        </is>
      </c>
      <c r="E610" t="n">
        <v>7</v>
      </c>
      <c r="F610" t="n">
        <v>0.1274</v>
      </c>
      <c r="G610" t="n">
        <v>0.91</v>
      </c>
      <c r="H610" t="n">
        <v>1</v>
      </c>
      <c r="I610" t="n">
        <v>7</v>
      </c>
      <c r="J610" t="n">
        <v>1</v>
      </c>
      <c r="K610" t="n">
        <v>0</v>
      </c>
      <c r="L610" t="n">
        <v>44200</v>
      </c>
      <c r="M610" t="n">
        <v>52000</v>
      </c>
      <c r="N610" t="n">
        <v>91</v>
      </c>
      <c r="O610" t="n">
        <v>0.91</v>
      </c>
      <c r="P610" t="n">
        <v>1</v>
      </c>
      <c r="Q610" t="n">
        <v>0.17</v>
      </c>
      <c r="R610" t="n">
        <v>2</v>
      </c>
      <c r="S610" t="n">
        <v>6624.800000000001</v>
      </c>
      <c r="T610" t="n">
        <v>7</v>
      </c>
      <c r="U610" t="n">
        <v>8</v>
      </c>
      <c r="V610" t="n">
        <v>30</v>
      </c>
      <c r="W610" t="n">
        <v>4</v>
      </c>
      <c r="X610" t="n">
        <v>54.94505494505494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11135</v>
      </c>
      <c r="AG610" t="n">
        <v>54</v>
      </c>
      <c r="AH610" t="inlineStr">
        <is>
          <t>PT. MIRANTI ADILLHA - PPN (PDG)</t>
        </is>
      </c>
      <c r="AI610" t="n">
        <v>1434</v>
      </c>
      <c r="AJ610" t="inlineStr">
        <is>
          <t>BONAVIE</t>
        </is>
      </c>
      <c r="AK610" t="n">
        <v>21</v>
      </c>
      <c r="AL610" t="inlineStr">
        <is>
          <t>Miss Glam Damar</t>
        </is>
      </c>
      <c r="AM610" t="n">
        <v>3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BONAVIE</t>
        </is>
      </c>
      <c r="B611" s="2">
        <f>"8997220246177"</f>
        <v/>
      </c>
      <c r="C611" t="inlineStr">
        <is>
          <t>BONAVIE Fau De Parfum Poudret Et Plume 30 ml</t>
        </is>
      </c>
      <c r="D611" t="inlineStr">
        <is>
          <t>Miss Glam Damar</t>
        </is>
      </c>
      <c r="E611" t="n">
        <v>5</v>
      </c>
      <c r="F611" t="n">
        <v>0.6188</v>
      </c>
      <c r="G611" t="n">
        <v>1.82</v>
      </c>
      <c r="H611" t="n">
        <v>1</v>
      </c>
      <c r="I611" t="n">
        <v>7</v>
      </c>
      <c r="J611" t="n">
        <v>3</v>
      </c>
      <c r="K611" t="n">
        <v>0</v>
      </c>
      <c r="L611" t="n">
        <v>44203</v>
      </c>
      <c r="M611" t="n">
        <v>52000</v>
      </c>
      <c r="N611" t="n">
        <v>91</v>
      </c>
      <c r="O611" t="n">
        <v>0.91</v>
      </c>
      <c r="P611" t="n">
        <v>1</v>
      </c>
      <c r="Q611" t="n">
        <v>0.41</v>
      </c>
      <c r="R611" t="n">
        <v>3</v>
      </c>
      <c r="S611" t="n">
        <v>32177.6</v>
      </c>
      <c r="T611" t="n">
        <v>13</v>
      </c>
      <c r="U611" t="n">
        <v>14</v>
      </c>
      <c r="V611" t="n">
        <v>30</v>
      </c>
      <c r="W611" t="n">
        <v>19</v>
      </c>
      <c r="X611" t="n">
        <v>8.080155138978668</v>
      </c>
      <c r="Y611" t="n">
        <v>1</v>
      </c>
      <c r="Z611" t="n">
        <v>14</v>
      </c>
      <c r="AA611" t="n">
        <v>0</v>
      </c>
      <c r="AB611" t="n">
        <v>14</v>
      </c>
      <c r="AC611" t="n">
        <v>14</v>
      </c>
      <c r="AD611" t="n">
        <v>0</v>
      </c>
      <c r="AE611" t="n">
        <v>618842</v>
      </c>
      <c r="AF611" t="n">
        <v>11135</v>
      </c>
      <c r="AG611" t="n">
        <v>54</v>
      </c>
      <c r="AH611" t="inlineStr">
        <is>
          <t>PT. MIRANTI ADILLHA - PPN (PDG)</t>
        </is>
      </c>
      <c r="AI611" t="n">
        <v>1434</v>
      </c>
      <c r="AJ611" t="inlineStr">
        <is>
          <t>BONAVIE</t>
        </is>
      </c>
      <c r="AK611" t="n">
        <v>21</v>
      </c>
      <c r="AL611" t="inlineStr">
        <is>
          <t>Miss Glam Damar</t>
        </is>
      </c>
      <c r="AM611" t="n">
        <v>3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BRASOV</t>
        </is>
      </c>
      <c r="B612" s="2">
        <f>"8997008672037"</f>
        <v/>
      </c>
      <c r="C612" t="inlineStr">
        <is>
          <t>BRASOV Blush On Shade 01</t>
        </is>
      </c>
      <c r="D612" t="inlineStr">
        <is>
          <t>Miss Glam Damar</t>
        </is>
      </c>
      <c r="E612" t="n">
        <v>23</v>
      </c>
      <c r="F612" t="n">
        <v>1.092</v>
      </c>
      <c r="G612" t="n">
        <v>4.55</v>
      </c>
      <c r="H612" t="n">
        <v>3</v>
      </c>
      <c r="I612" t="n">
        <v>11</v>
      </c>
      <c r="J612" t="n">
        <v>6</v>
      </c>
      <c r="K612" t="n">
        <v>6</v>
      </c>
      <c r="L612" t="n">
        <v>11700</v>
      </c>
      <c r="M612" t="n">
        <v>14000</v>
      </c>
      <c r="N612" t="n">
        <v>91</v>
      </c>
      <c r="O612" t="n">
        <v>0.91</v>
      </c>
      <c r="P612" t="n">
        <v>1</v>
      </c>
      <c r="Q612" t="n">
        <v>1.24</v>
      </c>
      <c r="R612" t="n">
        <v>6</v>
      </c>
      <c r="S612" t="n">
        <v>15288</v>
      </c>
      <c r="T612" t="n">
        <v>47</v>
      </c>
      <c r="U612" t="n">
        <v>51</v>
      </c>
      <c r="V612" t="n">
        <v>30</v>
      </c>
      <c r="W612" t="n">
        <v>33</v>
      </c>
      <c r="X612" t="n">
        <v>21.06227106227106</v>
      </c>
      <c r="Y612" t="n">
        <v>1</v>
      </c>
      <c r="Z612" t="n">
        <v>4</v>
      </c>
      <c r="AA612" t="n">
        <v>0</v>
      </c>
      <c r="AB612" t="n">
        <v>4</v>
      </c>
      <c r="AC612" t="n">
        <v>6</v>
      </c>
      <c r="AD612" t="n">
        <v>0</v>
      </c>
      <c r="AE612" t="n">
        <v>70200</v>
      </c>
      <c r="AF612" t="n">
        <v>9975</v>
      </c>
      <c r="AG612" t="n">
        <v>78</v>
      </c>
      <c r="AH612" t="inlineStr">
        <is>
          <t>PT. GLORIENTA P.H - PPN (PDG)</t>
        </is>
      </c>
      <c r="AI612" t="n">
        <v>49</v>
      </c>
      <c r="AJ612" t="inlineStr">
        <is>
          <t>BRASOV</t>
        </is>
      </c>
      <c r="AK612" t="n">
        <v>21</v>
      </c>
      <c r="AL612" t="inlineStr">
        <is>
          <t>Miss Glam Damar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BRASOV</t>
        </is>
      </c>
      <c r="B613" s="2">
        <f>"8997008672044"</f>
        <v/>
      </c>
      <c r="C613" t="inlineStr">
        <is>
          <t>BRASOV Blush On Shade 02</t>
        </is>
      </c>
      <c r="D613" t="inlineStr">
        <is>
          <t>Miss Glam Damar</t>
        </is>
      </c>
      <c r="E613" t="n">
        <v>14</v>
      </c>
      <c r="F613" t="n">
        <v>0.78</v>
      </c>
      <c r="G613" t="n">
        <v>10</v>
      </c>
      <c r="H613" t="n">
        <v>3</v>
      </c>
      <c r="I613" t="n">
        <v>11</v>
      </c>
      <c r="J613" t="n">
        <v>3</v>
      </c>
      <c r="K613" t="n">
        <v>12</v>
      </c>
      <c r="L613" t="n">
        <v>11705</v>
      </c>
      <c r="M613" t="n">
        <v>14000</v>
      </c>
      <c r="N613" t="n">
        <v>91</v>
      </c>
      <c r="O613" t="n">
        <v>0.91</v>
      </c>
      <c r="P613" t="n">
        <v>0</v>
      </c>
      <c r="Q613" t="n">
        <v>0.78</v>
      </c>
      <c r="R613" t="n">
        <v>10</v>
      </c>
      <c r="S613" t="n">
        <v>10920</v>
      </c>
      <c r="T613" t="n">
        <v>108</v>
      </c>
      <c r="U613" t="n">
        <v>111</v>
      </c>
      <c r="V613" t="n">
        <v>30</v>
      </c>
      <c r="W613" t="n">
        <v>24</v>
      </c>
      <c r="X613" t="n">
        <v>17.94871794871795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9975</v>
      </c>
      <c r="AG613" t="n">
        <v>78</v>
      </c>
      <c r="AH613" t="inlineStr">
        <is>
          <t>PT. GLORIENTA P.H - PPN (PDG)</t>
        </is>
      </c>
      <c r="AI613" t="n">
        <v>49</v>
      </c>
      <c r="AJ613" t="inlineStr">
        <is>
          <t>BRASOV</t>
        </is>
      </c>
      <c r="AK613" t="n">
        <v>21</v>
      </c>
      <c r="AL613" t="inlineStr">
        <is>
          <t>Miss Glam Damar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BRASOV</t>
        </is>
      </c>
      <c r="B614" s="2">
        <f>"8997008673263"</f>
        <v/>
      </c>
      <c r="C614" t="inlineStr">
        <is>
          <t>BRASOV Eau De Parfume Mecca 35ml</t>
        </is>
      </c>
      <c r="D614" t="inlineStr">
        <is>
          <t>Miss Glam Damar</t>
        </is>
      </c>
      <c r="E614" t="n">
        <v>31</v>
      </c>
      <c r="F614" t="n">
        <v>0.5277999999999999</v>
      </c>
      <c r="G614" t="n">
        <v>1.82</v>
      </c>
      <c r="H614" t="n">
        <v>3</v>
      </c>
      <c r="I614" t="n">
        <v>11</v>
      </c>
      <c r="J614" t="n">
        <v>3</v>
      </c>
      <c r="K614" t="n">
        <v>0</v>
      </c>
      <c r="L614" t="n">
        <v>19800</v>
      </c>
      <c r="M614" t="n">
        <v>23500</v>
      </c>
      <c r="N614" t="n">
        <v>91</v>
      </c>
      <c r="O614" t="n">
        <v>0.91</v>
      </c>
      <c r="P614" t="n">
        <v>1</v>
      </c>
      <c r="Q614" t="n">
        <v>0.64</v>
      </c>
      <c r="R614" t="n">
        <v>4</v>
      </c>
      <c r="S614" t="n">
        <v>12403.3</v>
      </c>
      <c r="T614" t="n">
        <v>19</v>
      </c>
      <c r="U614" t="n">
        <v>21</v>
      </c>
      <c r="V614" t="n">
        <v>30</v>
      </c>
      <c r="W614" t="n">
        <v>16</v>
      </c>
      <c r="X614" t="n">
        <v>58.73436907919668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9975</v>
      </c>
      <c r="AG614" t="n">
        <v>78</v>
      </c>
      <c r="AH614" t="inlineStr">
        <is>
          <t>PT. GLORIENTA P.H - PPN (PDG)</t>
        </is>
      </c>
      <c r="AI614" t="n">
        <v>49</v>
      </c>
      <c r="AJ614" t="inlineStr">
        <is>
          <t>BRASOV</t>
        </is>
      </c>
      <c r="AK614" t="n">
        <v>21</v>
      </c>
      <c r="AL614" t="inlineStr">
        <is>
          <t>Miss Glam Damar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BRASOV</t>
        </is>
      </c>
      <c r="B615" s="2">
        <f>"8997008673270"</f>
        <v/>
      </c>
      <c r="C615" t="inlineStr">
        <is>
          <t>BRASOV Eau De Parfume Najwa 35ml</t>
        </is>
      </c>
      <c r="D615" t="inlineStr">
        <is>
          <t>Miss Glam Damar</t>
        </is>
      </c>
      <c r="E615" t="n">
        <v>34</v>
      </c>
      <c r="F615" t="n">
        <v>1.2376</v>
      </c>
      <c r="G615" t="n">
        <v>4.55</v>
      </c>
      <c r="H615" t="n">
        <v>3</v>
      </c>
      <c r="I615" t="n">
        <v>11</v>
      </c>
      <c r="J615" t="n">
        <v>3</v>
      </c>
      <c r="K615" t="n">
        <v>0</v>
      </c>
      <c r="L615" t="n">
        <v>19800</v>
      </c>
      <c r="M615" t="n">
        <v>23500</v>
      </c>
      <c r="N615" t="n">
        <v>91</v>
      </c>
      <c r="O615" t="n">
        <v>0.91</v>
      </c>
      <c r="P615" t="n">
        <v>1</v>
      </c>
      <c r="Q615" t="n">
        <v>1.05</v>
      </c>
      <c r="R615" t="n">
        <v>4</v>
      </c>
      <c r="S615" t="n">
        <v>29083.6</v>
      </c>
      <c r="T615" t="n">
        <v>47</v>
      </c>
      <c r="U615" t="n">
        <v>51</v>
      </c>
      <c r="V615" t="n">
        <v>30</v>
      </c>
      <c r="W615" t="n">
        <v>38</v>
      </c>
      <c r="X615" t="n">
        <v>27.47252747252747</v>
      </c>
      <c r="Y615" t="n">
        <v>1</v>
      </c>
      <c r="Z615" t="n">
        <v>4</v>
      </c>
      <c r="AA615" t="n">
        <v>0</v>
      </c>
      <c r="AB615" t="n">
        <v>4</v>
      </c>
      <c r="AC615" t="n">
        <v>4</v>
      </c>
      <c r="AD615" t="n">
        <v>0</v>
      </c>
      <c r="AE615" t="n">
        <v>79200</v>
      </c>
      <c r="AF615" t="n">
        <v>9975</v>
      </c>
      <c r="AG615" t="n">
        <v>78</v>
      </c>
      <c r="AH615" t="inlineStr">
        <is>
          <t>PT. GLORIENTA P.H - PPN (PDG)</t>
        </is>
      </c>
      <c r="AI615" t="n">
        <v>49</v>
      </c>
      <c r="AJ615" t="inlineStr">
        <is>
          <t>BRASOV</t>
        </is>
      </c>
      <c r="AK615" t="n">
        <v>21</v>
      </c>
      <c r="AL615" t="inlineStr">
        <is>
          <t>Miss Glam Damar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BRASOV</t>
        </is>
      </c>
      <c r="B616" s="2">
        <f>"8997008672020"</f>
        <v/>
      </c>
      <c r="C616" t="inlineStr">
        <is>
          <t>BRASOV Eye Shadow Palette 12 Colors  01 Perona</t>
        </is>
      </c>
      <c r="D616" t="inlineStr">
        <is>
          <t>Miss Glam Damar</t>
        </is>
      </c>
      <c r="E616" t="n">
        <v>3</v>
      </c>
      <c r="F616" t="n">
        <v>0.1274</v>
      </c>
      <c r="G616" t="n">
        <v>1.82</v>
      </c>
      <c r="H616" t="n">
        <v>3</v>
      </c>
      <c r="I616" t="n">
        <v>11</v>
      </c>
      <c r="J616" t="n">
        <v>3</v>
      </c>
      <c r="K616" t="n">
        <v>3</v>
      </c>
      <c r="L616" t="n">
        <v>24750</v>
      </c>
      <c r="M616" t="n">
        <v>30000</v>
      </c>
      <c r="N616" t="n">
        <v>91</v>
      </c>
      <c r="O616" t="n">
        <v>0.91</v>
      </c>
      <c r="P616" t="n">
        <v>1</v>
      </c>
      <c r="Q616" t="n">
        <v>0.15</v>
      </c>
      <c r="R616" t="n">
        <v>2</v>
      </c>
      <c r="S616" t="n">
        <v>3822</v>
      </c>
      <c r="T616" t="n">
        <v>20</v>
      </c>
      <c r="U616" t="n">
        <v>21</v>
      </c>
      <c r="V616" t="n">
        <v>30</v>
      </c>
      <c r="W616" t="n">
        <v>4</v>
      </c>
      <c r="X616" t="n">
        <v>23.54788069073783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9975</v>
      </c>
      <c r="AG616" t="n">
        <v>78</v>
      </c>
      <c r="AH616" t="inlineStr">
        <is>
          <t>PT. GLORIENTA P.H - PPN (PDG)</t>
        </is>
      </c>
      <c r="AI616" t="n">
        <v>49</v>
      </c>
      <c r="AJ616" t="inlineStr">
        <is>
          <t>BRASOV</t>
        </is>
      </c>
      <c r="AK616" t="n">
        <v>21</v>
      </c>
      <c r="AL616" t="inlineStr">
        <is>
          <t>Miss Glam Damar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BRASOV</t>
        </is>
      </c>
      <c r="B617" s="2">
        <f>"8997008672587"</f>
        <v/>
      </c>
      <c r="C617" t="inlineStr">
        <is>
          <t>BRASOV Eye Shadow Palette 12 Colors 02 Nudes</t>
        </is>
      </c>
      <c r="D617" t="inlineStr">
        <is>
          <t>Miss Glam Damar</t>
        </is>
      </c>
      <c r="E617" t="n">
        <v>3</v>
      </c>
      <c r="F617" t="n">
        <v>0.3549</v>
      </c>
      <c r="G617" t="n">
        <v>1.82</v>
      </c>
      <c r="H617" t="n">
        <v>3</v>
      </c>
      <c r="I617" t="n">
        <v>11</v>
      </c>
      <c r="J617" t="n">
        <v>12</v>
      </c>
      <c r="K617" t="n">
        <v>24</v>
      </c>
      <c r="L617" t="n">
        <v>29250</v>
      </c>
      <c r="M617" t="n">
        <v>35000</v>
      </c>
      <c r="N617" t="n">
        <v>91</v>
      </c>
      <c r="O617" t="n">
        <v>0.91</v>
      </c>
      <c r="P617" t="n">
        <v>1</v>
      </c>
      <c r="Q617" t="n">
        <v>0.54</v>
      </c>
      <c r="R617" t="n">
        <v>3</v>
      </c>
      <c r="S617" t="n">
        <v>12421.5</v>
      </c>
      <c r="T617" t="n">
        <v>19</v>
      </c>
      <c r="U617" t="n">
        <v>21</v>
      </c>
      <c r="V617" t="n">
        <v>30</v>
      </c>
      <c r="W617" t="n">
        <v>11</v>
      </c>
      <c r="X617" t="n">
        <v>8.453085376162297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9975</v>
      </c>
      <c r="AG617" t="n">
        <v>78</v>
      </c>
      <c r="AH617" t="inlineStr">
        <is>
          <t>PT. GLORIENTA P.H - PPN (PDG)</t>
        </is>
      </c>
      <c r="AI617" t="n">
        <v>49</v>
      </c>
      <c r="AJ617" t="inlineStr">
        <is>
          <t>BRASOV</t>
        </is>
      </c>
      <c r="AK617" t="n">
        <v>21</v>
      </c>
      <c r="AL617" t="inlineStr">
        <is>
          <t>Miss Glam Damar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BRASOV</t>
        </is>
      </c>
      <c r="B618" s="2">
        <f>"8997008672969"</f>
        <v/>
      </c>
      <c r="C618" t="inlineStr">
        <is>
          <t>BRASOV Lip Serum With Vitamin 5gr</t>
        </is>
      </c>
      <c r="D618" t="inlineStr">
        <is>
          <t>Miss Glam Damar</t>
        </is>
      </c>
      <c r="E618" t="n">
        <v>4</v>
      </c>
      <c r="F618" t="n">
        <v>0.06370000000000001</v>
      </c>
      <c r="G618" t="n">
        <v>0.91</v>
      </c>
      <c r="H618" t="n">
        <v>3</v>
      </c>
      <c r="I618" t="n">
        <v>11</v>
      </c>
      <c r="J618" t="n">
        <v>3</v>
      </c>
      <c r="K618" t="n">
        <v>0</v>
      </c>
      <c r="L618" t="n">
        <v>16650</v>
      </c>
      <c r="M618" t="n">
        <v>20000</v>
      </c>
      <c r="N618" t="n">
        <v>91</v>
      </c>
      <c r="O618" t="n">
        <v>0.91</v>
      </c>
      <c r="P618" t="n">
        <v>1</v>
      </c>
      <c r="Q618" t="n">
        <v>0.02</v>
      </c>
      <c r="R618" t="n">
        <v>1</v>
      </c>
      <c r="S618" t="n">
        <v>1274</v>
      </c>
      <c r="T618" t="n">
        <v>10</v>
      </c>
      <c r="U618" t="n">
        <v>11</v>
      </c>
      <c r="V618" t="n">
        <v>30</v>
      </c>
      <c r="W618" t="n">
        <v>2</v>
      </c>
      <c r="X618" t="n">
        <v>62.79434850863422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9975</v>
      </c>
      <c r="AG618" t="n">
        <v>78</v>
      </c>
      <c r="AH618" t="inlineStr">
        <is>
          <t>PT. GLORIENTA P.H - PPN (PDG)</t>
        </is>
      </c>
      <c r="AI618" t="n">
        <v>49</v>
      </c>
      <c r="AJ618" t="inlineStr">
        <is>
          <t>BRASOV</t>
        </is>
      </c>
      <c r="AK618" t="n">
        <v>21</v>
      </c>
      <c r="AL618" t="inlineStr">
        <is>
          <t>Miss Glam Damar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BRASOV</t>
        </is>
      </c>
      <c r="B619" s="2">
        <f>"8997008672389"</f>
        <v/>
      </c>
      <c r="C619" t="inlineStr">
        <is>
          <t>BRASOV Liptint 03</t>
        </is>
      </c>
      <c r="D619" t="inlineStr">
        <is>
          <t>Miss Glam Damar</t>
        </is>
      </c>
      <c r="E619" t="n">
        <v>5</v>
      </c>
      <c r="F619" t="n">
        <v>0.03</v>
      </c>
      <c r="G619" t="n">
        <v>2</v>
      </c>
      <c r="H619" t="n">
        <v>3</v>
      </c>
      <c r="I619" t="n">
        <v>11</v>
      </c>
      <c r="J619" t="n">
        <v>3</v>
      </c>
      <c r="K619" t="n">
        <v>0</v>
      </c>
      <c r="L619" t="n">
        <v>15300</v>
      </c>
      <c r="M619" t="n">
        <v>19000</v>
      </c>
      <c r="N619" t="n">
        <v>91</v>
      </c>
      <c r="O619" t="n">
        <v>0.91</v>
      </c>
      <c r="P619" t="n">
        <v>0</v>
      </c>
      <c r="Q619" t="n">
        <v>0.03</v>
      </c>
      <c r="R619" t="n">
        <v>2</v>
      </c>
      <c r="S619" t="n">
        <v>570</v>
      </c>
      <c r="T619" t="n">
        <v>22</v>
      </c>
      <c r="U619" t="n">
        <v>23</v>
      </c>
      <c r="V619" t="n">
        <v>30</v>
      </c>
      <c r="W619" t="n">
        <v>1</v>
      </c>
      <c r="X619" t="n">
        <v>166.6666666666667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9975</v>
      </c>
      <c r="AG619" t="n">
        <v>78</v>
      </c>
      <c r="AH619" t="inlineStr">
        <is>
          <t>PT. GLORIENTA P.H - PPN (PDG)</t>
        </is>
      </c>
      <c r="AI619" t="n">
        <v>49</v>
      </c>
      <c r="AJ619" t="inlineStr">
        <is>
          <t>BRASOV</t>
        </is>
      </c>
      <c r="AK619" t="n">
        <v>21</v>
      </c>
      <c r="AL619" t="inlineStr">
        <is>
          <t>Miss Glam Damar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BRASOV</t>
        </is>
      </c>
      <c r="B620" s="2">
        <f>"8997008672013"</f>
        <v/>
      </c>
      <c r="C620" t="inlineStr">
        <is>
          <t>BRASOV Mascara Black 8gr</t>
        </is>
      </c>
      <c r="D620" t="inlineStr">
        <is>
          <t>Miss Glam Damar</t>
        </is>
      </c>
      <c r="E620" t="n">
        <v>9</v>
      </c>
      <c r="F620" t="n">
        <v>0.6916</v>
      </c>
      <c r="G620" t="n">
        <v>2.73</v>
      </c>
      <c r="H620" t="n">
        <v>3</v>
      </c>
      <c r="I620" t="n">
        <v>11</v>
      </c>
      <c r="J620" t="n">
        <v>3</v>
      </c>
      <c r="K620" t="n">
        <v>24</v>
      </c>
      <c r="L620" t="n">
        <v>18000</v>
      </c>
      <c r="M620" t="n">
        <v>21500</v>
      </c>
      <c r="N620" t="n">
        <v>91</v>
      </c>
      <c r="O620" t="n">
        <v>0.91</v>
      </c>
      <c r="P620" t="n">
        <v>1</v>
      </c>
      <c r="Q620" t="n">
        <v>0.85</v>
      </c>
      <c r="R620" t="n">
        <v>4</v>
      </c>
      <c r="S620" t="n">
        <v>14869.4</v>
      </c>
      <c r="T620" t="n">
        <v>28</v>
      </c>
      <c r="U620" t="n">
        <v>31</v>
      </c>
      <c r="V620" t="n">
        <v>30</v>
      </c>
      <c r="W620" t="n">
        <v>21</v>
      </c>
      <c r="X620" t="n">
        <v>13.0133024869867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9975</v>
      </c>
      <c r="AG620" t="n">
        <v>78</v>
      </c>
      <c r="AH620" t="inlineStr">
        <is>
          <t>PT. GLORIENTA P.H - PPN (PDG)</t>
        </is>
      </c>
      <c r="AI620" t="n">
        <v>49</v>
      </c>
      <c r="AJ620" t="inlineStr">
        <is>
          <t>BRASOV</t>
        </is>
      </c>
      <c r="AK620" t="n">
        <v>21</v>
      </c>
      <c r="AL620" t="inlineStr">
        <is>
          <t>Miss Glam Damar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BRASOV</t>
        </is>
      </c>
      <c r="B621" s="2">
        <f>"8997008671924"</f>
        <v/>
      </c>
      <c r="C621" t="inlineStr">
        <is>
          <t>BRASOV Matic Eyeliner Black</t>
        </is>
      </c>
      <c r="D621" t="inlineStr">
        <is>
          <t>Miss Glam Damar</t>
        </is>
      </c>
      <c r="E621" t="n">
        <v>3</v>
      </c>
      <c r="F621" t="n">
        <v>0.1</v>
      </c>
      <c r="G621" t="n">
        <v>3</v>
      </c>
      <c r="H621" t="n">
        <v>3</v>
      </c>
      <c r="I621" t="n">
        <v>11</v>
      </c>
      <c r="J621" t="n">
        <v>3</v>
      </c>
      <c r="K621" t="n">
        <v>3</v>
      </c>
      <c r="L621" t="n">
        <v>11711</v>
      </c>
      <c r="M621" t="n">
        <v>17000</v>
      </c>
      <c r="N621" t="n">
        <v>91</v>
      </c>
      <c r="O621" t="n">
        <v>0.91</v>
      </c>
      <c r="P621" t="n">
        <v>0</v>
      </c>
      <c r="Q621" t="n">
        <v>0.1</v>
      </c>
      <c r="R621" t="n">
        <v>3</v>
      </c>
      <c r="S621" t="n">
        <v>1700</v>
      </c>
      <c r="T621" t="n">
        <v>33</v>
      </c>
      <c r="U621" t="n">
        <v>34</v>
      </c>
      <c r="V621" t="n">
        <v>30</v>
      </c>
      <c r="W621" t="n">
        <v>3</v>
      </c>
      <c r="X621" t="n">
        <v>30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9975</v>
      </c>
      <c r="AG621" t="n">
        <v>78</v>
      </c>
      <c r="AH621" t="inlineStr">
        <is>
          <t>PT. GLORIENTA P.H - PPN (PDG)</t>
        </is>
      </c>
      <c r="AI621" t="n">
        <v>49</v>
      </c>
      <c r="AJ621" t="inlineStr">
        <is>
          <t>BRASOV</t>
        </is>
      </c>
      <c r="AK621" t="n">
        <v>21</v>
      </c>
      <c r="AL621" t="inlineStr">
        <is>
          <t>Miss Glam Damar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BRASOV</t>
        </is>
      </c>
      <c r="B622" s="2">
        <f>"8997008672334"</f>
        <v/>
      </c>
      <c r="C622" t="inlineStr">
        <is>
          <t>BRASOV Micellar Cleansing Water 100ml</t>
        </is>
      </c>
      <c r="D622" t="inlineStr">
        <is>
          <t>Miss Glam Damar</t>
        </is>
      </c>
      <c r="E622" t="n">
        <v>3</v>
      </c>
      <c r="F622" t="n">
        <v>0.03</v>
      </c>
      <c r="G622" t="n">
        <v>1</v>
      </c>
      <c r="H622" t="n">
        <v>3</v>
      </c>
      <c r="I622" t="n">
        <v>11</v>
      </c>
      <c r="J622" t="n">
        <v>3</v>
      </c>
      <c r="K622" t="n">
        <v>0</v>
      </c>
      <c r="L622" t="n">
        <v>14400</v>
      </c>
      <c r="M622" t="n">
        <v>18500</v>
      </c>
      <c r="N622" t="n">
        <v>91</v>
      </c>
      <c r="O622" t="n">
        <v>0.91</v>
      </c>
      <c r="P622" t="n">
        <v>0</v>
      </c>
      <c r="Q622" t="n">
        <v>0.03</v>
      </c>
      <c r="R622" t="n">
        <v>1</v>
      </c>
      <c r="S622" t="n">
        <v>555</v>
      </c>
      <c r="T622" t="n">
        <v>11</v>
      </c>
      <c r="U622" t="n">
        <v>12</v>
      </c>
      <c r="V622" t="n">
        <v>30</v>
      </c>
      <c r="W622" t="n">
        <v>1</v>
      </c>
      <c r="X622" t="n">
        <v>100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9975</v>
      </c>
      <c r="AG622" t="n">
        <v>78</v>
      </c>
      <c r="AH622" t="inlineStr">
        <is>
          <t>PT. GLORIENTA P.H - PPN (PDG)</t>
        </is>
      </c>
      <c r="AI622" t="n">
        <v>49</v>
      </c>
      <c r="AJ622" t="inlineStr">
        <is>
          <t>BRASOV</t>
        </is>
      </c>
      <c r="AK622" t="n">
        <v>21</v>
      </c>
      <c r="AL622" t="inlineStr">
        <is>
          <t>Miss Glam Damar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BRASOV</t>
        </is>
      </c>
      <c r="B623" s="2">
        <f>"30500222510"</f>
        <v/>
      </c>
      <c r="C623" t="inlineStr">
        <is>
          <t>BRASOV Nail Polish 2in1 01 &amp; 37, 6 ml</t>
        </is>
      </c>
      <c r="D623" t="inlineStr">
        <is>
          <t>Miss Glam Damar</t>
        </is>
      </c>
      <c r="E623" t="n">
        <v>3</v>
      </c>
      <c r="F623" t="n">
        <v>0.05</v>
      </c>
      <c r="G623" t="n">
        <v>1</v>
      </c>
      <c r="H623" t="n">
        <v>3</v>
      </c>
      <c r="I623" t="n">
        <v>11</v>
      </c>
      <c r="J623" t="n">
        <v>3</v>
      </c>
      <c r="K623" t="n">
        <v>0</v>
      </c>
      <c r="L623" t="n">
        <v>7425</v>
      </c>
      <c r="M623" t="n">
        <v>10000</v>
      </c>
      <c r="N623" t="n">
        <v>91</v>
      </c>
      <c r="O623" t="n">
        <v>0.91</v>
      </c>
      <c r="P623" t="n">
        <v>0</v>
      </c>
      <c r="Q623" t="n">
        <v>0.05</v>
      </c>
      <c r="R623" t="n">
        <v>1</v>
      </c>
      <c r="S623" t="n">
        <v>500</v>
      </c>
      <c r="T623" t="n">
        <v>11</v>
      </c>
      <c r="U623" t="n">
        <v>12</v>
      </c>
      <c r="V623" t="n">
        <v>30</v>
      </c>
      <c r="W623" t="n">
        <v>2</v>
      </c>
      <c r="X623" t="n">
        <v>60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9975</v>
      </c>
      <c r="AG623" t="n">
        <v>78</v>
      </c>
      <c r="AH623" t="inlineStr">
        <is>
          <t>PT. GLORIENTA P.H - PPN (PDG)</t>
        </is>
      </c>
      <c r="AI623" t="n">
        <v>49</v>
      </c>
      <c r="AJ623" t="inlineStr">
        <is>
          <t>BRASOV</t>
        </is>
      </c>
      <c r="AK623" t="n">
        <v>21</v>
      </c>
      <c r="AL623" t="inlineStr">
        <is>
          <t>Miss Glam Damar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BRASOV</t>
        </is>
      </c>
      <c r="B624" s="2">
        <f>"47659"</f>
        <v/>
      </c>
      <c r="C624" t="inlineStr">
        <is>
          <t>BRASOV Nail Polish Kutek Glitter 12 Color 8ml</t>
        </is>
      </c>
      <c r="D624" t="inlineStr">
        <is>
          <t>Miss Glam Damar</t>
        </is>
      </c>
      <c r="E624" t="n">
        <v>1</v>
      </c>
      <c r="F624" t="n">
        <v>0.08</v>
      </c>
      <c r="G624" t="n">
        <v>1</v>
      </c>
      <c r="H624" t="n">
        <v>3</v>
      </c>
      <c r="I624" t="n">
        <v>11</v>
      </c>
      <c r="J624" t="n">
        <v>3</v>
      </c>
      <c r="K624" t="n">
        <v>0</v>
      </c>
      <c r="L624" t="n">
        <v>4275</v>
      </c>
      <c r="M624" t="n">
        <v>6000</v>
      </c>
      <c r="N624" t="n">
        <v>91</v>
      </c>
      <c r="O624" t="n">
        <v>0.91</v>
      </c>
      <c r="P624" t="n">
        <v>0</v>
      </c>
      <c r="Q624" t="n">
        <v>0.08</v>
      </c>
      <c r="R624" t="n">
        <v>1</v>
      </c>
      <c r="S624" t="n">
        <v>480</v>
      </c>
      <c r="T624" t="n">
        <v>11</v>
      </c>
      <c r="U624" t="n">
        <v>12</v>
      </c>
      <c r="V624" t="n">
        <v>30</v>
      </c>
      <c r="W624" t="n">
        <v>3</v>
      </c>
      <c r="X624" t="n">
        <v>12.5</v>
      </c>
      <c r="Y624" t="n">
        <v>1</v>
      </c>
      <c r="Z624" t="n">
        <v>2</v>
      </c>
      <c r="AA624" t="n">
        <v>0</v>
      </c>
      <c r="AB624" t="n">
        <v>2</v>
      </c>
      <c r="AC624" t="n">
        <v>3</v>
      </c>
      <c r="AD624" t="n">
        <v>0</v>
      </c>
      <c r="AE624" t="n">
        <v>12825</v>
      </c>
      <c r="AF624" t="n">
        <v>9975</v>
      </c>
      <c r="AG624" t="n">
        <v>78</v>
      </c>
      <c r="AH624" t="inlineStr">
        <is>
          <t>PT. GLORIENTA P.H - PPN (PDG)</t>
        </is>
      </c>
      <c r="AI624" t="n">
        <v>49</v>
      </c>
      <c r="AJ624" t="inlineStr">
        <is>
          <t>BRASOV</t>
        </is>
      </c>
      <c r="AK624" t="n">
        <v>21</v>
      </c>
      <c r="AL624" t="inlineStr">
        <is>
          <t>Miss Glam Damar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BRASOV</t>
        </is>
      </c>
      <c r="B625" s="2">
        <f>"30500210554"</f>
        <v/>
      </c>
      <c r="C625" t="inlineStr">
        <is>
          <t>BRASOV Nail Polish Nude Color 8ml</t>
        </is>
      </c>
      <c r="D625" t="inlineStr">
        <is>
          <t>Miss Glam Damar</t>
        </is>
      </c>
      <c r="E625" t="n">
        <v>30</v>
      </c>
      <c r="F625" t="n">
        <v>0.1365</v>
      </c>
      <c r="G625" t="n">
        <v>1.82</v>
      </c>
      <c r="H625" t="n">
        <v>3</v>
      </c>
      <c r="I625" t="n">
        <v>11</v>
      </c>
      <c r="J625" t="n">
        <v>12</v>
      </c>
      <c r="K625" t="n">
        <v>0</v>
      </c>
      <c r="L625" t="n">
        <v>4275</v>
      </c>
      <c r="M625" t="n">
        <v>6000</v>
      </c>
      <c r="N625" t="n">
        <v>91</v>
      </c>
      <c r="O625" t="n">
        <v>0.91</v>
      </c>
      <c r="P625" t="n">
        <v>1</v>
      </c>
      <c r="Q625" t="n">
        <v>0.6899999999999999</v>
      </c>
      <c r="R625" t="n">
        <v>3</v>
      </c>
      <c r="S625" t="n">
        <v>819.0000000000001</v>
      </c>
      <c r="T625" t="n">
        <v>20</v>
      </c>
      <c r="U625" t="n">
        <v>21</v>
      </c>
      <c r="V625" t="n">
        <v>30</v>
      </c>
      <c r="W625" t="n">
        <v>5</v>
      </c>
      <c r="X625" t="n">
        <v>219.7802197802198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9975</v>
      </c>
      <c r="AG625" t="n">
        <v>78</v>
      </c>
      <c r="AH625" t="inlineStr">
        <is>
          <t>PT. GLORIENTA P.H - PPN (PDG)</t>
        </is>
      </c>
      <c r="AI625" t="n">
        <v>49</v>
      </c>
      <c r="AJ625" t="inlineStr">
        <is>
          <t>BRASOV</t>
        </is>
      </c>
      <c r="AK625" t="n">
        <v>21</v>
      </c>
      <c r="AL625" t="inlineStr">
        <is>
          <t>Miss Glam Damar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BRASOV</t>
        </is>
      </c>
      <c r="B626" s="2">
        <f>"8997008673089"</f>
        <v/>
      </c>
      <c r="C626" t="inlineStr">
        <is>
          <t>BRASOV Parfume Signature Amber 35ml</t>
        </is>
      </c>
      <c r="D626" t="inlineStr">
        <is>
          <t>Miss Glam Damar</t>
        </is>
      </c>
      <c r="E626" t="n">
        <v>32</v>
      </c>
      <c r="F626" t="n">
        <v>1.0374</v>
      </c>
      <c r="G626" t="n">
        <v>4.55</v>
      </c>
      <c r="H626" t="n">
        <v>3</v>
      </c>
      <c r="I626" t="n">
        <v>11</v>
      </c>
      <c r="J626" t="n">
        <v>3</v>
      </c>
      <c r="K626" t="n">
        <v>0</v>
      </c>
      <c r="L626" t="n">
        <v>14850</v>
      </c>
      <c r="M626" t="n">
        <v>18000</v>
      </c>
      <c r="N626" t="n">
        <v>91</v>
      </c>
      <c r="O626" t="n">
        <v>0.91</v>
      </c>
      <c r="P626" t="n">
        <v>1</v>
      </c>
      <c r="Q626" t="n">
        <v>1.07</v>
      </c>
      <c r="R626" t="n">
        <v>6</v>
      </c>
      <c r="S626" t="n">
        <v>18673.2</v>
      </c>
      <c r="T626" t="n">
        <v>47</v>
      </c>
      <c r="U626" t="n">
        <v>51</v>
      </c>
      <c r="V626" t="n">
        <v>30</v>
      </c>
      <c r="W626" t="n">
        <v>32</v>
      </c>
      <c r="X626" t="n">
        <v>30.84634663582032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9975</v>
      </c>
      <c r="AG626" t="n">
        <v>78</v>
      </c>
      <c r="AH626" t="inlineStr">
        <is>
          <t>PT. GLORIENTA P.H - PPN (PDG)</t>
        </is>
      </c>
      <c r="AI626" t="n">
        <v>49</v>
      </c>
      <c r="AJ626" t="inlineStr">
        <is>
          <t>BRASOV</t>
        </is>
      </c>
      <c r="AK626" t="n">
        <v>21</v>
      </c>
      <c r="AL626" t="inlineStr">
        <is>
          <t>Miss Glam Damar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BRASOV</t>
        </is>
      </c>
      <c r="B627" s="2">
        <f>"8997008673010"</f>
        <v/>
      </c>
      <c r="C627" t="inlineStr">
        <is>
          <t>BRASOV Parfume Signature Diamond 35ml</t>
        </is>
      </c>
      <c r="D627" t="inlineStr">
        <is>
          <t>Miss Glam Damar</t>
        </is>
      </c>
      <c r="E627" t="n">
        <v>23</v>
      </c>
      <c r="F627" t="n">
        <v>0.7826</v>
      </c>
      <c r="G627" t="n">
        <v>3.64</v>
      </c>
      <c r="H627" t="n">
        <v>3</v>
      </c>
      <c r="I627" t="n">
        <v>11</v>
      </c>
      <c r="J627" t="n">
        <v>3</v>
      </c>
      <c r="K627" t="n">
        <v>0</v>
      </c>
      <c r="L627" t="n">
        <v>14850</v>
      </c>
      <c r="M627" t="n">
        <v>18000</v>
      </c>
      <c r="N627" t="n">
        <v>91</v>
      </c>
      <c r="O627" t="n">
        <v>0.91</v>
      </c>
      <c r="P627" t="n">
        <v>1</v>
      </c>
      <c r="Q627" t="n">
        <v>0.75</v>
      </c>
      <c r="R627" t="n">
        <v>2</v>
      </c>
      <c r="S627" t="n">
        <v>14086.8</v>
      </c>
      <c r="T627" t="n">
        <v>38</v>
      </c>
      <c r="U627" t="n">
        <v>41</v>
      </c>
      <c r="V627" t="n">
        <v>30</v>
      </c>
      <c r="W627" t="n">
        <v>24</v>
      </c>
      <c r="X627" t="n">
        <v>29.38921543572706</v>
      </c>
      <c r="Y627" t="n">
        <v>1</v>
      </c>
      <c r="Z627" t="n">
        <v>1</v>
      </c>
      <c r="AA627" t="n">
        <v>0</v>
      </c>
      <c r="AB627" t="n">
        <v>1</v>
      </c>
      <c r="AC627" t="n">
        <v>3</v>
      </c>
      <c r="AD627" t="n">
        <v>0</v>
      </c>
      <c r="AE627" t="n">
        <v>44550</v>
      </c>
      <c r="AF627" t="n">
        <v>9975</v>
      </c>
      <c r="AG627" t="n">
        <v>78</v>
      </c>
      <c r="AH627" t="inlineStr">
        <is>
          <t>PT. GLORIENTA P.H - PPN (PDG)</t>
        </is>
      </c>
      <c r="AI627" t="n">
        <v>49</v>
      </c>
      <c r="AJ627" t="inlineStr">
        <is>
          <t>BRASOV</t>
        </is>
      </c>
      <c r="AK627" t="n">
        <v>21</v>
      </c>
      <c r="AL627" t="inlineStr">
        <is>
          <t>Miss Glam Damar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BRASOV</t>
        </is>
      </c>
      <c r="B628" s="2">
        <f>"8997008673058"</f>
        <v/>
      </c>
      <c r="C628" t="inlineStr">
        <is>
          <t>BRASOV Parfume Signature Jade 35ml</t>
        </is>
      </c>
      <c r="D628" t="inlineStr">
        <is>
          <t>Miss Glam Damar</t>
        </is>
      </c>
      <c r="E628" t="n">
        <v>28</v>
      </c>
      <c r="F628" t="n">
        <v>0.8372000000000001</v>
      </c>
      <c r="G628" t="n">
        <v>3.64</v>
      </c>
      <c r="H628" t="n">
        <v>3</v>
      </c>
      <c r="I628" t="n">
        <v>11</v>
      </c>
      <c r="J628" t="n">
        <v>3</v>
      </c>
      <c r="K628" t="n">
        <v>0</v>
      </c>
      <c r="L628" t="n">
        <v>14850</v>
      </c>
      <c r="M628" t="n">
        <v>18000</v>
      </c>
      <c r="N628" t="n">
        <v>91</v>
      </c>
      <c r="O628" t="n">
        <v>0.91</v>
      </c>
      <c r="P628" t="n">
        <v>1</v>
      </c>
      <c r="Q628" t="n">
        <v>0.71</v>
      </c>
      <c r="R628" t="n">
        <v>5</v>
      </c>
      <c r="S628" t="n">
        <v>15069.6</v>
      </c>
      <c r="T628" t="n">
        <v>38</v>
      </c>
      <c r="U628" t="n">
        <v>41</v>
      </c>
      <c r="V628" t="n">
        <v>30</v>
      </c>
      <c r="W628" t="n">
        <v>26</v>
      </c>
      <c r="X628" t="n">
        <v>33.4448160535117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9975</v>
      </c>
      <c r="AG628" t="n">
        <v>78</v>
      </c>
      <c r="AH628" t="inlineStr">
        <is>
          <t>PT. GLORIENTA P.H - PPN (PDG)</t>
        </is>
      </c>
      <c r="AI628" t="n">
        <v>49</v>
      </c>
      <c r="AJ628" t="inlineStr">
        <is>
          <t>BRASOV</t>
        </is>
      </c>
      <c r="AK628" t="n">
        <v>21</v>
      </c>
      <c r="AL628" t="inlineStr">
        <is>
          <t>Miss Glam Damar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BRASOV</t>
        </is>
      </c>
      <c r="B629" s="2">
        <f>"8997008673072"</f>
        <v/>
      </c>
      <c r="C629" t="inlineStr">
        <is>
          <t>BRASOV Parfume Signature Opal 35ml</t>
        </is>
      </c>
      <c r="D629" t="inlineStr">
        <is>
          <t>Miss Glam Damar</t>
        </is>
      </c>
      <c r="E629" t="n">
        <v>29</v>
      </c>
      <c r="F629" t="n">
        <v>3.1486</v>
      </c>
      <c r="G629" t="n">
        <v>9.1</v>
      </c>
      <c r="H629" t="n">
        <v>3</v>
      </c>
      <c r="I629" t="n">
        <v>11</v>
      </c>
      <c r="J629" t="n">
        <v>12</v>
      </c>
      <c r="K629" t="n">
        <v>24</v>
      </c>
      <c r="L629" t="n">
        <v>14850</v>
      </c>
      <c r="M629" t="n">
        <v>18000</v>
      </c>
      <c r="N629" t="n">
        <v>91</v>
      </c>
      <c r="O629" t="n">
        <v>0.91</v>
      </c>
      <c r="P629" t="n">
        <v>1</v>
      </c>
      <c r="Q629" t="n">
        <v>2</v>
      </c>
      <c r="R629" t="n">
        <v>8</v>
      </c>
      <c r="S629" t="n">
        <v>56674.8</v>
      </c>
      <c r="T629" t="n">
        <v>91</v>
      </c>
      <c r="U629" t="n">
        <v>101</v>
      </c>
      <c r="V629" t="n">
        <v>30</v>
      </c>
      <c r="W629" t="n">
        <v>95</v>
      </c>
      <c r="X629" t="n">
        <v>9.210442736454297</v>
      </c>
      <c r="Y629" t="n">
        <v>1</v>
      </c>
      <c r="Z629" t="n">
        <v>42</v>
      </c>
      <c r="AA629" t="n">
        <v>5</v>
      </c>
      <c r="AB629" t="n">
        <v>37</v>
      </c>
      <c r="AC629" t="n">
        <v>37</v>
      </c>
      <c r="AD629" t="n">
        <v>74250</v>
      </c>
      <c r="AE629" t="n">
        <v>549450</v>
      </c>
      <c r="AF629" t="n">
        <v>9975</v>
      </c>
      <c r="AG629" t="n">
        <v>78</v>
      </c>
      <c r="AH629" t="inlineStr">
        <is>
          <t>PT. GLORIENTA P.H - PPN (PDG)</t>
        </is>
      </c>
      <c r="AI629" t="n">
        <v>49</v>
      </c>
      <c r="AJ629" t="inlineStr">
        <is>
          <t>BRASOV</t>
        </is>
      </c>
      <c r="AK629" t="n">
        <v>21</v>
      </c>
      <c r="AL629" t="inlineStr">
        <is>
          <t>Miss Glam Damar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BRASOV</t>
        </is>
      </c>
      <c r="B630" s="2">
        <f>"8997008673065"</f>
        <v/>
      </c>
      <c r="C630" t="inlineStr">
        <is>
          <t>BRASOV Parfume Signature Sapphire 35ml</t>
        </is>
      </c>
      <c r="D630" t="inlineStr">
        <is>
          <t>Miss Glam Damar</t>
        </is>
      </c>
      <c r="E630" t="n">
        <v>26</v>
      </c>
      <c r="F630" t="n">
        <v>0.9737000000000001</v>
      </c>
      <c r="G630" t="n">
        <v>3.64</v>
      </c>
      <c r="H630" t="n">
        <v>3</v>
      </c>
      <c r="I630" t="n">
        <v>11</v>
      </c>
      <c r="J630" t="n">
        <v>3</v>
      </c>
      <c r="K630" t="n">
        <v>0</v>
      </c>
      <c r="L630" t="n">
        <v>14850</v>
      </c>
      <c r="M630" t="n">
        <v>18000</v>
      </c>
      <c r="N630" t="n">
        <v>91</v>
      </c>
      <c r="O630" t="n">
        <v>0.91</v>
      </c>
      <c r="P630" t="n">
        <v>1</v>
      </c>
      <c r="Q630" t="n">
        <v>1.19</v>
      </c>
      <c r="R630" t="n">
        <v>4</v>
      </c>
      <c r="S630" t="n">
        <v>17526.6</v>
      </c>
      <c r="T630" t="n">
        <v>38</v>
      </c>
      <c r="U630" t="n">
        <v>41</v>
      </c>
      <c r="V630" t="n">
        <v>30</v>
      </c>
      <c r="W630" t="n">
        <v>30</v>
      </c>
      <c r="X630" t="n">
        <v>26.7022696929239</v>
      </c>
      <c r="Y630" t="n">
        <v>1</v>
      </c>
      <c r="Z630" t="n">
        <v>4</v>
      </c>
      <c r="AA630" t="n">
        <v>0</v>
      </c>
      <c r="AB630" t="n">
        <v>4</v>
      </c>
      <c r="AC630" t="n">
        <v>4</v>
      </c>
      <c r="AD630" t="n">
        <v>0</v>
      </c>
      <c r="AE630" t="n">
        <v>59400</v>
      </c>
      <c r="AF630" t="n">
        <v>9975</v>
      </c>
      <c r="AG630" t="n">
        <v>78</v>
      </c>
      <c r="AH630" t="inlineStr">
        <is>
          <t>PT. GLORIENTA P.H - PPN (PDG)</t>
        </is>
      </c>
      <c r="AI630" t="n">
        <v>49</v>
      </c>
      <c r="AJ630" t="inlineStr">
        <is>
          <t>BRASOV</t>
        </is>
      </c>
      <c r="AK630" t="n">
        <v>21</v>
      </c>
      <c r="AL630" t="inlineStr">
        <is>
          <t>Miss Glam Damar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BRASOV</t>
        </is>
      </c>
      <c r="B631" s="2">
        <f>"8997008671955"</f>
        <v/>
      </c>
      <c r="C631" t="inlineStr">
        <is>
          <t>BRASOV Perfect Black Liquid Black Eyeliner Pen</t>
        </is>
      </c>
      <c r="D631" t="inlineStr">
        <is>
          <t>Miss Glam Damar</t>
        </is>
      </c>
      <c r="E631" t="n">
        <v>5</v>
      </c>
      <c r="F631" t="n">
        <v>0.1729</v>
      </c>
      <c r="G631" t="n">
        <v>1.82</v>
      </c>
      <c r="H631" t="n">
        <v>3</v>
      </c>
      <c r="I631" t="n">
        <v>11</v>
      </c>
      <c r="J631" t="n">
        <v>3</v>
      </c>
      <c r="K631" t="n">
        <v>0</v>
      </c>
      <c r="L631" t="n">
        <v>17780</v>
      </c>
      <c r="M631" t="n">
        <v>21500</v>
      </c>
      <c r="N631" t="n">
        <v>91</v>
      </c>
      <c r="O631" t="n">
        <v>0.91</v>
      </c>
      <c r="P631" t="n">
        <v>1</v>
      </c>
      <c r="Q631" t="n">
        <v>0.05</v>
      </c>
      <c r="R631" t="n">
        <v>1</v>
      </c>
      <c r="S631" t="n">
        <v>3717.35</v>
      </c>
      <c r="T631" t="n">
        <v>20</v>
      </c>
      <c r="U631" t="n">
        <v>21</v>
      </c>
      <c r="V631" t="n">
        <v>30</v>
      </c>
      <c r="W631" t="n">
        <v>6</v>
      </c>
      <c r="X631" t="n">
        <v>28.91844997108155</v>
      </c>
      <c r="Y631" t="n">
        <v>1</v>
      </c>
      <c r="Z631" t="n">
        <v>1</v>
      </c>
      <c r="AA631" t="n">
        <v>0</v>
      </c>
      <c r="AB631" t="n">
        <v>1</v>
      </c>
      <c r="AC631" t="n">
        <v>3</v>
      </c>
      <c r="AD631" t="n">
        <v>0</v>
      </c>
      <c r="AE631" t="n">
        <v>53340</v>
      </c>
      <c r="AF631" t="n">
        <v>9975</v>
      </c>
      <c r="AG631" t="n">
        <v>78</v>
      </c>
      <c r="AH631" t="inlineStr">
        <is>
          <t>PT. GLORIENTA P.H - PPN (PDG)</t>
        </is>
      </c>
      <c r="AI631" t="n">
        <v>49</v>
      </c>
      <c r="AJ631" t="inlineStr">
        <is>
          <t>BRASOV</t>
        </is>
      </c>
      <c r="AK631" t="n">
        <v>21</v>
      </c>
      <c r="AL631" t="inlineStr">
        <is>
          <t>Miss Glam Damar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BRASOV</t>
        </is>
      </c>
      <c r="B632" s="2">
        <f>"8997008672983"</f>
        <v/>
      </c>
      <c r="C632" t="inlineStr">
        <is>
          <t>BRASOV Signature Eau De Parfum Garnet 35ml</t>
        </is>
      </c>
      <c r="D632" t="inlineStr">
        <is>
          <t>Miss Glam Damar</t>
        </is>
      </c>
      <c r="E632" t="n">
        <v>0</v>
      </c>
      <c r="F632" t="n">
        <v>0.02</v>
      </c>
      <c r="G632" t="n">
        <v>1</v>
      </c>
      <c r="H632" t="n">
        <v>3</v>
      </c>
      <c r="I632" t="n">
        <v>11</v>
      </c>
      <c r="J632" t="n">
        <v>3</v>
      </c>
      <c r="K632" t="n">
        <v>0</v>
      </c>
      <c r="L632" t="n">
        <v>14850</v>
      </c>
      <c r="M632" t="n">
        <v>18000</v>
      </c>
      <c r="N632" t="n">
        <v>91</v>
      </c>
      <c r="O632" t="n">
        <v>0.91</v>
      </c>
      <c r="P632" t="n">
        <v>0</v>
      </c>
      <c r="Q632" t="n">
        <v>0.02</v>
      </c>
      <c r="R632" t="n">
        <v>1</v>
      </c>
      <c r="S632" t="n">
        <v>360</v>
      </c>
      <c r="T632" t="n">
        <v>11</v>
      </c>
      <c r="U632" t="n">
        <v>12</v>
      </c>
      <c r="V632" t="n">
        <v>30</v>
      </c>
      <c r="W632" t="n">
        <v>1</v>
      </c>
      <c r="X632" t="n">
        <v>0</v>
      </c>
      <c r="Y632" t="n">
        <v>1</v>
      </c>
      <c r="Z632" t="n">
        <v>1</v>
      </c>
      <c r="AA632" t="n">
        <v>1</v>
      </c>
      <c r="AB632" t="n">
        <v>0</v>
      </c>
      <c r="AC632" t="n">
        <v>0</v>
      </c>
      <c r="AD632" t="n">
        <v>14850</v>
      </c>
      <c r="AE632" t="n">
        <v>0</v>
      </c>
      <c r="AF632" t="n">
        <v>9975</v>
      </c>
      <c r="AG632" t="n">
        <v>78</v>
      </c>
      <c r="AH632" t="inlineStr">
        <is>
          <t>PT. GLORIENTA P.H - PPN (PDG)</t>
        </is>
      </c>
      <c r="AI632" t="n">
        <v>49</v>
      </c>
      <c r="AJ632" t="inlineStr">
        <is>
          <t>BRASOV</t>
        </is>
      </c>
      <c r="AK632" t="n">
        <v>21</v>
      </c>
      <c r="AL632" t="inlineStr">
        <is>
          <t>Miss Glam Damar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BRASOV</t>
        </is>
      </c>
      <c r="B633" s="2">
        <f>"8997008672990"</f>
        <v/>
      </c>
      <c r="C633" t="inlineStr">
        <is>
          <t>BRASOV Signature Eau De Parfume Amethyst 35ml</t>
        </is>
      </c>
      <c r="D633" t="inlineStr">
        <is>
          <t>Miss Glam Damar</t>
        </is>
      </c>
      <c r="E633" t="n">
        <v>76</v>
      </c>
      <c r="F633" t="n">
        <v>11.7845</v>
      </c>
      <c r="G633" t="n">
        <v>22.75</v>
      </c>
      <c r="H633" t="n">
        <v>3</v>
      </c>
      <c r="I633" t="n">
        <v>11</v>
      </c>
      <c r="J633" t="n">
        <v>12</v>
      </c>
      <c r="K633" t="n">
        <v>0</v>
      </c>
      <c r="L633" t="n">
        <v>14850</v>
      </c>
      <c r="M633" t="n">
        <v>18000</v>
      </c>
      <c r="N633" t="n">
        <v>91</v>
      </c>
      <c r="O633" t="n">
        <v>0.91</v>
      </c>
      <c r="P633" t="n">
        <v>1</v>
      </c>
      <c r="Q633" t="n">
        <v>2.19</v>
      </c>
      <c r="R633" t="n">
        <v>10</v>
      </c>
      <c r="S633" t="n">
        <v>212121</v>
      </c>
      <c r="T633" t="n">
        <v>215</v>
      </c>
      <c r="U633" t="n">
        <v>251</v>
      </c>
      <c r="V633" t="n">
        <v>30</v>
      </c>
      <c r="W633" t="n">
        <v>354</v>
      </c>
      <c r="X633" t="n">
        <v>6.449149306292163</v>
      </c>
      <c r="Y633" t="n">
        <v>1</v>
      </c>
      <c r="Z633" t="n">
        <v>278</v>
      </c>
      <c r="AA633" t="n">
        <v>54</v>
      </c>
      <c r="AB633" t="n">
        <v>224</v>
      </c>
      <c r="AC633" t="n">
        <v>224</v>
      </c>
      <c r="AD633" t="n">
        <v>801900</v>
      </c>
      <c r="AE633" t="n">
        <v>3326400</v>
      </c>
      <c r="AF633" t="n">
        <v>9975</v>
      </c>
      <c r="AG633" t="n">
        <v>78</v>
      </c>
      <c r="AH633" t="inlineStr">
        <is>
          <t>PT. GLORIENTA P.H - PPN (PDG)</t>
        </is>
      </c>
      <c r="AI633" t="n">
        <v>49</v>
      </c>
      <c r="AJ633" t="inlineStr">
        <is>
          <t>BRASOV</t>
        </is>
      </c>
      <c r="AK633" t="n">
        <v>21</v>
      </c>
      <c r="AL633" t="inlineStr">
        <is>
          <t>Miss Glam Damar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BRASOV</t>
        </is>
      </c>
      <c r="B634" s="2">
        <f>"8997008673027"</f>
        <v/>
      </c>
      <c r="C634" t="inlineStr">
        <is>
          <t>BRASOV Signature Eau De Parfume Emerald 35ml</t>
        </is>
      </c>
      <c r="D634" t="inlineStr">
        <is>
          <t>Miss Glam Damar</t>
        </is>
      </c>
      <c r="E634" t="n">
        <v>40</v>
      </c>
      <c r="F634" t="n">
        <v>6.2972</v>
      </c>
      <c r="G634" t="n">
        <v>16.38</v>
      </c>
      <c r="H634" t="n">
        <v>3</v>
      </c>
      <c r="I634" t="n">
        <v>11</v>
      </c>
      <c r="J634" t="n">
        <v>3</v>
      </c>
      <c r="K634" t="n">
        <v>6</v>
      </c>
      <c r="L634" t="n">
        <v>14850</v>
      </c>
      <c r="M634" t="n">
        <v>18000</v>
      </c>
      <c r="N634" t="n">
        <v>91</v>
      </c>
      <c r="O634" t="n">
        <v>0.91</v>
      </c>
      <c r="P634" t="n">
        <v>1</v>
      </c>
      <c r="Q634" t="n">
        <v>2.08</v>
      </c>
      <c r="R634" t="n">
        <v>9</v>
      </c>
      <c r="S634" t="n">
        <v>113349.6</v>
      </c>
      <c r="T634" t="n">
        <v>162</v>
      </c>
      <c r="U634" t="n">
        <v>181</v>
      </c>
      <c r="V634" t="n">
        <v>30</v>
      </c>
      <c r="W634" t="n">
        <v>189</v>
      </c>
      <c r="X634" t="n">
        <v>6.352029473416756</v>
      </c>
      <c r="Y634" t="n">
        <v>1</v>
      </c>
      <c r="Z634" t="n">
        <v>143</v>
      </c>
      <c r="AA634" t="n">
        <v>29</v>
      </c>
      <c r="AB634" t="n">
        <v>114</v>
      </c>
      <c r="AC634" t="n">
        <v>114</v>
      </c>
      <c r="AD634" t="n">
        <v>430650</v>
      </c>
      <c r="AE634" t="n">
        <v>1692900</v>
      </c>
      <c r="AF634" t="n">
        <v>9975</v>
      </c>
      <c r="AG634" t="n">
        <v>78</v>
      </c>
      <c r="AH634" t="inlineStr">
        <is>
          <t>PT. GLORIENTA P.H - PPN (PDG)</t>
        </is>
      </c>
      <c r="AI634" t="n">
        <v>49</v>
      </c>
      <c r="AJ634" t="inlineStr">
        <is>
          <t>BRASOV</t>
        </is>
      </c>
      <c r="AK634" t="n">
        <v>21</v>
      </c>
      <c r="AL634" t="inlineStr">
        <is>
          <t>Miss Glam Damar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BRASOV</t>
        </is>
      </c>
      <c r="B635" s="2">
        <f>"8997008673034"</f>
        <v/>
      </c>
      <c r="C635" t="inlineStr">
        <is>
          <t>BRASOV Signature Eau De Parfume Pearl 35ml</t>
        </is>
      </c>
      <c r="D635" t="inlineStr">
        <is>
          <t>Miss Glam Damar</t>
        </is>
      </c>
      <c r="E635" t="n">
        <v>52</v>
      </c>
      <c r="F635" t="n">
        <v>4.9504</v>
      </c>
      <c r="G635" t="n">
        <v>11.83</v>
      </c>
      <c r="H635" t="n">
        <v>3</v>
      </c>
      <c r="I635" t="n">
        <v>11</v>
      </c>
      <c r="J635" t="n">
        <v>3</v>
      </c>
      <c r="K635" t="n">
        <v>0</v>
      </c>
      <c r="L635" t="n">
        <v>14850</v>
      </c>
      <c r="M635" t="n">
        <v>18000</v>
      </c>
      <c r="N635" t="n">
        <v>91</v>
      </c>
      <c r="O635" t="n">
        <v>0.91</v>
      </c>
      <c r="P635" t="n">
        <v>1</v>
      </c>
      <c r="Q635" t="n">
        <v>2.2</v>
      </c>
      <c r="R635" t="n">
        <v>12</v>
      </c>
      <c r="S635" t="n">
        <v>89107.2</v>
      </c>
      <c r="T635" t="n">
        <v>116</v>
      </c>
      <c r="U635" t="n">
        <v>131</v>
      </c>
      <c r="V635" t="n">
        <v>30</v>
      </c>
      <c r="W635" t="n">
        <v>149</v>
      </c>
      <c r="X635" t="n">
        <v>10.50420168067227</v>
      </c>
      <c r="Y635" t="n">
        <v>1</v>
      </c>
      <c r="Z635" t="n">
        <v>97</v>
      </c>
      <c r="AA635" t="n">
        <v>3</v>
      </c>
      <c r="AB635" t="n">
        <v>94</v>
      </c>
      <c r="AC635" t="n">
        <v>94</v>
      </c>
      <c r="AD635" t="n">
        <v>44550</v>
      </c>
      <c r="AE635" t="n">
        <v>1395900</v>
      </c>
      <c r="AF635" t="n">
        <v>9975</v>
      </c>
      <c r="AG635" t="n">
        <v>78</v>
      </c>
      <c r="AH635" t="inlineStr">
        <is>
          <t>PT. GLORIENTA P.H - PPN (PDG)</t>
        </is>
      </c>
      <c r="AI635" t="n">
        <v>49</v>
      </c>
      <c r="AJ635" t="inlineStr">
        <is>
          <t>BRASOV</t>
        </is>
      </c>
      <c r="AK635" t="n">
        <v>21</v>
      </c>
      <c r="AL635" t="inlineStr">
        <is>
          <t>Miss Glam Damar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BRASOV</t>
        </is>
      </c>
      <c r="B636" s="2">
        <f>"8997008673041"</f>
        <v/>
      </c>
      <c r="C636" t="inlineStr">
        <is>
          <t>BRASOV Signature Eau De Parfume Ruby 35ml</t>
        </is>
      </c>
      <c r="D636" t="inlineStr">
        <is>
          <t>Miss Glam Damar</t>
        </is>
      </c>
      <c r="E636" t="n">
        <v>60</v>
      </c>
      <c r="F636" t="n">
        <v>3.1486</v>
      </c>
      <c r="G636" t="n">
        <v>7.28</v>
      </c>
      <c r="H636" t="n">
        <v>3</v>
      </c>
      <c r="I636" t="n">
        <v>11</v>
      </c>
      <c r="J636" t="n">
        <v>3</v>
      </c>
      <c r="K636" t="n">
        <v>0</v>
      </c>
      <c r="L636" t="n">
        <v>14850</v>
      </c>
      <c r="M636" t="n">
        <v>18000</v>
      </c>
      <c r="N636" t="n">
        <v>91</v>
      </c>
      <c r="O636" t="n">
        <v>0.91</v>
      </c>
      <c r="P636" t="n">
        <v>1</v>
      </c>
      <c r="Q636" t="n">
        <v>2.44</v>
      </c>
      <c r="R636" t="n">
        <v>10</v>
      </c>
      <c r="S636" t="n">
        <v>56674.8</v>
      </c>
      <c r="T636" t="n">
        <v>71</v>
      </c>
      <c r="U636" t="n">
        <v>81</v>
      </c>
      <c r="V636" t="n">
        <v>30</v>
      </c>
      <c r="W636" t="n">
        <v>95</v>
      </c>
      <c r="X636" t="n">
        <v>19.05608842025027</v>
      </c>
      <c r="Y636" t="n">
        <v>1</v>
      </c>
      <c r="Z636" t="n">
        <v>35</v>
      </c>
      <c r="AA636" t="n">
        <v>0</v>
      </c>
      <c r="AB636" t="n">
        <v>35</v>
      </c>
      <c r="AC636" t="n">
        <v>35</v>
      </c>
      <c r="AD636" t="n">
        <v>0</v>
      </c>
      <c r="AE636" t="n">
        <v>519750</v>
      </c>
      <c r="AF636" t="n">
        <v>9975</v>
      </c>
      <c r="AG636" t="n">
        <v>78</v>
      </c>
      <c r="AH636" t="inlineStr">
        <is>
          <t>PT. GLORIENTA P.H - PPN (PDG)</t>
        </is>
      </c>
      <c r="AI636" t="n">
        <v>49</v>
      </c>
      <c r="AJ636" t="inlineStr">
        <is>
          <t>BRASOV</t>
        </is>
      </c>
      <c r="AK636" t="n">
        <v>21</v>
      </c>
      <c r="AL636" t="inlineStr">
        <is>
          <t>Miss Glam Damar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BRASOV</t>
        </is>
      </c>
      <c r="B637" s="2">
        <f>"8997008673096"</f>
        <v/>
      </c>
      <c r="C637" t="inlineStr">
        <is>
          <t>BRASOV Signature Eau De Parfume Turquoise 35ml</t>
        </is>
      </c>
      <c r="D637" t="inlineStr">
        <is>
          <t>Miss Glam Damar</t>
        </is>
      </c>
      <c r="E637" t="n">
        <v>42</v>
      </c>
      <c r="F637" t="n">
        <v>3.6855</v>
      </c>
      <c r="G637" t="n">
        <v>10.01</v>
      </c>
      <c r="H637" t="n">
        <v>3</v>
      </c>
      <c r="I637" t="n">
        <v>11</v>
      </c>
      <c r="J637" t="n">
        <v>3</v>
      </c>
      <c r="K637" t="n">
        <v>0</v>
      </c>
      <c r="L637" t="n">
        <v>14850</v>
      </c>
      <c r="M637" t="n">
        <v>18000</v>
      </c>
      <c r="N637" t="n">
        <v>91</v>
      </c>
      <c r="O637" t="n">
        <v>0.91</v>
      </c>
      <c r="P637" t="n">
        <v>1</v>
      </c>
      <c r="Q637" t="n">
        <v>1.97</v>
      </c>
      <c r="R637" t="n">
        <v>6</v>
      </c>
      <c r="S637" t="n">
        <v>66339</v>
      </c>
      <c r="T637" t="n">
        <v>100</v>
      </c>
      <c r="U637" t="n">
        <v>112</v>
      </c>
      <c r="V637" t="n">
        <v>30</v>
      </c>
      <c r="W637" t="n">
        <v>111</v>
      </c>
      <c r="X637" t="n">
        <v>11.3960113960114</v>
      </c>
      <c r="Y637" t="n">
        <v>1</v>
      </c>
      <c r="Z637" t="n">
        <v>69</v>
      </c>
      <c r="AA637" t="n">
        <v>0</v>
      </c>
      <c r="AB637" t="n">
        <v>69</v>
      </c>
      <c r="AC637" t="n">
        <v>69</v>
      </c>
      <c r="AD637" t="n">
        <v>0</v>
      </c>
      <c r="AE637" t="n">
        <v>1024650</v>
      </c>
      <c r="AF637" t="n">
        <v>9975</v>
      </c>
      <c r="AG637" t="n">
        <v>78</v>
      </c>
      <c r="AH637" t="inlineStr">
        <is>
          <t>PT. GLORIENTA P.H - PPN (PDG)</t>
        </is>
      </c>
      <c r="AI637" t="n">
        <v>49</v>
      </c>
      <c r="AJ637" t="inlineStr">
        <is>
          <t>BRASOV</t>
        </is>
      </c>
      <c r="AK637" t="n">
        <v>21</v>
      </c>
      <c r="AL637" t="inlineStr">
        <is>
          <t>Miss Glam Damar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BRAVEN</t>
        </is>
      </c>
      <c r="B638" s="2">
        <f>"11000407728"</f>
        <v/>
      </c>
      <c r="C638" t="inlineStr">
        <is>
          <t>BRAVEN Collection  Eau De Parfum French Oak 100ml</t>
        </is>
      </c>
      <c r="D638" t="inlineStr">
        <is>
          <t>Miss Glam Damar</t>
        </is>
      </c>
      <c r="E638" t="n">
        <v>4</v>
      </c>
      <c r="F638" t="n">
        <v>0.04550000000000001</v>
      </c>
      <c r="G638" t="n">
        <v>0.91</v>
      </c>
      <c r="H638" t="n">
        <v>3</v>
      </c>
      <c r="I638" t="n">
        <v>11</v>
      </c>
      <c r="J638" t="n">
        <v>1</v>
      </c>
      <c r="K638" t="n">
        <v>0</v>
      </c>
      <c r="L638" t="n">
        <v>30003</v>
      </c>
      <c r="M638" t="n">
        <v>40000</v>
      </c>
      <c r="N638" t="n">
        <v>91</v>
      </c>
      <c r="O638" t="n">
        <v>0.91</v>
      </c>
      <c r="P638" t="n">
        <v>1</v>
      </c>
      <c r="Q638" t="n">
        <v>0.14</v>
      </c>
      <c r="R638" t="n">
        <v>1</v>
      </c>
      <c r="S638" t="n">
        <v>1820</v>
      </c>
      <c r="T638" t="n">
        <v>10</v>
      </c>
      <c r="U638" t="n">
        <v>11</v>
      </c>
      <c r="V638" t="n">
        <v>30</v>
      </c>
      <c r="W638" t="n">
        <v>2</v>
      </c>
      <c r="X638" t="n">
        <v>87.9120879120879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12796</v>
      </c>
      <c r="AG638" t="n">
        <v>2122</v>
      </c>
      <c r="AH638" t="inlineStr">
        <is>
          <t>PT. SINAR PADANG LESTARI - PPN (PDG)</t>
        </is>
      </c>
      <c r="AI638" t="n">
        <v>2322</v>
      </c>
      <c r="AJ638" t="inlineStr">
        <is>
          <t>BRAVEN</t>
        </is>
      </c>
      <c r="AK638" t="n">
        <v>21</v>
      </c>
      <c r="AL638" t="inlineStr">
        <is>
          <t>Miss Glam Damar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BRAVEN</t>
        </is>
      </c>
      <c r="B639" s="2">
        <f>"11000407825"</f>
        <v/>
      </c>
      <c r="C639" t="inlineStr">
        <is>
          <t>BRAVEN Collection  Eau De Parfum Sensual Oud 100ml</t>
        </is>
      </c>
      <c r="D639" t="inlineStr">
        <is>
          <t>Miss Glam Damar</t>
        </is>
      </c>
      <c r="E639" t="n">
        <v>7</v>
      </c>
      <c r="F639" t="n">
        <v>0.0728</v>
      </c>
      <c r="G639" t="n">
        <v>0.91</v>
      </c>
      <c r="H639" t="n">
        <v>3</v>
      </c>
      <c r="I639" t="n">
        <v>11</v>
      </c>
      <c r="J639" t="n">
        <v>1</v>
      </c>
      <c r="K639" t="n">
        <v>0</v>
      </c>
      <c r="L639" t="n">
        <v>31112</v>
      </c>
      <c r="M639" t="n">
        <v>40000</v>
      </c>
      <c r="N639" t="n">
        <v>91</v>
      </c>
      <c r="O639" t="n">
        <v>0.91</v>
      </c>
      <c r="P639" t="n">
        <v>1</v>
      </c>
      <c r="Q639" t="n">
        <v>0.08</v>
      </c>
      <c r="R639" t="n">
        <v>1</v>
      </c>
      <c r="S639" t="n">
        <v>2912</v>
      </c>
      <c r="T639" t="n">
        <v>10</v>
      </c>
      <c r="U639" t="n">
        <v>11</v>
      </c>
      <c r="V639" t="n">
        <v>30</v>
      </c>
      <c r="W639" t="n">
        <v>3</v>
      </c>
      <c r="X639" t="n">
        <v>96.15384615384615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12796</v>
      </c>
      <c r="AG639" t="n">
        <v>2122</v>
      </c>
      <c r="AH639" t="inlineStr">
        <is>
          <t>PT. SINAR PADANG LESTARI - PPN (PDG)</t>
        </is>
      </c>
      <c r="AI639" t="n">
        <v>2322</v>
      </c>
      <c r="AJ639" t="inlineStr">
        <is>
          <t>BRAVEN</t>
        </is>
      </c>
      <c r="AK639" t="n">
        <v>21</v>
      </c>
      <c r="AL639" t="inlineStr">
        <is>
          <t>Miss Glam Damar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BRAVEN</t>
        </is>
      </c>
      <c r="B640" s="2">
        <f>"11000407905"</f>
        <v/>
      </c>
      <c r="C640" t="inlineStr">
        <is>
          <t>BRAVEN Collection  Eau De Parfum Vanilla Wood 100ml</t>
        </is>
      </c>
      <c r="D640" t="inlineStr">
        <is>
          <t>Miss Glam Damar</t>
        </is>
      </c>
      <c r="E640" t="n">
        <v>5</v>
      </c>
      <c r="F640" t="n">
        <v>0.1365</v>
      </c>
      <c r="G640" t="n">
        <v>0.91</v>
      </c>
      <c r="H640" t="n">
        <v>3</v>
      </c>
      <c r="I640" t="n">
        <v>11</v>
      </c>
      <c r="J640" t="n">
        <v>1</v>
      </c>
      <c r="K640" t="n">
        <v>0</v>
      </c>
      <c r="L640" t="n">
        <v>31136</v>
      </c>
      <c r="M640" t="n">
        <v>40000</v>
      </c>
      <c r="N640" t="n">
        <v>91</v>
      </c>
      <c r="O640" t="n">
        <v>0.91</v>
      </c>
      <c r="P640" t="n">
        <v>1</v>
      </c>
      <c r="Q640" t="n">
        <v>0.02</v>
      </c>
      <c r="R640" t="n">
        <v>0</v>
      </c>
      <c r="S640" t="n">
        <v>5460</v>
      </c>
      <c r="T640" t="n">
        <v>10</v>
      </c>
      <c r="U640" t="n">
        <v>11</v>
      </c>
      <c r="V640" t="n">
        <v>30</v>
      </c>
      <c r="W640" t="n">
        <v>5</v>
      </c>
      <c r="X640" t="n">
        <v>36.63003663003663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12796</v>
      </c>
      <c r="AG640" t="n">
        <v>2122</v>
      </c>
      <c r="AH640" t="inlineStr">
        <is>
          <t>PT. SINAR PADANG LESTARI - PPN (PDG)</t>
        </is>
      </c>
      <c r="AI640" t="n">
        <v>2322</v>
      </c>
      <c r="AJ640" t="inlineStr">
        <is>
          <t>BRAVEN</t>
        </is>
      </c>
      <c r="AK640" t="n">
        <v>21</v>
      </c>
      <c r="AL640" t="inlineStr">
        <is>
          <t>Miss Glam Damar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BRAVEN</t>
        </is>
      </c>
      <c r="B641" s="2">
        <f>"11000407644"</f>
        <v/>
      </c>
      <c r="C641" t="inlineStr">
        <is>
          <t>BRAVEN Collection Eau De Parfum Barber 100ml</t>
        </is>
      </c>
      <c r="D641" t="inlineStr">
        <is>
          <t>Miss Glam Damar</t>
        </is>
      </c>
      <c r="E641" t="n">
        <v>0</v>
      </c>
      <c r="F641" t="n">
        <v>0.2184</v>
      </c>
      <c r="G641" t="n">
        <v>1.82</v>
      </c>
      <c r="H641" t="n">
        <v>3</v>
      </c>
      <c r="I641" t="n">
        <v>11</v>
      </c>
      <c r="J641" t="n">
        <v>1</v>
      </c>
      <c r="K641" t="n">
        <v>0</v>
      </c>
      <c r="L641" t="n">
        <v>30636</v>
      </c>
      <c r="M641" t="n">
        <v>40000</v>
      </c>
      <c r="N641" t="n">
        <v>91</v>
      </c>
      <c r="O641" t="n">
        <v>0.91</v>
      </c>
      <c r="P641" t="n">
        <v>1</v>
      </c>
      <c r="Q641" t="n">
        <v>0.03</v>
      </c>
      <c r="R641" t="n">
        <v>1</v>
      </c>
      <c r="S641" t="n">
        <v>8736</v>
      </c>
      <c r="T641" t="n">
        <v>20</v>
      </c>
      <c r="U641" t="n">
        <v>21</v>
      </c>
      <c r="V641" t="n">
        <v>30</v>
      </c>
      <c r="W641" t="n">
        <v>7</v>
      </c>
      <c r="X641" t="n">
        <v>0</v>
      </c>
      <c r="Y641" t="n">
        <v>1</v>
      </c>
      <c r="Z641" t="n">
        <v>7</v>
      </c>
      <c r="AA641" t="n">
        <v>3</v>
      </c>
      <c r="AB641" t="n">
        <v>4</v>
      </c>
      <c r="AC641" t="n">
        <v>4</v>
      </c>
      <c r="AD641" t="n">
        <v>91908</v>
      </c>
      <c r="AE641" t="n">
        <v>122544</v>
      </c>
      <c r="AF641" t="n">
        <v>12796</v>
      </c>
      <c r="AG641" t="n">
        <v>2122</v>
      </c>
      <c r="AH641" t="inlineStr">
        <is>
          <t>PT. SINAR PADANG LESTARI - PPN (PDG)</t>
        </is>
      </c>
      <c r="AI641" t="n">
        <v>2322</v>
      </c>
      <c r="AJ641" t="inlineStr">
        <is>
          <t>BRAVEN</t>
        </is>
      </c>
      <c r="AK641" t="n">
        <v>21</v>
      </c>
      <c r="AL641" t="inlineStr">
        <is>
          <t>Miss Glam Damar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BREYLEE</t>
        </is>
      </c>
      <c r="B642" s="2">
        <f>"6970470530663"</f>
        <v/>
      </c>
      <c r="C642" t="inlineStr">
        <is>
          <t>BREYLEE Acne Pimple Patch Night Use 22 Patches</t>
        </is>
      </c>
      <c r="D642" t="inlineStr">
        <is>
          <t>Miss Glam Damar</t>
        </is>
      </c>
      <c r="E642" t="n">
        <v>1</v>
      </c>
      <c r="F642" t="n">
        <v>0.0728</v>
      </c>
      <c r="G642" t="n">
        <v>0.91</v>
      </c>
      <c r="H642" t="n">
        <v>4</v>
      </c>
      <c r="I642" t="n">
        <v>21</v>
      </c>
      <c r="J642" t="n">
        <v>3</v>
      </c>
      <c r="K642" t="n">
        <v>3</v>
      </c>
      <c r="L642" t="n">
        <v>20520</v>
      </c>
      <c r="M642" t="n">
        <v>29000</v>
      </c>
      <c r="N642" t="n">
        <v>91</v>
      </c>
      <c r="O642" t="n">
        <v>0.91</v>
      </c>
      <c r="P642" t="n">
        <v>1</v>
      </c>
      <c r="Q642" t="n">
        <v>0.15</v>
      </c>
      <c r="R642" t="n">
        <v>2</v>
      </c>
      <c r="S642" t="n">
        <v>2111.2</v>
      </c>
      <c r="T642" t="n">
        <v>19</v>
      </c>
      <c r="U642" t="n">
        <v>20</v>
      </c>
      <c r="V642" t="n">
        <v>30</v>
      </c>
      <c r="W642" t="n">
        <v>3</v>
      </c>
      <c r="X642" t="n">
        <v>13.73626373626374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3877</v>
      </c>
      <c r="AG642" t="n">
        <v>1</v>
      </c>
      <c r="AH642" t="inlineStr">
        <is>
          <t>PT. BERSAMA DISTRIVERSA INDONESIA (DC CIPUTAT)</t>
        </is>
      </c>
      <c r="AI642" t="n">
        <v>308</v>
      </c>
      <c r="AJ642" t="inlineStr">
        <is>
          <t>BREYLEE</t>
        </is>
      </c>
      <c r="AK642" t="n">
        <v>21</v>
      </c>
      <c r="AL642" t="inlineStr">
        <is>
          <t>Miss Glam Damar</t>
        </is>
      </c>
      <c r="AM642" t="n">
        <v>3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BREYLEE</t>
        </is>
      </c>
      <c r="B643" s="2">
        <f>"6973665944177"</f>
        <v/>
      </c>
      <c r="C643" t="inlineStr">
        <is>
          <t>BREYLEE Blackhead Mask Deeply Cleanse &amp; Purify Step 1 Tea Tree 17ml</t>
        </is>
      </c>
      <c r="D643" t="inlineStr">
        <is>
          <t>Miss Glam Damar</t>
        </is>
      </c>
      <c r="E643" t="n">
        <v>0</v>
      </c>
      <c r="F643" t="n">
        <v>1.4651</v>
      </c>
      <c r="G643" t="n">
        <v>4.55</v>
      </c>
      <c r="H643" t="n">
        <v>4</v>
      </c>
      <c r="I643" t="n">
        <v>21</v>
      </c>
      <c r="J643" t="n">
        <v>3</v>
      </c>
      <c r="K643" t="n">
        <v>54</v>
      </c>
      <c r="L643" t="n">
        <v>42997</v>
      </c>
      <c r="M643" t="n">
        <v>51500</v>
      </c>
      <c r="N643" t="n">
        <v>91</v>
      </c>
      <c r="O643" t="n">
        <v>0.91</v>
      </c>
      <c r="P643" t="n">
        <v>1</v>
      </c>
      <c r="Q643" t="n">
        <v>1.22</v>
      </c>
      <c r="R643" t="n">
        <v>5</v>
      </c>
      <c r="S643" t="n">
        <v>75452.65000000001</v>
      </c>
      <c r="T643" t="n">
        <v>90</v>
      </c>
      <c r="U643" t="n">
        <v>96</v>
      </c>
      <c r="V643" t="n">
        <v>30</v>
      </c>
      <c r="W643" t="n">
        <v>44</v>
      </c>
      <c r="X643" t="n">
        <v>0</v>
      </c>
      <c r="Y643" t="n">
        <v>1</v>
      </c>
      <c r="Z643" t="n">
        <v>0</v>
      </c>
      <c r="AA643" t="n">
        <v>30</v>
      </c>
      <c r="AB643" t="n">
        <v>0</v>
      </c>
      <c r="AC643" t="n">
        <v>0</v>
      </c>
      <c r="AD643" t="n">
        <v>1289910</v>
      </c>
      <c r="AE643" t="n">
        <v>0</v>
      </c>
      <c r="AF643" t="n">
        <v>3877</v>
      </c>
      <c r="AG643" t="n">
        <v>1</v>
      </c>
      <c r="AH643" t="inlineStr">
        <is>
          <t>PT. BERSAMA DISTRIVERSA INDONESIA (DC CIPUTAT)</t>
        </is>
      </c>
      <c r="AI643" t="n">
        <v>308</v>
      </c>
      <c r="AJ643" t="inlineStr">
        <is>
          <t>BREYLEE</t>
        </is>
      </c>
      <c r="AK643" t="n">
        <v>21</v>
      </c>
      <c r="AL643" t="inlineStr">
        <is>
          <t>Miss Glam Damar</t>
        </is>
      </c>
      <c r="AM643" t="n">
        <v>3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BREYLEE</t>
        </is>
      </c>
      <c r="B644" s="2">
        <f>"6973665944122"</f>
        <v/>
      </c>
      <c r="C644" t="inlineStr">
        <is>
          <t>BREYLEE Tea Tree Acne Pimple Patch 22pcs Day</t>
        </is>
      </c>
      <c r="D644" t="inlineStr">
        <is>
          <t>Miss Glam Damar</t>
        </is>
      </c>
      <c r="E644" t="n">
        <v>0</v>
      </c>
      <c r="F644" t="n">
        <v>0.1456</v>
      </c>
      <c r="G644" t="n">
        <v>0.91</v>
      </c>
      <c r="H644" t="n">
        <v>4</v>
      </c>
      <c r="I644" t="n">
        <v>21</v>
      </c>
      <c r="J644" t="n">
        <v>3</v>
      </c>
      <c r="K644" t="n">
        <v>6</v>
      </c>
      <c r="L644" t="n">
        <v>18158</v>
      </c>
      <c r="M644" t="n">
        <v>26500</v>
      </c>
      <c r="N644" t="n">
        <v>91</v>
      </c>
      <c r="O644" t="n">
        <v>0.91</v>
      </c>
      <c r="P644" t="n">
        <v>1</v>
      </c>
      <c r="Q644" t="n">
        <v>0.24</v>
      </c>
      <c r="R644" t="n">
        <v>2</v>
      </c>
      <c r="S644" t="n">
        <v>3858.4</v>
      </c>
      <c r="T644" t="n">
        <v>19</v>
      </c>
      <c r="U644" t="n">
        <v>20</v>
      </c>
      <c r="V644" t="n">
        <v>30</v>
      </c>
      <c r="W644" t="n">
        <v>5</v>
      </c>
      <c r="X644" t="n">
        <v>0</v>
      </c>
      <c r="Y644" t="n">
        <v>1</v>
      </c>
      <c r="Z644" t="n">
        <v>0</v>
      </c>
      <c r="AA644" t="n">
        <v>3</v>
      </c>
      <c r="AB644" t="n">
        <v>0</v>
      </c>
      <c r="AC644" t="n">
        <v>0</v>
      </c>
      <c r="AD644" t="n">
        <v>54474</v>
      </c>
      <c r="AE644" t="n">
        <v>0</v>
      </c>
      <c r="AF644" t="n">
        <v>3877</v>
      </c>
      <c r="AG644" t="n">
        <v>1</v>
      </c>
      <c r="AH644" t="inlineStr">
        <is>
          <t>PT. BERSAMA DISTRIVERSA INDONESIA (DC CIPUTAT)</t>
        </is>
      </c>
      <c r="AI644" t="n">
        <v>308</v>
      </c>
      <c r="AJ644" t="inlineStr">
        <is>
          <t>BREYLEE</t>
        </is>
      </c>
      <c r="AK644" t="n">
        <v>21</v>
      </c>
      <c r="AL644" t="inlineStr">
        <is>
          <t>Miss Glam Damar</t>
        </is>
      </c>
      <c r="AM644" t="n">
        <v>3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BREYLEE</t>
        </is>
      </c>
      <c r="B645" s="2">
        <f>"6973665940599"</f>
        <v/>
      </c>
      <c r="C645" t="inlineStr">
        <is>
          <t>BREYLEE Tea Tree Blackhead Mask Nose Strips 1 pcs</t>
        </is>
      </c>
      <c r="D645" t="inlineStr">
        <is>
          <t>Miss Glam Damar</t>
        </is>
      </c>
      <c r="E645" t="n">
        <v>1</v>
      </c>
      <c r="F645" t="n">
        <v>0.54</v>
      </c>
      <c r="G645" t="n">
        <v>4</v>
      </c>
      <c r="H645" t="n">
        <v>4</v>
      </c>
      <c r="I645" t="n">
        <v>21</v>
      </c>
      <c r="J645" t="n">
        <v>3</v>
      </c>
      <c r="K645" t="n">
        <v>0</v>
      </c>
      <c r="L645" t="n">
        <v>2371</v>
      </c>
      <c r="M645" t="n">
        <v>5000</v>
      </c>
      <c r="N645" t="n">
        <v>91</v>
      </c>
      <c r="O645" t="n">
        <v>0.91</v>
      </c>
      <c r="P645" t="n">
        <v>0</v>
      </c>
      <c r="Q645" t="n">
        <v>0.54</v>
      </c>
      <c r="R645" t="n">
        <v>4</v>
      </c>
      <c r="S645" t="n">
        <v>2700</v>
      </c>
      <c r="T645" t="n">
        <v>82</v>
      </c>
      <c r="U645" t="n">
        <v>85</v>
      </c>
      <c r="V645" t="n">
        <v>30</v>
      </c>
      <c r="W645" t="n">
        <v>17</v>
      </c>
      <c r="X645" t="n">
        <v>1.851851851851852</v>
      </c>
      <c r="Y645" t="n">
        <v>1</v>
      </c>
      <c r="Z645" t="n">
        <v>16</v>
      </c>
      <c r="AA645" t="n">
        <v>11</v>
      </c>
      <c r="AB645" t="n">
        <v>5</v>
      </c>
      <c r="AC645" t="n">
        <v>5</v>
      </c>
      <c r="AD645" t="n">
        <v>26081</v>
      </c>
      <c r="AE645" t="n">
        <v>11855</v>
      </c>
      <c r="AF645" t="n">
        <v>3877</v>
      </c>
      <c r="AG645" t="n">
        <v>1</v>
      </c>
      <c r="AH645" t="inlineStr">
        <is>
          <t>PT. BERSAMA DISTRIVERSA INDONESIA (DC CIPUTAT)</t>
        </is>
      </c>
      <c r="AI645" t="n">
        <v>308</v>
      </c>
      <c r="AJ645" t="inlineStr">
        <is>
          <t>BREYLEE</t>
        </is>
      </c>
      <c r="AK645" t="n">
        <v>21</v>
      </c>
      <c r="AL645" t="inlineStr">
        <is>
          <t>Miss Glam Damar</t>
        </is>
      </c>
      <c r="AM645" t="n">
        <v>3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BREYLEE</t>
        </is>
      </c>
      <c r="B646" s="2">
        <f>"6973665944184"</f>
        <v/>
      </c>
      <c r="C646" t="inlineStr">
        <is>
          <t>BREYLEE Tea Tree Pore Minimizer Serum Step 2 17ml</t>
        </is>
      </c>
      <c r="D646" t="inlineStr">
        <is>
          <t>Miss Glam Damar</t>
        </is>
      </c>
      <c r="E646" t="n">
        <v>8</v>
      </c>
      <c r="F646" t="n">
        <v>0.1547</v>
      </c>
      <c r="G646" t="n">
        <v>1.82</v>
      </c>
      <c r="H646" t="n">
        <v>4</v>
      </c>
      <c r="I646" t="n">
        <v>21</v>
      </c>
      <c r="J646" t="n">
        <v>3</v>
      </c>
      <c r="K646" t="n">
        <v>0</v>
      </c>
      <c r="L646" t="n">
        <v>36245</v>
      </c>
      <c r="M646" t="n">
        <v>44000</v>
      </c>
      <c r="N646" t="n">
        <v>91</v>
      </c>
      <c r="O646" t="n">
        <v>0.91</v>
      </c>
      <c r="P646" t="n">
        <v>1</v>
      </c>
      <c r="Q646" t="n">
        <v>0.19</v>
      </c>
      <c r="R646" t="n">
        <v>1</v>
      </c>
      <c r="S646" t="n">
        <v>6806.8</v>
      </c>
      <c r="T646" t="n">
        <v>38</v>
      </c>
      <c r="U646" t="n">
        <v>39</v>
      </c>
      <c r="V646" t="n">
        <v>30</v>
      </c>
      <c r="W646" t="n">
        <v>5</v>
      </c>
      <c r="X646" t="n">
        <v>51.71299288946348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3877</v>
      </c>
      <c r="AG646" t="n">
        <v>1</v>
      </c>
      <c r="AH646" t="inlineStr">
        <is>
          <t>PT. BERSAMA DISTRIVERSA INDONESIA (DC CIPUTAT)</t>
        </is>
      </c>
      <c r="AI646" t="n">
        <v>308</v>
      </c>
      <c r="AJ646" t="inlineStr">
        <is>
          <t>BREYLEE</t>
        </is>
      </c>
      <c r="AK646" t="n">
        <v>21</v>
      </c>
      <c r="AL646" t="inlineStr">
        <is>
          <t>Miss Glam Damar</t>
        </is>
      </c>
      <c r="AM646" t="n">
        <v>3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BRIGHTY</t>
        </is>
      </c>
      <c r="B647" s="2">
        <f>"8993883100290"</f>
        <v/>
      </c>
      <c r="C647" t="inlineStr">
        <is>
          <t>BRIGHTY Advanced Glowing Body Slime Mask 170gr</t>
        </is>
      </c>
      <c r="D647" t="inlineStr">
        <is>
          <t>Miss Glam Damar</t>
        </is>
      </c>
      <c r="E647" t="n">
        <v>1</v>
      </c>
      <c r="F647" t="n">
        <v>0.0182</v>
      </c>
      <c r="G647" t="n">
        <v>0.91</v>
      </c>
      <c r="H647" t="n">
        <v>4</v>
      </c>
      <c r="I647" t="n">
        <v>21</v>
      </c>
      <c r="J647" t="n">
        <v>3</v>
      </c>
      <c r="K647" t="n">
        <v>0</v>
      </c>
      <c r="L647" t="n">
        <v>74250</v>
      </c>
      <c r="M647" t="n">
        <v>99000</v>
      </c>
      <c r="N647" t="n">
        <v>91</v>
      </c>
      <c r="O647" t="n">
        <v>0.91</v>
      </c>
      <c r="P647" t="n">
        <v>1</v>
      </c>
      <c r="Q647" t="n">
        <v>0.02</v>
      </c>
      <c r="R647" t="n">
        <v>1</v>
      </c>
      <c r="S647" t="n">
        <v>1801.8</v>
      </c>
      <c r="T647" t="n">
        <v>20</v>
      </c>
      <c r="U647" t="n">
        <v>21</v>
      </c>
      <c r="V647" t="n">
        <v>30</v>
      </c>
      <c r="W647" t="n">
        <v>1</v>
      </c>
      <c r="X647" t="n">
        <v>54.94505494505494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3910</v>
      </c>
      <c r="AG647" t="n">
        <v>1</v>
      </c>
      <c r="AH647" t="inlineStr">
        <is>
          <t>PT. BERSAMA DISTRIVERSA INDONESIA (DC CIPUTAT)</t>
        </is>
      </c>
      <c r="AI647" t="n">
        <v>501</v>
      </c>
      <c r="AJ647" t="inlineStr">
        <is>
          <t>BRIGHTY</t>
        </is>
      </c>
      <c r="AK647" t="n">
        <v>21</v>
      </c>
      <c r="AL647" t="inlineStr">
        <is>
          <t>Miss Glam Damar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BRIGHTY</t>
        </is>
      </c>
      <c r="B648" s="2">
        <f>"8993883100023"</f>
        <v/>
      </c>
      <c r="C648" t="inlineStr">
        <is>
          <t>BRIGHTY AHA Hero Exfoliating Liquid 35ml</t>
        </is>
      </c>
      <c r="D648" t="inlineStr">
        <is>
          <t>Miss Glam Damar</t>
        </is>
      </c>
      <c r="E648" t="n">
        <v>2</v>
      </c>
      <c r="F648" t="n">
        <v>0.04550000000000001</v>
      </c>
      <c r="G648" t="n">
        <v>0.91</v>
      </c>
      <c r="H648" t="n">
        <v>4</v>
      </c>
      <c r="I648" t="n">
        <v>21</v>
      </c>
      <c r="J648" t="n">
        <v>3</v>
      </c>
      <c r="K648" t="n">
        <v>0</v>
      </c>
      <c r="L648" t="n">
        <v>63750</v>
      </c>
      <c r="M648" t="n">
        <v>87000</v>
      </c>
      <c r="N648" t="n">
        <v>91</v>
      </c>
      <c r="O648" t="n">
        <v>0.91</v>
      </c>
      <c r="P648" t="n">
        <v>1</v>
      </c>
      <c r="Q648" t="n">
        <v>0.08</v>
      </c>
      <c r="R648" t="n">
        <v>1</v>
      </c>
      <c r="S648" t="n">
        <v>3958.5</v>
      </c>
      <c r="T648" t="n">
        <v>19</v>
      </c>
      <c r="U648" t="n">
        <v>20</v>
      </c>
      <c r="V648" t="n">
        <v>30</v>
      </c>
      <c r="W648" t="n">
        <v>2</v>
      </c>
      <c r="X648" t="n">
        <v>43.95604395604395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3910</v>
      </c>
      <c r="AG648" t="n">
        <v>1</v>
      </c>
      <c r="AH648" t="inlineStr">
        <is>
          <t>PT. BERSAMA DISTRIVERSA INDONESIA (DC CIPUTAT)</t>
        </is>
      </c>
      <c r="AI648" t="n">
        <v>501</v>
      </c>
      <c r="AJ648" t="inlineStr">
        <is>
          <t>BRIGHTY</t>
        </is>
      </c>
      <c r="AK648" t="n">
        <v>21</v>
      </c>
      <c r="AL648" t="inlineStr">
        <is>
          <t>Miss Glam Damar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BRIGHTY</t>
        </is>
      </c>
      <c r="B649" s="2">
        <f>"30200429022"</f>
        <v/>
      </c>
      <c r="C649" t="inlineStr">
        <is>
          <t>BRIGHTY Aha Whitening Concentrate  Booster Serum 90gr</t>
        </is>
      </c>
      <c r="D649" t="inlineStr">
        <is>
          <t>Miss Glam Damar</t>
        </is>
      </c>
      <c r="E649" t="n">
        <v>5</v>
      </c>
      <c r="F649" t="n">
        <v>0.0273</v>
      </c>
      <c r="G649" t="n">
        <v>1.82</v>
      </c>
      <c r="H649" t="n">
        <v>4</v>
      </c>
      <c r="I649" t="n">
        <v>21</v>
      </c>
      <c r="J649" t="n">
        <v>1</v>
      </c>
      <c r="K649" t="n">
        <v>0</v>
      </c>
      <c r="L649" t="n">
        <v>40060</v>
      </c>
      <c r="M649" t="n">
        <v>70000</v>
      </c>
      <c r="N649" t="n">
        <v>91</v>
      </c>
      <c r="O649" t="n">
        <v>0.91</v>
      </c>
      <c r="P649" t="n">
        <v>1</v>
      </c>
      <c r="Q649" t="n">
        <v>0.07000000000000001</v>
      </c>
      <c r="R649" t="n">
        <v>1</v>
      </c>
      <c r="S649" t="n">
        <v>1911</v>
      </c>
      <c r="T649" t="n">
        <v>39</v>
      </c>
      <c r="U649" t="n">
        <v>40</v>
      </c>
      <c r="V649" t="n">
        <v>30</v>
      </c>
      <c r="W649" t="n">
        <v>1</v>
      </c>
      <c r="X649" t="n">
        <v>183.1501831501832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3910</v>
      </c>
      <c r="AG649" t="n">
        <v>1</v>
      </c>
      <c r="AH649" t="inlineStr">
        <is>
          <t>PT. BERSAMA DISTRIVERSA INDONESIA (DC CIPUTAT)</t>
        </is>
      </c>
      <c r="AI649" t="n">
        <v>501</v>
      </c>
      <c r="AJ649" t="inlineStr">
        <is>
          <t>BRIGHTY</t>
        </is>
      </c>
      <c r="AK649" t="n">
        <v>21</v>
      </c>
      <c r="AL649" t="inlineStr">
        <is>
          <t>Miss Glam Damar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BRIGHTY</t>
        </is>
      </c>
      <c r="B650" s="2">
        <f>"8993883100139"</f>
        <v/>
      </c>
      <c r="C650" t="inlineStr">
        <is>
          <t>BRIGHTY Bright My Day Kojic Body Serum 105ml</t>
        </is>
      </c>
      <c r="D650" t="inlineStr">
        <is>
          <t>Miss Glam Damar</t>
        </is>
      </c>
      <c r="E650" t="n">
        <v>3</v>
      </c>
      <c r="F650" t="n">
        <v>0.02</v>
      </c>
      <c r="G650" t="n">
        <v>1</v>
      </c>
      <c r="H650" t="n">
        <v>4</v>
      </c>
      <c r="I650" t="n">
        <v>21</v>
      </c>
      <c r="J650" t="n">
        <v>3</v>
      </c>
      <c r="K650" t="n">
        <v>0</v>
      </c>
      <c r="L650" t="n">
        <v>70400</v>
      </c>
      <c r="M650" t="n">
        <v>88000</v>
      </c>
      <c r="N650" t="n">
        <v>91</v>
      </c>
      <c r="O650" t="n">
        <v>0.91</v>
      </c>
      <c r="P650" t="n">
        <v>0</v>
      </c>
      <c r="Q650" t="n">
        <v>0.02</v>
      </c>
      <c r="R650" t="n">
        <v>1</v>
      </c>
      <c r="S650" t="n">
        <v>1760</v>
      </c>
      <c r="T650" t="n">
        <v>21</v>
      </c>
      <c r="U650" t="n">
        <v>22</v>
      </c>
      <c r="V650" t="n">
        <v>30</v>
      </c>
      <c r="W650" t="n">
        <v>1</v>
      </c>
      <c r="X650" t="n">
        <v>150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3910</v>
      </c>
      <c r="AG650" t="n">
        <v>1</v>
      </c>
      <c r="AH650" t="inlineStr">
        <is>
          <t>PT. BERSAMA DISTRIVERSA INDONESIA (DC CIPUTAT)</t>
        </is>
      </c>
      <c r="AI650" t="n">
        <v>501</v>
      </c>
      <c r="AJ650" t="inlineStr">
        <is>
          <t>BRIGHTY</t>
        </is>
      </c>
      <c r="AK650" t="n">
        <v>21</v>
      </c>
      <c r="AL650" t="inlineStr">
        <is>
          <t>Miss Glam Damar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BRIGHTY</t>
        </is>
      </c>
      <c r="B651" s="2">
        <f>"8993883100115"</f>
        <v/>
      </c>
      <c r="C651" t="inlineStr">
        <is>
          <t>BRIGHTY Bright My Day Pomegranate Body Scrub 200gr</t>
        </is>
      </c>
      <c r="D651" t="inlineStr">
        <is>
          <t>Miss Glam Damar</t>
        </is>
      </c>
      <c r="E651" t="n">
        <v>3</v>
      </c>
      <c r="F651" t="n">
        <v>0.04550000000000001</v>
      </c>
      <c r="G651" t="n">
        <v>0.91</v>
      </c>
      <c r="H651" t="n">
        <v>4</v>
      </c>
      <c r="I651" t="n">
        <v>21</v>
      </c>
      <c r="J651" t="n">
        <v>3</v>
      </c>
      <c r="K651" t="n">
        <v>0</v>
      </c>
      <c r="L651" t="n">
        <v>53664</v>
      </c>
      <c r="M651" t="n">
        <v>75000</v>
      </c>
      <c r="N651" t="n">
        <v>91</v>
      </c>
      <c r="O651" t="n">
        <v>0.91</v>
      </c>
      <c r="P651" t="n">
        <v>1</v>
      </c>
      <c r="Q651" t="n">
        <v>0.12</v>
      </c>
      <c r="R651" t="n">
        <v>2</v>
      </c>
      <c r="S651" t="n">
        <v>3412.5</v>
      </c>
      <c r="T651" t="n">
        <v>19</v>
      </c>
      <c r="U651" t="n">
        <v>20</v>
      </c>
      <c r="V651" t="n">
        <v>30</v>
      </c>
      <c r="W651" t="n">
        <v>2</v>
      </c>
      <c r="X651" t="n">
        <v>65.93406593406593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3910</v>
      </c>
      <c r="AG651" t="n">
        <v>1</v>
      </c>
      <c r="AH651" t="inlineStr">
        <is>
          <t>PT. BERSAMA DISTRIVERSA INDONESIA (DC CIPUTAT)</t>
        </is>
      </c>
      <c r="AI651" t="n">
        <v>501</v>
      </c>
      <c r="AJ651" t="inlineStr">
        <is>
          <t>BRIGHTY</t>
        </is>
      </c>
      <c r="AK651" t="n">
        <v>21</v>
      </c>
      <c r="AL651" t="inlineStr">
        <is>
          <t>Miss Glam Damar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BRIGHTY</t>
        </is>
      </c>
      <c r="B652" s="2">
        <f>"30200428958"</f>
        <v/>
      </c>
      <c r="C652" t="inlineStr">
        <is>
          <t>BRIGHTY Glow It Up Body Serum 180ml</t>
        </is>
      </c>
      <c r="D652" t="inlineStr">
        <is>
          <t>Miss Glam Damar</t>
        </is>
      </c>
      <c r="E652" t="n">
        <v>0</v>
      </c>
      <c r="F652" t="n">
        <v>0.182</v>
      </c>
      <c r="G652" t="n">
        <v>1.82</v>
      </c>
      <c r="H652" t="n">
        <v>4</v>
      </c>
      <c r="I652" t="n">
        <v>21</v>
      </c>
      <c r="J652" t="n">
        <v>1</v>
      </c>
      <c r="K652" t="n">
        <v>0</v>
      </c>
      <c r="L652" t="n">
        <v>45485</v>
      </c>
      <c r="M652" t="n">
        <v>65000</v>
      </c>
      <c r="N652" t="n">
        <v>91</v>
      </c>
      <c r="O652" t="n">
        <v>0.91</v>
      </c>
      <c r="P652" t="n">
        <v>1</v>
      </c>
      <c r="Q652" t="n">
        <v>0.22</v>
      </c>
      <c r="R652" t="n">
        <v>2</v>
      </c>
      <c r="S652" t="n">
        <v>11830</v>
      </c>
      <c r="T652" t="n">
        <v>38</v>
      </c>
      <c r="U652" t="n">
        <v>39</v>
      </c>
      <c r="V652" t="n">
        <v>30</v>
      </c>
      <c r="W652" t="n">
        <v>6</v>
      </c>
      <c r="X652" t="n">
        <v>0</v>
      </c>
      <c r="Y652" t="n">
        <v>1</v>
      </c>
      <c r="Z652" t="n">
        <v>6</v>
      </c>
      <c r="AA652" t="n">
        <v>4</v>
      </c>
      <c r="AB652" t="n">
        <v>2</v>
      </c>
      <c r="AC652" t="n">
        <v>2</v>
      </c>
      <c r="AD652" t="n">
        <v>181940</v>
      </c>
      <c r="AE652" t="n">
        <v>90970</v>
      </c>
      <c r="AF652" t="n">
        <v>3910</v>
      </c>
      <c r="AG652" t="n">
        <v>1</v>
      </c>
      <c r="AH652" t="inlineStr">
        <is>
          <t>PT. BERSAMA DISTRIVERSA INDONESIA (DC CIPUTAT)</t>
        </is>
      </c>
      <c r="AI652" t="n">
        <v>501</v>
      </c>
      <c r="AJ652" t="inlineStr">
        <is>
          <t>BRIGHTY</t>
        </is>
      </c>
      <c r="AK652" t="n">
        <v>21</v>
      </c>
      <c r="AL652" t="inlineStr">
        <is>
          <t>Miss Glam Damar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BRIGHTY</t>
        </is>
      </c>
      <c r="B653" s="2">
        <f>"8993883100009"</f>
        <v/>
      </c>
      <c r="C653" t="inlineStr">
        <is>
          <t>BRIGHTY Glowing Underarm 30ml</t>
        </is>
      </c>
      <c r="D653" t="inlineStr">
        <is>
          <t>Miss Glam Damar</t>
        </is>
      </c>
      <c r="E653" t="n">
        <v>1</v>
      </c>
      <c r="F653" t="n">
        <v>0.1729</v>
      </c>
      <c r="G653" t="n">
        <v>0.91</v>
      </c>
      <c r="H653" t="n">
        <v>4</v>
      </c>
      <c r="I653" t="n">
        <v>21</v>
      </c>
      <c r="J653" t="n">
        <v>3</v>
      </c>
      <c r="K653" t="n">
        <v>0</v>
      </c>
      <c r="L653" t="n">
        <v>65261</v>
      </c>
      <c r="M653" t="n">
        <v>95000</v>
      </c>
      <c r="N653" t="n">
        <v>91</v>
      </c>
      <c r="O653" t="n">
        <v>0.91</v>
      </c>
      <c r="P653" t="n">
        <v>1</v>
      </c>
      <c r="Q653" t="n">
        <v>0.42</v>
      </c>
      <c r="R653" t="n">
        <v>3</v>
      </c>
      <c r="S653" t="n">
        <v>16425.5</v>
      </c>
      <c r="T653" t="n">
        <v>19</v>
      </c>
      <c r="U653" t="n">
        <v>20</v>
      </c>
      <c r="V653" t="n">
        <v>30</v>
      </c>
      <c r="W653" t="n">
        <v>6</v>
      </c>
      <c r="X653" t="n">
        <v>5.78368999421631</v>
      </c>
      <c r="Y653" t="n">
        <v>1</v>
      </c>
      <c r="Z653" t="n">
        <v>5</v>
      </c>
      <c r="AA653" t="n">
        <v>3</v>
      </c>
      <c r="AB653" t="n">
        <v>2</v>
      </c>
      <c r="AC653" t="n">
        <v>3</v>
      </c>
      <c r="AD653" t="n">
        <v>195783</v>
      </c>
      <c r="AE653" t="n">
        <v>195783</v>
      </c>
      <c r="AF653" t="n">
        <v>3910</v>
      </c>
      <c r="AG653" t="n">
        <v>1</v>
      </c>
      <c r="AH653" t="inlineStr">
        <is>
          <t>PT. BERSAMA DISTRIVERSA INDONESIA (DC CIPUTAT)</t>
        </is>
      </c>
      <c r="AI653" t="n">
        <v>501</v>
      </c>
      <c r="AJ653" t="inlineStr">
        <is>
          <t>BRIGHTY</t>
        </is>
      </c>
      <c r="AK653" t="n">
        <v>21</v>
      </c>
      <c r="AL653" t="inlineStr">
        <is>
          <t>Miss Glam Damar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BRIGHTY</t>
        </is>
      </c>
      <c r="B654" s="2">
        <f>"8993883100054"</f>
        <v/>
      </c>
      <c r="C654" t="inlineStr">
        <is>
          <t>BRIGHTY Good Body Odor With Chamomile Extract 30ml</t>
        </is>
      </c>
      <c r="D654" t="inlineStr">
        <is>
          <t>Miss Glam Damar</t>
        </is>
      </c>
      <c r="E654" t="n">
        <v>0</v>
      </c>
      <c r="F654" t="n">
        <v>0.06370000000000001</v>
      </c>
      <c r="G654" t="n">
        <v>2.73</v>
      </c>
      <c r="H654" t="n">
        <v>4</v>
      </c>
      <c r="I654" t="n">
        <v>21</v>
      </c>
      <c r="J654" t="n">
        <v>3</v>
      </c>
      <c r="K654" t="n">
        <v>0</v>
      </c>
      <c r="L654" t="n">
        <v>62624</v>
      </c>
      <c r="M654" t="n">
        <v>94000</v>
      </c>
      <c r="N654" t="n">
        <v>91</v>
      </c>
      <c r="O654" t="n">
        <v>0.91</v>
      </c>
      <c r="P654" t="n">
        <v>1</v>
      </c>
      <c r="Q654" t="n">
        <v>0.22</v>
      </c>
      <c r="R654" t="n">
        <v>1</v>
      </c>
      <c r="S654" t="n">
        <v>5987.8</v>
      </c>
      <c r="T654" t="n">
        <v>58</v>
      </c>
      <c r="U654" t="n">
        <v>59</v>
      </c>
      <c r="V654" t="n">
        <v>30</v>
      </c>
      <c r="W654" t="n">
        <v>2</v>
      </c>
      <c r="X654" t="n">
        <v>0</v>
      </c>
      <c r="Y654" t="n">
        <v>1</v>
      </c>
      <c r="Z654" t="n">
        <v>2</v>
      </c>
      <c r="AA654" t="n">
        <v>2</v>
      </c>
      <c r="AB654" t="n">
        <v>0</v>
      </c>
      <c r="AC654" t="n">
        <v>0</v>
      </c>
      <c r="AD654" t="n">
        <v>125248</v>
      </c>
      <c r="AE654" t="n">
        <v>0</v>
      </c>
      <c r="AF654" t="n">
        <v>3910</v>
      </c>
      <c r="AG654" t="n">
        <v>1</v>
      </c>
      <c r="AH654" t="inlineStr">
        <is>
          <t>PT. BERSAMA DISTRIVERSA INDONESIA (DC CIPUTAT)</t>
        </is>
      </c>
      <c r="AI654" t="n">
        <v>501</v>
      </c>
      <c r="AJ654" t="inlineStr">
        <is>
          <t>BRIGHTY</t>
        </is>
      </c>
      <c r="AK654" t="n">
        <v>21</v>
      </c>
      <c r="AL654" t="inlineStr">
        <is>
          <t>Miss Glam Damar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BRIGHTY</t>
        </is>
      </c>
      <c r="B655" s="2">
        <f>"8993883100061"</f>
        <v/>
      </c>
      <c r="C655" t="inlineStr">
        <is>
          <t>BRIGHTY Hair Removal Waxing Strip Kit 10 Strips</t>
        </is>
      </c>
      <c r="D655" t="inlineStr">
        <is>
          <t>Miss Glam Damar</t>
        </is>
      </c>
      <c r="E655" t="n">
        <v>6</v>
      </c>
      <c r="F655" t="n">
        <v>0.1092</v>
      </c>
      <c r="G655" t="n">
        <v>0.91</v>
      </c>
      <c r="H655" t="n">
        <v>4</v>
      </c>
      <c r="I655" t="n">
        <v>21</v>
      </c>
      <c r="J655" t="n">
        <v>3</v>
      </c>
      <c r="K655" t="n">
        <v>0</v>
      </c>
      <c r="L655" t="n">
        <v>56032</v>
      </c>
      <c r="M655" t="n">
        <v>85000</v>
      </c>
      <c r="N655" t="n">
        <v>91</v>
      </c>
      <c r="O655" t="n">
        <v>0.91</v>
      </c>
      <c r="P655" t="n">
        <v>1</v>
      </c>
      <c r="Q655" t="n">
        <v>0.19</v>
      </c>
      <c r="R655" t="n">
        <v>3</v>
      </c>
      <c r="S655" t="n">
        <v>9282</v>
      </c>
      <c r="T655" t="n">
        <v>19</v>
      </c>
      <c r="U655" t="n">
        <v>20</v>
      </c>
      <c r="V655" t="n">
        <v>30</v>
      </c>
      <c r="W655" t="n">
        <v>4</v>
      </c>
      <c r="X655" t="n">
        <v>54.94505494505494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3910</v>
      </c>
      <c r="AG655" t="n">
        <v>1</v>
      </c>
      <c r="AH655" t="inlineStr">
        <is>
          <t>PT. BERSAMA DISTRIVERSA INDONESIA (DC CIPUTAT)</t>
        </is>
      </c>
      <c r="AI655" t="n">
        <v>501</v>
      </c>
      <c r="AJ655" t="inlineStr">
        <is>
          <t>BRIGHTY</t>
        </is>
      </c>
      <c r="AK655" t="n">
        <v>21</v>
      </c>
      <c r="AL655" t="inlineStr">
        <is>
          <t>Miss Glam Damar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BRIGHTY</t>
        </is>
      </c>
      <c r="B656" s="2">
        <f>"8993883100184"</f>
        <v/>
      </c>
      <c r="C656" t="inlineStr">
        <is>
          <t>BRIGHTY Multipurposes Exfoliating Toner Rose Extract 130ml</t>
        </is>
      </c>
      <c r="D656" t="inlineStr">
        <is>
          <t>Miss Glam Damar</t>
        </is>
      </c>
      <c r="E656" t="n">
        <v>5</v>
      </c>
      <c r="F656" t="n">
        <v>0.2821</v>
      </c>
      <c r="G656" t="n">
        <v>1.82</v>
      </c>
      <c r="H656" t="n">
        <v>4</v>
      </c>
      <c r="I656" t="n">
        <v>21</v>
      </c>
      <c r="J656" t="n">
        <v>3</v>
      </c>
      <c r="K656" t="n">
        <v>0</v>
      </c>
      <c r="L656" t="n">
        <v>66000</v>
      </c>
      <c r="M656" t="n">
        <v>86000</v>
      </c>
      <c r="N656" t="n">
        <v>91</v>
      </c>
      <c r="O656" t="n">
        <v>0.91</v>
      </c>
      <c r="P656" t="n">
        <v>1</v>
      </c>
      <c r="Q656" t="n">
        <v>0.12</v>
      </c>
      <c r="R656" t="n">
        <v>2</v>
      </c>
      <c r="S656" t="n">
        <v>24260.6</v>
      </c>
      <c r="T656" t="n">
        <v>38</v>
      </c>
      <c r="U656" t="n">
        <v>40</v>
      </c>
      <c r="V656" t="n">
        <v>30</v>
      </c>
      <c r="W656" t="n">
        <v>9</v>
      </c>
      <c r="X656" t="n">
        <v>17.72421127259837</v>
      </c>
      <c r="Y656" t="n">
        <v>1</v>
      </c>
      <c r="Z656" t="n">
        <v>4</v>
      </c>
      <c r="AA656" t="n">
        <v>1</v>
      </c>
      <c r="AB656" t="n">
        <v>3</v>
      </c>
      <c r="AC656" t="n">
        <v>3</v>
      </c>
      <c r="AD656" t="n">
        <v>66000</v>
      </c>
      <c r="AE656" t="n">
        <v>198000</v>
      </c>
      <c r="AF656" t="n">
        <v>3910</v>
      </c>
      <c r="AG656" t="n">
        <v>1</v>
      </c>
      <c r="AH656" t="inlineStr">
        <is>
          <t>PT. BERSAMA DISTRIVERSA INDONESIA (DC CIPUTAT)</t>
        </is>
      </c>
      <c r="AI656" t="n">
        <v>501</v>
      </c>
      <c r="AJ656" t="inlineStr">
        <is>
          <t>BRIGHTY</t>
        </is>
      </c>
      <c r="AK656" t="n">
        <v>21</v>
      </c>
      <c r="AL656" t="inlineStr">
        <is>
          <t>Miss Glam Damar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BRIGHTY</t>
        </is>
      </c>
      <c r="B657" s="2">
        <f>"8993883100108"</f>
        <v/>
      </c>
      <c r="C657" t="inlineStr">
        <is>
          <t>BRIGHTY Niacinamide Body Wash 300ml</t>
        </is>
      </c>
      <c r="D657" t="inlineStr">
        <is>
          <t>Miss Glam Damar</t>
        </is>
      </c>
      <c r="E657" t="n">
        <v>2</v>
      </c>
      <c r="F657" t="n">
        <v>0.06370000000000001</v>
      </c>
      <c r="G657" t="n">
        <v>0.91</v>
      </c>
      <c r="H657" t="n">
        <v>4</v>
      </c>
      <c r="I657" t="n">
        <v>21</v>
      </c>
      <c r="J657" t="n">
        <v>3</v>
      </c>
      <c r="K657" t="n">
        <v>0</v>
      </c>
      <c r="L657" t="n">
        <v>52000</v>
      </c>
      <c r="M657" t="n">
        <v>65000</v>
      </c>
      <c r="N657" t="n">
        <v>91</v>
      </c>
      <c r="O657" t="n">
        <v>0.91</v>
      </c>
      <c r="P657" t="n">
        <v>1</v>
      </c>
      <c r="Q657" t="n">
        <v>0.02</v>
      </c>
      <c r="R657" t="n">
        <v>1</v>
      </c>
      <c r="S657" t="n">
        <v>4140.5</v>
      </c>
      <c r="T657" t="n">
        <v>19</v>
      </c>
      <c r="U657" t="n">
        <v>20</v>
      </c>
      <c r="V657" t="n">
        <v>30</v>
      </c>
      <c r="W657" t="n">
        <v>2</v>
      </c>
      <c r="X657" t="n">
        <v>31.39717425431711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3910</v>
      </c>
      <c r="AG657" t="n">
        <v>1</v>
      </c>
      <c r="AH657" t="inlineStr">
        <is>
          <t>PT. BERSAMA DISTRIVERSA INDONESIA (DC CIPUTAT)</t>
        </is>
      </c>
      <c r="AI657" t="n">
        <v>501</v>
      </c>
      <c r="AJ657" t="inlineStr">
        <is>
          <t>BRIGHTY</t>
        </is>
      </c>
      <c r="AK657" t="n">
        <v>21</v>
      </c>
      <c r="AL657" t="inlineStr">
        <is>
          <t>Miss Glam Damar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BRIGHTY</t>
        </is>
      </c>
      <c r="B658" s="2">
        <f>"8993883100207"</f>
        <v/>
      </c>
      <c r="C658" t="inlineStr">
        <is>
          <t>BRIGHTY Post Shaving &amp; Waxing Gel 40ml</t>
        </is>
      </c>
      <c r="D658" t="inlineStr">
        <is>
          <t>Miss Glam Damar</t>
        </is>
      </c>
      <c r="E658" t="n">
        <v>3</v>
      </c>
      <c r="F658" t="n">
        <v>0.0273</v>
      </c>
      <c r="G658" t="n">
        <v>0.91</v>
      </c>
      <c r="H658" t="n">
        <v>4</v>
      </c>
      <c r="I658" t="n">
        <v>21</v>
      </c>
      <c r="J658" t="n">
        <v>3</v>
      </c>
      <c r="K658" t="n">
        <v>0</v>
      </c>
      <c r="L658" t="n">
        <v>63750</v>
      </c>
      <c r="M658" t="n">
        <v>84000</v>
      </c>
      <c r="N658" t="n">
        <v>91</v>
      </c>
      <c r="O658" t="n">
        <v>0.91</v>
      </c>
      <c r="P658" t="n">
        <v>1</v>
      </c>
      <c r="Q658" t="n">
        <v>0.07000000000000001</v>
      </c>
      <c r="R658" t="n">
        <v>1</v>
      </c>
      <c r="S658" t="n">
        <v>2293.2</v>
      </c>
      <c r="T658" t="n">
        <v>20</v>
      </c>
      <c r="U658" t="n">
        <v>21</v>
      </c>
      <c r="V658" t="n">
        <v>30</v>
      </c>
      <c r="W658" t="n">
        <v>1</v>
      </c>
      <c r="X658" t="n">
        <v>109.8901098901099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3910</v>
      </c>
      <c r="AG658" t="n">
        <v>1</v>
      </c>
      <c r="AH658" t="inlineStr">
        <is>
          <t>PT. BERSAMA DISTRIVERSA INDONESIA (DC CIPUTAT)</t>
        </is>
      </c>
      <c r="AI658" t="n">
        <v>501</v>
      </c>
      <c r="AJ658" t="inlineStr">
        <is>
          <t>BRIGHTY</t>
        </is>
      </c>
      <c r="AK658" t="n">
        <v>21</v>
      </c>
      <c r="AL658" t="inlineStr">
        <is>
          <t>Miss Glam Damar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BRIGHTY</t>
        </is>
      </c>
      <c r="B659" s="2">
        <f>"8993883100306"</f>
        <v/>
      </c>
      <c r="C659" t="inlineStr">
        <is>
          <t>BRIGHTY Super Power Glowing Ingredients Bar Soap 85gr</t>
        </is>
      </c>
      <c r="D659" t="inlineStr">
        <is>
          <t>Miss Glam Damar</t>
        </is>
      </c>
      <c r="E659" t="n">
        <v>38</v>
      </c>
      <c r="F659" t="n">
        <v>5.5692</v>
      </c>
      <c r="G659" t="n">
        <v>17.29</v>
      </c>
      <c r="H659" t="n">
        <v>4</v>
      </c>
      <c r="I659" t="n">
        <v>21</v>
      </c>
      <c r="J659" t="n">
        <v>3</v>
      </c>
      <c r="K659" t="n">
        <v>0</v>
      </c>
      <c r="L659" t="n">
        <v>25709</v>
      </c>
      <c r="M659" t="n">
        <v>39000</v>
      </c>
      <c r="N659" t="n">
        <v>91</v>
      </c>
      <c r="O659" t="n">
        <v>0.91</v>
      </c>
      <c r="P659" t="n">
        <v>1</v>
      </c>
      <c r="Q659" t="n">
        <v>2.32</v>
      </c>
      <c r="R659" t="n">
        <v>14</v>
      </c>
      <c r="S659" t="n">
        <v>217198.8</v>
      </c>
      <c r="T659" t="n">
        <v>341</v>
      </c>
      <c r="U659" t="n">
        <v>364</v>
      </c>
      <c r="V659" t="n">
        <v>30</v>
      </c>
      <c r="W659" t="n">
        <v>168</v>
      </c>
      <c r="X659" t="n">
        <v>6.823242117359764</v>
      </c>
      <c r="Y659" t="n">
        <v>1</v>
      </c>
      <c r="Z659" t="n">
        <v>130</v>
      </c>
      <c r="AA659" t="n">
        <v>79</v>
      </c>
      <c r="AB659" t="n">
        <v>51</v>
      </c>
      <c r="AC659" t="n">
        <v>51</v>
      </c>
      <c r="AD659" t="n">
        <v>2031011</v>
      </c>
      <c r="AE659" t="n">
        <v>1311159</v>
      </c>
      <c r="AF659" t="n">
        <v>3910</v>
      </c>
      <c r="AG659" t="n">
        <v>1</v>
      </c>
      <c r="AH659" t="inlineStr">
        <is>
          <t>PT. BERSAMA DISTRIVERSA INDONESIA (DC CIPUTAT)</t>
        </is>
      </c>
      <c r="AI659" t="n">
        <v>501</v>
      </c>
      <c r="AJ659" t="inlineStr">
        <is>
          <t>BRIGHTY</t>
        </is>
      </c>
      <c r="AK659" t="n">
        <v>21</v>
      </c>
      <c r="AL659" t="inlineStr">
        <is>
          <t>Miss Glam Damar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BRIGHTY</t>
        </is>
      </c>
      <c r="B660" s="2">
        <f>"8993883100078"</f>
        <v/>
      </c>
      <c r="C660" t="inlineStr">
        <is>
          <t>BRIGHTY Swipe Removal Cream 40gr</t>
        </is>
      </c>
      <c r="D660" t="inlineStr">
        <is>
          <t>Miss Glam Damar</t>
        </is>
      </c>
      <c r="E660" t="n">
        <v>4</v>
      </c>
      <c r="F660" t="n">
        <v>0.1365</v>
      </c>
      <c r="G660" t="n">
        <v>1.82</v>
      </c>
      <c r="H660" t="n">
        <v>4</v>
      </c>
      <c r="I660" t="n">
        <v>21</v>
      </c>
      <c r="J660" t="n">
        <v>3</v>
      </c>
      <c r="K660" t="n">
        <v>0</v>
      </c>
      <c r="L660" t="n">
        <v>42848</v>
      </c>
      <c r="M660" t="n">
        <v>64000</v>
      </c>
      <c r="N660" t="n">
        <v>91</v>
      </c>
      <c r="O660" t="n">
        <v>0.91</v>
      </c>
      <c r="P660" t="n">
        <v>1</v>
      </c>
      <c r="Q660" t="n">
        <v>0.22</v>
      </c>
      <c r="R660" t="n">
        <v>2</v>
      </c>
      <c r="S660" t="n">
        <v>8736</v>
      </c>
      <c r="T660" t="n">
        <v>38</v>
      </c>
      <c r="U660" t="n">
        <v>39</v>
      </c>
      <c r="V660" t="n">
        <v>30</v>
      </c>
      <c r="W660" t="n">
        <v>5</v>
      </c>
      <c r="X660" t="n">
        <v>29.3040293040293</v>
      </c>
      <c r="Y660" t="n">
        <v>1</v>
      </c>
      <c r="Z660" t="n">
        <v>1</v>
      </c>
      <c r="AA660" t="n">
        <v>0</v>
      </c>
      <c r="AB660" t="n">
        <v>1</v>
      </c>
      <c r="AC660" t="n">
        <v>3</v>
      </c>
      <c r="AD660" t="n">
        <v>0</v>
      </c>
      <c r="AE660" t="n">
        <v>128544</v>
      </c>
      <c r="AF660" t="n">
        <v>3910</v>
      </c>
      <c r="AG660" t="n">
        <v>1</v>
      </c>
      <c r="AH660" t="inlineStr">
        <is>
          <t>PT. BERSAMA DISTRIVERSA INDONESIA (DC CIPUTAT)</t>
        </is>
      </c>
      <c r="AI660" t="n">
        <v>501</v>
      </c>
      <c r="AJ660" t="inlineStr">
        <is>
          <t>BRIGHTY</t>
        </is>
      </c>
      <c r="AK660" t="n">
        <v>21</v>
      </c>
      <c r="AL660" t="inlineStr">
        <is>
          <t>Miss Glam Damar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BRIGHTY</t>
        </is>
      </c>
      <c r="B661" s="2">
        <f>"8993883100016"</f>
        <v/>
      </c>
      <c r="C661" t="inlineStr">
        <is>
          <t>BRIGHTY Underarm Scrub 80gr</t>
        </is>
      </c>
      <c r="D661" t="inlineStr">
        <is>
          <t>Miss Glam Damar</t>
        </is>
      </c>
      <c r="E661" t="n">
        <v>2</v>
      </c>
      <c r="F661" t="n">
        <v>0.0364</v>
      </c>
      <c r="G661" t="n">
        <v>0.91</v>
      </c>
      <c r="H661" t="n">
        <v>4</v>
      </c>
      <c r="I661" t="n">
        <v>21</v>
      </c>
      <c r="J661" t="n">
        <v>3</v>
      </c>
      <c r="K661" t="n">
        <v>0</v>
      </c>
      <c r="L661" t="n">
        <v>49440</v>
      </c>
      <c r="M661" t="n">
        <v>75000</v>
      </c>
      <c r="N661" t="n">
        <v>91</v>
      </c>
      <c r="O661" t="n">
        <v>0.91</v>
      </c>
      <c r="P661" t="n">
        <v>1</v>
      </c>
      <c r="Q661" t="n">
        <v>0.07000000000000001</v>
      </c>
      <c r="R661" t="n">
        <v>1</v>
      </c>
      <c r="S661" t="n">
        <v>2730</v>
      </c>
      <c r="T661" t="n">
        <v>19</v>
      </c>
      <c r="U661" t="n">
        <v>20</v>
      </c>
      <c r="V661" t="n">
        <v>30</v>
      </c>
      <c r="W661" t="n">
        <v>2</v>
      </c>
      <c r="X661" t="n">
        <v>54.94505494505494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3910</v>
      </c>
      <c r="AG661" t="n">
        <v>1</v>
      </c>
      <c r="AH661" t="inlineStr">
        <is>
          <t>PT. BERSAMA DISTRIVERSA INDONESIA (DC CIPUTAT)</t>
        </is>
      </c>
      <c r="AI661" t="n">
        <v>501</v>
      </c>
      <c r="AJ661" t="inlineStr">
        <is>
          <t>BRIGHTY</t>
        </is>
      </c>
      <c r="AK661" t="n">
        <v>21</v>
      </c>
      <c r="AL661" t="inlineStr">
        <is>
          <t>Miss Glam Damar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BROMEN</t>
        </is>
      </c>
      <c r="B662" s="2">
        <f>"11000109253"</f>
        <v/>
      </c>
      <c r="C662" t="inlineStr">
        <is>
          <t>BROMEN Everest Cool Sensation Facial Wash Fresh Up Your Energy 100ml</t>
        </is>
      </c>
      <c r="D662" t="inlineStr">
        <is>
          <t>Miss Glam Damar</t>
        </is>
      </c>
      <c r="E662" t="n">
        <v>0</v>
      </c>
      <c r="F662" t="n">
        <v>0.03</v>
      </c>
      <c r="G662" t="n">
        <v>1</v>
      </c>
      <c r="H662" t="n">
        <v>4</v>
      </c>
      <c r="I662" t="n">
        <v>21</v>
      </c>
      <c r="J662" t="n">
        <v>1</v>
      </c>
      <c r="K662" t="n">
        <v>0</v>
      </c>
      <c r="L662" t="n">
        <v>36000</v>
      </c>
      <c r="M662" t="n">
        <v>45000</v>
      </c>
      <c r="N662" t="n">
        <v>91</v>
      </c>
      <c r="O662" t="n">
        <v>0.91</v>
      </c>
      <c r="P662" t="n">
        <v>0</v>
      </c>
      <c r="Q662" t="n">
        <v>0.03</v>
      </c>
      <c r="R662" t="n">
        <v>1</v>
      </c>
      <c r="S662" t="n">
        <v>1350</v>
      </c>
      <c r="T662" t="n">
        <v>21</v>
      </c>
      <c r="U662" t="n">
        <v>22</v>
      </c>
      <c r="V662" t="n">
        <v>30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n">
        <v>0</v>
      </c>
      <c r="AC662" t="n">
        <v>0</v>
      </c>
      <c r="AD662" t="n">
        <v>36000</v>
      </c>
      <c r="AE662" t="n">
        <v>0</v>
      </c>
      <c r="AF662" t="n">
        <v>3943</v>
      </c>
      <c r="AG662" t="n">
        <v>1</v>
      </c>
      <c r="AH662" t="inlineStr">
        <is>
          <t>PT. BERSAMA DISTRIVERSA INDONESIA (DC CIPUTAT)</t>
        </is>
      </c>
      <c r="AI662" t="n">
        <v>1504</v>
      </c>
      <c r="AJ662" t="inlineStr">
        <is>
          <t>BROMEN</t>
        </is>
      </c>
      <c r="AK662" t="n">
        <v>21</v>
      </c>
      <c r="AL662" t="inlineStr">
        <is>
          <t>Miss Glam Damar</t>
        </is>
      </c>
      <c r="AM662" t="n">
        <v>4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BUTTERED</t>
        </is>
      </c>
      <c r="B663" s="2">
        <f>"8997858558437"</f>
        <v/>
      </c>
      <c r="C663" t="inlineStr">
        <is>
          <t>BUTTERED Almond Dry Body Oil 50ml</t>
        </is>
      </c>
      <c r="D663" t="inlineStr">
        <is>
          <t>Miss Glam Damar</t>
        </is>
      </c>
      <c r="E663" t="n">
        <v>0</v>
      </c>
      <c r="F663" t="n">
        <v>0.182</v>
      </c>
      <c r="G663" t="n">
        <v>2.73</v>
      </c>
      <c r="H663" t="n">
        <v>4</v>
      </c>
      <c r="I663" t="n">
        <v>21</v>
      </c>
      <c r="J663" t="n">
        <v>3</v>
      </c>
      <c r="K663" t="n">
        <v>0</v>
      </c>
      <c r="L663" t="n">
        <v>34103</v>
      </c>
      <c r="M663" t="n">
        <v>45000</v>
      </c>
      <c r="N663" t="n">
        <v>91</v>
      </c>
      <c r="O663" t="n">
        <v>0.91</v>
      </c>
      <c r="P663" t="n">
        <v>1</v>
      </c>
      <c r="Q663" t="n">
        <v>0.3</v>
      </c>
      <c r="R663" t="n">
        <v>3</v>
      </c>
      <c r="S663" t="n">
        <v>8190.000000000001</v>
      </c>
      <c r="T663" t="n">
        <v>57</v>
      </c>
      <c r="U663" t="n">
        <v>58</v>
      </c>
      <c r="V663" t="n">
        <v>30</v>
      </c>
      <c r="W663" t="n">
        <v>6</v>
      </c>
      <c r="X663" t="n">
        <v>0</v>
      </c>
      <c r="Y663" t="n">
        <v>1</v>
      </c>
      <c r="Z663" t="n">
        <v>6</v>
      </c>
      <c r="AA663" t="n">
        <v>4</v>
      </c>
      <c r="AB663" t="n">
        <v>2</v>
      </c>
      <c r="AC663" t="n">
        <v>3</v>
      </c>
      <c r="AD663" t="n">
        <v>136412</v>
      </c>
      <c r="AE663" t="n">
        <v>102309</v>
      </c>
      <c r="AF663" t="n">
        <v>3976</v>
      </c>
      <c r="AG663" t="n">
        <v>1</v>
      </c>
      <c r="AH663" t="inlineStr">
        <is>
          <t>PT. BERSAMA DISTRIVERSA INDONESIA (DC CIPUTAT)</t>
        </is>
      </c>
      <c r="AI663" t="n">
        <v>1609</v>
      </c>
      <c r="AJ663" t="inlineStr">
        <is>
          <t>BUTTERED</t>
        </is>
      </c>
      <c r="AK663" t="n">
        <v>21</v>
      </c>
      <c r="AL663" t="inlineStr">
        <is>
          <t>Miss Glam Damar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BUTTERED</t>
        </is>
      </c>
      <c r="B664" s="2">
        <f>"8997858557430"</f>
        <v/>
      </c>
      <c r="C664" t="inlineStr">
        <is>
          <t>BUTTERED Almond Shower Oil 160ml</t>
        </is>
      </c>
      <c r="D664" t="inlineStr">
        <is>
          <t>Miss Glam Damar</t>
        </is>
      </c>
      <c r="E664" t="n">
        <v>0</v>
      </c>
      <c r="F664" t="n">
        <v>0.06</v>
      </c>
      <c r="G664" t="n">
        <v>1</v>
      </c>
      <c r="H664" t="n">
        <v>4</v>
      </c>
      <c r="I664" t="n">
        <v>21</v>
      </c>
      <c r="J664" t="n">
        <v>3</v>
      </c>
      <c r="K664" t="n">
        <v>0</v>
      </c>
      <c r="L664" t="n">
        <v>64174</v>
      </c>
      <c r="M664" t="n">
        <v>115000</v>
      </c>
      <c r="N664" t="n">
        <v>91</v>
      </c>
      <c r="O664" t="n">
        <v>0.91</v>
      </c>
      <c r="P664" t="n">
        <v>0</v>
      </c>
      <c r="Q664" t="n">
        <v>0.06</v>
      </c>
      <c r="R664" t="n">
        <v>1</v>
      </c>
      <c r="S664" t="n">
        <v>6900</v>
      </c>
      <c r="T664" t="n">
        <v>21</v>
      </c>
      <c r="U664" t="n">
        <v>22</v>
      </c>
      <c r="V664" t="n">
        <v>30</v>
      </c>
      <c r="W664" t="n">
        <v>2</v>
      </c>
      <c r="X664" t="n">
        <v>0</v>
      </c>
      <c r="Y664" t="n">
        <v>1</v>
      </c>
      <c r="Z664" t="n">
        <v>2</v>
      </c>
      <c r="AA664" t="n">
        <v>2</v>
      </c>
      <c r="AB664" t="n">
        <v>0</v>
      </c>
      <c r="AC664" t="n">
        <v>0</v>
      </c>
      <c r="AD664" t="n">
        <v>128348</v>
      </c>
      <c r="AE664" t="n">
        <v>0</v>
      </c>
      <c r="AF664" t="n">
        <v>3976</v>
      </c>
      <c r="AG664" t="n">
        <v>1</v>
      </c>
      <c r="AH664" t="inlineStr">
        <is>
          <t>PT. BERSAMA DISTRIVERSA INDONESIA (DC CIPUTAT)</t>
        </is>
      </c>
      <c r="AI664" t="n">
        <v>1609</v>
      </c>
      <c r="AJ664" t="inlineStr">
        <is>
          <t>BUTTERED</t>
        </is>
      </c>
      <c r="AK664" t="n">
        <v>21</v>
      </c>
      <c r="AL664" t="inlineStr">
        <is>
          <t>Miss Glam Damar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BUTTERED</t>
        </is>
      </c>
      <c r="B665" s="2">
        <f>"10700325946"</f>
        <v/>
      </c>
      <c r="C665" t="inlineStr">
        <is>
          <t>BUTTERED Lanosalve Multipurpose Balm Bubble Gum 10gr</t>
        </is>
      </c>
      <c r="D665" t="inlineStr">
        <is>
          <t>Miss Glam Damar</t>
        </is>
      </c>
      <c r="E665" t="n">
        <v>4</v>
      </c>
      <c r="F665" t="n">
        <v>0.08</v>
      </c>
      <c r="G665" t="n">
        <v>1</v>
      </c>
      <c r="H665" t="n">
        <v>4</v>
      </c>
      <c r="I665" t="n">
        <v>21</v>
      </c>
      <c r="J665" t="n">
        <v>3</v>
      </c>
      <c r="K665" t="n">
        <v>0</v>
      </c>
      <c r="L665" t="n">
        <v>29198</v>
      </c>
      <c r="M665" t="n">
        <v>40000</v>
      </c>
      <c r="N665" t="n">
        <v>91</v>
      </c>
      <c r="O665" t="n">
        <v>0.91</v>
      </c>
      <c r="P665" t="n">
        <v>0</v>
      </c>
      <c r="Q665" t="n">
        <v>0.08</v>
      </c>
      <c r="R665" t="n">
        <v>1</v>
      </c>
      <c r="S665" t="n">
        <v>3200</v>
      </c>
      <c r="T665" t="n">
        <v>21</v>
      </c>
      <c r="U665" t="n">
        <v>22</v>
      </c>
      <c r="V665" t="n">
        <v>30</v>
      </c>
      <c r="W665" t="n">
        <v>3</v>
      </c>
      <c r="X665" t="n">
        <v>50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3976</v>
      </c>
      <c r="AG665" t="n">
        <v>1</v>
      </c>
      <c r="AH665" t="inlineStr">
        <is>
          <t>PT. BERSAMA DISTRIVERSA INDONESIA (DC CIPUTAT)</t>
        </is>
      </c>
      <c r="AI665" t="n">
        <v>1609</v>
      </c>
      <c r="AJ665" t="inlineStr">
        <is>
          <t>BUTTERED</t>
        </is>
      </c>
      <c r="AK665" t="n">
        <v>21</v>
      </c>
      <c r="AL665" t="inlineStr">
        <is>
          <t>Miss Glam Damar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BUTTERED</t>
        </is>
      </c>
      <c r="B666" s="2">
        <f>"10700326324"</f>
        <v/>
      </c>
      <c r="C666" t="inlineStr">
        <is>
          <t>BUTTERED Lanosalve Multipurpose Balm Grape 10gr</t>
        </is>
      </c>
      <c r="D666" t="inlineStr">
        <is>
          <t>Miss Glam Damar</t>
        </is>
      </c>
      <c r="E666" t="n">
        <v>0</v>
      </c>
      <c r="F666" t="n">
        <v>0.1365</v>
      </c>
      <c r="G666" t="n">
        <v>1.82</v>
      </c>
      <c r="H666" t="n">
        <v>4</v>
      </c>
      <c r="I666" t="n">
        <v>21</v>
      </c>
      <c r="J666" t="n">
        <v>3</v>
      </c>
      <c r="K666" t="n">
        <v>0</v>
      </c>
      <c r="L666" t="n">
        <v>29777</v>
      </c>
      <c r="M666" t="n">
        <v>38000</v>
      </c>
      <c r="N666" t="n">
        <v>91</v>
      </c>
      <c r="O666" t="n">
        <v>0.91</v>
      </c>
      <c r="P666" t="n">
        <v>1</v>
      </c>
      <c r="Q666" t="n">
        <v>0.06</v>
      </c>
      <c r="R666" t="n">
        <v>2</v>
      </c>
      <c r="S666" t="n">
        <v>5187</v>
      </c>
      <c r="T666" t="n">
        <v>38</v>
      </c>
      <c r="U666" t="n">
        <v>39</v>
      </c>
      <c r="V666" t="n">
        <v>30</v>
      </c>
      <c r="W666" t="n">
        <v>5</v>
      </c>
      <c r="X666" t="n">
        <v>0</v>
      </c>
      <c r="Y666" t="n">
        <v>1</v>
      </c>
      <c r="Z666" t="n">
        <v>5</v>
      </c>
      <c r="AA666" t="n">
        <v>3</v>
      </c>
      <c r="AB666" t="n">
        <v>2</v>
      </c>
      <c r="AC666" t="n">
        <v>3</v>
      </c>
      <c r="AD666" t="n">
        <v>89331</v>
      </c>
      <c r="AE666" t="n">
        <v>89331</v>
      </c>
      <c r="AF666" t="n">
        <v>3976</v>
      </c>
      <c r="AG666" t="n">
        <v>1</v>
      </c>
      <c r="AH666" t="inlineStr">
        <is>
          <t>PT. BERSAMA DISTRIVERSA INDONESIA (DC CIPUTAT)</t>
        </is>
      </c>
      <c r="AI666" t="n">
        <v>1609</v>
      </c>
      <c r="AJ666" t="inlineStr">
        <is>
          <t>BUTTERED</t>
        </is>
      </c>
      <c r="AK666" t="n">
        <v>21</v>
      </c>
      <c r="AL666" t="inlineStr">
        <is>
          <t>Miss Glam Damar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BUTTERED</t>
        </is>
      </c>
      <c r="B667" s="2">
        <f>"10700326449"</f>
        <v/>
      </c>
      <c r="C667" t="inlineStr">
        <is>
          <t>BUTTERED Lanosalve Multipurpose Balm Original 15gr</t>
        </is>
      </c>
      <c r="D667" t="inlineStr">
        <is>
          <t>Miss Glam Damar</t>
        </is>
      </c>
      <c r="E667" t="n">
        <v>12</v>
      </c>
      <c r="F667" t="n">
        <v>0.05</v>
      </c>
      <c r="G667" t="n">
        <v>1</v>
      </c>
      <c r="H667" t="n">
        <v>4</v>
      </c>
      <c r="I667" t="n">
        <v>21</v>
      </c>
      <c r="J667" t="n">
        <v>3</v>
      </c>
      <c r="K667" t="n">
        <v>0</v>
      </c>
      <c r="L667" t="n">
        <v>37606</v>
      </c>
      <c r="M667" t="n">
        <v>50000</v>
      </c>
      <c r="N667" t="n">
        <v>91</v>
      </c>
      <c r="O667" t="n">
        <v>0.91</v>
      </c>
      <c r="P667" t="n">
        <v>0</v>
      </c>
      <c r="Q667" t="n">
        <v>0.05</v>
      </c>
      <c r="R667" t="n">
        <v>1</v>
      </c>
      <c r="S667" t="n">
        <v>2500</v>
      </c>
      <c r="T667" t="n">
        <v>21</v>
      </c>
      <c r="U667" t="n">
        <v>22</v>
      </c>
      <c r="V667" t="n">
        <v>30</v>
      </c>
      <c r="W667" t="n">
        <v>2</v>
      </c>
      <c r="X667" t="n">
        <v>240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3976</v>
      </c>
      <c r="AG667" t="n">
        <v>1</v>
      </c>
      <c r="AH667" t="inlineStr">
        <is>
          <t>PT. BERSAMA DISTRIVERSA INDONESIA (DC CIPUTAT)</t>
        </is>
      </c>
      <c r="AI667" t="n">
        <v>1609</v>
      </c>
      <c r="AJ667" t="inlineStr">
        <is>
          <t>BUTTERED</t>
        </is>
      </c>
      <c r="AK667" t="n">
        <v>21</v>
      </c>
      <c r="AL667" t="inlineStr">
        <is>
          <t>Miss Glam Damar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BUTTERED</t>
        </is>
      </c>
      <c r="B668" s="2">
        <f>"10700326241"</f>
        <v/>
      </c>
      <c r="C668" t="inlineStr">
        <is>
          <t>BUTTERED Lanosalve Multipurpose Balm Peach 10gr</t>
        </is>
      </c>
      <c r="D668" t="inlineStr">
        <is>
          <t>Miss Glam Damar</t>
        </is>
      </c>
      <c r="E668" t="n">
        <v>0</v>
      </c>
      <c r="F668" t="n">
        <v>0.16</v>
      </c>
      <c r="G668" t="n">
        <v>2</v>
      </c>
      <c r="H668" t="n">
        <v>4</v>
      </c>
      <c r="I668" t="n">
        <v>21</v>
      </c>
      <c r="J668" t="n">
        <v>3</v>
      </c>
      <c r="K668" t="n">
        <v>0</v>
      </c>
      <c r="L668" t="n">
        <v>29198</v>
      </c>
      <c r="M668" t="n">
        <v>40000</v>
      </c>
      <c r="N668" t="n">
        <v>91</v>
      </c>
      <c r="O668" t="n">
        <v>0.91</v>
      </c>
      <c r="P668" t="n">
        <v>0</v>
      </c>
      <c r="Q668" t="n">
        <v>0.16</v>
      </c>
      <c r="R668" t="n">
        <v>2</v>
      </c>
      <c r="S668" t="n">
        <v>6400</v>
      </c>
      <c r="T668" t="n">
        <v>42</v>
      </c>
      <c r="U668" t="n">
        <v>43</v>
      </c>
      <c r="V668" t="n">
        <v>30</v>
      </c>
      <c r="W668" t="n">
        <v>5</v>
      </c>
      <c r="X668" t="n">
        <v>0</v>
      </c>
      <c r="Y668" t="n">
        <v>1</v>
      </c>
      <c r="Z668" t="n">
        <v>5</v>
      </c>
      <c r="AA668" t="n">
        <v>4</v>
      </c>
      <c r="AB668" t="n">
        <v>1</v>
      </c>
      <c r="AC668" t="n">
        <v>3</v>
      </c>
      <c r="AD668" t="n">
        <v>116792</v>
      </c>
      <c r="AE668" t="n">
        <v>87594</v>
      </c>
      <c r="AF668" t="n">
        <v>3976</v>
      </c>
      <c r="AG668" t="n">
        <v>1</v>
      </c>
      <c r="AH668" t="inlineStr">
        <is>
          <t>PT. BERSAMA DISTRIVERSA INDONESIA (DC CIPUTAT)</t>
        </is>
      </c>
      <c r="AI668" t="n">
        <v>1609</v>
      </c>
      <c r="AJ668" t="inlineStr">
        <is>
          <t>BUTTERED</t>
        </is>
      </c>
      <c r="AK668" t="n">
        <v>21</v>
      </c>
      <c r="AL668" t="inlineStr">
        <is>
          <t>Miss Glam Damar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BUTTERED</t>
        </is>
      </c>
      <c r="B669" s="2">
        <f>"10700326107"</f>
        <v/>
      </c>
      <c r="C669" t="inlineStr">
        <is>
          <t>BUTTERED Lanosalve Multipurpose Balm Tropical Fruit 10gr</t>
        </is>
      </c>
      <c r="D669" t="inlineStr">
        <is>
          <t>Miss Glam Damar</t>
        </is>
      </c>
      <c r="E669" t="n">
        <v>28</v>
      </c>
      <c r="F669" t="n">
        <v>0.0273</v>
      </c>
      <c r="G669" t="n">
        <v>0.91</v>
      </c>
      <c r="H669" t="n">
        <v>4</v>
      </c>
      <c r="I669" t="n">
        <v>21</v>
      </c>
      <c r="J669" t="n">
        <v>3</v>
      </c>
      <c r="K669" t="n">
        <v>0</v>
      </c>
      <c r="L669" t="n">
        <v>29488</v>
      </c>
      <c r="M669" t="n">
        <v>38000</v>
      </c>
      <c r="N669" t="n">
        <v>91</v>
      </c>
      <c r="O669" t="n">
        <v>0.91</v>
      </c>
      <c r="P669" t="n">
        <v>1</v>
      </c>
      <c r="Q669" t="n">
        <v>0.14</v>
      </c>
      <c r="R669" t="n">
        <v>2</v>
      </c>
      <c r="S669" t="n">
        <v>1037.4</v>
      </c>
      <c r="T669" t="n">
        <v>20</v>
      </c>
      <c r="U669" t="n">
        <v>21</v>
      </c>
      <c r="V669" t="n">
        <v>30</v>
      </c>
      <c r="W669" t="n">
        <v>1</v>
      </c>
      <c r="X669" t="n">
        <v>1025.641025641026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3976</v>
      </c>
      <c r="AG669" t="n">
        <v>1</v>
      </c>
      <c r="AH669" t="inlineStr">
        <is>
          <t>PT. BERSAMA DISTRIVERSA INDONESIA (DC CIPUTAT)</t>
        </is>
      </c>
      <c r="AI669" t="n">
        <v>1609</v>
      </c>
      <c r="AJ669" t="inlineStr">
        <is>
          <t>BUTTERED</t>
        </is>
      </c>
      <c r="AK669" t="n">
        <v>21</v>
      </c>
      <c r="AL669" t="inlineStr">
        <is>
          <t>Miss Glam Damar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BUTTERED</t>
        </is>
      </c>
      <c r="B670" s="2">
        <f>"1589325554423"</f>
        <v/>
      </c>
      <c r="C670" t="inlineStr">
        <is>
          <t>BUTTERED Scented Lip Balm Spf 15 No.10 Cherry 4.25gr</t>
        </is>
      </c>
      <c r="D670" t="inlineStr">
        <is>
          <t>Miss Glam Damar</t>
        </is>
      </c>
      <c r="E670" t="n">
        <v>0</v>
      </c>
      <c r="F670" t="n">
        <v>0.11</v>
      </c>
      <c r="G670" t="n">
        <v>2</v>
      </c>
      <c r="H670" t="n">
        <v>4</v>
      </c>
      <c r="I670" t="n">
        <v>21</v>
      </c>
      <c r="J670" t="n">
        <v>3</v>
      </c>
      <c r="K670" t="n">
        <v>0</v>
      </c>
      <c r="L670" t="n">
        <v>25228</v>
      </c>
      <c r="M670" t="n">
        <v>37000</v>
      </c>
      <c r="N670" t="n">
        <v>91</v>
      </c>
      <c r="O670" t="n">
        <v>0.91</v>
      </c>
      <c r="P670" t="n">
        <v>0</v>
      </c>
      <c r="Q670" t="n">
        <v>0.11</v>
      </c>
      <c r="R670" t="n">
        <v>2</v>
      </c>
      <c r="S670" t="n">
        <v>4070</v>
      </c>
      <c r="T670" t="n">
        <v>42</v>
      </c>
      <c r="U670" t="n">
        <v>43</v>
      </c>
      <c r="V670" t="n">
        <v>30</v>
      </c>
      <c r="W670" t="n">
        <v>4</v>
      </c>
      <c r="X670" t="n">
        <v>0</v>
      </c>
      <c r="Y670" t="n">
        <v>1</v>
      </c>
      <c r="Z670" t="n">
        <v>4</v>
      </c>
      <c r="AA670" t="n">
        <v>3</v>
      </c>
      <c r="AB670" t="n">
        <v>1</v>
      </c>
      <c r="AC670" t="n">
        <v>3</v>
      </c>
      <c r="AD670" t="n">
        <v>75684</v>
      </c>
      <c r="AE670" t="n">
        <v>75684</v>
      </c>
      <c r="AF670" t="n">
        <v>3976</v>
      </c>
      <c r="AG670" t="n">
        <v>1</v>
      </c>
      <c r="AH670" t="inlineStr">
        <is>
          <t>PT. BERSAMA DISTRIVERSA INDONESIA (DC CIPUTAT)</t>
        </is>
      </c>
      <c r="AI670" t="n">
        <v>1609</v>
      </c>
      <c r="AJ670" t="inlineStr">
        <is>
          <t>BUTTERED</t>
        </is>
      </c>
      <c r="AK670" t="n">
        <v>21</v>
      </c>
      <c r="AL670" t="inlineStr">
        <is>
          <t>Miss Glam Damar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BUTTERED</t>
        </is>
      </c>
      <c r="B671" s="2">
        <f>"1589325554355"</f>
        <v/>
      </c>
      <c r="C671" t="inlineStr">
        <is>
          <t>BUTTERED Scented Lip Balm Spf 15 No.2 Iced Pear 4.25gr</t>
        </is>
      </c>
      <c r="D671" t="inlineStr">
        <is>
          <t>Miss Glam Damar</t>
        </is>
      </c>
      <c r="E671" t="n">
        <v>0</v>
      </c>
      <c r="F671" t="n">
        <v>0.0728</v>
      </c>
      <c r="G671" t="n">
        <v>1.82</v>
      </c>
      <c r="H671" t="n">
        <v>4</v>
      </c>
      <c r="I671" t="n">
        <v>21</v>
      </c>
      <c r="J671" t="n">
        <v>3</v>
      </c>
      <c r="K671" t="n">
        <v>0</v>
      </c>
      <c r="L671" t="n">
        <v>25986</v>
      </c>
      <c r="M671" t="n">
        <v>37000</v>
      </c>
      <c r="N671" t="n">
        <v>91</v>
      </c>
      <c r="O671" t="n">
        <v>0.91</v>
      </c>
      <c r="P671" t="n">
        <v>1</v>
      </c>
      <c r="Q671" t="n">
        <v>0.05</v>
      </c>
      <c r="R671" t="n">
        <v>1</v>
      </c>
      <c r="S671" t="n">
        <v>2693.6</v>
      </c>
      <c r="T671" t="n">
        <v>38</v>
      </c>
      <c r="U671" t="n">
        <v>39</v>
      </c>
      <c r="V671" t="n">
        <v>30</v>
      </c>
      <c r="W671" t="n">
        <v>3</v>
      </c>
      <c r="X671" t="n">
        <v>0</v>
      </c>
      <c r="Y671" t="n">
        <v>1</v>
      </c>
      <c r="Z671" t="n">
        <v>3</v>
      </c>
      <c r="AA671" t="n">
        <v>2</v>
      </c>
      <c r="AB671" t="n">
        <v>1</v>
      </c>
      <c r="AC671" t="n">
        <v>3</v>
      </c>
      <c r="AD671" t="n">
        <v>51972</v>
      </c>
      <c r="AE671" t="n">
        <v>77958</v>
      </c>
      <c r="AF671" t="n">
        <v>3976</v>
      </c>
      <c r="AG671" t="n">
        <v>1</v>
      </c>
      <c r="AH671" t="inlineStr">
        <is>
          <t>PT. BERSAMA DISTRIVERSA INDONESIA (DC CIPUTAT)</t>
        </is>
      </c>
      <c r="AI671" t="n">
        <v>1609</v>
      </c>
      <c r="AJ671" t="inlineStr">
        <is>
          <t>BUTTERED</t>
        </is>
      </c>
      <c r="AK671" t="n">
        <v>21</v>
      </c>
      <c r="AL671" t="inlineStr">
        <is>
          <t>Miss Glam Damar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BUTTERED</t>
        </is>
      </c>
      <c r="B672" s="2">
        <f>"1589325554393"</f>
        <v/>
      </c>
      <c r="C672" t="inlineStr">
        <is>
          <t>BUTTERED Scented Lip Balm Spf 15 No.3 Watermelon 4.25gr</t>
        </is>
      </c>
      <c r="D672" t="inlineStr">
        <is>
          <t>Miss Glam Damar</t>
        </is>
      </c>
      <c r="E672" t="n">
        <v>0</v>
      </c>
      <c r="F672" t="n">
        <v>0.1001</v>
      </c>
      <c r="G672" t="n">
        <v>1.82</v>
      </c>
      <c r="H672" t="n">
        <v>4</v>
      </c>
      <c r="I672" t="n">
        <v>21</v>
      </c>
      <c r="J672" t="n">
        <v>3</v>
      </c>
      <c r="K672" t="n">
        <v>0</v>
      </c>
      <c r="L672" t="n">
        <v>25986</v>
      </c>
      <c r="M672" t="n">
        <v>37000</v>
      </c>
      <c r="N672" t="n">
        <v>91</v>
      </c>
      <c r="O672" t="n">
        <v>0.91</v>
      </c>
      <c r="P672" t="n">
        <v>1</v>
      </c>
      <c r="Q672" t="n">
        <v>0.06</v>
      </c>
      <c r="R672" t="n">
        <v>1</v>
      </c>
      <c r="S672" t="n">
        <v>3703.7</v>
      </c>
      <c r="T672" t="n">
        <v>38</v>
      </c>
      <c r="U672" t="n">
        <v>39</v>
      </c>
      <c r="V672" t="n">
        <v>30</v>
      </c>
      <c r="W672" t="n">
        <v>4</v>
      </c>
      <c r="X672" t="n">
        <v>0</v>
      </c>
      <c r="Y672" t="n">
        <v>1</v>
      </c>
      <c r="Z672" t="n">
        <v>4</v>
      </c>
      <c r="AA672" t="n">
        <v>3</v>
      </c>
      <c r="AB672" t="n">
        <v>1</v>
      </c>
      <c r="AC672" t="n">
        <v>3</v>
      </c>
      <c r="AD672" t="n">
        <v>77958</v>
      </c>
      <c r="AE672" t="n">
        <v>77958</v>
      </c>
      <c r="AF672" t="n">
        <v>3976</v>
      </c>
      <c r="AG672" t="n">
        <v>1</v>
      </c>
      <c r="AH672" t="inlineStr">
        <is>
          <t>PT. BERSAMA DISTRIVERSA INDONESIA (DC CIPUTAT)</t>
        </is>
      </c>
      <c r="AI672" t="n">
        <v>1609</v>
      </c>
      <c r="AJ672" t="inlineStr">
        <is>
          <t>BUTTERED</t>
        </is>
      </c>
      <c r="AK672" t="n">
        <v>21</v>
      </c>
      <c r="AL672" t="inlineStr">
        <is>
          <t>Miss Glam Damar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BUTTERED</t>
        </is>
      </c>
      <c r="B673" s="2">
        <f>"1589325554409"</f>
        <v/>
      </c>
      <c r="C673" t="inlineStr">
        <is>
          <t>BUTTERED Scented Lip Balm Spf 15 No.4 Peppermint 4.25gr</t>
        </is>
      </c>
      <c r="D673" t="inlineStr">
        <is>
          <t>Miss Glam Damar</t>
        </is>
      </c>
      <c r="E673" t="n">
        <v>0</v>
      </c>
      <c r="F673" t="n">
        <v>0.16</v>
      </c>
      <c r="G673" t="n">
        <v>2</v>
      </c>
      <c r="H673" t="n">
        <v>4</v>
      </c>
      <c r="I673" t="n">
        <v>21</v>
      </c>
      <c r="J673" t="n">
        <v>3</v>
      </c>
      <c r="K673" t="n">
        <v>0</v>
      </c>
      <c r="L673" t="n">
        <v>25363</v>
      </c>
      <c r="M673" t="n">
        <v>35000</v>
      </c>
      <c r="N673" t="n">
        <v>91</v>
      </c>
      <c r="O673" t="n">
        <v>0.91</v>
      </c>
      <c r="P673" t="n">
        <v>0</v>
      </c>
      <c r="Q673" t="n">
        <v>0.16</v>
      </c>
      <c r="R673" t="n">
        <v>2</v>
      </c>
      <c r="S673" t="n">
        <v>5600</v>
      </c>
      <c r="T673" t="n">
        <v>42</v>
      </c>
      <c r="U673" t="n">
        <v>43</v>
      </c>
      <c r="V673" t="n">
        <v>30</v>
      </c>
      <c r="W673" t="n">
        <v>5</v>
      </c>
      <c r="X673" t="n">
        <v>0</v>
      </c>
      <c r="Y673" t="n">
        <v>1</v>
      </c>
      <c r="Z673" t="n">
        <v>5</v>
      </c>
      <c r="AA673" t="n">
        <v>4</v>
      </c>
      <c r="AB673" t="n">
        <v>1</v>
      </c>
      <c r="AC673" t="n">
        <v>3</v>
      </c>
      <c r="AD673" t="n">
        <v>101452</v>
      </c>
      <c r="AE673" t="n">
        <v>76089</v>
      </c>
      <c r="AF673" t="n">
        <v>3976</v>
      </c>
      <c r="AG673" t="n">
        <v>1</v>
      </c>
      <c r="AH673" t="inlineStr">
        <is>
          <t>PT. BERSAMA DISTRIVERSA INDONESIA (DC CIPUTAT)</t>
        </is>
      </c>
      <c r="AI673" t="n">
        <v>1609</v>
      </c>
      <c r="AJ673" t="inlineStr">
        <is>
          <t>BUTTERED</t>
        </is>
      </c>
      <c r="AK673" t="n">
        <v>21</v>
      </c>
      <c r="AL673" t="inlineStr">
        <is>
          <t>Miss Glam Damar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BUTTERED</t>
        </is>
      </c>
      <c r="B674" s="2">
        <f>"1589325554416"</f>
        <v/>
      </c>
      <c r="C674" t="inlineStr">
        <is>
          <t>BUTTERED Scented Lip Balm Spf 15 No.5 Coconut 4.25gr</t>
        </is>
      </c>
      <c r="D674" t="inlineStr">
        <is>
          <t>Miss Glam Damar</t>
        </is>
      </c>
      <c r="E674" t="n">
        <v>2</v>
      </c>
      <c r="F674" t="n">
        <v>0.0273</v>
      </c>
      <c r="G674" t="n">
        <v>1.82</v>
      </c>
      <c r="H674" t="n">
        <v>4</v>
      </c>
      <c r="I674" t="n">
        <v>21</v>
      </c>
      <c r="J674" t="n">
        <v>3</v>
      </c>
      <c r="K674" t="n">
        <v>0</v>
      </c>
      <c r="L674" t="n">
        <v>25986</v>
      </c>
      <c r="M674" t="n">
        <v>37000</v>
      </c>
      <c r="N674" t="n">
        <v>91</v>
      </c>
      <c r="O674" t="n">
        <v>0.91</v>
      </c>
      <c r="P674" t="n">
        <v>1</v>
      </c>
      <c r="Q674" t="n">
        <v>0.02</v>
      </c>
      <c r="R674" t="n">
        <v>0</v>
      </c>
      <c r="S674" t="n">
        <v>1010.1</v>
      </c>
      <c r="T674" t="n">
        <v>39</v>
      </c>
      <c r="U674" t="n">
        <v>40</v>
      </c>
      <c r="V674" t="n">
        <v>30</v>
      </c>
      <c r="W674" t="n">
        <v>1</v>
      </c>
      <c r="X674" t="n">
        <v>73.26007326007326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3976</v>
      </c>
      <c r="AG674" t="n">
        <v>1</v>
      </c>
      <c r="AH674" t="inlineStr">
        <is>
          <t>PT. BERSAMA DISTRIVERSA INDONESIA (DC CIPUTAT)</t>
        </is>
      </c>
      <c r="AI674" t="n">
        <v>1609</v>
      </c>
      <c r="AJ674" t="inlineStr">
        <is>
          <t>BUTTERED</t>
        </is>
      </c>
      <c r="AK674" t="n">
        <v>21</v>
      </c>
      <c r="AL674" t="inlineStr">
        <is>
          <t>Miss Glam Damar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BUTTERED</t>
        </is>
      </c>
      <c r="B675" s="2">
        <f>"1589325554362"</f>
        <v/>
      </c>
      <c r="C675" t="inlineStr">
        <is>
          <t>BUTTERED Scented Lip Balm Spf 15 No.6 Vanilla 4.25gr</t>
        </is>
      </c>
      <c r="D675" t="inlineStr">
        <is>
          <t>Miss Glam Damar</t>
        </is>
      </c>
      <c r="E675" t="n">
        <v>0</v>
      </c>
      <c r="F675" t="n">
        <v>0.06</v>
      </c>
      <c r="G675" t="n">
        <v>2</v>
      </c>
      <c r="H675" t="n">
        <v>4</v>
      </c>
      <c r="I675" t="n">
        <v>21</v>
      </c>
      <c r="J675" t="n">
        <v>3</v>
      </c>
      <c r="K675" t="n">
        <v>0</v>
      </c>
      <c r="L675" t="n">
        <v>25986</v>
      </c>
      <c r="M675" t="n">
        <v>37000</v>
      </c>
      <c r="N675" t="n">
        <v>91</v>
      </c>
      <c r="O675" t="n">
        <v>0.91</v>
      </c>
      <c r="P675" t="n">
        <v>0</v>
      </c>
      <c r="Q675" t="n">
        <v>0.06</v>
      </c>
      <c r="R675" t="n">
        <v>2</v>
      </c>
      <c r="S675" t="n">
        <v>2220</v>
      </c>
      <c r="T675" t="n">
        <v>42</v>
      </c>
      <c r="U675" t="n">
        <v>43</v>
      </c>
      <c r="V675" t="n">
        <v>30</v>
      </c>
      <c r="W675" t="n">
        <v>2</v>
      </c>
      <c r="X675" t="n">
        <v>0</v>
      </c>
      <c r="Y675" t="n">
        <v>1</v>
      </c>
      <c r="Z675" t="n">
        <v>2</v>
      </c>
      <c r="AA675" t="n">
        <v>2</v>
      </c>
      <c r="AB675" t="n">
        <v>0</v>
      </c>
      <c r="AC675" t="n">
        <v>0</v>
      </c>
      <c r="AD675" t="n">
        <v>51972</v>
      </c>
      <c r="AE675" t="n">
        <v>0</v>
      </c>
      <c r="AF675" t="n">
        <v>3976</v>
      </c>
      <c r="AG675" t="n">
        <v>1</v>
      </c>
      <c r="AH675" t="inlineStr">
        <is>
          <t>PT. BERSAMA DISTRIVERSA INDONESIA (DC CIPUTAT)</t>
        </is>
      </c>
      <c r="AI675" t="n">
        <v>1609</v>
      </c>
      <c r="AJ675" t="inlineStr">
        <is>
          <t>BUTTERED</t>
        </is>
      </c>
      <c r="AK675" t="n">
        <v>21</v>
      </c>
      <c r="AL675" t="inlineStr">
        <is>
          <t>Miss Glam Damar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BUTTERED</t>
        </is>
      </c>
      <c r="B676" s="2">
        <f>"1589325554386"</f>
        <v/>
      </c>
      <c r="C676" t="inlineStr">
        <is>
          <t>BUTTERED Scented Lip Balm Spf 15 No.7 Peach Apricot 4.25gr</t>
        </is>
      </c>
      <c r="D676" t="inlineStr">
        <is>
          <t>Miss Glam Damar</t>
        </is>
      </c>
      <c r="E676" t="n">
        <v>3</v>
      </c>
      <c r="F676" t="n">
        <v>0.1</v>
      </c>
      <c r="G676" t="n">
        <v>2</v>
      </c>
      <c r="H676" t="n">
        <v>4</v>
      </c>
      <c r="I676" t="n">
        <v>21</v>
      </c>
      <c r="J676" t="n">
        <v>3</v>
      </c>
      <c r="K676" t="n">
        <v>0</v>
      </c>
      <c r="L676" t="n">
        <v>26588</v>
      </c>
      <c r="M676" t="n">
        <v>37000</v>
      </c>
      <c r="N676" t="n">
        <v>91</v>
      </c>
      <c r="O676" t="n">
        <v>0.91</v>
      </c>
      <c r="P676" t="n">
        <v>0</v>
      </c>
      <c r="Q676" t="n">
        <v>0.1</v>
      </c>
      <c r="R676" t="n">
        <v>2</v>
      </c>
      <c r="S676" t="n">
        <v>3700</v>
      </c>
      <c r="T676" t="n">
        <v>42</v>
      </c>
      <c r="U676" t="n">
        <v>43</v>
      </c>
      <c r="V676" t="n">
        <v>30</v>
      </c>
      <c r="W676" t="n">
        <v>3</v>
      </c>
      <c r="X676" t="n">
        <v>30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3976</v>
      </c>
      <c r="AG676" t="n">
        <v>1</v>
      </c>
      <c r="AH676" t="inlineStr">
        <is>
          <t>PT. BERSAMA DISTRIVERSA INDONESIA (DC CIPUTAT)</t>
        </is>
      </c>
      <c r="AI676" t="n">
        <v>1609</v>
      </c>
      <c r="AJ676" t="inlineStr">
        <is>
          <t>BUTTERED</t>
        </is>
      </c>
      <c r="AK676" t="n">
        <v>21</v>
      </c>
      <c r="AL676" t="inlineStr">
        <is>
          <t>Miss Glam Damar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BUTTERED</t>
        </is>
      </c>
      <c r="B677" s="2">
        <f>"1589325554300"</f>
        <v/>
      </c>
      <c r="C677" t="inlineStr">
        <is>
          <t>BUTTERED Scented Lip Balm Spf 15 No.8 Strawberry 4.25gr</t>
        </is>
      </c>
      <c r="D677" t="inlineStr">
        <is>
          <t>Miss Glam Damar</t>
        </is>
      </c>
      <c r="E677" t="n">
        <v>1</v>
      </c>
      <c r="F677" t="n">
        <v>0.1092</v>
      </c>
      <c r="G677" t="n">
        <v>1.82</v>
      </c>
      <c r="H677" t="n">
        <v>4</v>
      </c>
      <c r="I677" t="n">
        <v>21</v>
      </c>
      <c r="J677" t="n">
        <v>3</v>
      </c>
      <c r="K677" t="n">
        <v>0</v>
      </c>
      <c r="L677" t="n">
        <v>25481</v>
      </c>
      <c r="M677" t="n">
        <v>40000</v>
      </c>
      <c r="N677" t="n">
        <v>91</v>
      </c>
      <c r="O677" t="n">
        <v>0.91</v>
      </c>
      <c r="P677" t="n">
        <v>1</v>
      </c>
      <c r="Q677" t="n">
        <v>0.14</v>
      </c>
      <c r="R677" t="n">
        <v>1</v>
      </c>
      <c r="S677" t="n">
        <v>4368</v>
      </c>
      <c r="T677" t="n">
        <v>38</v>
      </c>
      <c r="U677" t="n">
        <v>39</v>
      </c>
      <c r="V677" t="n">
        <v>30</v>
      </c>
      <c r="W677" t="n">
        <v>4</v>
      </c>
      <c r="X677" t="n">
        <v>9.157509157509157</v>
      </c>
      <c r="Y677" t="n">
        <v>1</v>
      </c>
      <c r="Z677" t="n">
        <v>3</v>
      </c>
      <c r="AA677" t="n">
        <v>2</v>
      </c>
      <c r="AB677" t="n">
        <v>1</v>
      </c>
      <c r="AC677" t="n">
        <v>3</v>
      </c>
      <c r="AD677" t="n">
        <v>50962</v>
      </c>
      <c r="AE677" t="n">
        <v>76443</v>
      </c>
      <c r="AF677" t="n">
        <v>3976</v>
      </c>
      <c r="AG677" t="n">
        <v>1</v>
      </c>
      <c r="AH677" t="inlineStr">
        <is>
          <t>PT. BERSAMA DISTRIVERSA INDONESIA (DC CIPUTAT)</t>
        </is>
      </c>
      <c r="AI677" t="n">
        <v>1609</v>
      </c>
      <c r="AJ677" t="inlineStr">
        <is>
          <t>BUTTERED</t>
        </is>
      </c>
      <c r="AK677" t="n">
        <v>21</v>
      </c>
      <c r="AL677" t="inlineStr">
        <is>
          <t>Miss Glam Damar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BUTTERED</t>
        </is>
      </c>
      <c r="B678" s="2">
        <f>"1589325554379"</f>
        <v/>
      </c>
      <c r="C678" t="inlineStr">
        <is>
          <t>BUTTERED Unscented Lip Balm Spf 15 No.1 Unscented 4.25gr</t>
        </is>
      </c>
      <c r="D678" t="inlineStr">
        <is>
          <t>Miss Glam Damar</t>
        </is>
      </c>
      <c r="E678" t="n">
        <v>2</v>
      </c>
      <c r="F678" t="n">
        <v>0.0182</v>
      </c>
      <c r="G678" t="n">
        <v>0.91</v>
      </c>
      <c r="H678" t="n">
        <v>4</v>
      </c>
      <c r="I678" t="n">
        <v>21</v>
      </c>
      <c r="J678" t="n">
        <v>3</v>
      </c>
      <c r="K678" t="n">
        <v>0</v>
      </c>
      <c r="L678" t="n">
        <v>25986</v>
      </c>
      <c r="M678" t="n">
        <v>37000</v>
      </c>
      <c r="N678" t="n">
        <v>91</v>
      </c>
      <c r="O678" t="n">
        <v>0.91</v>
      </c>
      <c r="P678" t="n">
        <v>1</v>
      </c>
      <c r="Q678" t="n">
        <v>0.02</v>
      </c>
      <c r="R678" t="n">
        <v>1</v>
      </c>
      <c r="S678" t="n">
        <v>673.4</v>
      </c>
      <c r="T678" t="n">
        <v>20</v>
      </c>
      <c r="U678" t="n">
        <v>21</v>
      </c>
      <c r="V678" t="n">
        <v>30</v>
      </c>
      <c r="W678" t="n">
        <v>1</v>
      </c>
      <c r="X678" t="n">
        <v>109.8901098901099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3976</v>
      </c>
      <c r="AG678" t="n">
        <v>1</v>
      </c>
      <c r="AH678" t="inlineStr">
        <is>
          <t>PT. BERSAMA DISTRIVERSA INDONESIA (DC CIPUTAT)</t>
        </is>
      </c>
      <c r="AI678" t="n">
        <v>1609</v>
      </c>
      <c r="AJ678" t="inlineStr">
        <is>
          <t>BUTTERED</t>
        </is>
      </c>
      <c r="AK678" t="n">
        <v>21</v>
      </c>
      <c r="AL678" t="inlineStr">
        <is>
          <t>Miss Glam Damar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BUTUH (ENERGY FRESH)</t>
        </is>
      </c>
      <c r="B679" s="2">
        <f>"30400429322"</f>
        <v/>
      </c>
      <c r="C679" t="inlineStr">
        <is>
          <t>BUTUH (Fresh All Day) Deodorant Spray 70ml</t>
        </is>
      </c>
      <c r="D679" t="inlineStr">
        <is>
          <t>Miss Glam Damar</t>
        </is>
      </c>
      <c r="E679" t="n">
        <v>24</v>
      </c>
      <c r="F679" t="n">
        <v>0.04550000000000001</v>
      </c>
      <c r="G679" t="n">
        <v>3.64</v>
      </c>
      <c r="H679" t="n">
        <v>4</v>
      </c>
      <c r="I679" t="n">
        <v>21</v>
      </c>
      <c r="J679" t="n">
        <v>3</v>
      </c>
      <c r="K679" t="n">
        <v>0</v>
      </c>
      <c r="L679" t="n">
        <v>35834</v>
      </c>
      <c r="M679" t="n">
        <v>49500</v>
      </c>
      <c r="N679" t="n">
        <v>91</v>
      </c>
      <c r="O679" t="n">
        <v>0.91</v>
      </c>
      <c r="P679" t="n">
        <v>1</v>
      </c>
      <c r="Q679" t="n">
        <v>0.25</v>
      </c>
      <c r="R679" t="n">
        <v>3</v>
      </c>
      <c r="S679" t="n">
        <v>2252.25</v>
      </c>
      <c r="T679" t="n">
        <v>77</v>
      </c>
      <c r="U679" t="n">
        <v>78</v>
      </c>
      <c r="V679" t="n">
        <v>30</v>
      </c>
      <c r="W679" t="n">
        <v>2</v>
      </c>
      <c r="X679" t="n">
        <v>527.4725274725274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4009</v>
      </c>
      <c r="AG679" t="n">
        <v>1</v>
      </c>
      <c r="AH679" t="inlineStr">
        <is>
          <t>PT. BERSAMA DISTRIVERSA INDONESIA (DC CIPUTAT)</t>
        </is>
      </c>
      <c r="AI679" t="n">
        <v>884</v>
      </c>
      <c r="AJ679" t="inlineStr">
        <is>
          <t>BUTUH (ENERGY FRESH)</t>
        </is>
      </c>
      <c r="AK679" t="n">
        <v>21</v>
      </c>
      <c r="AL679" t="inlineStr">
        <is>
          <t>Miss Glam Damar</t>
        </is>
      </c>
      <c r="AM679" t="n">
        <v>3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BUTUH (ENERGY FRESH)</t>
        </is>
      </c>
      <c r="B680" s="2">
        <f>"30300508722"</f>
        <v/>
      </c>
      <c r="C680" t="inlineStr">
        <is>
          <t>BUTUH (Wetless) Antiperspirant 70 ml</t>
        </is>
      </c>
      <c r="D680" t="inlineStr">
        <is>
          <t>Miss Glam Damar</t>
        </is>
      </c>
      <c r="E680" t="n">
        <v>19</v>
      </c>
      <c r="F680" t="n">
        <v>0.1729</v>
      </c>
      <c r="G680" t="n">
        <v>3.64</v>
      </c>
      <c r="H680" t="n">
        <v>4</v>
      </c>
      <c r="I680" t="n">
        <v>21</v>
      </c>
      <c r="J680" t="n">
        <v>3</v>
      </c>
      <c r="K680" t="n">
        <v>0</v>
      </c>
      <c r="L680" t="n">
        <v>35834</v>
      </c>
      <c r="M680" t="n">
        <v>48000</v>
      </c>
      <c r="N680" t="n">
        <v>91</v>
      </c>
      <c r="O680" t="n">
        <v>0.91</v>
      </c>
      <c r="P680" t="n">
        <v>1</v>
      </c>
      <c r="Q680" t="n">
        <v>0.1</v>
      </c>
      <c r="R680" t="n">
        <v>2</v>
      </c>
      <c r="S680" t="n">
        <v>8299.200000000001</v>
      </c>
      <c r="T680" t="n">
        <v>76</v>
      </c>
      <c r="U680" t="n">
        <v>77</v>
      </c>
      <c r="V680" t="n">
        <v>30</v>
      </c>
      <c r="W680" t="n">
        <v>6</v>
      </c>
      <c r="X680" t="n">
        <v>109.8901098901099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4009</v>
      </c>
      <c r="AG680" t="n">
        <v>1</v>
      </c>
      <c r="AH680" t="inlineStr">
        <is>
          <t>PT. BERSAMA DISTRIVERSA INDONESIA (DC CIPUTAT)</t>
        </is>
      </c>
      <c r="AI680" t="n">
        <v>884</v>
      </c>
      <c r="AJ680" t="inlineStr">
        <is>
          <t>BUTUH (ENERGY FRESH)</t>
        </is>
      </c>
      <c r="AK680" t="n">
        <v>21</v>
      </c>
      <c r="AL680" t="inlineStr">
        <is>
          <t>Miss Glam Damar</t>
        </is>
      </c>
      <c r="AM680" t="n">
        <v>3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BYNADS</t>
        </is>
      </c>
      <c r="B681" s="2">
        <f>"10500411332"</f>
        <v/>
      </c>
      <c r="C681" t="inlineStr">
        <is>
          <t>BYNADS Acne Care Sleeping Mask 50ml</t>
        </is>
      </c>
      <c r="D681" t="inlineStr">
        <is>
          <t>Miss Glam Damar</t>
        </is>
      </c>
      <c r="E681" t="n">
        <v>47</v>
      </c>
      <c r="F681" t="n">
        <v>0.2912</v>
      </c>
      <c r="G681" t="n">
        <v>1.82</v>
      </c>
      <c r="H681" t="n">
        <v>4</v>
      </c>
      <c r="I681" t="n">
        <v>21</v>
      </c>
      <c r="J681" t="n">
        <v>1</v>
      </c>
      <c r="K681" t="n">
        <v>0</v>
      </c>
      <c r="L681" t="n">
        <v>41200</v>
      </c>
      <c r="M681" t="n">
        <v>57000</v>
      </c>
      <c r="N681" t="n">
        <v>91</v>
      </c>
      <c r="O681" t="n">
        <v>0.91</v>
      </c>
      <c r="P681" t="n">
        <v>1</v>
      </c>
      <c r="Q681" t="n">
        <v>0.08</v>
      </c>
      <c r="R681" t="n">
        <v>1</v>
      </c>
      <c r="S681" t="n">
        <v>16598.4</v>
      </c>
      <c r="T681" t="n">
        <v>38</v>
      </c>
      <c r="U681" t="n">
        <v>40</v>
      </c>
      <c r="V681" t="n">
        <v>30</v>
      </c>
      <c r="W681" t="n">
        <v>9</v>
      </c>
      <c r="X681" t="n">
        <v>161.4010989010989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4042</v>
      </c>
      <c r="AG681" t="n">
        <v>1</v>
      </c>
      <c r="AH681" t="inlineStr">
        <is>
          <t>PT. BERSAMA DISTRIVERSA INDONESIA (DC CIPUTAT)</t>
        </is>
      </c>
      <c r="AI681" t="n">
        <v>2316</v>
      </c>
      <c r="AJ681" t="inlineStr">
        <is>
          <t>BYNADS</t>
        </is>
      </c>
      <c r="AK681" t="n">
        <v>21</v>
      </c>
      <c r="AL681" t="inlineStr">
        <is>
          <t>Miss Glam Damar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BYNADS</t>
        </is>
      </c>
      <c r="B682" s="2">
        <f>"10500411153"</f>
        <v/>
      </c>
      <c r="C682" t="inlineStr">
        <is>
          <t>BYNADS Bright and Glow Sleeping Mask 50ml</t>
        </is>
      </c>
      <c r="D682" t="inlineStr">
        <is>
          <t>Miss Glam Damar</t>
        </is>
      </c>
      <c r="E682" t="n">
        <v>49</v>
      </c>
      <c r="F682" t="n">
        <v>0.2002</v>
      </c>
      <c r="G682" t="n">
        <v>1.82</v>
      </c>
      <c r="H682" t="n">
        <v>4</v>
      </c>
      <c r="I682" t="n">
        <v>21</v>
      </c>
      <c r="J682" t="n">
        <v>1</v>
      </c>
      <c r="K682" t="n">
        <v>0</v>
      </c>
      <c r="L682" t="n">
        <v>41200</v>
      </c>
      <c r="M682" t="n">
        <v>57000</v>
      </c>
      <c r="N682" t="n">
        <v>91</v>
      </c>
      <c r="O682" t="n">
        <v>0.91</v>
      </c>
      <c r="P682" t="n">
        <v>1</v>
      </c>
      <c r="Q682" t="n">
        <v>0.39</v>
      </c>
      <c r="R682" t="n">
        <v>2</v>
      </c>
      <c r="S682" t="n">
        <v>11411.4</v>
      </c>
      <c r="T682" t="n">
        <v>38</v>
      </c>
      <c r="U682" t="n">
        <v>39</v>
      </c>
      <c r="V682" t="n">
        <v>30</v>
      </c>
      <c r="W682" t="n">
        <v>7</v>
      </c>
      <c r="X682" t="n">
        <v>244.7552447552447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4042</v>
      </c>
      <c r="AG682" t="n">
        <v>1</v>
      </c>
      <c r="AH682" t="inlineStr">
        <is>
          <t>PT. BERSAMA DISTRIVERSA INDONESIA (DC CIPUTAT)</t>
        </is>
      </c>
      <c r="AI682" t="n">
        <v>2316</v>
      </c>
      <c r="AJ682" t="inlineStr">
        <is>
          <t>BYNADS</t>
        </is>
      </c>
      <c r="AK682" t="n">
        <v>21</v>
      </c>
      <c r="AL682" t="inlineStr">
        <is>
          <t>Miss Glam Damar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CAMILLE</t>
        </is>
      </c>
      <c r="B683" s="2">
        <f>"101001114214"</f>
        <v/>
      </c>
      <c r="C683" t="inlineStr">
        <is>
          <t>CAMILLE Beauty Charge Facial Wash 120gr</t>
        </is>
      </c>
      <c r="D683" t="inlineStr">
        <is>
          <t>Miss Glam Damar</t>
        </is>
      </c>
      <c r="E683" t="n">
        <v>1</v>
      </c>
      <c r="F683" t="n">
        <v>0.0182</v>
      </c>
      <c r="G683" t="n">
        <v>0.91</v>
      </c>
      <c r="H683" t="n">
        <v>4</v>
      </c>
      <c r="I683" t="n">
        <v>21</v>
      </c>
      <c r="J683" t="n">
        <v>3</v>
      </c>
      <c r="K683" t="n">
        <v>0</v>
      </c>
      <c r="L683" t="n">
        <v>83438</v>
      </c>
      <c r="M683" t="n">
        <v>107500</v>
      </c>
      <c r="N683" t="n">
        <v>91</v>
      </c>
      <c r="O683" t="n">
        <v>0.91</v>
      </c>
      <c r="P683" t="n">
        <v>1</v>
      </c>
      <c r="Q683" t="n">
        <v>0.02</v>
      </c>
      <c r="R683" t="n">
        <v>1</v>
      </c>
      <c r="S683" t="n">
        <v>1956.5</v>
      </c>
      <c r="T683" t="n">
        <v>20</v>
      </c>
      <c r="U683" t="n">
        <v>21</v>
      </c>
      <c r="V683" t="n">
        <v>30</v>
      </c>
      <c r="W683" t="n">
        <v>1</v>
      </c>
      <c r="X683" t="n">
        <v>54.94505494505494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4075</v>
      </c>
      <c r="AG683" t="n">
        <v>1</v>
      </c>
      <c r="AH683" t="inlineStr">
        <is>
          <t>PT. BERSAMA DISTRIVERSA INDONESIA (DC CIPUTAT)</t>
        </is>
      </c>
      <c r="AI683" t="n">
        <v>517</v>
      </c>
      <c r="AJ683" t="inlineStr">
        <is>
          <t>CAMILLE</t>
        </is>
      </c>
      <c r="AK683" t="n">
        <v>21</v>
      </c>
      <c r="AL683" t="inlineStr">
        <is>
          <t>Miss Glam Damar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CAMILLE</t>
        </is>
      </c>
      <c r="B684" s="2">
        <f>"10500522707"</f>
        <v/>
      </c>
      <c r="C684" t="inlineStr">
        <is>
          <t>CAMILLE By Nadshavv Wash Off Mask Chocolate For Acne Scars With Collagen + Bakuchiol Extract 25gr</t>
        </is>
      </c>
      <c r="D684" t="inlineStr">
        <is>
          <t>Miss Glam Damar</t>
        </is>
      </c>
      <c r="E684" t="n">
        <v>5</v>
      </c>
      <c r="F684" t="n">
        <v>0.3822</v>
      </c>
      <c r="G684" t="n">
        <v>1.82</v>
      </c>
      <c r="H684" t="n">
        <v>4</v>
      </c>
      <c r="I684" t="n">
        <v>21</v>
      </c>
      <c r="J684" t="n">
        <v>3</v>
      </c>
      <c r="K684" t="n">
        <v>0</v>
      </c>
      <c r="L684" t="n">
        <v>20482</v>
      </c>
      <c r="M684" t="n">
        <v>26000</v>
      </c>
      <c r="N684" t="n">
        <v>91</v>
      </c>
      <c r="O684" t="n">
        <v>0.91</v>
      </c>
      <c r="P684" t="n">
        <v>1</v>
      </c>
      <c r="Q684" t="n">
        <v>0.25</v>
      </c>
      <c r="R684" t="n">
        <v>2</v>
      </c>
      <c r="S684" t="n">
        <v>9937.199999999999</v>
      </c>
      <c r="T684" t="n">
        <v>37</v>
      </c>
      <c r="U684" t="n">
        <v>39</v>
      </c>
      <c r="V684" t="n">
        <v>30</v>
      </c>
      <c r="W684" t="n">
        <v>12</v>
      </c>
      <c r="X684" t="n">
        <v>13.0821559392988</v>
      </c>
      <c r="Y684" t="n">
        <v>1</v>
      </c>
      <c r="Z684" t="n">
        <v>7</v>
      </c>
      <c r="AA684" t="n">
        <v>4</v>
      </c>
      <c r="AB684" t="n">
        <v>3</v>
      </c>
      <c r="AC684" t="n">
        <v>3</v>
      </c>
      <c r="AD684" t="n">
        <v>81928</v>
      </c>
      <c r="AE684" t="n">
        <v>61446</v>
      </c>
      <c r="AF684" t="n">
        <v>4075</v>
      </c>
      <c r="AG684" t="n">
        <v>1</v>
      </c>
      <c r="AH684" t="inlineStr">
        <is>
          <t>PT. BERSAMA DISTRIVERSA INDONESIA (DC CIPUTAT)</t>
        </is>
      </c>
      <c r="AI684" t="n">
        <v>517</v>
      </c>
      <c r="AJ684" t="inlineStr">
        <is>
          <t>CAMILLE</t>
        </is>
      </c>
      <c r="AK684" t="n">
        <v>21</v>
      </c>
      <c r="AL684" t="inlineStr">
        <is>
          <t>Miss Glam Damar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CAMILLE</t>
        </is>
      </c>
      <c r="B685" s="2">
        <f>"10500522728"</f>
        <v/>
      </c>
      <c r="C685" t="inlineStr">
        <is>
          <t>CAMILLE By Nadshavv Wash Off Mask Chocolate For Acne Scars With Collagen + Bakuchiol Extract 65gr</t>
        </is>
      </c>
      <c r="D685" t="inlineStr">
        <is>
          <t>Miss Glam Damar</t>
        </is>
      </c>
      <c r="E685" t="n">
        <v>3</v>
      </c>
      <c r="F685" t="n">
        <v>0.06370000000000001</v>
      </c>
      <c r="G685" t="n">
        <v>0.91</v>
      </c>
      <c r="H685" t="n">
        <v>4</v>
      </c>
      <c r="I685" t="n">
        <v>21</v>
      </c>
      <c r="J685" t="n">
        <v>3</v>
      </c>
      <c r="K685" t="n">
        <v>0</v>
      </c>
      <c r="L685" t="n">
        <v>33969</v>
      </c>
      <c r="M685" t="n">
        <v>43000</v>
      </c>
      <c r="N685" t="n">
        <v>91</v>
      </c>
      <c r="O685" t="n">
        <v>0.91</v>
      </c>
      <c r="P685" t="n">
        <v>1</v>
      </c>
      <c r="Q685" t="n">
        <v>0.08</v>
      </c>
      <c r="R685" t="n">
        <v>1</v>
      </c>
      <c r="S685" t="n">
        <v>2739.1</v>
      </c>
      <c r="T685" t="n">
        <v>19</v>
      </c>
      <c r="U685" t="n">
        <v>20</v>
      </c>
      <c r="V685" t="n">
        <v>30</v>
      </c>
      <c r="W685" t="n">
        <v>2</v>
      </c>
      <c r="X685" t="n">
        <v>47.09576138147566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4075</v>
      </c>
      <c r="AG685" t="n">
        <v>1</v>
      </c>
      <c r="AH685" t="inlineStr">
        <is>
          <t>PT. BERSAMA DISTRIVERSA INDONESIA (DC CIPUTAT)</t>
        </is>
      </c>
      <c r="AI685" t="n">
        <v>517</v>
      </c>
      <c r="AJ685" t="inlineStr">
        <is>
          <t>CAMILLE</t>
        </is>
      </c>
      <c r="AK685" t="n">
        <v>21</v>
      </c>
      <c r="AL685" t="inlineStr">
        <is>
          <t>Miss Glam Damar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CAMILLE</t>
        </is>
      </c>
      <c r="B686" s="2">
        <f>"10500522705"</f>
        <v/>
      </c>
      <c r="C686" t="inlineStr">
        <is>
          <t>CAMILLE By Nadshavv Wash Off Mask Coffee For Acne Scars With Vit E + Coffee Extract 25gr</t>
        </is>
      </c>
      <c r="D686" t="inlineStr">
        <is>
          <t>Miss Glam Damar</t>
        </is>
      </c>
      <c r="E686" t="n">
        <v>9</v>
      </c>
      <c r="F686" t="n">
        <v>0.3731</v>
      </c>
      <c r="G686" t="n">
        <v>1.82</v>
      </c>
      <c r="H686" t="n">
        <v>4</v>
      </c>
      <c r="I686" t="n">
        <v>21</v>
      </c>
      <c r="J686" t="n">
        <v>3</v>
      </c>
      <c r="K686" t="n">
        <v>0</v>
      </c>
      <c r="L686" t="n">
        <v>20482</v>
      </c>
      <c r="M686" t="n">
        <v>26000</v>
      </c>
      <c r="N686" t="n">
        <v>91</v>
      </c>
      <c r="O686" t="n">
        <v>0.91</v>
      </c>
      <c r="P686" t="n">
        <v>1</v>
      </c>
      <c r="Q686" t="n">
        <v>0.15</v>
      </c>
      <c r="R686" t="n">
        <v>1</v>
      </c>
      <c r="S686" t="n">
        <v>9700.6</v>
      </c>
      <c r="T686" t="n">
        <v>37</v>
      </c>
      <c r="U686" t="n">
        <v>39</v>
      </c>
      <c r="V686" t="n">
        <v>30</v>
      </c>
      <c r="W686" t="n">
        <v>12</v>
      </c>
      <c r="X686" t="n">
        <v>24.12221924417046</v>
      </c>
      <c r="Y686" t="n">
        <v>1</v>
      </c>
      <c r="Z686" t="n">
        <v>3</v>
      </c>
      <c r="AA686" t="n">
        <v>0</v>
      </c>
      <c r="AB686" t="n">
        <v>3</v>
      </c>
      <c r="AC686" t="n">
        <v>3</v>
      </c>
      <c r="AD686" t="n">
        <v>0</v>
      </c>
      <c r="AE686" t="n">
        <v>61446</v>
      </c>
      <c r="AF686" t="n">
        <v>4075</v>
      </c>
      <c r="AG686" t="n">
        <v>1</v>
      </c>
      <c r="AH686" t="inlineStr">
        <is>
          <t>PT. BERSAMA DISTRIVERSA INDONESIA (DC CIPUTAT)</t>
        </is>
      </c>
      <c r="AI686" t="n">
        <v>517</v>
      </c>
      <c r="AJ686" t="inlineStr">
        <is>
          <t>CAMILLE</t>
        </is>
      </c>
      <c r="AK686" t="n">
        <v>21</v>
      </c>
      <c r="AL686" t="inlineStr">
        <is>
          <t>Miss Glam Damar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CAMILLE</t>
        </is>
      </c>
      <c r="B687" s="2">
        <f>"10500522748"</f>
        <v/>
      </c>
      <c r="C687" t="inlineStr">
        <is>
          <t>CAMILLE By Nadshavv Wash Off Mask Coffee For Acne Scars With Vit E + Coffee Extract 65gr</t>
        </is>
      </c>
      <c r="D687" t="inlineStr">
        <is>
          <t>Miss Glam Damar</t>
        </is>
      </c>
      <c r="E687" t="n">
        <v>3</v>
      </c>
      <c r="F687" t="n">
        <v>0.1729</v>
      </c>
      <c r="G687" t="n">
        <v>1.82</v>
      </c>
      <c r="H687" t="n">
        <v>4</v>
      </c>
      <c r="I687" t="n">
        <v>21</v>
      </c>
      <c r="J687" t="n">
        <v>3</v>
      </c>
      <c r="K687" t="n">
        <v>0</v>
      </c>
      <c r="L687" t="n">
        <v>34112</v>
      </c>
      <c r="M687" t="n">
        <v>45000</v>
      </c>
      <c r="N687" t="n">
        <v>91</v>
      </c>
      <c r="O687" t="n">
        <v>0.91</v>
      </c>
      <c r="P687" t="n">
        <v>1</v>
      </c>
      <c r="Q687" t="n">
        <v>0.22</v>
      </c>
      <c r="R687" t="n">
        <v>2</v>
      </c>
      <c r="S687" t="n">
        <v>7780.5</v>
      </c>
      <c r="T687" t="n">
        <v>38</v>
      </c>
      <c r="U687" t="n">
        <v>39</v>
      </c>
      <c r="V687" t="n">
        <v>30</v>
      </c>
      <c r="W687" t="n">
        <v>6</v>
      </c>
      <c r="X687" t="n">
        <v>17.35106998264893</v>
      </c>
      <c r="Y687" t="n">
        <v>1</v>
      </c>
      <c r="Z687" t="n">
        <v>3</v>
      </c>
      <c r="AA687" t="n">
        <v>1</v>
      </c>
      <c r="AB687" t="n">
        <v>2</v>
      </c>
      <c r="AC687" t="n">
        <v>3</v>
      </c>
      <c r="AD687" t="n">
        <v>34112</v>
      </c>
      <c r="AE687" t="n">
        <v>102336</v>
      </c>
      <c r="AF687" t="n">
        <v>4075</v>
      </c>
      <c r="AG687" t="n">
        <v>1</v>
      </c>
      <c r="AH687" t="inlineStr">
        <is>
          <t>PT. BERSAMA DISTRIVERSA INDONESIA (DC CIPUTAT)</t>
        </is>
      </c>
      <c r="AI687" t="n">
        <v>517</v>
      </c>
      <c r="AJ687" t="inlineStr">
        <is>
          <t>CAMILLE</t>
        </is>
      </c>
      <c r="AK687" t="n">
        <v>21</v>
      </c>
      <c r="AL687" t="inlineStr">
        <is>
          <t>Miss Glam Damar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CAMILLE</t>
        </is>
      </c>
      <c r="B688" s="2">
        <f>"10500522740"</f>
        <v/>
      </c>
      <c r="C688" t="inlineStr">
        <is>
          <t>CAMILLE By Nadshavv Wash Off Mask Green Tea For Oily Skin With Niacinamide + Greentea Extract 25gr</t>
        </is>
      </c>
      <c r="D688" t="inlineStr">
        <is>
          <t>Miss Glam Damar</t>
        </is>
      </c>
      <c r="E688" t="n">
        <v>6</v>
      </c>
      <c r="F688" t="n">
        <v>0.5005000000000001</v>
      </c>
      <c r="G688" t="n">
        <v>2.73</v>
      </c>
      <c r="H688" t="n">
        <v>4</v>
      </c>
      <c r="I688" t="n">
        <v>21</v>
      </c>
      <c r="J688" t="n">
        <v>3</v>
      </c>
      <c r="K688" t="n">
        <v>0</v>
      </c>
      <c r="L688" t="n">
        <v>20482</v>
      </c>
      <c r="M688" t="n">
        <v>26000</v>
      </c>
      <c r="N688" t="n">
        <v>91</v>
      </c>
      <c r="O688" t="n">
        <v>0.91</v>
      </c>
      <c r="P688" t="n">
        <v>1</v>
      </c>
      <c r="Q688" t="n">
        <v>0.17</v>
      </c>
      <c r="R688" t="n">
        <v>3</v>
      </c>
      <c r="S688" t="n">
        <v>13013</v>
      </c>
      <c r="T688" t="n">
        <v>56</v>
      </c>
      <c r="U688" t="n">
        <v>59</v>
      </c>
      <c r="V688" t="n">
        <v>30</v>
      </c>
      <c r="W688" t="n">
        <v>16</v>
      </c>
      <c r="X688" t="n">
        <v>11.98801198801199</v>
      </c>
      <c r="Y688" t="n">
        <v>1</v>
      </c>
      <c r="Z688" t="n">
        <v>10</v>
      </c>
      <c r="AA688" t="n">
        <v>5</v>
      </c>
      <c r="AB688" t="n">
        <v>5</v>
      </c>
      <c r="AC688" t="n">
        <v>5</v>
      </c>
      <c r="AD688" t="n">
        <v>102410</v>
      </c>
      <c r="AE688" t="n">
        <v>102410</v>
      </c>
      <c r="AF688" t="n">
        <v>4075</v>
      </c>
      <c r="AG688" t="n">
        <v>1</v>
      </c>
      <c r="AH688" t="inlineStr">
        <is>
          <t>PT. BERSAMA DISTRIVERSA INDONESIA (DC CIPUTAT)</t>
        </is>
      </c>
      <c r="AI688" t="n">
        <v>517</v>
      </c>
      <c r="AJ688" t="inlineStr">
        <is>
          <t>CAMILLE</t>
        </is>
      </c>
      <c r="AK688" t="n">
        <v>21</v>
      </c>
      <c r="AL688" t="inlineStr">
        <is>
          <t>Miss Glam Damar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CAMILLE</t>
        </is>
      </c>
      <c r="B689" s="2">
        <f>"10500540826"</f>
        <v/>
      </c>
      <c r="C689" t="inlineStr">
        <is>
          <t>CAMILLE By Nadshavv Wash Off Mask Green Tea For Oily Skin With Niacinamide + Greentea Extract 65gr</t>
        </is>
      </c>
      <c r="D689" t="inlineStr">
        <is>
          <t>Miss Glam Damar</t>
        </is>
      </c>
      <c r="E689" t="n">
        <v>0</v>
      </c>
      <c r="F689" t="n">
        <v>0.1365</v>
      </c>
      <c r="G689" t="n">
        <v>0.91</v>
      </c>
      <c r="H689" t="n">
        <v>4</v>
      </c>
      <c r="I689" t="n">
        <v>21</v>
      </c>
      <c r="J689" t="n">
        <v>3</v>
      </c>
      <c r="K689" t="n">
        <v>0</v>
      </c>
      <c r="L689" t="n">
        <v>34683</v>
      </c>
      <c r="M689" t="n">
        <v>43000</v>
      </c>
      <c r="N689" t="n">
        <v>91</v>
      </c>
      <c r="O689" t="n">
        <v>0.91</v>
      </c>
      <c r="P689" t="n">
        <v>1</v>
      </c>
      <c r="Q689" t="n">
        <v>0.05</v>
      </c>
      <c r="R689" t="n">
        <v>1</v>
      </c>
      <c r="S689" t="n">
        <v>5869.5</v>
      </c>
      <c r="T689" t="n">
        <v>19</v>
      </c>
      <c r="U689" t="n">
        <v>20</v>
      </c>
      <c r="V689" t="n">
        <v>30</v>
      </c>
      <c r="W689" t="n">
        <v>5</v>
      </c>
      <c r="X689" t="n">
        <v>0</v>
      </c>
      <c r="Y689" t="n">
        <v>1</v>
      </c>
      <c r="Z689" t="n">
        <v>5</v>
      </c>
      <c r="AA689" t="n">
        <v>3</v>
      </c>
      <c r="AB689" t="n">
        <v>2</v>
      </c>
      <c r="AC689" t="n">
        <v>3</v>
      </c>
      <c r="AD689" t="n">
        <v>104049</v>
      </c>
      <c r="AE689" t="n">
        <v>104049</v>
      </c>
      <c r="AF689" t="n">
        <v>4075</v>
      </c>
      <c r="AG689" t="n">
        <v>1</v>
      </c>
      <c r="AH689" t="inlineStr">
        <is>
          <t>PT. BERSAMA DISTRIVERSA INDONESIA (DC CIPUTAT)</t>
        </is>
      </c>
      <c r="AI689" t="n">
        <v>517</v>
      </c>
      <c r="AJ689" t="inlineStr">
        <is>
          <t>CAMILLE</t>
        </is>
      </c>
      <c r="AK689" t="n">
        <v>21</v>
      </c>
      <c r="AL689" t="inlineStr">
        <is>
          <t>Miss Glam Damar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CAMILLE</t>
        </is>
      </c>
      <c r="B690" s="2">
        <f>"10500522754"</f>
        <v/>
      </c>
      <c r="C690" t="inlineStr">
        <is>
          <t>CAMILLE By Nadshavv Wash Off Mask Lemon For Acne Prone With Vit C + Licorise Extract 25gr</t>
        </is>
      </c>
      <c r="D690" t="inlineStr">
        <is>
          <t>Miss Glam Damar</t>
        </is>
      </c>
      <c r="E690" t="n">
        <v>0</v>
      </c>
      <c r="F690" t="n">
        <v>0.2639</v>
      </c>
      <c r="G690" t="n">
        <v>1.82</v>
      </c>
      <c r="H690" t="n">
        <v>4</v>
      </c>
      <c r="I690" t="n">
        <v>21</v>
      </c>
      <c r="J690" t="n">
        <v>3</v>
      </c>
      <c r="K690" t="n">
        <v>0</v>
      </c>
      <c r="L690" t="n">
        <v>20482</v>
      </c>
      <c r="M690" t="n">
        <v>26000</v>
      </c>
      <c r="N690" t="n">
        <v>91</v>
      </c>
      <c r="O690" t="n">
        <v>0.91</v>
      </c>
      <c r="P690" t="n">
        <v>1</v>
      </c>
      <c r="Q690" t="n">
        <v>0.33</v>
      </c>
      <c r="R690" t="n">
        <v>2</v>
      </c>
      <c r="S690" t="n">
        <v>6861.399999999999</v>
      </c>
      <c r="T690" t="n">
        <v>38</v>
      </c>
      <c r="U690" t="n">
        <v>40</v>
      </c>
      <c r="V690" t="n">
        <v>30</v>
      </c>
      <c r="W690" t="n">
        <v>8</v>
      </c>
      <c r="X690" t="n">
        <v>0</v>
      </c>
      <c r="Y690" t="n">
        <v>1</v>
      </c>
      <c r="Z690" t="n">
        <v>8</v>
      </c>
      <c r="AA690" t="n">
        <v>6</v>
      </c>
      <c r="AB690" t="n">
        <v>2</v>
      </c>
      <c r="AC690" t="n">
        <v>3</v>
      </c>
      <c r="AD690" t="n">
        <v>122892</v>
      </c>
      <c r="AE690" t="n">
        <v>61446</v>
      </c>
      <c r="AF690" t="n">
        <v>4075</v>
      </c>
      <c r="AG690" t="n">
        <v>1</v>
      </c>
      <c r="AH690" t="inlineStr">
        <is>
          <t>PT. BERSAMA DISTRIVERSA INDONESIA (DC CIPUTAT)</t>
        </is>
      </c>
      <c r="AI690" t="n">
        <v>517</v>
      </c>
      <c r="AJ690" t="inlineStr">
        <is>
          <t>CAMILLE</t>
        </is>
      </c>
      <c r="AK690" t="n">
        <v>21</v>
      </c>
      <c r="AL690" t="inlineStr">
        <is>
          <t>Miss Glam Damar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CAMILLE</t>
        </is>
      </c>
      <c r="B691" s="2">
        <f>"10500522760"</f>
        <v/>
      </c>
      <c r="C691" t="inlineStr">
        <is>
          <t>CAMILLE By Nadshavv Wash Off Mask Lemon For Acne Prone With Vit C + Licorise Extract 65gr</t>
        </is>
      </c>
      <c r="D691" t="inlineStr">
        <is>
          <t>Miss Glam Damar</t>
        </is>
      </c>
      <c r="E691" t="n">
        <v>2</v>
      </c>
      <c r="F691" t="n">
        <v>0.09100000000000001</v>
      </c>
      <c r="G691" t="n">
        <v>0.91</v>
      </c>
      <c r="H691" t="n">
        <v>4</v>
      </c>
      <c r="I691" t="n">
        <v>21</v>
      </c>
      <c r="J691" t="n">
        <v>3</v>
      </c>
      <c r="K691" t="n">
        <v>0</v>
      </c>
      <c r="L691" t="n">
        <v>34780</v>
      </c>
      <c r="M691" t="n">
        <v>43000</v>
      </c>
      <c r="N691" t="n">
        <v>91</v>
      </c>
      <c r="O691" t="n">
        <v>0.91</v>
      </c>
      <c r="P691" t="n">
        <v>1</v>
      </c>
      <c r="Q691" t="n">
        <v>0.12</v>
      </c>
      <c r="R691" t="n">
        <v>2</v>
      </c>
      <c r="S691" t="n">
        <v>3913</v>
      </c>
      <c r="T691" t="n">
        <v>19</v>
      </c>
      <c r="U691" t="n">
        <v>20</v>
      </c>
      <c r="V691" t="n">
        <v>30</v>
      </c>
      <c r="W691" t="n">
        <v>3</v>
      </c>
      <c r="X691" t="n">
        <v>21.97802197802197</v>
      </c>
      <c r="Y691" t="n">
        <v>1</v>
      </c>
      <c r="Z691" t="n">
        <v>1</v>
      </c>
      <c r="AA691" t="n">
        <v>0</v>
      </c>
      <c r="AB691" t="n">
        <v>1</v>
      </c>
      <c r="AC691" t="n">
        <v>3</v>
      </c>
      <c r="AD691" t="n">
        <v>0</v>
      </c>
      <c r="AE691" t="n">
        <v>104340</v>
      </c>
      <c r="AF691" t="n">
        <v>4075</v>
      </c>
      <c r="AG691" t="n">
        <v>1</v>
      </c>
      <c r="AH691" t="inlineStr">
        <is>
          <t>PT. BERSAMA DISTRIVERSA INDONESIA (DC CIPUTAT)</t>
        </is>
      </c>
      <c r="AI691" t="n">
        <v>517</v>
      </c>
      <c r="AJ691" t="inlineStr">
        <is>
          <t>CAMILLE</t>
        </is>
      </c>
      <c r="AK691" t="n">
        <v>21</v>
      </c>
      <c r="AL691" t="inlineStr">
        <is>
          <t>Miss Glam Damar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CAMILLE</t>
        </is>
      </c>
      <c r="B692" s="2">
        <f>"10500540733"</f>
        <v/>
      </c>
      <c r="C692" t="inlineStr">
        <is>
          <t>CAMILLE By Nadshavv Wash Off Mask Milk For Acne Prone With Glutathione + Milk Extract 25g</t>
        </is>
      </c>
      <c r="D692" t="inlineStr">
        <is>
          <t>Miss Glam Damar</t>
        </is>
      </c>
      <c r="E692" t="n">
        <v>0</v>
      </c>
      <c r="F692" t="n">
        <v>0.5733</v>
      </c>
      <c r="G692" t="n">
        <v>2.73</v>
      </c>
      <c r="H692" t="n">
        <v>4</v>
      </c>
      <c r="I692" t="n">
        <v>21</v>
      </c>
      <c r="J692" t="n">
        <v>3</v>
      </c>
      <c r="K692" t="n">
        <v>0</v>
      </c>
      <c r="L692" t="n">
        <v>20912</v>
      </c>
      <c r="M692" t="n">
        <v>26500</v>
      </c>
      <c r="N692" t="n">
        <v>91</v>
      </c>
      <c r="O692" t="n">
        <v>0.91</v>
      </c>
      <c r="P692" t="n">
        <v>1</v>
      </c>
      <c r="Q692" t="n">
        <v>0.18</v>
      </c>
      <c r="R692" t="n">
        <v>2</v>
      </c>
      <c r="S692" t="n">
        <v>15192.45</v>
      </c>
      <c r="T692" t="n">
        <v>56</v>
      </c>
      <c r="U692" t="n">
        <v>59</v>
      </c>
      <c r="V692" t="n">
        <v>30</v>
      </c>
      <c r="W692" t="n">
        <v>18</v>
      </c>
      <c r="X692" t="n">
        <v>0</v>
      </c>
      <c r="Y692" t="n">
        <v>1</v>
      </c>
      <c r="Z692" t="n">
        <v>18</v>
      </c>
      <c r="AA692" t="n">
        <v>13</v>
      </c>
      <c r="AB692" t="n">
        <v>5</v>
      </c>
      <c r="AC692" t="n">
        <v>5</v>
      </c>
      <c r="AD692" t="n">
        <v>271856</v>
      </c>
      <c r="AE692" t="n">
        <v>104560</v>
      </c>
      <c r="AF692" t="n">
        <v>4075</v>
      </c>
      <c r="AG692" t="n">
        <v>1</v>
      </c>
      <c r="AH692" t="inlineStr">
        <is>
          <t>PT. BERSAMA DISTRIVERSA INDONESIA (DC CIPUTAT)</t>
        </is>
      </c>
      <c r="AI692" t="n">
        <v>517</v>
      </c>
      <c r="AJ692" t="inlineStr">
        <is>
          <t>CAMILLE</t>
        </is>
      </c>
      <c r="AK692" t="n">
        <v>21</v>
      </c>
      <c r="AL692" t="inlineStr">
        <is>
          <t>Miss Glam Damar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CAMILLE</t>
        </is>
      </c>
      <c r="B693" s="2">
        <f>"10500582728"</f>
        <v/>
      </c>
      <c r="C693" t="inlineStr">
        <is>
          <t>CAMILLE By Nadshavv Wash Off Mask Milk For Acne Prone With Glutathione + Milk Extract 65gr</t>
        </is>
      </c>
      <c r="D693" t="inlineStr">
        <is>
          <t>Miss Glam Damar</t>
        </is>
      </c>
      <c r="E693" t="n">
        <v>3</v>
      </c>
      <c r="F693" t="n">
        <v>0.2912</v>
      </c>
      <c r="G693" t="n">
        <v>1.82</v>
      </c>
      <c r="H693" t="n">
        <v>4</v>
      </c>
      <c r="I693" t="n">
        <v>21</v>
      </c>
      <c r="J693" t="n">
        <v>3</v>
      </c>
      <c r="K693" t="n">
        <v>0</v>
      </c>
      <c r="L693" t="n">
        <v>33969</v>
      </c>
      <c r="M693" t="n">
        <v>44000</v>
      </c>
      <c r="N693" t="n">
        <v>91</v>
      </c>
      <c r="O693" t="n">
        <v>0.91</v>
      </c>
      <c r="P693" t="n">
        <v>1</v>
      </c>
      <c r="Q693" t="n">
        <v>0.27</v>
      </c>
      <c r="R693" t="n">
        <v>2</v>
      </c>
      <c r="S693" t="n">
        <v>12812.8</v>
      </c>
      <c r="T693" t="n">
        <v>38</v>
      </c>
      <c r="U693" t="n">
        <v>40</v>
      </c>
      <c r="V693" t="n">
        <v>30</v>
      </c>
      <c r="W693" t="n">
        <v>9</v>
      </c>
      <c r="X693" t="n">
        <v>10.3021978021978</v>
      </c>
      <c r="Y693" t="n">
        <v>1</v>
      </c>
      <c r="Z693" t="n">
        <v>6</v>
      </c>
      <c r="AA693" t="n">
        <v>4</v>
      </c>
      <c r="AB693" t="n">
        <v>2</v>
      </c>
      <c r="AC693" t="n">
        <v>3</v>
      </c>
      <c r="AD693" t="n">
        <v>135876</v>
      </c>
      <c r="AE693" t="n">
        <v>101907</v>
      </c>
      <c r="AF693" t="n">
        <v>4075</v>
      </c>
      <c r="AG693" t="n">
        <v>1</v>
      </c>
      <c r="AH693" t="inlineStr">
        <is>
          <t>PT. BERSAMA DISTRIVERSA INDONESIA (DC CIPUTAT)</t>
        </is>
      </c>
      <c r="AI693" t="n">
        <v>517</v>
      </c>
      <c r="AJ693" t="inlineStr">
        <is>
          <t>CAMILLE</t>
        </is>
      </c>
      <c r="AK693" t="n">
        <v>21</v>
      </c>
      <c r="AL693" t="inlineStr">
        <is>
          <t>Miss Glam Damar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CAMILLE</t>
        </is>
      </c>
      <c r="B694" s="2">
        <f>"10500522729"</f>
        <v/>
      </c>
      <c r="C694" t="inlineStr">
        <is>
          <t>CAMILLE By Nadshavv Wash Off Mask Strawberry For Oily Skin With Niacinamide + Hyaluronic Acid 25gr</t>
        </is>
      </c>
      <c r="D694" t="inlineStr">
        <is>
          <t>Miss Glam Damar</t>
        </is>
      </c>
      <c r="E694" t="n">
        <v>13</v>
      </c>
      <c r="F694" t="n">
        <v>0.6279</v>
      </c>
      <c r="G694" t="n">
        <v>2.73</v>
      </c>
      <c r="H694" t="n">
        <v>4</v>
      </c>
      <c r="I694" t="n">
        <v>21</v>
      </c>
      <c r="J694" t="n">
        <v>3</v>
      </c>
      <c r="K694" t="n">
        <v>0</v>
      </c>
      <c r="L694" t="n">
        <v>20482</v>
      </c>
      <c r="M694" t="n">
        <v>26000</v>
      </c>
      <c r="N694" t="n">
        <v>91</v>
      </c>
      <c r="O694" t="n">
        <v>0.91</v>
      </c>
      <c r="P694" t="n">
        <v>1</v>
      </c>
      <c r="Q694" t="n">
        <v>0.37</v>
      </c>
      <c r="R694" t="n">
        <v>2</v>
      </c>
      <c r="S694" t="n">
        <v>16325.4</v>
      </c>
      <c r="T694" t="n">
        <v>55</v>
      </c>
      <c r="U694" t="n">
        <v>58</v>
      </c>
      <c r="V694" t="n">
        <v>30</v>
      </c>
      <c r="W694" t="n">
        <v>19</v>
      </c>
      <c r="X694" t="n">
        <v>20.70393374741201</v>
      </c>
      <c r="Y694" t="n">
        <v>1</v>
      </c>
      <c r="Z694" t="n">
        <v>6</v>
      </c>
      <c r="AA694" t="n">
        <v>1</v>
      </c>
      <c r="AB694" t="n">
        <v>5</v>
      </c>
      <c r="AC694" t="n">
        <v>5</v>
      </c>
      <c r="AD694" t="n">
        <v>20482</v>
      </c>
      <c r="AE694" t="n">
        <v>102410</v>
      </c>
      <c r="AF694" t="n">
        <v>4075</v>
      </c>
      <c r="AG694" t="n">
        <v>1</v>
      </c>
      <c r="AH694" t="inlineStr">
        <is>
          <t>PT. BERSAMA DISTRIVERSA INDONESIA (DC CIPUTAT)</t>
        </is>
      </c>
      <c r="AI694" t="n">
        <v>517</v>
      </c>
      <c r="AJ694" t="inlineStr">
        <is>
          <t>CAMILLE</t>
        </is>
      </c>
      <c r="AK694" t="n">
        <v>21</v>
      </c>
      <c r="AL694" t="inlineStr">
        <is>
          <t>Miss Glam Damar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CAMILLE</t>
        </is>
      </c>
      <c r="B695" s="2">
        <f>"10500522727"</f>
        <v/>
      </c>
      <c r="C695" t="inlineStr">
        <is>
          <t>CAMILLE By Nadshavv Wash Off Mask Strawberry For Oily Skin With Niacinamide + Hyaluronic Acid 65gr</t>
        </is>
      </c>
      <c r="D695" t="inlineStr">
        <is>
          <t>Miss Glam Damar</t>
        </is>
      </c>
      <c r="E695" t="n">
        <v>7</v>
      </c>
      <c r="F695" t="n">
        <v>0.2639</v>
      </c>
      <c r="G695" t="n">
        <v>1.82</v>
      </c>
      <c r="H695" t="n">
        <v>4</v>
      </c>
      <c r="I695" t="n">
        <v>21</v>
      </c>
      <c r="J695" t="n">
        <v>3</v>
      </c>
      <c r="K695" t="n">
        <v>0</v>
      </c>
      <c r="L695" t="n">
        <v>33969</v>
      </c>
      <c r="M695" t="n">
        <v>44500</v>
      </c>
      <c r="N695" t="n">
        <v>91</v>
      </c>
      <c r="O695" t="n">
        <v>0.91</v>
      </c>
      <c r="P695" t="n">
        <v>1</v>
      </c>
      <c r="Q695" t="n">
        <v>0.08</v>
      </c>
      <c r="R695" t="n">
        <v>1</v>
      </c>
      <c r="S695" t="n">
        <v>11743.55</v>
      </c>
      <c r="T695" t="n">
        <v>38</v>
      </c>
      <c r="U695" t="n">
        <v>40</v>
      </c>
      <c r="V695" t="n">
        <v>30</v>
      </c>
      <c r="W695" t="n">
        <v>8</v>
      </c>
      <c r="X695" t="n">
        <v>26.52519893899204</v>
      </c>
      <c r="Y695" t="n">
        <v>1</v>
      </c>
      <c r="Z695" t="n">
        <v>1</v>
      </c>
      <c r="AA695" t="n">
        <v>0</v>
      </c>
      <c r="AB695" t="n">
        <v>1</v>
      </c>
      <c r="AC695" t="n">
        <v>3</v>
      </c>
      <c r="AD695" t="n">
        <v>0</v>
      </c>
      <c r="AE695" t="n">
        <v>101907</v>
      </c>
      <c r="AF695" t="n">
        <v>4075</v>
      </c>
      <c r="AG695" t="n">
        <v>1</v>
      </c>
      <c r="AH695" t="inlineStr">
        <is>
          <t>PT. BERSAMA DISTRIVERSA INDONESIA (DC CIPUTAT)</t>
        </is>
      </c>
      <c r="AI695" t="n">
        <v>517</v>
      </c>
      <c r="AJ695" t="inlineStr">
        <is>
          <t>CAMILLE</t>
        </is>
      </c>
      <c r="AK695" t="n">
        <v>21</v>
      </c>
      <c r="AL695" t="inlineStr">
        <is>
          <t>Miss Glam Damar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CAMILLE</t>
        </is>
      </c>
      <c r="B696" s="2">
        <f>"10200274614"</f>
        <v/>
      </c>
      <c r="C696" t="inlineStr">
        <is>
          <t>CAMILLE Happy Day Serum 30ml</t>
        </is>
      </c>
      <c r="D696" t="inlineStr">
        <is>
          <t>Miss Glam Damar</t>
        </is>
      </c>
      <c r="E696" t="n">
        <v>4</v>
      </c>
      <c r="F696" t="n">
        <v>0.02</v>
      </c>
      <c r="G696" t="n">
        <v>1</v>
      </c>
      <c r="H696" t="n">
        <v>4</v>
      </c>
      <c r="I696" t="n">
        <v>21</v>
      </c>
      <c r="J696" t="n">
        <v>3</v>
      </c>
      <c r="K696" t="n">
        <v>0</v>
      </c>
      <c r="L696" t="n">
        <v>83438</v>
      </c>
      <c r="M696" t="n">
        <v>107500</v>
      </c>
      <c r="N696" t="n">
        <v>91</v>
      </c>
      <c r="O696" t="n">
        <v>0.91</v>
      </c>
      <c r="P696" t="n">
        <v>0</v>
      </c>
      <c r="Q696" t="n">
        <v>0.02</v>
      </c>
      <c r="R696" t="n">
        <v>1</v>
      </c>
      <c r="S696" t="n">
        <v>2150</v>
      </c>
      <c r="T696" t="n">
        <v>21</v>
      </c>
      <c r="U696" t="n">
        <v>22</v>
      </c>
      <c r="V696" t="n">
        <v>30</v>
      </c>
      <c r="W696" t="n">
        <v>1</v>
      </c>
      <c r="X696" t="n">
        <v>200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4075</v>
      </c>
      <c r="AG696" t="n">
        <v>1</v>
      </c>
      <c r="AH696" t="inlineStr">
        <is>
          <t>PT. BERSAMA DISTRIVERSA INDONESIA (DC CIPUTAT)</t>
        </is>
      </c>
      <c r="AI696" t="n">
        <v>517</v>
      </c>
      <c r="AJ696" t="inlineStr">
        <is>
          <t>CAMILLE</t>
        </is>
      </c>
      <c r="AK696" t="n">
        <v>21</v>
      </c>
      <c r="AL696" t="inlineStr">
        <is>
          <t>Miss Glam Damar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CAMILLE</t>
        </is>
      </c>
      <c r="B697" s="2">
        <f>"10300308710"</f>
        <v/>
      </c>
      <c r="C697" t="inlineStr">
        <is>
          <t>CAMILLE Little Pop Face Mist 100ml</t>
        </is>
      </c>
      <c r="D697" t="inlineStr">
        <is>
          <t>Miss Glam Damar</t>
        </is>
      </c>
      <c r="E697" t="n">
        <v>21</v>
      </c>
      <c r="F697" t="n">
        <v>0.4641</v>
      </c>
      <c r="G697" t="n">
        <v>5.46</v>
      </c>
      <c r="H697" t="n">
        <v>4</v>
      </c>
      <c r="I697" t="n">
        <v>21</v>
      </c>
      <c r="J697" t="n">
        <v>3</v>
      </c>
      <c r="K697" t="n">
        <v>0</v>
      </c>
      <c r="L697" t="n">
        <v>35316</v>
      </c>
      <c r="M697" t="n">
        <v>44500</v>
      </c>
      <c r="N697" t="n">
        <v>91</v>
      </c>
      <c r="O697" t="n">
        <v>0.91</v>
      </c>
      <c r="P697" t="n">
        <v>1</v>
      </c>
      <c r="Q697" t="n">
        <v>0.5600000000000001</v>
      </c>
      <c r="R697" t="n">
        <v>3</v>
      </c>
      <c r="S697" t="n">
        <v>20652.45</v>
      </c>
      <c r="T697" t="n">
        <v>113</v>
      </c>
      <c r="U697" t="n">
        <v>115</v>
      </c>
      <c r="V697" t="n">
        <v>30</v>
      </c>
      <c r="W697" t="n">
        <v>14</v>
      </c>
      <c r="X697" t="n">
        <v>45.24886877828054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4075</v>
      </c>
      <c r="AG697" t="n">
        <v>1</v>
      </c>
      <c r="AH697" t="inlineStr">
        <is>
          <t>PT. BERSAMA DISTRIVERSA INDONESIA (DC CIPUTAT)</t>
        </is>
      </c>
      <c r="AI697" t="n">
        <v>517</v>
      </c>
      <c r="AJ697" t="inlineStr">
        <is>
          <t>CAMILLE</t>
        </is>
      </c>
      <c r="AK697" t="n">
        <v>21</v>
      </c>
      <c r="AL697" t="inlineStr">
        <is>
          <t>Miss Glam Damar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CAMILLE</t>
        </is>
      </c>
      <c r="B698" s="2">
        <f>"10200144325"</f>
        <v/>
      </c>
      <c r="C698" t="inlineStr">
        <is>
          <t>CAMILLE Me With You Essence Toner 100ml</t>
        </is>
      </c>
      <c r="D698" t="inlineStr">
        <is>
          <t>Miss Glam Damar</t>
        </is>
      </c>
      <c r="E698" t="n">
        <v>1</v>
      </c>
      <c r="F698" t="n">
        <v>0.0182</v>
      </c>
      <c r="G698" t="n">
        <v>0</v>
      </c>
      <c r="H698" t="n">
        <v>4</v>
      </c>
      <c r="I698" t="n">
        <v>21</v>
      </c>
      <c r="J698" t="n">
        <v>3</v>
      </c>
      <c r="K698" t="n">
        <v>0</v>
      </c>
      <c r="L698" t="n">
        <v>73562</v>
      </c>
      <c r="M698" t="n">
        <v>94000</v>
      </c>
      <c r="N698" t="n">
        <v>91</v>
      </c>
      <c r="O698" t="n">
        <v>0.91</v>
      </c>
      <c r="P698" t="n">
        <v>1</v>
      </c>
      <c r="Q698" t="n">
        <v>0.02</v>
      </c>
      <c r="R698" t="n">
        <v>1</v>
      </c>
      <c r="S698" t="n">
        <v>1710.8</v>
      </c>
      <c r="T698" t="n">
        <v>0</v>
      </c>
      <c r="U698" t="n">
        <v>1</v>
      </c>
      <c r="V698" t="n">
        <v>30</v>
      </c>
      <c r="W698" t="n">
        <v>1</v>
      </c>
      <c r="X698" t="n">
        <v>54.94505494505494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4075</v>
      </c>
      <c r="AG698" t="n">
        <v>1</v>
      </c>
      <c r="AH698" t="inlineStr">
        <is>
          <t>PT. BERSAMA DISTRIVERSA INDONESIA (DC CIPUTAT)</t>
        </is>
      </c>
      <c r="AI698" t="n">
        <v>517</v>
      </c>
      <c r="AJ698" t="inlineStr">
        <is>
          <t>CAMILLE</t>
        </is>
      </c>
      <c r="AK698" t="n">
        <v>21</v>
      </c>
      <c r="AL698" t="inlineStr">
        <is>
          <t>Miss Glam Damar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CAMILLE</t>
        </is>
      </c>
      <c r="B699" s="2">
        <f>"10300213727"</f>
        <v/>
      </c>
      <c r="C699" t="inlineStr">
        <is>
          <t>CAMILLE Moon Night Cream 25gr</t>
        </is>
      </c>
      <c r="D699" t="inlineStr">
        <is>
          <t>Miss Glam Damar</t>
        </is>
      </c>
      <c r="E699" t="n">
        <v>6</v>
      </c>
      <c r="F699" t="n">
        <v>0.02</v>
      </c>
      <c r="G699" t="n">
        <v>1</v>
      </c>
      <c r="H699" t="n">
        <v>4</v>
      </c>
      <c r="I699" t="n">
        <v>21</v>
      </c>
      <c r="J699" t="n">
        <v>3</v>
      </c>
      <c r="K699" t="n">
        <v>0</v>
      </c>
      <c r="L699" t="n">
        <v>77972</v>
      </c>
      <c r="M699" t="n">
        <v>101000</v>
      </c>
      <c r="N699" t="n">
        <v>91</v>
      </c>
      <c r="O699" t="n">
        <v>0.91</v>
      </c>
      <c r="P699" t="n">
        <v>0</v>
      </c>
      <c r="Q699" t="n">
        <v>0.02</v>
      </c>
      <c r="R699" t="n">
        <v>1</v>
      </c>
      <c r="S699" t="n">
        <v>2020</v>
      </c>
      <c r="T699" t="n">
        <v>21</v>
      </c>
      <c r="U699" t="n">
        <v>22</v>
      </c>
      <c r="V699" t="n">
        <v>30</v>
      </c>
      <c r="W699" t="n">
        <v>1</v>
      </c>
      <c r="X699" t="n">
        <v>300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4075</v>
      </c>
      <c r="AG699" t="n">
        <v>1</v>
      </c>
      <c r="AH699" t="inlineStr">
        <is>
          <t>PT. BERSAMA DISTRIVERSA INDONESIA (DC CIPUTAT)</t>
        </is>
      </c>
      <c r="AI699" t="n">
        <v>517</v>
      </c>
      <c r="AJ699" t="inlineStr">
        <is>
          <t>CAMILLE</t>
        </is>
      </c>
      <c r="AK699" t="n">
        <v>21</v>
      </c>
      <c r="AL699" t="inlineStr">
        <is>
          <t>Miss Glam Damar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CAMILLE</t>
        </is>
      </c>
      <c r="B700" s="2">
        <f>"30200183324"</f>
        <v/>
      </c>
      <c r="C700" t="inlineStr">
        <is>
          <t>CAMILLE Protect You Tone Up BB Cream Body Lotion 100ml</t>
        </is>
      </c>
      <c r="D700" t="inlineStr">
        <is>
          <t>Miss Glam Damar</t>
        </is>
      </c>
      <c r="E700" t="n">
        <v>4</v>
      </c>
      <c r="F700" t="n">
        <v>0.03</v>
      </c>
      <c r="G700" t="n">
        <v>1</v>
      </c>
      <c r="H700" t="n">
        <v>4</v>
      </c>
      <c r="I700" t="n">
        <v>21</v>
      </c>
      <c r="J700" t="n">
        <v>3</v>
      </c>
      <c r="K700" t="n">
        <v>0</v>
      </c>
      <c r="L700" t="n">
        <v>68707</v>
      </c>
      <c r="M700" t="n">
        <v>87000</v>
      </c>
      <c r="N700" t="n">
        <v>91</v>
      </c>
      <c r="O700" t="n">
        <v>0.91</v>
      </c>
      <c r="P700" t="n">
        <v>0</v>
      </c>
      <c r="Q700" t="n">
        <v>0.03</v>
      </c>
      <c r="R700" t="n">
        <v>1</v>
      </c>
      <c r="S700" t="n">
        <v>2610</v>
      </c>
      <c r="T700" t="n">
        <v>21</v>
      </c>
      <c r="U700" t="n">
        <v>22</v>
      </c>
      <c r="V700" t="n">
        <v>30</v>
      </c>
      <c r="W700" t="n">
        <v>1</v>
      </c>
      <c r="X700" t="n">
        <v>133.3333333333333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4075</v>
      </c>
      <c r="AG700" t="n">
        <v>1</v>
      </c>
      <c r="AH700" t="inlineStr">
        <is>
          <t>PT. BERSAMA DISTRIVERSA INDONESIA (DC CIPUTAT)</t>
        </is>
      </c>
      <c r="AI700" t="n">
        <v>517</v>
      </c>
      <c r="AJ700" t="inlineStr">
        <is>
          <t>CAMILLE</t>
        </is>
      </c>
      <c r="AK700" t="n">
        <v>21</v>
      </c>
      <c r="AL700" t="inlineStr">
        <is>
          <t>Miss Glam Damar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CAMILLE</t>
        </is>
      </c>
      <c r="B701" s="2">
        <f>"30100220745"</f>
        <v/>
      </c>
      <c r="C701" t="inlineStr">
        <is>
          <t>CAMILLE Strawberry Yoghurt Body Scrub 250gr</t>
        </is>
      </c>
      <c r="D701" t="inlineStr">
        <is>
          <t>Miss Glam Damar</t>
        </is>
      </c>
      <c r="E701" t="n">
        <v>5</v>
      </c>
      <c r="F701" t="n">
        <v>0.0728</v>
      </c>
      <c r="G701" t="n">
        <v>1.82</v>
      </c>
      <c r="H701" t="n">
        <v>4</v>
      </c>
      <c r="I701" t="n">
        <v>21</v>
      </c>
      <c r="J701" t="n">
        <v>3</v>
      </c>
      <c r="K701" t="n">
        <v>0</v>
      </c>
      <c r="L701" t="n">
        <v>64942</v>
      </c>
      <c r="M701" t="n">
        <v>85000</v>
      </c>
      <c r="N701" t="n">
        <v>91</v>
      </c>
      <c r="O701" t="n">
        <v>0.91</v>
      </c>
      <c r="P701" t="n">
        <v>1</v>
      </c>
      <c r="Q701" t="n">
        <v>0.08</v>
      </c>
      <c r="R701" t="n">
        <v>2</v>
      </c>
      <c r="S701" t="n">
        <v>6188</v>
      </c>
      <c r="T701" t="n">
        <v>38</v>
      </c>
      <c r="U701" t="n">
        <v>39</v>
      </c>
      <c r="V701" t="n">
        <v>30</v>
      </c>
      <c r="W701" t="n">
        <v>3</v>
      </c>
      <c r="X701" t="n">
        <v>68.68131868131867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4075</v>
      </c>
      <c r="AG701" t="n">
        <v>1</v>
      </c>
      <c r="AH701" t="inlineStr">
        <is>
          <t>PT. BERSAMA DISTRIVERSA INDONESIA (DC CIPUTAT)</t>
        </is>
      </c>
      <c r="AI701" t="n">
        <v>517</v>
      </c>
      <c r="AJ701" t="inlineStr">
        <is>
          <t>CAMILLE</t>
        </is>
      </c>
      <c r="AK701" t="n">
        <v>21</v>
      </c>
      <c r="AL701" t="inlineStr">
        <is>
          <t>Miss Glam Damar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CAMILLE</t>
        </is>
      </c>
      <c r="B702" s="2">
        <f>"10300131935"</f>
        <v/>
      </c>
      <c r="C702" t="inlineStr">
        <is>
          <t>CAMILLE Sunny Day Cream 25gr</t>
        </is>
      </c>
      <c r="D702" t="inlineStr">
        <is>
          <t>Miss Glam Damar</t>
        </is>
      </c>
      <c r="E702" t="n">
        <v>2</v>
      </c>
      <c r="F702" t="n">
        <v>0.03</v>
      </c>
      <c r="G702" t="n">
        <v>1</v>
      </c>
      <c r="H702" t="n">
        <v>4</v>
      </c>
      <c r="I702" t="n">
        <v>21</v>
      </c>
      <c r="J702" t="n">
        <v>3</v>
      </c>
      <c r="K702" t="n">
        <v>0</v>
      </c>
      <c r="L702" t="n">
        <v>74825</v>
      </c>
      <c r="M702" t="n">
        <v>94500</v>
      </c>
      <c r="N702" t="n">
        <v>91</v>
      </c>
      <c r="O702" t="n">
        <v>0.91</v>
      </c>
      <c r="P702" t="n">
        <v>0</v>
      </c>
      <c r="Q702" t="n">
        <v>0.03</v>
      </c>
      <c r="R702" t="n">
        <v>1</v>
      </c>
      <c r="S702" t="n">
        <v>2835</v>
      </c>
      <c r="T702" t="n">
        <v>21</v>
      </c>
      <c r="U702" t="n">
        <v>22</v>
      </c>
      <c r="V702" t="n">
        <v>30</v>
      </c>
      <c r="W702" t="n">
        <v>1</v>
      </c>
      <c r="X702" t="n">
        <v>66.66666666666667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4075</v>
      </c>
      <c r="AG702" t="n">
        <v>1</v>
      </c>
      <c r="AH702" t="inlineStr">
        <is>
          <t>PT. BERSAMA DISTRIVERSA INDONESIA (DC CIPUTAT)</t>
        </is>
      </c>
      <c r="AI702" t="n">
        <v>517</v>
      </c>
      <c r="AJ702" t="inlineStr">
        <is>
          <t>CAMILLE</t>
        </is>
      </c>
      <c r="AK702" t="n">
        <v>21</v>
      </c>
      <c r="AL702" t="inlineStr">
        <is>
          <t>Miss Glam Damar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CAPTAIN</t>
        </is>
      </c>
      <c r="B703" s="2">
        <f>"8997240890848"</f>
        <v/>
      </c>
      <c r="C703" t="inlineStr">
        <is>
          <t>CAPTAIN Men's Care Clay Pomade Natural Shine 30gr</t>
        </is>
      </c>
      <c r="D703" t="inlineStr">
        <is>
          <t>Miss Glam Damar</t>
        </is>
      </c>
      <c r="E703" t="n">
        <v>0</v>
      </c>
      <c r="F703" t="n">
        <v>0.34</v>
      </c>
      <c r="G703" t="n">
        <v>2</v>
      </c>
      <c r="H703" t="n">
        <v>2</v>
      </c>
      <c r="I703" t="n">
        <v>16</v>
      </c>
      <c r="J703" t="n">
        <v>3</v>
      </c>
      <c r="K703" t="n">
        <v>0</v>
      </c>
      <c r="L703" t="n">
        <v>33750</v>
      </c>
      <c r="M703" t="n">
        <v>44000</v>
      </c>
      <c r="N703" t="n">
        <v>91</v>
      </c>
      <c r="O703" t="n">
        <v>0.91</v>
      </c>
      <c r="P703" t="n">
        <v>0</v>
      </c>
      <c r="Q703" t="n">
        <v>0.34</v>
      </c>
      <c r="R703" t="n">
        <v>2</v>
      </c>
      <c r="S703" t="n">
        <v>14960</v>
      </c>
      <c r="T703" t="n">
        <v>32</v>
      </c>
      <c r="U703" t="n">
        <v>33</v>
      </c>
      <c r="V703" t="n">
        <v>30</v>
      </c>
      <c r="W703" t="n">
        <v>11</v>
      </c>
      <c r="X703" t="n">
        <v>0</v>
      </c>
      <c r="Y703" t="n">
        <v>1</v>
      </c>
      <c r="Z703" t="n">
        <v>11</v>
      </c>
      <c r="AA703" t="n">
        <v>6</v>
      </c>
      <c r="AB703" t="n">
        <v>5</v>
      </c>
      <c r="AC703" t="n">
        <v>5</v>
      </c>
      <c r="AD703" t="n">
        <v>202500</v>
      </c>
      <c r="AE703" t="n">
        <v>168750</v>
      </c>
      <c r="AF703" t="n">
        <v>401</v>
      </c>
      <c r="AG703" t="n">
        <v>107</v>
      </c>
      <c r="AH703" t="inlineStr">
        <is>
          <t xml:space="preserve">CV. DAHLIA - PPN (PDG) </t>
        </is>
      </c>
      <c r="AI703" t="n">
        <v>1945</v>
      </c>
      <c r="AJ703" t="inlineStr">
        <is>
          <t>CAPTAIN</t>
        </is>
      </c>
      <c r="AK703" t="n">
        <v>21</v>
      </c>
      <c r="AL703" t="inlineStr">
        <is>
          <t>Miss Glam Damar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CAPTAIN</t>
        </is>
      </c>
      <c r="B704" s="2">
        <f>"8997240891012"</f>
        <v/>
      </c>
      <c r="C704" t="inlineStr">
        <is>
          <t>CAPTAIN Men's Care Curly Cream Pomade Medium Shine 30gr</t>
        </is>
      </c>
      <c r="D704" t="inlineStr">
        <is>
          <t>Miss Glam Damar</t>
        </is>
      </c>
      <c r="E704" t="n">
        <v>2</v>
      </c>
      <c r="F704" t="n">
        <v>0.34</v>
      </c>
      <c r="G704" t="n">
        <v>2</v>
      </c>
      <c r="H704" t="n">
        <v>2</v>
      </c>
      <c r="I704" t="n">
        <v>16</v>
      </c>
      <c r="J704" t="n">
        <v>3</v>
      </c>
      <c r="K704" t="n">
        <v>0</v>
      </c>
      <c r="L704" t="n">
        <v>33750</v>
      </c>
      <c r="M704" t="n">
        <v>44000</v>
      </c>
      <c r="N704" t="n">
        <v>91</v>
      </c>
      <c r="O704" t="n">
        <v>0.91</v>
      </c>
      <c r="P704" t="n">
        <v>0</v>
      </c>
      <c r="Q704" t="n">
        <v>0.34</v>
      </c>
      <c r="R704" t="n">
        <v>2</v>
      </c>
      <c r="S704" t="n">
        <v>14960</v>
      </c>
      <c r="T704" t="n">
        <v>32</v>
      </c>
      <c r="U704" t="n">
        <v>33</v>
      </c>
      <c r="V704" t="n">
        <v>30</v>
      </c>
      <c r="W704" t="n">
        <v>11</v>
      </c>
      <c r="X704" t="n">
        <v>5.88235294117647</v>
      </c>
      <c r="Y704" t="n">
        <v>1</v>
      </c>
      <c r="Z704" t="n">
        <v>9</v>
      </c>
      <c r="AA704" t="n">
        <v>4</v>
      </c>
      <c r="AB704" t="n">
        <v>5</v>
      </c>
      <c r="AC704" t="n">
        <v>5</v>
      </c>
      <c r="AD704" t="n">
        <v>135000</v>
      </c>
      <c r="AE704" t="n">
        <v>168750</v>
      </c>
      <c r="AF704" t="n">
        <v>401</v>
      </c>
      <c r="AG704" t="n">
        <v>107</v>
      </c>
      <c r="AH704" t="inlineStr">
        <is>
          <t xml:space="preserve">CV. DAHLIA - PPN (PDG) </t>
        </is>
      </c>
      <c r="AI704" t="n">
        <v>1945</v>
      </c>
      <c r="AJ704" t="inlineStr">
        <is>
          <t>CAPTAIN</t>
        </is>
      </c>
      <c r="AK704" t="n">
        <v>21</v>
      </c>
      <c r="AL704" t="inlineStr">
        <is>
          <t>Miss Glam Damar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CAPTAIN</t>
        </is>
      </c>
      <c r="B705" s="2">
        <f>"8992955000209"</f>
        <v/>
      </c>
      <c r="C705" t="inlineStr">
        <is>
          <t>CAPTAIN Men's Care Hair Powder 10gr</t>
        </is>
      </c>
      <c r="D705" t="inlineStr">
        <is>
          <t>Miss Glam Damar</t>
        </is>
      </c>
      <c r="E705" t="n">
        <v>0</v>
      </c>
      <c r="F705" t="n">
        <v>0.23</v>
      </c>
      <c r="G705" t="n">
        <v>1</v>
      </c>
      <c r="H705" t="n">
        <v>2</v>
      </c>
      <c r="I705" t="n">
        <v>16</v>
      </c>
      <c r="J705" t="n">
        <v>3</v>
      </c>
      <c r="K705" t="n">
        <v>0</v>
      </c>
      <c r="L705" t="n">
        <v>60000</v>
      </c>
      <c r="M705" t="n">
        <v>80000</v>
      </c>
      <c r="N705" t="n">
        <v>91</v>
      </c>
      <c r="O705" t="n">
        <v>0.91</v>
      </c>
      <c r="P705" t="n">
        <v>0</v>
      </c>
      <c r="Q705" t="n">
        <v>0.23</v>
      </c>
      <c r="R705" t="n">
        <v>1</v>
      </c>
      <c r="S705" t="n">
        <v>18400</v>
      </c>
      <c r="T705" t="n">
        <v>16</v>
      </c>
      <c r="U705" t="n">
        <v>17</v>
      </c>
      <c r="V705" t="n">
        <v>30</v>
      </c>
      <c r="W705" t="n">
        <v>7</v>
      </c>
      <c r="X705" t="n">
        <v>0</v>
      </c>
      <c r="Y705" t="n">
        <v>1</v>
      </c>
      <c r="Z705" t="n">
        <v>7</v>
      </c>
      <c r="AA705" t="n">
        <v>4</v>
      </c>
      <c r="AB705" t="n">
        <v>3</v>
      </c>
      <c r="AC705" t="n">
        <v>3</v>
      </c>
      <c r="AD705" t="n">
        <v>240000</v>
      </c>
      <c r="AE705" t="n">
        <v>180000</v>
      </c>
      <c r="AF705" t="n">
        <v>401</v>
      </c>
      <c r="AG705" t="n">
        <v>107</v>
      </c>
      <c r="AH705" t="inlineStr">
        <is>
          <t xml:space="preserve">CV. DAHLIA - PPN (PDG) </t>
        </is>
      </c>
      <c r="AI705" t="n">
        <v>1945</v>
      </c>
      <c r="AJ705" t="inlineStr">
        <is>
          <t>CAPTAIN</t>
        </is>
      </c>
      <c r="AK705" t="n">
        <v>21</v>
      </c>
      <c r="AL705" t="inlineStr">
        <is>
          <t>Miss Glam Damar</t>
        </is>
      </c>
      <c r="AM705" t="n">
        <v>2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CAPTAIN</t>
        </is>
      </c>
      <c r="B706" s="2">
        <f>"8997240890862"</f>
        <v/>
      </c>
      <c r="C706" t="inlineStr">
        <is>
          <t>CAPTAIN Men's Care Waterbased Pomade High Shine 30gr</t>
        </is>
      </c>
      <c r="D706" t="inlineStr">
        <is>
          <t>Miss Glam Damar</t>
        </is>
      </c>
      <c r="E706" t="n">
        <v>5</v>
      </c>
      <c r="F706" t="n">
        <v>0.2821</v>
      </c>
      <c r="G706" t="n">
        <v>1.82</v>
      </c>
      <c r="H706" t="n">
        <v>2</v>
      </c>
      <c r="I706" t="n">
        <v>16</v>
      </c>
      <c r="J706" t="n">
        <v>3</v>
      </c>
      <c r="K706" t="n">
        <v>0</v>
      </c>
      <c r="L706" t="n">
        <v>33750</v>
      </c>
      <c r="M706" t="n">
        <v>44000</v>
      </c>
      <c r="N706" t="n">
        <v>91</v>
      </c>
      <c r="O706" t="n">
        <v>0.91</v>
      </c>
      <c r="P706" t="n">
        <v>1</v>
      </c>
      <c r="Q706" t="n">
        <v>0.24</v>
      </c>
      <c r="R706" t="n">
        <v>2</v>
      </c>
      <c r="S706" t="n">
        <v>12412.4</v>
      </c>
      <c r="T706" t="n">
        <v>29</v>
      </c>
      <c r="U706" t="n">
        <v>30</v>
      </c>
      <c r="V706" t="n">
        <v>30</v>
      </c>
      <c r="W706" t="n">
        <v>9</v>
      </c>
      <c r="X706" t="n">
        <v>17.72421127259837</v>
      </c>
      <c r="Y706" t="n">
        <v>1</v>
      </c>
      <c r="Z706" t="n">
        <v>4</v>
      </c>
      <c r="AA706" t="n">
        <v>0</v>
      </c>
      <c r="AB706" t="n">
        <v>4</v>
      </c>
      <c r="AC706" t="n">
        <v>4</v>
      </c>
      <c r="AD706" t="n">
        <v>0</v>
      </c>
      <c r="AE706" t="n">
        <v>135000</v>
      </c>
      <c r="AF706" t="n">
        <v>401</v>
      </c>
      <c r="AG706" t="n">
        <v>107</v>
      </c>
      <c r="AH706" t="inlineStr">
        <is>
          <t xml:space="preserve">CV. DAHLIA - PPN (PDG) </t>
        </is>
      </c>
      <c r="AI706" t="n">
        <v>1945</v>
      </c>
      <c r="AJ706" t="inlineStr">
        <is>
          <t>CAPTAIN</t>
        </is>
      </c>
      <c r="AK706" t="n">
        <v>21</v>
      </c>
      <c r="AL706" t="inlineStr">
        <is>
          <t>Miss Glam Damar</t>
        </is>
      </c>
      <c r="AM706" t="n">
        <v>2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CARASUN</t>
        </is>
      </c>
      <c r="B707" s="2">
        <f>"8994456051414"</f>
        <v/>
      </c>
      <c r="C707" t="inlineStr">
        <is>
          <t>CARASUN Comfort Shield UV Body Serum Lotion 100ml</t>
        </is>
      </c>
      <c r="D707" t="inlineStr">
        <is>
          <t>Miss Glam Damar</t>
        </is>
      </c>
      <c r="E707" t="n">
        <v>4</v>
      </c>
      <c r="F707" t="n">
        <v>0.0182</v>
      </c>
      <c r="G707" t="n">
        <v>0.91</v>
      </c>
      <c r="H707" t="n">
        <v>2</v>
      </c>
      <c r="I707" t="n">
        <v>11</v>
      </c>
      <c r="J707" t="n">
        <v>3</v>
      </c>
      <c r="K707" t="n">
        <v>0</v>
      </c>
      <c r="L707" t="n">
        <v>117497</v>
      </c>
      <c r="M707" t="n">
        <v>149000</v>
      </c>
      <c r="N707" t="n">
        <v>91</v>
      </c>
      <c r="O707" t="n">
        <v>0.91</v>
      </c>
      <c r="P707" t="n">
        <v>1</v>
      </c>
      <c r="Q707" t="n">
        <v>0.1</v>
      </c>
      <c r="R707" t="n">
        <v>2</v>
      </c>
      <c r="S707" t="n">
        <v>2711.8</v>
      </c>
      <c r="T707" t="n">
        <v>10</v>
      </c>
      <c r="U707" t="n">
        <v>11</v>
      </c>
      <c r="V707" t="n">
        <v>30</v>
      </c>
      <c r="W707" t="n">
        <v>1</v>
      </c>
      <c r="X707" t="n">
        <v>219.7802197802198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12326</v>
      </c>
      <c r="AG707" t="n">
        <v>92</v>
      </c>
      <c r="AH707" t="inlineStr">
        <is>
          <t>PT. SAI (PDG)</t>
        </is>
      </c>
      <c r="AI707" t="n">
        <v>515</v>
      </c>
      <c r="AJ707" t="inlineStr">
        <is>
          <t>CARASUN</t>
        </is>
      </c>
      <c r="AK707" t="n">
        <v>21</v>
      </c>
      <c r="AL707" t="inlineStr">
        <is>
          <t>Miss Glam Damar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CARASUN</t>
        </is>
      </c>
      <c r="B708" s="2">
        <f>"8991621430562"</f>
        <v/>
      </c>
      <c r="C708" t="inlineStr">
        <is>
          <t>CARASUN Solar Smart UV  Protector SPF 45 70ml</t>
        </is>
      </c>
      <c r="D708" t="inlineStr">
        <is>
          <t>Miss Glam Damar</t>
        </is>
      </c>
      <c r="E708" t="n">
        <v>4</v>
      </c>
      <c r="F708" t="n">
        <v>0.0182</v>
      </c>
      <c r="G708" t="n">
        <v>0.91</v>
      </c>
      <c r="H708" t="n">
        <v>2</v>
      </c>
      <c r="I708" t="n">
        <v>11</v>
      </c>
      <c r="J708" t="n">
        <v>3</v>
      </c>
      <c r="K708" t="n">
        <v>0</v>
      </c>
      <c r="L708" t="n">
        <v>127200</v>
      </c>
      <c r="M708" t="n">
        <v>159000</v>
      </c>
      <c r="N708" t="n">
        <v>91</v>
      </c>
      <c r="O708" t="n">
        <v>0.91</v>
      </c>
      <c r="P708" t="n">
        <v>1</v>
      </c>
      <c r="Q708" t="n">
        <v>0.07000000000000001</v>
      </c>
      <c r="R708" t="n">
        <v>1</v>
      </c>
      <c r="S708" t="n">
        <v>2893.8</v>
      </c>
      <c r="T708" t="n">
        <v>10</v>
      </c>
      <c r="U708" t="n">
        <v>11</v>
      </c>
      <c r="V708" t="n">
        <v>30</v>
      </c>
      <c r="W708" t="n">
        <v>1</v>
      </c>
      <c r="X708" t="n">
        <v>219.7802197802198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12326</v>
      </c>
      <c r="AG708" t="n">
        <v>92</v>
      </c>
      <c r="AH708" t="inlineStr">
        <is>
          <t>PT. SAI (PDG)</t>
        </is>
      </c>
      <c r="AI708" t="n">
        <v>515</v>
      </c>
      <c r="AJ708" t="inlineStr">
        <is>
          <t>CARASUN</t>
        </is>
      </c>
      <c r="AK708" t="n">
        <v>21</v>
      </c>
      <c r="AL708" t="inlineStr">
        <is>
          <t>Miss Glam Damar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CARASUN</t>
        </is>
      </c>
      <c r="B709" s="2">
        <f>"8994456051537"</f>
        <v/>
      </c>
      <c r="C709" t="inlineStr">
        <is>
          <t>CARASUN Solar Smart UV Light Sunscreen 30ml</t>
        </is>
      </c>
      <c r="D709" t="inlineStr">
        <is>
          <t>Miss Glam Damar</t>
        </is>
      </c>
      <c r="E709" t="n">
        <v>25</v>
      </c>
      <c r="F709" t="n">
        <v>0.9737000000000001</v>
      </c>
      <c r="G709" t="n">
        <v>4.55</v>
      </c>
      <c r="H709" t="n">
        <v>2</v>
      </c>
      <c r="I709" t="n">
        <v>11</v>
      </c>
      <c r="J709" t="n">
        <v>3</v>
      </c>
      <c r="K709" t="n">
        <v>0</v>
      </c>
      <c r="L709" t="n">
        <v>31198</v>
      </c>
      <c r="M709" t="n">
        <v>39000</v>
      </c>
      <c r="N709" t="n">
        <v>91</v>
      </c>
      <c r="O709" t="n">
        <v>0.91</v>
      </c>
      <c r="P709" t="n">
        <v>1</v>
      </c>
      <c r="Q709" t="n">
        <v>1.08</v>
      </c>
      <c r="R709" t="n">
        <v>5</v>
      </c>
      <c r="S709" t="n">
        <v>37974.3</v>
      </c>
      <c r="T709" t="n">
        <v>49</v>
      </c>
      <c r="U709" t="n">
        <v>51</v>
      </c>
      <c r="V709" t="n">
        <v>30</v>
      </c>
      <c r="W709" t="n">
        <v>30</v>
      </c>
      <c r="X709" t="n">
        <v>25.67525932011913</v>
      </c>
      <c r="Y709" t="n">
        <v>1</v>
      </c>
      <c r="Z709" t="n">
        <v>5</v>
      </c>
      <c r="AA709" t="n">
        <v>0</v>
      </c>
      <c r="AB709" t="n">
        <v>5</v>
      </c>
      <c r="AC709" t="n">
        <v>5</v>
      </c>
      <c r="AD709" t="n">
        <v>0</v>
      </c>
      <c r="AE709" t="n">
        <v>155990</v>
      </c>
      <c r="AF709" t="n">
        <v>12326</v>
      </c>
      <c r="AG709" t="n">
        <v>92</v>
      </c>
      <c r="AH709" t="inlineStr">
        <is>
          <t>PT. SAI (PDG)</t>
        </is>
      </c>
      <c r="AI709" t="n">
        <v>515</v>
      </c>
      <c r="AJ709" t="inlineStr">
        <is>
          <t>CARASUN</t>
        </is>
      </c>
      <c r="AK709" t="n">
        <v>21</v>
      </c>
      <c r="AL709" t="inlineStr">
        <is>
          <t>Miss Glam Damar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CARASUN</t>
        </is>
      </c>
      <c r="B710" s="2">
        <f>"8991220190522"</f>
        <v/>
      </c>
      <c r="C710" t="inlineStr">
        <is>
          <t>CARASUN Solar Smart UV Protector SPF 45 30ml</t>
        </is>
      </c>
      <c r="D710" t="inlineStr">
        <is>
          <t>Miss Glam Damar</t>
        </is>
      </c>
      <c r="E710" t="n">
        <v>2</v>
      </c>
      <c r="F710" t="n">
        <v>0.1729</v>
      </c>
      <c r="G710" t="n">
        <v>1.82</v>
      </c>
      <c r="H710" t="n">
        <v>2</v>
      </c>
      <c r="I710" t="n">
        <v>11</v>
      </c>
      <c r="J710" t="n">
        <v>3</v>
      </c>
      <c r="K710" t="n">
        <v>0</v>
      </c>
      <c r="L710" t="n">
        <v>56720</v>
      </c>
      <c r="M710" t="n">
        <v>70900</v>
      </c>
      <c r="N710" t="n">
        <v>91</v>
      </c>
      <c r="O710" t="n">
        <v>0.91</v>
      </c>
      <c r="P710" t="n">
        <v>1</v>
      </c>
      <c r="Q710" t="n">
        <v>0.15</v>
      </c>
      <c r="R710" t="n">
        <v>1</v>
      </c>
      <c r="S710" t="n">
        <v>12258.61</v>
      </c>
      <c r="T710" t="n">
        <v>20</v>
      </c>
      <c r="U710" t="n">
        <v>21</v>
      </c>
      <c r="V710" t="n">
        <v>30</v>
      </c>
      <c r="W710" t="n">
        <v>6</v>
      </c>
      <c r="X710" t="n">
        <v>11.56737998843262</v>
      </c>
      <c r="Y710" t="n">
        <v>1</v>
      </c>
      <c r="Z710" t="n">
        <v>4</v>
      </c>
      <c r="AA710" t="n">
        <v>0</v>
      </c>
      <c r="AB710" t="n">
        <v>4</v>
      </c>
      <c r="AC710" t="n">
        <v>4</v>
      </c>
      <c r="AD710" t="n">
        <v>0</v>
      </c>
      <c r="AE710" t="n">
        <v>226880</v>
      </c>
      <c r="AF710" t="n">
        <v>12326</v>
      </c>
      <c r="AG710" t="n">
        <v>92</v>
      </c>
      <c r="AH710" t="inlineStr">
        <is>
          <t>PT. SAI (PDG)</t>
        </is>
      </c>
      <c r="AI710" t="n">
        <v>515</v>
      </c>
      <c r="AJ710" t="inlineStr">
        <is>
          <t>CARASUN</t>
        </is>
      </c>
      <c r="AK710" t="n">
        <v>21</v>
      </c>
      <c r="AL710" t="inlineStr">
        <is>
          <t>Miss Glam Damar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CARASUN</t>
        </is>
      </c>
      <c r="B711" s="2">
        <f>"8809301760628"</f>
        <v/>
      </c>
      <c r="C711" t="inlineStr">
        <is>
          <t>CARASUN Tropical Skin Expert Healthy Matte UV Protector SPF50+ Non-Acnegenic 30ml</t>
        </is>
      </c>
      <c r="D711" t="inlineStr">
        <is>
          <t>Miss Glam Damar</t>
        </is>
      </c>
      <c r="E711" t="n">
        <v>3</v>
      </c>
      <c r="F711" t="n">
        <v>0.06370000000000001</v>
      </c>
      <c r="G711" t="n">
        <v>1.82</v>
      </c>
      <c r="H711" t="n">
        <v>2</v>
      </c>
      <c r="I711" t="n">
        <v>11</v>
      </c>
      <c r="J711" t="n">
        <v>3</v>
      </c>
      <c r="K711" t="n">
        <v>0</v>
      </c>
      <c r="L711" t="n">
        <v>78935</v>
      </c>
      <c r="M711" t="n">
        <v>98000</v>
      </c>
      <c r="N711" t="n">
        <v>91</v>
      </c>
      <c r="O711" t="n">
        <v>0.91</v>
      </c>
      <c r="P711" t="n">
        <v>1</v>
      </c>
      <c r="Q711" t="n">
        <v>0.2</v>
      </c>
      <c r="R711" t="n">
        <v>1</v>
      </c>
      <c r="S711" t="n">
        <v>6242.6</v>
      </c>
      <c r="T711" t="n">
        <v>20</v>
      </c>
      <c r="U711" t="n">
        <v>21</v>
      </c>
      <c r="V711" t="n">
        <v>30</v>
      </c>
      <c r="W711" t="n">
        <v>2</v>
      </c>
      <c r="X711" t="n">
        <v>47.09576138147566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12326</v>
      </c>
      <c r="AG711" t="n">
        <v>92</v>
      </c>
      <c r="AH711" t="inlineStr">
        <is>
          <t>PT. SAI (PDG)</t>
        </is>
      </c>
      <c r="AI711" t="n">
        <v>515</v>
      </c>
      <c r="AJ711" t="inlineStr">
        <is>
          <t>CARASUN</t>
        </is>
      </c>
      <c r="AK711" t="n">
        <v>21</v>
      </c>
      <c r="AL711" t="inlineStr">
        <is>
          <t>Miss Glam Damar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CARASUN</t>
        </is>
      </c>
      <c r="B712" s="2">
        <f>"8809301760635"</f>
        <v/>
      </c>
      <c r="C712" t="inlineStr">
        <is>
          <t>CARASUN Tropical Skin Expert Healthy Matte UV Protector SPF50+ Non-Acnegenic 70ml</t>
        </is>
      </c>
      <c r="D712" t="inlineStr">
        <is>
          <t>Miss Glam Damar</t>
        </is>
      </c>
      <c r="E712" t="n">
        <v>1</v>
      </c>
      <c r="F712" t="n">
        <v>0.0182</v>
      </c>
      <c r="G712" t="n">
        <v>0.91</v>
      </c>
      <c r="H712" t="n">
        <v>2</v>
      </c>
      <c r="I712" t="n">
        <v>11</v>
      </c>
      <c r="J712" t="n">
        <v>3</v>
      </c>
      <c r="K712" t="n">
        <v>0</v>
      </c>
      <c r="L712" t="n">
        <v>159200</v>
      </c>
      <c r="M712" t="n">
        <v>198000</v>
      </c>
      <c r="N712" t="n">
        <v>91</v>
      </c>
      <c r="O712" t="n">
        <v>0.91</v>
      </c>
      <c r="P712" t="n">
        <v>1</v>
      </c>
      <c r="Q712" t="n">
        <v>0.07000000000000001</v>
      </c>
      <c r="R712" t="n">
        <v>1</v>
      </c>
      <c r="S712" t="n">
        <v>3603.6</v>
      </c>
      <c r="T712" t="n">
        <v>10</v>
      </c>
      <c r="U712" t="n">
        <v>11</v>
      </c>
      <c r="V712" t="n">
        <v>30</v>
      </c>
      <c r="W712" t="n">
        <v>1</v>
      </c>
      <c r="X712" t="n">
        <v>54.94505494505494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12326</v>
      </c>
      <c r="AG712" t="n">
        <v>92</v>
      </c>
      <c r="AH712" t="inlineStr">
        <is>
          <t>PT. SAI (PDG)</t>
        </is>
      </c>
      <c r="AI712" t="n">
        <v>515</v>
      </c>
      <c r="AJ712" t="inlineStr">
        <is>
          <t>CARASUN</t>
        </is>
      </c>
      <c r="AK712" t="n">
        <v>21</v>
      </c>
      <c r="AL712" t="inlineStr">
        <is>
          <t>Miss Glam Damar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CARESO</t>
        </is>
      </c>
      <c r="B713" s="2">
        <f>"8997234220149"</f>
        <v/>
      </c>
      <c r="C713" t="inlineStr">
        <is>
          <t>CARESO Body Fragrance French Linen 100ml</t>
        </is>
      </c>
      <c r="D713" t="inlineStr">
        <is>
          <t>Miss Glam Damar</t>
        </is>
      </c>
      <c r="E713" t="n">
        <v>4</v>
      </c>
      <c r="F713" t="n">
        <v>0.0182</v>
      </c>
      <c r="G713" t="n">
        <v>0.91</v>
      </c>
      <c r="H713" t="n">
        <v>2</v>
      </c>
      <c r="I713" t="n">
        <v>16</v>
      </c>
      <c r="J713" t="n">
        <v>3</v>
      </c>
      <c r="K713" t="n">
        <v>0</v>
      </c>
      <c r="L713" t="n">
        <v>30400</v>
      </c>
      <c r="M713" t="n">
        <v>38000</v>
      </c>
      <c r="N713" t="n">
        <v>91</v>
      </c>
      <c r="O713" t="n">
        <v>0.91</v>
      </c>
      <c r="P713" t="n">
        <v>1</v>
      </c>
      <c r="Q713" t="n">
        <v>0.05</v>
      </c>
      <c r="R713" t="n">
        <v>2</v>
      </c>
      <c r="S713" t="n">
        <v>691.6</v>
      </c>
      <c r="T713" t="n">
        <v>15</v>
      </c>
      <c r="U713" t="n">
        <v>16</v>
      </c>
      <c r="V713" t="n">
        <v>30</v>
      </c>
      <c r="W713" t="n">
        <v>1</v>
      </c>
      <c r="X713" t="n">
        <v>219.7802197802198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417</v>
      </c>
      <c r="AG713" t="n">
        <v>107</v>
      </c>
      <c r="AH713" t="inlineStr">
        <is>
          <t xml:space="preserve">CV. DAHLIA - PPN (PDG) </t>
        </is>
      </c>
      <c r="AI713" t="n">
        <v>423</v>
      </c>
      <c r="AJ713" t="inlineStr">
        <is>
          <t>CARESO</t>
        </is>
      </c>
      <c r="AK713" t="n">
        <v>21</v>
      </c>
      <c r="AL713" t="inlineStr">
        <is>
          <t>Miss Glam Damar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CARESO</t>
        </is>
      </c>
      <c r="B714" s="2">
        <f>"304002157910"</f>
        <v/>
      </c>
      <c r="C714" t="inlineStr">
        <is>
          <t>CARESO Body Fragrance Fruitee Fresh 55ml</t>
        </is>
      </c>
      <c r="D714" t="inlineStr">
        <is>
          <t>Miss Glam Damar</t>
        </is>
      </c>
      <c r="E714" t="n">
        <v>4</v>
      </c>
      <c r="F714" t="n">
        <v>0.06370000000000001</v>
      </c>
      <c r="G714" t="n">
        <v>0.91</v>
      </c>
      <c r="H714" t="n">
        <v>2</v>
      </c>
      <c r="I714" t="n">
        <v>16</v>
      </c>
      <c r="J714" t="n">
        <v>3</v>
      </c>
      <c r="K714" t="n">
        <v>0</v>
      </c>
      <c r="L714" t="n">
        <v>30400</v>
      </c>
      <c r="M714" t="n">
        <v>38000</v>
      </c>
      <c r="N714" t="n">
        <v>91</v>
      </c>
      <c r="O714" t="n">
        <v>0.91</v>
      </c>
      <c r="P714" t="n">
        <v>1</v>
      </c>
      <c r="Q714" t="n">
        <v>0.12</v>
      </c>
      <c r="R714" t="n">
        <v>1</v>
      </c>
      <c r="S714" t="n">
        <v>2420.6</v>
      </c>
      <c r="T714" t="n">
        <v>15</v>
      </c>
      <c r="U714" t="n">
        <v>16</v>
      </c>
      <c r="V714" t="n">
        <v>30</v>
      </c>
      <c r="W714" t="n">
        <v>2</v>
      </c>
      <c r="X714" t="n">
        <v>62.79434850863422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417</v>
      </c>
      <c r="AG714" t="n">
        <v>107</v>
      </c>
      <c r="AH714" t="inlineStr">
        <is>
          <t xml:space="preserve">CV. DAHLIA - PPN (PDG) </t>
        </is>
      </c>
      <c r="AI714" t="n">
        <v>423</v>
      </c>
      <c r="AJ714" t="inlineStr">
        <is>
          <t>CARESO</t>
        </is>
      </c>
      <c r="AK714" t="n">
        <v>21</v>
      </c>
      <c r="AL714" t="inlineStr">
        <is>
          <t>Miss Glam Damar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CARESO</t>
        </is>
      </c>
      <c r="B715" s="2">
        <f>"8997234220026"</f>
        <v/>
      </c>
      <c r="C715" t="inlineStr">
        <is>
          <t>CARESO Body Fragrance Jasmine Blossom 100ml</t>
        </is>
      </c>
      <c r="D715" t="inlineStr">
        <is>
          <t>Miss Glam Damar</t>
        </is>
      </c>
      <c r="E715" t="n">
        <v>18</v>
      </c>
      <c r="F715" t="n">
        <v>0.3367</v>
      </c>
      <c r="G715" t="n">
        <v>1.82</v>
      </c>
      <c r="H715" t="n">
        <v>2</v>
      </c>
      <c r="I715" t="n">
        <v>16</v>
      </c>
      <c r="J715" t="n">
        <v>3</v>
      </c>
      <c r="K715" t="n">
        <v>0</v>
      </c>
      <c r="L715" t="n">
        <v>30400</v>
      </c>
      <c r="M715" t="n">
        <v>38000</v>
      </c>
      <c r="N715" t="n">
        <v>91</v>
      </c>
      <c r="O715" t="n">
        <v>0.91</v>
      </c>
      <c r="P715" t="n">
        <v>1</v>
      </c>
      <c r="Q715" t="n">
        <v>0.73</v>
      </c>
      <c r="R715" t="n">
        <v>3</v>
      </c>
      <c r="S715" t="n">
        <v>12794.6</v>
      </c>
      <c r="T715" t="n">
        <v>29</v>
      </c>
      <c r="U715" t="n">
        <v>30</v>
      </c>
      <c r="V715" t="n">
        <v>30</v>
      </c>
      <c r="W715" t="n">
        <v>11</v>
      </c>
      <c r="X715" t="n">
        <v>53.46005346005346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417</v>
      </c>
      <c r="AG715" t="n">
        <v>107</v>
      </c>
      <c r="AH715" t="inlineStr">
        <is>
          <t xml:space="preserve">CV. DAHLIA - PPN (PDG) </t>
        </is>
      </c>
      <c r="AI715" t="n">
        <v>423</v>
      </c>
      <c r="AJ715" t="inlineStr">
        <is>
          <t>CARESO</t>
        </is>
      </c>
      <c r="AK715" t="n">
        <v>21</v>
      </c>
      <c r="AL715" t="inlineStr">
        <is>
          <t>Miss Glam Damar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CARESO</t>
        </is>
      </c>
      <c r="B716" s="2">
        <f>"8997234220156"</f>
        <v/>
      </c>
      <c r="C716" t="inlineStr">
        <is>
          <t>CARESO Body Fragrance Saint Tropez 100ml</t>
        </is>
      </c>
      <c r="D716" t="inlineStr">
        <is>
          <t>Miss Glam Damar</t>
        </is>
      </c>
      <c r="E716" t="n">
        <v>5</v>
      </c>
      <c r="F716" t="n">
        <v>0.1</v>
      </c>
      <c r="G716" t="n">
        <v>1</v>
      </c>
      <c r="H716" t="n">
        <v>2</v>
      </c>
      <c r="I716" t="n">
        <v>16</v>
      </c>
      <c r="J716" t="n">
        <v>3</v>
      </c>
      <c r="K716" t="n">
        <v>0</v>
      </c>
      <c r="L716" t="n">
        <v>29700</v>
      </c>
      <c r="M716" t="n">
        <v>38000</v>
      </c>
      <c r="N716" t="n">
        <v>91</v>
      </c>
      <c r="O716" t="n">
        <v>0.91</v>
      </c>
      <c r="P716" t="n">
        <v>0</v>
      </c>
      <c r="Q716" t="n">
        <v>0.1</v>
      </c>
      <c r="R716" t="n">
        <v>1</v>
      </c>
      <c r="S716" t="n">
        <v>3800</v>
      </c>
      <c r="T716" t="n">
        <v>16</v>
      </c>
      <c r="U716" t="n">
        <v>17</v>
      </c>
      <c r="V716" t="n">
        <v>30</v>
      </c>
      <c r="W716" t="n">
        <v>3</v>
      </c>
      <c r="X716" t="n">
        <v>50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417</v>
      </c>
      <c r="AG716" t="n">
        <v>107</v>
      </c>
      <c r="AH716" t="inlineStr">
        <is>
          <t xml:space="preserve">CV. DAHLIA - PPN (PDG) </t>
        </is>
      </c>
      <c r="AI716" t="n">
        <v>423</v>
      </c>
      <c r="AJ716" t="inlineStr">
        <is>
          <t>CARESO</t>
        </is>
      </c>
      <c r="AK716" t="n">
        <v>21</v>
      </c>
      <c r="AL716" t="inlineStr">
        <is>
          <t>Miss Glam Damar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CARESO</t>
        </is>
      </c>
      <c r="B717" s="2">
        <f>"8997234220132"</f>
        <v/>
      </c>
      <c r="C717" t="inlineStr">
        <is>
          <t>CARESO Body Fragrance Spring IN New York 100ml</t>
        </is>
      </c>
      <c r="D717" t="inlineStr">
        <is>
          <t>Miss Glam Damar</t>
        </is>
      </c>
      <c r="E717" t="n">
        <v>7</v>
      </c>
      <c r="F717" t="n">
        <v>0.1092</v>
      </c>
      <c r="G717" t="n">
        <v>1.82</v>
      </c>
      <c r="H717" t="n">
        <v>2</v>
      </c>
      <c r="I717" t="n">
        <v>16</v>
      </c>
      <c r="J717" t="n">
        <v>3</v>
      </c>
      <c r="K717" t="n">
        <v>0</v>
      </c>
      <c r="L717" t="n">
        <v>30400</v>
      </c>
      <c r="M717" t="n">
        <v>38000</v>
      </c>
      <c r="N717" t="n">
        <v>91</v>
      </c>
      <c r="O717" t="n">
        <v>0.91</v>
      </c>
      <c r="P717" t="n">
        <v>1</v>
      </c>
      <c r="Q717" t="n">
        <v>0.14</v>
      </c>
      <c r="R717" t="n">
        <v>2</v>
      </c>
      <c r="S717" t="n">
        <v>4149.6</v>
      </c>
      <c r="T717" t="n">
        <v>29</v>
      </c>
      <c r="U717" t="n">
        <v>30</v>
      </c>
      <c r="V717" t="n">
        <v>30</v>
      </c>
      <c r="W717" t="n">
        <v>4</v>
      </c>
      <c r="X717" t="n">
        <v>64.1025641025641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417</v>
      </c>
      <c r="AG717" t="n">
        <v>107</v>
      </c>
      <c r="AH717" t="inlineStr">
        <is>
          <t xml:space="preserve">CV. DAHLIA - PPN (PDG) </t>
        </is>
      </c>
      <c r="AI717" t="n">
        <v>423</v>
      </c>
      <c r="AJ717" t="inlineStr">
        <is>
          <t>CARESO</t>
        </is>
      </c>
      <c r="AK717" t="n">
        <v>21</v>
      </c>
      <c r="AL717" t="inlineStr">
        <is>
          <t>Miss Glam Damar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CARESO</t>
        </is>
      </c>
      <c r="B718" s="2">
        <f>"8997234220057"</f>
        <v/>
      </c>
      <c r="C718" t="inlineStr">
        <is>
          <t>CARESO Body Fragrance Velvet Rose 100ml</t>
        </is>
      </c>
      <c r="D718" t="inlineStr">
        <is>
          <t>Miss Glam Damar</t>
        </is>
      </c>
      <c r="E718" t="n">
        <v>17</v>
      </c>
      <c r="F718" t="n">
        <v>0.3549</v>
      </c>
      <c r="G718" t="n">
        <v>1.82</v>
      </c>
      <c r="H718" t="n">
        <v>2</v>
      </c>
      <c r="I718" t="n">
        <v>16</v>
      </c>
      <c r="J718" t="n">
        <v>3</v>
      </c>
      <c r="K718" t="n">
        <v>0</v>
      </c>
      <c r="L718" t="n">
        <v>30400</v>
      </c>
      <c r="M718" t="n">
        <v>38000</v>
      </c>
      <c r="N718" t="n">
        <v>91</v>
      </c>
      <c r="O718" t="n">
        <v>0.91</v>
      </c>
      <c r="P718" t="n">
        <v>1</v>
      </c>
      <c r="Q718" t="n">
        <v>0.71</v>
      </c>
      <c r="R718" t="n">
        <v>3</v>
      </c>
      <c r="S718" t="n">
        <v>13486.2</v>
      </c>
      <c r="T718" t="n">
        <v>29</v>
      </c>
      <c r="U718" t="n">
        <v>30</v>
      </c>
      <c r="V718" t="n">
        <v>30</v>
      </c>
      <c r="W718" t="n">
        <v>11</v>
      </c>
      <c r="X718" t="n">
        <v>47.90081713158636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417</v>
      </c>
      <c r="AG718" t="n">
        <v>107</v>
      </c>
      <c r="AH718" t="inlineStr">
        <is>
          <t xml:space="preserve">CV. DAHLIA - PPN (PDG) </t>
        </is>
      </c>
      <c r="AI718" t="n">
        <v>423</v>
      </c>
      <c r="AJ718" t="inlineStr">
        <is>
          <t>CARESO</t>
        </is>
      </c>
      <c r="AK718" t="n">
        <v>21</v>
      </c>
      <c r="AL718" t="inlineStr">
        <is>
          <t>Miss Glam Damar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CARESO</t>
        </is>
      </c>
      <c r="B719" s="2">
        <f>"8997234220064"</f>
        <v/>
      </c>
      <c r="C719" t="inlineStr">
        <is>
          <t>CARESO Body Fragrance Wild Orchid 100ml</t>
        </is>
      </c>
      <c r="D719" t="inlineStr">
        <is>
          <t>Miss Glam Damar</t>
        </is>
      </c>
      <c r="E719" t="n">
        <v>6</v>
      </c>
      <c r="F719" t="n">
        <v>0.0182</v>
      </c>
      <c r="G719" t="n">
        <v>0.91</v>
      </c>
      <c r="H719" t="n">
        <v>2</v>
      </c>
      <c r="I719" t="n">
        <v>16</v>
      </c>
      <c r="J719" t="n">
        <v>3</v>
      </c>
      <c r="K719" t="n">
        <v>0</v>
      </c>
      <c r="L719" t="n">
        <v>30400</v>
      </c>
      <c r="M719" t="n">
        <v>43000</v>
      </c>
      <c r="N719" t="n">
        <v>91</v>
      </c>
      <c r="O719" t="n">
        <v>0.91</v>
      </c>
      <c r="P719" t="n">
        <v>1</v>
      </c>
      <c r="Q719" t="n">
        <v>0.15</v>
      </c>
      <c r="R719" t="n">
        <v>2</v>
      </c>
      <c r="S719" t="n">
        <v>782.6</v>
      </c>
      <c r="T719" t="n">
        <v>15</v>
      </c>
      <c r="U719" t="n">
        <v>16</v>
      </c>
      <c r="V719" t="n">
        <v>30</v>
      </c>
      <c r="W719" t="n">
        <v>1</v>
      </c>
      <c r="X719" t="n">
        <v>329.6703296703296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417</v>
      </c>
      <c r="AG719" t="n">
        <v>107</v>
      </c>
      <c r="AH719" t="inlineStr">
        <is>
          <t xml:space="preserve">CV. DAHLIA - PPN (PDG) </t>
        </is>
      </c>
      <c r="AI719" t="n">
        <v>423</v>
      </c>
      <c r="AJ719" t="inlineStr">
        <is>
          <t>CARESO</t>
        </is>
      </c>
      <c r="AK719" t="n">
        <v>21</v>
      </c>
      <c r="AL719" t="inlineStr">
        <is>
          <t>Miss Glam Damar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CARESO</t>
        </is>
      </c>
      <c r="B720" s="2">
        <f>"8997234220019"</f>
        <v/>
      </c>
      <c r="C720" t="inlineStr">
        <is>
          <t>CARESO Body Frangrance French Vanilla 100ml</t>
        </is>
      </c>
      <c r="D720" t="inlineStr">
        <is>
          <t>Miss Glam Damar</t>
        </is>
      </c>
      <c r="E720" t="n">
        <v>21</v>
      </c>
      <c r="F720" t="n">
        <v>0.4004</v>
      </c>
      <c r="G720" t="n">
        <v>2.73</v>
      </c>
      <c r="H720" t="n">
        <v>2</v>
      </c>
      <c r="I720" t="n">
        <v>16</v>
      </c>
      <c r="J720" t="n">
        <v>3</v>
      </c>
      <c r="K720" t="n">
        <v>0</v>
      </c>
      <c r="L720" t="n">
        <v>30400</v>
      </c>
      <c r="M720" t="n">
        <v>38000</v>
      </c>
      <c r="N720" t="n">
        <v>91</v>
      </c>
      <c r="O720" t="n">
        <v>0.91</v>
      </c>
      <c r="P720" t="n">
        <v>1</v>
      </c>
      <c r="Q720" t="n">
        <v>0.76</v>
      </c>
      <c r="R720" t="n">
        <v>3</v>
      </c>
      <c r="S720" t="n">
        <v>15215.2</v>
      </c>
      <c r="T720" t="n">
        <v>43</v>
      </c>
      <c r="U720" t="n">
        <v>44</v>
      </c>
      <c r="V720" t="n">
        <v>30</v>
      </c>
      <c r="W720" t="n">
        <v>13</v>
      </c>
      <c r="X720" t="n">
        <v>52.44755244755245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417</v>
      </c>
      <c r="AG720" t="n">
        <v>107</v>
      </c>
      <c r="AH720" t="inlineStr">
        <is>
          <t xml:space="preserve">CV. DAHLIA - PPN (PDG) </t>
        </is>
      </c>
      <c r="AI720" t="n">
        <v>423</v>
      </c>
      <c r="AJ720" t="inlineStr">
        <is>
          <t>CARESO</t>
        </is>
      </c>
      <c r="AK720" t="n">
        <v>21</v>
      </c>
      <c r="AL720" t="inlineStr">
        <is>
          <t>Miss Glam Damar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CARESO</t>
        </is>
      </c>
      <c r="B721" s="2">
        <f>"8997234220507"</f>
        <v/>
      </c>
      <c r="C721" t="inlineStr">
        <is>
          <t>CARESO Body Lotion Brightening Exilir Clean 300ml</t>
        </is>
      </c>
      <c r="D721" t="inlineStr">
        <is>
          <t>Miss Glam Damar</t>
        </is>
      </c>
      <c r="E721" t="n">
        <v>2</v>
      </c>
      <c r="F721" t="n">
        <v>0.0182</v>
      </c>
      <c r="G721" t="n">
        <v>0.91</v>
      </c>
      <c r="H721" t="n">
        <v>2</v>
      </c>
      <c r="I721" t="n">
        <v>16</v>
      </c>
      <c r="J721" t="n">
        <v>3</v>
      </c>
      <c r="K721" t="n">
        <v>0</v>
      </c>
      <c r="L721" t="n">
        <v>54400</v>
      </c>
      <c r="M721" t="n">
        <v>68000</v>
      </c>
      <c r="N721" t="n">
        <v>91</v>
      </c>
      <c r="O721" t="n">
        <v>0.91</v>
      </c>
      <c r="P721" t="n">
        <v>1</v>
      </c>
      <c r="Q721" t="n">
        <v>0.08</v>
      </c>
      <c r="R721" t="n">
        <v>1</v>
      </c>
      <c r="S721" t="n">
        <v>1237.6</v>
      </c>
      <c r="T721" t="n">
        <v>15</v>
      </c>
      <c r="U721" t="n">
        <v>16</v>
      </c>
      <c r="V721" t="n">
        <v>30</v>
      </c>
      <c r="W721" t="n">
        <v>1</v>
      </c>
      <c r="X721" t="n">
        <v>109.8901098901099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417</v>
      </c>
      <c r="AG721" t="n">
        <v>107</v>
      </c>
      <c r="AH721" t="inlineStr">
        <is>
          <t xml:space="preserve">CV. DAHLIA - PPN (PDG) </t>
        </is>
      </c>
      <c r="AI721" t="n">
        <v>423</v>
      </c>
      <c r="AJ721" t="inlineStr">
        <is>
          <t>CARESO</t>
        </is>
      </c>
      <c r="AK721" t="n">
        <v>21</v>
      </c>
      <c r="AL721" t="inlineStr">
        <is>
          <t>Miss Glam Damar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CARESO</t>
        </is>
      </c>
      <c r="B722" s="2">
        <f>"8997234220446"</f>
        <v/>
      </c>
      <c r="C722" t="inlineStr">
        <is>
          <t>CARESO Body Lotion Brightening Exilir French Vanilla 300ml</t>
        </is>
      </c>
      <c r="D722" t="inlineStr">
        <is>
          <t>Miss Glam Damar</t>
        </is>
      </c>
      <c r="E722" t="n">
        <v>15</v>
      </c>
      <c r="F722" t="n">
        <v>0.06370000000000001</v>
      </c>
      <c r="G722" t="n">
        <v>0.91</v>
      </c>
      <c r="H722" t="n">
        <v>2</v>
      </c>
      <c r="I722" t="n">
        <v>16</v>
      </c>
      <c r="J722" t="n">
        <v>3</v>
      </c>
      <c r="K722" t="n">
        <v>0</v>
      </c>
      <c r="L722" t="n">
        <v>54400</v>
      </c>
      <c r="M722" t="n">
        <v>68000</v>
      </c>
      <c r="N722" t="n">
        <v>91</v>
      </c>
      <c r="O722" t="n">
        <v>0.91</v>
      </c>
      <c r="P722" t="n">
        <v>1</v>
      </c>
      <c r="Q722" t="n">
        <v>0.64</v>
      </c>
      <c r="R722" t="n">
        <v>3</v>
      </c>
      <c r="S722" t="n">
        <v>4331.6</v>
      </c>
      <c r="T722" t="n">
        <v>15</v>
      </c>
      <c r="U722" t="n">
        <v>16</v>
      </c>
      <c r="V722" t="n">
        <v>30</v>
      </c>
      <c r="W722" t="n">
        <v>2</v>
      </c>
      <c r="X722" t="n">
        <v>235.4788069073783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417</v>
      </c>
      <c r="AG722" t="n">
        <v>107</v>
      </c>
      <c r="AH722" t="inlineStr">
        <is>
          <t xml:space="preserve">CV. DAHLIA - PPN (PDG) </t>
        </is>
      </c>
      <c r="AI722" t="n">
        <v>423</v>
      </c>
      <c r="AJ722" t="inlineStr">
        <is>
          <t>CARESO</t>
        </is>
      </c>
      <c r="AK722" t="n">
        <v>21</v>
      </c>
      <c r="AL722" t="inlineStr">
        <is>
          <t>Miss Glam Damar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CARESO</t>
        </is>
      </c>
      <c r="B723" s="2">
        <f>"8997234220453"</f>
        <v/>
      </c>
      <c r="C723" t="inlineStr">
        <is>
          <t>CARESO Body Lotion Brightening Exilir Jasmine Blossoms 300ml</t>
        </is>
      </c>
      <c r="D723" t="inlineStr">
        <is>
          <t>Miss Glam Damar</t>
        </is>
      </c>
      <c r="E723" t="n">
        <v>8</v>
      </c>
      <c r="F723" t="n">
        <v>0.1092</v>
      </c>
      <c r="G723" t="n">
        <v>0.91</v>
      </c>
      <c r="H723" t="n">
        <v>2</v>
      </c>
      <c r="I723" t="n">
        <v>16</v>
      </c>
      <c r="J723" t="n">
        <v>6</v>
      </c>
      <c r="K723" t="n">
        <v>0</v>
      </c>
      <c r="L723" t="n">
        <v>54400</v>
      </c>
      <c r="M723" t="n">
        <v>68000</v>
      </c>
      <c r="N723" t="n">
        <v>91</v>
      </c>
      <c r="O723" t="n">
        <v>0.91</v>
      </c>
      <c r="P723" t="n">
        <v>1</v>
      </c>
      <c r="Q723" t="n">
        <v>0.19</v>
      </c>
      <c r="R723" t="n">
        <v>2</v>
      </c>
      <c r="S723" t="n">
        <v>7425.6</v>
      </c>
      <c r="T723" t="n">
        <v>15</v>
      </c>
      <c r="U723" t="n">
        <v>16</v>
      </c>
      <c r="V723" t="n">
        <v>30</v>
      </c>
      <c r="W723" t="n">
        <v>4</v>
      </c>
      <c r="X723" t="n">
        <v>73.26007326007326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417</v>
      </c>
      <c r="AG723" t="n">
        <v>107</v>
      </c>
      <c r="AH723" t="inlineStr">
        <is>
          <t xml:space="preserve">CV. DAHLIA - PPN (PDG) </t>
        </is>
      </c>
      <c r="AI723" t="n">
        <v>423</v>
      </c>
      <c r="AJ723" t="inlineStr">
        <is>
          <t>CARESO</t>
        </is>
      </c>
      <c r="AK723" t="n">
        <v>21</v>
      </c>
      <c r="AL723" t="inlineStr">
        <is>
          <t>Miss Glam Damar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CARESO</t>
        </is>
      </c>
      <c r="B724" s="2">
        <f>"8997234220460"</f>
        <v/>
      </c>
      <c r="C724" t="inlineStr">
        <is>
          <t>CARESO Body Lotion Brightening Exilir Velvet Rose 300ml</t>
        </is>
      </c>
      <c r="D724" t="inlineStr">
        <is>
          <t>Miss Glam Damar</t>
        </is>
      </c>
      <c r="E724" t="n">
        <v>10</v>
      </c>
      <c r="F724" t="n">
        <v>0.0273</v>
      </c>
      <c r="G724" t="n">
        <v>0.91</v>
      </c>
      <c r="H724" t="n">
        <v>2</v>
      </c>
      <c r="I724" t="n">
        <v>16</v>
      </c>
      <c r="J724" t="n">
        <v>3</v>
      </c>
      <c r="K724" t="n">
        <v>0</v>
      </c>
      <c r="L724" t="n">
        <v>54400</v>
      </c>
      <c r="M724" t="n">
        <v>68000</v>
      </c>
      <c r="N724" t="n">
        <v>91</v>
      </c>
      <c r="O724" t="n">
        <v>0.91</v>
      </c>
      <c r="P724" t="n">
        <v>1</v>
      </c>
      <c r="Q724" t="n">
        <v>0.2</v>
      </c>
      <c r="R724" t="n">
        <v>2</v>
      </c>
      <c r="S724" t="n">
        <v>1856.4</v>
      </c>
      <c r="T724" t="n">
        <v>15</v>
      </c>
      <c r="U724" t="n">
        <v>16</v>
      </c>
      <c r="V724" t="n">
        <v>30</v>
      </c>
      <c r="W724" t="n">
        <v>1</v>
      </c>
      <c r="X724" t="n">
        <v>366.3003663003663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417</v>
      </c>
      <c r="AG724" t="n">
        <v>107</v>
      </c>
      <c r="AH724" t="inlineStr">
        <is>
          <t xml:space="preserve">CV. DAHLIA - PPN (PDG) </t>
        </is>
      </c>
      <c r="AI724" t="n">
        <v>423</v>
      </c>
      <c r="AJ724" t="inlineStr">
        <is>
          <t>CARESO</t>
        </is>
      </c>
      <c r="AK724" t="n">
        <v>21</v>
      </c>
      <c r="AL724" t="inlineStr">
        <is>
          <t>Miss Glam Damar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CARESO</t>
        </is>
      </c>
      <c r="B725" s="2">
        <f>"8997234220781"</f>
        <v/>
      </c>
      <c r="C725" t="inlineStr">
        <is>
          <t>CARESO Body Lotion Could Fantasy 300ml</t>
        </is>
      </c>
      <c r="D725" t="inlineStr">
        <is>
          <t>Miss Glam Damar</t>
        </is>
      </c>
      <c r="E725" t="n">
        <v>5</v>
      </c>
      <c r="F725" t="n">
        <v>0.03</v>
      </c>
      <c r="G725" t="n">
        <v>2</v>
      </c>
      <c r="H725" t="n">
        <v>2</v>
      </c>
      <c r="I725" t="n">
        <v>16</v>
      </c>
      <c r="J725" t="n">
        <v>3</v>
      </c>
      <c r="K725" t="n">
        <v>0</v>
      </c>
      <c r="L725" t="n">
        <v>54400</v>
      </c>
      <c r="M725" t="n">
        <v>68000</v>
      </c>
      <c r="N725" t="n">
        <v>91</v>
      </c>
      <c r="O725" t="n">
        <v>0.91</v>
      </c>
      <c r="P725" t="n">
        <v>0</v>
      </c>
      <c r="Q725" t="n">
        <v>0.03</v>
      </c>
      <c r="R725" t="n">
        <v>2</v>
      </c>
      <c r="S725" t="n">
        <v>2040</v>
      </c>
      <c r="T725" t="n">
        <v>32</v>
      </c>
      <c r="U725" t="n">
        <v>33</v>
      </c>
      <c r="V725" t="n">
        <v>30</v>
      </c>
      <c r="W725" t="n">
        <v>1</v>
      </c>
      <c r="X725" t="n">
        <v>166.6666666666667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417</v>
      </c>
      <c r="AG725" t="n">
        <v>107</v>
      </c>
      <c r="AH725" t="inlineStr">
        <is>
          <t xml:space="preserve">CV. DAHLIA - PPN (PDG) </t>
        </is>
      </c>
      <c r="AI725" t="n">
        <v>423</v>
      </c>
      <c r="AJ725" t="inlineStr">
        <is>
          <t>CARESO</t>
        </is>
      </c>
      <c r="AK725" t="n">
        <v>21</v>
      </c>
      <c r="AL725" t="inlineStr">
        <is>
          <t>Miss Glam Damar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CARESO</t>
        </is>
      </c>
      <c r="B726" s="2">
        <f>"30200193753"</f>
        <v/>
      </c>
      <c r="C726" t="inlineStr">
        <is>
          <t>CARESO Body Lotion Nude Tuberose 300ml</t>
        </is>
      </c>
      <c r="D726" t="inlineStr">
        <is>
          <t>Miss Glam Damar</t>
        </is>
      </c>
      <c r="E726" t="n">
        <v>7</v>
      </c>
      <c r="F726" t="n">
        <v>0.0182</v>
      </c>
      <c r="G726" t="n">
        <v>0.91</v>
      </c>
      <c r="H726" t="n">
        <v>2</v>
      </c>
      <c r="I726" t="n">
        <v>16</v>
      </c>
      <c r="J726" t="n">
        <v>1</v>
      </c>
      <c r="K726" t="n">
        <v>0</v>
      </c>
      <c r="L726" t="n">
        <v>54400</v>
      </c>
      <c r="M726" t="n">
        <v>68000</v>
      </c>
      <c r="N726" t="n">
        <v>91</v>
      </c>
      <c r="O726" t="n">
        <v>0.91</v>
      </c>
      <c r="P726" t="n">
        <v>1</v>
      </c>
      <c r="Q726" t="n">
        <v>0.05</v>
      </c>
      <c r="R726" t="n">
        <v>1</v>
      </c>
      <c r="S726" t="n">
        <v>1237.6</v>
      </c>
      <c r="T726" t="n">
        <v>15</v>
      </c>
      <c r="U726" t="n">
        <v>16</v>
      </c>
      <c r="V726" t="n">
        <v>30</v>
      </c>
      <c r="W726" t="n">
        <v>1</v>
      </c>
      <c r="X726" t="n">
        <v>384.6153846153846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417</v>
      </c>
      <c r="AG726" t="n">
        <v>107</v>
      </c>
      <c r="AH726" t="inlineStr">
        <is>
          <t xml:space="preserve">CV. DAHLIA - PPN (PDG) </t>
        </is>
      </c>
      <c r="AI726" t="n">
        <v>423</v>
      </c>
      <c r="AJ726" t="inlineStr">
        <is>
          <t>CARESO</t>
        </is>
      </c>
      <c r="AK726" t="n">
        <v>21</v>
      </c>
      <c r="AL726" t="inlineStr">
        <is>
          <t>Miss Glam Damar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CARESO</t>
        </is>
      </c>
      <c r="B727" s="2">
        <f>"30200193827"</f>
        <v/>
      </c>
      <c r="C727" t="inlineStr">
        <is>
          <t>CARESO Body Lotion Nude Tuberose 50ml</t>
        </is>
      </c>
      <c r="D727" t="inlineStr">
        <is>
          <t>Miss Glam Damar</t>
        </is>
      </c>
      <c r="E727" t="n">
        <v>7</v>
      </c>
      <c r="F727" t="n">
        <v>0.0273</v>
      </c>
      <c r="G727" t="n">
        <v>0.91</v>
      </c>
      <c r="H727" t="n">
        <v>2</v>
      </c>
      <c r="I727" t="n">
        <v>16</v>
      </c>
      <c r="J727" t="n">
        <v>1</v>
      </c>
      <c r="K727" t="n">
        <v>0</v>
      </c>
      <c r="L727" t="n">
        <v>22400</v>
      </c>
      <c r="M727" t="n">
        <v>28000</v>
      </c>
      <c r="N727" t="n">
        <v>91</v>
      </c>
      <c r="O727" t="n">
        <v>0.91</v>
      </c>
      <c r="P727" t="n">
        <v>1</v>
      </c>
      <c r="Q727" t="n">
        <v>0.05</v>
      </c>
      <c r="R727" t="n">
        <v>1</v>
      </c>
      <c r="S727" t="n">
        <v>764.4000000000001</v>
      </c>
      <c r="T727" t="n">
        <v>15</v>
      </c>
      <c r="U727" t="n">
        <v>16</v>
      </c>
      <c r="V727" t="n">
        <v>30</v>
      </c>
      <c r="W727" t="n">
        <v>1</v>
      </c>
      <c r="X727" t="n">
        <v>256.4102564102564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417</v>
      </c>
      <c r="AG727" t="n">
        <v>107</v>
      </c>
      <c r="AH727" t="inlineStr">
        <is>
          <t xml:space="preserve">CV. DAHLIA - PPN (PDG) </t>
        </is>
      </c>
      <c r="AI727" t="n">
        <v>423</v>
      </c>
      <c r="AJ727" t="inlineStr">
        <is>
          <t>CARESO</t>
        </is>
      </c>
      <c r="AK727" t="n">
        <v>21</v>
      </c>
      <c r="AL727" t="inlineStr">
        <is>
          <t>Miss Glam Damar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CARESO</t>
        </is>
      </c>
      <c r="B728" s="2">
        <f>"30100169220"</f>
        <v/>
      </c>
      <c r="C728" t="inlineStr">
        <is>
          <t>CARESO Body Wash Nude Tuberose 300ml</t>
        </is>
      </c>
      <c r="D728" t="inlineStr">
        <is>
          <t>Miss Glam Damar</t>
        </is>
      </c>
      <c r="E728" t="n">
        <v>2</v>
      </c>
      <c r="F728" t="n">
        <v>0.03</v>
      </c>
      <c r="G728" t="n">
        <v>2</v>
      </c>
      <c r="H728" t="n">
        <v>2</v>
      </c>
      <c r="I728" t="n">
        <v>16</v>
      </c>
      <c r="J728" t="n">
        <v>1</v>
      </c>
      <c r="K728" t="n">
        <v>0</v>
      </c>
      <c r="L728" t="n">
        <v>49600</v>
      </c>
      <c r="M728" t="n">
        <v>62000</v>
      </c>
      <c r="N728" t="n">
        <v>91</v>
      </c>
      <c r="O728" t="n">
        <v>0.91</v>
      </c>
      <c r="P728" t="n">
        <v>0</v>
      </c>
      <c r="Q728" t="n">
        <v>0.03</v>
      </c>
      <c r="R728" t="n">
        <v>2</v>
      </c>
      <c r="S728" t="n">
        <v>1860</v>
      </c>
      <c r="T728" t="n">
        <v>32</v>
      </c>
      <c r="U728" t="n">
        <v>33</v>
      </c>
      <c r="V728" t="n">
        <v>30</v>
      </c>
      <c r="W728" t="n">
        <v>1</v>
      </c>
      <c r="X728" t="n">
        <v>66.66666666666667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417</v>
      </c>
      <c r="AG728" t="n">
        <v>107</v>
      </c>
      <c r="AH728" t="inlineStr">
        <is>
          <t xml:space="preserve">CV. DAHLIA - PPN (PDG) </t>
        </is>
      </c>
      <c r="AI728" t="n">
        <v>423</v>
      </c>
      <c r="AJ728" t="inlineStr">
        <is>
          <t>CARESO</t>
        </is>
      </c>
      <c r="AK728" t="n">
        <v>21</v>
      </c>
      <c r="AL728" t="inlineStr">
        <is>
          <t>Miss Glam Damar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CARESO</t>
        </is>
      </c>
      <c r="B729" s="2">
        <f>"30400266227"</f>
        <v/>
      </c>
      <c r="C729" t="inlineStr">
        <is>
          <t>CARESO Clean / Slate Eau de Toilette 50ml</t>
        </is>
      </c>
      <c r="D729" t="inlineStr">
        <is>
          <t>Miss Glam Damar</t>
        </is>
      </c>
      <c r="E729" t="n">
        <v>6</v>
      </c>
      <c r="F729" t="n">
        <v>0.0728</v>
      </c>
      <c r="G729" t="n">
        <v>1.82</v>
      </c>
      <c r="H729" t="n">
        <v>2</v>
      </c>
      <c r="I729" t="n">
        <v>16</v>
      </c>
      <c r="J729" t="n">
        <v>1</v>
      </c>
      <c r="K729" t="n">
        <v>0</v>
      </c>
      <c r="L729" t="n">
        <v>57600</v>
      </c>
      <c r="M729" t="n">
        <v>72000</v>
      </c>
      <c r="N729" t="n">
        <v>91</v>
      </c>
      <c r="O729" t="n">
        <v>0.91</v>
      </c>
      <c r="P729" t="n">
        <v>1</v>
      </c>
      <c r="Q729" t="n">
        <v>0.1</v>
      </c>
      <c r="R729" t="n">
        <v>2</v>
      </c>
      <c r="S729" t="n">
        <v>5241.6</v>
      </c>
      <c r="T729" t="n">
        <v>29</v>
      </c>
      <c r="U729" t="n">
        <v>30</v>
      </c>
      <c r="V729" t="n">
        <v>30</v>
      </c>
      <c r="W729" t="n">
        <v>3</v>
      </c>
      <c r="X729" t="n">
        <v>82.41758241758241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417</v>
      </c>
      <c r="AG729" t="n">
        <v>107</v>
      </c>
      <c r="AH729" t="inlineStr">
        <is>
          <t xml:space="preserve">CV. DAHLIA - PPN (PDG) </t>
        </is>
      </c>
      <c r="AI729" t="n">
        <v>423</v>
      </c>
      <c r="AJ729" t="inlineStr">
        <is>
          <t>CARESO</t>
        </is>
      </c>
      <c r="AK729" t="n">
        <v>21</v>
      </c>
      <c r="AL729" t="inlineStr">
        <is>
          <t>Miss Glam Damar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CARESO</t>
        </is>
      </c>
      <c r="B730" s="2">
        <f>"8997234220323"</f>
        <v/>
      </c>
      <c r="C730" t="inlineStr">
        <is>
          <t>CARESO Clean Body Lotion Brightening Elixir 50ml</t>
        </is>
      </c>
      <c r="D730" t="inlineStr">
        <is>
          <t>Miss Glam Damar</t>
        </is>
      </c>
      <c r="E730" t="n">
        <v>8</v>
      </c>
      <c r="F730" t="n">
        <v>0.09100000000000001</v>
      </c>
      <c r="G730" t="n">
        <v>1.82</v>
      </c>
      <c r="H730" t="n">
        <v>2</v>
      </c>
      <c r="I730" t="n">
        <v>16</v>
      </c>
      <c r="J730" t="n">
        <v>3</v>
      </c>
      <c r="K730" t="n">
        <v>0</v>
      </c>
      <c r="L730" t="n">
        <v>22400</v>
      </c>
      <c r="M730" t="n">
        <v>28000</v>
      </c>
      <c r="N730" t="n">
        <v>91</v>
      </c>
      <c r="O730" t="n">
        <v>0.91</v>
      </c>
      <c r="P730" t="n">
        <v>1</v>
      </c>
      <c r="Q730" t="n">
        <v>0.08</v>
      </c>
      <c r="R730" t="n">
        <v>1</v>
      </c>
      <c r="S730" t="n">
        <v>2548</v>
      </c>
      <c r="T730" t="n">
        <v>29</v>
      </c>
      <c r="U730" t="n">
        <v>30</v>
      </c>
      <c r="V730" t="n">
        <v>30</v>
      </c>
      <c r="W730" t="n">
        <v>3</v>
      </c>
      <c r="X730" t="n">
        <v>87.9120879120879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417</v>
      </c>
      <c r="AG730" t="n">
        <v>107</v>
      </c>
      <c r="AH730" t="inlineStr">
        <is>
          <t xml:space="preserve">CV. DAHLIA - PPN (PDG) </t>
        </is>
      </c>
      <c r="AI730" t="n">
        <v>423</v>
      </c>
      <c r="AJ730" t="inlineStr">
        <is>
          <t>CARESO</t>
        </is>
      </c>
      <c r="AK730" t="n">
        <v>21</v>
      </c>
      <c r="AL730" t="inlineStr">
        <is>
          <t>Miss Glam Damar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CARESO</t>
        </is>
      </c>
      <c r="B731" s="2">
        <f>"30400359104"</f>
        <v/>
      </c>
      <c r="C731" t="inlineStr">
        <is>
          <t>CARESO Cloud Fantasy Body Fragrance 100 ml</t>
        </is>
      </c>
      <c r="D731" t="inlineStr">
        <is>
          <t>Miss Glam Damar</t>
        </is>
      </c>
      <c r="E731" t="n">
        <v>4</v>
      </c>
      <c r="F731" t="n">
        <v>0.04550000000000001</v>
      </c>
      <c r="G731" t="n">
        <v>0.91</v>
      </c>
      <c r="H731" t="n">
        <v>2</v>
      </c>
      <c r="I731" t="n">
        <v>16</v>
      </c>
      <c r="J731" t="n">
        <v>1</v>
      </c>
      <c r="K731" t="n">
        <v>0</v>
      </c>
      <c r="L731" t="n">
        <v>30400</v>
      </c>
      <c r="M731" t="n">
        <v>38000</v>
      </c>
      <c r="N731" t="n">
        <v>91</v>
      </c>
      <c r="O731" t="n">
        <v>0.91</v>
      </c>
      <c r="P731" t="n">
        <v>1</v>
      </c>
      <c r="Q731" t="n">
        <v>0.2</v>
      </c>
      <c r="R731" t="n">
        <v>1</v>
      </c>
      <c r="S731" t="n">
        <v>1729</v>
      </c>
      <c r="T731" t="n">
        <v>15</v>
      </c>
      <c r="U731" t="n">
        <v>16</v>
      </c>
      <c r="V731" t="n">
        <v>30</v>
      </c>
      <c r="W731" t="n">
        <v>2</v>
      </c>
      <c r="X731" t="n">
        <v>87.9120879120879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417</v>
      </c>
      <c r="AG731" t="n">
        <v>107</v>
      </c>
      <c r="AH731" t="inlineStr">
        <is>
          <t xml:space="preserve">CV. DAHLIA - PPN (PDG) </t>
        </is>
      </c>
      <c r="AI731" t="n">
        <v>423</v>
      </c>
      <c r="AJ731" t="inlineStr">
        <is>
          <t>CARESO</t>
        </is>
      </c>
      <c r="AK731" t="n">
        <v>21</v>
      </c>
      <c r="AL731" t="inlineStr">
        <is>
          <t>Miss Glam Damar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CARESO</t>
        </is>
      </c>
      <c r="B732" s="2">
        <f>"8997234220774"</f>
        <v/>
      </c>
      <c r="C732" t="inlineStr">
        <is>
          <t>CARESO Cloud Fantasy Body Lotion Brightening Elixir 50ml</t>
        </is>
      </c>
      <c r="D732" t="inlineStr">
        <is>
          <t>Miss Glam Damar</t>
        </is>
      </c>
      <c r="E732" t="n">
        <v>4</v>
      </c>
      <c r="F732" t="n">
        <v>0.05</v>
      </c>
      <c r="G732" t="n">
        <v>1</v>
      </c>
      <c r="H732" t="n">
        <v>2</v>
      </c>
      <c r="I732" t="n">
        <v>16</v>
      </c>
      <c r="J732" t="n">
        <v>3</v>
      </c>
      <c r="K732" t="n">
        <v>0</v>
      </c>
      <c r="L732" t="n">
        <v>22400</v>
      </c>
      <c r="M732" t="n">
        <v>28000</v>
      </c>
      <c r="N732" t="n">
        <v>91</v>
      </c>
      <c r="O732" t="n">
        <v>0.91</v>
      </c>
      <c r="P732" t="n">
        <v>0</v>
      </c>
      <c r="Q732" t="n">
        <v>0.05</v>
      </c>
      <c r="R732" t="n">
        <v>1</v>
      </c>
      <c r="S732" t="n">
        <v>1400</v>
      </c>
      <c r="T732" t="n">
        <v>16</v>
      </c>
      <c r="U732" t="n">
        <v>17</v>
      </c>
      <c r="V732" t="n">
        <v>30</v>
      </c>
      <c r="W732" t="n">
        <v>2</v>
      </c>
      <c r="X732" t="n">
        <v>80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417</v>
      </c>
      <c r="AG732" t="n">
        <v>107</v>
      </c>
      <c r="AH732" t="inlineStr">
        <is>
          <t xml:space="preserve">CV. DAHLIA - PPN (PDG) </t>
        </is>
      </c>
      <c r="AI732" t="n">
        <v>423</v>
      </c>
      <c r="AJ732" t="inlineStr">
        <is>
          <t>CARESO</t>
        </is>
      </c>
      <c r="AK732" t="n">
        <v>21</v>
      </c>
      <c r="AL732" t="inlineStr">
        <is>
          <t>Miss Glam Damar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CARESO</t>
        </is>
      </c>
      <c r="B733" s="2">
        <f>"30100166147"</f>
        <v/>
      </c>
      <c r="C733" t="inlineStr">
        <is>
          <t>CARESO Cloud Fantasy Brightening Body Wash 300ml</t>
        </is>
      </c>
      <c r="D733" t="inlineStr">
        <is>
          <t>Miss Glam Damar</t>
        </is>
      </c>
      <c r="E733" t="n">
        <v>1</v>
      </c>
      <c r="F733" t="n">
        <v>0.03</v>
      </c>
      <c r="G733" t="n">
        <v>1</v>
      </c>
      <c r="H733" t="n">
        <v>2</v>
      </c>
      <c r="I733" t="n">
        <v>16</v>
      </c>
      <c r="J733" t="n">
        <v>3</v>
      </c>
      <c r="K733" t="n">
        <v>0</v>
      </c>
      <c r="L733" t="n">
        <v>49600</v>
      </c>
      <c r="M733" t="n">
        <v>62000</v>
      </c>
      <c r="N733" t="n">
        <v>91</v>
      </c>
      <c r="O733" t="n">
        <v>0.91</v>
      </c>
      <c r="P733" t="n">
        <v>0</v>
      </c>
      <c r="Q733" t="n">
        <v>0.03</v>
      </c>
      <c r="R733" t="n">
        <v>1</v>
      </c>
      <c r="S733" t="n">
        <v>1860</v>
      </c>
      <c r="T733" t="n">
        <v>16</v>
      </c>
      <c r="U733" t="n">
        <v>17</v>
      </c>
      <c r="V733" t="n">
        <v>30</v>
      </c>
      <c r="W733" t="n">
        <v>1</v>
      </c>
      <c r="X733" t="n">
        <v>33.33333333333334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417</v>
      </c>
      <c r="AG733" t="n">
        <v>107</v>
      </c>
      <c r="AH733" t="inlineStr">
        <is>
          <t xml:space="preserve">CV. DAHLIA - PPN (PDG) </t>
        </is>
      </c>
      <c r="AI733" t="n">
        <v>423</v>
      </c>
      <c r="AJ733" t="inlineStr">
        <is>
          <t>CARESO</t>
        </is>
      </c>
      <c r="AK733" t="n">
        <v>21</v>
      </c>
      <c r="AL733" t="inlineStr">
        <is>
          <t>Miss Glam Damar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CARESO</t>
        </is>
      </c>
      <c r="B734" s="2">
        <f>"30400259053"</f>
        <v/>
      </c>
      <c r="C734" t="inlineStr">
        <is>
          <t>CARESO Cloud Fantasy Eau de Toilette (EDT) 50ML</t>
        </is>
      </c>
      <c r="D734" t="inlineStr">
        <is>
          <t>Miss Glam Damar</t>
        </is>
      </c>
      <c r="E734" t="n">
        <v>5</v>
      </c>
      <c r="F734" t="n">
        <v>0.1274</v>
      </c>
      <c r="G734" t="n">
        <v>0.91</v>
      </c>
      <c r="H734" t="n">
        <v>2</v>
      </c>
      <c r="I734" t="n">
        <v>16</v>
      </c>
      <c r="J734" t="n">
        <v>1</v>
      </c>
      <c r="K734" t="n">
        <v>0</v>
      </c>
      <c r="L734" t="n">
        <v>49600</v>
      </c>
      <c r="M734" t="n">
        <v>62000</v>
      </c>
      <c r="N734" t="n">
        <v>91</v>
      </c>
      <c r="O734" t="n">
        <v>0.91</v>
      </c>
      <c r="P734" t="n">
        <v>1</v>
      </c>
      <c r="Q734" t="n">
        <v>0.12</v>
      </c>
      <c r="R734" t="n">
        <v>1</v>
      </c>
      <c r="S734" t="n">
        <v>7898.800000000001</v>
      </c>
      <c r="T734" t="n">
        <v>15</v>
      </c>
      <c r="U734" t="n">
        <v>16</v>
      </c>
      <c r="V734" t="n">
        <v>30</v>
      </c>
      <c r="W734" t="n">
        <v>4</v>
      </c>
      <c r="X734" t="n">
        <v>39.24646781789639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417</v>
      </c>
      <c r="AG734" t="n">
        <v>107</v>
      </c>
      <c r="AH734" t="inlineStr">
        <is>
          <t xml:space="preserve">CV. DAHLIA - PPN (PDG) </t>
        </is>
      </c>
      <c r="AI734" t="n">
        <v>423</v>
      </c>
      <c r="AJ734" t="inlineStr">
        <is>
          <t>CARESO</t>
        </is>
      </c>
      <c r="AK734" t="n">
        <v>21</v>
      </c>
      <c r="AL734" t="inlineStr">
        <is>
          <t>Miss Glam Damar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CARESO</t>
        </is>
      </c>
      <c r="B735" s="2">
        <f>"304002155629"</f>
        <v/>
      </c>
      <c r="C735" t="inlineStr">
        <is>
          <t>CARESO Copa Cabana Body Fragrance 100ml</t>
        </is>
      </c>
      <c r="D735" t="inlineStr">
        <is>
          <t>Miss Glam Damar</t>
        </is>
      </c>
      <c r="E735" t="n">
        <v>11</v>
      </c>
      <c r="F735" t="n">
        <v>0.12</v>
      </c>
      <c r="G735" t="n">
        <v>2</v>
      </c>
      <c r="H735" t="n">
        <v>2</v>
      </c>
      <c r="I735" t="n">
        <v>16</v>
      </c>
      <c r="J735" t="n">
        <v>3</v>
      </c>
      <c r="K735" t="n">
        <v>0</v>
      </c>
      <c r="L735" t="n">
        <v>30400</v>
      </c>
      <c r="M735" t="n">
        <v>38000</v>
      </c>
      <c r="N735" t="n">
        <v>91</v>
      </c>
      <c r="O735" t="n">
        <v>0.91</v>
      </c>
      <c r="P735" t="n">
        <v>0</v>
      </c>
      <c r="Q735" t="n">
        <v>0.12</v>
      </c>
      <c r="R735" t="n">
        <v>2</v>
      </c>
      <c r="S735" t="n">
        <v>4560</v>
      </c>
      <c r="T735" t="n">
        <v>32</v>
      </c>
      <c r="U735" t="n">
        <v>33</v>
      </c>
      <c r="V735" t="n">
        <v>30</v>
      </c>
      <c r="W735" t="n">
        <v>4</v>
      </c>
      <c r="X735" t="n">
        <v>91.66666666666667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417</v>
      </c>
      <c r="AG735" t="n">
        <v>107</v>
      </c>
      <c r="AH735" t="inlineStr">
        <is>
          <t xml:space="preserve">CV. DAHLIA - PPN (PDG) </t>
        </is>
      </c>
      <c r="AI735" t="n">
        <v>423</v>
      </c>
      <c r="AJ735" t="inlineStr">
        <is>
          <t>CARESO</t>
        </is>
      </c>
      <c r="AK735" t="n">
        <v>21</v>
      </c>
      <c r="AL735" t="inlineStr">
        <is>
          <t>Miss Glam Damar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CARESO</t>
        </is>
      </c>
      <c r="B736" s="2">
        <f>"30400266322"</f>
        <v/>
      </c>
      <c r="C736" t="inlineStr">
        <is>
          <t>CARESO Coso Lush Eau de Toilette 50ml</t>
        </is>
      </c>
      <c r="D736" t="inlineStr">
        <is>
          <t>Miss Glam Damar</t>
        </is>
      </c>
      <c r="E736" t="n">
        <v>3</v>
      </c>
      <c r="F736" t="n">
        <v>0.0182</v>
      </c>
      <c r="G736" t="n">
        <v>0.91</v>
      </c>
      <c r="H736" t="n">
        <v>2</v>
      </c>
      <c r="I736" t="n">
        <v>16</v>
      </c>
      <c r="J736" t="n">
        <v>1</v>
      </c>
      <c r="K736" t="n">
        <v>0</v>
      </c>
      <c r="L736" t="n">
        <v>57600</v>
      </c>
      <c r="M736" t="n">
        <v>72000</v>
      </c>
      <c r="N736" t="n">
        <v>91</v>
      </c>
      <c r="O736" t="n">
        <v>0.91</v>
      </c>
      <c r="P736" t="n">
        <v>1</v>
      </c>
      <c r="Q736" t="n">
        <v>0.05</v>
      </c>
      <c r="R736" t="n">
        <v>1</v>
      </c>
      <c r="S736" t="n">
        <v>1310.4</v>
      </c>
      <c r="T736" t="n">
        <v>15</v>
      </c>
      <c r="U736" t="n">
        <v>16</v>
      </c>
      <c r="V736" t="n">
        <v>30</v>
      </c>
      <c r="W736" t="n">
        <v>1</v>
      </c>
      <c r="X736" t="n">
        <v>164.8351648351648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417</v>
      </c>
      <c r="AG736" t="n">
        <v>107</v>
      </c>
      <c r="AH736" t="inlineStr">
        <is>
          <t xml:space="preserve">CV. DAHLIA - PPN (PDG) </t>
        </is>
      </c>
      <c r="AI736" t="n">
        <v>423</v>
      </c>
      <c r="AJ736" t="inlineStr">
        <is>
          <t>CARESO</t>
        </is>
      </c>
      <c r="AK736" t="n">
        <v>21</v>
      </c>
      <c r="AL736" t="inlineStr">
        <is>
          <t>Miss Glam Damar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CARESO</t>
        </is>
      </c>
      <c r="B737" s="2">
        <f>"8997234221177"</f>
        <v/>
      </c>
      <c r="C737" t="inlineStr">
        <is>
          <t>CARESO Eau De Parfum Clean 50ml</t>
        </is>
      </c>
      <c r="D737" t="inlineStr">
        <is>
          <t>Miss Glam Damar</t>
        </is>
      </c>
      <c r="E737" t="n">
        <v>17</v>
      </c>
      <c r="F737" t="n">
        <v>0.2002</v>
      </c>
      <c r="G737" t="n">
        <v>1.82</v>
      </c>
      <c r="H737" t="n">
        <v>2</v>
      </c>
      <c r="I737" t="n">
        <v>16</v>
      </c>
      <c r="J737" t="n">
        <v>3</v>
      </c>
      <c r="K737" t="n">
        <v>0</v>
      </c>
      <c r="L737" t="n">
        <v>96000</v>
      </c>
      <c r="M737" t="n">
        <v>120000</v>
      </c>
      <c r="N737" t="n">
        <v>91</v>
      </c>
      <c r="O737" t="n">
        <v>0.91</v>
      </c>
      <c r="P737" t="n">
        <v>1</v>
      </c>
      <c r="Q737" t="n">
        <v>0.66</v>
      </c>
      <c r="R737" t="n">
        <v>2</v>
      </c>
      <c r="S737" t="n">
        <v>24024</v>
      </c>
      <c r="T737" t="n">
        <v>29</v>
      </c>
      <c r="U737" t="n">
        <v>30</v>
      </c>
      <c r="V737" t="n">
        <v>30</v>
      </c>
      <c r="W737" t="n">
        <v>7</v>
      </c>
      <c r="X737" t="n">
        <v>84.9150849150849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417</v>
      </c>
      <c r="AG737" t="n">
        <v>107</v>
      </c>
      <c r="AH737" t="inlineStr">
        <is>
          <t xml:space="preserve">CV. DAHLIA - PPN (PDG) </t>
        </is>
      </c>
      <c r="AI737" t="n">
        <v>423</v>
      </c>
      <c r="AJ737" t="inlineStr">
        <is>
          <t>CARESO</t>
        </is>
      </c>
      <c r="AK737" t="n">
        <v>21</v>
      </c>
      <c r="AL737" t="inlineStr">
        <is>
          <t>Miss Glam Damar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CARESO</t>
        </is>
      </c>
      <c r="B738" s="2">
        <f>"8997234221085"</f>
        <v/>
      </c>
      <c r="C738" t="inlineStr">
        <is>
          <t>CARESO Eau De Parfum French Vanilla 50ml</t>
        </is>
      </c>
      <c r="D738" t="inlineStr">
        <is>
          <t>Miss Glam Damar</t>
        </is>
      </c>
      <c r="E738" t="n">
        <v>23</v>
      </c>
      <c r="F738" t="n">
        <v>0.2275</v>
      </c>
      <c r="G738" t="n">
        <v>1.82</v>
      </c>
      <c r="H738" t="n">
        <v>2</v>
      </c>
      <c r="I738" t="n">
        <v>16</v>
      </c>
      <c r="J738" t="n">
        <v>6</v>
      </c>
      <c r="K738" t="n">
        <v>0</v>
      </c>
      <c r="L738" t="n">
        <v>96000</v>
      </c>
      <c r="M738" t="n">
        <v>111000</v>
      </c>
      <c r="N738" t="n">
        <v>91</v>
      </c>
      <c r="O738" t="n">
        <v>0.91</v>
      </c>
      <c r="P738" t="n">
        <v>1</v>
      </c>
      <c r="Q738" t="n">
        <v>0.66</v>
      </c>
      <c r="R738" t="n">
        <v>5</v>
      </c>
      <c r="S738" t="n">
        <v>25252.5</v>
      </c>
      <c r="T738" t="n">
        <v>29</v>
      </c>
      <c r="U738" t="n">
        <v>30</v>
      </c>
      <c r="V738" t="n">
        <v>30</v>
      </c>
      <c r="W738" t="n">
        <v>7</v>
      </c>
      <c r="X738" t="n">
        <v>101.0989010989011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417</v>
      </c>
      <c r="AG738" t="n">
        <v>107</v>
      </c>
      <c r="AH738" t="inlineStr">
        <is>
          <t xml:space="preserve">CV. DAHLIA - PPN (PDG) </t>
        </is>
      </c>
      <c r="AI738" t="n">
        <v>423</v>
      </c>
      <c r="AJ738" t="inlineStr">
        <is>
          <t>CARESO</t>
        </is>
      </c>
      <c r="AK738" t="n">
        <v>21</v>
      </c>
      <c r="AL738" t="inlineStr">
        <is>
          <t>Miss Glam Damar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CARESO</t>
        </is>
      </c>
      <c r="B739" s="2">
        <f>"8997234221092"</f>
        <v/>
      </c>
      <c r="C739" t="inlineStr">
        <is>
          <t>CARESO Eau De Parfum Jasmine Blossoms 50ml</t>
        </is>
      </c>
      <c r="D739" t="inlineStr">
        <is>
          <t>Miss Glam Damar</t>
        </is>
      </c>
      <c r="E739" t="n">
        <v>9</v>
      </c>
      <c r="F739" t="n">
        <v>0.1729</v>
      </c>
      <c r="G739" t="n">
        <v>1.82</v>
      </c>
      <c r="H739" t="n">
        <v>2</v>
      </c>
      <c r="I739" t="n">
        <v>16</v>
      </c>
      <c r="J739" t="n">
        <v>3</v>
      </c>
      <c r="K739" t="n">
        <v>0</v>
      </c>
      <c r="L739" t="n">
        <v>96000</v>
      </c>
      <c r="M739" t="n">
        <v>120000</v>
      </c>
      <c r="N739" t="n">
        <v>91</v>
      </c>
      <c r="O739" t="n">
        <v>0.91</v>
      </c>
      <c r="P739" t="n">
        <v>1</v>
      </c>
      <c r="Q739" t="n">
        <v>0.37</v>
      </c>
      <c r="R739" t="n">
        <v>2</v>
      </c>
      <c r="S739" t="n">
        <v>20748</v>
      </c>
      <c r="T739" t="n">
        <v>29</v>
      </c>
      <c r="U739" t="n">
        <v>30</v>
      </c>
      <c r="V739" t="n">
        <v>30</v>
      </c>
      <c r="W739" t="n">
        <v>6</v>
      </c>
      <c r="X739" t="n">
        <v>52.05320994794679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417</v>
      </c>
      <c r="AG739" t="n">
        <v>107</v>
      </c>
      <c r="AH739" t="inlineStr">
        <is>
          <t xml:space="preserve">CV. DAHLIA - PPN (PDG) </t>
        </is>
      </c>
      <c r="AI739" t="n">
        <v>423</v>
      </c>
      <c r="AJ739" t="inlineStr">
        <is>
          <t>CARESO</t>
        </is>
      </c>
      <c r="AK739" t="n">
        <v>21</v>
      </c>
      <c r="AL739" t="inlineStr">
        <is>
          <t>Miss Glam Damar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CARESO</t>
        </is>
      </c>
      <c r="B740" s="2">
        <f>"8997234221108"</f>
        <v/>
      </c>
      <c r="C740" t="inlineStr">
        <is>
          <t>CARESO Eau De Parfum Velvet Rose 50ml</t>
        </is>
      </c>
      <c r="D740" t="inlineStr">
        <is>
          <t>Miss Glam Damar</t>
        </is>
      </c>
      <c r="E740" t="n">
        <v>17</v>
      </c>
      <c r="F740" t="n">
        <v>0.3276</v>
      </c>
      <c r="G740" t="n">
        <v>1.82</v>
      </c>
      <c r="H740" t="n">
        <v>2</v>
      </c>
      <c r="I740" t="n">
        <v>16</v>
      </c>
      <c r="J740" t="n">
        <v>6</v>
      </c>
      <c r="K740" t="n">
        <v>0</v>
      </c>
      <c r="L740" t="n">
        <v>96000</v>
      </c>
      <c r="M740" t="n">
        <v>120000</v>
      </c>
      <c r="N740" t="n">
        <v>91</v>
      </c>
      <c r="O740" t="n">
        <v>0.91</v>
      </c>
      <c r="P740" t="n">
        <v>1</v>
      </c>
      <c r="Q740" t="n">
        <v>0.61</v>
      </c>
      <c r="R740" t="n">
        <v>3</v>
      </c>
      <c r="S740" t="n">
        <v>39312</v>
      </c>
      <c r="T740" t="n">
        <v>29</v>
      </c>
      <c r="U740" t="n">
        <v>30</v>
      </c>
      <c r="V740" t="n">
        <v>30</v>
      </c>
      <c r="W740" t="n">
        <v>10</v>
      </c>
      <c r="X740" t="n">
        <v>51.89255189255189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417</v>
      </c>
      <c r="AG740" t="n">
        <v>107</v>
      </c>
      <c r="AH740" t="inlineStr">
        <is>
          <t xml:space="preserve">CV. DAHLIA - PPN (PDG) </t>
        </is>
      </c>
      <c r="AI740" t="n">
        <v>423</v>
      </c>
      <c r="AJ740" t="inlineStr">
        <is>
          <t>CARESO</t>
        </is>
      </c>
      <c r="AK740" t="n">
        <v>21</v>
      </c>
      <c r="AL740" t="inlineStr">
        <is>
          <t>Miss Glam Damar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CARESO</t>
        </is>
      </c>
      <c r="B741" s="2">
        <f>"30400195831"</f>
        <v/>
      </c>
      <c r="C741" t="inlineStr">
        <is>
          <t>CARESO Eu De Parfume Nude Tuberose 50ml</t>
        </is>
      </c>
      <c r="D741" t="inlineStr">
        <is>
          <t>Miss Glam Damar</t>
        </is>
      </c>
      <c r="E741" t="n">
        <v>17</v>
      </c>
      <c r="F741" t="n">
        <v>0.0728</v>
      </c>
      <c r="G741" t="n">
        <v>0.91</v>
      </c>
      <c r="H741" t="n">
        <v>2</v>
      </c>
      <c r="I741" t="n">
        <v>16</v>
      </c>
      <c r="J741" t="n">
        <v>1</v>
      </c>
      <c r="K741" t="n">
        <v>0</v>
      </c>
      <c r="L741" t="n">
        <v>96000</v>
      </c>
      <c r="M741" t="n">
        <v>120000</v>
      </c>
      <c r="N741" t="n">
        <v>91</v>
      </c>
      <c r="O741" t="n">
        <v>0.91</v>
      </c>
      <c r="P741" t="n">
        <v>1</v>
      </c>
      <c r="Q741" t="n">
        <v>0.17</v>
      </c>
      <c r="R741" t="n">
        <v>2</v>
      </c>
      <c r="S741" t="n">
        <v>8736</v>
      </c>
      <c r="T741" t="n">
        <v>15</v>
      </c>
      <c r="U741" t="n">
        <v>16</v>
      </c>
      <c r="V741" t="n">
        <v>30</v>
      </c>
      <c r="W741" t="n">
        <v>3</v>
      </c>
      <c r="X741" t="n">
        <v>233.5164835164835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417</v>
      </c>
      <c r="AG741" t="n">
        <v>107</v>
      </c>
      <c r="AH741" t="inlineStr">
        <is>
          <t xml:space="preserve">CV. DAHLIA - PPN (PDG) </t>
        </is>
      </c>
      <c r="AI741" t="n">
        <v>423</v>
      </c>
      <c r="AJ741" t="inlineStr">
        <is>
          <t>CARESO</t>
        </is>
      </c>
      <c r="AK741" t="n">
        <v>21</v>
      </c>
      <c r="AL741" t="inlineStr">
        <is>
          <t>Miss Glam Damar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CARESO</t>
        </is>
      </c>
      <c r="B742" s="2">
        <f>"30200191213"</f>
        <v/>
      </c>
      <c r="C742" t="inlineStr">
        <is>
          <t>CARESO French Linen Body Lotion 300ml</t>
        </is>
      </c>
      <c r="D742" t="inlineStr">
        <is>
          <t>Miss Glam Damar</t>
        </is>
      </c>
      <c r="E742" t="n">
        <v>0</v>
      </c>
      <c r="F742" t="n">
        <v>0.02</v>
      </c>
      <c r="G742" t="n">
        <v>1</v>
      </c>
      <c r="H742" t="n">
        <v>2</v>
      </c>
      <c r="I742" t="n">
        <v>16</v>
      </c>
      <c r="J742" t="n">
        <v>1</v>
      </c>
      <c r="K742" t="n">
        <v>0</v>
      </c>
      <c r="L742" t="n">
        <v>0</v>
      </c>
      <c r="M742" t="n">
        <v>68000</v>
      </c>
      <c r="N742" t="n">
        <v>91</v>
      </c>
      <c r="O742" t="n">
        <v>0.91</v>
      </c>
      <c r="P742" t="n">
        <v>0</v>
      </c>
      <c r="Q742" t="n">
        <v>0.02</v>
      </c>
      <c r="R742" t="n">
        <v>1</v>
      </c>
      <c r="S742" t="n">
        <v>1360</v>
      </c>
      <c r="T742" t="n">
        <v>16</v>
      </c>
      <c r="U742" t="n">
        <v>17</v>
      </c>
      <c r="V742" t="n">
        <v>30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417</v>
      </c>
      <c r="AG742" t="n">
        <v>107</v>
      </c>
      <c r="AH742" t="inlineStr">
        <is>
          <t xml:space="preserve">CV. DAHLIA - PPN (PDG) </t>
        </is>
      </c>
      <c r="AI742" t="n">
        <v>423</v>
      </c>
      <c r="AJ742" t="inlineStr">
        <is>
          <t>CARESO</t>
        </is>
      </c>
      <c r="AK742" t="n">
        <v>21</v>
      </c>
      <c r="AL742" t="inlineStr">
        <is>
          <t>Miss Glam Damar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CARESO</t>
        </is>
      </c>
      <c r="B743" s="2">
        <f>"30400259116"</f>
        <v/>
      </c>
      <c r="C743" t="inlineStr">
        <is>
          <t>CARESO French Linen Eau de Toilette (EDT) 50ML</t>
        </is>
      </c>
      <c r="D743" t="inlineStr">
        <is>
          <t>Miss Glam Damar</t>
        </is>
      </c>
      <c r="E743" t="n">
        <v>4</v>
      </c>
      <c r="F743" t="n">
        <v>0.12</v>
      </c>
      <c r="G743" t="n">
        <v>1</v>
      </c>
      <c r="H743" t="n">
        <v>2</v>
      </c>
      <c r="I743" t="n">
        <v>16</v>
      </c>
      <c r="J743" t="n">
        <v>1</v>
      </c>
      <c r="K743" t="n">
        <v>0</v>
      </c>
      <c r="L743" t="n">
        <v>49600</v>
      </c>
      <c r="M743" t="n">
        <v>62000</v>
      </c>
      <c r="N743" t="n">
        <v>91</v>
      </c>
      <c r="O743" t="n">
        <v>0.91</v>
      </c>
      <c r="P743" t="n">
        <v>0</v>
      </c>
      <c r="Q743" t="n">
        <v>0.12</v>
      </c>
      <c r="R743" t="n">
        <v>1</v>
      </c>
      <c r="S743" t="n">
        <v>7440</v>
      </c>
      <c r="T743" t="n">
        <v>16</v>
      </c>
      <c r="U743" t="n">
        <v>17</v>
      </c>
      <c r="V743" t="n">
        <v>30</v>
      </c>
      <c r="W743" t="n">
        <v>4</v>
      </c>
      <c r="X743" t="n">
        <v>33.33333333333334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417</v>
      </c>
      <c r="AG743" t="n">
        <v>107</v>
      </c>
      <c r="AH743" t="inlineStr">
        <is>
          <t xml:space="preserve">CV. DAHLIA - PPN (PDG) </t>
        </is>
      </c>
      <c r="AI743" t="n">
        <v>423</v>
      </c>
      <c r="AJ743" t="inlineStr">
        <is>
          <t>CARESO</t>
        </is>
      </c>
      <c r="AK743" t="n">
        <v>21</v>
      </c>
      <c r="AL743" t="inlineStr">
        <is>
          <t>Miss Glam Damar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CARESO</t>
        </is>
      </c>
      <c r="B744" s="2">
        <f>"8997234220293"</f>
        <v/>
      </c>
      <c r="C744" t="inlineStr">
        <is>
          <t>CARESO French Vanilla Body Lotion Brightening Elixir 50ml</t>
        </is>
      </c>
      <c r="D744" t="inlineStr">
        <is>
          <t>Miss Glam Damar</t>
        </is>
      </c>
      <c r="E744" t="n">
        <v>9</v>
      </c>
      <c r="F744" t="n">
        <v>0.2002</v>
      </c>
      <c r="G744" t="n">
        <v>1.82</v>
      </c>
      <c r="H744" t="n">
        <v>2</v>
      </c>
      <c r="I744" t="n">
        <v>16</v>
      </c>
      <c r="J744" t="n">
        <v>3</v>
      </c>
      <c r="K744" t="n">
        <v>0</v>
      </c>
      <c r="L744" t="n">
        <v>22400</v>
      </c>
      <c r="M744" t="n">
        <v>30000</v>
      </c>
      <c r="N744" t="n">
        <v>91</v>
      </c>
      <c r="O744" t="n">
        <v>0.91</v>
      </c>
      <c r="P744" t="n">
        <v>1</v>
      </c>
      <c r="Q744" t="n">
        <v>0.32</v>
      </c>
      <c r="R744" t="n">
        <v>2</v>
      </c>
      <c r="S744" t="n">
        <v>6006.000000000001</v>
      </c>
      <c r="T744" t="n">
        <v>29</v>
      </c>
      <c r="U744" t="n">
        <v>30</v>
      </c>
      <c r="V744" t="n">
        <v>30</v>
      </c>
      <c r="W744" t="n">
        <v>7</v>
      </c>
      <c r="X744" t="n">
        <v>44.95504495504495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417</v>
      </c>
      <c r="AG744" t="n">
        <v>107</v>
      </c>
      <c r="AH744" t="inlineStr">
        <is>
          <t xml:space="preserve">CV. DAHLIA - PPN (PDG) </t>
        </is>
      </c>
      <c r="AI744" t="n">
        <v>423</v>
      </c>
      <c r="AJ744" t="inlineStr">
        <is>
          <t>CARESO</t>
        </is>
      </c>
      <c r="AK744" t="n">
        <v>21</v>
      </c>
      <c r="AL744" t="inlineStr">
        <is>
          <t>Miss Glam Damar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CARESO</t>
        </is>
      </c>
      <c r="B745" s="2">
        <f>"8997234221030"</f>
        <v/>
      </c>
      <c r="C745" t="inlineStr">
        <is>
          <t>CARESO French Vanilla Brightening Body Wash 300ml</t>
        </is>
      </c>
      <c r="D745" t="inlineStr">
        <is>
          <t>Miss Glam Damar</t>
        </is>
      </c>
      <c r="E745" t="n">
        <v>5</v>
      </c>
      <c r="F745" t="n">
        <v>0.0182</v>
      </c>
      <c r="G745" t="n">
        <v>0.91</v>
      </c>
      <c r="H745" t="n">
        <v>2</v>
      </c>
      <c r="I745" t="n">
        <v>16</v>
      </c>
      <c r="J745" t="n">
        <v>3</v>
      </c>
      <c r="K745" t="n">
        <v>0</v>
      </c>
      <c r="L745" t="n">
        <v>49600</v>
      </c>
      <c r="M745" t="n">
        <v>62000</v>
      </c>
      <c r="N745" t="n">
        <v>91</v>
      </c>
      <c r="O745" t="n">
        <v>0.91</v>
      </c>
      <c r="P745" t="n">
        <v>1</v>
      </c>
      <c r="Q745" t="n">
        <v>0.1</v>
      </c>
      <c r="R745" t="n">
        <v>1</v>
      </c>
      <c r="S745" t="n">
        <v>1128.4</v>
      </c>
      <c r="T745" t="n">
        <v>15</v>
      </c>
      <c r="U745" t="n">
        <v>16</v>
      </c>
      <c r="V745" t="n">
        <v>30</v>
      </c>
      <c r="W745" t="n">
        <v>1</v>
      </c>
      <c r="X745" t="n">
        <v>274.7252747252747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417</v>
      </c>
      <c r="AG745" t="n">
        <v>107</v>
      </c>
      <c r="AH745" t="inlineStr">
        <is>
          <t xml:space="preserve">CV. DAHLIA - PPN (PDG) </t>
        </is>
      </c>
      <c r="AI745" t="n">
        <v>423</v>
      </c>
      <c r="AJ745" t="inlineStr">
        <is>
          <t>CARESO</t>
        </is>
      </c>
      <c r="AK745" t="n">
        <v>21</v>
      </c>
      <c r="AL745" t="inlineStr">
        <is>
          <t>Miss Glam Damar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CARESO</t>
        </is>
      </c>
      <c r="B746" s="2">
        <f>"30400259452"</f>
        <v/>
      </c>
      <c r="C746" t="inlineStr">
        <is>
          <t>CARESO French Vanilla Eau de Toilette (EDT) 50ml</t>
        </is>
      </c>
      <c r="D746" t="inlineStr">
        <is>
          <t>Miss Glam Damar</t>
        </is>
      </c>
      <c r="E746" t="n">
        <v>24</v>
      </c>
      <c r="F746" t="n">
        <v>0.1274</v>
      </c>
      <c r="G746" t="n">
        <v>1.82</v>
      </c>
      <c r="H746" t="n">
        <v>2</v>
      </c>
      <c r="I746" t="n">
        <v>16</v>
      </c>
      <c r="J746" t="n">
        <v>1</v>
      </c>
      <c r="K746" t="n">
        <v>0</v>
      </c>
      <c r="L746" t="n">
        <v>49600</v>
      </c>
      <c r="M746" t="n">
        <v>62000</v>
      </c>
      <c r="N746" t="n">
        <v>91</v>
      </c>
      <c r="O746" t="n">
        <v>0.91</v>
      </c>
      <c r="P746" t="n">
        <v>1</v>
      </c>
      <c r="Q746" t="n">
        <v>0.36</v>
      </c>
      <c r="R746" t="n">
        <v>2</v>
      </c>
      <c r="S746" t="n">
        <v>7898.800000000001</v>
      </c>
      <c r="T746" t="n">
        <v>29</v>
      </c>
      <c r="U746" t="n">
        <v>30</v>
      </c>
      <c r="V746" t="n">
        <v>30</v>
      </c>
      <c r="W746" t="n">
        <v>4</v>
      </c>
      <c r="X746" t="n">
        <v>188.3830455259026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417</v>
      </c>
      <c r="AG746" t="n">
        <v>107</v>
      </c>
      <c r="AH746" t="inlineStr">
        <is>
          <t xml:space="preserve">CV. DAHLIA - PPN (PDG) </t>
        </is>
      </c>
      <c r="AI746" t="n">
        <v>423</v>
      </c>
      <c r="AJ746" t="inlineStr">
        <is>
          <t>CARESO</t>
        </is>
      </c>
      <c r="AK746" t="n">
        <v>21</v>
      </c>
      <c r="AL746" t="inlineStr">
        <is>
          <t>Miss Glam Damar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CARESO</t>
        </is>
      </c>
      <c r="B747" s="2">
        <f>"30400258929"</f>
        <v/>
      </c>
      <c r="C747" t="inlineStr">
        <is>
          <t>CARESO Fruitee Fresh Eau De Toilette (EDT) 50ml</t>
        </is>
      </c>
      <c r="D747" t="inlineStr">
        <is>
          <t>Miss Glam Damar</t>
        </is>
      </c>
      <c r="E747" t="n">
        <v>13</v>
      </c>
      <c r="F747" t="n">
        <v>0.1547</v>
      </c>
      <c r="G747" t="n">
        <v>1.82</v>
      </c>
      <c r="H747" t="n">
        <v>2</v>
      </c>
      <c r="I747" t="n">
        <v>16</v>
      </c>
      <c r="J747" t="n">
        <v>1</v>
      </c>
      <c r="K747" t="n">
        <v>0</v>
      </c>
      <c r="L747" t="n">
        <v>49600</v>
      </c>
      <c r="M747" t="n">
        <v>62000</v>
      </c>
      <c r="N747" t="n">
        <v>91</v>
      </c>
      <c r="O747" t="n">
        <v>0.91</v>
      </c>
      <c r="P747" t="n">
        <v>1</v>
      </c>
      <c r="Q747" t="n">
        <v>0.39</v>
      </c>
      <c r="R747" t="n">
        <v>4</v>
      </c>
      <c r="S747" t="n">
        <v>9591.4</v>
      </c>
      <c r="T747" t="n">
        <v>29</v>
      </c>
      <c r="U747" t="n">
        <v>30</v>
      </c>
      <c r="V747" t="n">
        <v>30</v>
      </c>
      <c r="W747" t="n">
        <v>5</v>
      </c>
      <c r="X747" t="n">
        <v>84.03361344537815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417</v>
      </c>
      <c r="AG747" t="n">
        <v>107</v>
      </c>
      <c r="AH747" t="inlineStr">
        <is>
          <t xml:space="preserve">CV. DAHLIA - PPN (PDG) </t>
        </is>
      </c>
      <c r="AI747" t="n">
        <v>423</v>
      </c>
      <c r="AJ747" t="inlineStr">
        <is>
          <t>CARESO</t>
        </is>
      </c>
      <c r="AK747" t="n">
        <v>21</v>
      </c>
      <c r="AL747" t="inlineStr">
        <is>
          <t>Miss Glam Damar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CARESO</t>
        </is>
      </c>
      <c r="B748" s="2">
        <f>"304002155309"</f>
        <v/>
      </c>
      <c r="C748" t="inlineStr">
        <is>
          <t>CARESO Honey Blush Body Fragrance 100ml</t>
        </is>
      </c>
      <c r="D748" t="inlineStr">
        <is>
          <t>Miss Glam Damar</t>
        </is>
      </c>
      <c r="E748" t="n">
        <v>10</v>
      </c>
      <c r="F748" t="n">
        <v>0.1274</v>
      </c>
      <c r="G748" t="n">
        <v>2.73</v>
      </c>
      <c r="H748" t="n">
        <v>2</v>
      </c>
      <c r="I748" t="n">
        <v>16</v>
      </c>
      <c r="J748" t="n">
        <v>3</v>
      </c>
      <c r="K748" t="n">
        <v>0</v>
      </c>
      <c r="L748" t="n">
        <v>30400</v>
      </c>
      <c r="M748" t="n">
        <v>38000</v>
      </c>
      <c r="N748" t="n">
        <v>91</v>
      </c>
      <c r="O748" t="n">
        <v>0.91</v>
      </c>
      <c r="P748" t="n">
        <v>1</v>
      </c>
      <c r="Q748" t="n">
        <v>0.37</v>
      </c>
      <c r="R748" t="n">
        <v>3</v>
      </c>
      <c r="S748" t="n">
        <v>4841.200000000001</v>
      </c>
      <c r="T748" t="n">
        <v>44</v>
      </c>
      <c r="U748" t="n">
        <v>45</v>
      </c>
      <c r="V748" t="n">
        <v>30</v>
      </c>
      <c r="W748" t="n">
        <v>4</v>
      </c>
      <c r="X748" t="n">
        <v>78.49293563579278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417</v>
      </c>
      <c r="AG748" t="n">
        <v>107</v>
      </c>
      <c r="AH748" t="inlineStr">
        <is>
          <t xml:space="preserve">CV. DAHLIA - PPN (PDG) </t>
        </is>
      </c>
      <c r="AI748" t="n">
        <v>423</v>
      </c>
      <c r="AJ748" t="inlineStr">
        <is>
          <t>CARESO</t>
        </is>
      </c>
      <c r="AK748" t="n">
        <v>21</v>
      </c>
      <c r="AL748" t="inlineStr">
        <is>
          <t>Miss Glam Damar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CARESO</t>
        </is>
      </c>
      <c r="B749" s="2">
        <f>"30200184755"</f>
        <v/>
      </c>
      <c r="C749" t="inlineStr">
        <is>
          <t>CARESO Honey Blush Body Lotion 300ml</t>
        </is>
      </c>
      <c r="D749" t="inlineStr">
        <is>
          <t>Miss Glam Damar</t>
        </is>
      </c>
      <c r="E749" t="n">
        <v>7</v>
      </c>
      <c r="F749" t="n">
        <v>0.0273</v>
      </c>
      <c r="G749" t="n">
        <v>0.91</v>
      </c>
      <c r="H749" t="n">
        <v>2</v>
      </c>
      <c r="I749" t="n">
        <v>16</v>
      </c>
      <c r="J749" t="n">
        <v>3</v>
      </c>
      <c r="K749" t="n">
        <v>0</v>
      </c>
      <c r="L749" t="n">
        <v>54400</v>
      </c>
      <c r="M749" t="n">
        <v>68000</v>
      </c>
      <c r="N749" t="n">
        <v>91</v>
      </c>
      <c r="O749" t="n">
        <v>0.91</v>
      </c>
      <c r="P749" t="n">
        <v>1</v>
      </c>
      <c r="Q749" t="n">
        <v>0.08</v>
      </c>
      <c r="R749" t="n">
        <v>1</v>
      </c>
      <c r="S749" t="n">
        <v>1856.4</v>
      </c>
      <c r="T749" t="n">
        <v>15</v>
      </c>
      <c r="U749" t="n">
        <v>16</v>
      </c>
      <c r="V749" t="n">
        <v>30</v>
      </c>
      <c r="W749" t="n">
        <v>1</v>
      </c>
      <c r="X749" t="n">
        <v>256.4102564102564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417</v>
      </c>
      <c r="AG749" t="n">
        <v>107</v>
      </c>
      <c r="AH749" t="inlineStr">
        <is>
          <t xml:space="preserve">CV. DAHLIA - PPN (PDG) </t>
        </is>
      </c>
      <c r="AI749" t="n">
        <v>423</v>
      </c>
      <c r="AJ749" t="inlineStr">
        <is>
          <t>CARESO</t>
        </is>
      </c>
      <c r="AK749" t="n">
        <v>21</v>
      </c>
      <c r="AL749" t="inlineStr">
        <is>
          <t>Miss Glam Damar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CARESO</t>
        </is>
      </c>
      <c r="B750" s="2">
        <f>"30400259544"</f>
        <v/>
      </c>
      <c r="C750" t="inlineStr">
        <is>
          <t>CARESO Honey Blush Eau de Toilette (EDT) 50ML</t>
        </is>
      </c>
      <c r="D750" t="inlineStr">
        <is>
          <t>Miss Glam Damar</t>
        </is>
      </c>
      <c r="E750" t="n">
        <v>7</v>
      </c>
      <c r="F750" t="n">
        <v>0.09100000000000001</v>
      </c>
      <c r="G750" t="n">
        <v>0.91</v>
      </c>
      <c r="H750" t="n">
        <v>2</v>
      </c>
      <c r="I750" t="n">
        <v>16</v>
      </c>
      <c r="J750" t="n">
        <v>1</v>
      </c>
      <c r="K750" t="n">
        <v>0</v>
      </c>
      <c r="L750" t="n">
        <v>49600</v>
      </c>
      <c r="M750" t="n">
        <v>62000</v>
      </c>
      <c r="N750" t="n">
        <v>91</v>
      </c>
      <c r="O750" t="n">
        <v>0.91</v>
      </c>
      <c r="P750" t="n">
        <v>1</v>
      </c>
      <c r="Q750" t="n">
        <v>0.14</v>
      </c>
      <c r="R750" t="n">
        <v>2</v>
      </c>
      <c r="S750" t="n">
        <v>5642.000000000001</v>
      </c>
      <c r="T750" t="n">
        <v>15</v>
      </c>
      <c r="U750" t="n">
        <v>16</v>
      </c>
      <c r="V750" t="n">
        <v>30</v>
      </c>
      <c r="W750" t="n">
        <v>3</v>
      </c>
      <c r="X750" t="n">
        <v>76.92307692307692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417</v>
      </c>
      <c r="AG750" t="n">
        <v>107</v>
      </c>
      <c r="AH750" t="inlineStr">
        <is>
          <t xml:space="preserve">CV. DAHLIA - PPN (PDG) </t>
        </is>
      </c>
      <c r="AI750" t="n">
        <v>423</v>
      </c>
      <c r="AJ750" t="inlineStr">
        <is>
          <t>CARESO</t>
        </is>
      </c>
      <c r="AK750" t="n">
        <v>21</v>
      </c>
      <c r="AL750" t="inlineStr">
        <is>
          <t>Miss Glam Damar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CARESO</t>
        </is>
      </c>
      <c r="B751" s="2">
        <f>"30400259216"</f>
        <v/>
      </c>
      <c r="C751" t="inlineStr">
        <is>
          <t>CARESO Jasmine Blossom Eau de Toilette (EDT) 50ML</t>
        </is>
      </c>
      <c r="D751" t="inlineStr">
        <is>
          <t>Miss Glam Damar</t>
        </is>
      </c>
      <c r="E751" t="n">
        <v>9</v>
      </c>
      <c r="F751" t="n">
        <v>0.2002</v>
      </c>
      <c r="G751" t="n">
        <v>1.82</v>
      </c>
      <c r="H751" t="n">
        <v>2</v>
      </c>
      <c r="I751" t="n">
        <v>16</v>
      </c>
      <c r="J751" t="n">
        <v>1</v>
      </c>
      <c r="K751" t="n">
        <v>0</v>
      </c>
      <c r="L751" t="n">
        <v>49600</v>
      </c>
      <c r="M751" t="n">
        <v>62000</v>
      </c>
      <c r="N751" t="n">
        <v>91</v>
      </c>
      <c r="O751" t="n">
        <v>0.91</v>
      </c>
      <c r="P751" t="n">
        <v>1</v>
      </c>
      <c r="Q751" t="n">
        <v>0.27</v>
      </c>
      <c r="R751" t="n">
        <v>5</v>
      </c>
      <c r="S751" t="n">
        <v>12412.4</v>
      </c>
      <c r="T751" t="n">
        <v>29</v>
      </c>
      <c r="U751" t="n">
        <v>30</v>
      </c>
      <c r="V751" t="n">
        <v>30</v>
      </c>
      <c r="W751" t="n">
        <v>7</v>
      </c>
      <c r="X751" t="n">
        <v>44.95504495504495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417</v>
      </c>
      <c r="AG751" t="n">
        <v>107</v>
      </c>
      <c r="AH751" t="inlineStr">
        <is>
          <t xml:space="preserve">CV. DAHLIA - PPN (PDG) </t>
        </is>
      </c>
      <c r="AI751" t="n">
        <v>423</v>
      </c>
      <c r="AJ751" t="inlineStr">
        <is>
          <t>CARESO</t>
        </is>
      </c>
      <c r="AK751" t="n">
        <v>21</v>
      </c>
      <c r="AL751" t="inlineStr">
        <is>
          <t>Miss Glam Damar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CARESO</t>
        </is>
      </c>
      <c r="B752" s="2">
        <f>"8997234220309"</f>
        <v/>
      </c>
      <c r="C752" t="inlineStr">
        <is>
          <t>CARESO Jasmine Blossoms Body Lotion Brightening Elixir 50ml</t>
        </is>
      </c>
      <c r="D752" t="inlineStr">
        <is>
          <t>Miss Glam Damar</t>
        </is>
      </c>
      <c r="E752" t="n">
        <v>8</v>
      </c>
      <c r="F752" t="n">
        <v>0.1092</v>
      </c>
      <c r="G752" t="n">
        <v>1.82</v>
      </c>
      <c r="H752" t="n">
        <v>2</v>
      </c>
      <c r="I752" t="n">
        <v>16</v>
      </c>
      <c r="J752" t="n">
        <v>3</v>
      </c>
      <c r="K752" t="n">
        <v>0</v>
      </c>
      <c r="L752" t="n">
        <v>22400</v>
      </c>
      <c r="M752" t="n">
        <v>28000</v>
      </c>
      <c r="N752" t="n">
        <v>91</v>
      </c>
      <c r="O752" t="n">
        <v>0.91</v>
      </c>
      <c r="P752" t="n">
        <v>1</v>
      </c>
      <c r="Q752" t="n">
        <v>0.24</v>
      </c>
      <c r="R752" t="n">
        <v>1</v>
      </c>
      <c r="S752" t="n">
        <v>3057.6</v>
      </c>
      <c r="T752" t="n">
        <v>29</v>
      </c>
      <c r="U752" t="n">
        <v>30</v>
      </c>
      <c r="V752" t="n">
        <v>30</v>
      </c>
      <c r="W752" t="n">
        <v>4</v>
      </c>
      <c r="X752" t="n">
        <v>73.26007326007326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417</v>
      </c>
      <c r="AG752" t="n">
        <v>107</v>
      </c>
      <c r="AH752" t="inlineStr">
        <is>
          <t xml:space="preserve">CV. DAHLIA - PPN (PDG) </t>
        </is>
      </c>
      <c r="AI752" t="n">
        <v>423</v>
      </c>
      <c r="AJ752" t="inlineStr">
        <is>
          <t>CARESO</t>
        </is>
      </c>
      <c r="AK752" t="n">
        <v>21</v>
      </c>
      <c r="AL752" t="inlineStr">
        <is>
          <t>Miss Glam Damar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CARESO</t>
        </is>
      </c>
      <c r="B753" s="2">
        <f>"30100166027"</f>
        <v/>
      </c>
      <c r="C753" t="inlineStr">
        <is>
          <t>CARESO Jasmine Blossoms Brightening Body Wash 300ml</t>
        </is>
      </c>
      <c r="D753" t="inlineStr">
        <is>
          <t>Miss Glam Damar</t>
        </is>
      </c>
      <c r="E753" t="n">
        <v>7</v>
      </c>
      <c r="F753" t="n">
        <v>0.07000000000000001</v>
      </c>
      <c r="G753" t="n">
        <v>1</v>
      </c>
      <c r="H753" t="n">
        <v>2</v>
      </c>
      <c r="I753" t="n">
        <v>16</v>
      </c>
      <c r="J753" t="n">
        <v>3</v>
      </c>
      <c r="K753" t="n">
        <v>0</v>
      </c>
      <c r="L753" t="n">
        <v>49600</v>
      </c>
      <c r="M753" t="n">
        <v>62000</v>
      </c>
      <c r="N753" t="n">
        <v>91</v>
      </c>
      <c r="O753" t="n">
        <v>0.91</v>
      </c>
      <c r="P753" t="n">
        <v>0</v>
      </c>
      <c r="Q753" t="n">
        <v>0.07000000000000001</v>
      </c>
      <c r="R753" t="n">
        <v>1</v>
      </c>
      <c r="S753" t="n">
        <v>4340</v>
      </c>
      <c r="T753" t="n">
        <v>16</v>
      </c>
      <c r="U753" t="n">
        <v>17</v>
      </c>
      <c r="V753" t="n">
        <v>30</v>
      </c>
      <c r="W753" t="n">
        <v>3</v>
      </c>
      <c r="X753" t="n">
        <v>99.99999999999999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417</v>
      </c>
      <c r="AG753" t="n">
        <v>107</v>
      </c>
      <c r="AH753" t="inlineStr">
        <is>
          <t xml:space="preserve">CV. DAHLIA - PPN (PDG) </t>
        </is>
      </c>
      <c r="AI753" t="n">
        <v>423</v>
      </c>
      <c r="AJ753" t="inlineStr">
        <is>
          <t>CARESO</t>
        </is>
      </c>
      <c r="AK753" t="n">
        <v>21</v>
      </c>
      <c r="AL753" t="inlineStr">
        <is>
          <t>Miss Glam Damar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CARESO</t>
        </is>
      </c>
      <c r="B754" s="2">
        <f>"30200192718"</f>
        <v/>
      </c>
      <c r="C754" t="inlineStr">
        <is>
          <t>CARESO Lychee Kiss Body Lotion 300ml</t>
        </is>
      </c>
      <c r="D754" t="inlineStr">
        <is>
          <t>Miss Glam Damar</t>
        </is>
      </c>
      <c r="E754" t="n">
        <v>5</v>
      </c>
      <c r="F754" t="n">
        <v>0.07000000000000001</v>
      </c>
      <c r="G754" t="n">
        <v>1</v>
      </c>
      <c r="H754" t="n">
        <v>2</v>
      </c>
      <c r="I754" t="n">
        <v>16</v>
      </c>
      <c r="J754" t="n">
        <v>1</v>
      </c>
      <c r="K754" t="n">
        <v>0</v>
      </c>
      <c r="L754" t="n">
        <v>54400</v>
      </c>
      <c r="M754" t="n">
        <v>68000</v>
      </c>
      <c r="N754" t="n">
        <v>91</v>
      </c>
      <c r="O754" t="n">
        <v>0.91</v>
      </c>
      <c r="P754" t="n">
        <v>0</v>
      </c>
      <c r="Q754" t="n">
        <v>0.07000000000000001</v>
      </c>
      <c r="R754" t="n">
        <v>1</v>
      </c>
      <c r="S754" t="n">
        <v>4760</v>
      </c>
      <c r="T754" t="n">
        <v>16</v>
      </c>
      <c r="U754" t="n">
        <v>17</v>
      </c>
      <c r="V754" t="n">
        <v>30</v>
      </c>
      <c r="W754" t="n">
        <v>3</v>
      </c>
      <c r="X754" t="n">
        <v>71.42857142857142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417</v>
      </c>
      <c r="AG754" t="n">
        <v>107</v>
      </c>
      <c r="AH754" t="inlineStr">
        <is>
          <t xml:space="preserve">CV. DAHLIA - PPN (PDG) </t>
        </is>
      </c>
      <c r="AI754" t="n">
        <v>423</v>
      </c>
      <c r="AJ754" t="inlineStr">
        <is>
          <t>CARESO</t>
        </is>
      </c>
      <c r="AK754" t="n">
        <v>21</v>
      </c>
      <c r="AL754" t="inlineStr">
        <is>
          <t>Miss Glam Damar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CARESO</t>
        </is>
      </c>
      <c r="B755" s="2">
        <f>"30400360124"</f>
        <v/>
      </c>
      <c r="C755" t="inlineStr">
        <is>
          <t>CARESO Lychee Kiss Eau De Parfum 50ml</t>
        </is>
      </c>
      <c r="D755" t="inlineStr">
        <is>
          <t>Miss Glam Damar</t>
        </is>
      </c>
      <c r="E755" t="n">
        <v>9</v>
      </c>
      <c r="F755" t="n">
        <v>0.36</v>
      </c>
      <c r="G755" t="n">
        <v>3</v>
      </c>
      <c r="H755" t="n">
        <v>2</v>
      </c>
      <c r="I755" t="n">
        <v>16</v>
      </c>
      <c r="J755" t="n">
        <v>1</v>
      </c>
      <c r="K755" t="n">
        <v>0</v>
      </c>
      <c r="L755" t="n">
        <v>96000</v>
      </c>
      <c r="M755" t="n">
        <v>120000</v>
      </c>
      <c r="N755" t="n">
        <v>91</v>
      </c>
      <c r="O755" t="n">
        <v>0.91</v>
      </c>
      <c r="P755" t="n">
        <v>0</v>
      </c>
      <c r="Q755" t="n">
        <v>0.36</v>
      </c>
      <c r="R755" t="n">
        <v>3</v>
      </c>
      <c r="S755" t="n">
        <v>43200</v>
      </c>
      <c r="T755" t="n">
        <v>48</v>
      </c>
      <c r="U755" t="n">
        <v>49</v>
      </c>
      <c r="V755" t="n">
        <v>30</v>
      </c>
      <c r="W755" t="n">
        <v>11</v>
      </c>
      <c r="X755" t="n">
        <v>25</v>
      </c>
      <c r="Y755" t="n">
        <v>1</v>
      </c>
      <c r="Z755" t="n">
        <v>2</v>
      </c>
      <c r="AA755" t="n">
        <v>0</v>
      </c>
      <c r="AB755" t="n">
        <v>2</v>
      </c>
      <c r="AC755" t="n">
        <v>2</v>
      </c>
      <c r="AD755" t="n">
        <v>0</v>
      </c>
      <c r="AE755" t="n">
        <v>192000</v>
      </c>
      <c r="AF755" t="n">
        <v>417</v>
      </c>
      <c r="AG755" t="n">
        <v>107</v>
      </c>
      <c r="AH755" t="inlineStr">
        <is>
          <t xml:space="preserve">CV. DAHLIA - PPN (PDG) </t>
        </is>
      </c>
      <c r="AI755" t="n">
        <v>423</v>
      </c>
      <c r="AJ755" t="inlineStr">
        <is>
          <t>CARESO</t>
        </is>
      </c>
      <c r="AK755" t="n">
        <v>21</v>
      </c>
      <c r="AL755" t="inlineStr">
        <is>
          <t>Miss Glam Damar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CARESO</t>
        </is>
      </c>
      <c r="B756" s="2">
        <f>"30200184654"</f>
        <v/>
      </c>
      <c r="C756" t="inlineStr">
        <is>
          <t>CARESO Mon Cheri Body Lotion 300ml</t>
        </is>
      </c>
      <c r="D756" t="inlineStr">
        <is>
          <t>Miss Glam Damar</t>
        </is>
      </c>
      <c r="E756" t="n">
        <v>3</v>
      </c>
      <c r="F756" t="n">
        <v>0.04550000000000001</v>
      </c>
      <c r="G756" t="n">
        <v>0.91</v>
      </c>
      <c r="H756" t="n">
        <v>2</v>
      </c>
      <c r="I756" t="n">
        <v>16</v>
      </c>
      <c r="J756" t="n">
        <v>3</v>
      </c>
      <c r="K756" t="n">
        <v>0</v>
      </c>
      <c r="L756" t="n">
        <v>54400</v>
      </c>
      <c r="M756" t="n">
        <v>68000</v>
      </c>
      <c r="N756" t="n">
        <v>91</v>
      </c>
      <c r="O756" t="n">
        <v>0.91</v>
      </c>
      <c r="P756" t="n">
        <v>1</v>
      </c>
      <c r="Q756" t="n">
        <v>0.02</v>
      </c>
      <c r="R756" t="n">
        <v>1</v>
      </c>
      <c r="S756" t="n">
        <v>3094</v>
      </c>
      <c r="T756" t="n">
        <v>15</v>
      </c>
      <c r="U756" t="n">
        <v>16</v>
      </c>
      <c r="V756" t="n">
        <v>30</v>
      </c>
      <c r="W756" t="n">
        <v>2</v>
      </c>
      <c r="X756" t="n">
        <v>65.93406593406593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417</v>
      </c>
      <c r="AG756" t="n">
        <v>107</v>
      </c>
      <c r="AH756" t="inlineStr">
        <is>
          <t xml:space="preserve">CV. DAHLIA - PPN (PDG) </t>
        </is>
      </c>
      <c r="AI756" t="n">
        <v>423</v>
      </c>
      <c r="AJ756" t="inlineStr">
        <is>
          <t>CARESO</t>
        </is>
      </c>
      <c r="AK756" t="n">
        <v>21</v>
      </c>
      <c r="AL756" t="inlineStr">
        <is>
          <t>Miss Glam Damar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CARESO</t>
        </is>
      </c>
      <c r="B757" s="2">
        <f>"304002155213"</f>
        <v/>
      </c>
      <c r="C757" t="inlineStr">
        <is>
          <t>CARESO Mon Cheri Eau De Parfum 50ml</t>
        </is>
      </c>
      <c r="D757" t="inlineStr">
        <is>
          <t>Miss Glam Damar</t>
        </is>
      </c>
      <c r="E757" t="n">
        <v>9</v>
      </c>
      <c r="F757" t="n">
        <v>0.0182</v>
      </c>
      <c r="G757" t="n">
        <v>0.91</v>
      </c>
      <c r="H757" t="n">
        <v>2</v>
      </c>
      <c r="I757" t="n">
        <v>16</v>
      </c>
      <c r="J757" t="n">
        <v>3</v>
      </c>
      <c r="K757" t="n">
        <v>0</v>
      </c>
      <c r="L757" t="n">
        <v>96000</v>
      </c>
      <c r="M757" t="n">
        <v>120000</v>
      </c>
      <c r="N757" t="n">
        <v>91</v>
      </c>
      <c r="O757" t="n">
        <v>0.91</v>
      </c>
      <c r="P757" t="n">
        <v>1</v>
      </c>
      <c r="Q757" t="n">
        <v>0.05</v>
      </c>
      <c r="R757" t="n">
        <v>1</v>
      </c>
      <c r="S757" t="n">
        <v>2184</v>
      </c>
      <c r="T757" t="n">
        <v>15</v>
      </c>
      <c r="U757" t="n">
        <v>16</v>
      </c>
      <c r="V757" t="n">
        <v>30</v>
      </c>
      <c r="W757" t="n">
        <v>1</v>
      </c>
      <c r="X757" t="n">
        <v>494.5054945054945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417</v>
      </c>
      <c r="AG757" t="n">
        <v>107</v>
      </c>
      <c r="AH757" t="inlineStr">
        <is>
          <t xml:space="preserve">CV. DAHLIA - PPN (PDG) </t>
        </is>
      </c>
      <c r="AI757" t="n">
        <v>423</v>
      </c>
      <c r="AJ757" t="inlineStr">
        <is>
          <t>CARESO</t>
        </is>
      </c>
      <c r="AK757" t="n">
        <v>21</v>
      </c>
      <c r="AL757" t="inlineStr">
        <is>
          <t>Miss Glam Damar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CARESO</t>
        </is>
      </c>
      <c r="B758" s="2">
        <f>"304002155416"</f>
        <v/>
      </c>
      <c r="C758" t="inlineStr">
        <is>
          <t>CARESO Oud Rouge Eau De Parfum 50ml</t>
        </is>
      </c>
      <c r="D758" t="inlineStr">
        <is>
          <t>Miss Glam Damar</t>
        </is>
      </c>
      <c r="E758" t="n">
        <v>18</v>
      </c>
      <c r="F758" t="n">
        <v>0.2184</v>
      </c>
      <c r="G758" t="n">
        <v>0.91</v>
      </c>
      <c r="H758" t="n">
        <v>2</v>
      </c>
      <c r="I758" t="n">
        <v>16</v>
      </c>
      <c r="J758" t="n">
        <v>3</v>
      </c>
      <c r="K758" t="n">
        <v>0</v>
      </c>
      <c r="L758" t="n">
        <v>96000</v>
      </c>
      <c r="M758" t="n">
        <v>120000</v>
      </c>
      <c r="N758" t="n">
        <v>91</v>
      </c>
      <c r="O758" t="n">
        <v>0.91</v>
      </c>
      <c r="P758" t="n">
        <v>1</v>
      </c>
      <c r="Q758" t="n">
        <v>0.44</v>
      </c>
      <c r="R758" t="n">
        <v>5</v>
      </c>
      <c r="S758" t="n">
        <v>26208</v>
      </c>
      <c r="T758" t="n">
        <v>15</v>
      </c>
      <c r="U758" t="n">
        <v>16</v>
      </c>
      <c r="V758" t="n">
        <v>30</v>
      </c>
      <c r="W758" t="n">
        <v>7</v>
      </c>
      <c r="X758" t="n">
        <v>82.41758241758241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417</v>
      </c>
      <c r="AG758" t="n">
        <v>107</v>
      </c>
      <c r="AH758" t="inlineStr">
        <is>
          <t xml:space="preserve">CV. DAHLIA - PPN (PDG) </t>
        </is>
      </c>
      <c r="AI758" t="n">
        <v>423</v>
      </c>
      <c r="AJ758" t="inlineStr">
        <is>
          <t>CARESO</t>
        </is>
      </c>
      <c r="AK758" t="n">
        <v>21</v>
      </c>
      <c r="AL758" t="inlineStr">
        <is>
          <t>Miss Glam Damar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CARESO</t>
        </is>
      </c>
      <c r="B759" s="2">
        <f>"8997234220705"</f>
        <v/>
      </c>
      <c r="C759" t="inlineStr">
        <is>
          <t>CARESO Secret Garden Body Lotion Brightening Elixir 50ml</t>
        </is>
      </c>
      <c r="D759" t="inlineStr">
        <is>
          <t>Miss Glam Damar</t>
        </is>
      </c>
      <c r="E759" t="n">
        <v>13</v>
      </c>
      <c r="F759" t="n">
        <v>0.0273</v>
      </c>
      <c r="G759" t="n">
        <v>0.91</v>
      </c>
      <c r="H759" t="n">
        <v>2</v>
      </c>
      <c r="I759" t="n">
        <v>16</v>
      </c>
      <c r="J759" t="n">
        <v>3</v>
      </c>
      <c r="K759" t="n">
        <v>0</v>
      </c>
      <c r="L759" t="n">
        <v>22400</v>
      </c>
      <c r="M759" t="n">
        <v>28000</v>
      </c>
      <c r="N759" t="n">
        <v>91</v>
      </c>
      <c r="O759" t="n">
        <v>0.91</v>
      </c>
      <c r="P759" t="n">
        <v>1</v>
      </c>
      <c r="Q759" t="n">
        <v>0.1</v>
      </c>
      <c r="R759" t="n">
        <v>2</v>
      </c>
      <c r="S759" t="n">
        <v>764.4000000000001</v>
      </c>
      <c r="T759" t="n">
        <v>15</v>
      </c>
      <c r="U759" t="n">
        <v>16</v>
      </c>
      <c r="V759" t="n">
        <v>30</v>
      </c>
      <c r="W759" t="n">
        <v>1</v>
      </c>
      <c r="X759" t="n">
        <v>476.1904761904761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417</v>
      </c>
      <c r="AG759" t="n">
        <v>107</v>
      </c>
      <c r="AH759" t="inlineStr">
        <is>
          <t xml:space="preserve">CV. DAHLIA - PPN (PDG) </t>
        </is>
      </c>
      <c r="AI759" t="n">
        <v>423</v>
      </c>
      <c r="AJ759" t="inlineStr">
        <is>
          <t>CARESO</t>
        </is>
      </c>
      <c r="AK759" t="n">
        <v>21</v>
      </c>
      <c r="AL759" t="inlineStr">
        <is>
          <t>Miss Glam Damar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CARESO</t>
        </is>
      </c>
      <c r="B760" s="2">
        <f>"8997234220330"</f>
        <v/>
      </c>
      <c r="C760" t="inlineStr">
        <is>
          <t>CARESO Spring In New York Body Lotion Brightening Elixir 300ml</t>
        </is>
      </c>
      <c r="D760" t="inlineStr">
        <is>
          <t>Miss Glam Damar</t>
        </is>
      </c>
      <c r="E760" t="n">
        <v>1</v>
      </c>
      <c r="F760" t="n">
        <v>0.02</v>
      </c>
      <c r="G760" t="n">
        <v>1</v>
      </c>
      <c r="H760" t="n">
        <v>2</v>
      </c>
      <c r="I760" t="n">
        <v>16</v>
      </c>
      <c r="J760" t="n">
        <v>1</v>
      </c>
      <c r="K760" t="n">
        <v>0</v>
      </c>
      <c r="L760" t="n">
        <v>54400</v>
      </c>
      <c r="M760" t="n">
        <v>68000</v>
      </c>
      <c r="N760" t="n">
        <v>91</v>
      </c>
      <c r="O760" t="n">
        <v>0.91</v>
      </c>
      <c r="P760" t="n">
        <v>0</v>
      </c>
      <c r="Q760" t="n">
        <v>0.02</v>
      </c>
      <c r="R760" t="n">
        <v>1</v>
      </c>
      <c r="S760" t="n">
        <v>1360</v>
      </c>
      <c r="T760" t="n">
        <v>16</v>
      </c>
      <c r="U760" t="n">
        <v>17</v>
      </c>
      <c r="V760" t="n">
        <v>30</v>
      </c>
      <c r="W760" t="n">
        <v>1</v>
      </c>
      <c r="X760" t="n">
        <v>50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417</v>
      </c>
      <c r="AG760" t="n">
        <v>107</v>
      </c>
      <c r="AH760" t="inlineStr">
        <is>
          <t xml:space="preserve">CV. DAHLIA - PPN (PDG) </t>
        </is>
      </c>
      <c r="AI760" t="n">
        <v>423</v>
      </c>
      <c r="AJ760" t="inlineStr">
        <is>
          <t>CARESO</t>
        </is>
      </c>
      <c r="AK760" t="n">
        <v>21</v>
      </c>
      <c r="AL760" t="inlineStr">
        <is>
          <t>Miss Glam Damar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CARESO</t>
        </is>
      </c>
      <c r="B761" s="2">
        <f>"8997234220354"</f>
        <v/>
      </c>
      <c r="C761" t="inlineStr">
        <is>
          <t>CARESO Spring In New York Body Lotion Brightening Elixir 50ml</t>
        </is>
      </c>
      <c r="D761" t="inlineStr">
        <is>
          <t>Miss Glam Damar</t>
        </is>
      </c>
      <c r="E761" t="n">
        <v>7</v>
      </c>
      <c r="F761" t="n">
        <v>0.04550000000000001</v>
      </c>
      <c r="G761" t="n">
        <v>0.91</v>
      </c>
      <c r="H761" t="n">
        <v>2</v>
      </c>
      <c r="I761" t="n">
        <v>16</v>
      </c>
      <c r="J761" t="n">
        <v>3</v>
      </c>
      <c r="K761" t="n">
        <v>0</v>
      </c>
      <c r="L761" t="n">
        <v>22400</v>
      </c>
      <c r="M761" t="n">
        <v>28000</v>
      </c>
      <c r="N761" t="n">
        <v>91</v>
      </c>
      <c r="O761" t="n">
        <v>0.91</v>
      </c>
      <c r="P761" t="n">
        <v>1</v>
      </c>
      <c r="Q761" t="n">
        <v>0.14</v>
      </c>
      <c r="R761" t="n">
        <v>1</v>
      </c>
      <c r="S761" t="n">
        <v>1274</v>
      </c>
      <c r="T761" t="n">
        <v>15</v>
      </c>
      <c r="U761" t="n">
        <v>16</v>
      </c>
      <c r="V761" t="n">
        <v>30</v>
      </c>
      <c r="W761" t="n">
        <v>2</v>
      </c>
      <c r="X761" t="n">
        <v>153.8461538461538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417</v>
      </c>
      <c r="AG761" t="n">
        <v>107</v>
      </c>
      <c r="AH761" t="inlineStr">
        <is>
          <t xml:space="preserve">CV. DAHLIA - PPN (PDG) </t>
        </is>
      </c>
      <c r="AI761" t="n">
        <v>423</v>
      </c>
      <c r="AJ761" t="inlineStr">
        <is>
          <t>CARESO</t>
        </is>
      </c>
      <c r="AK761" t="n">
        <v>21</v>
      </c>
      <c r="AL761" t="inlineStr">
        <is>
          <t>Miss Glam Damar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CARESO</t>
        </is>
      </c>
      <c r="B762" s="2">
        <f>"30400360011"</f>
        <v/>
      </c>
      <c r="C762" t="inlineStr">
        <is>
          <t>CARESO Spring In New York Eau De Parfum 50ml</t>
        </is>
      </c>
      <c r="D762" t="inlineStr">
        <is>
          <t>Miss Glam Damar</t>
        </is>
      </c>
      <c r="E762" t="n">
        <v>8</v>
      </c>
      <c r="F762" t="n">
        <v>0.1092</v>
      </c>
      <c r="G762" t="n">
        <v>0.91</v>
      </c>
      <c r="H762" t="n">
        <v>2</v>
      </c>
      <c r="I762" t="n">
        <v>16</v>
      </c>
      <c r="J762" t="n">
        <v>1</v>
      </c>
      <c r="K762" t="n">
        <v>0</v>
      </c>
      <c r="L762" t="n">
        <v>96000</v>
      </c>
      <c r="M762" t="n">
        <v>120000</v>
      </c>
      <c r="N762" t="n">
        <v>91</v>
      </c>
      <c r="O762" t="n">
        <v>0.91</v>
      </c>
      <c r="P762" t="n">
        <v>1</v>
      </c>
      <c r="Q762" t="n">
        <v>0.12</v>
      </c>
      <c r="R762" t="n">
        <v>2</v>
      </c>
      <c r="S762" t="n">
        <v>13104</v>
      </c>
      <c r="T762" t="n">
        <v>15</v>
      </c>
      <c r="U762" t="n">
        <v>16</v>
      </c>
      <c r="V762" t="n">
        <v>30</v>
      </c>
      <c r="W762" t="n">
        <v>4</v>
      </c>
      <c r="X762" t="n">
        <v>73.26007326007326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417</v>
      </c>
      <c r="AG762" t="n">
        <v>107</v>
      </c>
      <c r="AH762" t="inlineStr">
        <is>
          <t xml:space="preserve">CV. DAHLIA - PPN (PDG) </t>
        </is>
      </c>
      <c r="AI762" t="n">
        <v>423</v>
      </c>
      <c r="AJ762" t="inlineStr">
        <is>
          <t>CARESO</t>
        </is>
      </c>
      <c r="AK762" t="n">
        <v>21</v>
      </c>
      <c r="AL762" t="inlineStr">
        <is>
          <t>Miss Glam Damar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CARESO</t>
        </is>
      </c>
      <c r="B763" s="2">
        <f>"30400259605"</f>
        <v/>
      </c>
      <c r="C763" t="inlineStr">
        <is>
          <t>CARESO Spring In New York Eau de Toilette (EDT) 50ML</t>
        </is>
      </c>
      <c r="D763" t="inlineStr">
        <is>
          <t>Miss Glam Damar</t>
        </is>
      </c>
      <c r="E763" t="n">
        <v>15</v>
      </c>
      <c r="F763" t="n">
        <v>0.1365</v>
      </c>
      <c r="G763" t="n">
        <v>1.82</v>
      </c>
      <c r="H763" t="n">
        <v>2</v>
      </c>
      <c r="I763" t="n">
        <v>16</v>
      </c>
      <c r="J763" t="n">
        <v>1</v>
      </c>
      <c r="K763" t="n">
        <v>0</v>
      </c>
      <c r="L763" t="n">
        <v>49600</v>
      </c>
      <c r="M763" t="n">
        <v>62000</v>
      </c>
      <c r="N763" t="n">
        <v>91</v>
      </c>
      <c r="O763" t="n">
        <v>0.91</v>
      </c>
      <c r="P763" t="n">
        <v>1</v>
      </c>
      <c r="Q763" t="n">
        <v>0.27</v>
      </c>
      <c r="R763" t="n">
        <v>2</v>
      </c>
      <c r="S763" t="n">
        <v>8463</v>
      </c>
      <c r="T763" t="n">
        <v>29</v>
      </c>
      <c r="U763" t="n">
        <v>30</v>
      </c>
      <c r="V763" t="n">
        <v>30</v>
      </c>
      <c r="W763" t="n">
        <v>5</v>
      </c>
      <c r="X763" t="n">
        <v>109.8901098901099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417</v>
      </c>
      <c r="AG763" t="n">
        <v>107</v>
      </c>
      <c r="AH763" t="inlineStr">
        <is>
          <t xml:space="preserve">CV. DAHLIA - PPN (PDG) </t>
        </is>
      </c>
      <c r="AI763" t="n">
        <v>423</v>
      </c>
      <c r="AJ763" t="inlineStr">
        <is>
          <t>CARESO</t>
        </is>
      </c>
      <c r="AK763" t="n">
        <v>21</v>
      </c>
      <c r="AL763" t="inlineStr">
        <is>
          <t>Miss Glam Damar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CARESO</t>
        </is>
      </c>
      <c r="B764" s="2">
        <f>"8997234221054"</f>
        <v/>
      </c>
      <c r="C764" t="inlineStr">
        <is>
          <t>CARESO Spring New York Brightening Body Wash 300ml</t>
        </is>
      </c>
      <c r="D764" t="inlineStr">
        <is>
          <t>Miss Glam Damar</t>
        </is>
      </c>
      <c r="E764" t="n">
        <v>19</v>
      </c>
      <c r="F764" t="n">
        <v>0.0182</v>
      </c>
      <c r="G764" t="n">
        <v>0.91</v>
      </c>
      <c r="H764" t="n">
        <v>2</v>
      </c>
      <c r="I764" t="n">
        <v>16</v>
      </c>
      <c r="J764" t="n">
        <v>3</v>
      </c>
      <c r="K764" t="n">
        <v>0</v>
      </c>
      <c r="L764" t="n">
        <v>49600</v>
      </c>
      <c r="M764" t="n">
        <v>62000</v>
      </c>
      <c r="N764" t="n">
        <v>91</v>
      </c>
      <c r="O764" t="n">
        <v>0.91</v>
      </c>
      <c r="P764" t="n">
        <v>1</v>
      </c>
      <c r="Q764" t="n">
        <v>0.02</v>
      </c>
      <c r="R764" t="n">
        <v>1</v>
      </c>
      <c r="S764" t="n">
        <v>1128.4</v>
      </c>
      <c r="T764" t="n">
        <v>15</v>
      </c>
      <c r="U764" t="n">
        <v>16</v>
      </c>
      <c r="V764" t="n">
        <v>30</v>
      </c>
      <c r="W764" t="n">
        <v>1</v>
      </c>
      <c r="X764" t="n">
        <v>1043.956043956044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417</v>
      </c>
      <c r="AG764" t="n">
        <v>107</v>
      </c>
      <c r="AH764" t="inlineStr">
        <is>
          <t xml:space="preserve">CV. DAHLIA - PPN (PDG) </t>
        </is>
      </c>
      <c r="AI764" t="n">
        <v>423</v>
      </c>
      <c r="AJ764" t="inlineStr">
        <is>
          <t>CARESO</t>
        </is>
      </c>
      <c r="AK764" t="n">
        <v>21</v>
      </c>
      <c r="AL764" t="inlineStr">
        <is>
          <t>Miss Glam Damar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CARESO</t>
        </is>
      </c>
      <c r="B765" s="2">
        <f>"8997234221238"</f>
        <v/>
      </c>
      <c r="C765" t="inlineStr">
        <is>
          <t>CARESO Sweet Violet Body Lotion Brightening Elixir 300ml</t>
        </is>
      </c>
      <c r="D765" t="inlineStr">
        <is>
          <t>Miss Glam Damar</t>
        </is>
      </c>
      <c r="E765" t="n">
        <v>10</v>
      </c>
      <c r="F765" t="n">
        <v>0.0273</v>
      </c>
      <c r="G765" t="n">
        <v>0.91</v>
      </c>
      <c r="H765" t="n">
        <v>2</v>
      </c>
      <c r="I765" t="n">
        <v>16</v>
      </c>
      <c r="J765" t="n">
        <v>3</v>
      </c>
      <c r="K765" t="n">
        <v>0</v>
      </c>
      <c r="L765" t="n">
        <v>54400</v>
      </c>
      <c r="M765" t="n">
        <v>68000</v>
      </c>
      <c r="N765" t="n">
        <v>91</v>
      </c>
      <c r="O765" t="n">
        <v>0.91</v>
      </c>
      <c r="P765" t="n">
        <v>1</v>
      </c>
      <c r="Q765" t="n">
        <v>0.07000000000000001</v>
      </c>
      <c r="R765" t="n">
        <v>1</v>
      </c>
      <c r="S765" t="n">
        <v>1856.4</v>
      </c>
      <c r="T765" t="n">
        <v>15</v>
      </c>
      <c r="U765" t="n">
        <v>16</v>
      </c>
      <c r="V765" t="n">
        <v>30</v>
      </c>
      <c r="W765" t="n">
        <v>1</v>
      </c>
      <c r="X765" t="n">
        <v>366.3003663003663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417</v>
      </c>
      <c r="AG765" t="n">
        <v>107</v>
      </c>
      <c r="AH765" t="inlineStr">
        <is>
          <t xml:space="preserve">CV. DAHLIA - PPN (PDG) </t>
        </is>
      </c>
      <c r="AI765" t="n">
        <v>423</v>
      </c>
      <c r="AJ765" t="inlineStr">
        <is>
          <t>CARESO</t>
        </is>
      </c>
      <c r="AK765" t="n">
        <v>21</v>
      </c>
      <c r="AL765" t="inlineStr">
        <is>
          <t>Miss Glam Damar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CARESO</t>
        </is>
      </c>
      <c r="B766" s="2">
        <f>"8997234221481"</f>
        <v/>
      </c>
      <c r="C766" t="inlineStr">
        <is>
          <t>CARESO Sweet Violet Brightening Body Wash Nourishing &amp; Hydrating Milk 300ml</t>
        </is>
      </c>
      <c r="D766" t="inlineStr">
        <is>
          <t>Miss Glam Damar</t>
        </is>
      </c>
      <c r="E766" t="n">
        <v>5</v>
      </c>
      <c r="F766" t="n">
        <v>0.0273</v>
      </c>
      <c r="G766" t="n">
        <v>0.91</v>
      </c>
      <c r="H766" t="n">
        <v>2</v>
      </c>
      <c r="I766" t="n">
        <v>16</v>
      </c>
      <c r="J766" t="n">
        <v>3</v>
      </c>
      <c r="K766" t="n">
        <v>0</v>
      </c>
      <c r="L766" t="n">
        <v>49600</v>
      </c>
      <c r="M766" t="n">
        <v>62000</v>
      </c>
      <c r="N766" t="n">
        <v>91</v>
      </c>
      <c r="O766" t="n">
        <v>0.91</v>
      </c>
      <c r="P766" t="n">
        <v>1</v>
      </c>
      <c r="Q766" t="n">
        <v>0.07000000000000001</v>
      </c>
      <c r="R766" t="n">
        <v>1</v>
      </c>
      <c r="S766" t="n">
        <v>1692.6</v>
      </c>
      <c r="T766" t="n">
        <v>15</v>
      </c>
      <c r="U766" t="n">
        <v>16</v>
      </c>
      <c r="V766" t="n">
        <v>30</v>
      </c>
      <c r="W766" t="n">
        <v>1</v>
      </c>
      <c r="X766" t="n">
        <v>183.1501831501832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417</v>
      </c>
      <c r="AG766" t="n">
        <v>107</v>
      </c>
      <c r="AH766" t="inlineStr">
        <is>
          <t xml:space="preserve">CV. DAHLIA - PPN (PDG) </t>
        </is>
      </c>
      <c r="AI766" t="n">
        <v>423</v>
      </c>
      <c r="AJ766" t="inlineStr">
        <is>
          <t>CARESO</t>
        </is>
      </c>
      <c r="AK766" t="n">
        <v>21</v>
      </c>
      <c r="AL766" t="inlineStr">
        <is>
          <t>Miss Glam Damar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CARESO</t>
        </is>
      </c>
      <c r="B767" s="2">
        <f>"8997234221153"</f>
        <v/>
      </c>
      <c r="C767" t="inlineStr">
        <is>
          <t>CARESO Sweet Violet Eau De Parfum 50ml</t>
        </is>
      </c>
      <c r="D767" t="inlineStr">
        <is>
          <t>Miss Glam Damar</t>
        </is>
      </c>
      <c r="E767" t="n">
        <v>21</v>
      </c>
      <c r="F767" t="n">
        <v>0.0273</v>
      </c>
      <c r="G767" t="n">
        <v>0.91</v>
      </c>
      <c r="H767" t="n">
        <v>2</v>
      </c>
      <c r="I767" t="n">
        <v>16</v>
      </c>
      <c r="J767" t="n">
        <v>3</v>
      </c>
      <c r="K767" t="n">
        <v>0</v>
      </c>
      <c r="L767" t="n">
        <v>96000</v>
      </c>
      <c r="M767" t="n">
        <v>120000</v>
      </c>
      <c r="N767" t="n">
        <v>91</v>
      </c>
      <c r="O767" t="n">
        <v>0.91</v>
      </c>
      <c r="P767" t="n">
        <v>1</v>
      </c>
      <c r="Q767" t="n">
        <v>0.5600000000000001</v>
      </c>
      <c r="R767" t="n">
        <v>4</v>
      </c>
      <c r="S767" t="n">
        <v>3276</v>
      </c>
      <c r="T767" t="n">
        <v>15</v>
      </c>
      <c r="U767" t="n">
        <v>16</v>
      </c>
      <c r="V767" t="n">
        <v>30</v>
      </c>
      <c r="W767" t="n">
        <v>1</v>
      </c>
      <c r="X767" t="n">
        <v>769.2307692307692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417</v>
      </c>
      <c r="AG767" t="n">
        <v>107</v>
      </c>
      <c r="AH767" t="inlineStr">
        <is>
          <t xml:space="preserve">CV. DAHLIA - PPN (PDG) </t>
        </is>
      </c>
      <c r="AI767" t="n">
        <v>423</v>
      </c>
      <c r="AJ767" t="inlineStr">
        <is>
          <t>CARESO</t>
        </is>
      </c>
      <c r="AK767" t="n">
        <v>21</v>
      </c>
      <c r="AL767" t="inlineStr">
        <is>
          <t>Miss Glam Damar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CARESO</t>
        </is>
      </c>
      <c r="B768" s="2">
        <f>"8997234220316"</f>
        <v/>
      </c>
      <c r="C768" t="inlineStr">
        <is>
          <t>CARESO Velvet Rose Body Lotion Brightening Elixir 50ml</t>
        </is>
      </c>
      <c r="D768" t="inlineStr">
        <is>
          <t>Miss Glam Damar</t>
        </is>
      </c>
      <c r="E768" t="n">
        <v>10</v>
      </c>
      <c r="F768" t="n">
        <v>0.2184</v>
      </c>
      <c r="G768" t="n">
        <v>1.82</v>
      </c>
      <c r="H768" t="n">
        <v>2</v>
      </c>
      <c r="I768" t="n">
        <v>16</v>
      </c>
      <c r="J768" t="n">
        <v>3</v>
      </c>
      <c r="K768" t="n">
        <v>0</v>
      </c>
      <c r="L768" t="n">
        <v>22400</v>
      </c>
      <c r="M768" t="n">
        <v>28000</v>
      </c>
      <c r="N768" t="n">
        <v>91</v>
      </c>
      <c r="O768" t="n">
        <v>0.91</v>
      </c>
      <c r="P768" t="n">
        <v>1</v>
      </c>
      <c r="Q768" t="n">
        <v>0.25</v>
      </c>
      <c r="R768" t="n">
        <v>2</v>
      </c>
      <c r="S768" t="n">
        <v>6115.200000000001</v>
      </c>
      <c r="T768" t="n">
        <v>29</v>
      </c>
      <c r="U768" t="n">
        <v>30</v>
      </c>
      <c r="V768" t="n">
        <v>30</v>
      </c>
      <c r="W768" t="n">
        <v>7</v>
      </c>
      <c r="X768" t="n">
        <v>45.78754578754579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417</v>
      </c>
      <c r="AG768" t="n">
        <v>107</v>
      </c>
      <c r="AH768" t="inlineStr">
        <is>
          <t xml:space="preserve">CV. DAHLIA - PPN (PDG) </t>
        </is>
      </c>
      <c r="AI768" t="n">
        <v>423</v>
      </c>
      <c r="AJ768" t="inlineStr">
        <is>
          <t>CARESO</t>
        </is>
      </c>
      <c r="AK768" t="n">
        <v>21</v>
      </c>
      <c r="AL768" t="inlineStr">
        <is>
          <t>Miss Glam Damar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CARESO</t>
        </is>
      </c>
      <c r="B769" s="2">
        <f>"30400258814"</f>
        <v/>
      </c>
      <c r="C769" t="inlineStr">
        <is>
          <t>CARESO Velvet Rose Eau de Toilette (EDT) 50ml</t>
        </is>
      </c>
      <c r="D769" t="inlineStr">
        <is>
          <t>Miss Glam Damar</t>
        </is>
      </c>
      <c r="E769" t="n">
        <v>12</v>
      </c>
      <c r="F769" t="n">
        <v>0.2457</v>
      </c>
      <c r="G769" t="n">
        <v>2.73</v>
      </c>
      <c r="H769" t="n">
        <v>2</v>
      </c>
      <c r="I769" t="n">
        <v>16</v>
      </c>
      <c r="J769" t="n">
        <v>1</v>
      </c>
      <c r="K769" t="n">
        <v>0</v>
      </c>
      <c r="L769" t="n">
        <v>49600</v>
      </c>
      <c r="M769" t="n">
        <v>62000</v>
      </c>
      <c r="N769" t="n">
        <v>91</v>
      </c>
      <c r="O769" t="n">
        <v>0.91</v>
      </c>
      <c r="P769" t="n">
        <v>1</v>
      </c>
      <c r="Q769" t="n">
        <v>0.44</v>
      </c>
      <c r="R769" t="n">
        <v>2</v>
      </c>
      <c r="S769" t="n">
        <v>15233.4</v>
      </c>
      <c r="T769" t="n">
        <v>44</v>
      </c>
      <c r="U769" t="n">
        <v>45</v>
      </c>
      <c r="V769" t="n">
        <v>30</v>
      </c>
      <c r="W769" t="n">
        <v>8</v>
      </c>
      <c r="X769" t="n">
        <v>48.84004884004884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417</v>
      </c>
      <c r="AG769" t="n">
        <v>107</v>
      </c>
      <c r="AH769" t="inlineStr">
        <is>
          <t xml:space="preserve">CV. DAHLIA - PPN (PDG) </t>
        </is>
      </c>
      <c r="AI769" t="n">
        <v>423</v>
      </c>
      <c r="AJ769" t="inlineStr">
        <is>
          <t>CARESO</t>
        </is>
      </c>
      <c r="AK769" t="n">
        <v>21</v>
      </c>
      <c r="AL769" t="inlineStr">
        <is>
          <t>Miss Glam Damar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CARESO</t>
        </is>
      </c>
      <c r="B770" s="2">
        <f>"30200195007"</f>
        <v/>
      </c>
      <c r="C770" t="inlineStr">
        <is>
          <t>CARESO White Persion Peach Body Lotion Brightening Elixir 300ml</t>
        </is>
      </c>
      <c r="D770" t="inlineStr">
        <is>
          <t>Miss Glam Damar</t>
        </is>
      </c>
      <c r="E770" t="n">
        <v>12</v>
      </c>
      <c r="F770" t="n">
        <v>0.04550000000000001</v>
      </c>
      <c r="G770" t="n">
        <v>0.91</v>
      </c>
      <c r="H770" t="n">
        <v>2</v>
      </c>
      <c r="I770" t="n">
        <v>16</v>
      </c>
      <c r="J770" t="n">
        <v>1</v>
      </c>
      <c r="K770" t="n">
        <v>0</v>
      </c>
      <c r="L770" t="n">
        <v>54400</v>
      </c>
      <c r="M770" t="n">
        <v>68000</v>
      </c>
      <c r="N770" t="n">
        <v>91</v>
      </c>
      <c r="O770" t="n">
        <v>0.91</v>
      </c>
      <c r="P770" t="n">
        <v>1</v>
      </c>
      <c r="Q770" t="n">
        <v>0.03</v>
      </c>
      <c r="R770" t="n">
        <v>1</v>
      </c>
      <c r="S770" t="n">
        <v>3094</v>
      </c>
      <c r="T770" t="n">
        <v>15</v>
      </c>
      <c r="U770" t="n">
        <v>16</v>
      </c>
      <c r="V770" t="n">
        <v>30</v>
      </c>
      <c r="W770" t="n">
        <v>2</v>
      </c>
      <c r="X770" t="n">
        <v>263.7362637362637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417</v>
      </c>
      <c r="AG770" t="n">
        <v>107</v>
      </c>
      <c r="AH770" t="inlineStr">
        <is>
          <t xml:space="preserve">CV. DAHLIA - PPN (PDG) </t>
        </is>
      </c>
      <c r="AI770" t="n">
        <v>423</v>
      </c>
      <c r="AJ770" t="inlineStr">
        <is>
          <t>CARESO</t>
        </is>
      </c>
      <c r="AK770" t="n">
        <v>21</v>
      </c>
      <c r="AL770" t="inlineStr">
        <is>
          <t>Miss Glam Damar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CARESO</t>
        </is>
      </c>
      <c r="B771" s="2">
        <f>"30200195110"</f>
        <v/>
      </c>
      <c r="C771" t="inlineStr">
        <is>
          <t>CARESO White Persion Peach Body Lotion Brightening Elixir 50m</t>
        </is>
      </c>
      <c r="D771" t="inlineStr">
        <is>
          <t>Miss Glam Damar</t>
        </is>
      </c>
      <c r="E771" t="n">
        <v>4</v>
      </c>
      <c r="F771" t="n">
        <v>0.09100000000000001</v>
      </c>
      <c r="G771" t="n">
        <v>0.91</v>
      </c>
      <c r="H771" t="n">
        <v>2</v>
      </c>
      <c r="I771" t="n">
        <v>16</v>
      </c>
      <c r="J771" t="n">
        <v>1</v>
      </c>
      <c r="K771" t="n">
        <v>0</v>
      </c>
      <c r="L771" t="n">
        <v>22400</v>
      </c>
      <c r="M771" t="n">
        <v>28000</v>
      </c>
      <c r="N771" t="n">
        <v>91</v>
      </c>
      <c r="O771" t="n">
        <v>0.91</v>
      </c>
      <c r="P771" t="n">
        <v>1</v>
      </c>
      <c r="Q771" t="n">
        <v>0.1</v>
      </c>
      <c r="R771" t="n">
        <v>2</v>
      </c>
      <c r="S771" t="n">
        <v>2548</v>
      </c>
      <c r="T771" t="n">
        <v>15</v>
      </c>
      <c r="U771" t="n">
        <v>16</v>
      </c>
      <c r="V771" t="n">
        <v>30</v>
      </c>
      <c r="W771" t="n">
        <v>3</v>
      </c>
      <c r="X771" t="n">
        <v>43.95604395604395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417</v>
      </c>
      <c r="AG771" t="n">
        <v>107</v>
      </c>
      <c r="AH771" t="inlineStr">
        <is>
          <t xml:space="preserve">CV. DAHLIA - PPN (PDG) </t>
        </is>
      </c>
      <c r="AI771" t="n">
        <v>423</v>
      </c>
      <c r="AJ771" t="inlineStr">
        <is>
          <t>CARESO</t>
        </is>
      </c>
      <c r="AK771" t="n">
        <v>21</v>
      </c>
      <c r="AL771" t="inlineStr">
        <is>
          <t>Miss Glam Damar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CARESO</t>
        </is>
      </c>
      <c r="B772" s="2">
        <f>"30400263116"</f>
        <v/>
      </c>
      <c r="C772" t="inlineStr">
        <is>
          <t>CARESO White Persion Peach Eau De Oud 50ml</t>
        </is>
      </c>
      <c r="D772" t="inlineStr">
        <is>
          <t>Miss Glam Damar</t>
        </is>
      </c>
      <c r="E772" t="n">
        <v>4</v>
      </c>
      <c r="F772" t="n">
        <v>0.09100000000000001</v>
      </c>
      <c r="G772" t="n">
        <v>1.82</v>
      </c>
      <c r="H772" t="n">
        <v>2</v>
      </c>
      <c r="I772" t="n">
        <v>16</v>
      </c>
      <c r="J772" t="n">
        <v>1</v>
      </c>
      <c r="K772" t="n">
        <v>0</v>
      </c>
      <c r="L772" t="n">
        <v>49600</v>
      </c>
      <c r="M772" t="n">
        <v>62000</v>
      </c>
      <c r="N772" t="n">
        <v>91</v>
      </c>
      <c r="O772" t="n">
        <v>0.91</v>
      </c>
      <c r="P772" t="n">
        <v>1</v>
      </c>
      <c r="Q772" t="n">
        <v>0.17</v>
      </c>
      <c r="R772" t="n">
        <v>1</v>
      </c>
      <c r="S772" t="n">
        <v>5642.000000000001</v>
      </c>
      <c r="T772" t="n">
        <v>29</v>
      </c>
      <c r="U772" t="n">
        <v>30</v>
      </c>
      <c r="V772" t="n">
        <v>30</v>
      </c>
      <c r="W772" t="n">
        <v>3</v>
      </c>
      <c r="X772" t="n">
        <v>43.95604395604395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417</v>
      </c>
      <c r="AG772" t="n">
        <v>107</v>
      </c>
      <c r="AH772" t="inlineStr">
        <is>
          <t xml:space="preserve">CV. DAHLIA - PPN (PDG) </t>
        </is>
      </c>
      <c r="AI772" t="n">
        <v>423</v>
      </c>
      <c r="AJ772" t="inlineStr">
        <is>
          <t>CARESO</t>
        </is>
      </c>
      <c r="AK772" t="n">
        <v>21</v>
      </c>
      <c r="AL772" t="inlineStr">
        <is>
          <t>Miss Glam Damar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CAVE</t>
        </is>
      </c>
      <c r="B773" s="2">
        <f>"30400187421"</f>
        <v/>
      </c>
      <c r="C773" t="inlineStr">
        <is>
          <t>CAVE Eau De Parfum Leather Oud 50ml</t>
        </is>
      </c>
      <c r="D773" t="inlineStr">
        <is>
          <t>Miss Glam Damar</t>
        </is>
      </c>
      <c r="E773" t="n">
        <v>0</v>
      </c>
      <c r="F773" t="n">
        <v>0.06</v>
      </c>
      <c r="G773" t="n">
        <v>1</v>
      </c>
      <c r="H773" t="n">
        <v>4</v>
      </c>
      <c r="I773" t="n">
        <v>21</v>
      </c>
      <c r="J773" t="n">
        <v>1</v>
      </c>
      <c r="K773" t="n">
        <v>0</v>
      </c>
      <c r="L773" t="n">
        <v>203389</v>
      </c>
      <c r="M773" t="n">
        <v>240000</v>
      </c>
      <c r="N773" t="n">
        <v>91</v>
      </c>
      <c r="O773" t="n">
        <v>0.91</v>
      </c>
      <c r="P773" t="n">
        <v>0</v>
      </c>
      <c r="Q773" t="n">
        <v>0.06</v>
      </c>
      <c r="R773" t="n">
        <v>1</v>
      </c>
      <c r="S773" t="n">
        <v>14400</v>
      </c>
      <c r="T773" t="n">
        <v>21</v>
      </c>
      <c r="U773" t="n">
        <v>22</v>
      </c>
      <c r="V773" t="n">
        <v>30</v>
      </c>
      <c r="W773" t="n">
        <v>2</v>
      </c>
      <c r="X773" t="n">
        <v>0</v>
      </c>
      <c r="Y773" t="n">
        <v>1</v>
      </c>
      <c r="Z773" t="n">
        <v>2</v>
      </c>
      <c r="AA773" t="n">
        <v>2</v>
      </c>
      <c r="AB773" t="n">
        <v>0</v>
      </c>
      <c r="AC773" t="n">
        <v>0</v>
      </c>
      <c r="AD773" t="n">
        <v>406778</v>
      </c>
      <c r="AE773" t="n">
        <v>0</v>
      </c>
      <c r="AF773" t="n">
        <v>4110</v>
      </c>
      <c r="AG773" t="n">
        <v>1</v>
      </c>
      <c r="AH773" t="inlineStr">
        <is>
          <t>PT. BERSAMA DISTRIVERSA INDONESIA (DC CIPUTAT)</t>
        </is>
      </c>
      <c r="AI773" t="n">
        <v>1621</v>
      </c>
      <c r="AJ773" t="inlineStr">
        <is>
          <t>CAVE</t>
        </is>
      </c>
      <c r="AK773" t="n">
        <v>21</v>
      </c>
      <c r="AL773" t="inlineStr">
        <is>
          <t>Miss Glam Damar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CBD</t>
        </is>
      </c>
      <c r="B774" s="2">
        <f>"8997226227262"</f>
        <v/>
      </c>
      <c r="C774" t="inlineStr">
        <is>
          <t>CBD  Color Shield Hair Mask With Pomegranate Extract 250gr</t>
        </is>
      </c>
      <c r="D774" t="inlineStr">
        <is>
          <t>Miss Glam Damar</t>
        </is>
      </c>
      <c r="E774" t="n">
        <v>5</v>
      </c>
      <c r="F774" t="n">
        <v>0.1274</v>
      </c>
      <c r="G774" t="n">
        <v>0.91</v>
      </c>
      <c r="H774" t="n">
        <v>3</v>
      </c>
      <c r="I774" t="n">
        <v>11</v>
      </c>
      <c r="J774" t="n">
        <v>3</v>
      </c>
      <c r="K774" t="n">
        <v>0</v>
      </c>
      <c r="L774" t="n">
        <v>54135</v>
      </c>
      <c r="M774" t="n">
        <v>60500</v>
      </c>
      <c r="N774" t="n">
        <v>91</v>
      </c>
      <c r="O774" t="n">
        <v>0.91</v>
      </c>
      <c r="P774" t="n">
        <v>1</v>
      </c>
      <c r="Q774" t="n">
        <v>0.2</v>
      </c>
      <c r="R774" t="n">
        <v>2</v>
      </c>
      <c r="S774" t="n">
        <v>7707.700000000001</v>
      </c>
      <c r="T774" t="n">
        <v>10</v>
      </c>
      <c r="U774" t="n">
        <v>11</v>
      </c>
      <c r="V774" t="n">
        <v>30</v>
      </c>
      <c r="W774" t="n">
        <v>4</v>
      </c>
      <c r="X774" t="n">
        <v>39.24646781789639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9983</v>
      </c>
      <c r="AG774" t="n">
        <v>78</v>
      </c>
      <c r="AH774" t="inlineStr">
        <is>
          <t>PT. GLORIENTA P.H - PPN (PDG)</t>
        </is>
      </c>
      <c r="AI774" t="n">
        <v>1160</v>
      </c>
      <c r="AJ774" t="inlineStr">
        <is>
          <t>CBD</t>
        </is>
      </c>
      <c r="AK774" t="n">
        <v>21</v>
      </c>
      <c r="AL774" t="inlineStr">
        <is>
          <t>Miss Glam Damar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CBD</t>
        </is>
      </c>
      <c r="B775" s="2">
        <f>"40200237905"</f>
        <v/>
      </c>
      <c r="C775" t="inlineStr">
        <is>
          <t>CBD Bio+ Peptide Complex 35gr</t>
        </is>
      </c>
      <c r="D775" t="inlineStr">
        <is>
          <t>Miss Glam Damar</t>
        </is>
      </c>
      <c r="E775" t="n">
        <v>12</v>
      </c>
      <c r="F775" t="n">
        <v>0.7371000000000001</v>
      </c>
      <c r="G775" t="n">
        <v>3.64</v>
      </c>
      <c r="H775" t="n">
        <v>3</v>
      </c>
      <c r="I775" t="n">
        <v>11</v>
      </c>
      <c r="J775" t="n">
        <v>1</v>
      </c>
      <c r="K775" t="n">
        <v>0</v>
      </c>
      <c r="L775" t="n">
        <v>7785</v>
      </c>
      <c r="M775" t="n">
        <v>10000</v>
      </c>
      <c r="N775" t="n">
        <v>91</v>
      </c>
      <c r="O775" t="n">
        <v>0.91</v>
      </c>
      <c r="P775" t="n">
        <v>1</v>
      </c>
      <c r="Q775" t="n">
        <v>0.24</v>
      </c>
      <c r="R775" t="n">
        <v>3</v>
      </c>
      <c r="S775" t="n">
        <v>7371.000000000001</v>
      </c>
      <c r="T775" t="n">
        <v>38</v>
      </c>
      <c r="U775" t="n">
        <v>41</v>
      </c>
      <c r="V775" t="n">
        <v>30</v>
      </c>
      <c r="W775" t="n">
        <v>23</v>
      </c>
      <c r="X775" t="n">
        <v>16.28001628001628</v>
      </c>
      <c r="Y775" t="n">
        <v>1</v>
      </c>
      <c r="Z775" t="n">
        <v>11</v>
      </c>
      <c r="AA775" t="n">
        <v>0</v>
      </c>
      <c r="AB775" t="n">
        <v>11</v>
      </c>
      <c r="AC775" t="n">
        <v>11</v>
      </c>
      <c r="AD775" t="n">
        <v>0</v>
      </c>
      <c r="AE775" t="n">
        <v>85635</v>
      </c>
      <c r="AF775" t="n">
        <v>9983</v>
      </c>
      <c r="AG775" t="n">
        <v>78</v>
      </c>
      <c r="AH775" t="inlineStr">
        <is>
          <t>PT. GLORIENTA P.H - PPN (PDG)</t>
        </is>
      </c>
      <c r="AI775" t="n">
        <v>1160</v>
      </c>
      <c r="AJ775" t="inlineStr">
        <is>
          <t>CBD</t>
        </is>
      </c>
      <c r="AK775" t="n">
        <v>21</v>
      </c>
      <c r="AL775" t="inlineStr">
        <is>
          <t>Miss Glam Damar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CBD</t>
        </is>
      </c>
      <c r="B776" s="2">
        <f>"8997226227125"</f>
        <v/>
      </c>
      <c r="C776" t="inlineStr">
        <is>
          <t>CBD Bio+Peptide Complex Conditioner 250ml</t>
        </is>
      </c>
      <c r="D776" t="inlineStr">
        <is>
          <t>Miss Glam Damar</t>
        </is>
      </c>
      <c r="E776" t="n">
        <v>2</v>
      </c>
      <c r="F776" t="n">
        <v>0.0273</v>
      </c>
      <c r="G776" t="n">
        <v>0.91</v>
      </c>
      <c r="H776" t="n">
        <v>3</v>
      </c>
      <c r="I776" t="n">
        <v>11</v>
      </c>
      <c r="J776" t="n">
        <v>3</v>
      </c>
      <c r="K776" t="n">
        <v>0</v>
      </c>
      <c r="L776" t="n">
        <v>40635</v>
      </c>
      <c r="M776" t="n">
        <v>54500</v>
      </c>
      <c r="N776" t="n">
        <v>91</v>
      </c>
      <c r="O776" t="n">
        <v>0.91</v>
      </c>
      <c r="P776" t="n">
        <v>1</v>
      </c>
      <c r="Q776" t="n">
        <v>0.12</v>
      </c>
      <c r="R776" t="n">
        <v>1</v>
      </c>
      <c r="S776" t="n">
        <v>1487.85</v>
      </c>
      <c r="T776" t="n">
        <v>10</v>
      </c>
      <c r="U776" t="n">
        <v>11</v>
      </c>
      <c r="V776" t="n">
        <v>30</v>
      </c>
      <c r="W776" t="n">
        <v>1</v>
      </c>
      <c r="X776" t="n">
        <v>73.26007326007326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9983</v>
      </c>
      <c r="AG776" t="n">
        <v>78</v>
      </c>
      <c r="AH776" t="inlineStr">
        <is>
          <t>PT. GLORIENTA P.H - PPN (PDG)</t>
        </is>
      </c>
      <c r="AI776" t="n">
        <v>1160</v>
      </c>
      <c r="AJ776" t="inlineStr">
        <is>
          <t>CBD</t>
        </is>
      </c>
      <c r="AK776" t="n">
        <v>21</v>
      </c>
      <c r="AL776" t="inlineStr">
        <is>
          <t>Miss Glam Damar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CBD</t>
        </is>
      </c>
      <c r="B777" s="2">
        <f>"8997226227132"</f>
        <v/>
      </c>
      <c r="C777" t="inlineStr">
        <is>
          <t>CBD Bio+Peptide Complex Hair Mask 500ml</t>
        </is>
      </c>
      <c r="D777" t="inlineStr">
        <is>
          <t>Miss Glam Damar</t>
        </is>
      </c>
      <c r="E777" t="n">
        <v>4</v>
      </c>
      <c r="F777" t="n">
        <v>0.0182</v>
      </c>
      <c r="G777" t="n">
        <v>0.91</v>
      </c>
      <c r="H777" t="n">
        <v>3</v>
      </c>
      <c r="I777" t="n">
        <v>11</v>
      </c>
      <c r="J777" t="n">
        <v>3</v>
      </c>
      <c r="K777" t="n">
        <v>0</v>
      </c>
      <c r="L777" t="n">
        <v>83610</v>
      </c>
      <c r="M777" t="n">
        <v>106500</v>
      </c>
      <c r="N777" t="n">
        <v>91</v>
      </c>
      <c r="O777" t="n">
        <v>0.91</v>
      </c>
      <c r="P777" t="n">
        <v>1</v>
      </c>
      <c r="Q777" t="n">
        <v>0.07000000000000001</v>
      </c>
      <c r="R777" t="n">
        <v>1</v>
      </c>
      <c r="S777" t="n">
        <v>1938.3</v>
      </c>
      <c r="T777" t="n">
        <v>10</v>
      </c>
      <c r="U777" t="n">
        <v>11</v>
      </c>
      <c r="V777" t="n">
        <v>30</v>
      </c>
      <c r="W777" t="n">
        <v>1</v>
      </c>
      <c r="X777" t="n">
        <v>219.7802197802198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9983</v>
      </c>
      <c r="AG777" t="n">
        <v>78</v>
      </c>
      <c r="AH777" t="inlineStr">
        <is>
          <t>PT. GLORIENTA P.H - PPN (PDG)</t>
        </is>
      </c>
      <c r="AI777" t="n">
        <v>1160</v>
      </c>
      <c r="AJ777" t="inlineStr">
        <is>
          <t>CBD</t>
        </is>
      </c>
      <c r="AK777" t="n">
        <v>21</v>
      </c>
      <c r="AL777" t="inlineStr">
        <is>
          <t>Miss Glam Damar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CBD</t>
        </is>
      </c>
      <c r="B778" s="2">
        <f>"8997226227118"</f>
        <v/>
      </c>
      <c r="C778" t="inlineStr">
        <is>
          <t>CBD Bio+Peptide Complex Shampo 24x 250 ml</t>
        </is>
      </c>
      <c r="D778" t="inlineStr">
        <is>
          <t>Miss Glam Damar</t>
        </is>
      </c>
      <c r="E778" t="n">
        <v>4</v>
      </c>
      <c r="F778" t="n">
        <v>0.1547</v>
      </c>
      <c r="G778" t="n">
        <v>1.82</v>
      </c>
      <c r="H778" t="n">
        <v>3</v>
      </c>
      <c r="I778" t="n">
        <v>11</v>
      </c>
      <c r="J778" t="n">
        <v>3</v>
      </c>
      <c r="K778" t="n">
        <v>0</v>
      </c>
      <c r="L778" t="n">
        <v>40635</v>
      </c>
      <c r="M778" t="n">
        <v>54500</v>
      </c>
      <c r="N778" t="n">
        <v>91</v>
      </c>
      <c r="O778" t="n">
        <v>0.91</v>
      </c>
      <c r="P778" t="n">
        <v>1</v>
      </c>
      <c r="Q778" t="n">
        <v>0.15</v>
      </c>
      <c r="R778" t="n">
        <v>2</v>
      </c>
      <c r="S778" t="n">
        <v>8431.15</v>
      </c>
      <c r="T778" t="n">
        <v>20</v>
      </c>
      <c r="U778" t="n">
        <v>21</v>
      </c>
      <c r="V778" t="n">
        <v>30</v>
      </c>
      <c r="W778" t="n">
        <v>5</v>
      </c>
      <c r="X778" t="n">
        <v>25.85649644473174</v>
      </c>
      <c r="Y778" t="n">
        <v>1</v>
      </c>
      <c r="Z778" t="n">
        <v>1</v>
      </c>
      <c r="AA778" t="n">
        <v>0</v>
      </c>
      <c r="AB778" t="n">
        <v>1</v>
      </c>
      <c r="AC778" t="n">
        <v>3</v>
      </c>
      <c r="AD778" t="n">
        <v>0</v>
      </c>
      <c r="AE778" t="n">
        <v>121905</v>
      </c>
      <c r="AF778" t="n">
        <v>9983</v>
      </c>
      <c r="AG778" t="n">
        <v>78</v>
      </c>
      <c r="AH778" t="inlineStr">
        <is>
          <t>PT. GLORIENTA P.H - PPN (PDG)</t>
        </is>
      </c>
      <c r="AI778" t="n">
        <v>1160</v>
      </c>
      <c r="AJ778" t="inlineStr">
        <is>
          <t>CBD</t>
        </is>
      </c>
      <c r="AK778" t="n">
        <v>21</v>
      </c>
      <c r="AL778" t="inlineStr">
        <is>
          <t>Miss Glam Damar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CBD</t>
        </is>
      </c>
      <c r="B779" s="2">
        <f>"8997226224445"</f>
        <v/>
      </c>
      <c r="C779" t="inlineStr">
        <is>
          <t>CBD Collagen Repair Conditioner With Raspberry Extract Marine Collagen &amp; Pro Vitamin B5 250ml</t>
        </is>
      </c>
      <c r="D779" t="inlineStr">
        <is>
          <t>Miss Glam Damar</t>
        </is>
      </c>
      <c r="E779" t="n">
        <v>4</v>
      </c>
      <c r="F779" t="n">
        <v>0.2002</v>
      </c>
      <c r="G779" t="n">
        <v>1.82</v>
      </c>
      <c r="H779" t="n">
        <v>3</v>
      </c>
      <c r="I779" t="n">
        <v>11</v>
      </c>
      <c r="J779" t="n">
        <v>3</v>
      </c>
      <c r="K779" t="n">
        <v>0</v>
      </c>
      <c r="L779" t="n">
        <v>40389</v>
      </c>
      <c r="M779" t="n">
        <v>45000</v>
      </c>
      <c r="N779" t="n">
        <v>91</v>
      </c>
      <c r="O779" t="n">
        <v>0.91</v>
      </c>
      <c r="P779" t="n">
        <v>1</v>
      </c>
      <c r="Q779" t="n">
        <v>0.24</v>
      </c>
      <c r="R779" t="n">
        <v>2</v>
      </c>
      <c r="S779" t="n">
        <v>9009</v>
      </c>
      <c r="T779" t="n">
        <v>20</v>
      </c>
      <c r="U779" t="n">
        <v>21</v>
      </c>
      <c r="V779" t="n">
        <v>30</v>
      </c>
      <c r="W779" t="n">
        <v>7</v>
      </c>
      <c r="X779" t="n">
        <v>19.98001998001998</v>
      </c>
      <c r="Y779" t="n">
        <v>1</v>
      </c>
      <c r="Z779" t="n">
        <v>3</v>
      </c>
      <c r="AA779" t="n">
        <v>0</v>
      </c>
      <c r="AB779" t="n">
        <v>3</v>
      </c>
      <c r="AC779" t="n">
        <v>3</v>
      </c>
      <c r="AD779" t="n">
        <v>0</v>
      </c>
      <c r="AE779" t="n">
        <v>121167</v>
      </c>
      <c r="AF779" t="n">
        <v>9983</v>
      </c>
      <c r="AG779" t="n">
        <v>78</v>
      </c>
      <c r="AH779" t="inlineStr">
        <is>
          <t>PT. GLORIENTA P.H - PPN (PDG)</t>
        </is>
      </c>
      <c r="AI779" t="n">
        <v>1160</v>
      </c>
      <c r="AJ779" t="inlineStr">
        <is>
          <t>CBD</t>
        </is>
      </c>
      <c r="AK779" t="n">
        <v>21</v>
      </c>
      <c r="AL779" t="inlineStr">
        <is>
          <t>Miss Glam Damar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CBD</t>
        </is>
      </c>
      <c r="B780" s="2">
        <f>"40200238057"</f>
        <v/>
      </c>
      <c r="C780" t="inlineStr">
        <is>
          <t>CBD Collagen Repair Hair Mask 35gr</t>
        </is>
      </c>
      <c r="D780" t="inlineStr">
        <is>
          <t>Miss Glam Damar</t>
        </is>
      </c>
      <c r="E780" t="n">
        <v>29</v>
      </c>
      <c r="F780" t="n">
        <v>1.5015</v>
      </c>
      <c r="G780" t="n">
        <v>6.37</v>
      </c>
      <c r="H780" t="n">
        <v>3</v>
      </c>
      <c r="I780" t="n">
        <v>11</v>
      </c>
      <c r="J780" t="n">
        <v>1</v>
      </c>
      <c r="K780" t="n">
        <v>0</v>
      </c>
      <c r="L780" t="n">
        <v>8460</v>
      </c>
      <c r="M780" t="n">
        <v>10000</v>
      </c>
      <c r="N780" t="n">
        <v>91</v>
      </c>
      <c r="O780" t="n">
        <v>0.91</v>
      </c>
      <c r="P780" t="n">
        <v>1</v>
      </c>
      <c r="Q780" t="n">
        <v>0.8100000000000001</v>
      </c>
      <c r="R780" t="n">
        <v>6</v>
      </c>
      <c r="S780" t="n">
        <v>15015</v>
      </c>
      <c r="T780" t="n">
        <v>66</v>
      </c>
      <c r="U780" t="n">
        <v>71</v>
      </c>
      <c r="V780" t="n">
        <v>30</v>
      </c>
      <c r="W780" t="n">
        <v>46</v>
      </c>
      <c r="X780" t="n">
        <v>19.31401931401931</v>
      </c>
      <c r="Y780" t="n">
        <v>1</v>
      </c>
      <c r="Z780" t="n">
        <v>17</v>
      </c>
      <c r="AA780" t="n">
        <v>0</v>
      </c>
      <c r="AB780" t="n">
        <v>17</v>
      </c>
      <c r="AC780" t="n">
        <v>17</v>
      </c>
      <c r="AD780" t="n">
        <v>0</v>
      </c>
      <c r="AE780" t="n">
        <v>143820</v>
      </c>
      <c r="AF780" t="n">
        <v>9983</v>
      </c>
      <c r="AG780" t="n">
        <v>78</v>
      </c>
      <c r="AH780" t="inlineStr">
        <is>
          <t>PT. GLORIENTA P.H - PPN (PDG)</t>
        </is>
      </c>
      <c r="AI780" t="n">
        <v>1160</v>
      </c>
      <c r="AJ780" t="inlineStr">
        <is>
          <t>CBD</t>
        </is>
      </c>
      <c r="AK780" t="n">
        <v>21</v>
      </c>
      <c r="AL780" t="inlineStr">
        <is>
          <t>Miss Glam Damar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CBD</t>
        </is>
      </c>
      <c r="B781" s="2">
        <f>"8997226228382"</f>
        <v/>
      </c>
      <c r="C781" t="inlineStr">
        <is>
          <t>CBD Collagen Repair Hair Mask with Raspberry Extract 250gr</t>
        </is>
      </c>
      <c r="D781" t="inlineStr">
        <is>
          <t>Miss Glam Damar</t>
        </is>
      </c>
      <c r="E781" t="n">
        <v>3</v>
      </c>
      <c r="F781" t="n">
        <v>0.1547</v>
      </c>
      <c r="G781" t="n">
        <v>1.82</v>
      </c>
      <c r="H781" t="n">
        <v>3</v>
      </c>
      <c r="I781" t="n">
        <v>11</v>
      </c>
      <c r="J781" t="n">
        <v>3</v>
      </c>
      <c r="K781" t="n">
        <v>0</v>
      </c>
      <c r="L781" t="n">
        <v>55476</v>
      </c>
      <c r="M781" t="n">
        <v>62000</v>
      </c>
      <c r="N781" t="n">
        <v>91</v>
      </c>
      <c r="O781" t="n">
        <v>0.91</v>
      </c>
      <c r="P781" t="n">
        <v>1</v>
      </c>
      <c r="Q781" t="n">
        <v>0.2</v>
      </c>
      <c r="R781" t="n">
        <v>2</v>
      </c>
      <c r="S781" t="n">
        <v>9591.4</v>
      </c>
      <c r="T781" t="n">
        <v>20</v>
      </c>
      <c r="U781" t="n">
        <v>21</v>
      </c>
      <c r="V781" t="n">
        <v>30</v>
      </c>
      <c r="W781" t="n">
        <v>5</v>
      </c>
      <c r="X781" t="n">
        <v>19.3923723335488</v>
      </c>
      <c r="Y781" t="n">
        <v>1</v>
      </c>
      <c r="Z781" t="n">
        <v>2</v>
      </c>
      <c r="AA781" t="n">
        <v>0</v>
      </c>
      <c r="AB781" t="n">
        <v>2</v>
      </c>
      <c r="AC781" t="n">
        <v>3</v>
      </c>
      <c r="AD781" t="n">
        <v>0</v>
      </c>
      <c r="AE781" t="n">
        <v>166428</v>
      </c>
      <c r="AF781" t="n">
        <v>9983</v>
      </c>
      <c r="AG781" t="n">
        <v>78</v>
      </c>
      <c r="AH781" t="inlineStr">
        <is>
          <t>PT. GLORIENTA P.H - PPN (PDG)</t>
        </is>
      </c>
      <c r="AI781" t="n">
        <v>1160</v>
      </c>
      <c r="AJ781" t="inlineStr">
        <is>
          <t>CBD</t>
        </is>
      </c>
      <c r="AK781" t="n">
        <v>21</v>
      </c>
      <c r="AL781" t="inlineStr">
        <is>
          <t>Miss Glam Damar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CBD</t>
        </is>
      </c>
      <c r="B782" s="2">
        <f>"8997226224452"</f>
        <v/>
      </c>
      <c r="C782" t="inlineStr">
        <is>
          <t>CBD Collagen Repair Hair Mask With Raspberry Extract Marine Collagen &amp; Pro Vitamin B5 500gr</t>
        </is>
      </c>
      <c r="D782" t="inlineStr">
        <is>
          <t>Miss Glam Damar</t>
        </is>
      </c>
      <c r="E782" t="n">
        <v>3</v>
      </c>
      <c r="F782" t="n">
        <v>0.09100000000000001</v>
      </c>
      <c r="G782" t="n">
        <v>1.82</v>
      </c>
      <c r="H782" t="n">
        <v>3</v>
      </c>
      <c r="I782" t="n">
        <v>11</v>
      </c>
      <c r="J782" t="n">
        <v>3</v>
      </c>
      <c r="K782" t="n">
        <v>0</v>
      </c>
      <c r="L782" t="n">
        <v>86535</v>
      </c>
      <c r="M782" t="n">
        <v>96500</v>
      </c>
      <c r="N782" t="n">
        <v>91</v>
      </c>
      <c r="O782" t="n">
        <v>0.91</v>
      </c>
      <c r="P782" t="n">
        <v>1</v>
      </c>
      <c r="Q782" t="n">
        <v>0.19</v>
      </c>
      <c r="R782" t="n">
        <v>2</v>
      </c>
      <c r="S782" t="n">
        <v>8781.500000000002</v>
      </c>
      <c r="T782" t="n">
        <v>20</v>
      </c>
      <c r="U782" t="n">
        <v>21</v>
      </c>
      <c r="V782" t="n">
        <v>30</v>
      </c>
      <c r="W782" t="n">
        <v>3</v>
      </c>
      <c r="X782" t="n">
        <v>32.96703296703296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9983</v>
      </c>
      <c r="AG782" t="n">
        <v>78</v>
      </c>
      <c r="AH782" t="inlineStr">
        <is>
          <t>PT. GLORIENTA P.H - PPN (PDG)</t>
        </is>
      </c>
      <c r="AI782" t="n">
        <v>1160</v>
      </c>
      <c r="AJ782" t="inlineStr">
        <is>
          <t>CBD</t>
        </is>
      </c>
      <c r="AK782" t="n">
        <v>21</v>
      </c>
      <c r="AL782" t="inlineStr">
        <is>
          <t>Miss Glam Damar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CBD</t>
        </is>
      </c>
      <c r="B783" s="2">
        <f>"8997226225008"</f>
        <v/>
      </c>
      <c r="C783" t="inlineStr">
        <is>
          <t>CBD Collagen Repair Hair Serum Oil With Raspberry Extract, Collagen &amp; Safflower Seed Oil 100ml</t>
        </is>
      </c>
      <c r="D783" t="inlineStr">
        <is>
          <t>Miss Glam Damar</t>
        </is>
      </c>
      <c r="E783" t="n">
        <v>11</v>
      </c>
      <c r="F783" t="n">
        <v>0.182</v>
      </c>
      <c r="G783" t="n">
        <v>0.91</v>
      </c>
      <c r="H783" t="n">
        <v>3</v>
      </c>
      <c r="I783" t="n">
        <v>11</v>
      </c>
      <c r="J783" t="n">
        <v>3</v>
      </c>
      <c r="K783" t="n">
        <v>0</v>
      </c>
      <c r="L783" t="n">
        <v>59535</v>
      </c>
      <c r="M783" t="n">
        <v>66500</v>
      </c>
      <c r="N783" t="n">
        <v>91</v>
      </c>
      <c r="O783" t="n">
        <v>0.91</v>
      </c>
      <c r="P783" t="n">
        <v>1</v>
      </c>
      <c r="Q783" t="n">
        <v>0.22</v>
      </c>
      <c r="R783" t="n">
        <v>1</v>
      </c>
      <c r="S783" t="n">
        <v>12103</v>
      </c>
      <c r="T783" t="n">
        <v>10</v>
      </c>
      <c r="U783" t="n">
        <v>11</v>
      </c>
      <c r="V783" t="n">
        <v>30</v>
      </c>
      <c r="W783" t="n">
        <v>6</v>
      </c>
      <c r="X783" t="n">
        <v>60.43956043956043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9983</v>
      </c>
      <c r="AG783" t="n">
        <v>78</v>
      </c>
      <c r="AH783" t="inlineStr">
        <is>
          <t>PT. GLORIENTA P.H - PPN (PDG)</t>
        </is>
      </c>
      <c r="AI783" t="n">
        <v>1160</v>
      </c>
      <c r="AJ783" t="inlineStr">
        <is>
          <t>CBD</t>
        </is>
      </c>
      <c r="AK783" t="n">
        <v>21</v>
      </c>
      <c r="AL783" t="inlineStr">
        <is>
          <t>Miss Glam Damar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CBD</t>
        </is>
      </c>
      <c r="B784" s="2">
        <f>"8997226224438"</f>
        <v/>
      </c>
      <c r="C784" t="inlineStr">
        <is>
          <t>CBD Collagen Repair Shampoo With Raspberry Extract Marine Collagen &amp; Pro Vitamin B5 250ml</t>
        </is>
      </c>
      <c r="D784" t="inlineStr">
        <is>
          <t>Miss Glam Damar</t>
        </is>
      </c>
      <c r="E784" t="n">
        <v>8</v>
      </c>
      <c r="F784" t="n">
        <v>0.2912</v>
      </c>
      <c r="G784" t="n">
        <v>2.73</v>
      </c>
      <c r="H784" t="n">
        <v>3</v>
      </c>
      <c r="I784" t="n">
        <v>11</v>
      </c>
      <c r="J784" t="n">
        <v>6</v>
      </c>
      <c r="K784" t="n">
        <v>0</v>
      </c>
      <c r="L784" t="n">
        <v>40410</v>
      </c>
      <c r="M784" t="n">
        <v>45000</v>
      </c>
      <c r="N784" t="n">
        <v>91</v>
      </c>
      <c r="O784" t="n">
        <v>0.91</v>
      </c>
      <c r="P784" t="n">
        <v>1</v>
      </c>
      <c r="Q784" t="n">
        <v>0.14</v>
      </c>
      <c r="R784" t="n">
        <v>1</v>
      </c>
      <c r="S784" t="n">
        <v>13104</v>
      </c>
      <c r="T784" t="n">
        <v>30</v>
      </c>
      <c r="U784" t="n">
        <v>31</v>
      </c>
      <c r="V784" t="n">
        <v>30</v>
      </c>
      <c r="W784" t="n">
        <v>9</v>
      </c>
      <c r="X784" t="n">
        <v>27.47252747252747</v>
      </c>
      <c r="Y784" t="n">
        <v>1</v>
      </c>
      <c r="Z784" t="n">
        <v>1</v>
      </c>
      <c r="AA784" t="n">
        <v>0</v>
      </c>
      <c r="AB784" t="n">
        <v>1</v>
      </c>
      <c r="AC784" t="n">
        <v>6</v>
      </c>
      <c r="AD784" t="n">
        <v>0</v>
      </c>
      <c r="AE784" t="n">
        <v>242460</v>
      </c>
      <c r="AF784" t="n">
        <v>9983</v>
      </c>
      <c r="AG784" t="n">
        <v>78</v>
      </c>
      <c r="AH784" t="inlineStr">
        <is>
          <t>PT. GLORIENTA P.H - PPN (PDG)</t>
        </is>
      </c>
      <c r="AI784" t="n">
        <v>1160</v>
      </c>
      <c r="AJ784" t="inlineStr">
        <is>
          <t>CBD</t>
        </is>
      </c>
      <c r="AK784" t="n">
        <v>21</v>
      </c>
      <c r="AL784" t="inlineStr">
        <is>
          <t>Miss Glam Damar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CBD</t>
        </is>
      </c>
      <c r="B785" s="2">
        <f>"8997226224414"</f>
        <v/>
      </c>
      <c r="C785" t="inlineStr">
        <is>
          <t>CBD Color Shield Conditioner With Pomegranate Extract 250ml</t>
        </is>
      </c>
      <c r="D785" t="inlineStr">
        <is>
          <t>Miss Glam Damar</t>
        </is>
      </c>
      <c r="E785" t="n">
        <v>11</v>
      </c>
      <c r="F785" t="n">
        <v>0.1729</v>
      </c>
      <c r="G785" t="n">
        <v>1.82</v>
      </c>
      <c r="H785" t="n">
        <v>3</v>
      </c>
      <c r="I785" t="n">
        <v>11</v>
      </c>
      <c r="J785" t="n">
        <v>3</v>
      </c>
      <c r="K785" t="n">
        <v>0</v>
      </c>
      <c r="L785" t="n">
        <v>36810</v>
      </c>
      <c r="M785" t="n">
        <v>41000</v>
      </c>
      <c r="N785" t="n">
        <v>91</v>
      </c>
      <c r="O785" t="n">
        <v>0.91</v>
      </c>
      <c r="P785" t="n">
        <v>1</v>
      </c>
      <c r="Q785" t="n">
        <v>0.32</v>
      </c>
      <c r="R785" t="n">
        <v>2</v>
      </c>
      <c r="S785" t="n">
        <v>7088.9</v>
      </c>
      <c r="T785" t="n">
        <v>20</v>
      </c>
      <c r="U785" t="n">
        <v>21</v>
      </c>
      <c r="V785" t="n">
        <v>30</v>
      </c>
      <c r="W785" t="n">
        <v>6</v>
      </c>
      <c r="X785" t="n">
        <v>63.62058993637941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9983</v>
      </c>
      <c r="AG785" t="n">
        <v>78</v>
      </c>
      <c r="AH785" t="inlineStr">
        <is>
          <t>PT. GLORIENTA P.H - PPN (PDG)</t>
        </is>
      </c>
      <c r="AI785" t="n">
        <v>1160</v>
      </c>
      <c r="AJ785" t="inlineStr">
        <is>
          <t>CBD</t>
        </is>
      </c>
      <c r="AK785" t="n">
        <v>21</v>
      </c>
      <c r="AL785" t="inlineStr">
        <is>
          <t>Miss Glam Damar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CBD</t>
        </is>
      </c>
      <c r="B786" s="2">
        <f>"40200237824"</f>
        <v/>
      </c>
      <c r="C786" t="inlineStr">
        <is>
          <t>CBD Color Shield Hair Mask 35gr</t>
        </is>
      </c>
      <c r="D786" t="inlineStr">
        <is>
          <t>Miss Glam Damar</t>
        </is>
      </c>
      <c r="E786" t="n">
        <v>19</v>
      </c>
      <c r="F786" t="n">
        <v>1.2376</v>
      </c>
      <c r="G786" t="n">
        <v>4.55</v>
      </c>
      <c r="H786" t="n">
        <v>3</v>
      </c>
      <c r="I786" t="n">
        <v>11</v>
      </c>
      <c r="J786" t="n">
        <v>1</v>
      </c>
      <c r="K786" t="n">
        <v>0</v>
      </c>
      <c r="L786" t="n">
        <v>8100</v>
      </c>
      <c r="M786" t="n">
        <v>10000</v>
      </c>
      <c r="N786" t="n">
        <v>91</v>
      </c>
      <c r="O786" t="n">
        <v>0.91</v>
      </c>
      <c r="P786" t="n">
        <v>1</v>
      </c>
      <c r="Q786" t="n">
        <v>0.6899999999999999</v>
      </c>
      <c r="R786" t="n">
        <v>4</v>
      </c>
      <c r="S786" t="n">
        <v>12376</v>
      </c>
      <c r="T786" t="n">
        <v>47</v>
      </c>
      <c r="U786" t="n">
        <v>51</v>
      </c>
      <c r="V786" t="n">
        <v>30</v>
      </c>
      <c r="W786" t="n">
        <v>38</v>
      </c>
      <c r="X786" t="n">
        <v>15.35229476405947</v>
      </c>
      <c r="Y786" t="n">
        <v>1</v>
      </c>
      <c r="Z786" t="n">
        <v>19</v>
      </c>
      <c r="AA786" t="n">
        <v>0</v>
      </c>
      <c r="AB786" t="n">
        <v>19</v>
      </c>
      <c r="AC786" t="n">
        <v>19</v>
      </c>
      <c r="AD786" t="n">
        <v>0</v>
      </c>
      <c r="AE786" t="n">
        <v>153900</v>
      </c>
      <c r="AF786" t="n">
        <v>9983</v>
      </c>
      <c r="AG786" t="n">
        <v>78</v>
      </c>
      <c r="AH786" t="inlineStr">
        <is>
          <t>PT. GLORIENTA P.H - PPN (PDG)</t>
        </is>
      </c>
      <c r="AI786" t="n">
        <v>1160</v>
      </c>
      <c r="AJ786" t="inlineStr">
        <is>
          <t>CBD</t>
        </is>
      </c>
      <c r="AK786" t="n">
        <v>21</v>
      </c>
      <c r="AL786" t="inlineStr">
        <is>
          <t>Miss Glam Damar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CBD</t>
        </is>
      </c>
      <c r="B787" s="2">
        <f>"8997226224421"</f>
        <v/>
      </c>
      <c r="C787" t="inlineStr">
        <is>
          <t>CBD Color Shield Hair Mask 500gr</t>
        </is>
      </c>
      <c r="D787" t="inlineStr">
        <is>
          <t>Miss Glam Damar</t>
        </is>
      </c>
      <c r="E787" t="n">
        <v>6</v>
      </c>
      <c r="F787" t="n">
        <v>0.09100000000000001</v>
      </c>
      <c r="G787" t="n">
        <v>0.91</v>
      </c>
      <c r="H787" t="n">
        <v>3</v>
      </c>
      <c r="I787" t="n">
        <v>11</v>
      </c>
      <c r="J787" t="n">
        <v>3</v>
      </c>
      <c r="K787" t="n">
        <v>0</v>
      </c>
      <c r="L787" t="n">
        <v>86521</v>
      </c>
      <c r="M787" t="n">
        <v>96500</v>
      </c>
      <c r="N787" t="n">
        <v>91</v>
      </c>
      <c r="O787" t="n">
        <v>0.91</v>
      </c>
      <c r="P787" t="n">
        <v>1</v>
      </c>
      <c r="Q787" t="n">
        <v>0.25</v>
      </c>
      <c r="R787" t="n">
        <v>2</v>
      </c>
      <c r="S787" t="n">
        <v>8781.500000000002</v>
      </c>
      <c r="T787" t="n">
        <v>10</v>
      </c>
      <c r="U787" t="n">
        <v>11</v>
      </c>
      <c r="V787" t="n">
        <v>30</v>
      </c>
      <c r="W787" t="n">
        <v>3</v>
      </c>
      <c r="X787" t="n">
        <v>65.93406593406593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9983</v>
      </c>
      <c r="AG787" t="n">
        <v>78</v>
      </c>
      <c r="AH787" t="inlineStr">
        <is>
          <t>PT. GLORIENTA P.H - PPN (PDG)</t>
        </is>
      </c>
      <c r="AI787" t="n">
        <v>1160</v>
      </c>
      <c r="AJ787" t="inlineStr">
        <is>
          <t>CBD</t>
        </is>
      </c>
      <c r="AK787" t="n">
        <v>21</v>
      </c>
      <c r="AL787" t="inlineStr">
        <is>
          <t>Miss Glam Damar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CBD</t>
        </is>
      </c>
      <c r="B788" s="2">
        <f>"8997226228344"</f>
        <v/>
      </c>
      <c r="C788" t="inlineStr">
        <is>
          <t>CBD Color Shield Hair Vitamin 24 x 100ml</t>
        </is>
      </c>
      <c r="D788" t="inlineStr">
        <is>
          <t>Miss Glam Damar</t>
        </is>
      </c>
      <c r="E788" t="n">
        <v>9</v>
      </c>
      <c r="F788" t="n">
        <v>0.06370000000000001</v>
      </c>
      <c r="G788" t="n">
        <v>0.91</v>
      </c>
      <c r="H788" t="n">
        <v>3</v>
      </c>
      <c r="I788" t="n">
        <v>11</v>
      </c>
      <c r="J788" t="n">
        <v>3</v>
      </c>
      <c r="K788" t="n">
        <v>0</v>
      </c>
      <c r="L788" t="n">
        <v>54042</v>
      </c>
      <c r="M788" t="n">
        <v>60500</v>
      </c>
      <c r="N788" t="n">
        <v>91</v>
      </c>
      <c r="O788" t="n">
        <v>0.91</v>
      </c>
      <c r="P788" t="n">
        <v>1</v>
      </c>
      <c r="Q788" t="n">
        <v>0.12</v>
      </c>
      <c r="R788" t="n">
        <v>2</v>
      </c>
      <c r="S788" t="n">
        <v>3853.85</v>
      </c>
      <c r="T788" t="n">
        <v>10</v>
      </c>
      <c r="U788" t="n">
        <v>11</v>
      </c>
      <c r="V788" t="n">
        <v>30</v>
      </c>
      <c r="W788" t="n">
        <v>2</v>
      </c>
      <c r="X788" t="n">
        <v>141.287284144427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9983</v>
      </c>
      <c r="AG788" t="n">
        <v>78</v>
      </c>
      <c r="AH788" t="inlineStr">
        <is>
          <t>PT. GLORIENTA P.H - PPN (PDG)</t>
        </is>
      </c>
      <c r="AI788" t="n">
        <v>1160</v>
      </c>
      <c r="AJ788" t="inlineStr">
        <is>
          <t>CBD</t>
        </is>
      </c>
      <c r="AK788" t="n">
        <v>21</v>
      </c>
      <c r="AL788" t="inlineStr">
        <is>
          <t>Miss Glam Damar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CBD</t>
        </is>
      </c>
      <c r="B789" s="2">
        <f>"8997226224407"</f>
        <v/>
      </c>
      <c r="C789" t="inlineStr">
        <is>
          <t>CBD Color Shield Shampoo with Pomegranate Extract 250ml</t>
        </is>
      </c>
      <c r="D789" t="inlineStr">
        <is>
          <t>Miss Glam Damar</t>
        </is>
      </c>
      <c r="E789" t="n">
        <v>11</v>
      </c>
      <c r="F789" t="n">
        <v>0.2912</v>
      </c>
      <c r="G789" t="n">
        <v>3.64</v>
      </c>
      <c r="H789" t="n">
        <v>3</v>
      </c>
      <c r="I789" t="n">
        <v>11</v>
      </c>
      <c r="J789" t="n">
        <v>6</v>
      </c>
      <c r="K789" t="n">
        <v>0</v>
      </c>
      <c r="L789" t="n">
        <v>36811</v>
      </c>
      <c r="M789" t="n">
        <v>41000</v>
      </c>
      <c r="N789" t="n">
        <v>91</v>
      </c>
      <c r="O789" t="n">
        <v>0.91</v>
      </c>
      <c r="P789" t="n">
        <v>1</v>
      </c>
      <c r="Q789" t="n">
        <v>0.34</v>
      </c>
      <c r="R789" t="n">
        <v>4</v>
      </c>
      <c r="S789" t="n">
        <v>11939.2</v>
      </c>
      <c r="T789" t="n">
        <v>40</v>
      </c>
      <c r="U789" t="n">
        <v>41</v>
      </c>
      <c r="V789" t="n">
        <v>30</v>
      </c>
      <c r="W789" t="n">
        <v>9</v>
      </c>
      <c r="X789" t="n">
        <v>37.77472527472527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9983</v>
      </c>
      <c r="AG789" t="n">
        <v>78</v>
      </c>
      <c r="AH789" t="inlineStr">
        <is>
          <t>PT. GLORIENTA P.H - PPN (PDG)</t>
        </is>
      </c>
      <c r="AI789" t="n">
        <v>1160</v>
      </c>
      <c r="AJ789" t="inlineStr">
        <is>
          <t>CBD</t>
        </is>
      </c>
      <c r="AK789" t="n">
        <v>21</v>
      </c>
      <c r="AL789" t="inlineStr">
        <is>
          <t>Miss Glam Damar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CBD</t>
        </is>
      </c>
      <c r="B790" s="2">
        <f>"8997226227798"</f>
        <v/>
      </c>
      <c r="C790" t="inlineStr">
        <is>
          <t>CBD Figo Hair Boost Aqua Glow 100ml</t>
        </is>
      </c>
      <c r="D790" t="inlineStr">
        <is>
          <t>Miss Glam Damar</t>
        </is>
      </c>
      <c r="E790" t="n">
        <v>4</v>
      </c>
      <c r="F790" t="n">
        <v>0.1547</v>
      </c>
      <c r="G790" t="n">
        <v>0.91</v>
      </c>
      <c r="H790" t="n">
        <v>3</v>
      </c>
      <c r="I790" t="n">
        <v>11</v>
      </c>
      <c r="J790" t="n">
        <v>6</v>
      </c>
      <c r="K790" t="n">
        <v>0</v>
      </c>
      <c r="L790" t="n">
        <v>21640</v>
      </c>
      <c r="M790" t="n">
        <v>27500</v>
      </c>
      <c r="N790" t="n">
        <v>91</v>
      </c>
      <c r="O790" t="n">
        <v>0.91</v>
      </c>
      <c r="P790" t="n">
        <v>1</v>
      </c>
      <c r="Q790" t="n">
        <v>0.14</v>
      </c>
      <c r="R790" t="n">
        <v>2</v>
      </c>
      <c r="S790" t="n">
        <v>4254.25</v>
      </c>
      <c r="T790" t="n">
        <v>10</v>
      </c>
      <c r="U790" t="n">
        <v>11</v>
      </c>
      <c r="V790" t="n">
        <v>30</v>
      </c>
      <c r="W790" t="n">
        <v>5</v>
      </c>
      <c r="X790" t="n">
        <v>25.85649644473174</v>
      </c>
      <c r="Y790" t="n">
        <v>1</v>
      </c>
      <c r="Z790" t="n">
        <v>1</v>
      </c>
      <c r="AA790" t="n">
        <v>0</v>
      </c>
      <c r="AB790" t="n">
        <v>1</v>
      </c>
      <c r="AC790" t="n">
        <v>6</v>
      </c>
      <c r="AD790" t="n">
        <v>0</v>
      </c>
      <c r="AE790" t="n">
        <v>129840</v>
      </c>
      <c r="AF790" t="n">
        <v>9983</v>
      </c>
      <c r="AG790" t="n">
        <v>78</v>
      </c>
      <c r="AH790" t="inlineStr">
        <is>
          <t>PT. GLORIENTA P.H - PPN (PDG)</t>
        </is>
      </c>
      <c r="AI790" t="n">
        <v>1160</v>
      </c>
      <c r="AJ790" t="inlineStr">
        <is>
          <t>CBD</t>
        </is>
      </c>
      <c r="AK790" t="n">
        <v>21</v>
      </c>
      <c r="AL790" t="inlineStr">
        <is>
          <t>Miss Glam Damar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CBD</t>
        </is>
      </c>
      <c r="B791" s="2">
        <f>"8997226227811"</f>
        <v/>
      </c>
      <c r="C791" t="inlineStr">
        <is>
          <t>CBD Figo Hair Boost Fairy Blush 100ml</t>
        </is>
      </c>
      <c r="D791" t="inlineStr">
        <is>
          <t>Miss Glam Damar</t>
        </is>
      </c>
      <c r="E791" t="n">
        <v>6</v>
      </c>
      <c r="F791" t="n">
        <v>0.06370000000000001</v>
      </c>
      <c r="G791" t="n">
        <v>0.91</v>
      </c>
      <c r="H791" t="n">
        <v>3</v>
      </c>
      <c r="I791" t="n">
        <v>11</v>
      </c>
      <c r="J791" t="n">
        <v>3</v>
      </c>
      <c r="K791" t="n">
        <v>0</v>
      </c>
      <c r="L791" t="n">
        <v>24060</v>
      </c>
      <c r="M791" t="n">
        <v>32500</v>
      </c>
      <c r="N791" t="n">
        <v>91</v>
      </c>
      <c r="O791" t="n">
        <v>0.91</v>
      </c>
      <c r="P791" t="n">
        <v>1</v>
      </c>
      <c r="Q791" t="n">
        <v>0.05</v>
      </c>
      <c r="R791" t="n">
        <v>1</v>
      </c>
      <c r="S791" t="n">
        <v>2070.25</v>
      </c>
      <c r="T791" t="n">
        <v>10</v>
      </c>
      <c r="U791" t="n">
        <v>11</v>
      </c>
      <c r="V791" t="n">
        <v>30</v>
      </c>
      <c r="W791" t="n">
        <v>2</v>
      </c>
      <c r="X791" t="n">
        <v>94.19152276295132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9983</v>
      </c>
      <c r="AG791" t="n">
        <v>78</v>
      </c>
      <c r="AH791" t="inlineStr">
        <is>
          <t>PT. GLORIENTA P.H - PPN (PDG)</t>
        </is>
      </c>
      <c r="AI791" t="n">
        <v>1160</v>
      </c>
      <c r="AJ791" t="inlineStr">
        <is>
          <t>CBD</t>
        </is>
      </c>
      <c r="AK791" t="n">
        <v>21</v>
      </c>
      <c r="AL791" t="inlineStr">
        <is>
          <t>Miss Glam Damar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CBD</t>
        </is>
      </c>
      <c r="B792" s="2">
        <f>"8997226227804"</f>
        <v/>
      </c>
      <c r="C792" t="inlineStr">
        <is>
          <t>CBD Figo Hair Boost Love Blooms 100ml</t>
        </is>
      </c>
      <c r="D792" t="inlineStr">
        <is>
          <t>Miss Glam Damar</t>
        </is>
      </c>
      <c r="E792" t="n">
        <v>10</v>
      </c>
      <c r="F792" t="n">
        <v>0.1274</v>
      </c>
      <c r="G792" t="n">
        <v>1.82</v>
      </c>
      <c r="H792" t="n">
        <v>3</v>
      </c>
      <c r="I792" t="n">
        <v>11</v>
      </c>
      <c r="J792" t="n">
        <v>3</v>
      </c>
      <c r="K792" t="n">
        <v>0</v>
      </c>
      <c r="L792" t="n">
        <v>22527</v>
      </c>
      <c r="M792" t="n">
        <v>27500</v>
      </c>
      <c r="N792" t="n">
        <v>91</v>
      </c>
      <c r="O792" t="n">
        <v>0.91</v>
      </c>
      <c r="P792" t="n">
        <v>1</v>
      </c>
      <c r="Q792" t="n">
        <v>0.29</v>
      </c>
      <c r="R792" t="n">
        <v>2</v>
      </c>
      <c r="S792" t="n">
        <v>3503.5</v>
      </c>
      <c r="T792" t="n">
        <v>20</v>
      </c>
      <c r="U792" t="n">
        <v>21</v>
      </c>
      <c r="V792" t="n">
        <v>30</v>
      </c>
      <c r="W792" t="n">
        <v>4</v>
      </c>
      <c r="X792" t="n">
        <v>78.49293563579278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9983</v>
      </c>
      <c r="AG792" t="n">
        <v>78</v>
      </c>
      <c r="AH792" t="inlineStr">
        <is>
          <t>PT. GLORIENTA P.H - PPN (PDG)</t>
        </is>
      </c>
      <c r="AI792" t="n">
        <v>1160</v>
      </c>
      <c r="AJ792" t="inlineStr">
        <is>
          <t>CBD</t>
        </is>
      </c>
      <c r="AK792" t="n">
        <v>21</v>
      </c>
      <c r="AL792" t="inlineStr">
        <is>
          <t>Miss Glam Damar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CBD</t>
        </is>
      </c>
      <c r="B793" s="2">
        <f>"8997226226548"</f>
        <v/>
      </c>
      <c r="C793" t="inlineStr">
        <is>
          <t>CBD FIX PRO Supreme Hold Styling Spray 380ml</t>
        </is>
      </c>
      <c r="D793" t="inlineStr">
        <is>
          <t>Miss Glam Damar</t>
        </is>
      </c>
      <c r="E793" t="n">
        <v>11</v>
      </c>
      <c r="F793" t="n">
        <v>0.1092</v>
      </c>
      <c r="G793" t="n">
        <v>1.82</v>
      </c>
      <c r="H793" t="n">
        <v>3</v>
      </c>
      <c r="I793" t="n">
        <v>11</v>
      </c>
      <c r="J793" t="n">
        <v>3</v>
      </c>
      <c r="K793" t="n">
        <v>0</v>
      </c>
      <c r="L793" t="n">
        <v>74835</v>
      </c>
      <c r="M793" t="n">
        <v>93500</v>
      </c>
      <c r="N793" t="n">
        <v>91</v>
      </c>
      <c r="O793" t="n">
        <v>0.91</v>
      </c>
      <c r="P793" t="n">
        <v>1</v>
      </c>
      <c r="Q793" t="n">
        <v>0.19</v>
      </c>
      <c r="R793" t="n">
        <v>3</v>
      </c>
      <c r="S793" t="n">
        <v>10210.2</v>
      </c>
      <c r="T793" t="n">
        <v>20</v>
      </c>
      <c r="U793" t="n">
        <v>21</v>
      </c>
      <c r="V793" t="n">
        <v>30</v>
      </c>
      <c r="W793" t="n">
        <v>4</v>
      </c>
      <c r="X793" t="n">
        <v>100.7326007326007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9983</v>
      </c>
      <c r="AG793" t="n">
        <v>78</v>
      </c>
      <c r="AH793" t="inlineStr">
        <is>
          <t>PT. GLORIENTA P.H - PPN (PDG)</t>
        </is>
      </c>
      <c r="AI793" t="n">
        <v>1160</v>
      </c>
      <c r="AJ793" t="inlineStr">
        <is>
          <t>CBD</t>
        </is>
      </c>
      <c r="AK793" t="n">
        <v>21</v>
      </c>
      <c r="AL793" t="inlineStr">
        <is>
          <t>Miss Glam Damar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CBD</t>
        </is>
      </c>
      <c r="B794" s="2">
        <f>"8997226225701"</f>
        <v/>
      </c>
      <c r="C794" t="inlineStr">
        <is>
          <t>CBD Keratin Daily Hair Mask Pro With Keratin, Pro Vitamin B5 &amp; Deep Cool Active Fragrance 250gr</t>
        </is>
      </c>
      <c r="D794" t="inlineStr">
        <is>
          <t>Miss Glam Damar</t>
        </is>
      </c>
      <c r="E794" t="n">
        <v>7</v>
      </c>
      <c r="F794" t="n">
        <v>0.4004</v>
      </c>
      <c r="G794" t="n">
        <v>2.73</v>
      </c>
      <c r="H794" t="n">
        <v>3</v>
      </c>
      <c r="I794" t="n">
        <v>11</v>
      </c>
      <c r="J794" t="n">
        <v>3</v>
      </c>
      <c r="K794" t="n">
        <v>0</v>
      </c>
      <c r="L794" t="n">
        <v>53682</v>
      </c>
      <c r="M794" t="n">
        <v>60000</v>
      </c>
      <c r="N794" t="n">
        <v>91</v>
      </c>
      <c r="O794" t="n">
        <v>0.91</v>
      </c>
      <c r="P794" t="n">
        <v>1</v>
      </c>
      <c r="Q794" t="n">
        <v>0.37</v>
      </c>
      <c r="R794" t="n">
        <v>2</v>
      </c>
      <c r="S794" t="n">
        <v>24024</v>
      </c>
      <c r="T794" t="n">
        <v>29</v>
      </c>
      <c r="U794" t="n">
        <v>31</v>
      </c>
      <c r="V794" t="n">
        <v>30</v>
      </c>
      <c r="W794" t="n">
        <v>13</v>
      </c>
      <c r="X794" t="n">
        <v>17.48251748251748</v>
      </c>
      <c r="Y794" t="n">
        <v>1</v>
      </c>
      <c r="Z794" t="n">
        <v>6</v>
      </c>
      <c r="AA794" t="n">
        <v>0</v>
      </c>
      <c r="AB794" t="n">
        <v>6</v>
      </c>
      <c r="AC794" t="n">
        <v>6</v>
      </c>
      <c r="AD794" t="n">
        <v>0</v>
      </c>
      <c r="AE794" t="n">
        <v>322092</v>
      </c>
      <c r="AF794" t="n">
        <v>9983</v>
      </c>
      <c r="AG794" t="n">
        <v>78</v>
      </c>
      <c r="AH794" t="inlineStr">
        <is>
          <t>PT. GLORIENTA P.H - PPN (PDG)</t>
        </is>
      </c>
      <c r="AI794" t="n">
        <v>1160</v>
      </c>
      <c r="AJ794" t="inlineStr">
        <is>
          <t>CBD</t>
        </is>
      </c>
      <c r="AK794" t="n">
        <v>21</v>
      </c>
      <c r="AL794" t="inlineStr">
        <is>
          <t>Miss Glam Damar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CBD</t>
        </is>
      </c>
      <c r="B795" s="2">
        <f>"8997226225695"</f>
        <v/>
      </c>
      <c r="C795" t="inlineStr">
        <is>
          <t>CBD Keratin Pro Daily Conditioner 250ml</t>
        </is>
      </c>
      <c r="D795" t="inlineStr">
        <is>
          <t>Miss Glam Damar</t>
        </is>
      </c>
      <c r="E795" t="n">
        <v>7</v>
      </c>
      <c r="F795" t="n">
        <v>0.4914000000000001</v>
      </c>
      <c r="G795" t="n">
        <v>2.73</v>
      </c>
      <c r="H795" t="n">
        <v>3</v>
      </c>
      <c r="I795" t="n">
        <v>11</v>
      </c>
      <c r="J795" t="n">
        <v>6</v>
      </c>
      <c r="K795" t="n">
        <v>0</v>
      </c>
      <c r="L795" t="n">
        <v>34708</v>
      </c>
      <c r="M795" t="n">
        <v>45000</v>
      </c>
      <c r="N795" t="n">
        <v>91</v>
      </c>
      <c r="O795" t="n">
        <v>0.91</v>
      </c>
      <c r="P795" t="n">
        <v>1</v>
      </c>
      <c r="Q795" t="n">
        <v>0.41</v>
      </c>
      <c r="R795" t="n">
        <v>2</v>
      </c>
      <c r="S795" t="n">
        <v>22113</v>
      </c>
      <c r="T795" t="n">
        <v>29</v>
      </c>
      <c r="U795" t="n">
        <v>31</v>
      </c>
      <c r="V795" t="n">
        <v>30</v>
      </c>
      <c r="W795" t="n">
        <v>15</v>
      </c>
      <c r="X795" t="n">
        <v>14.24501424501424</v>
      </c>
      <c r="Y795" t="n">
        <v>1</v>
      </c>
      <c r="Z795" t="n">
        <v>8</v>
      </c>
      <c r="AA795" t="n">
        <v>0</v>
      </c>
      <c r="AB795" t="n">
        <v>8</v>
      </c>
      <c r="AC795" t="n">
        <v>8</v>
      </c>
      <c r="AD795" t="n">
        <v>0</v>
      </c>
      <c r="AE795" t="n">
        <v>277664</v>
      </c>
      <c r="AF795" t="n">
        <v>9983</v>
      </c>
      <c r="AG795" t="n">
        <v>78</v>
      </c>
      <c r="AH795" t="inlineStr">
        <is>
          <t>PT. GLORIENTA P.H - PPN (PDG)</t>
        </is>
      </c>
      <c r="AI795" t="n">
        <v>1160</v>
      </c>
      <c r="AJ795" t="inlineStr">
        <is>
          <t>CBD</t>
        </is>
      </c>
      <c r="AK795" t="n">
        <v>21</v>
      </c>
      <c r="AL795" t="inlineStr">
        <is>
          <t>Miss Glam Damar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CBD</t>
        </is>
      </c>
      <c r="B796" s="2">
        <f>"8997226221499"</f>
        <v/>
      </c>
      <c r="C796" t="inlineStr">
        <is>
          <t>CBD Keratin Pro Daily Hair Mask 500gr</t>
        </is>
      </c>
      <c r="D796" t="inlineStr">
        <is>
          <t>Miss Glam Damar</t>
        </is>
      </c>
      <c r="E796" t="n">
        <v>5</v>
      </c>
      <c r="F796" t="n">
        <v>0.1729</v>
      </c>
      <c r="G796" t="n">
        <v>1.82</v>
      </c>
      <c r="H796" t="n">
        <v>3</v>
      </c>
      <c r="I796" t="n">
        <v>11</v>
      </c>
      <c r="J796" t="n">
        <v>3</v>
      </c>
      <c r="K796" t="n">
        <v>0</v>
      </c>
      <c r="L796" t="n">
        <v>85270</v>
      </c>
      <c r="M796" t="n">
        <v>95000</v>
      </c>
      <c r="N796" t="n">
        <v>91</v>
      </c>
      <c r="O796" t="n">
        <v>0.91</v>
      </c>
      <c r="P796" t="n">
        <v>1</v>
      </c>
      <c r="Q796" t="n">
        <v>0.08</v>
      </c>
      <c r="R796" t="n">
        <v>2</v>
      </c>
      <c r="S796" t="n">
        <v>16425.5</v>
      </c>
      <c r="T796" t="n">
        <v>20</v>
      </c>
      <c r="U796" t="n">
        <v>21</v>
      </c>
      <c r="V796" t="n">
        <v>30</v>
      </c>
      <c r="W796" t="n">
        <v>6</v>
      </c>
      <c r="X796" t="n">
        <v>28.91844997108155</v>
      </c>
      <c r="Y796" t="n">
        <v>1</v>
      </c>
      <c r="Z796" t="n">
        <v>1</v>
      </c>
      <c r="AA796" t="n">
        <v>0</v>
      </c>
      <c r="AB796" t="n">
        <v>1</v>
      </c>
      <c r="AC796" t="n">
        <v>3</v>
      </c>
      <c r="AD796" t="n">
        <v>0</v>
      </c>
      <c r="AE796" t="n">
        <v>255810</v>
      </c>
      <c r="AF796" t="n">
        <v>9983</v>
      </c>
      <c r="AG796" t="n">
        <v>78</v>
      </c>
      <c r="AH796" t="inlineStr">
        <is>
          <t>PT. GLORIENTA P.H - PPN (PDG)</t>
        </is>
      </c>
      <c r="AI796" t="n">
        <v>1160</v>
      </c>
      <c r="AJ796" t="inlineStr">
        <is>
          <t>CBD</t>
        </is>
      </c>
      <c r="AK796" t="n">
        <v>21</v>
      </c>
      <c r="AL796" t="inlineStr">
        <is>
          <t>Miss Glam Damar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CBD</t>
        </is>
      </c>
      <c r="B797" s="2">
        <f>"8997226221727"</f>
        <v/>
      </c>
      <c r="C797" t="inlineStr">
        <is>
          <t>CBD Keratin Pro Daily Hair Vitamin Spray 100ml</t>
        </is>
      </c>
      <c r="D797" t="inlineStr">
        <is>
          <t>Miss Glam Damar</t>
        </is>
      </c>
      <c r="E797" t="n">
        <v>2</v>
      </c>
      <c r="F797" t="n">
        <v>0.04550000000000001</v>
      </c>
      <c r="G797" t="n">
        <v>0.91</v>
      </c>
      <c r="H797" t="n">
        <v>3</v>
      </c>
      <c r="I797" t="n">
        <v>11</v>
      </c>
      <c r="J797" t="n">
        <v>3</v>
      </c>
      <c r="K797" t="n">
        <v>0</v>
      </c>
      <c r="L797" t="n">
        <v>53679</v>
      </c>
      <c r="M797" t="n">
        <v>60000</v>
      </c>
      <c r="N797" t="n">
        <v>91</v>
      </c>
      <c r="O797" t="n">
        <v>0.91</v>
      </c>
      <c r="P797" t="n">
        <v>1</v>
      </c>
      <c r="Q797" t="n">
        <v>0.32</v>
      </c>
      <c r="R797" t="n">
        <v>2</v>
      </c>
      <c r="S797" t="n">
        <v>2730</v>
      </c>
      <c r="T797" t="n">
        <v>10</v>
      </c>
      <c r="U797" t="n">
        <v>11</v>
      </c>
      <c r="V797" t="n">
        <v>30</v>
      </c>
      <c r="W797" t="n">
        <v>2</v>
      </c>
      <c r="X797" t="n">
        <v>43.95604395604395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9983</v>
      </c>
      <c r="AG797" t="n">
        <v>78</v>
      </c>
      <c r="AH797" t="inlineStr">
        <is>
          <t>PT. GLORIENTA P.H - PPN (PDG)</t>
        </is>
      </c>
      <c r="AI797" t="n">
        <v>1160</v>
      </c>
      <c r="AJ797" t="inlineStr">
        <is>
          <t>CBD</t>
        </is>
      </c>
      <c r="AK797" t="n">
        <v>21</v>
      </c>
      <c r="AL797" t="inlineStr">
        <is>
          <t>Miss Glam Damar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CBD</t>
        </is>
      </c>
      <c r="B798" s="2">
        <f>"8997226221178"</f>
        <v/>
      </c>
      <c r="C798" t="inlineStr">
        <is>
          <t>CBD Keratin Pro Daily Shampoo 1000ml</t>
        </is>
      </c>
      <c r="D798" t="inlineStr">
        <is>
          <t>Miss Glam Damar</t>
        </is>
      </c>
      <c r="E798" t="n">
        <v>5</v>
      </c>
      <c r="F798" t="n">
        <v>0.0728</v>
      </c>
      <c r="G798" t="n">
        <v>0.91</v>
      </c>
      <c r="H798" t="n">
        <v>3</v>
      </c>
      <c r="I798" t="n">
        <v>11</v>
      </c>
      <c r="J798" t="n">
        <v>3</v>
      </c>
      <c r="K798" t="n">
        <v>0</v>
      </c>
      <c r="L798" t="n">
        <v>90135</v>
      </c>
      <c r="M798" t="n">
        <v>100500</v>
      </c>
      <c r="N798" t="n">
        <v>91</v>
      </c>
      <c r="O798" t="n">
        <v>0.91</v>
      </c>
      <c r="P798" t="n">
        <v>1</v>
      </c>
      <c r="Q798" t="n">
        <v>0.02</v>
      </c>
      <c r="R798" t="n">
        <v>1</v>
      </c>
      <c r="S798" t="n">
        <v>7316.400000000001</v>
      </c>
      <c r="T798" t="n">
        <v>10</v>
      </c>
      <c r="U798" t="n">
        <v>11</v>
      </c>
      <c r="V798" t="n">
        <v>30</v>
      </c>
      <c r="W798" t="n">
        <v>3</v>
      </c>
      <c r="X798" t="n">
        <v>68.68131868131867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9983</v>
      </c>
      <c r="AG798" t="n">
        <v>78</v>
      </c>
      <c r="AH798" t="inlineStr">
        <is>
          <t>PT. GLORIENTA P.H - PPN (PDG)</t>
        </is>
      </c>
      <c r="AI798" t="n">
        <v>1160</v>
      </c>
      <c r="AJ798" t="inlineStr">
        <is>
          <t>CBD</t>
        </is>
      </c>
      <c r="AK798" t="n">
        <v>21</v>
      </c>
      <c r="AL798" t="inlineStr">
        <is>
          <t>Miss Glam Damar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CBD</t>
        </is>
      </c>
      <c r="B799" s="2">
        <f>"8997226225688"</f>
        <v/>
      </c>
      <c r="C799" t="inlineStr">
        <is>
          <t>CBD Keratin Pro Daily Shampoo 250ml</t>
        </is>
      </c>
      <c r="D799" t="inlineStr">
        <is>
          <t>Miss Glam Damar</t>
        </is>
      </c>
      <c r="E799" t="n">
        <v>10</v>
      </c>
      <c r="F799" t="n">
        <v>0.6916</v>
      </c>
      <c r="G799" t="n">
        <v>3.64</v>
      </c>
      <c r="H799" t="n">
        <v>3</v>
      </c>
      <c r="I799" t="n">
        <v>11</v>
      </c>
      <c r="J799" t="n">
        <v>3</v>
      </c>
      <c r="K799" t="n">
        <v>0</v>
      </c>
      <c r="L799" t="n">
        <v>34784</v>
      </c>
      <c r="M799" t="n">
        <v>39000</v>
      </c>
      <c r="N799" t="n">
        <v>91</v>
      </c>
      <c r="O799" t="n">
        <v>0.91</v>
      </c>
      <c r="P799" t="n">
        <v>1</v>
      </c>
      <c r="Q799" t="n">
        <v>0.54</v>
      </c>
      <c r="R799" t="n">
        <v>3</v>
      </c>
      <c r="S799" t="n">
        <v>26972.4</v>
      </c>
      <c r="T799" t="n">
        <v>38</v>
      </c>
      <c r="U799" t="n">
        <v>41</v>
      </c>
      <c r="V799" t="n">
        <v>30</v>
      </c>
      <c r="W799" t="n">
        <v>21</v>
      </c>
      <c r="X799" t="n">
        <v>14.45922498554078</v>
      </c>
      <c r="Y799" t="n">
        <v>1</v>
      </c>
      <c r="Z799" t="n">
        <v>11</v>
      </c>
      <c r="AA799" t="n">
        <v>0</v>
      </c>
      <c r="AB799" t="n">
        <v>11</v>
      </c>
      <c r="AC799" t="n">
        <v>11</v>
      </c>
      <c r="AD799" t="n">
        <v>0</v>
      </c>
      <c r="AE799" t="n">
        <v>382624</v>
      </c>
      <c r="AF799" t="n">
        <v>9983</v>
      </c>
      <c r="AG799" t="n">
        <v>78</v>
      </c>
      <c r="AH799" t="inlineStr">
        <is>
          <t>PT. GLORIENTA P.H - PPN (PDG)</t>
        </is>
      </c>
      <c r="AI799" t="n">
        <v>1160</v>
      </c>
      <c r="AJ799" t="inlineStr">
        <is>
          <t>CBD</t>
        </is>
      </c>
      <c r="AK799" t="n">
        <v>21</v>
      </c>
      <c r="AL799" t="inlineStr">
        <is>
          <t>Miss Glam Damar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CBD</t>
        </is>
      </c>
      <c r="B800" s="2">
        <f>"8997226225510"</f>
        <v/>
      </c>
      <c r="C800" t="inlineStr">
        <is>
          <t>CBD Professional Keratin Daily Hair Mask Pro With Keratin, Pro Vitamin B5 &amp; Deep Cool Active 30g+5g</t>
        </is>
      </c>
      <c r="D800" t="inlineStr">
        <is>
          <t>Miss Glam Damar</t>
        </is>
      </c>
      <c r="E800" t="n">
        <v>40</v>
      </c>
      <c r="F800" t="n">
        <v>3.6855</v>
      </c>
      <c r="G800" t="n">
        <v>15.47</v>
      </c>
      <c r="H800" t="n">
        <v>3</v>
      </c>
      <c r="I800" t="n">
        <v>11</v>
      </c>
      <c r="J800" t="n">
        <v>6</v>
      </c>
      <c r="K800" t="n">
        <v>0</v>
      </c>
      <c r="L800" t="n">
        <v>7785</v>
      </c>
      <c r="M800" t="n">
        <v>9000</v>
      </c>
      <c r="N800" t="n">
        <v>91</v>
      </c>
      <c r="O800" t="n">
        <v>0.91</v>
      </c>
      <c r="P800" t="n">
        <v>1</v>
      </c>
      <c r="Q800" t="n">
        <v>2.2</v>
      </c>
      <c r="R800" t="n">
        <v>10</v>
      </c>
      <c r="S800" t="n">
        <v>33169.5</v>
      </c>
      <c r="T800" t="n">
        <v>160</v>
      </c>
      <c r="U800" t="n">
        <v>172</v>
      </c>
      <c r="V800" t="n">
        <v>30</v>
      </c>
      <c r="W800" t="n">
        <v>111</v>
      </c>
      <c r="X800" t="n">
        <v>10.85334418667752</v>
      </c>
      <c r="Y800" t="n">
        <v>1</v>
      </c>
      <c r="Z800" t="n">
        <v>71</v>
      </c>
      <c r="AA800" t="n">
        <v>1</v>
      </c>
      <c r="AB800" t="n">
        <v>70</v>
      </c>
      <c r="AC800" t="n">
        <v>70</v>
      </c>
      <c r="AD800" t="n">
        <v>7785</v>
      </c>
      <c r="AE800" t="n">
        <v>544950</v>
      </c>
      <c r="AF800" t="n">
        <v>9983</v>
      </c>
      <c r="AG800" t="n">
        <v>78</v>
      </c>
      <c r="AH800" t="inlineStr">
        <is>
          <t>PT. GLORIENTA P.H - PPN (PDG)</t>
        </is>
      </c>
      <c r="AI800" t="n">
        <v>1160</v>
      </c>
      <c r="AJ800" t="inlineStr">
        <is>
          <t>CBD</t>
        </is>
      </c>
      <c r="AK800" t="n">
        <v>21</v>
      </c>
      <c r="AL800" t="inlineStr">
        <is>
          <t>Miss Glam Damar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CBD</t>
        </is>
      </c>
      <c r="B801" s="2">
        <f>"8997226226722"</f>
        <v/>
      </c>
      <c r="C801" t="inlineStr">
        <is>
          <t>CBD Silver Conditioner 250ml</t>
        </is>
      </c>
      <c r="D801" t="inlineStr">
        <is>
          <t>Miss Glam Damar</t>
        </is>
      </c>
      <c r="E801" t="n">
        <v>2</v>
      </c>
      <c r="F801" t="n">
        <v>0.0182</v>
      </c>
      <c r="G801" t="n">
        <v>0.91</v>
      </c>
      <c r="H801" t="n">
        <v>3</v>
      </c>
      <c r="I801" t="n">
        <v>11</v>
      </c>
      <c r="J801" t="n">
        <v>3</v>
      </c>
      <c r="K801" t="n">
        <v>0</v>
      </c>
      <c r="L801" t="n">
        <v>65115</v>
      </c>
      <c r="M801" t="n">
        <v>89000</v>
      </c>
      <c r="N801" t="n">
        <v>91</v>
      </c>
      <c r="O801" t="n">
        <v>0.91</v>
      </c>
      <c r="P801" t="n">
        <v>1</v>
      </c>
      <c r="Q801" t="n">
        <v>0.05</v>
      </c>
      <c r="R801" t="n">
        <v>2</v>
      </c>
      <c r="S801" t="n">
        <v>1619.8</v>
      </c>
      <c r="T801" t="n">
        <v>10</v>
      </c>
      <c r="U801" t="n">
        <v>11</v>
      </c>
      <c r="V801" t="n">
        <v>30</v>
      </c>
      <c r="W801" t="n">
        <v>1</v>
      </c>
      <c r="X801" t="n">
        <v>109.8901098901099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9983</v>
      </c>
      <c r="AG801" t="n">
        <v>78</v>
      </c>
      <c r="AH801" t="inlineStr">
        <is>
          <t>PT. GLORIENTA P.H - PPN (PDG)</t>
        </is>
      </c>
      <c r="AI801" t="n">
        <v>1160</v>
      </c>
      <c r="AJ801" t="inlineStr">
        <is>
          <t>CBD</t>
        </is>
      </c>
      <c r="AK801" t="n">
        <v>21</v>
      </c>
      <c r="AL801" t="inlineStr">
        <is>
          <t>Miss Glam Damar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CBD</t>
        </is>
      </c>
      <c r="B802" s="2">
        <f>"8997226226715"</f>
        <v/>
      </c>
      <c r="C802" t="inlineStr">
        <is>
          <t>CBD Silver Screen Shampoo 250ml</t>
        </is>
      </c>
      <c r="D802" t="inlineStr">
        <is>
          <t>Miss Glam Damar</t>
        </is>
      </c>
      <c r="E802" t="n">
        <v>4</v>
      </c>
      <c r="F802" t="n">
        <v>0.06370000000000001</v>
      </c>
      <c r="G802" t="n">
        <v>0.91</v>
      </c>
      <c r="H802" t="n">
        <v>3</v>
      </c>
      <c r="I802" t="n">
        <v>11</v>
      </c>
      <c r="J802" t="n">
        <v>3</v>
      </c>
      <c r="K802" t="n">
        <v>0</v>
      </c>
      <c r="L802" t="n">
        <v>64935</v>
      </c>
      <c r="M802" t="n">
        <v>89000</v>
      </c>
      <c r="N802" t="n">
        <v>91</v>
      </c>
      <c r="O802" t="n">
        <v>0.91</v>
      </c>
      <c r="P802" t="n">
        <v>1</v>
      </c>
      <c r="Q802" t="n">
        <v>0.08</v>
      </c>
      <c r="R802" t="n">
        <v>2</v>
      </c>
      <c r="S802" t="n">
        <v>5669.3</v>
      </c>
      <c r="T802" t="n">
        <v>10</v>
      </c>
      <c r="U802" t="n">
        <v>11</v>
      </c>
      <c r="V802" t="n">
        <v>30</v>
      </c>
      <c r="W802" t="n">
        <v>2</v>
      </c>
      <c r="X802" t="n">
        <v>62.79434850863422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9983</v>
      </c>
      <c r="AG802" t="n">
        <v>78</v>
      </c>
      <c r="AH802" t="inlineStr">
        <is>
          <t>PT. GLORIENTA P.H - PPN (PDG)</t>
        </is>
      </c>
      <c r="AI802" t="n">
        <v>1160</v>
      </c>
      <c r="AJ802" t="inlineStr">
        <is>
          <t>CBD</t>
        </is>
      </c>
      <c r="AK802" t="n">
        <v>21</v>
      </c>
      <c r="AL802" t="inlineStr">
        <is>
          <t>Miss Glam Damar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CBD</t>
        </is>
      </c>
      <c r="B803" s="2">
        <f>"8997226221130"</f>
        <v/>
      </c>
      <c r="C803" t="inlineStr">
        <is>
          <t>CBD Smooth Power Step 1 (D) For Damaged Hair 500gr</t>
        </is>
      </c>
      <c r="D803" t="inlineStr">
        <is>
          <t>Miss Glam Damar</t>
        </is>
      </c>
      <c r="E803" t="n">
        <v>1</v>
      </c>
      <c r="F803" t="n">
        <v>0.02</v>
      </c>
      <c r="G803" t="n">
        <v>1</v>
      </c>
      <c r="H803" t="n">
        <v>3</v>
      </c>
      <c r="I803" t="n">
        <v>11</v>
      </c>
      <c r="J803" t="n">
        <v>3</v>
      </c>
      <c r="K803" t="n">
        <v>0</v>
      </c>
      <c r="L803" t="n">
        <v>109485</v>
      </c>
      <c r="M803" t="n">
        <v>129000</v>
      </c>
      <c r="N803" t="n">
        <v>91</v>
      </c>
      <c r="O803" t="n">
        <v>0.91</v>
      </c>
      <c r="P803" t="n">
        <v>0</v>
      </c>
      <c r="Q803" t="n">
        <v>0.02</v>
      </c>
      <c r="R803" t="n">
        <v>1</v>
      </c>
      <c r="S803" t="n">
        <v>2580</v>
      </c>
      <c r="T803" t="n">
        <v>11</v>
      </c>
      <c r="U803" t="n">
        <v>12</v>
      </c>
      <c r="V803" t="n">
        <v>30</v>
      </c>
      <c r="W803" t="n">
        <v>1</v>
      </c>
      <c r="X803" t="n">
        <v>50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9983</v>
      </c>
      <c r="AG803" t="n">
        <v>78</v>
      </c>
      <c r="AH803" t="inlineStr">
        <is>
          <t>PT. GLORIENTA P.H - PPN (PDG)</t>
        </is>
      </c>
      <c r="AI803" t="n">
        <v>1160</v>
      </c>
      <c r="AJ803" t="inlineStr">
        <is>
          <t>CBD</t>
        </is>
      </c>
      <c r="AK803" t="n">
        <v>21</v>
      </c>
      <c r="AL803" t="inlineStr">
        <is>
          <t>Miss Glam Damar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CBD</t>
        </is>
      </c>
      <c r="B804" s="2">
        <f>"8997226221154"</f>
        <v/>
      </c>
      <c r="C804" t="inlineStr">
        <is>
          <t>CBD Smooth Power Step 1 (R) For Resistant Hair 500gr</t>
        </is>
      </c>
      <c r="D804" t="inlineStr">
        <is>
          <t>Miss Glam Damar</t>
        </is>
      </c>
      <c r="E804" t="n">
        <v>1</v>
      </c>
      <c r="F804" t="n">
        <v>0.04550000000000001</v>
      </c>
      <c r="G804" t="n">
        <v>0.91</v>
      </c>
      <c r="H804" t="n">
        <v>3</v>
      </c>
      <c r="I804" t="n">
        <v>11</v>
      </c>
      <c r="J804" t="n">
        <v>3</v>
      </c>
      <c r="K804" t="n">
        <v>0</v>
      </c>
      <c r="L804" t="n">
        <v>109485</v>
      </c>
      <c r="M804" t="n">
        <v>129000</v>
      </c>
      <c r="N804" t="n">
        <v>91</v>
      </c>
      <c r="O804" t="n">
        <v>0.91</v>
      </c>
      <c r="P804" t="n">
        <v>1</v>
      </c>
      <c r="Q804" t="n">
        <v>0.02</v>
      </c>
      <c r="R804" t="n">
        <v>1</v>
      </c>
      <c r="S804" t="n">
        <v>5869.500000000001</v>
      </c>
      <c r="T804" t="n">
        <v>10</v>
      </c>
      <c r="U804" t="n">
        <v>11</v>
      </c>
      <c r="V804" t="n">
        <v>30</v>
      </c>
      <c r="W804" t="n">
        <v>2</v>
      </c>
      <c r="X804" t="n">
        <v>21.97802197802197</v>
      </c>
      <c r="Y804" t="n">
        <v>1</v>
      </c>
      <c r="Z804" t="n">
        <v>1</v>
      </c>
      <c r="AA804" t="n">
        <v>0</v>
      </c>
      <c r="AB804" t="n">
        <v>1</v>
      </c>
      <c r="AC804" t="n">
        <v>3</v>
      </c>
      <c r="AD804" t="n">
        <v>0</v>
      </c>
      <c r="AE804" t="n">
        <v>328455</v>
      </c>
      <c r="AF804" t="n">
        <v>9983</v>
      </c>
      <c r="AG804" t="n">
        <v>78</v>
      </c>
      <c r="AH804" t="inlineStr">
        <is>
          <t>PT. GLORIENTA P.H - PPN (PDG)</t>
        </is>
      </c>
      <c r="AI804" t="n">
        <v>1160</v>
      </c>
      <c r="AJ804" t="inlineStr">
        <is>
          <t>CBD</t>
        </is>
      </c>
      <c r="AK804" t="n">
        <v>21</v>
      </c>
      <c r="AL804" t="inlineStr">
        <is>
          <t>Miss Glam Damar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CERAVE</t>
        </is>
      </c>
      <c r="B805" s="2">
        <f>"3337875597197"</f>
        <v/>
      </c>
      <c r="C805" t="inlineStr">
        <is>
          <t>CERAVE Foaming Cleanser Gel Moussant 236ml</t>
        </is>
      </c>
      <c r="D805" t="inlineStr">
        <is>
          <t>Miss Glam Damar</t>
        </is>
      </c>
      <c r="E805" t="n">
        <v>2</v>
      </c>
      <c r="F805" t="n">
        <v>0.02</v>
      </c>
      <c r="G805" t="n">
        <v>1</v>
      </c>
      <c r="H805" t="n">
        <v>4</v>
      </c>
      <c r="I805" t="n">
        <v>21</v>
      </c>
      <c r="J805" t="n">
        <v>3</v>
      </c>
      <c r="K805" t="n">
        <v>0</v>
      </c>
      <c r="L805" t="n">
        <v>193125</v>
      </c>
      <c r="M805" t="n">
        <v>250000</v>
      </c>
      <c r="N805" t="n">
        <v>91</v>
      </c>
      <c r="O805" t="n">
        <v>0.91</v>
      </c>
      <c r="P805" t="n">
        <v>0</v>
      </c>
      <c r="Q805" t="n">
        <v>0.02</v>
      </c>
      <c r="R805" t="n">
        <v>1</v>
      </c>
      <c r="S805" t="n">
        <v>5000</v>
      </c>
      <c r="T805" t="n">
        <v>21</v>
      </c>
      <c r="U805" t="n">
        <v>22</v>
      </c>
      <c r="V805" t="n">
        <v>30</v>
      </c>
      <c r="W805" t="n">
        <v>1</v>
      </c>
      <c r="X805" t="n">
        <v>100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4143</v>
      </c>
      <c r="AG805" t="n">
        <v>1</v>
      </c>
      <c r="AH805" t="inlineStr">
        <is>
          <t>PT. BERSAMA DISTRIVERSA INDONESIA (DC CIPUTAT)</t>
        </is>
      </c>
      <c r="AI805" t="n">
        <v>1429</v>
      </c>
      <c r="AJ805" t="inlineStr">
        <is>
          <t>CERAVE</t>
        </is>
      </c>
      <c r="AK805" t="n">
        <v>21</v>
      </c>
      <c r="AL805" t="inlineStr">
        <is>
          <t>Miss Glam Damar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CERAVE</t>
        </is>
      </c>
      <c r="B806" s="2">
        <f>"3337875597326"</f>
        <v/>
      </c>
      <c r="C806" t="inlineStr">
        <is>
          <t>CERAVE Hydrating Cleanser 88ml</t>
        </is>
      </c>
      <c r="D806" t="inlineStr">
        <is>
          <t>Miss Glam Damar</t>
        </is>
      </c>
      <c r="E806" t="n">
        <v>5</v>
      </c>
      <c r="F806" t="n">
        <v>0.07000000000000001</v>
      </c>
      <c r="G806" t="n">
        <v>1</v>
      </c>
      <c r="H806" t="n">
        <v>4</v>
      </c>
      <c r="I806" t="n">
        <v>21</v>
      </c>
      <c r="J806" t="n">
        <v>3</v>
      </c>
      <c r="K806" t="n">
        <v>0</v>
      </c>
      <c r="L806" t="n">
        <v>93801</v>
      </c>
      <c r="M806" t="n">
        <v>150000</v>
      </c>
      <c r="N806" t="n">
        <v>91</v>
      </c>
      <c r="O806" t="n">
        <v>0.91</v>
      </c>
      <c r="P806" t="n">
        <v>0</v>
      </c>
      <c r="Q806" t="n">
        <v>0.07000000000000001</v>
      </c>
      <c r="R806" t="n">
        <v>1</v>
      </c>
      <c r="S806" t="n">
        <v>10500</v>
      </c>
      <c r="T806" t="n">
        <v>21</v>
      </c>
      <c r="U806" t="n">
        <v>22</v>
      </c>
      <c r="V806" t="n">
        <v>30</v>
      </c>
      <c r="W806" t="n">
        <v>3</v>
      </c>
      <c r="X806" t="n">
        <v>71.42857142857142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4143</v>
      </c>
      <c r="AG806" t="n">
        <v>1</v>
      </c>
      <c r="AH806" t="inlineStr">
        <is>
          <t>PT. BERSAMA DISTRIVERSA INDONESIA (DC CIPUTAT)</t>
        </is>
      </c>
      <c r="AI806" t="n">
        <v>1429</v>
      </c>
      <c r="AJ806" t="inlineStr">
        <is>
          <t>CERAVE</t>
        </is>
      </c>
      <c r="AK806" t="n">
        <v>21</v>
      </c>
      <c r="AL806" t="inlineStr">
        <is>
          <t>Miss Glam Damar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CETAPHIL</t>
        </is>
      </c>
      <c r="B807" s="2">
        <f>"3499320011112"</f>
        <v/>
      </c>
      <c r="C807" t="inlineStr">
        <is>
          <t>CETAPHIL Bright Healthy Radiance Night Cream 50gr</t>
        </is>
      </c>
      <c r="D807" t="inlineStr">
        <is>
          <t>Miss Glam Damar</t>
        </is>
      </c>
      <c r="E807" t="n">
        <v>2</v>
      </c>
      <c r="F807" t="n">
        <v>0.04550000000000001</v>
      </c>
      <c r="G807" t="n">
        <v>0.91</v>
      </c>
      <c r="H807" t="n">
        <v>4</v>
      </c>
      <c r="I807" t="n">
        <v>17</v>
      </c>
      <c r="J807" t="n">
        <v>3</v>
      </c>
      <c r="K807" t="n">
        <v>0</v>
      </c>
      <c r="L807" t="n">
        <v>202002</v>
      </c>
      <c r="M807" t="n">
        <v>262500</v>
      </c>
      <c r="N807" t="n">
        <v>91</v>
      </c>
      <c r="O807" t="n">
        <v>0.91</v>
      </c>
      <c r="P807" t="n">
        <v>1</v>
      </c>
      <c r="Q807" t="n">
        <v>0.05</v>
      </c>
      <c r="R807" t="n">
        <v>1</v>
      </c>
      <c r="S807" t="n">
        <v>11943.75</v>
      </c>
      <c r="T807" t="n">
        <v>16</v>
      </c>
      <c r="U807" t="n">
        <v>17</v>
      </c>
      <c r="V807" t="n">
        <v>30</v>
      </c>
      <c r="W807" t="n">
        <v>2</v>
      </c>
      <c r="X807" t="n">
        <v>43.95604395604395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2535</v>
      </c>
      <c r="AG807" t="n">
        <v>2853</v>
      </c>
      <c r="AH807" t="inlineStr">
        <is>
          <t>PT. ANUGERAH PHARMINDO LESTARI - PPN (PDG)</t>
        </is>
      </c>
      <c r="AI807" t="n">
        <v>326</v>
      </c>
      <c r="AJ807" t="inlineStr">
        <is>
          <t>CETAPHIL</t>
        </is>
      </c>
      <c r="AK807" t="n">
        <v>21</v>
      </c>
      <c r="AL807" t="inlineStr">
        <is>
          <t>Miss Glam Damar</t>
        </is>
      </c>
      <c r="AM807" t="n">
        <v>3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CETAPHIL</t>
        </is>
      </c>
      <c r="B808" s="2">
        <f>"3499320011075"</f>
        <v/>
      </c>
      <c r="C808" t="inlineStr">
        <is>
          <t>CETAPHIL Bright Reveal Creamy Cleanser 100gr</t>
        </is>
      </c>
      <c r="D808" t="inlineStr">
        <is>
          <t>Miss Glam Damar</t>
        </is>
      </c>
      <c r="E808" t="n">
        <v>0</v>
      </c>
      <c r="F808" t="n">
        <v>0.09100000000000001</v>
      </c>
      <c r="G808" t="n">
        <v>0.91</v>
      </c>
      <c r="H808" t="n">
        <v>4</v>
      </c>
      <c r="I808" t="n">
        <v>17</v>
      </c>
      <c r="J808" t="n">
        <v>3</v>
      </c>
      <c r="K808" t="n">
        <v>3</v>
      </c>
      <c r="L808" t="n">
        <v>144288</v>
      </c>
      <c r="M808" t="n">
        <v>187500</v>
      </c>
      <c r="N808" t="n">
        <v>91</v>
      </c>
      <c r="O808" t="n">
        <v>0.91</v>
      </c>
      <c r="P808" t="n">
        <v>1</v>
      </c>
      <c r="Q808" t="n">
        <v>0.08</v>
      </c>
      <c r="R808" t="n">
        <v>1</v>
      </c>
      <c r="S808" t="n">
        <v>17062.5</v>
      </c>
      <c r="T808" t="n">
        <v>16</v>
      </c>
      <c r="U808" t="n">
        <v>17</v>
      </c>
      <c r="V808" t="n">
        <v>30</v>
      </c>
      <c r="W808" t="n">
        <v>3</v>
      </c>
      <c r="X808" t="n">
        <v>0</v>
      </c>
      <c r="Y808" t="n">
        <v>1</v>
      </c>
      <c r="Z808" t="n">
        <v>0</v>
      </c>
      <c r="AA808" t="n">
        <v>1</v>
      </c>
      <c r="AB808" t="n">
        <v>0</v>
      </c>
      <c r="AC808" t="n">
        <v>0</v>
      </c>
      <c r="AD808" t="n">
        <v>144288</v>
      </c>
      <c r="AE808" t="n">
        <v>0</v>
      </c>
      <c r="AF808" t="n">
        <v>2535</v>
      </c>
      <c r="AG808" t="n">
        <v>2853</v>
      </c>
      <c r="AH808" t="inlineStr">
        <is>
          <t>PT. ANUGERAH PHARMINDO LESTARI - PPN (PDG)</t>
        </is>
      </c>
      <c r="AI808" t="n">
        <v>326</v>
      </c>
      <c r="AJ808" t="inlineStr">
        <is>
          <t>CETAPHIL</t>
        </is>
      </c>
      <c r="AK808" t="n">
        <v>21</v>
      </c>
      <c r="AL808" t="inlineStr">
        <is>
          <t>Miss Glam Damar</t>
        </is>
      </c>
      <c r="AM808" t="n">
        <v>3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CETAPHIL</t>
        </is>
      </c>
      <c r="B809" s="2">
        <f>"302993914082"</f>
        <v/>
      </c>
      <c r="C809" t="inlineStr">
        <is>
          <t>CETAPHIL Daily Advance Ultra Hydrating Lotion 85gr</t>
        </is>
      </c>
      <c r="D809" t="inlineStr">
        <is>
          <t>Miss Glam Damar</t>
        </is>
      </c>
      <c r="E809" t="n">
        <v>0</v>
      </c>
      <c r="F809" t="n">
        <v>0.05</v>
      </c>
      <c r="G809" t="n">
        <v>1</v>
      </c>
      <c r="H809" t="n">
        <v>4</v>
      </c>
      <c r="I809" t="n">
        <v>17</v>
      </c>
      <c r="J809" t="n">
        <v>3</v>
      </c>
      <c r="K809" t="n">
        <v>0</v>
      </c>
      <c r="L809" t="n">
        <v>100039</v>
      </c>
      <c r="M809" t="n">
        <v>130000</v>
      </c>
      <c r="N809" t="n">
        <v>91</v>
      </c>
      <c r="O809" t="n">
        <v>0.91</v>
      </c>
      <c r="P809" t="n">
        <v>0</v>
      </c>
      <c r="Q809" t="n">
        <v>0.05</v>
      </c>
      <c r="R809" t="n">
        <v>1</v>
      </c>
      <c r="S809" t="n">
        <v>6500</v>
      </c>
      <c r="T809" t="n">
        <v>17</v>
      </c>
      <c r="U809" t="n">
        <v>18</v>
      </c>
      <c r="V809" t="n">
        <v>30</v>
      </c>
      <c r="W809" t="n">
        <v>2</v>
      </c>
      <c r="X809" t="n">
        <v>0</v>
      </c>
      <c r="Y809" t="n">
        <v>1</v>
      </c>
      <c r="Z809" t="n">
        <v>2</v>
      </c>
      <c r="AA809" t="n">
        <v>1</v>
      </c>
      <c r="AB809" t="n">
        <v>1</v>
      </c>
      <c r="AC809" t="n">
        <v>3</v>
      </c>
      <c r="AD809" t="n">
        <v>100039</v>
      </c>
      <c r="AE809" t="n">
        <v>300117</v>
      </c>
      <c r="AF809" t="n">
        <v>2535</v>
      </c>
      <c r="AG809" t="n">
        <v>2853</v>
      </c>
      <c r="AH809" t="inlineStr">
        <is>
          <t>PT. ANUGERAH PHARMINDO LESTARI - PPN (PDG)</t>
        </is>
      </c>
      <c r="AI809" t="n">
        <v>326</v>
      </c>
      <c r="AJ809" t="inlineStr">
        <is>
          <t>CETAPHIL</t>
        </is>
      </c>
      <c r="AK809" t="n">
        <v>21</v>
      </c>
      <c r="AL809" t="inlineStr">
        <is>
          <t>Miss Glam Damar</t>
        </is>
      </c>
      <c r="AM809" t="n">
        <v>3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CETAPHIL</t>
        </is>
      </c>
      <c r="B810" s="2">
        <f>"9318637044030"</f>
        <v/>
      </c>
      <c r="C810" t="inlineStr">
        <is>
          <t>CETAPHIL Daily Exfoliating Cleanser 178ml</t>
        </is>
      </c>
      <c r="D810" t="inlineStr">
        <is>
          <t>Miss Glam Damar</t>
        </is>
      </c>
      <c r="E810" t="n">
        <v>4</v>
      </c>
      <c r="F810" t="n">
        <v>0.12</v>
      </c>
      <c r="G810" t="n">
        <v>1</v>
      </c>
      <c r="H810" t="n">
        <v>4</v>
      </c>
      <c r="I810" t="n">
        <v>17</v>
      </c>
      <c r="J810" t="n">
        <v>3</v>
      </c>
      <c r="K810" t="n">
        <v>0</v>
      </c>
      <c r="L810" t="n">
        <v>85234</v>
      </c>
      <c r="M810" t="n">
        <v>112000</v>
      </c>
      <c r="N810" t="n">
        <v>91</v>
      </c>
      <c r="O810" t="n">
        <v>0.91</v>
      </c>
      <c r="P810" t="n">
        <v>0</v>
      </c>
      <c r="Q810" t="n">
        <v>0.12</v>
      </c>
      <c r="R810" t="n">
        <v>1</v>
      </c>
      <c r="S810" t="n">
        <v>13440</v>
      </c>
      <c r="T810" t="n">
        <v>17</v>
      </c>
      <c r="U810" t="n">
        <v>18</v>
      </c>
      <c r="V810" t="n">
        <v>30</v>
      </c>
      <c r="W810" t="n">
        <v>4</v>
      </c>
      <c r="X810" t="n">
        <v>33.33333333333334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2535</v>
      </c>
      <c r="AG810" t="n">
        <v>2853</v>
      </c>
      <c r="AH810" t="inlineStr">
        <is>
          <t>PT. ANUGERAH PHARMINDO LESTARI - PPN (PDG)</t>
        </is>
      </c>
      <c r="AI810" t="n">
        <v>326</v>
      </c>
      <c r="AJ810" t="inlineStr">
        <is>
          <t>CETAPHIL</t>
        </is>
      </c>
      <c r="AK810" t="n">
        <v>21</v>
      </c>
      <c r="AL810" t="inlineStr">
        <is>
          <t>Miss Glam Damar</t>
        </is>
      </c>
      <c r="AM810" t="n">
        <v>3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CETAPHIL</t>
        </is>
      </c>
      <c r="B811" s="2">
        <f>"9318637044313"</f>
        <v/>
      </c>
      <c r="C811" t="inlineStr">
        <is>
          <t>CETAPHIL Daily Facial Cleanser Gel Foaming 236ml</t>
        </is>
      </c>
      <c r="D811" t="inlineStr">
        <is>
          <t>Miss Glam Damar</t>
        </is>
      </c>
      <c r="E811" t="n">
        <v>23</v>
      </c>
      <c r="F811" t="n">
        <v>0.9373</v>
      </c>
      <c r="G811" t="n">
        <v>3.64</v>
      </c>
      <c r="H811" t="n">
        <v>4</v>
      </c>
      <c r="I811" t="n">
        <v>17</v>
      </c>
      <c r="J811" t="n">
        <v>12</v>
      </c>
      <c r="K811" t="n">
        <v>0</v>
      </c>
      <c r="L811" t="n">
        <v>149618</v>
      </c>
      <c r="M811" t="n">
        <v>181000</v>
      </c>
      <c r="N811" t="n">
        <v>91</v>
      </c>
      <c r="O811" t="n">
        <v>0.91</v>
      </c>
      <c r="P811" t="n">
        <v>1</v>
      </c>
      <c r="Q811" t="n">
        <v>0.71</v>
      </c>
      <c r="R811" t="n">
        <v>4</v>
      </c>
      <c r="S811" t="n">
        <v>169651.3</v>
      </c>
      <c r="T811" t="n">
        <v>59</v>
      </c>
      <c r="U811" t="n">
        <v>63</v>
      </c>
      <c r="V811" t="n">
        <v>30</v>
      </c>
      <c r="W811" t="n">
        <v>29</v>
      </c>
      <c r="X811" t="n">
        <v>24.53856822788861</v>
      </c>
      <c r="Y811" t="n">
        <v>1</v>
      </c>
      <c r="Z811" t="n">
        <v>6</v>
      </c>
      <c r="AA811" t="n">
        <v>0</v>
      </c>
      <c r="AB811" t="n">
        <v>6</v>
      </c>
      <c r="AC811" t="n">
        <v>12</v>
      </c>
      <c r="AD811" t="n">
        <v>0</v>
      </c>
      <c r="AE811" t="n">
        <v>1795416</v>
      </c>
      <c r="AF811" t="n">
        <v>2535</v>
      </c>
      <c r="AG811" t="n">
        <v>2853</v>
      </c>
      <c r="AH811" t="inlineStr">
        <is>
          <t>PT. ANUGERAH PHARMINDO LESTARI - PPN (PDG)</t>
        </is>
      </c>
      <c r="AI811" t="n">
        <v>326</v>
      </c>
      <c r="AJ811" t="inlineStr">
        <is>
          <t>CETAPHIL</t>
        </is>
      </c>
      <c r="AK811" t="n">
        <v>21</v>
      </c>
      <c r="AL811" t="inlineStr">
        <is>
          <t>Miss Glam Damar</t>
        </is>
      </c>
      <c r="AM811" t="n">
        <v>3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CETAPHIL</t>
        </is>
      </c>
      <c r="B812" s="2">
        <f>"3499320004206"</f>
        <v/>
      </c>
      <c r="C812" t="inlineStr">
        <is>
          <t>CETAPHIL Daily Facial Moisturizer Spf15 118ml</t>
        </is>
      </c>
      <c r="D812" t="inlineStr">
        <is>
          <t>Miss Glam Damar</t>
        </is>
      </c>
      <c r="E812" t="n">
        <v>0</v>
      </c>
      <c r="F812" t="n">
        <v>0.04</v>
      </c>
      <c r="G812" t="n">
        <v>1</v>
      </c>
      <c r="H812" t="n">
        <v>4</v>
      </c>
      <c r="I812" t="n">
        <v>17</v>
      </c>
      <c r="J812" t="n">
        <v>3</v>
      </c>
      <c r="K812" t="n">
        <v>3</v>
      </c>
      <c r="L812" t="n">
        <v>160157</v>
      </c>
      <c r="M812" t="n">
        <v>208000</v>
      </c>
      <c r="N812" t="n">
        <v>91</v>
      </c>
      <c r="O812" t="n">
        <v>0.91</v>
      </c>
      <c r="P812" t="n">
        <v>0</v>
      </c>
      <c r="Q812" t="n">
        <v>0.04</v>
      </c>
      <c r="R812" t="n">
        <v>1</v>
      </c>
      <c r="S812" t="n">
        <v>8320</v>
      </c>
      <c r="T812" t="n">
        <v>17</v>
      </c>
      <c r="U812" t="n">
        <v>18</v>
      </c>
      <c r="V812" t="n">
        <v>30</v>
      </c>
      <c r="W812" t="n">
        <v>2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2535</v>
      </c>
      <c r="AG812" t="n">
        <v>2853</v>
      </c>
      <c r="AH812" t="inlineStr">
        <is>
          <t>PT. ANUGERAH PHARMINDO LESTARI - PPN (PDG)</t>
        </is>
      </c>
      <c r="AI812" t="n">
        <v>326</v>
      </c>
      <c r="AJ812" t="inlineStr">
        <is>
          <t>CETAPHIL</t>
        </is>
      </c>
      <c r="AK812" t="n">
        <v>21</v>
      </c>
      <c r="AL812" t="inlineStr">
        <is>
          <t>Miss Glam Damar</t>
        </is>
      </c>
      <c r="AM812" t="n">
        <v>3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CETAPHIL</t>
        </is>
      </c>
      <c r="B813" s="2">
        <f>"9318637043002"</f>
        <v/>
      </c>
      <c r="C813" t="inlineStr">
        <is>
          <t>CETAPHIL Gentle Skin Cleanser 1000ml</t>
        </is>
      </c>
      <c r="D813" t="inlineStr">
        <is>
          <t>Miss Glam Damar</t>
        </is>
      </c>
      <c r="E813" t="n">
        <v>5</v>
      </c>
      <c r="F813" t="n">
        <v>0.1274</v>
      </c>
      <c r="G813" t="n">
        <v>1.82</v>
      </c>
      <c r="H813" t="n">
        <v>4</v>
      </c>
      <c r="I813" t="n">
        <v>17</v>
      </c>
      <c r="J813" t="n">
        <v>3</v>
      </c>
      <c r="K813" t="n">
        <v>0</v>
      </c>
      <c r="L813" t="n">
        <v>285074</v>
      </c>
      <c r="M813" t="n">
        <v>335500</v>
      </c>
      <c r="N813" t="n">
        <v>91</v>
      </c>
      <c r="O813" t="n">
        <v>0.91</v>
      </c>
      <c r="P813" t="n">
        <v>1</v>
      </c>
      <c r="Q813" t="n">
        <v>0.12</v>
      </c>
      <c r="R813" t="n">
        <v>2</v>
      </c>
      <c r="S813" t="n">
        <v>42742.7</v>
      </c>
      <c r="T813" t="n">
        <v>31</v>
      </c>
      <c r="U813" t="n">
        <v>32</v>
      </c>
      <c r="V813" t="n">
        <v>30</v>
      </c>
      <c r="W813" t="n">
        <v>4</v>
      </c>
      <c r="X813" t="n">
        <v>39.24646781789639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2535</v>
      </c>
      <c r="AG813" t="n">
        <v>2853</v>
      </c>
      <c r="AH813" t="inlineStr">
        <is>
          <t>PT. ANUGERAH PHARMINDO LESTARI - PPN (PDG)</t>
        </is>
      </c>
      <c r="AI813" t="n">
        <v>326</v>
      </c>
      <c r="AJ813" t="inlineStr">
        <is>
          <t>CETAPHIL</t>
        </is>
      </c>
      <c r="AK813" t="n">
        <v>21</v>
      </c>
      <c r="AL813" t="inlineStr">
        <is>
          <t>Miss Glam Damar</t>
        </is>
      </c>
      <c r="AM813" t="n">
        <v>3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CETAPHIL</t>
        </is>
      </c>
      <c r="B814" s="2">
        <f>"9318637070510"</f>
        <v/>
      </c>
      <c r="C814" t="inlineStr">
        <is>
          <t>CETAPHIL Gentle Skin Cleanser 118ml</t>
        </is>
      </c>
      <c r="D814" t="inlineStr">
        <is>
          <t>Miss Glam Damar</t>
        </is>
      </c>
      <c r="E814" t="n">
        <v>23</v>
      </c>
      <c r="F814" t="n">
        <v>2.7118</v>
      </c>
      <c r="G814" t="n">
        <v>10.92</v>
      </c>
      <c r="H814" t="n">
        <v>4</v>
      </c>
      <c r="I814" t="n">
        <v>17</v>
      </c>
      <c r="J814" t="n">
        <v>3</v>
      </c>
      <c r="K814" t="n">
        <v>96</v>
      </c>
      <c r="L814" t="n">
        <v>65410</v>
      </c>
      <c r="M814" t="n">
        <v>79900</v>
      </c>
      <c r="N814" t="n">
        <v>91</v>
      </c>
      <c r="O814" t="n">
        <v>0.91</v>
      </c>
      <c r="P814" t="n">
        <v>1</v>
      </c>
      <c r="Q814" t="n">
        <v>3.81</v>
      </c>
      <c r="R814" t="n">
        <v>9</v>
      </c>
      <c r="S814" t="n">
        <v>216672.82</v>
      </c>
      <c r="T814" t="n">
        <v>175</v>
      </c>
      <c r="U814" t="n">
        <v>186</v>
      </c>
      <c r="V814" t="n">
        <v>30</v>
      </c>
      <c r="W814" t="n">
        <v>82</v>
      </c>
      <c r="X814" t="n">
        <v>8.481451434471568</v>
      </c>
      <c r="Y814" t="n">
        <v>1</v>
      </c>
      <c r="Z814" t="n">
        <v>0</v>
      </c>
      <c r="AA814" t="n">
        <v>23</v>
      </c>
      <c r="AB814" t="n">
        <v>0</v>
      </c>
      <c r="AC814" t="n">
        <v>0</v>
      </c>
      <c r="AD814" t="n">
        <v>1504430</v>
      </c>
      <c r="AE814" t="n">
        <v>0</v>
      </c>
      <c r="AF814" t="n">
        <v>2535</v>
      </c>
      <c r="AG814" t="n">
        <v>2853</v>
      </c>
      <c r="AH814" t="inlineStr">
        <is>
          <t>PT. ANUGERAH PHARMINDO LESTARI - PPN (PDG)</t>
        </is>
      </c>
      <c r="AI814" t="n">
        <v>326</v>
      </c>
      <c r="AJ814" t="inlineStr">
        <is>
          <t>CETAPHIL</t>
        </is>
      </c>
      <c r="AK814" t="n">
        <v>21</v>
      </c>
      <c r="AL814" t="inlineStr">
        <is>
          <t>Miss Glam Damar</t>
        </is>
      </c>
      <c r="AM814" t="n">
        <v>3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CETAPHIL</t>
        </is>
      </c>
      <c r="B815" s="2">
        <f>"9318637072378"</f>
        <v/>
      </c>
      <c r="C815" t="inlineStr">
        <is>
          <t>CETAPHIL Gentle Skin Cleanser 236ml</t>
        </is>
      </c>
      <c r="D815" t="inlineStr">
        <is>
          <t>Miss Glam Damar</t>
        </is>
      </c>
      <c r="E815" t="n">
        <v>0</v>
      </c>
      <c r="F815" t="n">
        <v>0.8372000000000001</v>
      </c>
      <c r="G815" t="n">
        <v>3.64</v>
      </c>
      <c r="H815" t="n">
        <v>4</v>
      </c>
      <c r="I815" t="n">
        <v>17</v>
      </c>
      <c r="J815" t="n">
        <v>3</v>
      </c>
      <c r="K815" t="n">
        <v>84</v>
      </c>
      <c r="L815" t="n">
        <v>114140</v>
      </c>
      <c r="M815" t="n">
        <v>136000</v>
      </c>
      <c r="N815" t="n">
        <v>91</v>
      </c>
      <c r="O815" t="n">
        <v>0.91</v>
      </c>
      <c r="P815" t="n">
        <v>1</v>
      </c>
      <c r="Q815" t="n">
        <v>1.37</v>
      </c>
      <c r="R815" t="n">
        <v>6</v>
      </c>
      <c r="S815" t="n">
        <v>113859.2</v>
      </c>
      <c r="T815" t="n">
        <v>59</v>
      </c>
      <c r="U815" t="n">
        <v>63</v>
      </c>
      <c r="V815" t="n">
        <v>30</v>
      </c>
      <c r="W815" t="n">
        <v>26</v>
      </c>
      <c r="X815" t="n">
        <v>0</v>
      </c>
      <c r="Y815" t="n">
        <v>1</v>
      </c>
      <c r="Z815" t="n">
        <v>0</v>
      </c>
      <c r="AA815" t="n">
        <v>14</v>
      </c>
      <c r="AB815" t="n">
        <v>0</v>
      </c>
      <c r="AC815" t="n">
        <v>0</v>
      </c>
      <c r="AD815" t="n">
        <v>1597960</v>
      </c>
      <c r="AE815" t="n">
        <v>0</v>
      </c>
      <c r="AF815" t="n">
        <v>2535</v>
      </c>
      <c r="AG815" t="n">
        <v>2853</v>
      </c>
      <c r="AH815" t="inlineStr">
        <is>
          <t>PT. ANUGERAH PHARMINDO LESTARI - PPN (PDG)</t>
        </is>
      </c>
      <c r="AI815" t="n">
        <v>326</v>
      </c>
      <c r="AJ815" t="inlineStr">
        <is>
          <t>CETAPHIL</t>
        </is>
      </c>
      <c r="AK815" t="n">
        <v>21</v>
      </c>
      <c r="AL815" t="inlineStr">
        <is>
          <t>Miss Glam Damar</t>
        </is>
      </c>
      <c r="AM815" t="n">
        <v>3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CETAPHIL</t>
        </is>
      </c>
      <c r="B816" s="2">
        <f>"9318637069637"</f>
        <v/>
      </c>
      <c r="C816" t="inlineStr">
        <is>
          <t>CETAPHIL Gentle Skin Cleanser 500ml</t>
        </is>
      </c>
      <c r="D816" t="inlineStr">
        <is>
          <t>Miss Glam Damar</t>
        </is>
      </c>
      <c r="E816" t="n">
        <v>1</v>
      </c>
      <c r="F816" t="n">
        <v>0.3731</v>
      </c>
      <c r="G816" t="n">
        <v>2.73</v>
      </c>
      <c r="H816" t="n">
        <v>4</v>
      </c>
      <c r="I816" t="n">
        <v>17</v>
      </c>
      <c r="J816" t="n">
        <v>3</v>
      </c>
      <c r="K816" t="n">
        <v>30</v>
      </c>
      <c r="L816" t="n">
        <v>180409</v>
      </c>
      <c r="M816" t="n">
        <v>217000</v>
      </c>
      <c r="N816" t="n">
        <v>91</v>
      </c>
      <c r="O816" t="n">
        <v>0.91</v>
      </c>
      <c r="P816" t="n">
        <v>1</v>
      </c>
      <c r="Q816" t="n">
        <v>0.44</v>
      </c>
      <c r="R816" t="n">
        <v>2</v>
      </c>
      <c r="S816" t="n">
        <v>80962.7</v>
      </c>
      <c r="T816" t="n">
        <v>45</v>
      </c>
      <c r="U816" t="n">
        <v>47</v>
      </c>
      <c r="V816" t="n">
        <v>30</v>
      </c>
      <c r="W816" t="n">
        <v>12</v>
      </c>
      <c r="X816" t="n">
        <v>2.680246582685607</v>
      </c>
      <c r="Y816" t="n">
        <v>1</v>
      </c>
      <c r="Z816" t="n">
        <v>0</v>
      </c>
      <c r="AA816" t="n">
        <v>5</v>
      </c>
      <c r="AB816" t="n">
        <v>0</v>
      </c>
      <c r="AC816" t="n">
        <v>0</v>
      </c>
      <c r="AD816" t="n">
        <v>902045</v>
      </c>
      <c r="AE816" t="n">
        <v>0</v>
      </c>
      <c r="AF816" t="n">
        <v>2535</v>
      </c>
      <c r="AG816" t="n">
        <v>2853</v>
      </c>
      <c r="AH816" t="inlineStr">
        <is>
          <t>PT. ANUGERAH PHARMINDO LESTARI - PPN (PDG)</t>
        </is>
      </c>
      <c r="AI816" t="n">
        <v>326</v>
      </c>
      <c r="AJ816" t="inlineStr">
        <is>
          <t>CETAPHIL</t>
        </is>
      </c>
      <c r="AK816" t="n">
        <v>21</v>
      </c>
      <c r="AL816" t="inlineStr">
        <is>
          <t>Miss Glam Damar</t>
        </is>
      </c>
      <c r="AM816" t="n">
        <v>3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CETAPHIL</t>
        </is>
      </c>
      <c r="B817" s="2">
        <f>"302993921288"</f>
        <v/>
      </c>
      <c r="C817" t="inlineStr">
        <is>
          <t>CETAPHIL Gentle Skin Cleanser 59ml</t>
        </is>
      </c>
      <c r="D817" t="inlineStr">
        <is>
          <t>Miss Glam Damar</t>
        </is>
      </c>
      <c r="E817" t="n">
        <v>23</v>
      </c>
      <c r="F817" t="n">
        <v>2.2022</v>
      </c>
      <c r="G817" t="n">
        <v>8.19</v>
      </c>
      <c r="H817" t="n">
        <v>4</v>
      </c>
      <c r="I817" t="n">
        <v>17</v>
      </c>
      <c r="J817" t="n">
        <v>3</v>
      </c>
      <c r="K817" t="n">
        <v>48</v>
      </c>
      <c r="L817" t="n">
        <v>39895</v>
      </c>
      <c r="M817" t="n">
        <v>51500</v>
      </c>
      <c r="N817" t="n">
        <v>91</v>
      </c>
      <c r="O817" t="n">
        <v>0.91</v>
      </c>
      <c r="P817" t="n">
        <v>1</v>
      </c>
      <c r="Q817" t="n">
        <v>1.83</v>
      </c>
      <c r="R817" t="n">
        <v>8</v>
      </c>
      <c r="S817" t="n">
        <v>113413.3</v>
      </c>
      <c r="T817" t="n">
        <v>131</v>
      </c>
      <c r="U817" t="n">
        <v>140</v>
      </c>
      <c r="V817" t="n">
        <v>30</v>
      </c>
      <c r="W817" t="n">
        <v>67</v>
      </c>
      <c r="X817" t="n">
        <v>10.44410135319226</v>
      </c>
      <c r="Y817" t="n">
        <v>1</v>
      </c>
      <c r="Z817" t="n">
        <v>0</v>
      </c>
      <c r="AA817" t="n">
        <v>14</v>
      </c>
      <c r="AB817" t="n">
        <v>0</v>
      </c>
      <c r="AC817" t="n">
        <v>0</v>
      </c>
      <c r="AD817" t="n">
        <v>558530</v>
      </c>
      <c r="AE817" t="n">
        <v>0</v>
      </c>
      <c r="AF817" t="n">
        <v>2535</v>
      </c>
      <c r="AG817" t="n">
        <v>2853</v>
      </c>
      <c r="AH817" t="inlineStr">
        <is>
          <t>PT. ANUGERAH PHARMINDO LESTARI - PPN (PDG)</t>
        </is>
      </c>
      <c r="AI817" t="n">
        <v>326</v>
      </c>
      <c r="AJ817" t="inlineStr">
        <is>
          <t>CETAPHIL</t>
        </is>
      </c>
      <c r="AK817" t="n">
        <v>21</v>
      </c>
      <c r="AL817" t="inlineStr">
        <is>
          <t>Miss Glam Damar</t>
        </is>
      </c>
      <c r="AM817" t="n">
        <v>3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CETAPHIL</t>
        </is>
      </c>
      <c r="B818" s="2">
        <f>"3499320014830"</f>
        <v/>
      </c>
      <c r="C818" t="inlineStr">
        <is>
          <t>CETAPHIL Hydrating Foaming Cream Cleanser 236ml</t>
        </is>
      </c>
      <c r="D818" t="inlineStr">
        <is>
          <t>Miss Glam Damar</t>
        </is>
      </c>
      <c r="E818" t="n">
        <v>5</v>
      </c>
      <c r="F818" t="n">
        <v>0.3731</v>
      </c>
      <c r="G818" t="n">
        <v>1.82</v>
      </c>
      <c r="H818" t="n">
        <v>4</v>
      </c>
      <c r="I818" t="n">
        <v>17</v>
      </c>
      <c r="J818" t="n">
        <v>3</v>
      </c>
      <c r="K818" t="n">
        <v>0</v>
      </c>
      <c r="L818" t="n">
        <v>116992</v>
      </c>
      <c r="M818" t="n">
        <v>138000</v>
      </c>
      <c r="N818" t="n">
        <v>91</v>
      </c>
      <c r="O818" t="n">
        <v>0.91</v>
      </c>
      <c r="P818" t="n">
        <v>1</v>
      </c>
      <c r="Q818" t="n">
        <v>0.22</v>
      </c>
      <c r="R818" t="n">
        <v>2</v>
      </c>
      <c r="S818" t="n">
        <v>51487.8</v>
      </c>
      <c r="T818" t="n">
        <v>30</v>
      </c>
      <c r="U818" t="n">
        <v>32</v>
      </c>
      <c r="V818" t="n">
        <v>30</v>
      </c>
      <c r="W818" t="n">
        <v>12</v>
      </c>
      <c r="X818" t="n">
        <v>13.40123291342804</v>
      </c>
      <c r="Y818" t="n">
        <v>1</v>
      </c>
      <c r="Z818" t="n">
        <v>7</v>
      </c>
      <c r="AA818" t="n">
        <v>2</v>
      </c>
      <c r="AB818" t="n">
        <v>5</v>
      </c>
      <c r="AC818" t="n">
        <v>5</v>
      </c>
      <c r="AD818" t="n">
        <v>233984</v>
      </c>
      <c r="AE818" t="n">
        <v>584960</v>
      </c>
      <c r="AF818" t="n">
        <v>2535</v>
      </c>
      <c r="AG818" t="n">
        <v>2853</v>
      </c>
      <c r="AH818" t="inlineStr">
        <is>
          <t>PT. ANUGERAH PHARMINDO LESTARI - PPN (PDG)</t>
        </is>
      </c>
      <c r="AI818" t="n">
        <v>326</v>
      </c>
      <c r="AJ818" t="inlineStr">
        <is>
          <t>CETAPHIL</t>
        </is>
      </c>
      <c r="AK818" t="n">
        <v>21</v>
      </c>
      <c r="AL818" t="inlineStr">
        <is>
          <t>Miss Glam Damar</t>
        </is>
      </c>
      <c r="AM818" t="n">
        <v>3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CETAPHIL</t>
        </is>
      </c>
      <c r="B819" s="2">
        <f>"3499320000321"</f>
        <v/>
      </c>
      <c r="C819" t="inlineStr">
        <is>
          <t>CETAPHIL Moisturizing Cream 100gr</t>
        </is>
      </c>
      <c r="D819" t="inlineStr">
        <is>
          <t>Miss Glam Damar</t>
        </is>
      </c>
      <c r="E819" t="n">
        <v>0</v>
      </c>
      <c r="F819" t="n">
        <v>0.09100000000000001</v>
      </c>
      <c r="G819" t="n">
        <v>0.91</v>
      </c>
      <c r="H819" t="n">
        <v>4</v>
      </c>
      <c r="I819" t="n">
        <v>17</v>
      </c>
      <c r="J819" t="n">
        <v>3</v>
      </c>
      <c r="K819" t="n">
        <v>3</v>
      </c>
      <c r="L819" t="n">
        <v>117664</v>
      </c>
      <c r="M819" t="n">
        <v>139000</v>
      </c>
      <c r="N819" t="n">
        <v>91</v>
      </c>
      <c r="O819" t="n">
        <v>0.91</v>
      </c>
      <c r="P819" t="n">
        <v>1</v>
      </c>
      <c r="Q819" t="n">
        <v>0.05</v>
      </c>
      <c r="R819" t="n">
        <v>1</v>
      </c>
      <c r="S819" t="n">
        <v>12649</v>
      </c>
      <c r="T819" t="n">
        <v>16</v>
      </c>
      <c r="U819" t="n">
        <v>17</v>
      </c>
      <c r="V819" t="n">
        <v>30</v>
      </c>
      <c r="W819" t="n">
        <v>3</v>
      </c>
      <c r="X819" t="n">
        <v>0</v>
      </c>
      <c r="Y819" t="n">
        <v>1</v>
      </c>
      <c r="Z819" t="n">
        <v>0</v>
      </c>
      <c r="AA819" t="n">
        <v>1</v>
      </c>
      <c r="AB819" t="n">
        <v>0</v>
      </c>
      <c r="AC819" t="n">
        <v>0</v>
      </c>
      <c r="AD819" t="n">
        <v>117664</v>
      </c>
      <c r="AE819" t="n">
        <v>0</v>
      </c>
      <c r="AF819" t="n">
        <v>2535</v>
      </c>
      <c r="AG819" t="n">
        <v>2853</v>
      </c>
      <c r="AH819" t="inlineStr">
        <is>
          <t>PT. ANUGERAH PHARMINDO LESTARI - PPN (PDG)</t>
        </is>
      </c>
      <c r="AI819" t="n">
        <v>326</v>
      </c>
      <c r="AJ819" t="inlineStr">
        <is>
          <t>CETAPHIL</t>
        </is>
      </c>
      <c r="AK819" t="n">
        <v>21</v>
      </c>
      <c r="AL819" t="inlineStr">
        <is>
          <t>Miss Glam Damar</t>
        </is>
      </c>
      <c r="AM819" t="n">
        <v>3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CETAPHIL</t>
        </is>
      </c>
      <c r="B820" s="2">
        <f>"30200190804"</f>
        <v/>
      </c>
      <c r="C820" t="inlineStr">
        <is>
          <t>CETAPHIL Moisturizing Lotion 237ml</t>
        </is>
      </c>
      <c r="D820" t="inlineStr">
        <is>
          <t>Miss Glam Damar</t>
        </is>
      </c>
      <c r="E820" t="n">
        <v>4</v>
      </c>
      <c r="F820" t="n">
        <v>0.1274</v>
      </c>
      <c r="G820" t="n">
        <v>1.82</v>
      </c>
      <c r="H820" t="n">
        <v>4</v>
      </c>
      <c r="I820" t="n">
        <v>17</v>
      </c>
      <c r="J820" t="n">
        <v>1</v>
      </c>
      <c r="K820" t="n">
        <v>0</v>
      </c>
      <c r="L820" t="n">
        <v>150764</v>
      </c>
      <c r="M820" t="n">
        <v>185000</v>
      </c>
      <c r="N820" t="n">
        <v>91</v>
      </c>
      <c r="O820" t="n">
        <v>0.91</v>
      </c>
      <c r="P820" t="n">
        <v>1</v>
      </c>
      <c r="Q820" t="n">
        <v>0.14</v>
      </c>
      <c r="R820" t="n">
        <v>2</v>
      </c>
      <c r="S820" t="n">
        <v>23569</v>
      </c>
      <c r="T820" t="n">
        <v>31</v>
      </c>
      <c r="U820" t="n">
        <v>32</v>
      </c>
      <c r="V820" t="n">
        <v>30</v>
      </c>
      <c r="W820" t="n">
        <v>4</v>
      </c>
      <c r="X820" t="n">
        <v>31.39717425431711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2535</v>
      </c>
      <c r="AG820" t="n">
        <v>2853</v>
      </c>
      <c r="AH820" t="inlineStr">
        <is>
          <t>PT. ANUGERAH PHARMINDO LESTARI - PPN (PDG)</t>
        </is>
      </c>
      <c r="AI820" t="n">
        <v>326</v>
      </c>
      <c r="AJ820" t="inlineStr">
        <is>
          <t>CETAPHIL</t>
        </is>
      </c>
      <c r="AK820" t="n">
        <v>21</v>
      </c>
      <c r="AL820" t="inlineStr">
        <is>
          <t>Miss Glam Damar</t>
        </is>
      </c>
      <c r="AM820" t="n">
        <v>3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CETAPHIL</t>
        </is>
      </c>
      <c r="B821" s="2">
        <f>"101001111724"</f>
        <v/>
      </c>
      <c r="C821" t="inlineStr">
        <is>
          <t>CETAPHIL Skin Renewing Cleanser 100gr</t>
        </is>
      </c>
      <c r="D821" t="inlineStr">
        <is>
          <t>Miss Glam Damar</t>
        </is>
      </c>
      <c r="E821" t="n">
        <v>1</v>
      </c>
      <c r="F821" t="n">
        <v>0.03</v>
      </c>
      <c r="G821" t="n">
        <v>2</v>
      </c>
      <c r="H821" t="n">
        <v>4</v>
      </c>
      <c r="I821" t="n">
        <v>17</v>
      </c>
      <c r="J821" t="n">
        <v>1</v>
      </c>
      <c r="K821" t="n">
        <v>3</v>
      </c>
      <c r="L821" t="n">
        <v>144580</v>
      </c>
      <c r="M821" t="n">
        <v>183000</v>
      </c>
      <c r="N821" t="n">
        <v>91</v>
      </c>
      <c r="O821" t="n">
        <v>0.91</v>
      </c>
      <c r="P821" t="n">
        <v>0</v>
      </c>
      <c r="Q821" t="n">
        <v>0.03</v>
      </c>
      <c r="R821" t="n">
        <v>2</v>
      </c>
      <c r="S821" t="n">
        <v>5490</v>
      </c>
      <c r="T821" t="n">
        <v>34</v>
      </c>
      <c r="U821" t="n">
        <v>35</v>
      </c>
      <c r="V821" t="n">
        <v>30</v>
      </c>
      <c r="W821" t="n">
        <v>1</v>
      </c>
      <c r="X821" t="n">
        <v>33.33333333333334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2535</v>
      </c>
      <c r="AG821" t="n">
        <v>2853</v>
      </c>
      <c r="AH821" t="inlineStr">
        <is>
          <t>PT. ANUGERAH PHARMINDO LESTARI - PPN (PDG)</t>
        </is>
      </c>
      <c r="AI821" t="n">
        <v>326</v>
      </c>
      <c r="AJ821" t="inlineStr">
        <is>
          <t>CETAPHIL</t>
        </is>
      </c>
      <c r="AK821" t="n">
        <v>21</v>
      </c>
      <c r="AL821" t="inlineStr">
        <is>
          <t>Miss Glam Damar</t>
        </is>
      </c>
      <c r="AM821" t="n">
        <v>3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CETAPHIL</t>
        </is>
      </c>
      <c r="B822" s="2">
        <f>"10400614807"</f>
        <v/>
      </c>
      <c r="C822" t="inlineStr">
        <is>
          <t>CETAPHIL Sun SPF50 Light Gel Very High Protection 50ml</t>
        </is>
      </c>
      <c r="D822" t="inlineStr">
        <is>
          <t>Miss Glam Damar</t>
        </is>
      </c>
      <c r="E822" t="n">
        <v>1</v>
      </c>
      <c r="F822" t="n">
        <v>0.03</v>
      </c>
      <c r="G822" t="n">
        <v>1</v>
      </c>
      <c r="H822" t="n">
        <v>4</v>
      </c>
      <c r="I822" t="n">
        <v>17</v>
      </c>
      <c r="J822" t="n">
        <v>3</v>
      </c>
      <c r="K822" t="n">
        <v>3</v>
      </c>
      <c r="L822" t="n">
        <v>254916</v>
      </c>
      <c r="M822" t="n">
        <v>301000</v>
      </c>
      <c r="N822" t="n">
        <v>91</v>
      </c>
      <c r="O822" t="n">
        <v>0.91</v>
      </c>
      <c r="P822" t="n">
        <v>0</v>
      </c>
      <c r="Q822" t="n">
        <v>0.03</v>
      </c>
      <c r="R822" t="n">
        <v>1</v>
      </c>
      <c r="S822" t="n">
        <v>9030</v>
      </c>
      <c r="T822" t="n">
        <v>17</v>
      </c>
      <c r="U822" t="n">
        <v>18</v>
      </c>
      <c r="V822" t="n">
        <v>30</v>
      </c>
      <c r="W822" t="n">
        <v>1</v>
      </c>
      <c r="X822" t="n">
        <v>33.33333333333334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2535</v>
      </c>
      <c r="AG822" t="n">
        <v>2853</v>
      </c>
      <c r="AH822" t="inlineStr">
        <is>
          <t>PT. ANUGERAH PHARMINDO LESTARI - PPN (PDG)</t>
        </is>
      </c>
      <c r="AI822" t="n">
        <v>326</v>
      </c>
      <c r="AJ822" t="inlineStr">
        <is>
          <t>CETAPHIL</t>
        </is>
      </c>
      <c r="AK822" t="n">
        <v>21</v>
      </c>
      <c r="AL822" t="inlineStr">
        <is>
          <t>Miss Glam Damar</t>
        </is>
      </c>
      <c r="AM822" t="n">
        <v>3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CETAPHIL</t>
        </is>
      </c>
      <c r="B823" s="2">
        <f>"30100167339"</f>
        <v/>
      </c>
      <c r="C823" t="inlineStr">
        <is>
          <t>CETAPHIL Ultra Gentle Body Wash 500ml</t>
        </is>
      </c>
      <c r="D823" t="inlineStr">
        <is>
          <t>Miss Glam Damar</t>
        </is>
      </c>
      <c r="E823" t="n">
        <v>1</v>
      </c>
      <c r="F823" t="n">
        <v>0.12</v>
      </c>
      <c r="G823" t="n">
        <v>1</v>
      </c>
      <c r="H823" t="n">
        <v>4</v>
      </c>
      <c r="I823" t="n">
        <v>17</v>
      </c>
      <c r="J823" t="n">
        <v>1</v>
      </c>
      <c r="K823" t="n">
        <v>0</v>
      </c>
      <c r="L823" t="n">
        <v>85234</v>
      </c>
      <c r="M823" t="n">
        <v>103000</v>
      </c>
      <c r="N823" t="n">
        <v>91</v>
      </c>
      <c r="O823" t="n">
        <v>0.91</v>
      </c>
      <c r="P823" t="n">
        <v>0</v>
      </c>
      <c r="Q823" t="n">
        <v>0.12</v>
      </c>
      <c r="R823" t="n">
        <v>1</v>
      </c>
      <c r="S823" t="n">
        <v>12360</v>
      </c>
      <c r="T823" t="n">
        <v>17</v>
      </c>
      <c r="U823" t="n">
        <v>18</v>
      </c>
      <c r="V823" t="n">
        <v>30</v>
      </c>
      <c r="W823" t="n">
        <v>4</v>
      </c>
      <c r="X823" t="n">
        <v>8.333333333333334</v>
      </c>
      <c r="Y823" t="n">
        <v>1</v>
      </c>
      <c r="Z823" t="n">
        <v>3</v>
      </c>
      <c r="AA823" t="n">
        <v>2</v>
      </c>
      <c r="AB823" t="n">
        <v>1</v>
      </c>
      <c r="AC823" t="n">
        <v>1</v>
      </c>
      <c r="AD823" t="n">
        <v>170468</v>
      </c>
      <c r="AE823" t="n">
        <v>85234</v>
      </c>
      <c r="AF823" t="n">
        <v>2535</v>
      </c>
      <c r="AG823" t="n">
        <v>2853</v>
      </c>
      <c r="AH823" t="inlineStr">
        <is>
          <t>PT. ANUGERAH PHARMINDO LESTARI - PPN (PDG)</t>
        </is>
      </c>
      <c r="AI823" t="n">
        <v>326</v>
      </c>
      <c r="AJ823" t="inlineStr">
        <is>
          <t>CETAPHIL</t>
        </is>
      </c>
      <c r="AK823" t="n">
        <v>21</v>
      </c>
      <c r="AL823" t="inlineStr">
        <is>
          <t>Miss Glam Damar</t>
        </is>
      </c>
      <c r="AM823" t="n">
        <v>3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CHARM</t>
        </is>
      </c>
      <c r="B824" s="2">
        <f>"8993189270291"</f>
        <v/>
      </c>
      <c r="C824" t="inlineStr">
        <is>
          <t>CHARM Body Fit Extra Maxi 10Pads 23cm Non Wing</t>
        </is>
      </c>
      <c r="D824" t="inlineStr">
        <is>
          <t>Miss Glam Damar</t>
        </is>
      </c>
      <c r="E824" t="n">
        <v>0</v>
      </c>
      <c r="F824" t="n">
        <v>1.6926</v>
      </c>
      <c r="G824" t="n">
        <v>3.64</v>
      </c>
      <c r="H824" t="n">
        <v>2</v>
      </c>
      <c r="I824" t="n">
        <v>2</v>
      </c>
      <c r="J824" t="n">
        <v>3</v>
      </c>
      <c r="K824" t="n">
        <v>0</v>
      </c>
      <c r="L824" t="n">
        <v>7088</v>
      </c>
      <c r="M824" t="n">
        <v>8500</v>
      </c>
      <c r="N824" t="n">
        <v>91</v>
      </c>
      <c r="O824" t="n">
        <v>0.91</v>
      </c>
      <c r="P824" t="n">
        <v>1</v>
      </c>
      <c r="Q824" t="n">
        <v>0.55</v>
      </c>
      <c r="R824" t="n">
        <v>3</v>
      </c>
      <c r="S824" t="n">
        <v>14387.1</v>
      </c>
      <c r="T824" t="n">
        <v>4</v>
      </c>
      <c r="U824" t="n">
        <v>8</v>
      </c>
      <c r="V824" t="n">
        <v>30</v>
      </c>
      <c r="W824" t="n">
        <v>51</v>
      </c>
      <c r="X824" t="n">
        <v>0</v>
      </c>
      <c r="Y824" t="n">
        <v>1</v>
      </c>
      <c r="Z824" t="n">
        <v>51</v>
      </c>
      <c r="AA824" t="n">
        <v>4</v>
      </c>
      <c r="AB824" t="n">
        <v>47</v>
      </c>
      <c r="AC824" t="n">
        <v>47</v>
      </c>
      <c r="AD824" t="n">
        <v>28352</v>
      </c>
      <c r="AE824" t="n">
        <v>333136</v>
      </c>
      <c r="AF824" t="n">
        <v>12266</v>
      </c>
      <c r="AG824" t="n">
        <v>3301</v>
      </c>
      <c r="AH824" t="inlineStr">
        <is>
          <t>PT. RIMBUN PADI BERJAYA - PPN (PDG)</t>
        </is>
      </c>
      <c r="AI824" t="n">
        <v>1645</v>
      </c>
      <c r="AJ824" t="inlineStr">
        <is>
          <t>CHARM</t>
        </is>
      </c>
      <c r="AK824" t="n">
        <v>21</v>
      </c>
      <c r="AL824" t="inlineStr">
        <is>
          <t>Miss Glam Damar</t>
        </is>
      </c>
      <c r="AM824" t="n">
        <v>4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CHARM</t>
        </is>
      </c>
      <c r="B825" s="2">
        <f>"8993189270314"</f>
        <v/>
      </c>
      <c r="C825" t="inlineStr">
        <is>
          <t>CHARM Body Fit Extra Maxi 30Pads 23cm Non Wing</t>
        </is>
      </c>
      <c r="D825" t="inlineStr">
        <is>
          <t>Miss Glam Damar</t>
        </is>
      </c>
      <c r="E825" t="n">
        <v>0</v>
      </c>
      <c r="F825" t="n">
        <v>0.5642</v>
      </c>
      <c r="G825" t="n">
        <v>1.82</v>
      </c>
      <c r="H825" t="n">
        <v>2</v>
      </c>
      <c r="I825" t="n">
        <v>2</v>
      </c>
      <c r="J825" t="n">
        <v>3</v>
      </c>
      <c r="K825" t="n">
        <v>9</v>
      </c>
      <c r="L825" t="n">
        <v>17863</v>
      </c>
      <c r="M825" t="n">
        <v>21500</v>
      </c>
      <c r="N825" t="n">
        <v>91</v>
      </c>
      <c r="O825" t="n">
        <v>0.91</v>
      </c>
      <c r="P825" t="n">
        <v>1</v>
      </c>
      <c r="Q825" t="n">
        <v>0.21</v>
      </c>
      <c r="R825" t="n">
        <v>2</v>
      </c>
      <c r="S825" t="n">
        <v>12130.3</v>
      </c>
      <c r="T825" t="n">
        <v>3</v>
      </c>
      <c r="U825" t="n">
        <v>5</v>
      </c>
      <c r="V825" t="n">
        <v>30</v>
      </c>
      <c r="W825" t="n">
        <v>17</v>
      </c>
      <c r="X825" t="n">
        <v>0</v>
      </c>
      <c r="Y825" t="n">
        <v>1</v>
      </c>
      <c r="Z825" t="n">
        <v>8</v>
      </c>
      <c r="AA825" t="n">
        <v>1</v>
      </c>
      <c r="AB825" t="n">
        <v>7</v>
      </c>
      <c r="AC825" t="n">
        <v>7</v>
      </c>
      <c r="AD825" t="n">
        <v>17863</v>
      </c>
      <c r="AE825" t="n">
        <v>125041</v>
      </c>
      <c r="AF825" t="n">
        <v>12266</v>
      </c>
      <c r="AG825" t="n">
        <v>3301</v>
      </c>
      <c r="AH825" t="inlineStr">
        <is>
          <t>PT. RIMBUN PADI BERJAYA - PPN (PDG)</t>
        </is>
      </c>
      <c r="AI825" t="n">
        <v>1645</v>
      </c>
      <c r="AJ825" t="inlineStr">
        <is>
          <t>CHARM</t>
        </is>
      </c>
      <c r="AK825" t="n">
        <v>21</v>
      </c>
      <c r="AL825" t="inlineStr">
        <is>
          <t>Miss Glam Damar</t>
        </is>
      </c>
      <c r="AM825" t="n">
        <v>4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CHARM</t>
        </is>
      </c>
      <c r="B826" s="2">
        <f>"8993189329654"</f>
        <v/>
      </c>
      <c r="C826" t="inlineStr">
        <is>
          <t>CHARM Body Fit Extra Maxi 8Pads 23cm Wing</t>
        </is>
      </c>
      <c r="D826" t="inlineStr">
        <is>
          <t>Miss Glam Damar</t>
        </is>
      </c>
      <c r="E826" t="n">
        <v>0</v>
      </c>
      <c r="F826" t="n">
        <v>0.8190000000000001</v>
      </c>
      <c r="G826" t="n">
        <v>2.73</v>
      </c>
      <c r="H826" t="n">
        <v>2</v>
      </c>
      <c r="I826" t="n">
        <v>2</v>
      </c>
      <c r="J826" t="n">
        <v>3</v>
      </c>
      <c r="K826" t="n">
        <v>0</v>
      </c>
      <c r="L826" t="n">
        <v>5900</v>
      </c>
      <c r="M826" t="n">
        <v>7000</v>
      </c>
      <c r="N826" t="n">
        <v>91</v>
      </c>
      <c r="O826" t="n">
        <v>0.91</v>
      </c>
      <c r="P826" t="n">
        <v>1</v>
      </c>
      <c r="Q826" t="n">
        <v>0.53</v>
      </c>
      <c r="R826" t="n">
        <v>2</v>
      </c>
      <c r="S826" t="n">
        <v>5733</v>
      </c>
      <c r="T826" t="n">
        <v>4</v>
      </c>
      <c r="U826" t="n">
        <v>6</v>
      </c>
      <c r="V826" t="n">
        <v>30</v>
      </c>
      <c r="W826" t="n">
        <v>25</v>
      </c>
      <c r="X826" t="n">
        <v>0</v>
      </c>
      <c r="Y826" t="n">
        <v>1</v>
      </c>
      <c r="Z826" t="n">
        <v>25</v>
      </c>
      <c r="AA826" t="n">
        <v>2</v>
      </c>
      <c r="AB826" t="n">
        <v>23</v>
      </c>
      <c r="AC826" t="n">
        <v>23</v>
      </c>
      <c r="AD826" t="n">
        <v>11800</v>
      </c>
      <c r="AE826" t="n">
        <v>135700</v>
      </c>
      <c r="AF826" t="n">
        <v>12266</v>
      </c>
      <c r="AG826" t="n">
        <v>3301</v>
      </c>
      <c r="AH826" t="inlineStr">
        <is>
          <t>PT. RIMBUN PADI BERJAYA - PPN (PDG)</t>
        </is>
      </c>
      <c r="AI826" t="n">
        <v>1645</v>
      </c>
      <c r="AJ826" t="inlineStr">
        <is>
          <t>CHARM</t>
        </is>
      </c>
      <c r="AK826" t="n">
        <v>21</v>
      </c>
      <c r="AL826" t="inlineStr">
        <is>
          <t>Miss Glam Damar</t>
        </is>
      </c>
      <c r="AM826" t="n">
        <v>4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CHARM</t>
        </is>
      </c>
      <c r="B827" s="2">
        <f>"8993189270345"</f>
        <v/>
      </c>
      <c r="C827" t="inlineStr">
        <is>
          <t>CHARM Body Fit Extra Maxi Wing 23cm Wing 20 Pads</t>
        </is>
      </c>
      <c r="D827" t="inlineStr">
        <is>
          <t>Miss Glam Damar</t>
        </is>
      </c>
      <c r="E827" t="n">
        <v>0</v>
      </c>
      <c r="F827" t="n">
        <v>1.0374</v>
      </c>
      <c r="G827" t="n">
        <v>2.73</v>
      </c>
      <c r="H827" t="n">
        <v>2</v>
      </c>
      <c r="I827" t="n">
        <v>2</v>
      </c>
      <c r="J827" t="n">
        <v>3</v>
      </c>
      <c r="K827" t="n">
        <v>9</v>
      </c>
      <c r="L827" t="n">
        <v>15746</v>
      </c>
      <c r="M827" t="n">
        <v>19000</v>
      </c>
      <c r="N827" t="n">
        <v>91</v>
      </c>
      <c r="O827" t="n">
        <v>0.91</v>
      </c>
      <c r="P827" t="n">
        <v>1</v>
      </c>
      <c r="Q827" t="n">
        <v>0.31</v>
      </c>
      <c r="R827" t="n">
        <v>1</v>
      </c>
      <c r="S827" t="n">
        <v>19710.6</v>
      </c>
      <c r="T827" t="n">
        <v>4</v>
      </c>
      <c r="U827" t="n">
        <v>7</v>
      </c>
      <c r="V827" t="n">
        <v>30</v>
      </c>
      <c r="W827" t="n">
        <v>32</v>
      </c>
      <c r="X827" t="n">
        <v>0</v>
      </c>
      <c r="Y827" t="n">
        <v>1</v>
      </c>
      <c r="Z827" t="n">
        <v>23</v>
      </c>
      <c r="AA827" t="n">
        <v>2</v>
      </c>
      <c r="AB827" t="n">
        <v>21</v>
      </c>
      <c r="AC827" t="n">
        <v>21</v>
      </c>
      <c r="AD827" t="n">
        <v>31492</v>
      </c>
      <c r="AE827" t="n">
        <v>330666</v>
      </c>
      <c r="AF827" t="n">
        <v>12266</v>
      </c>
      <c r="AG827" t="n">
        <v>3301</v>
      </c>
      <c r="AH827" t="inlineStr">
        <is>
          <t>PT. RIMBUN PADI BERJAYA - PPN (PDG)</t>
        </is>
      </c>
      <c r="AI827" t="n">
        <v>1645</v>
      </c>
      <c r="AJ827" t="inlineStr">
        <is>
          <t>CHARM</t>
        </is>
      </c>
      <c r="AK827" t="n">
        <v>21</v>
      </c>
      <c r="AL827" t="inlineStr">
        <is>
          <t>Miss Glam Damar</t>
        </is>
      </c>
      <c r="AM827" t="n">
        <v>4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CHARM</t>
        </is>
      </c>
      <c r="B828" s="2">
        <f>"8993189329579"</f>
        <v/>
      </c>
      <c r="C828" t="inlineStr">
        <is>
          <t>CHARM Cooling Fresh 10Pads 29cm Wing</t>
        </is>
      </c>
      <c r="D828" t="inlineStr">
        <is>
          <t>Miss Glam Damar</t>
        </is>
      </c>
      <c r="E828" t="n">
        <v>0</v>
      </c>
      <c r="F828" t="n">
        <v>0.5642</v>
      </c>
      <c r="G828" t="n">
        <v>1.82</v>
      </c>
      <c r="H828" t="n">
        <v>2</v>
      </c>
      <c r="I828" t="n">
        <v>2</v>
      </c>
      <c r="J828" t="n">
        <v>3</v>
      </c>
      <c r="K828" t="n">
        <v>9</v>
      </c>
      <c r="L828" t="n">
        <v>15815</v>
      </c>
      <c r="M828" t="n">
        <v>19000</v>
      </c>
      <c r="N828" t="n">
        <v>91</v>
      </c>
      <c r="O828" t="n">
        <v>0.91</v>
      </c>
      <c r="P828" t="n">
        <v>1</v>
      </c>
      <c r="Q828" t="n">
        <v>0.3</v>
      </c>
      <c r="R828" t="n">
        <v>1</v>
      </c>
      <c r="S828" t="n">
        <v>10719.8</v>
      </c>
      <c r="T828" t="n">
        <v>3</v>
      </c>
      <c r="U828" t="n">
        <v>5</v>
      </c>
      <c r="V828" t="n">
        <v>30</v>
      </c>
      <c r="W828" t="n">
        <v>17</v>
      </c>
      <c r="X828" t="n">
        <v>0</v>
      </c>
      <c r="Y828" t="n">
        <v>1</v>
      </c>
      <c r="Z828" t="n">
        <v>8</v>
      </c>
      <c r="AA828" t="n">
        <v>1</v>
      </c>
      <c r="AB828" t="n">
        <v>7</v>
      </c>
      <c r="AC828" t="n">
        <v>7</v>
      </c>
      <c r="AD828" t="n">
        <v>15815</v>
      </c>
      <c r="AE828" t="n">
        <v>110705</v>
      </c>
      <c r="AF828" t="n">
        <v>12266</v>
      </c>
      <c r="AG828" t="n">
        <v>3301</v>
      </c>
      <c r="AH828" t="inlineStr">
        <is>
          <t>PT. RIMBUN PADI BERJAYA - PPN (PDG)</t>
        </is>
      </c>
      <c r="AI828" t="n">
        <v>1645</v>
      </c>
      <c r="AJ828" t="inlineStr">
        <is>
          <t>CHARM</t>
        </is>
      </c>
      <c r="AK828" t="n">
        <v>21</v>
      </c>
      <c r="AL828" t="inlineStr">
        <is>
          <t>Miss Glam Damar</t>
        </is>
      </c>
      <c r="AM828" t="n">
        <v>4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CHARM</t>
        </is>
      </c>
      <c r="B829" s="2">
        <f>"8993189700552"</f>
        <v/>
      </c>
      <c r="C829" t="inlineStr">
        <is>
          <t>CHARM Cooling Fresh 16Pads 23cm Wing</t>
        </is>
      </c>
      <c r="D829" t="inlineStr">
        <is>
          <t>Miss Glam Damar</t>
        </is>
      </c>
      <c r="E829" t="n">
        <v>0</v>
      </c>
      <c r="F829" t="n">
        <v>0.6279</v>
      </c>
      <c r="G829" t="n">
        <v>2.73</v>
      </c>
      <c r="H829" t="n">
        <v>2</v>
      </c>
      <c r="I829" t="n">
        <v>2</v>
      </c>
      <c r="J829" t="n">
        <v>3</v>
      </c>
      <c r="K829" t="n">
        <v>0</v>
      </c>
      <c r="L829" t="n">
        <v>15815</v>
      </c>
      <c r="M829" t="n">
        <v>19000</v>
      </c>
      <c r="N829" t="n">
        <v>91</v>
      </c>
      <c r="O829" t="n">
        <v>0.91</v>
      </c>
      <c r="P829" t="n">
        <v>1</v>
      </c>
      <c r="Q829" t="n">
        <v>0.5</v>
      </c>
      <c r="R829" t="n">
        <v>2</v>
      </c>
      <c r="S829" t="n">
        <v>11930.1</v>
      </c>
      <c r="T829" t="n">
        <v>5</v>
      </c>
      <c r="U829" t="n">
        <v>7</v>
      </c>
      <c r="V829" t="n">
        <v>30</v>
      </c>
      <c r="W829" t="n">
        <v>19</v>
      </c>
      <c r="X829" t="n">
        <v>0</v>
      </c>
      <c r="Y829" t="n">
        <v>1</v>
      </c>
      <c r="Z829" t="n">
        <v>19</v>
      </c>
      <c r="AA829" t="n">
        <v>2</v>
      </c>
      <c r="AB829" t="n">
        <v>17</v>
      </c>
      <c r="AC829" t="n">
        <v>17</v>
      </c>
      <c r="AD829" t="n">
        <v>31630</v>
      </c>
      <c r="AE829" t="n">
        <v>268855</v>
      </c>
      <c r="AF829" t="n">
        <v>12266</v>
      </c>
      <c r="AG829" t="n">
        <v>3301</v>
      </c>
      <c r="AH829" t="inlineStr">
        <is>
          <t>PT. RIMBUN PADI BERJAYA - PPN (PDG)</t>
        </is>
      </c>
      <c r="AI829" t="n">
        <v>1645</v>
      </c>
      <c r="AJ829" t="inlineStr">
        <is>
          <t>CHARM</t>
        </is>
      </c>
      <c r="AK829" t="n">
        <v>21</v>
      </c>
      <c r="AL829" t="inlineStr">
        <is>
          <t>Miss Glam Damar</t>
        </is>
      </c>
      <c r="AM829" t="n">
        <v>4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CHARM</t>
        </is>
      </c>
      <c r="B830" s="2">
        <f>"8993189380006"</f>
        <v/>
      </c>
      <c r="C830" t="inlineStr">
        <is>
          <t>CHARM Cooling Fresh Mint 42 cm pads 6</t>
        </is>
      </c>
      <c r="D830" t="inlineStr">
        <is>
          <t>Miss Glam Damar</t>
        </is>
      </c>
      <c r="E830" t="n">
        <v>0</v>
      </c>
      <c r="F830" t="n">
        <v>0.8190000000000001</v>
      </c>
      <c r="G830" t="n">
        <v>2.73</v>
      </c>
      <c r="H830" t="n">
        <v>2</v>
      </c>
      <c r="I830" t="n">
        <v>2</v>
      </c>
      <c r="J830" t="n">
        <v>3</v>
      </c>
      <c r="K830" t="n">
        <v>12</v>
      </c>
      <c r="L830" t="n">
        <v>15815</v>
      </c>
      <c r="M830" t="n">
        <v>19000</v>
      </c>
      <c r="N830" t="n">
        <v>91</v>
      </c>
      <c r="O830" t="n">
        <v>0.91</v>
      </c>
      <c r="P830" t="n">
        <v>1</v>
      </c>
      <c r="Q830" t="n">
        <v>0.46</v>
      </c>
      <c r="R830" t="n">
        <v>2</v>
      </c>
      <c r="S830" t="n">
        <v>15561</v>
      </c>
      <c r="T830" t="n">
        <v>4</v>
      </c>
      <c r="U830" t="n">
        <v>6</v>
      </c>
      <c r="V830" t="n">
        <v>30</v>
      </c>
      <c r="W830" t="n">
        <v>25</v>
      </c>
      <c r="X830" t="n">
        <v>0</v>
      </c>
      <c r="Y830" t="n">
        <v>1</v>
      </c>
      <c r="Z830" t="n">
        <v>13</v>
      </c>
      <c r="AA830" t="n">
        <v>1</v>
      </c>
      <c r="AB830" t="n">
        <v>12</v>
      </c>
      <c r="AC830" t="n">
        <v>12</v>
      </c>
      <c r="AD830" t="n">
        <v>15815</v>
      </c>
      <c r="AE830" t="n">
        <v>189780</v>
      </c>
      <c r="AF830" t="n">
        <v>12266</v>
      </c>
      <c r="AG830" t="n">
        <v>3301</v>
      </c>
      <c r="AH830" t="inlineStr">
        <is>
          <t>PT. RIMBUN PADI BERJAYA - PPN (PDG)</t>
        </is>
      </c>
      <c r="AI830" t="n">
        <v>1645</v>
      </c>
      <c r="AJ830" t="inlineStr">
        <is>
          <t>CHARM</t>
        </is>
      </c>
      <c r="AK830" t="n">
        <v>21</v>
      </c>
      <c r="AL830" t="inlineStr">
        <is>
          <t>Miss Glam Damar</t>
        </is>
      </c>
      <c r="AM830" t="n">
        <v>4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CHARM</t>
        </is>
      </c>
      <c r="B831" s="2">
        <f>"8993189700538"</f>
        <v/>
      </c>
      <c r="C831" t="inlineStr">
        <is>
          <t>CHARM Cooling Fresh Mint Non Wing 23cm 17 Pads</t>
        </is>
      </c>
      <c r="D831" t="inlineStr">
        <is>
          <t>Miss Glam Damar</t>
        </is>
      </c>
      <c r="E831" t="n">
        <v>0</v>
      </c>
      <c r="F831" t="n">
        <v>0.48</v>
      </c>
      <c r="G831" t="n">
        <v>3</v>
      </c>
      <c r="H831" t="n">
        <v>2</v>
      </c>
      <c r="I831" t="n">
        <v>2</v>
      </c>
      <c r="J831" t="n">
        <v>3</v>
      </c>
      <c r="K831" t="n">
        <v>15</v>
      </c>
      <c r="L831" t="n">
        <v>15815</v>
      </c>
      <c r="M831" t="n">
        <v>20000</v>
      </c>
      <c r="N831" t="n">
        <v>91</v>
      </c>
      <c r="O831" t="n">
        <v>0.91</v>
      </c>
      <c r="P831" t="n">
        <v>0</v>
      </c>
      <c r="Q831" t="n">
        <v>0.48</v>
      </c>
      <c r="R831" t="n">
        <v>3</v>
      </c>
      <c r="S831" t="n">
        <v>9600</v>
      </c>
      <c r="T831" t="n">
        <v>6</v>
      </c>
      <c r="U831" t="n">
        <v>7</v>
      </c>
      <c r="V831" t="n">
        <v>30</v>
      </c>
      <c r="W831" t="n">
        <v>15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12266</v>
      </c>
      <c r="AG831" t="n">
        <v>3301</v>
      </c>
      <c r="AH831" t="inlineStr">
        <is>
          <t>PT. RIMBUN PADI BERJAYA - PPN (PDG)</t>
        </is>
      </c>
      <c r="AI831" t="n">
        <v>1645</v>
      </c>
      <c r="AJ831" t="inlineStr">
        <is>
          <t>CHARM</t>
        </is>
      </c>
      <c r="AK831" t="n">
        <v>21</v>
      </c>
      <c r="AL831" t="inlineStr">
        <is>
          <t>Miss Glam Damar</t>
        </is>
      </c>
      <c r="AM831" t="n">
        <v>4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CHARM</t>
        </is>
      </c>
      <c r="B832" s="2">
        <f>"8993189700583"</f>
        <v/>
      </c>
      <c r="C832" t="inlineStr">
        <is>
          <t>CHARM Cooling Fresh Mint Wing 26cm 18 Pads</t>
        </is>
      </c>
      <c r="D832" t="inlineStr">
        <is>
          <t>Miss Glam Damar</t>
        </is>
      </c>
      <c r="E832" t="n">
        <v>0</v>
      </c>
      <c r="F832" t="n">
        <v>0.58</v>
      </c>
      <c r="G832" t="n">
        <v>2</v>
      </c>
      <c r="H832" t="n">
        <v>2</v>
      </c>
      <c r="I832" t="n">
        <v>2</v>
      </c>
      <c r="J832" t="n">
        <v>3</v>
      </c>
      <c r="K832" t="n">
        <v>15</v>
      </c>
      <c r="L832" t="n">
        <v>23660</v>
      </c>
      <c r="M832" t="n">
        <v>28000</v>
      </c>
      <c r="N832" t="n">
        <v>91</v>
      </c>
      <c r="O832" t="n">
        <v>0.91</v>
      </c>
      <c r="P832" t="n">
        <v>0</v>
      </c>
      <c r="Q832" t="n">
        <v>0.58</v>
      </c>
      <c r="R832" t="n">
        <v>2</v>
      </c>
      <c r="S832" t="n">
        <v>16240</v>
      </c>
      <c r="T832" t="n">
        <v>3</v>
      </c>
      <c r="U832" t="n">
        <v>5</v>
      </c>
      <c r="V832" t="n">
        <v>30</v>
      </c>
      <c r="W832" t="n">
        <v>18</v>
      </c>
      <c r="X832" t="n">
        <v>0</v>
      </c>
      <c r="Y832" t="n">
        <v>1</v>
      </c>
      <c r="Z832" t="n">
        <v>3</v>
      </c>
      <c r="AA832" t="n">
        <v>1</v>
      </c>
      <c r="AB832" t="n">
        <v>2</v>
      </c>
      <c r="AC832" t="n">
        <v>3</v>
      </c>
      <c r="AD832" t="n">
        <v>23660</v>
      </c>
      <c r="AE832" t="n">
        <v>70980</v>
      </c>
      <c r="AF832" t="n">
        <v>12266</v>
      </c>
      <c r="AG832" t="n">
        <v>3301</v>
      </c>
      <c r="AH832" t="inlineStr">
        <is>
          <t>PT. RIMBUN PADI BERJAYA - PPN (PDG)</t>
        </is>
      </c>
      <c r="AI832" t="n">
        <v>1645</v>
      </c>
      <c r="AJ832" t="inlineStr">
        <is>
          <t>CHARM</t>
        </is>
      </c>
      <c r="AK832" t="n">
        <v>21</v>
      </c>
      <c r="AL832" t="inlineStr">
        <is>
          <t>Miss Glam Damar</t>
        </is>
      </c>
      <c r="AM832" t="n">
        <v>4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CHARM</t>
        </is>
      </c>
      <c r="B833" s="2">
        <f>"8993189270307"</f>
        <v/>
      </c>
      <c r="C833" t="inlineStr">
        <is>
          <t>CHARM Extra Maxi 20Pads 23cm Non Wing</t>
        </is>
      </c>
      <c r="D833" t="inlineStr">
        <is>
          <t>Miss Glam Damar</t>
        </is>
      </c>
      <c r="E833" t="n">
        <v>0</v>
      </c>
      <c r="F833" t="n">
        <v>1.4105</v>
      </c>
      <c r="G833" t="n">
        <v>2.73</v>
      </c>
      <c r="H833" t="n">
        <v>2</v>
      </c>
      <c r="I833" t="n">
        <v>2</v>
      </c>
      <c r="J833" t="n">
        <v>3</v>
      </c>
      <c r="K833" t="n">
        <v>0</v>
      </c>
      <c r="L833" t="n">
        <v>12614</v>
      </c>
      <c r="M833" t="n">
        <v>15000</v>
      </c>
      <c r="N833" t="n">
        <v>91</v>
      </c>
      <c r="O833" t="n">
        <v>0.91</v>
      </c>
      <c r="P833" t="n">
        <v>1</v>
      </c>
      <c r="Q833" t="n">
        <v>0.31</v>
      </c>
      <c r="R833" t="n">
        <v>1</v>
      </c>
      <c r="S833" t="n">
        <v>21157.5</v>
      </c>
      <c r="T833" t="n">
        <v>3</v>
      </c>
      <c r="U833" t="n">
        <v>6</v>
      </c>
      <c r="V833" t="n">
        <v>30</v>
      </c>
      <c r="W833" t="n">
        <v>43</v>
      </c>
      <c r="X833" t="n">
        <v>0</v>
      </c>
      <c r="Y833" t="n">
        <v>1</v>
      </c>
      <c r="Z833" t="n">
        <v>43</v>
      </c>
      <c r="AA833" t="n">
        <v>3</v>
      </c>
      <c r="AB833" t="n">
        <v>40</v>
      </c>
      <c r="AC833" t="n">
        <v>40</v>
      </c>
      <c r="AD833" t="n">
        <v>37842</v>
      </c>
      <c r="AE833" t="n">
        <v>504560</v>
      </c>
      <c r="AF833" t="n">
        <v>12266</v>
      </c>
      <c r="AG833" t="n">
        <v>3301</v>
      </c>
      <c r="AH833" t="inlineStr">
        <is>
          <t>PT. RIMBUN PADI BERJAYA - PPN (PDG)</t>
        </is>
      </c>
      <c r="AI833" t="n">
        <v>1645</v>
      </c>
      <c r="AJ833" t="inlineStr">
        <is>
          <t>CHARM</t>
        </is>
      </c>
      <c r="AK833" t="n">
        <v>21</v>
      </c>
      <c r="AL833" t="inlineStr">
        <is>
          <t>Miss Glam Damar</t>
        </is>
      </c>
      <c r="AM833" t="n">
        <v>4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CHARM</t>
        </is>
      </c>
      <c r="B834" s="2">
        <f>"8993189270284"</f>
        <v/>
      </c>
      <c r="C834" t="inlineStr">
        <is>
          <t>CHARM Extra Maxi Non Wing 23cm 8pads</t>
        </is>
      </c>
      <c r="D834" t="inlineStr">
        <is>
          <t>Miss Glam Damar</t>
        </is>
      </c>
      <c r="E834" t="n">
        <v>1</v>
      </c>
      <c r="F834" t="n">
        <v>1.6562</v>
      </c>
      <c r="G834" t="n">
        <v>3.64</v>
      </c>
      <c r="H834" t="n">
        <v>2</v>
      </c>
      <c r="I834" t="n">
        <v>2</v>
      </c>
      <c r="J834" t="n">
        <v>3</v>
      </c>
      <c r="K834" t="n">
        <v>0</v>
      </c>
      <c r="L834" t="n">
        <v>4699</v>
      </c>
      <c r="M834" t="n">
        <v>6000</v>
      </c>
      <c r="N834" t="n">
        <v>91</v>
      </c>
      <c r="O834" t="n">
        <v>0.91</v>
      </c>
      <c r="P834" t="n">
        <v>1</v>
      </c>
      <c r="Q834" t="n">
        <v>0.64</v>
      </c>
      <c r="R834" t="n">
        <v>4</v>
      </c>
      <c r="S834" t="n">
        <v>9937.200000000001</v>
      </c>
      <c r="T834" t="n">
        <v>4</v>
      </c>
      <c r="U834" t="n">
        <v>8</v>
      </c>
      <c r="V834" t="n">
        <v>30</v>
      </c>
      <c r="W834" t="n">
        <v>50</v>
      </c>
      <c r="X834" t="n">
        <v>0.6037918125830213</v>
      </c>
      <c r="Y834" t="n">
        <v>1</v>
      </c>
      <c r="Z834" t="n">
        <v>49</v>
      </c>
      <c r="AA834" t="n">
        <v>3</v>
      </c>
      <c r="AB834" t="n">
        <v>46</v>
      </c>
      <c r="AC834" t="n">
        <v>46</v>
      </c>
      <c r="AD834" t="n">
        <v>14097</v>
      </c>
      <c r="AE834" t="n">
        <v>216154</v>
      </c>
      <c r="AF834" t="n">
        <v>12266</v>
      </c>
      <c r="AG834" t="n">
        <v>3301</v>
      </c>
      <c r="AH834" t="inlineStr">
        <is>
          <t>PT. RIMBUN PADI BERJAYA - PPN (PDG)</t>
        </is>
      </c>
      <c r="AI834" t="n">
        <v>1645</v>
      </c>
      <c r="AJ834" t="inlineStr">
        <is>
          <t>CHARM</t>
        </is>
      </c>
      <c r="AK834" t="n">
        <v>21</v>
      </c>
      <c r="AL834" t="inlineStr">
        <is>
          <t>Miss Glam Damar</t>
        </is>
      </c>
      <c r="AM834" t="n">
        <v>4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CHARM</t>
        </is>
      </c>
      <c r="B835" s="2">
        <f>"8993189701153"</f>
        <v/>
      </c>
      <c r="C835" t="inlineStr">
        <is>
          <t>CHARM Pantyliner Daun Sirih Herbal Cegah Bau 32pads</t>
        </is>
      </c>
      <c r="D835" t="inlineStr">
        <is>
          <t>Miss Glam Damar</t>
        </is>
      </c>
      <c r="E835" t="n">
        <v>0</v>
      </c>
      <c r="F835" t="n">
        <v>1.2558</v>
      </c>
      <c r="G835" t="n">
        <v>3.64</v>
      </c>
      <c r="H835" t="n">
        <v>2</v>
      </c>
      <c r="I835" t="n">
        <v>2</v>
      </c>
      <c r="J835" t="n">
        <v>3</v>
      </c>
      <c r="K835" t="n">
        <v>66</v>
      </c>
      <c r="L835" t="n">
        <v>15577</v>
      </c>
      <c r="M835" t="n">
        <v>21500</v>
      </c>
      <c r="N835" t="n">
        <v>91</v>
      </c>
      <c r="O835" t="n">
        <v>0.91</v>
      </c>
      <c r="P835" t="n">
        <v>1</v>
      </c>
      <c r="Q835" t="n">
        <v>1.52</v>
      </c>
      <c r="R835" t="n">
        <v>4</v>
      </c>
      <c r="S835" t="n">
        <v>26999.7</v>
      </c>
      <c r="T835" t="n">
        <v>5</v>
      </c>
      <c r="U835" t="n">
        <v>8</v>
      </c>
      <c r="V835" t="n">
        <v>30</v>
      </c>
      <c r="W835" t="n">
        <v>38</v>
      </c>
      <c r="X835" t="n">
        <v>0</v>
      </c>
      <c r="Y835" t="n">
        <v>1</v>
      </c>
      <c r="Z835" t="n">
        <v>0</v>
      </c>
      <c r="AA835" t="n">
        <v>2</v>
      </c>
      <c r="AB835" t="n">
        <v>0</v>
      </c>
      <c r="AC835" t="n">
        <v>0</v>
      </c>
      <c r="AD835" t="n">
        <v>31154</v>
      </c>
      <c r="AE835" t="n">
        <v>0</v>
      </c>
      <c r="AF835" t="n">
        <v>12266</v>
      </c>
      <c r="AG835" t="n">
        <v>3301</v>
      </c>
      <c r="AH835" t="inlineStr">
        <is>
          <t>PT. RIMBUN PADI BERJAYA - PPN (PDG)</t>
        </is>
      </c>
      <c r="AI835" t="n">
        <v>1645</v>
      </c>
      <c r="AJ835" t="inlineStr">
        <is>
          <t>CHARM</t>
        </is>
      </c>
      <c r="AK835" t="n">
        <v>21</v>
      </c>
      <c r="AL835" t="inlineStr">
        <is>
          <t>Miss Glam Damar</t>
        </is>
      </c>
      <c r="AM835" t="n">
        <v>4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CHARM</t>
        </is>
      </c>
      <c r="B836" s="2">
        <f>"8993189230103"</f>
        <v/>
      </c>
      <c r="C836" t="inlineStr">
        <is>
          <t>CHARM Safe Night 10Pads 29cm Wing</t>
        </is>
      </c>
      <c r="D836" t="inlineStr">
        <is>
          <t>Miss Glam Damar</t>
        </is>
      </c>
      <c r="E836" t="n">
        <v>0</v>
      </c>
      <c r="F836" t="n">
        <v>0.24</v>
      </c>
      <c r="G836" t="n">
        <v>2</v>
      </c>
      <c r="H836" t="n">
        <v>2</v>
      </c>
      <c r="I836" t="n">
        <v>2</v>
      </c>
      <c r="J836" t="n">
        <v>3</v>
      </c>
      <c r="K836" t="n">
        <v>0</v>
      </c>
      <c r="L836" t="n">
        <v>9043</v>
      </c>
      <c r="M836" t="n">
        <v>11000</v>
      </c>
      <c r="N836" t="n">
        <v>91</v>
      </c>
      <c r="O836" t="n">
        <v>0.91</v>
      </c>
      <c r="P836" t="n">
        <v>0</v>
      </c>
      <c r="Q836" t="n">
        <v>0.24</v>
      </c>
      <c r="R836" t="n">
        <v>2</v>
      </c>
      <c r="S836" t="n">
        <v>2640</v>
      </c>
      <c r="T836" t="n">
        <v>4</v>
      </c>
      <c r="U836" t="n">
        <v>5</v>
      </c>
      <c r="V836" t="n">
        <v>30</v>
      </c>
      <c r="W836" t="n">
        <v>8</v>
      </c>
      <c r="X836" t="n">
        <v>0</v>
      </c>
      <c r="Y836" t="n">
        <v>1</v>
      </c>
      <c r="Z836" t="n">
        <v>8</v>
      </c>
      <c r="AA836" t="n">
        <v>1</v>
      </c>
      <c r="AB836" t="n">
        <v>7</v>
      </c>
      <c r="AC836" t="n">
        <v>7</v>
      </c>
      <c r="AD836" t="n">
        <v>9043</v>
      </c>
      <c r="AE836" t="n">
        <v>63301</v>
      </c>
      <c r="AF836" t="n">
        <v>12266</v>
      </c>
      <c r="AG836" t="n">
        <v>3301</v>
      </c>
      <c r="AH836" t="inlineStr">
        <is>
          <t>PT. RIMBUN PADI BERJAYA - PPN (PDG)</t>
        </is>
      </c>
      <c r="AI836" t="n">
        <v>1645</v>
      </c>
      <c r="AJ836" t="inlineStr">
        <is>
          <t>CHARM</t>
        </is>
      </c>
      <c r="AK836" t="n">
        <v>21</v>
      </c>
      <c r="AL836" t="inlineStr">
        <is>
          <t>Miss Glam Damar</t>
        </is>
      </c>
      <c r="AM836" t="n">
        <v>4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CHARM</t>
        </is>
      </c>
      <c r="B837" s="2">
        <f>"8993189320286"</f>
        <v/>
      </c>
      <c r="C837" t="inlineStr">
        <is>
          <t>CHARM Safe Night 12Pads 35cm Wing</t>
        </is>
      </c>
      <c r="D837" t="inlineStr">
        <is>
          <t>Miss Glam Damar</t>
        </is>
      </c>
      <c r="E837" t="n">
        <v>0</v>
      </c>
      <c r="F837" t="n">
        <v>0.61</v>
      </c>
      <c r="G837" t="n">
        <v>2</v>
      </c>
      <c r="H837" t="n">
        <v>2</v>
      </c>
      <c r="I837" t="n">
        <v>2</v>
      </c>
      <c r="J837" t="n">
        <v>3</v>
      </c>
      <c r="K837" t="n">
        <v>15</v>
      </c>
      <c r="L837" t="n">
        <v>17742</v>
      </c>
      <c r="M837" t="n">
        <v>21000</v>
      </c>
      <c r="N837" t="n">
        <v>91</v>
      </c>
      <c r="O837" t="n">
        <v>0.91</v>
      </c>
      <c r="P837" t="n">
        <v>0</v>
      </c>
      <c r="Q837" t="n">
        <v>0.61</v>
      </c>
      <c r="R837" t="n">
        <v>2</v>
      </c>
      <c r="S837" t="n">
        <v>12810</v>
      </c>
      <c r="T837" t="n">
        <v>3</v>
      </c>
      <c r="U837" t="n">
        <v>5</v>
      </c>
      <c r="V837" t="n">
        <v>30</v>
      </c>
      <c r="W837" t="n">
        <v>19</v>
      </c>
      <c r="X837" t="n">
        <v>0</v>
      </c>
      <c r="Y837" t="n">
        <v>1</v>
      </c>
      <c r="Z837" t="n">
        <v>4</v>
      </c>
      <c r="AA837" t="n">
        <v>1</v>
      </c>
      <c r="AB837" t="n">
        <v>3</v>
      </c>
      <c r="AC837" t="n">
        <v>3</v>
      </c>
      <c r="AD837" t="n">
        <v>17742</v>
      </c>
      <c r="AE837" t="n">
        <v>53226</v>
      </c>
      <c r="AF837" t="n">
        <v>12266</v>
      </c>
      <c r="AG837" t="n">
        <v>3301</v>
      </c>
      <c r="AH837" t="inlineStr">
        <is>
          <t>PT. RIMBUN PADI BERJAYA - PPN (PDG)</t>
        </is>
      </c>
      <c r="AI837" t="n">
        <v>1645</v>
      </c>
      <c r="AJ837" t="inlineStr">
        <is>
          <t>CHARM</t>
        </is>
      </c>
      <c r="AK837" t="n">
        <v>21</v>
      </c>
      <c r="AL837" t="inlineStr">
        <is>
          <t>Miss Glam Damar</t>
        </is>
      </c>
      <c r="AM837" t="n">
        <v>4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CHARM</t>
        </is>
      </c>
      <c r="B838" s="2">
        <f>"8993189328862"</f>
        <v/>
      </c>
      <c r="C838" t="inlineStr">
        <is>
          <t>CHARM Safe Night 18Pads 35cm Wing</t>
        </is>
      </c>
      <c r="D838" t="inlineStr">
        <is>
          <t>Miss Glam Damar</t>
        </is>
      </c>
      <c r="E838" t="n">
        <v>0</v>
      </c>
      <c r="F838" t="n">
        <v>0.31</v>
      </c>
      <c r="G838" t="n">
        <v>1</v>
      </c>
      <c r="H838" t="n">
        <v>2</v>
      </c>
      <c r="I838" t="n">
        <v>2</v>
      </c>
      <c r="J838" t="n">
        <v>3</v>
      </c>
      <c r="K838" t="n">
        <v>0</v>
      </c>
      <c r="L838" t="n">
        <v>24691</v>
      </c>
      <c r="M838" t="n">
        <v>29500</v>
      </c>
      <c r="N838" t="n">
        <v>91</v>
      </c>
      <c r="O838" t="n">
        <v>0.91</v>
      </c>
      <c r="P838" t="n">
        <v>0</v>
      </c>
      <c r="Q838" t="n">
        <v>0.31</v>
      </c>
      <c r="R838" t="n">
        <v>1</v>
      </c>
      <c r="S838" t="n">
        <v>9145</v>
      </c>
      <c r="T838" t="n">
        <v>2</v>
      </c>
      <c r="U838" t="n">
        <v>3</v>
      </c>
      <c r="V838" t="n">
        <v>30</v>
      </c>
      <c r="W838" t="n">
        <v>10</v>
      </c>
      <c r="X838" t="n">
        <v>0</v>
      </c>
      <c r="Y838" t="n">
        <v>1</v>
      </c>
      <c r="Z838" t="n">
        <v>10</v>
      </c>
      <c r="AA838" t="n">
        <v>1</v>
      </c>
      <c r="AB838" t="n">
        <v>9</v>
      </c>
      <c r="AC838" t="n">
        <v>9</v>
      </c>
      <c r="AD838" t="n">
        <v>24691</v>
      </c>
      <c r="AE838" t="n">
        <v>222219</v>
      </c>
      <c r="AF838" t="n">
        <v>12266</v>
      </c>
      <c r="AG838" t="n">
        <v>3301</v>
      </c>
      <c r="AH838" t="inlineStr">
        <is>
          <t>PT. RIMBUN PADI BERJAYA - PPN (PDG)</t>
        </is>
      </c>
      <c r="AI838" t="n">
        <v>1645</v>
      </c>
      <c r="AJ838" t="inlineStr">
        <is>
          <t>CHARM</t>
        </is>
      </c>
      <c r="AK838" t="n">
        <v>21</v>
      </c>
      <c r="AL838" t="inlineStr">
        <is>
          <t>Miss Glam Damar</t>
        </is>
      </c>
      <c r="AM838" t="n">
        <v>4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CHARM</t>
        </is>
      </c>
      <c r="B839" s="2">
        <f>"8993189270024"</f>
        <v/>
      </c>
      <c r="C839" t="inlineStr">
        <is>
          <t>CHARM Safe Night 20Pads 29cm Wing</t>
        </is>
      </c>
      <c r="D839" t="inlineStr">
        <is>
          <t>Miss Glam Damar</t>
        </is>
      </c>
      <c r="E839" t="n">
        <v>0</v>
      </c>
      <c r="F839" t="n">
        <v>0.6</v>
      </c>
      <c r="G839" t="n">
        <v>2</v>
      </c>
      <c r="H839" t="n">
        <v>2</v>
      </c>
      <c r="I839" t="n">
        <v>2</v>
      </c>
      <c r="J839" t="n">
        <v>3</v>
      </c>
      <c r="K839" t="n">
        <v>18</v>
      </c>
      <c r="L839" t="n">
        <v>17232</v>
      </c>
      <c r="M839" t="n">
        <v>20500</v>
      </c>
      <c r="N839" t="n">
        <v>91</v>
      </c>
      <c r="O839" t="n">
        <v>0.91</v>
      </c>
      <c r="P839" t="n">
        <v>0</v>
      </c>
      <c r="Q839" t="n">
        <v>0.6</v>
      </c>
      <c r="R839" t="n">
        <v>2</v>
      </c>
      <c r="S839" t="n">
        <v>12300</v>
      </c>
      <c r="T839" t="n">
        <v>3</v>
      </c>
      <c r="U839" t="n">
        <v>5</v>
      </c>
      <c r="V839" t="n">
        <v>30</v>
      </c>
      <c r="W839" t="n">
        <v>18</v>
      </c>
      <c r="X839" t="n">
        <v>0</v>
      </c>
      <c r="Y839" t="n">
        <v>1</v>
      </c>
      <c r="Z839" t="n">
        <v>0</v>
      </c>
      <c r="AA839" t="n">
        <v>1</v>
      </c>
      <c r="AB839" t="n">
        <v>0</v>
      </c>
      <c r="AC839" t="n">
        <v>0</v>
      </c>
      <c r="AD839" t="n">
        <v>17232</v>
      </c>
      <c r="AE839" t="n">
        <v>0</v>
      </c>
      <c r="AF839" t="n">
        <v>12266</v>
      </c>
      <c r="AG839" t="n">
        <v>3301</v>
      </c>
      <c r="AH839" t="inlineStr">
        <is>
          <t>PT. RIMBUN PADI BERJAYA - PPN (PDG)</t>
        </is>
      </c>
      <c r="AI839" t="n">
        <v>1645</v>
      </c>
      <c r="AJ839" t="inlineStr">
        <is>
          <t>CHARM</t>
        </is>
      </c>
      <c r="AK839" t="n">
        <v>21</v>
      </c>
      <c r="AL839" t="inlineStr">
        <is>
          <t>Miss Glam Damar</t>
        </is>
      </c>
      <c r="AM839" t="n">
        <v>4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CHARM</t>
        </is>
      </c>
      <c r="B840" s="2">
        <f>"8993189381331"</f>
        <v/>
      </c>
      <c r="C840" t="inlineStr">
        <is>
          <t>CHARM Safe Night 30Pads 29cm Wing</t>
        </is>
      </c>
      <c r="D840" t="inlineStr">
        <is>
          <t>Miss Glam Damar</t>
        </is>
      </c>
      <c r="E840" t="n">
        <v>0</v>
      </c>
      <c r="F840" t="n">
        <v>0.7644</v>
      </c>
      <c r="G840" t="n">
        <v>1.82</v>
      </c>
      <c r="H840" t="n">
        <v>2</v>
      </c>
      <c r="I840" t="n">
        <v>2</v>
      </c>
      <c r="J840" t="n">
        <v>3</v>
      </c>
      <c r="K840" t="n">
        <v>0</v>
      </c>
      <c r="L840" t="n">
        <v>26744</v>
      </c>
      <c r="M840" t="n">
        <v>31500</v>
      </c>
      <c r="N840" t="n">
        <v>91</v>
      </c>
      <c r="O840" t="n">
        <v>0.91</v>
      </c>
      <c r="P840" t="n">
        <v>1</v>
      </c>
      <c r="Q840" t="n">
        <v>0.29</v>
      </c>
      <c r="R840" t="n">
        <v>2</v>
      </c>
      <c r="S840" t="n">
        <v>24078.6</v>
      </c>
      <c r="T840" t="n">
        <v>3</v>
      </c>
      <c r="U840" t="n">
        <v>5</v>
      </c>
      <c r="V840" t="n">
        <v>30</v>
      </c>
      <c r="W840" t="n">
        <v>23</v>
      </c>
      <c r="X840" t="n">
        <v>0</v>
      </c>
      <c r="Y840" t="n">
        <v>1</v>
      </c>
      <c r="Z840" t="n">
        <v>23</v>
      </c>
      <c r="AA840" t="n">
        <v>2</v>
      </c>
      <c r="AB840" t="n">
        <v>21</v>
      </c>
      <c r="AC840" t="n">
        <v>21</v>
      </c>
      <c r="AD840" t="n">
        <v>53488</v>
      </c>
      <c r="AE840" t="n">
        <v>561624</v>
      </c>
      <c r="AF840" t="n">
        <v>12266</v>
      </c>
      <c r="AG840" t="n">
        <v>3301</v>
      </c>
      <c r="AH840" t="inlineStr">
        <is>
          <t>PT. RIMBUN PADI BERJAYA - PPN (PDG)</t>
        </is>
      </c>
      <c r="AI840" t="n">
        <v>1645</v>
      </c>
      <c r="AJ840" t="inlineStr">
        <is>
          <t>CHARM</t>
        </is>
      </c>
      <c r="AK840" t="n">
        <v>21</v>
      </c>
      <c r="AL840" t="inlineStr">
        <is>
          <t>Miss Glam Damar</t>
        </is>
      </c>
      <c r="AM840" t="n">
        <v>4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CHARM</t>
        </is>
      </c>
      <c r="B841" s="2">
        <f>"30800304860"</f>
        <v/>
      </c>
      <c r="C841" t="inlineStr">
        <is>
          <t>CHARM Safe Night 42cm 4pads</t>
        </is>
      </c>
      <c r="D841" t="inlineStr">
        <is>
          <t>Miss Glam Damar</t>
        </is>
      </c>
      <c r="E841" t="n">
        <v>0</v>
      </c>
      <c r="F841" t="n">
        <v>0.38</v>
      </c>
      <c r="G841" t="n">
        <v>2</v>
      </c>
      <c r="H841" t="n">
        <v>2</v>
      </c>
      <c r="I841" t="n">
        <v>2</v>
      </c>
      <c r="J841" t="n">
        <v>1</v>
      </c>
      <c r="K841" t="n">
        <v>0</v>
      </c>
      <c r="L841" t="n">
        <v>12130</v>
      </c>
      <c r="M841" t="n">
        <v>14500</v>
      </c>
      <c r="N841" t="n">
        <v>91</v>
      </c>
      <c r="O841" t="n">
        <v>0.91</v>
      </c>
      <c r="P841" t="n">
        <v>0</v>
      </c>
      <c r="Q841" t="n">
        <v>0.38</v>
      </c>
      <c r="R841" t="n">
        <v>2</v>
      </c>
      <c r="S841" t="n">
        <v>5510</v>
      </c>
      <c r="T841" t="n">
        <v>4</v>
      </c>
      <c r="U841" t="n">
        <v>5</v>
      </c>
      <c r="V841" t="n">
        <v>30</v>
      </c>
      <c r="W841" t="n">
        <v>12</v>
      </c>
      <c r="X841" t="n">
        <v>0</v>
      </c>
      <c r="Y841" t="n">
        <v>1</v>
      </c>
      <c r="Z841" t="n">
        <v>12</v>
      </c>
      <c r="AA841" t="n">
        <v>1</v>
      </c>
      <c r="AB841" t="n">
        <v>11</v>
      </c>
      <c r="AC841" t="n">
        <v>11</v>
      </c>
      <c r="AD841" t="n">
        <v>12130</v>
      </c>
      <c r="AE841" t="n">
        <v>133430</v>
      </c>
      <c r="AF841" t="n">
        <v>12266</v>
      </c>
      <c r="AG841" t="n">
        <v>3301</v>
      </c>
      <c r="AH841" t="inlineStr">
        <is>
          <t>PT. RIMBUN PADI BERJAYA - PPN (PDG)</t>
        </is>
      </c>
      <c r="AI841" t="n">
        <v>1645</v>
      </c>
      <c r="AJ841" t="inlineStr">
        <is>
          <t>CHARM</t>
        </is>
      </c>
      <c r="AK841" t="n">
        <v>21</v>
      </c>
      <c r="AL841" t="inlineStr">
        <is>
          <t>Miss Glam Damar</t>
        </is>
      </c>
      <c r="AM841" t="n">
        <v>4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CHARM</t>
        </is>
      </c>
      <c r="B842" s="2">
        <f>"8993189230059"</f>
        <v/>
      </c>
      <c r="C842" t="inlineStr">
        <is>
          <t>CHARM Safe Night 5Pads 29cm Wing</t>
        </is>
      </c>
      <c r="D842" t="inlineStr">
        <is>
          <t>Miss Glam Damar</t>
        </is>
      </c>
      <c r="E842" t="n">
        <v>0</v>
      </c>
      <c r="F842" t="n">
        <v>0.19</v>
      </c>
      <c r="G842" t="n">
        <v>2</v>
      </c>
      <c r="H842" t="n">
        <v>2</v>
      </c>
      <c r="I842" t="n">
        <v>2</v>
      </c>
      <c r="J842" t="n">
        <v>3</v>
      </c>
      <c r="K842" t="n">
        <v>0</v>
      </c>
      <c r="L842" t="n">
        <v>5298</v>
      </c>
      <c r="M842" t="n">
        <v>6500</v>
      </c>
      <c r="N842" t="n">
        <v>91</v>
      </c>
      <c r="O842" t="n">
        <v>0.91</v>
      </c>
      <c r="P842" t="n">
        <v>0</v>
      </c>
      <c r="Q842" t="n">
        <v>0.19</v>
      </c>
      <c r="R842" t="n">
        <v>2</v>
      </c>
      <c r="S842" t="n">
        <v>1235</v>
      </c>
      <c r="T842" t="n">
        <v>4</v>
      </c>
      <c r="U842" t="n">
        <v>5</v>
      </c>
      <c r="V842" t="n">
        <v>30</v>
      </c>
      <c r="W842" t="n">
        <v>6</v>
      </c>
      <c r="X842" t="n">
        <v>0</v>
      </c>
      <c r="Y842" t="n">
        <v>1</v>
      </c>
      <c r="Z842" t="n">
        <v>6</v>
      </c>
      <c r="AA842" t="n">
        <v>1</v>
      </c>
      <c r="AB842" t="n">
        <v>5</v>
      </c>
      <c r="AC842" t="n">
        <v>5</v>
      </c>
      <c r="AD842" t="n">
        <v>5298</v>
      </c>
      <c r="AE842" t="n">
        <v>26490</v>
      </c>
      <c r="AF842" t="n">
        <v>12266</v>
      </c>
      <c r="AG842" t="n">
        <v>3301</v>
      </c>
      <c r="AH842" t="inlineStr">
        <is>
          <t>PT. RIMBUN PADI BERJAYA - PPN (PDG)</t>
        </is>
      </c>
      <c r="AI842" t="n">
        <v>1645</v>
      </c>
      <c r="AJ842" t="inlineStr">
        <is>
          <t>CHARM</t>
        </is>
      </c>
      <c r="AK842" t="n">
        <v>21</v>
      </c>
      <c r="AL842" t="inlineStr">
        <is>
          <t>Miss Glam Damar</t>
        </is>
      </c>
      <c r="AM842" t="n">
        <v>4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CHARM</t>
        </is>
      </c>
      <c r="B843" s="2">
        <f>"8993189270741"</f>
        <v/>
      </c>
      <c r="C843" t="inlineStr">
        <is>
          <t>CHARM Safe Night 8Pads 42cm Gathers</t>
        </is>
      </c>
      <c r="D843" t="inlineStr">
        <is>
          <t>Miss Glam Damar</t>
        </is>
      </c>
      <c r="E843" t="n">
        <v>6</v>
      </c>
      <c r="F843" t="n">
        <v>1.2922</v>
      </c>
      <c r="G843" t="n">
        <v>3.64</v>
      </c>
      <c r="H843" t="n">
        <v>2</v>
      </c>
      <c r="I843" t="n">
        <v>2</v>
      </c>
      <c r="J843" t="n">
        <v>3</v>
      </c>
      <c r="K843" t="n">
        <v>0</v>
      </c>
      <c r="L843" t="n">
        <v>21568</v>
      </c>
      <c r="M843" t="n">
        <v>25500</v>
      </c>
      <c r="N843" t="n">
        <v>91</v>
      </c>
      <c r="O843" t="n">
        <v>0.91</v>
      </c>
      <c r="P843" t="n">
        <v>1</v>
      </c>
      <c r="Q843" t="n">
        <v>0.54</v>
      </c>
      <c r="R843" t="n">
        <v>2</v>
      </c>
      <c r="S843" t="n">
        <v>32951.1</v>
      </c>
      <c r="T843" t="n">
        <v>5</v>
      </c>
      <c r="U843" t="n">
        <v>8</v>
      </c>
      <c r="V843" t="n">
        <v>30</v>
      </c>
      <c r="W843" t="n">
        <v>39</v>
      </c>
      <c r="X843" t="n">
        <v>4.643244079863798</v>
      </c>
      <c r="Y843" t="n">
        <v>1</v>
      </c>
      <c r="Z843" t="n">
        <v>33</v>
      </c>
      <c r="AA843" t="n">
        <v>0</v>
      </c>
      <c r="AB843" t="n">
        <v>33</v>
      </c>
      <c r="AC843" t="n">
        <v>33</v>
      </c>
      <c r="AD843" t="n">
        <v>0</v>
      </c>
      <c r="AE843" t="n">
        <v>711744</v>
      </c>
      <c r="AF843" t="n">
        <v>12266</v>
      </c>
      <c r="AG843" t="n">
        <v>3301</v>
      </c>
      <c r="AH843" t="inlineStr">
        <is>
          <t>PT. RIMBUN PADI BERJAYA - PPN (PDG)</t>
        </is>
      </c>
      <c r="AI843" t="n">
        <v>1645</v>
      </c>
      <c r="AJ843" t="inlineStr">
        <is>
          <t>CHARM</t>
        </is>
      </c>
      <c r="AK843" t="n">
        <v>21</v>
      </c>
      <c r="AL843" t="inlineStr">
        <is>
          <t>Miss Glam Damar</t>
        </is>
      </c>
      <c r="AM843" t="n">
        <v>4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CIARA</t>
        </is>
      </c>
      <c r="B844" s="2">
        <f>"30200194124"</f>
        <v/>
      </c>
      <c r="C844" t="inlineStr">
        <is>
          <t>CIARA Calm Down Calming Gel 30ml</t>
        </is>
      </c>
      <c r="D844" t="inlineStr">
        <is>
          <t>Miss Glam Damar</t>
        </is>
      </c>
      <c r="E844" t="n">
        <v>2</v>
      </c>
      <c r="F844" t="n">
        <v>0.04550000000000001</v>
      </c>
      <c r="G844" t="n">
        <v>0.91</v>
      </c>
      <c r="H844" t="n">
        <v>4</v>
      </c>
      <c r="I844" t="n">
        <v>21</v>
      </c>
      <c r="J844" t="n">
        <v>1</v>
      </c>
      <c r="K844" t="n">
        <v>0</v>
      </c>
      <c r="L844" t="n">
        <v>38234</v>
      </c>
      <c r="M844" t="n">
        <v>58000</v>
      </c>
      <c r="N844" t="n">
        <v>91</v>
      </c>
      <c r="O844" t="n">
        <v>0.91</v>
      </c>
      <c r="P844" t="n">
        <v>1</v>
      </c>
      <c r="Q844" t="n">
        <v>0.1</v>
      </c>
      <c r="R844" t="n">
        <v>1</v>
      </c>
      <c r="S844" t="n">
        <v>2639</v>
      </c>
      <c r="T844" t="n">
        <v>19</v>
      </c>
      <c r="U844" t="n">
        <v>20</v>
      </c>
      <c r="V844" t="n">
        <v>30</v>
      </c>
      <c r="W844" t="n">
        <v>2</v>
      </c>
      <c r="X844" t="n">
        <v>43.95604395604395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4176</v>
      </c>
      <c r="AG844" t="n">
        <v>1</v>
      </c>
      <c r="AH844" t="inlineStr">
        <is>
          <t>PT. BERSAMA DISTRIVERSA INDONESIA (DC CIPUTAT)</t>
        </is>
      </c>
      <c r="AI844" t="n">
        <v>1482</v>
      </c>
      <c r="AJ844" t="inlineStr">
        <is>
          <t>CIARA</t>
        </is>
      </c>
      <c r="AK844" t="n">
        <v>21</v>
      </c>
      <c r="AL844" t="inlineStr">
        <is>
          <t>Miss Glam Damar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CIARA</t>
        </is>
      </c>
      <c r="B845" s="2">
        <f>"8993883100245"</f>
        <v/>
      </c>
      <c r="C845" t="inlineStr">
        <is>
          <t>CIARA Chamomile Calming Cream</t>
        </is>
      </c>
      <c r="D845" t="inlineStr">
        <is>
          <t>Miss Glam Damar</t>
        </is>
      </c>
      <c r="E845" t="n">
        <v>3</v>
      </c>
      <c r="F845" t="n">
        <v>0.09100000000000001</v>
      </c>
      <c r="G845" t="n">
        <v>1.82</v>
      </c>
      <c r="H845" t="n">
        <v>4</v>
      </c>
      <c r="I845" t="n">
        <v>21</v>
      </c>
      <c r="J845" t="n">
        <v>3</v>
      </c>
      <c r="K845" t="n">
        <v>0</v>
      </c>
      <c r="L845" t="n">
        <v>49440</v>
      </c>
      <c r="M845" t="n">
        <v>74000</v>
      </c>
      <c r="N845" t="n">
        <v>91</v>
      </c>
      <c r="O845" t="n">
        <v>0.91</v>
      </c>
      <c r="P845" t="n">
        <v>1</v>
      </c>
      <c r="Q845" t="n">
        <v>0.25</v>
      </c>
      <c r="R845" t="n">
        <v>2</v>
      </c>
      <c r="S845" t="n">
        <v>6734.000000000001</v>
      </c>
      <c r="T845" t="n">
        <v>38</v>
      </c>
      <c r="U845" t="n">
        <v>39</v>
      </c>
      <c r="V845" t="n">
        <v>30</v>
      </c>
      <c r="W845" t="n">
        <v>3</v>
      </c>
      <c r="X845" t="n">
        <v>32.96703296703296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4176</v>
      </c>
      <c r="AG845" t="n">
        <v>1</v>
      </c>
      <c r="AH845" t="inlineStr">
        <is>
          <t>PT. BERSAMA DISTRIVERSA INDONESIA (DC CIPUTAT)</t>
        </is>
      </c>
      <c r="AI845" t="n">
        <v>1482</v>
      </c>
      <c r="AJ845" t="inlineStr">
        <is>
          <t>CIARA</t>
        </is>
      </c>
      <c r="AK845" t="n">
        <v>21</v>
      </c>
      <c r="AL845" t="inlineStr">
        <is>
          <t>Miss Glam Damar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CIARA</t>
        </is>
      </c>
      <c r="B846" s="2">
        <f>"8993883100788"</f>
        <v/>
      </c>
      <c r="C846" t="inlineStr">
        <is>
          <t>CIARA Liquid Serum For Stretchmark 30ml</t>
        </is>
      </c>
      <c r="D846" t="inlineStr">
        <is>
          <t>Miss Glam Damar</t>
        </is>
      </c>
      <c r="E846" t="n">
        <v>5</v>
      </c>
      <c r="F846" t="n">
        <v>0.1547</v>
      </c>
      <c r="G846" t="n">
        <v>1.82</v>
      </c>
      <c r="H846" t="n">
        <v>4</v>
      </c>
      <c r="I846" t="n">
        <v>21</v>
      </c>
      <c r="J846" t="n">
        <v>3</v>
      </c>
      <c r="K846" t="n">
        <v>0</v>
      </c>
      <c r="L846" t="n">
        <v>76000</v>
      </c>
      <c r="M846" t="n">
        <v>94000</v>
      </c>
      <c r="N846" t="n">
        <v>91</v>
      </c>
      <c r="O846" t="n">
        <v>0.91</v>
      </c>
      <c r="P846" t="n">
        <v>1</v>
      </c>
      <c r="Q846" t="n">
        <v>0.15</v>
      </c>
      <c r="R846" t="n">
        <v>3</v>
      </c>
      <c r="S846" t="n">
        <v>14541.8</v>
      </c>
      <c r="T846" t="n">
        <v>38</v>
      </c>
      <c r="U846" t="n">
        <v>39</v>
      </c>
      <c r="V846" t="n">
        <v>30</v>
      </c>
      <c r="W846" t="n">
        <v>5</v>
      </c>
      <c r="X846" t="n">
        <v>32.32062055591467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4176</v>
      </c>
      <c r="AG846" t="n">
        <v>1</v>
      </c>
      <c r="AH846" t="inlineStr">
        <is>
          <t>PT. BERSAMA DISTRIVERSA INDONESIA (DC CIPUTAT)</t>
        </is>
      </c>
      <c r="AI846" t="n">
        <v>1482</v>
      </c>
      <c r="AJ846" t="inlineStr">
        <is>
          <t>CIARA</t>
        </is>
      </c>
      <c r="AK846" t="n">
        <v>21</v>
      </c>
      <c r="AL846" t="inlineStr">
        <is>
          <t>Miss Glam Damar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CIARA</t>
        </is>
      </c>
      <c r="B847" s="2">
        <f>"8993883100047"</f>
        <v/>
      </c>
      <c r="C847" t="inlineStr">
        <is>
          <t>CIARA Natural Deodorant 30gr NEW</t>
        </is>
      </c>
      <c r="D847" t="inlineStr">
        <is>
          <t>Miss Glam Damar</t>
        </is>
      </c>
      <c r="E847" t="n">
        <v>6</v>
      </c>
      <c r="F847" t="n">
        <v>0.0728</v>
      </c>
      <c r="G847" t="n">
        <v>1.82</v>
      </c>
      <c r="H847" t="n">
        <v>4</v>
      </c>
      <c r="I847" t="n">
        <v>21</v>
      </c>
      <c r="J847" t="n">
        <v>3</v>
      </c>
      <c r="K847" t="n">
        <v>0</v>
      </c>
      <c r="L847" t="n">
        <v>54054</v>
      </c>
      <c r="M847" t="n">
        <v>93500</v>
      </c>
      <c r="N847" t="n">
        <v>91</v>
      </c>
      <c r="O847" t="n">
        <v>0.91</v>
      </c>
      <c r="P847" t="n">
        <v>1</v>
      </c>
      <c r="Q847" t="n">
        <v>0.1</v>
      </c>
      <c r="R847" t="n">
        <v>2</v>
      </c>
      <c r="S847" t="n">
        <v>6806.8</v>
      </c>
      <c r="T847" t="n">
        <v>38</v>
      </c>
      <c r="U847" t="n">
        <v>39</v>
      </c>
      <c r="V847" t="n">
        <v>30</v>
      </c>
      <c r="W847" t="n">
        <v>3</v>
      </c>
      <c r="X847" t="n">
        <v>82.41758241758241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4176</v>
      </c>
      <c r="AG847" t="n">
        <v>1</v>
      </c>
      <c r="AH847" t="inlineStr">
        <is>
          <t>PT. BERSAMA DISTRIVERSA INDONESIA (DC CIPUTAT)</t>
        </is>
      </c>
      <c r="AI847" t="n">
        <v>1482</v>
      </c>
      <c r="AJ847" t="inlineStr">
        <is>
          <t>CIARA</t>
        </is>
      </c>
      <c r="AK847" t="n">
        <v>21</v>
      </c>
      <c r="AL847" t="inlineStr">
        <is>
          <t>Miss Glam Damar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CIARA</t>
        </is>
      </c>
      <c r="B848" s="2">
        <f>"30400422805"</f>
        <v/>
      </c>
      <c r="C848" t="inlineStr">
        <is>
          <t>CIARA Natural Deodorant 50gr</t>
        </is>
      </c>
      <c r="D848" t="inlineStr">
        <is>
          <t>Miss Glam Damar</t>
        </is>
      </c>
      <c r="E848" t="n">
        <v>1</v>
      </c>
      <c r="F848" t="n">
        <v>0.0182</v>
      </c>
      <c r="G848" t="n">
        <v>1.82</v>
      </c>
      <c r="H848" t="n">
        <v>4</v>
      </c>
      <c r="I848" t="n">
        <v>21</v>
      </c>
      <c r="J848" t="n">
        <v>3</v>
      </c>
      <c r="K848" t="n">
        <v>0</v>
      </c>
      <c r="L848" t="n">
        <v>89600</v>
      </c>
      <c r="M848" t="n">
        <v>112000</v>
      </c>
      <c r="N848" t="n">
        <v>91</v>
      </c>
      <c r="O848" t="n">
        <v>0.91</v>
      </c>
      <c r="P848" t="n">
        <v>1</v>
      </c>
      <c r="Q848" t="n">
        <v>0.15</v>
      </c>
      <c r="R848" t="n">
        <v>2</v>
      </c>
      <c r="S848" t="n">
        <v>2038.4</v>
      </c>
      <c r="T848" t="n">
        <v>39</v>
      </c>
      <c r="U848" t="n">
        <v>40</v>
      </c>
      <c r="V848" t="n">
        <v>30</v>
      </c>
      <c r="W848" t="n">
        <v>1</v>
      </c>
      <c r="X848" t="n">
        <v>54.94505494505494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4176</v>
      </c>
      <c r="AG848" t="n">
        <v>1</v>
      </c>
      <c r="AH848" t="inlineStr">
        <is>
          <t>PT. BERSAMA DISTRIVERSA INDONESIA (DC CIPUTAT)</t>
        </is>
      </c>
      <c r="AI848" t="n">
        <v>1482</v>
      </c>
      <c r="AJ848" t="inlineStr">
        <is>
          <t>CIARA</t>
        </is>
      </c>
      <c r="AK848" t="n">
        <v>21</v>
      </c>
      <c r="AL848" t="inlineStr">
        <is>
          <t>Miss Glam Damar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CIARA</t>
        </is>
      </c>
      <c r="B849" s="2">
        <f>"8993883100221"</f>
        <v/>
      </c>
      <c r="C849" t="inlineStr">
        <is>
          <t>CIARA Strechmark Treatment Oil</t>
        </is>
      </c>
      <c r="D849" t="inlineStr">
        <is>
          <t>Miss Glam Damar</t>
        </is>
      </c>
      <c r="E849" t="n">
        <v>8</v>
      </c>
      <c r="F849" t="n">
        <v>0.1183</v>
      </c>
      <c r="G849" t="n">
        <v>0.91</v>
      </c>
      <c r="H849" t="n">
        <v>4</v>
      </c>
      <c r="I849" t="n">
        <v>21</v>
      </c>
      <c r="J849" t="n">
        <v>3</v>
      </c>
      <c r="K849" t="n">
        <v>0</v>
      </c>
      <c r="L849" t="n">
        <v>55200</v>
      </c>
      <c r="M849" t="n">
        <v>68000</v>
      </c>
      <c r="N849" t="n">
        <v>91</v>
      </c>
      <c r="O849" t="n">
        <v>0.91</v>
      </c>
      <c r="P849" t="n">
        <v>1</v>
      </c>
      <c r="Q849" t="n">
        <v>0.12</v>
      </c>
      <c r="R849" t="n">
        <v>2</v>
      </c>
      <c r="S849" t="n">
        <v>8044.400000000001</v>
      </c>
      <c r="T849" t="n">
        <v>19</v>
      </c>
      <c r="U849" t="n">
        <v>20</v>
      </c>
      <c r="V849" t="n">
        <v>30</v>
      </c>
      <c r="W849" t="n">
        <v>4</v>
      </c>
      <c r="X849" t="n">
        <v>67.62468300929839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4176</v>
      </c>
      <c r="AG849" t="n">
        <v>1</v>
      </c>
      <c r="AH849" t="inlineStr">
        <is>
          <t>PT. BERSAMA DISTRIVERSA INDONESIA (DC CIPUTAT)</t>
        </is>
      </c>
      <c r="AI849" t="n">
        <v>1482</v>
      </c>
      <c r="AJ849" t="inlineStr">
        <is>
          <t>CIARA</t>
        </is>
      </c>
      <c r="AK849" t="n">
        <v>21</v>
      </c>
      <c r="AL849" t="inlineStr">
        <is>
          <t>Miss Glam Damar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CITRA</t>
        </is>
      </c>
      <c r="B850" s="2">
        <f>"8999999528850"</f>
        <v/>
      </c>
      <c r="C850" t="inlineStr">
        <is>
          <t>CITRA Body Lotion Bengkoang Natural Glow UV 60ml</t>
        </is>
      </c>
      <c r="D850" t="inlineStr">
        <is>
          <t>Miss Glam Damar</t>
        </is>
      </c>
      <c r="E850" t="n">
        <v>18</v>
      </c>
      <c r="F850" t="n">
        <v>0.182</v>
      </c>
      <c r="G850" t="n">
        <v>2.73</v>
      </c>
      <c r="H850" t="n">
        <v>3</v>
      </c>
      <c r="I850" t="n">
        <v>5</v>
      </c>
      <c r="J850" t="n">
        <v>3</v>
      </c>
      <c r="K850" t="n">
        <v>0</v>
      </c>
      <c r="L850" t="n">
        <v>6222</v>
      </c>
      <c r="M850" t="n">
        <v>9500</v>
      </c>
      <c r="N850" t="n">
        <v>91</v>
      </c>
      <c r="O850" t="n">
        <v>0.91</v>
      </c>
      <c r="P850" t="n">
        <v>1</v>
      </c>
      <c r="Q850" t="n">
        <v>0.39</v>
      </c>
      <c r="R850" t="n">
        <v>4</v>
      </c>
      <c r="S850" t="n">
        <v>1729</v>
      </c>
      <c r="T850" t="n">
        <v>14</v>
      </c>
      <c r="U850" t="n">
        <v>15</v>
      </c>
      <c r="V850" t="n">
        <v>30</v>
      </c>
      <c r="W850" t="n">
        <v>6</v>
      </c>
      <c r="X850" t="n">
        <v>98.90109890109889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1525</v>
      </c>
      <c r="AG850" t="n">
        <v>361</v>
      </c>
      <c r="AH850" t="inlineStr">
        <is>
          <t>CV. SERBA SERBI - PPN (PDG)</t>
        </is>
      </c>
      <c r="AI850" t="n">
        <v>392</v>
      </c>
      <c r="AJ850" t="inlineStr">
        <is>
          <t>CITRA</t>
        </is>
      </c>
      <c r="AK850" t="n">
        <v>21</v>
      </c>
      <c r="AL850" t="inlineStr">
        <is>
          <t>Miss Glam Damar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CITRA</t>
        </is>
      </c>
      <c r="B851" s="2">
        <f>"30200186227"</f>
        <v/>
      </c>
      <c r="C851" t="inlineStr">
        <is>
          <t>CITRA Body Lotion Perfect Bright Bengkoang 110ml</t>
        </is>
      </c>
      <c r="D851" t="inlineStr">
        <is>
          <t>Miss Glam Damar</t>
        </is>
      </c>
      <c r="E851" t="n">
        <v>36</v>
      </c>
      <c r="F851" t="n">
        <v>2.6663</v>
      </c>
      <c r="G851" t="n">
        <v>9.1</v>
      </c>
      <c r="H851" t="n">
        <v>3</v>
      </c>
      <c r="I851" t="n">
        <v>5</v>
      </c>
      <c r="J851" t="n">
        <v>3</v>
      </c>
      <c r="K851" t="n">
        <v>0</v>
      </c>
      <c r="L851" t="n">
        <v>10473</v>
      </c>
      <c r="M851" t="n">
        <v>12500</v>
      </c>
      <c r="N851" t="n">
        <v>91</v>
      </c>
      <c r="O851" t="n">
        <v>0.91</v>
      </c>
      <c r="P851" t="n">
        <v>1</v>
      </c>
      <c r="Q851" t="n">
        <v>0.98</v>
      </c>
      <c r="R851" t="n">
        <v>5</v>
      </c>
      <c r="S851" t="n">
        <v>33328.75</v>
      </c>
      <c r="T851" t="n">
        <v>38</v>
      </c>
      <c r="U851" t="n">
        <v>46</v>
      </c>
      <c r="V851" t="n">
        <v>30</v>
      </c>
      <c r="W851" t="n">
        <v>80</v>
      </c>
      <c r="X851" t="n">
        <v>13.50185650526947</v>
      </c>
      <c r="Y851" t="n">
        <v>1</v>
      </c>
      <c r="Z851" t="n">
        <v>44</v>
      </c>
      <c r="AA851" t="n">
        <v>0</v>
      </c>
      <c r="AB851" t="n">
        <v>44</v>
      </c>
      <c r="AC851" t="n">
        <v>44</v>
      </c>
      <c r="AD851" t="n">
        <v>0</v>
      </c>
      <c r="AE851" t="n">
        <v>460812</v>
      </c>
      <c r="AF851" t="n">
        <v>1525</v>
      </c>
      <c r="AG851" t="n">
        <v>361</v>
      </c>
      <c r="AH851" t="inlineStr">
        <is>
          <t>CV. SERBA SERBI - PPN (PDG)</t>
        </is>
      </c>
      <c r="AI851" t="n">
        <v>392</v>
      </c>
      <c r="AJ851" t="inlineStr">
        <is>
          <t>CITRA</t>
        </is>
      </c>
      <c r="AK851" t="n">
        <v>21</v>
      </c>
      <c r="AL851" t="inlineStr">
        <is>
          <t>Miss Glam Damar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CITRA</t>
        </is>
      </c>
      <c r="B852" s="2">
        <f>"30200185814"</f>
        <v/>
      </c>
      <c r="C852" t="inlineStr">
        <is>
          <t>CITRA Body Lotion Perfect Bright Bengkoang 210ml</t>
        </is>
      </c>
      <c r="D852" t="inlineStr">
        <is>
          <t>Miss Glam Damar</t>
        </is>
      </c>
      <c r="E852" t="n">
        <v>34</v>
      </c>
      <c r="F852" t="n">
        <v>2.3478</v>
      </c>
      <c r="G852" t="n">
        <v>9.1</v>
      </c>
      <c r="H852" t="n">
        <v>3</v>
      </c>
      <c r="I852" t="n">
        <v>5</v>
      </c>
      <c r="J852" t="n">
        <v>3</v>
      </c>
      <c r="K852" t="n">
        <v>0</v>
      </c>
      <c r="L852" t="n">
        <v>18527</v>
      </c>
      <c r="M852" t="n">
        <v>22000</v>
      </c>
      <c r="N852" t="n">
        <v>91</v>
      </c>
      <c r="O852" t="n">
        <v>0.91</v>
      </c>
      <c r="P852" t="n">
        <v>1</v>
      </c>
      <c r="Q852" t="n">
        <v>1.36</v>
      </c>
      <c r="R852" t="n">
        <v>6</v>
      </c>
      <c r="S852" t="n">
        <v>51651.60000000001</v>
      </c>
      <c r="T852" t="n">
        <v>39</v>
      </c>
      <c r="U852" t="n">
        <v>47</v>
      </c>
      <c r="V852" t="n">
        <v>30</v>
      </c>
      <c r="W852" t="n">
        <v>71</v>
      </c>
      <c r="X852" t="n">
        <v>14.48164238861913</v>
      </c>
      <c r="Y852" t="n">
        <v>1</v>
      </c>
      <c r="Z852" t="n">
        <v>37</v>
      </c>
      <c r="AA852" t="n">
        <v>0</v>
      </c>
      <c r="AB852" t="n">
        <v>37</v>
      </c>
      <c r="AC852" t="n">
        <v>37</v>
      </c>
      <c r="AD852" t="n">
        <v>0</v>
      </c>
      <c r="AE852" t="n">
        <v>685499</v>
      </c>
      <c r="AF852" t="n">
        <v>1525</v>
      </c>
      <c r="AG852" t="n">
        <v>361</v>
      </c>
      <c r="AH852" t="inlineStr">
        <is>
          <t>CV. SERBA SERBI - PPN (PDG)</t>
        </is>
      </c>
      <c r="AI852" t="n">
        <v>392</v>
      </c>
      <c r="AJ852" t="inlineStr">
        <is>
          <t>CITRA</t>
        </is>
      </c>
      <c r="AK852" t="n">
        <v>21</v>
      </c>
      <c r="AL852" t="inlineStr">
        <is>
          <t>Miss Glam Damar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CITRA</t>
        </is>
      </c>
      <c r="B853" s="2">
        <f>"30200186023"</f>
        <v/>
      </c>
      <c r="C853" t="inlineStr">
        <is>
          <t>CITRA Body Lotion Perfect Bright Pearl 110ml</t>
        </is>
      </c>
      <c r="D853" t="inlineStr">
        <is>
          <t>Miss Glam Damar</t>
        </is>
      </c>
      <c r="E853" t="n">
        <v>19</v>
      </c>
      <c r="F853" t="n">
        <v>1.1739</v>
      </c>
      <c r="G853" t="n">
        <v>3.64</v>
      </c>
      <c r="H853" t="n">
        <v>3</v>
      </c>
      <c r="I853" t="n">
        <v>5</v>
      </c>
      <c r="J853" t="n">
        <v>3</v>
      </c>
      <c r="K853" t="n">
        <v>0</v>
      </c>
      <c r="L853" t="n">
        <v>10473</v>
      </c>
      <c r="M853" t="n">
        <v>12500</v>
      </c>
      <c r="N853" t="n">
        <v>91</v>
      </c>
      <c r="O853" t="n">
        <v>0.91</v>
      </c>
      <c r="P853" t="n">
        <v>1</v>
      </c>
      <c r="Q853" t="n">
        <v>0.58</v>
      </c>
      <c r="R853" t="n">
        <v>4</v>
      </c>
      <c r="S853" t="n">
        <v>14673.75</v>
      </c>
      <c r="T853" t="n">
        <v>15</v>
      </c>
      <c r="U853" t="n">
        <v>19</v>
      </c>
      <c r="V853" t="n">
        <v>30</v>
      </c>
      <c r="W853" t="n">
        <v>36</v>
      </c>
      <c r="X853" t="n">
        <v>16.18536502257432</v>
      </c>
      <c r="Y853" t="n">
        <v>1</v>
      </c>
      <c r="Z853" t="n">
        <v>17</v>
      </c>
      <c r="AA853" t="n">
        <v>0</v>
      </c>
      <c r="AB853" t="n">
        <v>17</v>
      </c>
      <c r="AC853" t="n">
        <v>17</v>
      </c>
      <c r="AD853" t="n">
        <v>0</v>
      </c>
      <c r="AE853" t="n">
        <v>178041</v>
      </c>
      <c r="AF853" t="n">
        <v>1525</v>
      </c>
      <c r="AG853" t="n">
        <v>361</v>
      </c>
      <c r="AH853" t="inlineStr">
        <is>
          <t>CV. SERBA SERBI - PPN (PDG)</t>
        </is>
      </c>
      <c r="AI853" t="n">
        <v>392</v>
      </c>
      <c r="AJ853" t="inlineStr">
        <is>
          <t>CITRA</t>
        </is>
      </c>
      <c r="AK853" t="n">
        <v>21</v>
      </c>
      <c r="AL853" t="inlineStr">
        <is>
          <t>Miss Glam Damar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CITRA</t>
        </is>
      </c>
      <c r="B854" s="2">
        <f>"30200185944"</f>
        <v/>
      </c>
      <c r="C854" t="inlineStr">
        <is>
          <t>CITRA Body Lotion Perfect Bright Pearl 210ml</t>
        </is>
      </c>
      <c r="D854" t="inlineStr">
        <is>
          <t>Miss Glam Damar</t>
        </is>
      </c>
      <c r="E854" t="n">
        <v>28</v>
      </c>
      <c r="F854" t="n">
        <v>1.0192</v>
      </c>
      <c r="G854" t="n">
        <v>3.64</v>
      </c>
      <c r="H854" t="n">
        <v>3</v>
      </c>
      <c r="I854" t="n">
        <v>5</v>
      </c>
      <c r="J854" t="n">
        <v>3</v>
      </c>
      <c r="K854" t="n">
        <v>0</v>
      </c>
      <c r="L854" t="n">
        <v>18590</v>
      </c>
      <c r="M854" t="n">
        <v>22000</v>
      </c>
      <c r="N854" t="n">
        <v>91</v>
      </c>
      <c r="O854" t="n">
        <v>0.91</v>
      </c>
      <c r="P854" t="n">
        <v>1</v>
      </c>
      <c r="Q854" t="n">
        <v>0.63</v>
      </c>
      <c r="R854" t="n">
        <v>3</v>
      </c>
      <c r="S854" t="n">
        <v>22422.4</v>
      </c>
      <c r="T854" t="n">
        <v>16</v>
      </c>
      <c r="U854" t="n">
        <v>20</v>
      </c>
      <c r="V854" t="n">
        <v>30</v>
      </c>
      <c r="W854" t="n">
        <v>31</v>
      </c>
      <c r="X854" t="n">
        <v>27.47252747252747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1525</v>
      </c>
      <c r="AG854" t="n">
        <v>361</v>
      </c>
      <c r="AH854" t="inlineStr">
        <is>
          <t>CV. SERBA SERBI - PPN (PDG)</t>
        </is>
      </c>
      <c r="AI854" t="n">
        <v>392</v>
      </c>
      <c r="AJ854" t="inlineStr">
        <is>
          <t>CITRA</t>
        </is>
      </c>
      <c r="AK854" t="n">
        <v>21</v>
      </c>
      <c r="AL854" t="inlineStr">
        <is>
          <t>Miss Glam Damar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CITRA</t>
        </is>
      </c>
      <c r="B855" s="2">
        <f>"30200190953"</f>
        <v/>
      </c>
      <c r="C855" t="inlineStr">
        <is>
          <t>CITRA Body Lotion Supple &amp; Bright Sakura 110ml</t>
        </is>
      </c>
      <c r="D855" t="inlineStr">
        <is>
          <t>Miss Glam Damar</t>
        </is>
      </c>
      <c r="E855" t="n">
        <v>9</v>
      </c>
      <c r="F855" t="n">
        <v>1.1102</v>
      </c>
      <c r="G855" t="n">
        <v>3.64</v>
      </c>
      <c r="H855" t="n">
        <v>3</v>
      </c>
      <c r="I855" t="n">
        <v>5</v>
      </c>
      <c r="J855" t="n">
        <v>1</v>
      </c>
      <c r="K855" t="n">
        <v>0</v>
      </c>
      <c r="L855" t="n">
        <v>12221</v>
      </c>
      <c r="M855" t="n">
        <v>14500</v>
      </c>
      <c r="N855" t="n">
        <v>91</v>
      </c>
      <c r="O855" t="n">
        <v>0.91</v>
      </c>
      <c r="P855" t="n">
        <v>1</v>
      </c>
      <c r="Q855" t="n">
        <v>0.36</v>
      </c>
      <c r="R855" t="n">
        <v>2</v>
      </c>
      <c r="S855" t="n">
        <v>16097.9</v>
      </c>
      <c r="T855" t="n">
        <v>15</v>
      </c>
      <c r="U855" t="n">
        <v>19</v>
      </c>
      <c r="V855" t="n">
        <v>30</v>
      </c>
      <c r="W855" t="n">
        <v>34</v>
      </c>
      <c r="X855" t="n">
        <v>8.106647450909746</v>
      </c>
      <c r="Y855" t="n">
        <v>1</v>
      </c>
      <c r="Z855" t="n">
        <v>25</v>
      </c>
      <c r="AA855" t="n">
        <v>0</v>
      </c>
      <c r="AB855" t="n">
        <v>25</v>
      </c>
      <c r="AC855" t="n">
        <v>25</v>
      </c>
      <c r="AD855" t="n">
        <v>0</v>
      </c>
      <c r="AE855" t="n">
        <v>305525</v>
      </c>
      <c r="AF855" t="n">
        <v>1525</v>
      </c>
      <c r="AG855" t="n">
        <v>361</v>
      </c>
      <c r="AH855" t="inlineStr">
        <is>
          <t>CV. SERBA SERBI - PPN (PDG)</t>
        </is>
      </c>
      <c r="AI855" t="n">
        <v>392</v>
      </c>
      <c r="AJ855" t="inlineStr">
        <is>
          <t>CITRA</t>
        </is>
      </c>
      <c r="AK855" t="n">
        <v>21</v>
      </c>
      <c r="AL855" t="inlineStr">
        <is>
          <t>Miss Glam Damar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CITRA</t>
        </is>
      </c>
      <c r="B856" s="2">
        <f>"30200191117"</f>
        <v/>
      </c>
      <c r="C856" t="inlineStr">
        <is>
          <t>CITRA Body Lotion Supple &amp; Bright Sakura With Collagen 210ml</t>
        </is>
      </c>
      <c r="D856" t="inlineStr">
        <is>
          <t>Miss Glam Damar</t>
        </is>
      </c>
      <c r="E856" t="n">
        <v>28</v>
      </c>
      <c r="F856" t="n">
        <v>0.6006</v>
      </c>
      <c r="G856" t="n">
        <v>3.64</v>
      </c>
      <c r="H856" t="n">
        <v>3</v>
      </c>
      <c r="I856" t="n">
        <v>5</v>
      </c>
      <c r="J856" t="n">
        <v>1</v>
      </c>
      <c r="K856" t="n">
        <v>0</v>
      </c>
      <c r="L856" t="n">
        <v>22019</v>
      </c>
      <c r="M856" t="n">
        <v>26000</v>
      </c>
      <c r="N856" t="n">
        <v>91</v>
      </c>
      <c r="O856" t="n">
        <v>0.91</v>
      </c>
      <c r="P856" t="n">
        <v>1</v>
      </c>
      <c r="Q856" t="n">
        <v>0.58</v>
      </c>
      <c r="R856" t="n">
        <v>3</v>
      </c>
      <c r="S856" t="n">
        <v>15615.6</v>
      </c>
      <c r="T856" t="n">
        <v>17</v>
      </c>
      <c r="U856" t="n">
        <v>19</v>
      </c>
      <c r="V856" t="n">
        <v>30</v>
      </c>
      <c r="W856" t="n">
        <v>19</v>
      </c>
      <c r="X856" t="n">
        <v>46.62004662004662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1525</v>
      </c>
      <c r="AG856" t="n">
        <v>361</v>
      </c>
      <c r="AH856" t="inlineStr">
        <is>
          <t>CV. SERBA SERBI - PPN (PDG)</t>
        </is>
      </c>
      <c r="AI856" t="n">
        <v>392</v>
      </c>
      <c r="AJ856" t="inlineStr">
        <is>
          <t>CITRA</t>
        </is>
      </c>
      <c r="AK856" t="n">
        <v>21</v>
      </c>
      <c r="AL856" t="inlineStr">
        <is>
          <t>Miss Glam Damar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CITRA</t>
        </is>
      </c>
      <c r="B857" s="2">
        <f>"8999999525934"</f>
        <v/>
      </c>
      <c r="C857" t="inlineStr">
        <is>
          <t>CITRA Green Tea Anti Acne Facial Foam 100gr</t>
        </is>
      </c>
      <c r="D857" t="inlineStr">
        <is>
          <t>Miss Glam Damar</t>
        </is>
      </c>
      <c r="E857" t="n">
        <v>6</v>
      </c>
      <c r="F857" t="n">
        <v>0.1092</v>
      </c>
      <c r="G857" t="n">
        <v>1.82</v>
      </c>
      <c r="H857" t="n">
        <v>3</v>
      </c>
      <c r="I857" t="n">
        <v>5</v>
      </c>
      <c r="J857" t="n">
        <v>3</v>
      </c>
      <c r="K857" t="n">
        <v>0</v>
      </c>
      <c r="L857" t="n">
        <v>29090</v>
      </c>
      <c r="M857" t="n">
        <v>35500</v>
      </c>
      <c r="N857" t="n">
        <v>91</v>
      </c>
      <c r="O857" t="n">
        <v>0.91</v>
      </c>
      <c r="P857" t="n">
        <v>1</v>
      </c>
      <c r="Q857" t="n">
        <v>0.17</v>
      </c>
      <c r="R857" t="n">
        <v>2</v>
      </c>
      <c r="S857" t="n">
        <v>3876.6</v>
      </c>
      <c r="T857" t="n">
        <v>9</v>
      </c>
      <c r="U857" t="n">
        <v>10</v>
      </c>
      <c r="V857" t="n">
        <v>30</v>
      </c>
      <c r="W857" t="n">
        <v>4</v>
      </c>
      <c r="X857" t="n">
        <v>54.94505494505494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1525</v>
      </c>
      <c r="AG857" t="n">
        <v>361</v>
      </c>
      <c r="AH857" t="inlineStr">
        <is>
          <t>CV. SERBA SERBI - PPN (PDG)</t>
        </is>
      </c>
      <c r="AI857" t="n">
        <v>392</v>
      </c>
      <c r="AJ857" t="inlineStr">
        <is>
          <t>CITRA</t>
        </is>
      </c>
      <c r="AK857" t="n">
        <v>21</v>
      </c>
      <c r="AL857" t="inlineStr">
        <is>
          <t>Miss Glam Damar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CITRA</t>
        </is>
      </c>
      <c r="B858" s="2">
        <f>"8999999511258"</f>
        <v/>
      </c>
      <c r="C858" t="inlineStr">
        <is>
          <t>CITRA Greentea Antiacne Essence Cream 40gr</t>
        </is>
      </c>
      <c r="D858" t="inlineStr">
        <is>
          <t>Miss Glam Damar</t>
        </is>
      </c>
      <c r="E858" t="n">
        <v>4</v>
      </c>
      <c r="F858" t="n">
        <v>0.1729</v>
      </c>
      <c r="G858" t="n">
        <v>1.82</v>
      </c>
      <c r="H858" t="n">
        <v>3</v>
      </c>
      <c r="I858" t="n">
        <v>5</v>
      </c>
      <c r="J858" t="n">
        <v>3</v>
      </c>
      <c r="K858" t="n">
        <v>0</v>
      </c>
      <c r="L858" t="n">
        <v>42793</v>
      </c>
      <c r="M858" t="n">
        <v>50500</v>
      </c>
      <c r="N858" t="n">
        <v>91</v>
      </c>
      <c r="O858" t="n">
        <v>0.91</v>
      </c>
      <c r="P858" t="n">
        <v>1</v>
      </c>
      <c r="Q858" t="n">
        <v>0.05</v>
      </c>
      <c r="R858" t="n">
        <v>1</v>
      </c>
      <c r="S858" t="n">
        <v>8731.450000000001</v>
      </c>
      <c r="T858" t="n">
        <v>9</v>
      </c>
      <c r="U858" t="n">
        <v>10</v>
      </c>
      <c r="V858" t="n">
        <v>30</v>
      </c>
      <c r="W858" t="n">
        <v>6</v>
      </c>
      <c r="X858" t="n">
        <v>23.13475997686524</v>
      </c>
      <c r="Y858" t="n">
        <v>1</v>
      </c>
      <c r="Z858" t="n">
        <v>2</v>
      </c>
      <c r="AA858" t="n">
        <v>0</v>
      </c>
      <c r="AB858" t="n">
        <v>2</v>
      </c>
      <c r="AC858" t="n">
        <v>3</v>
      </c>
      <c r="AD858" t="n">
        <v>0</v>
      </c>
      <c r="AE858" t="n">
        <v>128379</v>
      </c>
      <c r="AF858" t="n">
        <v>1525</v>
      </c>
      <c r="AG858" t="n">
        <v>361</v>
      </c>
      <c r="AH858" t="inlineStr">
        <is>
          <t>CV. SERBA SERBI - PPN (PDG)</t>
        </is>
      </c>
      <c r="AI858" t="n">
        <v>392</v>
      </c>
      <c r="AJ858" t="inlineStr">
        <is>
          <t>CITRA</t>
        </is>
      </c>
      <c r="AK858" t="n">
        <v>21</v>
      </c>
      <c r="AL858" t="inlineStr">
        <is>
          <t>Miss Glam Damar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CITRA</t>
        </is>
      </c>
      <c r="B859" s="2">
        <f>"8999999596095"</f>
        <v/>
      </c>
      <c r="C859" t="inlineStr">
        <is>
          <t>CITRA Natural Booster Body Serum Complete Glow 5 Bright Actions 180ml</t>
        </is>
      </c>
      <c r="D859" t="inlineStr">
        <is>
          <t>Miss Glam Damar</t>
        </is>
      </c>
      <c r="E859" t="n">
        <v>2</v>
      </c>
      <c r="F859" t="n">
        <v>0.2912</v>
      </c>
      <c r="G859" t="n">
        <v>2.73</v>
      </c>
      <c r="H859" t="n">
        <v>3</v>
      </c>
      <c r="I859" t="n">
        <v>5</v>
      </c>
      <c r="J859" t="n">
        <v>3</v>
      </c>
      <c r="K859" t="n">
        <v>0</v>
      </c>
      <c r="L859" t="n">
        <v>21786</v>
      </c>
      <c r="M859" t="n">
        <v>26000</v>
      </c>
      <c r="N859" t="n">
        <v>91</v>
      </c>
      <c r="O859" t="n">
        <v>0.91</v>
      </c>
      <c r="P859" t="n">
        <v>1</v>
      </c>
      <c r="Q859" t="n">
        <v>0.22</v>
      </c>
      <c r="R859" t="n">
        <v>2</v>
      </c>
      <c r="S859" t="n">
        <v>7571.200000000001</v>
      </c>
      <c r="T859" t="n">
        <v>13</v>
      </c>
      <c r="U859" t="n">
        <v>14</v>
      </c>
      <c r="V859" t="n">
        <v>30</v>
      </c>
      <c r="W859" t="n">
        <v>9</v>
      </c>
      <c r="X859" t="n">
        <v>6.868131868131868</v>
      </c>
      <c r="Y859" t="n">
        <v>1</v>
      </c>
      <c r="Z859" t="n">
        <v>7</v>
      </c>
      <c r="AA859" t="n">
        <v>0</v>
      </c>
      <c r="AB859" t="n">
        <v>7</v>
      </c>
      <c r="AC859" t="n">
        <v>7</v>
      </c>
      <c r="AD859" t="n">
        <v>0</v>
      </c>
      <c r="AE859" t="n">
        <v>152502</v>
      </c>
      <c r="AF859" t="n">
        <v>1525</v>
      </c>
      <c r="AG859" t="n">
        <v>361</v>
      </c>
      <c r="AH859" t="inlineStr">
        <is>
          <t>CV. SERBA SERBI - PPN (PDG)</t>
        </is>
      </c>
      <c r="AI859" t="n">
        <v>392</v>
      </c>
      <c r="AJ859" t="inlineStr">
        <is>
          <t>CITRA</t>
        </is>
      </c>
      <c r="AK859" t="n">
        <v>21</v>
      </c>
      <c r="AL859" t="inlineStr">
        <is>
          <t>Miss Glam Damar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CITRA</t>
        </is>
      </c>
      <c r="B860" s="2">
        <f>"8999999528928"</f>
        <v/>
      </c>
      <c r="C860" t="inlineStr">
        <is>
          <t>CITRA Nourishing Glow UV Avocado  210ml</t>
        </is>
      </c>
      <c r="D860" t="inlineStr">
        <is>
          <t>Miss Glam Damar</t>
        </is>
      </c>
      <c r="E860" t="n">
        <v>7</v>
      </c>
      <c r="F860" t="n">
        <v>0.2821</v>
      </c>
      <c r="G860" t="n">
        <v>1.82</v>
      </c>
      <c r="H860" t="n">
        <v>3</v>
      </c>
      <c r="I860" t="n">
        <v>5</v>
      </c>
      <c r="J860" t="n">
        <v>3</v>
      </c>
      <c r="K860" t="n">
        <v>0</v>
      </c>
      <c r="L860" t="n">
        <v>22019</v>
      </c>
      <c r="M860" t="n">
        <v>29500</v>
      </c>
      <c r="N860" t="n">
        <v>91</v>
      </c>
      <c r="O860" t="n">
        <v>0.91</v>
      </c>
      <c r="P860" t="n">
        <v>1</v>
      </c>
      <c r="Q860" t="n">
        <v>0.08</v>
      </c>
      <c r="R860" t="n">
        <v>1</v>
      </c>
      <c r="S860" t="n">
        <v>8321.950000000001</v>
      </c>
      <c r="T860" t="n">
        <v>9</v>
      </c>
      <c r="U860" t="n">
        <v>10</v>
      </c>
      <c r="V860" t="n">
        <v>30</v>
      </c>
      <c r="W860" t="n">
        <v>9</v>
      </c>
      <c r="X860" t="n">
        <v>24.81389578163772</v>
      </c>
      <c r="Y860" t="n">
        <v>1</v>
      </c>
      <c r="Z860" t="n">
        <v>2</v>
      </c>
      <c r="AA860" t="n">
        <v>0</v>
      </c>
      <c r="AB860" t="n">
        <v>2</v>
      </c>
      <c r="AC860" t="n">
        <v>3</v>
      </c>
      <c r="AD860" t="n">
        <v>0</v>
      </c>
      <c r="AE860" t="n">
        <v>66057</v>
      </c>
      <c r="AF860" t="n">
        <v>1525</v>
      </c>
      <c r="AG860" t="n">
        <v>361</v>
      </c>
      <c r="AH860" t="inlineStr">
        <is>
          <t>CV. SERBA SERBI - PPN (PDG)</t>
        </is>
      </c>
      <c r="AI860" t="n">
        <v>392</v>
      </c>
      <c r="AJ860" t="inlineStr">
        <is>
          <t>CITRA</t>
        </is>
      </c>
      <c r="AK860" t="n">
        <v>21</v>
      </c>
      <c r="AL860" t="inlineStr">
        <is>
          <t>Miss Glam Damar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CITRA</t>
        </is>
      </c>
      <c r="B861" s="2">
        <f>"8999999003890"</f>
        <v/>
      </c>
      <c r="C861" t="inlineStr">
        <is>
          <t>CITRA Pearly White Cream 40gr</t>
        </is>
      </c>
      <c r="D861" t="inlineStr">
        <is>
          <t>Miss Glam Damar</t>
        </is>
      </c>
      <c r="E861" t="n">
        <v>3</v>
      </c>
      <c r="F861" t="n">
        <v>0.4641</v>
      </c>
      <c r="G861" t="n">
        <v>2.73</v>
      </c>
      <c r="H861" t="n">
        <v>3</v>
      </c>
      <c r="I861" t="n">
        <v>5</v>
      </c>
      <c r="J861" t="n">
        <v>3</v>
      </c>
      <c r="K861" t="n">
        <v>0</v>
      </c>
      <c r="L861" t="n">
        <v>42784</v>
      </c>
      <c r="M861" t="n">
        <v>50500</v>
      </c>
      <c r="N861" t="n">
        <v>91</v>
      </c>
      <c r="O861" t="n">
        <v>0.91</v>
      </c>
      <c r="P861" t="n">
        <v>1</v>
      </c>
      <c r="Q861" t="n">
        <v>0.19</v>
      </c>
      <c r="R861" t="n">
        <v>3</v>
      </c>
      <c r="S861" t="n">
        <v>23437.05</v>
      </c>
      <c r="T861" t="n">
        <v>13</v>
      </c>
      <c r="U861" t="n">
        <v>15</v>
      </c>
      <c r="V861" t="n">
        <v>30</v>
      </c>
      <c r="W861" t="n">
        <v>14</v>
      </c>
      <c r="X861" t="n">
        <v>6.464124111182935</v>
      </c>
      <c r="Y861" t="n">
        <v>1</v>
      </c>
      <c r="Z861" t="n">
        <v>11</v>
      </c>
      <c r="AA861" t="n">
        <v>0</v>
      </c>
      <c r="AB861" t="n">
        <v>11</v>
      </c>
      <c r="AC861" t="n">
        <v>11</v>
      </c>
      <c r="AD861" t="n">
        <v>0</v>
      </c>
      <c r="AE861" t="n">
        <v>470624</v>
      </c>
      <c r="AF861" t="n">
        <v>1525</v>
      </c>
      <c r="AG861" t="n">
        <v>361</v>
      </c>
      <c r="AH861" t="inlineStr">
        <is>
          <t>CV. SERBA SERBI - PPN (PDG)</t>
        </is>
      </c>
      <c r="AI861" t="n">
        <v>392</v>
      </c>
      <c r="AJ861" t="inlineStr">
        <is>
          <t>CITRA</t>
        </is>
      </c>
      <c r="AK861" t="n">
        <v>21</v>
      </c>
      <c r="AL861" t="inlineStr">
        <is>
          <t>Miss Glam Damar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CLEAN &amp; CLEAR</t>
        </is>
      </c>
      <c r="B862" s="2">
        <f>"8991111111995"</f>
        <v/>
      </c>
      <c r="C862" t="inlineStr">
        <is>
          <t>CLEAN &amp; CLEAR  Oil Controling Toner 100ml</t>
        </is>
      </c>
      <c r="D862" t="inlineStr">
        <is>
          <t>Miss Glam Damar</t>
        </is>
      </c>
      <c r="E862" t="n">
        <v>3</v>
      </c>
      <c r="F862" t="n">
        <v>0.0273</v>
      </c>
      <c r="G862" t="n">
        <v>0.91</v>
      </c>
      <c r="H862" t="n">
        <v>4</v>
      </c>
      <c r="I862" t="n">
        <v>21</v>
      </c>
      <c r="J862" t="n">
        <v>3</v>
      </c>
      <c r="K862" t="n">
        <v>3</v>
      </c>
      <c r="L862" t="n">
        <v>18122</v>
      </c>
      <c r="M862" t="n">
        <v>22000</v>
      </c>
      <c r="N862" t="n">
        <v>91</v>
      </c>
      <c r="O862" t="n">
        <v>0.91</v>
      </c>
      <c r="P862" t="n">
        <v>1</v>
      </c>
      <c r="Q862" t="n">
        <v>0.05</v>
      </c>
      <c r="R862" t="n">
        <v>1</v>
      </c>
      <c r="S862" t="n">
        <v>600.6</v>
      </c>
      <c r="T862" t="n">
        <v>20</v>
      </c>
      <c r="U862" t="n">
        <v>21</v>
      </c>
      <c r="V862" t="n">
        <v>30</v>
      </c>
      <c r="W862" t="n">
        <v>1</v>
      </c>
      <c r="X862" t="n">
        <v>109.8901098901099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4242</v>
      </c>
      <c r="AG862" t="n">
        <v>1</v>
      </c>
      <c r="AH862" t="inlineStr">
        <is>
          <t>PT. BERSAMA DISTRIVERSA INDONESIA (DC CIPUTAT)</t>
        </is>
      </c>
      <c r="AI862" t="n">
        <v>51</v>
      </c>
      <c r="AJ862" t="inlineStr">
        <is>
          <t>CLEAN &amp; CLEAR</t>
        </is>
      </c>
      <c r="AK862" t="n">
        <v>21</v>
      </c>
      <c r="AL862" t="inlineStr">
        <is>
          <t>Miss Glam Damar</t>
        </is>
      </c>
      <c r="AM862" t="n">
        <v>3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CLEAN &amp; CLEAR</t>
        </is>
      </c>
      <c r="B863" s="2">
        <f>"8991111112213"</f>
        <v/>
      </c>
      <c r="C863" t="inlineStr">
        <is>
          <t>CLEAN &amp; CLEAR Deep Action Cleanser 100gr</t>
        </is>
      </c>
      <c r="D863" t="inlineStr">
        <is>
          <t>Miss Glam Damar</t>
        </is>
      </c>
      <c r="E863" t="n">
        <v>3</v>
      </c>
      <c r="F863" t="n">
        <v>0.04550000000000001</v>
      </c>
      <c r="G863" t="n">
        <v>0.91</v>
      </c>
      <c r="H863" t="n">
        <v>4</v>
      </c>
      <c r="I863" t="n">
        <v>21</v>
      </c>
      <c r="J863" t="n">
        <v>3</v>
      </c>
      <c r="K863" t="n">
        <v>0</v>
      </c>
      <c r="L863" t="n">
        <v>27750</v>
      </c>
      <c r="M863" t="n">
        <v>33000</v>
      </c>
      <c r="N863" t="n">
        <v>91</v>
      </c>
      <c r="O863" t="n">
        <v>0.91</v>
      </c>
      <c r="P863" t="n">
        <v>1</v>
      </c>
      <c r="Q863" t="n">
        <v>0.02</v>
      </c>
      <c r="R863" t="n">
        <v>1</v>
      </c>
      <c r="S863" t="n">
        <v>1501.5</v>
      </c>
      <c r="T863" t="n">
        <v>19</v>
      </c>
      <c r="U863" t="n">
        <v>20</v>
      </c>
      <c r="V863" t="n">
        <v>30</v>
      </c>
      <c r="W863" t="n">
        <v>2</v>
      </c>
      <c r="X863" t="n">
        <v>65.93406593406593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4242</v>
      </c>
      <c r="AG863" t="n">
        <v>1</v>
      </c>
      <c r="AH863" t="inlineStr">
        <is>
          <t>PT. BERSAMA DISTRIVERSA INDONESIA (DC CIPUTAT)</t>
        </is>
      </c>
      <c r="AI863" t="n">
        <v>51</v>
      </c>
      <c r="AJ863" t="inlineStr">
        <is>
          <t>CLEAN &amp; CLEAR</t>
        </is>
      </c>
      <c r="AK863" t="n">
        <v>21</v>
      </c>
      <c r="AL863" t="inlineStr">
        <is>
          <t>Miss Glam Damar</t>
        </is>
      </c>
      <c r="AM863" t="n">
        <v>3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CLEAN &amp; CLEAR</t>
        </is>
      </c>
      <c r="B864" s="2">
        <f>"8991111112091"</f>
        <v/>
      </c>
      <c r="C864" t="inlineStr">
        <is>
          <t>CLEAN &amp; CLEAR Deep Action Daily Pore 100gr</t>
        </is>
      </c>
      <c r="D864" t="inlineStr">
        <is>
          <t>Miss Glam Damar</t>
        </is>
      </c>
      <c r="E864" t="n">
        <v>7</v>
      </c>
      <c r="F864" t="n">
        <v>0.05</v>
      </c>
      <c r="G864" t="n">
        <v>1</v>
      </c>
      <c r="H864" t="n">
        <v>4</v>
      </c>
      <c r="I864" t="n">
        <v>21</v>
      </c>
      <c r="J864" t="n">
        <v>3</v>
      </c>
      <c r="K864" t="n">
        <v>0</v>
      </c>
      <c r="L864" t="n">
        <v>28107</v>
      </c>
      <c r="M864" t="n">
        <v>33500</v>
      </c>
      <c r="N864" t="n">
        <v>91</v>
      </c>
      <c r="O864" t="n">
        <v>0.91</v>
      </c>
      <c r="P864" t="n">
        <v>0</v>
      </c>
      <c r="Q864" t="n">
        <v>0.05</v>
      </c>
      <c r="R864" t="n">
        <v>1</v>
      </c>
      <c r="S864" t="n">
        <v>1675</v>
      </c>
      <c r="T864" t="n">
        <v>21</v>
      </c>
      <c r="U864" t="n">
        <v>22</v>
      </c>
      <c r="V864" t="n">
        <v>30</v>
      </c>
      <c r="W864" t="n">
        <v>2</v>
      </c>
      <c r="X864" t="n">
        <v>140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4242</v>
      </c>
      <c r="AG864" t="n">
        <v>1</v>
      </c>
      <c r="AH864" t="inlineStr">
        <is>
          <t>PT. BERSAMA DISTRIVERSA INDONESIA (DC CIPUTAT)</t>
        </is>
      </c>
      <c r="AI864" t="n">
        <v>51</v>
      </c>
      <c r="AJ864" t="inlineStr">
        <is>
          <t>CLEAN &amp; CLEAR</t>
        </is>
      </c>
      <c r="AK864" t="n">
        <v>21</v>
      </c>
      <c r="AL864" t="inlineStr">
        <is>
          <t>Miss Glam Damar</t>
        </is>
      </c>
      <c r="AM864" t="n">
        <v>3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CLEAN &amp; CLEAR</t>
        </is>
      </c>
      <c r="B865" s="2">
        <f>"8991111112084"</f>
        <v/>
      </c>
      <c r="C865" t="inlineStr">
        <is>
          <t>CLEAN &amp; CLEAR Deep Action Daily Pore 50gr</t>
        </is>
      </c>
      <c r="D865" t="inlineStr">
        <is>
          <t>Miss Glam Damar</t>
        </is>
      </c>
      <c r="E865" t="n">
        <v>9</v>
      </c>
      <c r="F865" t="n">
        <v>0.06370000000000001</v>
      </c>
      <c r="G865" t="n">
        <v>1.82</v>
      </c>
      <c r="H865" t="n">
        <v>4</v>
      </c>
      <c r="I865" t="n">
        <v>21</v>
      </c>
      <c r="J865" t="n">
        <v>3</v>
      </c>
      <c r="K865" t="n">
        <v>0</v>
      </c>
      <c r="L865" t="n">
        <v>18750</v>
      </c>
      <c r="M865" t="n">
        <v>23000</v>
      </c>
      <c r="N865" t="n">
        <v>91</v>
      </c>
      <c r="O865" t="n">
        <v>0.91</v>
      </c>
      <c r="P865" t="n">
        <v>1</v>
      </c>
      <c r="Q865" t="n">
        <v>0.05</v>
      </c>
      <c r="R865" t="n">
        <v>1</v>
      </c>
      <c r="S865" t="n">
        <v>1465.1</v>
      </c>
      <c r="T865" t="n">
        <v>38</v>
      </c>
      <c r="U865" t="n">
        <v>39</v>
      </c>
      <c r="V865" t="n">
        <v>30</v>
      </c>
      <c r="W865" t="n">
        <v>2</v>
      </c>
      <c r="X865" t="n">
        <v>141.287284144427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4242</v>
      </c>
      <c r="AG865" t="n">
        <v>1</v>
      </c>
      <c r="AH865" t="inlineStr">
        <is>
          <t>PT. BERSAMA DISTRIVERSA INDONESIA (DC CIPUTAT)</t>
        </is>
      </c>
      <c r="AI865" t="n">
        <v>51</v>
      </c>
      <c r="AJ865" t="inlineStr">
        <is>
          <t>CLEAN &amp; CLEAR</t>
        </is>
      </c>
      <c r="AK865" t="n">
        <v>21</v>
      </c>
      <c r="AL865" t="inlineStr">
        <is>
          <t>Miss Glam Damar</t>
        </is>
      </c>
      <c r="AM865" t="n">
        <v>3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CLEAN &amp; CLEAR</t>
        </is>
      </c>
      <c r="B866" s="2">
        <f>"8991111111964"</f>
        <v/>
      </c>
      <c r="C866" t="inlineStr">
        <is>
          <t>CLEAN &amp; CLEAR Essentials Foaming Facial Wash 50ml</t>
        </is>
      </c>
      <c r="D866" t="inlineStr">
        <is>
          <t>Miss Glam Damar</t>
        </is>
      </c>
      <c r="E866" t="n">
        <v>0</v>
      </c>
      <c r="F866" t="n">
        <v>0.2002</v>
      </c>
      <c r="G866" t="n">
        <v>1.82</v>
      </c>
      <c r="H866" t="n">
        <v>4</v>
      </c>
      <c r="I866" t="n">
        <v>21</v>
      </c>
      <c r="J866" t="n">
        <v>3</v>
      </c>
      <c r="K866" t="n">
        <v>6</v>
      </c>
      <c r="L866" t="n">
        <v>14874</v>
      </c>
      <c r="M866" t="n">
        <v>17500</v>
      </c>
      <c r="N866" t="n">
        <v>91</v>
      </c>
      <c r="O866" t="n">
        <v>0.91</v>
      </c>
      <c r="P866" t="n">
        <v>1</v>
      </c>
      <c r="Q866" t="n">
        <v>0.18</v>
      </c>
      <c r="R866" t="n">
        <v>2</v>
      </c>
      <c r="S866" t="n">
        <v>3503.5</v>
      </c>
      <c r="T866" t="n">
        <v>38</v>
      </c>
      <c r="U866" t="n">
        <v>39</v>
      </c>
      <c r="V866" t="n">
        <v>30</v>
      </c>
      <c r="W866" t="n">
        <v>7</v>
      </c>
      <c r="X866" t="n">
        <v>0</v>
      </c>
      <c r="Y866" t="n">
        <v>1</v>
      </c>
      <c r="Z866" t="n">
        <v>1</v>
      </c>
      <c r="AA866" t="n">
        <v>4</v>
      </c>
      <c r="AB866" t="n">
        <v>0</v>
      </c>
      <c r="AC866" t="n">
        <v>0</v>
      </c>
      <c r="AD866" t="n">
        <v>59496</v>
      </c>
      <c r="AE866" t="n">
        <v>0</v>
      </c>
      <c r="AF866" t="n">
        <v>4242</v>
      </c>
      <c r="AG866" t="n">
        <v>1</v>
      </c>
      <c r="AH866" t="inlineStr">
        <is>
          <t>PT. BERSAMA DISTRIVERSA INDONESIA (DC CIPUTAT)</t>
        </is>
      </c>
      <c r="AI866" t="n">
        <v>51</v>
      </c>
      <c r="AJ866" t="inlineStr">
        <is>
          <t>CLEAN &amp; CLEAR</t>
        </is>
      </c>
      <c r="AK866" t="n">
        <v>21</v>
      </c>
      <c r="AL866" t="inlineStr">
        <is>
          <t>Miss Glam Damar</t>
        </is>
      </c>
      <c r="AM866" t="n">
        <v>3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CLEAN &amp; CLEAR</t>
        </is>
      </c>
      <c r="B867" s="2">
        <f>"8850007652588"</f>
        <v/>
      </c>
      <c r="C867" t="inlineStr">
        <is>
          <t>CLEAN &amp; CLEAR Face Wash Natural Bright 100gr</t>
        </is>
      </c>
      <c r="D867" t="inlineStr">
        <is>
          <t>Miss Glam Damar</t>
        </is>
      </c>
      <c r="E867" t="n">
        <v>0</v>
      </c>
      <c r="F867" t="n">
        <v>0.09100000000000001</v>
      </c>
      <c r="G867" t="n">
        <v>0.91</v>
      </c>
      <c r="H867" t="n">
        <v>4</v>
      </c>
      <c r="I867" t="n">
        <v>21</v>
      </c>
      <c r="J867" t="n">
        <v>3</v>
      </c>
      <c r="K867" t="n">
        <v>0</v>
      </c>
      <c r="L867" t="n">
        <v>28583</v>
      </c>
      <c r="M867" t="n">
        <v>36000</v>
      </c>
      <c r="N867" t="n">
        <v>91</v>
      </c>
      <c r="O867" t="n">
        <v>0.91</v>
      </c>
      <c r="P867" t="n">
        <v>1</v>
      </c>
      <c r="Q867" t="n">
        <v>0.14</v>
      </c>
      <c r="R867" t="n">
        <v>2</v>
      </c>
      <c r="S867" t="n">
        <v>3276</v>
      </c>
      <c r="T867" t="n">
        <v>19</v>
      </c>
      <c r="U867" t="n">
        <v>20</v>
      </c>
      <c r="V867" t="n">
        <v>30</v>
      </c>
      <c r="W867" t="n">
        <v>3</v>
      </c>
      <c r="X867" t="n">
        <v>0</v>
      </c>
      <c r="Y867" t="n">
        <v>1</v>
      </c>
      <c r="Z867" t="n">
        <v>3</v>
      </c>
      <c r="AA867" t="n">
        <v>2</v>
      </c>
      <c r="AB867" t="n">
        <v>1</v>
      </c>
      <c r="AC867" t="n">
        <v>3</v>
      </c>
      <c r="AD867" t="n">
        <v>57166</v>
      </c>
      <c r="AE867" t="n">
        <v>85749</v>
      </c>
      <c r="AF867" t="n">
        <v>4242</v>
      </c>
      <c r="AG867" t="n">
        <v>1</v>
      </c>
      <c r="AH867" t="inlineStr">
        <is>
          <t>PT. BERSAMA DISTRIVERSA INDONESIA (DC CIPUTAT)</t>
        </is>
      </c>
      <c r="AI867" t="n">
        <v>51</v>
      </c>
      <c r="AJ867" t="inlineStr">
        <is>
          <t>CLEAN &amp; CLEAR</t>
        </is>
      </c>
      <c r="AK867" t="n">
        <v>21</v>
      </c>
      <c r="AL867" t="inlineStr">
        <is>
          <t>Miss Glam Damar</t>
        </is>
      </c>
      <c r="AM867" t="n">
        <v>3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CLEAN &amp; CLEAR</t>
        </is>
      </c>
      <c r="B868" s="2">
        <f>"8850007652564"</f>
        <v/>
      </c>
      <c r="C868" t="inlineStr">
        <is>
          <t>CLEAN &amp; CLEAR Face Wash Natural Bright 50ml</t>
        </is>
      </c>
      <c r="D868" t="inlineStr">
        <is>
          <t>Miss Glam Damar</t>
        </is>
      </c>
      <c r="E868" t="n">
        <v>7</v>
      </c>
      <c r="F868" t="n">
        <v>0.09100000000000001</v>
      </c>
      <c r="G868" t="n">
        <v>0.91</v>
      </c>
      <c r="H868" t="n">
        <v>4</v>
      </c>
      <c r="I868" t="n">
        <v>21</v>
      </c>
      <c r="J868" t="n">
        <v>3</v>
      </c>
      <c r="K868" t="n">
        <v>0</v>
      </c>
      <c r="L868" t="n">
        <v>19207</v>
      </c>
      <c r="M868" t="n">
        <v>23000</v>
      </c>
      <c r="N868" t="n">
        <v>91</v>
      </c>
      <c r="O868" t="n">
        <v>0.91</v>
      </c>
      <c r="P868" t="n">
        <v>1</v>
      </c>
      <c r="Q868" t="n">
        <v>0.07000000000000001</v>
      </c>
      <c r="R868" t="n">
        <v>1</v>
      </c>
      <c r="S868" t="n">
        <v>2093</v>
      </c>
      <c r="T868" t="n">
        <v>19</v>
      </c>
      <c r="U868" t="n">
        <v>20</v>
      </c>
      <c r="V868" t="n">
        <v>30</v>
      </c>
      <c r="W868" t="n">
        <v>3</v>
      </c>
      <c r="X868" t="n">
        <v>76.92307692307692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4242</v>
      </c>
      <c r="AG868" t="n">
        <v>1</v>
      </c>
      <c r="AH868" t="inlineStr">
        <is>
          <t>PT. BERSAMA DISTRIVERSA INDONESIA (DC CIPUTAT)</t>
        </is>
      </c>
      <c r="AI868" t="n">
        <v>51</v>
      </c>
      <c r="AJ868" t="inlineStr">
        <is>
          <t>CLEAN &amp; CLEAR</t>
        </is>
      </c>
      <c r="AK868" t="n">
        <v>21</v>
      </c>
      <c r="AL868" t="inlineStr">
        <is>
          <t>Miss Glam Damar</t>
        </is>
      </c>
      <c r="AM868" t="n">
        <v>3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CLEAN &amp; CLEAR</t>
        </is>
      </c>
      <c r="B869" s="2">
        <f>"8991111111971"</f>
        <v/>
      </c>
      <c r="C869" t="inlineStr">
        <is>
          <t>CLEAN &amp; CLEAR Foaming Face Wash 100ml</t>
        </is>
      </c>
      <c r="D869" t="inlineStr">
        <is>
          <t>Miss Glam Damar</t>
        </is>
      </c>
      <c r="E869" t="n">
        <v>16</v>
      </c>
      <c r="F869" t="n">
        <v>0.1547</v>
      </c>
      <c r="G869" t="n">
        <v>1.82</v>
      </c>
      <c r="H869" t="n">
        <v>4</v>
      </c>
      <c r="I869" t="n">
        <v>21</v>
      </c>
      <c r="J869" t="n">
        <v>3</v>
      </c>
      <c r="K869" t="n">
        <v>0</v>
      </c>
      <c r="L869" t="n">
        <v>22924</v>
      </c>
      <c r="M869" t="n">
        <v>29000</v>
      </c>
      <c r="N869" t="n">
        <v>91</v>
      </c>
      <c r="O869" t="n">
        <v>0.91</v>
      </c>
      <c r="P869" t="n">
        <v>1</v>
      </c>
      <c r="Q869" t="n">
        <v>0.05</v>
      </c>
      <c r="R869" t="n">
        <v>3</v>
      </c>
      <c r="S869" t="n">
        <v>4486.3</v>
      </c>
      <c r="T869" t="n">
        <v>38</v>
      </c>
      <c r="U869" t="n">
        <v>39</v>
      </c>
      <c r="V869" t="n">
        <v>30</v>
      </c>
      <c r="W869" t="n">
        <v>5</v>
      </c>
      <c r="X869" t="n">
        <v>103.425985778927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4242</v>
      </c>
      <c r="AG869" t="n">
        <v>1</v>
      </c>
      <c r="AH869" t="inlineStr">
        <is>
          <t>PT. BERSAMA DISTRIVERSA INDONESIA (DC CIPUTAT)</t>
        </is>
      </c>
      <c r="AI869" t="n">
        <v>51</v>
      </c>
      <c r="AJ869" t="inlineStr">
        <is>
          <t>CLEAN &amp; CLEAR</t>
        </is>
      </c>
      <c r="AK869" t="n">
        <v>21</v>
      </c>
      <c r="AL869" t="inlineStr">
        <is>
          <t>Miss Glam Damar</t>
        </is>
      </c>
      <c r="AM869" t="n">
        <v>3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CLEAN &amp; CLEAR</t>
        </is>
      </c>
      <c r="B870" s="2">
        <f>"8850007700050"</f>
        <v/>
      </c>
      <c r="C870" t="inlineStr">
        <is>
          <t>CLEAN &amp; CLEAR Oil Control Film 60s</t>
        </is>
      </c>
      <c r="D870" t="inlineStr">
        <is>
          <t>Miss Glam Damar</t>
        </is>
      </c>
      <c r="E870" t="n">
        <v>0</v>
      </c>
      <c r="F870" t="n">
        <v>0.2275</v>
      </c>
      <c r="G870" t="n">
        <v>1.82</v>
      </c>
      <c r="H870" t="n">
        <v>4</v>
      </c>
      <c r="I870" t="n">
        <v>21</v>
      </c>
      <c r="J870" t="n">
        <v>12</v>
      </c>
      <c r="K870" t="n">
        <v>24</v>
      </c>
      <c r="L870" t="n">
        <v>27417</v>
      </c>
      <c r="M870" t="n">
        <v>34000</v>
      </c>
      <c r="N870" t="n">
        <v>91</v>
      </c>
      <c r="O870" t="n">
        <v>0.91</v>
      </c>
      <c r="P870" t="n">
        <v>1</v>
      </c>
      <c r="Q870" t="n">
        <v>0.48</v>
      </c>
      <c r="R870" t="n">
        <v>2</v>
      </c>
      <c r="S870" t="n">
        <v>7735</v>
      </c>
      <c r="T870" t="n">
        <v>38</v>
      </c>
      <c r="U870" t="n">
        <v>39</v>
      </c>
      <c r="V870" t="n">
        <v>30</v>
      </c>
      <c r="W870" t="n">
        <v>7</v>
      </c>
      <c r="X870" t="n">
        <v>0</v>
      </c>
      <c r="Y870" t="n">
        <v>1</v>
      </c>
      <c r="Z870" t="n">
        <v>0</v>
      </c>
      <c r="AA870" t="n">
        <v>4</v>
      </c>
      <c r="AB870" t="n">
        <v>0</v>
      </c>
      <c r="AC870" t="n">
        <v>0</v>
      </c>
      <c r="AD870" t="n">
        <v>109668</v>
      </c>
      <c r="AE870" t="n">
        <v>0</v>
      </c>
      <c r="AF870" t="n">
        <v>4242</v>
      </c>
      <c r="AG870" t="n">
        <v>1</v>
      </c>
      <c r="AH870" t="inlineStr">
        <is>
          <t>PT. BERSAMA DISTRIVERSA INDONESIA (DC CIPUTAT)</t>
        </is>
      </c>
      <c r="AI870" t="n">
        <v>51</v>
      </c>
      <c r="AJ870" t="inlineStr">
        <is>
          <t>CLEAN &amp; CLEAR</t>
        </is>
      </c>
      <c r="AK870" t="n">
        <v>21</v>
      </c>
      <c r="AL870" t="inlineStr">
        <is>
          <t>Miss Glam Damar</t>
        </is>
      </c>
      <c r="AM870" t="n">
        <v>3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CLEAN &amp; CLEAR</t>
        </is>
      </c>
      <c r="B871" s="2">
        <f>"4901730070010"</f>
        <v/>
      </c>
      <c r="C871" t="inlineStr">
        <is>
          <t>CLEAN &amp; CLEAR Oil Control Film Pink 50s</t>
        </is>
      </c>
      <c r="D871" t="inlineStr">
        <is>
          <t>Miss Glam Damar</t>
        </is>
      </c>
      <c r="E871" t="n">
        <v>7</v>
      </c>
      <c r="F871" t="n">
        <v>0.6825</v>
      </c>
      <c r="G871" t="n">
        <v>2.73</v>
      </c>
      <c r="H871" t="n">
        <v>4</v>
      </c>
      <c r="I871" t="n">
        <v>21</v>
      </c>
      <c r="J871" t="n">
        <v>12</v>
      </c>
      <c r="K871" t="n">
        <v>0</v>
      </c>
      <c r="L871" t="n">
        <v>27417</v>
      </c>
      <c r="M871" t="n">
        <v>32500</v>
      </c>
      <c r="N871" t="n">
        <v>91</v>
      </c>
      <c r="O871" t="n">
        <v>0.91</v>
      </c>
      <c r="P871" t="n">
        <v>1</v>
      </c>
      <c r="Q871" t="n">
        <v>0.05</v>
      </c>
      <c r="R871" t="n">
        <v>2</v>
      </c>
      <c r="S871" t="n">
        <v>22181.25</v>
      </c>
      <c r="T871" t="n">
        <v>55</v>
      </c>
      <c r="U871" t="n">
        <v>58</v>
      </c>
      <c r="V871" t="n">
        <v>30</v>
      </c>
      <c r="W871" t="n">
        <v>21</v>
      </c>
      <c r="X871" t="n">
        <v>10.25641025641026</v>
      </c>
      <c r="Y871" t="n">
        <v>1</v>
      </c>
      <c r="Z871" t="n">
        <v>14</v>
      </c>
      <c r="AA871" t="n">
        <v>8</v>
      </c>
      <c r="AB871" t="n">
        <v>6</v>
      </c>
      <c r="AC871" t="n">
        <v>12</v>
      </c>
      <c r="AD871" t="n">
        <v>219336</v>
      </c>
      <c r="AE871" t="n">
        <v>329004</v>
      </c>
      <c r="AF871" t="n">
        <v>4242</v>
      </c>
      <c r="AG871" t="n">
        <v>1</v>
      </c>
      <c r="AH871" t="inlineStr">
        <is>
          <t>PT. BERSAMA DISTRIVERSA INDONESIA (DC CIPUTAT)</t>
        </is>
      </c>
      <c r="AI871" t="n">
        <v>51</v>
      </c>
      <c r="AJ871" t="inlineStr">
        <is>
          <t>CLEAN &amp; CLEAR</t>
        </is>
      </c>
      <c r="AK871" t="n">
        <v>21</v>
      </c>
      <c r="AL871" t="inlineStr">
        <is>
          <t>Miss Glam Damar</t>
        </is>
      </c>
      <c r="AM871" t="n">
        <v>3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CLEAN FACE</t>
        </is>
      </c>
      <c r="B872" s="2">
        <f>"8999225906810"</f>
        <v/>
      </c>
      <c r="C872" t="inlineStr">
        <is>
          <t>CLEAN FACE Liquid Facial Wash 50ml</t>
        </is>
      </c>
      <c r="D872" t="inlineStr">
        <is>
          <t>Miss Glam Damar</t>
        </is>
      </c>
      <c r="E872" t="n">
        <v>0</v>
      </c>
      <c r="F872" t="n">
        <v>0.21</v>
      </c>
      <c r="G872" t="n">
        <v>1</v>
      </c>
      <c r="H872" t="n">
        <v>3</v>
      </c>
      <c r="I872" t="n">
        <v>11</v>
      </c>
      <c r="J872" t="n">
        <v>3</v>
      </c>
      <c r="K872" t="n">
        <v>0</v>
      </c>
      <c r="L872" t="n">
        <v>11200</v>
      </c>
      <c r="M872" t="n">
        <v>14000</v>
      </c>
      <c r="N872" t="n">
        <v>91</v>
      </c>
      <c r="O872" t="n">
        <v>0.91</v>
      </c>
      <c r="P872" t="n">
        <v>0</v>
      </c>
      <c r="Q872" t="n">
        <v>0.21</v>
      </c>
      <c r="R872" t="n">
        <v>1</v>
      </c>
      <c r="S872" t="n">
        <v>2940</v>
      </c>
      <c r="T872" t="n">
        <v>11</v>
      </c>
      <c r="U872" t="n">
        <v>12</v>
      </c>
      <c r="V872" t="n">
        <v>30</v>
      </c>
      <c r="W872" t="n">
        <v>7</v>
      </c>
      <c r="X872" t="n">
        <v>0</v>
      </c>
      <c r="Y872" t="n">
        <v>1</v>
      </c>
      <c r="Z872" t="n">
        <v>7</v>
      </c>
      <c r="AA872" t="n">
        <v>3</v>
      </c>
      <c r="AB872" t="n">
        <v>4</v>
      </c>
      <c r="AC872" t="n">
        <v>4</v>
      </c>
      <c r="AD872" t="n">
        <v>33600</v>
      </c>
      <c r="AE872" t="n">
        <v>44800</v>
      </c>
      <c r="AF872" t="n">
        <v>9991</v>
      </c>
      <c r="AG872" t="n">
        <v>78</v>
      </c>
      <c r="AH872" t="inlineStr">
        <is>
          <t>PT. GLORIENTA P.H - PPN (PDG)</t>
        </is>
      </c>
      <c r="AI872" t="n">
        <v>691</v>
      </c>
      <c r="AJ872" t="inlineStr">
        <is>
          <t>CLEAN FACE</t>
        </is>
      </c>
      <c r="AK872" t="n">
        <v>21</v>
      </c>
      <c r="AL872" t="inlineStr">
        <is>
          <t>Miss Glam Damar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CLEAN FACE</t>
        </is>
      </c>
      <c r="B873" s="2">
        <f>"8999225908661"</f>
        <v/>
      </c>
      <c r="C873" t="inlineStr">
        <is>
          <t>CLEAN FACE Micellar Water 3in1 Normal Skin 100ml</t>
        </is>
      </c>
      <c r="D873" t="inlineStr">
        <is>
          <t>Miss Glam Damar</t>
        </is>
      </c>
      <c r="E873" t="n">
        <v>6</v>
      </c>
      <c r="F873" t="n">
        <v>0.2002</v>
      </c>
      <c r="G873" t="n">
        <v>1.82</v>
      </c>
      <c r="H873" t="n">
        <v>3</v>
      </c>
      <c r="I873" t="n">
        <v>11</v>
      </c>
      <c r="J873" t="n">
        <v>3</v>
      </c>
      <c r="K873" t="n">
        <v>0</v>
      </c>
      <c r="L873" t="n">
        <v>13441</v>
      </c>
      <c r="M873" t="n">
        <v>16000</v>
      </c>
      <c r="N873" t="n">
        <v>91</v>
      </c>
      <c r="O873" t="n">
        <v>0.91</v>
      </c>
      <c r="P873" t="n">
        <v>1</v>
      </c>
      <c r="Q873" t="n">
        <v>0.25</v>
      </c>
      <c r="R873" t="n">
        <v>2</v>
      </c>
      <c r="S873" t="n">
        <v>3203.2</v>
      </c>
      <c r="T873" t="n">
        <v>20</v>
      </c>
      <c r="U873" t="n">
        <v>21</v>
      </c>
      <c r="V873" t="n">
        <v>30</v>
      </c>
      <c r="W873" t="n">
        <v>7</v>
      </c>
      <c r="X873" t="n">
        <v>29.97002997002997</v>
      </c>
      <c r="Y873" t="n">
        <v>1</v>
      </c>
      <c r="Z873" t="n">
        <v>1</v>
      </c>
      <c r="AA873" t="n">
        <v>0</v>
      </c>
      <c r="AB873" t="n">
        <v>1</v>
      </c>
      <c r="AC873" t="n">
        <v>3</v>
      </c>
      <c r="AD873" t="n">
        <v>0</v>
      </c>
      <c r="AE873" t="n">
        <v>40323</v>
      </c>
      <c r="AF873" t="n">
        <v>9991</v>
      </c>
      <c r="AG873" t="n">
        <v>78</v>
      </c>
      <c r="AH873" t="inlineStr">
        <is>
          <t>PT. GLORIENTA P.H - PPN (PDG)</t>
        </is>
      </c>
      <c r="AI873" t="n">
        <v>691</v>
      </c>
      <c r="AJ873" t="inlineStr">
        <is>
          <t>CLEAN FACE</t>
        </is>
      </c>
      <c r="AK873" t="n">
        <v>21</v>
      </c>
      <c r="AL873" t="inlineStr">
        <is>
          <t>Miss Glam Damar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CLEAN FACE</t>
        </is>
      </c>
      <c r="B874" s="2">
        <f>"8999225908654"</f>
        <v/>
      </c>
      <c r="C874" t="inlineStr">
        <is>
          <t>CLEAN FACE Micellar Water 3in1 Normal Skin 250ml</t>
        </is>
      </c>
      <c r="D874" t="inlineStr">
        <is>
          <t>Miss Glam Damar</t>
        </is>
      </c>
      <c r="E874" t="n">
        <v>0</v>
      </c>
      <c r="F874" t="n">
        <v>0.3367</v>
      </c>
      <c r="G874" t="n">
        <v>1.82</v>
      </c>
      <c r="H874" t="n">
        <v>3</v>
      </c>
      <c r="I874" t="n">
        <v>11</v>
      </c>
      <c r="J874" t="n">
        <v>3</v>
      </c>
      <c r="K874" t="n">
        <v>0</v>
      </c>
      <c r="L874" t="n">
        <v>22720</v>
      </c>
      <c r="M874" t="n">
        <v>28500</v>
      </c>
      <c r="N874" t="n">
        <v>91</v>
      </c>
      <c r="O874" t="n">
        <v>0.91</v>
      </c>
      <c r="P874" t="n">
        <v>1</v>
      </c>
      <c r="Q874" t="n">
        <v>0.31</v>
      </c>
      <c r="R874" t="n">
        <v>2</v>
      </c>
      <c r="S874" t="n">
        <v>9595.950000000001</v>
      </c>
      <c r="T874" t="n">
        <v>20</v>
      </c>
      <c r="U874" t="n">
        <v>22</v>
      </c>
      <c r="V874" t="n">
        <v>30</v>
      </c>
      <c r="W874" t="n">
        <v>11</v>
      </c>
      <c r="X874" t="n">
        <v>0</v>
      </c>
      <c r="Y874" t="n">
        <v>1</v>
      </c>
      <c r="Z874" t="n">
        <v>11</v>
      </c>
      <c r="AA874" t="n">
        <v>4</v>
      </c>
      <c r="AB874" t="n">
        <v>7</v>
      </c>
      <c r="AC874" t="n">
        <v>7</v>
      </c>
      <c r="AD874" t="n">
        <v>90880</v>
      </c>
      <c r="AE874" t="n">
        <v>159040</v>
      </c>
      <c r="AF874" t="n">
        <v>9991</v>
      </c>
      <c r="AG874" t="n">
        <v>78</v>
      </c>
      <c r="AH874" t="inlineStr">
        <is>
          <t>PT. GLORIENTA P.H - PPN (PDG)</t>
        </is>
      </c>
      <c r="AI874" t="n">
        <v>691</v>
      </c>
      <c r="AJ874" t="inlineStr">
        <is>
          <t>CLEAN FACE</t>
        </is>
      </c>
      <c r="AK874" t="n">
        <v>21</v>
      </c>
      <c r="AL874" t="inlineStr">
        <is>
          <t>Miss Glam Damar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CLEAN FACE</t>
        </is>
      </c>
      <c r="B875" s="2">
        <f>"8999225908685"</f>
        <v/>
      </c>
      <c r="C875" t="inlineStr">
        <is>
          <t>CLEAN FACE Micellar Water 3in1 Oily Skin 100ml</t>
        </is>
      </c>
      <c r="D875" t="inlineStr">
        <is>
          <t>Miss Glam Damar</t>
        </is>
      </c>
      <c r="E875" t="n">
        <v>2</v>
      </c>
      <c r="F875" t="n">
        <v>0.1456</v>
      </c>
      <c r="G875" t="n">
        <v>0.91</v>
      </c>
      <c r="H875" t="n">
        <v>3</v>
      </c>
      <c r="I875" t="n">
        <v>11</v>
      </c>
      <c r="J875" t="n">
        <v>3</v>
      </c>
      <c r="K875" t="n">
        <v>0</v>
      </c>
      <c r="L875" t="n">
        <v>13441</v>
      </c>
      <c r="M875" t="n">
        <v>17000</v>
      </c>
      <c r="N875" t="n">
        <v>91</v>
      </c>
      <c r="O875" t="n">
        <v>0.91</v>
      </c>
      <c r="P875" t="n">
        <v>1</v>
      </c>
      <c r="Q875" t="n">
        <v>0.08</v>
      </c>
      <c r="R875" t="n">
        <v>1</v>
      </c>
      <c r="S875" t="n">
        <v>2475.2</v>
      </c>
      <c r="T875" t="n">
        <v>10</v>
      </c>
      <c r="U875" t="n">
        <v>11</v>
      </c>
      <c r="V875" t="n">
        <v>30</v>
      </c>
      <c r="W875" t="n">
        <v>5</v>
      </c>
      <c r="X875" t="n">
        <v>13.73626373626374</v>
      </c>
      <c r="Y875" t="n">
        <v>1</v>
      </c>
      <c r="Z875" t="n">
        <v>3</v>
      </c>
      <c r="AA875" t="n">
        <v>0</v>
      </c>
      <c r="AB875" t="n">
        <v>3</v>
      </c>
      <c r="AC875" t="n">
        <v>3</v>
      </c>
      <c r="AD875" t="n">
        <v>0</v>
      </c>
      <c r="AE875" t="n">
        <v>40323</v>
      </c>
      <c r="AF875" t="n">
        <v>9991</v>
      </c>
      <c r="AG875" t="n">
        <v>78</v>
      </c>
      <c r="AH875" t="inlineStr">
        <is>
          <t>PT. GLORIENTA P.H - PPN (PDG)</t>
        </is>
      </c>
      <c r="AI875" t="n">
        <v>691</v>
      </c>
      <c r="AJ875" t="inlineStr">
        <is>
          <t>CLEAN FACE</t>
        </is>
      </c>
      <c r="AK875" t="n">
        <v>21</v>
      </c>
      <c r="AL875" t="inlineStr">
        <is>
          <t>Miss Glam Damar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CLEAN FACE</t>
        </is>
      </c>
      <c r="B876" s="2">
        <f>"8999225908678"</f>
        <v/>
      </c>
      <c r="C876" t="inlineStr">
        <is>
          <t>CLEAN FACE Micellar Water 3in1 Oily Skin 250ml</t>
        </is>
      </c>
      <c r="D876" t="inlineStr">
        <is>
          <t>Miss Glam Damar</t>
        </is>
      </c>
      <c r="E876" t="n">
        <v>10</v>
      </c>
      <c r="F876" t="n">
        <v>0.5551</v>
      </c>
      <c r="G876" t="n">
        <v>2.73</v>
      </c>
      <c r="H876" t="n">
        <v>3</v>
      </c>
      <c r="I876" t="n">
        <v>11</v>
      </c>
      <c r="J876" t="n">
        <v>3</v>
      </c>
      <c r="K876" t="n">
        <v>0</v>
      </c>
      <c r="L876" t="n">
        <v>22720</v>
      </c>
      <c r="M876" t="n">
        <v>27000</v>
      </c>
      <c r="N876" t="n">
        <v>91</v>
      </c>
      <c r="O876" t="n">
        <v>0.91</v>
      </c>
      <c r="P876" t="n">
        <v>1</v>
      </c>
      <c r="Q876" t="n">
        <v>0.32</v>
      </c>
      <c r="R876" t="n">
        <v>4</v>
      </c>
      <c r="S876" t="n">
        <v>14987.7</v>
      </c>
      <c r="T876" t="n">
        <v>29</v>
      </c>
      <c r="U876" t="n">
        <v>31</v>
      </c>
      <c r="V876" t="n">
        <v>30</v>
      </c>
      <c r="W876" t="n">
        <v>17</v>
      </c>
      <c r="X876" t="n">
        <v>18.01477211313277</v>
      </c>
      <c r="Y876" t="n">
        <v>1</v>
      </c>
      <c r="Z876" t="n">
        <v>7</v>
      </c>
      <c r="AA876" t="n">
        <v>0</v>
      </c>
      <c r="AB876" t="n">
        <v>7</v>
      </c>
      <c r="AC876" t="n">
        <v>7</v>
      </c>
      <c r="AD876" t="n">
        <v>0</v>
      </c>
      <c r="AE876" t="n">
        <v>159040</v>
      </c>
      <c r="AF876" t="n">
        <v>9991</v>
      </c>
      <c r="AG876" t="n">
        <v>78</v>
      </c>
      <c r="AH876" t="inlineStr">
        <is>
          <t>PT. GLORIENTA P.H - PPN (PDG)</t>
        </is>
      </c>
      <c r="AI876" t="n">
        <v>691</v>
      </c>
      <c r="AJ876" t="inlineStr">
        <is>
          <t>CLEAN FACE</t>
        </is>
      </c>
      <c r="AK876" t="n">
        <v>21</v>
      </c>
      <c r="AL876" t="inlineStr">
        <is>
          <t>Miss Glam Damar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CLEAN FACE</t>
        </is>
      </c>
      <c r="B877" s="2">
        <f>"8999225912002"</f>
        <v/>
      </c>
      <c r="C877" t="inlineStr">
        <is>
          <t>CLEAN FACE Micellar Water Sakura White 250ml</t>
        </is>
      </c>
      <c r="D877" t="inlineStr">
        <is>
          <t>Miss Glam Damar</t>
        </is>
      </c>
      <c r="E877" t="n">
        <v>3</v>
      </c>
      <c r="F877" t="n">
        <v>0.5369</v>
      </c>
      <c r="G877" t="n">
        <v>2.73</v>
      </c>
      <c r="H877" t="n">
        <v>3</v>
      </c>
      <c r="I877" t="n">
        <v>11</v>
      </c>
      <c r="J877" t="n">
        <v>3</v>
      </c>
      <c r="K877" t="n">
        <v>0</v>
      </c>
      <c r="L877" t="n">
        <v>22720</v>
      </c>
      <c r="M877" t="n">
        <v>28500</v>
      </c>
      <c r="N877" t="n">
        <v>91</v>
      </c>
      <c r="O877" t="n">
        <v>0.91</v>
      </c>
      <c r="P877" t="n">
        <v>1</v>
      </c>
      <c r="Q877" t="n">
        <v>0.2</v>
      </c>
      <c r="R877" t="n">
        <v>3</v>
      </c>
      <c r="S877" t="n">
        <v>15301.65</v>
      </c>
      <c r="T877" t="n">
        <v>29</v>
      </c>
      <c r="U877" t="n">
        <v>31</v>
      </c>
      <c r="V877" t="n">
        <v>30</v>
      </c>
      <c r="W877" t="n">
        <v>17</v>
      </c>
      <c r="X877" t="n">
        <v>5.587632706276773</v>
      </c>
      <c r="Y877" t="n">
        <v>1</v>
      </c>
      <c r="Z877" t="n">
        <v>14</v>
      </c>
      <c r="AA877" t="n">
        <v>3</v>
      </c>
      <c r="AB877" t="n">
        <v>11</v>
      </c>
      <c r="AC877" t="n">
        <v>11</v>
      </c>
      <c r="AD877" t="n">
        <v>68160</v>
      </c>
      <c r="AE877" t="n">
        <v>249920</v>
      </c>
      <c r="AF877" t="n">
        <v>9991</v>
      </c>
      <c r="AG877" t="n">
        <v>78</v>
      </c>
      <c r="AH877" t="inlineStr">
        <is>
          <t>PT. GLORIENTA P.H - PPN (PDG)</t>
        </is>
      </c>
      <c r="AI877" t="n">
        <v>691</v>
      </c>
      <c r="AJ877" t="inlineStr">
        <is>
          <t>CLEAN FACE</t>
        </is>
      </c>
      <c r="AK877" t="n">
        <v>21</v>
      </c>
      <c r="AL877" t="inlineStr">
        <is>
          <t>Miss Glam Damar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CLEAN FACE</t>
        </is>
      </c>
      <c r="B878" s="2">
        <f>"8999225912033"</f>
        <v/>
      </c>
      <c r="C878" t="inlineStr">
        <is>
          <t>CLEAN FACE Micellar Water Yuzu &amp; Vit C 100ml</t>
        </is>
      </c>
      <c r="D878" t="inlineStr">
        <is>
          <t>Miss Glam Damar</t>
        </is>
      </c>
      <c r="E878" t="n">
        <v>3</v>
      </c>
      <c r="F878" t="n">
        <v>0.09100000000000001</v>
      </c>
      <c r="G878" t="n">
        <v>0.91</v>
      </c>
      <c r="H878" t="n">
        <v>3</v>
      </c>
      <c r="I878" t="n">
        <v>11</v>
      </c>
      <c r="J878" t="n">
        <v>3</v>
      </c>
      <c r="K878" t="n">
        <v>0</v>
      </c>
      <c r="L878" t="n">
        <v>13441</v>
      </c>
      <c r="M878" t="n">
        <v>17000</v>
      </c>
      <c r="N878" t="n">
        <v>91</v>
      </c>
      <c r="O878" t="n">
        <v>0.91</v>
      </c>
      <c r="P878" t="n">
        <v>1</v>
      </c>
      <c r="Q878" t="n">
        <v>0.07000000000000001</v>
      </c>
      <c r="R878" t="n">
        <v>1</v>
      </c>
      <c r="S878" t="n">
        <v>1547</v>
      </c>
      <c r="T878" t="n">
        <v>10</v>
      </c>
      <c r="U878" t="n">
        <v>11</v>
      </c>
      <c r="V878" t="n">
        <v>30</v>
      </c>
      <c r="W878" t="n">
        <v>3</v>
      </c>
      <c r="X878" t="n">
        <v>32.96703296703296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9991</v>
      </c>
      <c r="AG878" t="n">
        <v>78</v>
      </c>
      <c r="AH878" t="inlineStr">
        <is>
          <t>PT. GLORIENTA P.H - PPN (PDG)</t>
        </is>
      </c>
      <c r="AI878" t="n">
        <v>691</v>
      </c>
      <c r="AJ878" t="inlineStr">
        <is>
          <t>CLEAN FACE</t>
        </is>
      </c>
      <c r="AK878" t="n">
        <v>21</v>
      </c>
      <c r="AL878" t="inlineStr">
        <is>
          <t>Miss Glam Damar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CLEORA BEAUTY</t>
        </is>
      </c>
      <c r="B879" s="2">
        <f>"761373074202"</f>
        <v/>
      </c>
      <c r="C879" t="inlineStr">
        <is>
          <t>CLEORA BEAUTY 30 Seconds Natural Exfoliating Gel 50ml</t>
        </is>
      </c>
      <c r="D879" t="inlineStr">
        <is>
          <t>Miss Glam Damar</t>
        </is>
      </c>
      <c r="E879" t="n">
        <v>0</v>
      </c>
      <c r="F879" t="n">
        <v>0.0273</v>
      </c>
      <c r="G879" t="n">
        <v>0.91</v>
      </c>
      <c r="H879" t="n">
        <v>4</v>
      </c>
      <c r="I879" t="n">
        <v>21</v>
      </c>
      <c r="J879" t="n">
        <v>3</v>
      </c>
      <c r="K879" t="n">
        <v>0</v>
      </c>
      <c r="L879" t="n">
        <v>51990</v>
      </c>
      <c r="M879" t="n">
        <v>66000</v>
      </c>
      <c r="N879" t="n">
        <v>91</v>
      </c>
      <c r="O879" t="n">
        <v>0.91</v>
      </c>
      <c r="P879" t="n">
        <v>1</v>
      </c>
      <c r="Q879" t="n">
        <v>0.03</v>
      </c>
      <c r="R879" t="n">
        <v>1</v>
      </c>
      <c r="S879" t="n">
        <v>1801.8</v>
      </c>
      <c r="T879" t="n">
        <v>20</v>
      </c>
      <c r="U879" t="n">
        <v>21</v>
      </c>
      <c r="V879" t="n">
        <v>30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n">
        <v>0</v>
      </c>
      <c r="AC879" t="n">
        <v>0</v>
      </c>
      <c r="AD879" t="n">
        <v>51990</v>
      </c>
      <c r="AE879" t="n">
        <v>0</v>
      </c>
      <c r="AF879" t="n">
        <v>4304</v>
      </c>
      <c r="AG879" t="n">
        <v>1</v>
      </c>
      <c r="AH879" t="inlineStr">
        <is>
          <t>PT. BERSAMA DISTRIVERSA INDONESIA (DC CIPUTAT)</t>
        </is>
      </c>
      <c r="AI879" t="n">
        <v>531</v>
      </c>
      <c r="AJ879" t="inlineStr">
        <is>
          <t>CLEORA BEAUTY</t>
        </is>
      </c>
      <c r="AK879" t="n">
        <v>21</v>
      </c>
      <c r="AL879" t="inlineStr">
        <is>
          <t>Miss Glam Damar</t>
        </is>
      </c>
      <c r="AM879" t="n">
        <v>3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CLEVIANT</t>
        </is>
      </c>
      <c r="B880" s="2">
        <f>"20300394149"</f>
        <v/>
      </c>
      <c r="C880" t="inlineStr">
        <is>
          <t>CLEVIANT  Hydrating Serum Tint Spice Up 4,5ml</t>
        </is>
      </c>
      <c r="D880" t="inlineStr">
        <is>
          <t>Miss Glam Damar</t>
        </is>
      </c>
      <c r="E880" t="n">
        <v>1</v>
      </c>
      <c r="F880" t="n">
        <v>0.07000000000000001</v>
      </c>
      <c r="G880" t="n">
        <v>1</v>
      </c>
      <c r="H880" t="n">
        <v>4</v>
      </c>
      <c r="I880" t="n">
        <v>21</v>
      </c>
      <c r="J880" t="n">
        <v>1</v>
      </c>
      <c r="K880" t="n">
        <v>0</v>
      </c>
      <c r="L880" t="n">
        <v>79200</v>
      </c>
      <c r="M880" t="n">
        <v>99000</v>
      </c>
      <c r="N880" t="n">
        <v>91</v>
      </c>
      <c r="O880" t="n">
        <v>0.91</v>
      </c>
      <c r="P880" t="n">
        <v>0</v>
      </c>
      <c r="Q880" t="n">
        <v>0.07000000000000001</v>
      </c>
      <c r="R880" t="n">
        <v>1</v>
      </c>
      <c r="S880" t="n">
        <v>6930.000000000001</v>
      </c>
      <c r="T880" t="n">
        <v>21</v>
      </c>
      <c r="U880" t="n">
        <v>22</v>
      </c>
      <c r="V880" t="n">
        <v>30</v>
      </c>
      <c r="W880" t="n">
        <v>3</v>
      </c>
      <c r="X880" t="n">
        <v>14.28571428571428</v>
      </c>
      <c r="Y880" t="n">
        <v>1</v>
      </c>
      <c r="Z880" t="n">
        <v>2</v>
      </c>
      <c r="AA880" t="n">
        <v>1</v>
      </c>
      <c r="AB880" t="n">
        <v>1</v>
      </c>
      <c r="AC880" t="n">
        <v>1</v>
      </c>
      <c r="AD880" t="n">
        <v>79200</v>
      </c>
      <c r="AE880" t="n">
        <v>79200</v>
      </c>
      <c r="AF880" t="n">
        <v>4337</v>
      </c>
      <c r="AG880" t="n">
        <v>1</v>
      </c>
      <c r="AH880" t="inlineStr">
        <is>
          <t>PT. BERSAMA DISTRIVERSA INDONESIA (DC CIPUTAT)</t>
        </is>
      </c>
      <c r="AI880" t="n">
        <v>2266</v>
      </c>
      <c r="AJ880" t="inlineStr">
        <is>
          <t>CLEVIANT</t>
        </is>
      </c>
      <c r="AK880" t="n">
        <v>21</v>
      </c>
      <c r="AL880" t="inlineStr">
        <is>
          <t>Miss Glam Damar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CLEVIANT</t>
        </is>
      </c>
      <c r="B881" s="2">
        <f>"20300393940"</f>
        <v/>
      </c>
      <c r="C881" t="inlineStr">
        <is>
          <t>CLEVIANT Hydrating Serum Tint Blush Crush 4,5ml</t>
        </is>
      </c>
      <c r="D881" t="inlineStr">
        <is>
          <t>Miss Glam Damar</t>
        </is>
      </c>
      <c r="E881" t="n">
        <v>3</v>
      </c>
      <c r="F881" t="n">
        <v>0.05</v>
      </c>
      <c r="G881" t="n">
        <v>1</v>
      </c>
      <c r="H881" t="n">
        <v>4</v>
      </c>
      <c r="I881" t="n">
        <v>21</v>
      </c>
      <c r="J881" t="n">
        <v>1</v>
      </c>
      <c r="K881" t="n">
        <v>0</v>
      </c>
      <c r="L881" t="n">
        <v>79200</v>
      </c>
      <c r="M881" t="n">
        <v>99000</v>
      </c>
      <c r="N881" t="n">
        <v>91</v>
      </c>
      <c r="O881" t="n">
        <v>0.91</v>
      </c>
      <c r="P881" t="n">
        <v>0</v>
      </c>
      <c r="Q881" t="n">
        <v>0.05</v>
      </c>
      <c r="R881" t="n">
        <v>1</v>
      </c>
      <c r="S881" t="n">
        <v>4950</v>
      </c>
      <c r="T881" t="n">
        <v>21</v>
      </c>
      <c r="U881" t="n">
        <v>22</v>
      </c>
      <c r="V881" t="n">
        <v>30</v>
      </c>
      <c r="W881" t="n">
        <v>2</v>
      </c>
      <c r="X881" t="n">
        <v>60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4337</v>
      </c>
      <c r="AG881" t="n">
        <v>1</v>
      </c>
      <c r="AH881" t="inlineStr">
        <is>
          <t>PT. BERSAMA DISTRIVERSA INDONESIA (DC CIPUTAT)</t>
        </is>
      </c>
      <c r="AI881" t="n">
        <v>2266</v>
      </c>
      <c r="AJ881" t="inlineStr">
        <is>
          <t>CLEVIANT</t>
        </is>
      </c>
      <c r="AK881" t="n">
        <v>21</v>
      </c>
      <c r="AL881" t="inlineStr">
        <is>
          <t>Miss Glam Damar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CLEVIANT</t>
        </is>
      </c>
      <c r="B882" s="2">
        <f>"20300394011"</f>
        <v/>
      </c>
      <c r="C882" t="inlineStr">
        <is>
          <t>CLEVIANT Hydrating Serum Tint Dance Partner 4,5ml</t>
        </is>
      </c>
      <c r="D882" t="inlineStr">
        <is>
          <t>Miss Glam Damar</t>
        </is>
      </c>
      <c r="E882" t="n">
        <v>0</v>
      </c>
      <c r="F882" t="n">
        <v>0.06370000000000001</v>
      </c>
      <c r="G882" t="n">
        <v>1.82</v>
      </c>
      <c r="H882" t="n">
        <v>4</v>
      </c>
      <c r="I882" t="n">
        <v>21</v>
      </c>
      <c r="J882" t="n">
        <v>1</v>
      </c>
      <c r="K882" t="n">
        <v>0</v>
      </c>
      <c r="L882" t="n">
        <v>79200</v>
      </c>
      <c r="M882" t="n">
        <v>99000</v>
      </c>
      <c r="N882" t="n">
        <v>91</v>
      </c>
      <c r="O882" t="n">
        <v>0.91</v>
      </c>
      <c r="P882" t="n">
        <v>1</v>
      </c>
      <c r="Q882" t="n">
        <v>0.14</v>
      </c>
      <c r="R882" t="n">
        <v>2</v>
      </c>
      <c r="S882" t="n">
        <v>6306.300000000001</v>
      </c>
      <c r="T882" t="n">
        <v>38</v>
      </c>
      <c r="U882" t="n">
        <v>39</v>
      </c>
      <c r="V882" t="n">
        <v>30</v>
      </c>
      <c r="W882" t="n">
        <v>2</v>
      </c>
      <c r="X882" t="n">
        <v>0</v>
      </c>
      <c r="Y882" t="n">
        <v>1</v>
      </c>
      <c r="Z882" t="n">
        <v>2</v>
      </c>
      <c r="AA882" t="n">
        <v>2</v>
      </c>
      <c r="AB882" t="n">
        <v>0</v>
      </c>
      <c r="AC882" t="n">
        <v>0</v>
      </c>
      <c r="AD882" t="n">
        <v>158400</v>
      </c>
      <c r="AE882" t="n">
        <v>0</v>
      </c>
      <c r="AF882" t="n">
        <v>4337</v>
      </c>
      <c r="AG882" t="n">
        <v>1</v>
      </c>
      <c r="AH882" t="inlineStr">
        <is>
          <t>PT. BERSAMA DISTRIVERSA INDONESIA (DC CIPUTAT)</t>
        </is>
      </c>
      <c r="AI882" t="n">
        <v>2266</v>
      </c>
      <c r="AJ882" t="inlineStr">
        <is>
          <t>CLEVIANT</t>
        </is>
      </c>
      <c r="AK882" t="n">
        <v>21</v>
      </c>
      <c r="AL882" t="inlineStr">
        <is>
          <t>Miss Glam Damar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CLEVIANT</t>
        </is>
      </c>
      <c r="B883" s="2">
        <f>"203002182325"</f>
        <v/>
      </c>
      <c r="C883" t="inlineStr">
        <is>
          <t>CLEVIANT Juicy Lip Pudding Coral Peach 8gr</t>
        </is>
      </c>
      <c r="D883" t="inlineStr">
        <is>
          <t>Miss Glam Damar</t>
        </is>
      </c>
      <c r="E883" t="n">
        <v>0</v>
      </c>
      <c r="F883" t="n">
        <v>0.0182</v>
      </c>
      <c r="G883" t="n">
        <v>0.91</v>
      </c>
      <c r="H883" t="n">
        <v>4</v>
      </c>
      <c r="I883" t="n">
        <v>21</v>
      </c>
      <c r="J883" t="n">
        <v>1</v>
      </c>
      <c r="K883" t="n">
        <v>0</v>
      </c>
      <c r="L883" t="n">
        <v>95954</v>
      </c>
      <c r="M883" t="n">
        <v>119000</v>
      </c>
      <c r="N883" t="n">
        <v>91</v>
      </c>
      <c r="O883" t="n">
        <v>0.91</v>
      </c>
      <c r="P883" t="n">
        <v>1</v>
      </c>
      <c r="Q883" t="n">
        <v>0.03</v>
      </c>
      <c r="R883" t="n">
        <v>1</v>
      </c>
      <c r="S883" t="n">
        <v>2165.8</v>
      </c>
      <c r="T883" t="n">
        <v>20</v>
      </c>
      <c r="U883" t="n">
        <v>21</v>
      </c>
      <c r="V883" t="n">
        <v>30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n">
        <v>0</v>
      </c>
      <c r="AC883" t="n">
        <v>0</v>
      </c>
      <c r="AD883" t="n">
        <v>95954</v>
      </c>
      <c r="AE883" t="n">
        <v>0</v>
      </c>
      <c r="AF883" t="n">
        <v>4337</v>
      </c>
      <c r="AG883" t="n">
        <v>1</v>
      </c>
      <c r="AH883" t="inlineStr">
        <is>
          <t>PT. BERSAMA DISTRIVERSA INDONESIA (DC CIPUTAT)</t>
        </is>
      </c>
      <c r="AI883" t="n">
        <v>2266</v>
      </c>
      <c r="AJ883" t="inlineStr">
        <is>
          <t>CLEVIANT</t>
        </is>
      </c>
      <c r="AK883" t="n">
        <v>21</v>
      </c>
      <c r="AL883" t="inlineStr">
        <is>
          <t>Miss Glam Damar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CLEVIANT</t>
        </is>
      </c>
      <c r="B884" s="2">
        <f>"203002182411"</f>
        <v/>
      </c>
      <c r="C884" t="inlineStr">
        <is>
          <t>CLEVIANT Juicy Lip Pudding Pink Cherry 8gr</t>
        </is>
      </c>
      <c r="D884" t="inlineStr">
        <is>
          <t>Miss Glam Damar</t>
        </is>
      </c>
      <c r="E884" t="n">
        <v>2</v>
      </c>
      <c r="F884" t="n">
        <v>0.0273</v>
      </c>
      <c r="G884" t="n">
        <v>0.91</v>
      </c>
      <c r="H884" t="n">
        <v>4</v>
      </c>
      <c r="I884" t="n">
        <v>21</v>
      </c>
      <c r="J884" t="n">
        <v>1</v>
      </c>
      <c r="K884" t="n">
        <v>0</v>
      </c>
      <c r="L884" t="n">
        <v>95200</v>
      </c>
      <c r="M884" t="n">
        <v>119000</v>
      </c>
      <c r="N884" t="n">
        <v>91</v>
      </c>
      <c r="O884" t="n">
        <v>0.91</v>
      </c>
      <c r="P884" t="n">
        <v>1</v>
      </c>
      <c r="Q884" t="n">
        <v>0.03</v>
      </c>
      <c r="R884" t="n">
        <v>1</v>
      </c>
      <c r="S884" t="n">
        <v>3248.7</v>
      </c>
      <c r="T884" t="n">
        <v>20</v>
      </c>
      <c r="U884" t="n">
        <v>21</v>
      </c>
      <c r="V884" t="n">
        <v>30</v>
      </c>
      <c r="W884" t="n">
        <v>1</v>
      </c>
      <c r="X884" t="n">
        <v>73.26007326007326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4337</v>
      </c>
      <c r="AG884" t="n">
        <v>1</v>
      </c>
      <c r="AH884" t="inlineStr">
        <is>
          <t>PT. BERSAMA DISTRIVERSA INDONESIA (DC CIPUTAT)</t>
        </is>
      </c>
      <c r="AI884" t="n">
        <v>2266</v>
      </c>
      <c r="AJ884" t="inlineStr">
        <is>
          <t>CLEVIANT</t>
        </is>
      </c>
      <c r="AK884" t="n">
        <v>21</v>
      </c>
      <c r="AL884" t="inlineStr">
        <is>
          <t>Miss Glam Damar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CLEVIANT</t>
        </is>
      </c>
      <c r="B885" s="2">
        <f>"20300442721"</f>
        <v/>
      </c>
      <c r="C885" t="inlineStr">
        <is>
          <t>CLEVIANT Plumpy Lip Glass Drama Queen 5,4ml</t>
        </is>
      </c>
      <c r="D885" t="inlineStr">
        <is>
          <t>Miss Glam Damar</t>
        </is>
      </c>
      <c r="E885" t="n">
        <v>4</v>
      </c>
      <c r="F885" t="n">
        <v>0.0182</v>
      </c>
      <c r="G885" t="n">
        <v>0.91</v>
      </c>
      <c r="H885" t="n">
        <v>4</v>
      </c>
      <c r="I885" t="n">
        <v>21</v>
      </c>
      <c r="J885" t="n">
        <v>1</v>
      </c>
      <c r="K885" t="n">
        <v>0</v>
      </c>
      <c r="L885" t="n">
        <v>104018</v>
      </c>
      <c r="M885" t="n">
        <v>129000</v>
      </c>
      <c r="N885" t="n">
        <v>91</v>
      </c>
      <c r="O885" t="n">
        <v>0.91</v>
      </c>
      <c r="P885" t="n">
        <v>1</v>
      </c>
      <c r="Q885" t="n">
        <v>0.07000000000000001</v>
      </c>
      <c r="R885" t="n">
        <v>1</v>
      </c>
      <c r="S885" t="n">
        <v>2347.8</v>
      </c>
      <c r="T885" t="n">
        <v>20</v>
      </c>
      <c r="U885" t="n">
        <v>21</v>
      </c>
      <c r="V885" t="n">
        <v>30</v>
      </c>
      <c r="W885" t="n">
        <v>1</v>
      </c>
      <c r="X885" t="n">
        <v>219.7802197802198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4337</v>
      </c>
      <c r="AG885" t="n">
        <v>1</v>
      </c>
      <c r="AH885" t="inlineStr">
        <is>
          <t>PT. BERSAMA DISTRIVERSA INDONESIA (DC CIPUTAT)</t>
        </is>
      </c>
      <c r="AI885" t="n">
        <v>2266</v>
      </c>
      <c r="AJ885" t="inlineStr">
        <is>
          <t>CLEVIANT</t>
        </is>
      </c>
      <c r="AK885" t="n">
        <v>21</v>
      </c>
      <c r="AL885" t="inlineStr">
        <is>
          <t>Miss Glam Damar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CLOSEUP</t>
        </is>
      </c>
      <c r="B886" s="2">
        <f>"8999999586706"</f>
        <v/>
      </c>
      <c r="C886" t="inlineStr">
        <is>
          <t>CLOSEUP Complete Fresh Protection Multifitamin 100gr</t>
        </is>
      </c>
      <c r="D886" t="inlineStr">
        <is>
          <t>Miss Glam Damar</t>
        </is>
      </c>
      <c r="E886" t="n">
        <v>11</v>
      </c>
      <c r="F886" t="n">
        <v>0.5733</v>
      </c>
      <c r="G886" t="n">
        <v>1.82</v>
      </c>
      <c r="H886" t="n">
        <v>3</v>
      </c>
      <c r="I886" t="n">
        <v>5</v>
      </c>
      <c r="J886" t="n">
        <v>3</v>
      </c>
      <c r="K886" t="n">
        <v>0</v>
      </c>
      <c r="L886" t="n">
        <v>14363</v>
      </c>
      <c r="M886" t="n">
        <v>17000</v>
      </c>
      <c r="N886" t="n">
        <v>91</v>
      </c>
      <c r="O886" t="n">
        <v>0.91</v>
      </c>
      <c r="P886" t="n">
        <v>1</v>
      </c>
      <c r="Q886" t="n">
        <v>0.61</v>
      </c>
      <c r="R886" t="n">
        <v>4</v>
      </c>
      <c r="S886" t="n">
        <v>9746.1</v>
      </c>
      <c r="T886" t="n">
        <v>8</v>
      </c>
      <c r="U886" t="n">
        <v>10</v>
      </c>
      <c r="V886" t="n">
        <v>30</v>
      </c>
      <c r="W886" t="n">
        <v>18</v>
      </c>
      <c r="X886" t="n">
        <v>19.1871620443049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1533</v>
      </c>
      <c r="AG886" t="n">
        <v>361</v>
      </c>
      <c r="AH886" t="inlineStr">
        <is>
          <t>CV. SERBA SERBI - PPN (PDG)</t>
        </is>
      </c>
      <c r="AI886" t="n">
        <v>1826</v>
      </c>
      <c r="AJ886" t="inlineStr">
        <is>
          <t>CLOSEUP</t>
        </is>
      </c>
      <c r="AK886" t="n">
        <v>21</v>
      </c>
      <c r="AL886" t="inlineStr">
        <is>
          <t>Miss Glam Damar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CLOSEUP</t>
        </is>
      </c>
      <c r="B887" s="2">
        <f>"8999999519957"</f>
        <v/>
      </c>
      <c r="C887" t="inlineStr">
        <is>
          <t>CLOSEUP White Attraction Lemon 100gr</t>
        </is>
      </c>
      <c r="D887" t="inlineStr">
        <is>
          <t>Miss Glam Damar</t>
        </is>
      </c>
      <c r="E887" t="n">
        <v>6</v>
      </c>
      <c r="F887" t="n">
        <v>0.2002</v>
      </c>
      <c r="G887" t="n">
        <v>1.82</v>
      </c>
      <c r="H887" t="n">
        <v>3</v>
      </c>
      <c r="I887" t="n">
        <v>5</v>
      </c>
      <c r="J887" t="n">
        <v>3</v>
      </c>
      <c r="K887" t="n">
        <v>0</v>
      </c>
      <c r="L887" t="n">
        <v>18701</v>
      </c>
      <c r="M887" t="n">
        <v>22500</v>
      </c>
      <c r="N887" t="n">
        <v>91</v>
      </c>
      <c r="O887" t="n">
        <v>0.91</v>
      </c>
      <c r="P887" t="n">
        <v>1</v>
      </c>
      <c r="Q887" t="n">
        <v>0.71</v>
      </c>
      <c r="R887" t="n">
        <v>4</v>
      </c>
      <c r="S887" t="n">
        <v>4504.5</v>
      </c>
      <c r="T887" t="n">
        <v>9</v>
      </c>
      <c r="U887" t="n">
        <v>10</v>
      </c>
      <c r="V887" t="n">
        <v>30</v>
      </c>
      <c r="W887" t="n">
        <v>7</v>
      </c>
      <c r="X887" t="n">
        <v>29.97002997002997</v>
      </c>
      <c r="Y887" t="n">
        <v>1</v>
      </c>
      <c r="Z887" t="n">
        <v>1</v>
      </c>
      <c r="AA887" t="n">
        <v>0</v>
      </c>
      <c r="AB887" t="n">
        <v>1</v>
      </c>
      <c r="AC887" t="n">
        <v>3</v>
      </c>
      <c r="AD887" t="n">
        <v>0</v>
      </c>
      <c r="AE887" t="n">
        <v>56103</v>
      </c>
      <c r="AF887" t="n">
        <v>1533</v>
      </c>
      <c r="AG887" t="n">
        <v>361</v>
      </c>
      <c r="AH887" t="inlineStr">
        <is>
          <t>CV. SERBA SERBI - PPN (PDG)</t>
        </is>
      </c>
      <c r="AI887" t="n">
        <v>1826</v>
      </c>
      <c r="AJ887" t="inlineStr">
        <is>
          <t>CLOSEUP</t>
        </is>
      </c>
      <c r="AK887" t="n">
        <v>21</v>
      </c>
      <c r="AL887" t="inlineStr">
        <is>
          <t>Miss Glam Damar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COLGATE</t>
        </is>
      </c>
      <c r="B888" s="2">
        <f>"6920354815157"</f>
        <v/>
      </c>
      <c r="C888" t="inlineStr">
        <is>
          <t>COLGATE Optic White Exfoliating Mineral 100gr</t>
        </is>
      </c>
      <c r="D888" t="inlineStr">
        <is>
          <t>Miss Glam Damar</t>
        </is>
      </c>
      <c r="E888" t="n">
        <v>2</v>
      </c>
      <c r="F888" t="n">
        <v>0.1365</v>
      </c>
      <c r="G888" t="n">
        <v>1.82</v>
      </c>
      <c r="H888" t="n">
        <v>3</v>
      </c>
      <c r="I888" t="n">
        <v>7</v>
      </c>
      <c r="J888" t="n">
        <v>3</v>
      </c>
      <c r="K888" t="n">
        <v>0</v>
      </c>
      <c r="L888" t="n">
        <v>38839</v>
      </c>
      <c r="M888" t="n">
        <v>46500</v>
      </c>
      <c r="N888" t="n">
        <v>91</v>
      </c>
      <c r="O888" t="n">
        <v>0.91</v>
      </c>
      <c r="P888" t="n">
        <v>1</v>
      </c>
      <c r="Q888" t="n">
        <v>0.15</v>
      </c>
      <c r="R888" t="n">
        <v>2</v>
      </c>
      <c r="S888" t="n">
        <v>6347.250000000001</v>
      </c>
      <c r="T888" t="n">
        <v>13</v>
      </c>
      <c r="U888" t="n">
        <v>14</v>
      </c>
      <c r="V888" t="n">
        <v>30</v>
      </c>
      <c r="W888" t="n">
        <v>5</v>
      </c>
      <c r="X888" t="n">
        <v>14.65201465201465</v>
      </c>
      <c r="Y888" t="n">
        <v>1</v>
      </c>
      <c r="Z888" t="n">
        <v>3</v>
      </c>
      <c r="AA888" t="n">
        <v>0</v>
      </c>
      <c r="AB888" t="n">
        <v>3</v>
      </c>
      <c r="AC888" t="n">
        <v>3</v>
      </c>
      <c r="AD888" t="n">
        <v>0</v>
      </c>
      <c r="AE888" t="n">
        <v>116517</v>
      </c>
      <c r="AF888" t="n">
        <v>13234</v>
      </c>
      <c r="AG888" t="n">
        <v>2879</v>
      </c>
      <c r="AH888" t="inlineStr">
        <is>
          <t>PT. TIGA RAKSA  (PDG)</t>
        </is>
      </c>
      <c r="AI888" t="n">
        <v>1760</v>
      </c>
      <c r="AJ888" t="inlineStr">
        <is>
          <t>COLGATE</t>
        </is>
      </c>
      <c r="AK888" t="n">
        <v>21</v>
      </c>
      <c r="AL888" t="inlineStr">
        <is>
          <t>Miss Glam Damar</t>
        </is>
      </c>
      <c r="AM888" t="n">
        <v>5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COLGATE</t>
        </is>
      </c>
      <c r="B889" s="2">
        <f>"6920354824265"</f>
        <v/>
      </c>
      <c r="C889" t="inlineStr">
        <is>
          <t>COLGATE Optic White From Jeju 100gr</t>
        </is>
      </c>
      <c r="D889" t="inlineStr">
        <is>
          <t>Miss Glam Damar</t>
        </is>
      </c>
      <c r="E889" t="n">
        <v>9</v>
      </c>
      <c r="F889" t="n">
        <v>0.22</v>
      </c>
      <c r="G889" t="n">
        <v>2</v>
      </c>
      <c r="H889" t="n">
        <v>3</v>
      </c>
      <c r="I889" t="n">
        <v>7</v>
      </c>
      <c r="J889" t="n">
        <v>3</v>
      </c>
      <c r="K889" t="n">
        <v>0</v>
      </c>
      <c r="L889" t="n">
        <v>39036</v>
      </c>
      <c r="M889" t="n">
        <v>46500</v>
      </c>
      <c r="N889" t="n">
        <v>91</v>
      </c>
      <c r="O889" t="n">
        <v>0.91</v>
      </c>
      <c r="P889" t="n">
        <v>0</v>
      </c>
      <c r="Q889" t="n">
        <v>0.22</v>
      </c>
      <c r="R889" t="n">
        <v>2</v>
      </c>
      <c r="S889" t="n">
        <v>10230</v>
      </c>
      <c r="T889" t="n">
        <v>14</v>
      </c>
      <c r="U889" t="n">
        <v>15</v>
      </c>
      <c r="V889" t="n">
        <v>30</v>
      </c>
      <c r="W889" t="n">
        <v>7</v>
      </c>
      <c r="X889" t="n">
        <v>40.90909090909091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13234</v>
      </c>
      <c r="AG889" t="n">
        <v>2879</v>
      </c>
      <c r="AH889" t="inlineStr">
        <is>
          <t>PT. TIGA RAKSA  (PDG)</t>
        </is>
      </c>
      <c r="AI889" t="n">
        <v>1760</v>
      </c>
      <c r="AJ889" t="inlineStr">
        <is>
          <t>COLGATE</t>
        </is>
      </c>
      <c r="AK889" t="n">
        <v>21</v>
      </c>
      <c r="AL889" t="inlineStr">
        <is>
          <t>Miss Glam Damar</t>
        </is>
      </c>
      <c r="AM889" t="n">
        <v>5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COLGATE</t>
        </is>
      </c>
      <c r="B890" s="2">
        <f>"6920354811852"</f>
        <v/>
      </c>
      <c r="C890" t="inlineStr">
        <is>
          <t>COLGATE Optic White Mint 100gr</t>
        </is>
      </c>
      <c r="D890" t="inlineStr">
        <is>
          <t>Miss Glam Damar</t>
        </is>
      </c>
      <c r="E890" t="n">
        <v>3</v>
      </c>
      <c r="F890" t="n">
        <v>0.1729</v>
      </c>
      <c r="G890" t="n">
        <v>0.91</v>
      </c>
      <c r="H890" t="n">
        <v>3</v>
      </c>
      <c r="I890" t="n">
        <v>7</v>
      </c>
      <c r="J890" t="n">
        <v>3</v>
      </c>
      <c r="K890" t="n">
        <v>0</v>
      </c>
      <c r="L890" t="n">
        <v>38839</v>
      </c>
      <c r="M890" t="n">
        <v>50000</v>
      </c>
      <c r="N890" t="n">
        <v>91</v>
      </c>
      <c r="O890" t="n">
        <v>0.91</v>
      </c>
      <c r="P890" t="n">
        <v>1</v>
      </c>
      <c r="Q890" t="n">
        <v>0.14</v>
      </c>
      <c r="R890" t="n">
        <v>1</v>
      </c>
      <c r="S890" t="n">
        <v>8645</v>
      </c>
      <c r="T890" t="n">
        <v>6</v>
      </c>
      <c r="U890" t="n">
        <v>7</v>
      </c>
      <c r="V890" t="n">
        <v>30</v>
      </c>
      <c r="W890" t="n">
        <v>6</v>
      </c>
      <c r="X890" t="n">
        <v>17.35106998264893</v>
      </c>
      <c r="Y890" t="n">
        <v>1</v>
      </c>
      <c r="Z890" t="n">
        <v>3</v>
      </c>
      <c r="AA890" t="n">
        <v>0</v>
      </c>
      <c r="AB890" t="n">
        <v>3</v>
      </c>
      <c r="AC890" t="n">
        <v>3</v>
      </c>
      <c r="AD890" t="n">
        <v>0</v>
      </c>
      <c r="AE890" t="n">
        <v>116517</v>
      </c>
      <c r="AF890" t="n">
        <v>13234</v>
      </c>
      <c r="AG890" t="n">
        <v>2879</v>
      </c>
      <c r="AH890" t="inlineStr">
        <is>
          <t>PT. TIGA RAKSA  (PDG)</t>
        </is>
      </c>
      <c r="AI890" t="n">
        <v>1760</v>
      </c>
      <c r="AJ890" t="inlineStr">
        <is>
          <t>COLGATE</t>
        </is>
      </c>
      <c r="AK890" t="n">
        <v>21</v>
      </c>
      <c r="AL890" t="inlineStr">
        <is>
          <t>Miss Glam Damar</t>
        </is>
      </c>
      <c r="AM890" t="n">
        <v>5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COLGATE</t>
        </is>
      </c>
      <c r="B891" s="2">
        <f>"9556031312434"</f>
        <v/>
      </c>
      <c r="C891" t="inlineStr">
        <is>
          <t>COLGATE Super Flexi Charcoal Soft Sikat Gigi Buy 2 Get 1</t>
        </is>
      </c>
      <c r="D891" t="inlineStr">
        <is>
          <t>Miss Glam Damar</t>
        </is>
      </c>
      <c r="E891" t="n">
        <v>3</v>
      </c>
      <c r="F891" t="n">
        <v>0.1183</v>
      </c>
      <c r="G891" t="n">
        <v>1.82</v>
      </c>
      <c r="H891" t="n">
        <v>3</v>
      </c>
      <c r="I891" t="n">
        <v>7</v>
      </c>
      <c r="J891" t="n">
        <v>3</v>
      </c>
      <c r="K891" t="n">
        <v>0</v>
      </c>
      <c r="L891" t="n">
        <v>18599</v>
      </c>
      <c r="M891" t="n">
        <v>22500</v>
      </c>
      <c r="N891" t="n">
        <v>91</v>
      </c>
      <c r="O891" t="n">
        <v>0.91</v>
      </c>
      <c r="P891" t="n">
        <v>1</v>
      </c>
      <c r="Q891" t="n">
        <v>0.32</v>
      </c>
      <c r="R891" t="n">
        <v>2</v>
      </c>
      <c r="S891" t="n">
        <v>2661.75</v>
      </c>
      <c r="T891" t="n">
        <v>13</v>
      </c>
      <c r="U891" t="n">
        <v>14</v>
      </c>
      <c r="V891" t="n">
        <v>30</v>
      </c>
      <c r="W891" t="n">
        <v>4</v>
      </c>
      <c r="X891" t="n">
        <v>25.3592561284869</v>
      </c>
      <c r="Y891" t="n">
        <v>1</v>
      </c>
      <c r="Z891" t="n">
        <v>1</v>
      </c>
      <c r="AA891" t="n">
        <v>0</v>
      </c>
      <c r="AB891" t="n">
        <v>1</v>
      </c>
      <c r="AC891" t="n">
        <v>3</v>
      </c>
      <c r="AD891" t="n">
        <v>0</v>
      </c>
      <c r="AE891" t="n">
        <v>55797</v>
      </c>
      <c r="AF891" t="n">
        <v>13234</v>
      </c>
      <c r="AG891" t="n">
        <v>2879</v>
      </c>
      <c r="AH891" t="inlineStr">
        <is>
          <t>PT. TIGA RAKSA  (PDG)</t>
        </is>
      </c>
      <c r="AI891" t="n">
        <v>1760</v>
      </c>
      <c r="AJ891" t="inlineStr">
        <is>
          <t>COLGATE</t>
        </is>
      </c>
      <c r="AK891" t="n">
        <v>21</v>
      </c>
      <c r="AL891" t="inlineStr">
        <is>
          <t>Miss Glam Damar</t>
        </is>
      </c>
      <c r="AM891" t="n">
        <v>5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COOL-VITA</t>
        </is>
      </c>
      <c r="B892" s="2">
        <f>"60100301627"</f>
        <v/>
      </c>
      <c r="C892" t="inlineStr">
        <is>
          <t>COOL-VITA Collagen Gummy Pouch 10pcs</t>
        </is>
      </c>
      <c r="D892" t="inlineStr">
        <is>
          <t>Miss Glam Damar</t>
        </is>
      </c>
      <c r="E892" t="n">
        <v>0</v>
      </c>
      <c r="F892" t="n">
        <v>0.0182</v>
      </c>
      <c r="G892" t="n">
        <v>0.91</v>
      </c>
      <c r="H892" t="n">
        <v>7</v>
      </c>
      <c r="I892" t="n">
        <v>16</v>
      </c>
      <c r="J892" t="n">
        <v>1</v>
      </c>
      <c r="K892" t="n">
        <v>0</v>
      </c>
      <c r="L892" t="n">
        <v>22344</v>
      </c>
      <c r="M892" t="n">
        <v>40000</v>
      </c>
      <c r="N892" t="n">
        <v>91</v>
      </c>
      <c r="O892" t="n">
        <v>0.91</v>
      </c>
      <c r="P892" t="n">
        <v>1</v>
      </c>
      <c r="Q892" t="n">
        <v>0.1</v>
      </c>
      <c r="R892" t="n">
        <v>3</v>
      </c>
      <c r="S892" t="n">
        <v>728</v>
      </c>
      <c r="T892" t="n">
        <v>15</v>
      </c>
      <c r="U892" t="n">
        <v>16</v>
      </c>
      <c r="V892" t="n">
        <v>30</v>
      </c>
      <c r="W892" t="n">
        <v>1</v>
      </c>
      <c r="X892" t="n">
        <v>0</v>
      </c>
      <c r="Y892" t="n">
        <v>1</v>
      </c>
      <c r="Z892" t="n">
        <v>1</v>
      </c>
      <c r="AA892" t="n">
        <v>1</v>
      </c>
      <c r="AB892" t="n">
        <v>0</v>
      </c>
      <c r="AC892" t="n">
        <v>0</v>
      </c>
      <c r="AD892" t="n">
        <v>22344</v>
      </c>
      <c r="AE892" t="n">
        <v>0</v>
      </c>
      <c r="AF892" t="n">
        <v>11897</v>
      </c>
      <c r="AG892" t="n">
        <v>2852</v>
      </c>
      <c r="AH892" t="inlineStr">
        <is>
          <t>PT. PARIT PADANG GLOBAL (PDG)</t>
        </is>
      </c>
      <c r="AI892" t="n">
        <v>1641</v>
      </c>
      <c r="AJ892" t="inlineStr">
        <is>
          <t>COOL-VITA</t>
        </is>
      </c>
      <c r="AK892" t="n">
        <v>21</v>
      </c>
      <c r="AL892" t="inlineStr">
        <is>
          <t>Miss Glam Damar</t>
        </is>
      </c>
      <c r="AM892" t="n">
        <v>3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COOL-VITA</t>
        </is>
      </c>
      <c r="B893" s="2">
        <f>"769503011271"</f>
        <v/>
      </c>
      <c r="C893" t="inlineStr">
        <is>
          <t>COOL-VITA Collagen Minuman Rasa Apel,Persik  dan Blueberry (7pcs) 315ml</t>
        </is>
      </c>
      <c r="D893" t="inlineStr">
        <is>
          <t>Miss Glam Damar</t>
        </is>
      </c>
      <c r="E893" t="n">
        <v>2</v>
      </c>
      <c r="F893" t="n">
        <v>0.182</v>
      </c>
      <c r="G893" t="n">
        <v>1.82</v>
      </c>
      <c r="H893" t="n">
        <v>7</v>
      </c>
      <c r="I893" t="n">
        <v>16</v>
      </c>
      <c r="J893" t="n">
        <v>3</v>
      </c>
      <c r="K893" t="n">
        <v>0</v>
      </c>
      <c r="L893" t="n">
        <v>55398</v>
      </c>
      <c r="M893" t="n">
        <v>67500</v>
      </c>
      <c r="N893" t="n">
        <v>91</v>
      </c>
      <c r="O893" t="n">
        <v>0.91</v>
      </c>
      <c r="P893" t="n">
        <v>1</v>
      </c>
      <c r="Q893" t="n">
        <v>0.08</v>
      </c>
      <c r="R893" t="n">
        <v>1</v>
      </c>
      <c r="S893" t="n">
        <v>12285</v>
      </c>
      <c r="T893" t="n">
        <v>28</v>
      </c>
      <c r="U893" t="n">
        <v>30</v>
      </c>
      <c r="V893" t="n">
        <v>30</v>
      </c>
      <c r="W893" t="n">
        <v>6</v>
      </c>
      <c r="X893" t="n">
        <v>10.98901098901099</v>
      </c>
      <c r="Y893" t="n">
        <v>1</v>
      </c>
      <c r="Z893" t="n">
        <v>4</v>
      </c>
      <c r="AA893" t="n">
        <v>1</v>
      </c>
      <c r="AB893" t="n">
        <v>3</v>
      </c>
      <c r="AC893" t="n">
        <v>3</v>
      </c>
      <c r="AD893" t="n">
        <v>55398</v>
      </c>
      <c r="AE893" t="n">
        <v>166194</v>
      </c>
      <c r="AF893" t="n">
        <v>11897</v>
      </c>
      <c r="AG893" t="n">
        <v>2852</v>
      </c>
      <c r="AH893" t="inlineStr">
        <is>
          <t>PT. PARIT PADANG GLOBAL (PDG)</t>
        </is>
      </c>
      <c r="AI893" t="n">
        <v>1641</v>
      </c>
      <c r="AJ893" t="inlineStr">
        <is>
          <t>COOL-VITA</t>
        </is>
      </c>
      <c r="AK893" t="n">
        <v>21</v>
      </c>
      <c r="AL893" t="inlineStr">
        <is>
          <t>Miss Glam Damar</t>
        </is>
      </c>
      <c r="AM893" t="n">
        <v>3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COOL-VITA</t>
        </is>
      </c>
      <c r="B894" s="2">
        <f>"60100301511"</f>
        <v/>
      </c>
      <c r="C894" t="inlineStr">
        <is>
          <t>COOL-VITA Dha Gummy Pouch 10pcs</t>
        </is>
      </c>
      <c r="D894" t="inlineStr">
        <is>
          <t>Miss Glam Damar</t>
        </is>
      </c>
      <c r="E894" t="n">
        <v>5</v>
      </c>
      <c r="F894" t="n">
        <v>0.1092</v>
      </c>
      <c r="G894" t="n">
        <v>1.82</v>
      </c>
      <c r="H894" t="n">
        <v>7</v>
      </c>
      <c r="I894" t="n">
        <v>16</v>
      </c>
      <c r="J894" t="n">
        <v>1</v>
      </c>
      <c r="K894" t="n">
        <v>0</v>
      </c>
      <c r="L894" t="n">
        <v>23142</v>
      </c>
      <c r="M894" t="n">
        <v>40000</v>
      </c>
      <c r="N894" t="n">
        <v>91</v>
      </c>
      <c r="O894" t="n">
        <v>0.91</v>
      </c>
      <c r="P894" t="n">
        <v>1</v>
      </c>
      <c r="Q894" t="n">
        <v>0.24</v>
      </c>
      <c r="R894" t="n">
        <v>2</v>
      </c>
      <c r="S894" t="n">
        <v>4368</v>
      </c>
      <c r="T894" t="n">
        <v>29</v>
      </c>
      <c r="U894" t="n">
        <v>30</v>
      </c>
      <c r="V894" t="n">
        <v>30</v>
      </c>
      <c r="W894" t="n">
        <v>4</v>
      </c>
      <c r="X894" t="n">
        <v>45.78754578754579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11897</v>
      </c>
      <c r="AG894" t="n">
        <v>2852</v>
      </c>
      <c r="AH894" t="inlineStr">
        <is>
          <t>PT. PARIT PADANG GLOBAL (PDG)</t>
        </is>
      </c>
      <c r="AI894" t="n">
        <v>1641</v>
      </c>
      <c r="AJ894" t="inlineStr">
        <is>
          <t>COOL-VITA</t>
        </is>
      </c>
      <c r="AK894" t="n">
        <v>21</v>
      </c>
      <c r="AL894" t="inlineStr">
        <is>
          <t>Miss Glam Damar</t>
        </is>
      </c>
      <c r="AM894" t="n">
        <v>3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COOL-VITA</t>
        </is>
      </c>
      <c r="B895" s="2">
        <f>"769503010045"</f>
        <v/>
      </c>
      <c r="C895" t="inlineStr">
        <is>
          <t>COOL-VITA Healthy Skin Collagen+Vitamin C Collagen 500mg+ Vitamin c 100mg</t>
        </is>
      </c>
      <c r="D895" t="inlineStr">
        <is>
          <t>Miss Glam Damar</t>
        </is>
      </c>
      <c r="E895" t="n">
        <v>20</v>
      </c>
      <c r="F895" t="n">
        <v>0.04550000000000001</v>
      </c>
      <c r="G895" t="n">
        <v>0.91</v>
      </c>
      <c r="H895" t="n">
        <v>7</v>
      </c>
      <c r="I895" t="n">
        <v>16</v>
      </c>
      <c r="J895" t="n">
        <v>3</v>
      </c>
      <c r="K895" t="n">
        <v>0</v>
      </c>
      <c r="L895" t="n">
        <v>17952</v>
      </c>
      <c r="M895" t="n">
        <v>20000</v>
      </c>
      <c r="N895" t="n">
        <v>91</v>
      </c>
      <c r="O895" t="n">
        <v>0.91</v>
      </c>
      <c r="P895" t="n">
        <v>1</v>
      </c>
      <c r="Q895" t="n">
        <v>0.27</v>
      </c>
      <c r="R895" t="n">
        <v>6</v>
      </c>
      <c r="S895" t="n">
        <v>910.0000000000001</v>
      </c>
      <c r="T895" t="n">
        <v>15</v>
      </c>
      <c r="U895" t="n">
        <v>16</v>
      </c>
      <c r="V895" t="n">
        <v>30</v>
      </c>
      <c r="W895" t="n">
        <v>2</v>
      </c>
      <c r="X895" t="n">
        <v>439.5604395604395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11897</v>
      </c>
      <c r="AG895" t="n">
        <v>2852</v>
      </c>
      <c r="AH895" t="inlineStr">
        <is>
          <t>PT. PARIT PADANG GLOBAL (PDG)</t>
        </is>
      </c>
      <c r="AI895" t="n">
        <v>1641</v>
      </c>
      <c r="AJ895" t="inlineStr">
        <is>
          <t>COOL-VITA</t>
        </is>
      </c>
      <c r="AK895" t="n">
        <v>21</v>
      </c>
      <c r="AL895" t="inlineStr">
        <is>
          <t>Miss Glam Damar</t>
        </is>
      </c>
      <c r="AM895" t="n">
        <v>3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COOL-VITA</t>
        </is>
      </c>
      <c r="B896" s="2">
        <f>"8030306611"</f>
        <v/>
      </c>
      <c r="C896" t="inlineStr">
        <is>
          <t>COOL-VITA MCT Coffee Capsule Rasa American Latte 2 Capsule</t>
        </is>
      </c>
      <c r="D896" t="inlineStr">
        <is>
          <t>Miss Glam Damar</t>
        </is>
      </c>
      <c r="E896" t="n">
        <v>2</v>
      </c>
      <c r="F896" t="n">
        <v>0.02</v>
      </c>
      <c r="G896" t="n">
        <v>1</v>
      </c>
      <c r="H896" t="n">
        <v>7</v>
      </c>
      <c r="I896" t="n">
        <v>16</v>
      </c>
      <c r="J896" t="n">
        <v>1</v>
      </c>
      <c r="K896" t="n">
        <v>0</v>
      </c>
      <c r="L896" t="n">
        <v>23204</v>
      </c>
      <c r="M896" t="n">
        <v>40000</v>
      </c>
      <c r="N896" t="n">
        <v>91</v>
      </c>
      <c r="O896" t="n">
        <v>0.91</v>
      </c>
      <c r="P896" t="n">
        <v>0</v>
      </c>
      <c r="Q896" t="n">
        <v>0.02</v>
      </c>
      <c r="R896" t="n">
        <v>1</v>
      </c>
      <c r="S896" t="n">
        <v>800</v>
      </c>
      <c r="T896" t="n">
        <v>16</v>
      </c>
      <c r="U896" t="n">
        <v>17</v>
      </c>
      <c r="V896" t="n">
        <v>30</v>
      </c>
      <c r="W896" t="n">
        <v>1</v>
      </c>
      <c r="X896" t="n">
        <v>100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11897</v>
      </c>
      <c r="AG896" t="n">
        <v>2852</v>
      </c>
      <c r="AH896" t="inlineStr">
        <is>
          <t>PT. PARIT PADANG GLOBAL (PDG)</t>
        </is>
      </c>
      <c r="AI896" t="n">
        <v>1641</v>
      </c>
      <c r="AJ896" t="inlineStr">
        <is>
          <t>COOL-VITA</t>
        </is>
      </c>
      <c r="AK896" t="n">
        <v>21</v>
      </c>
      <c r="AL896" t="inlineStr">
        <is>
          <t>Miss Glam Damar</t>
        </is>
      </c>
      <c r="AM896" t="n">
        <v>3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COOL-VITA</t>
        </is>
      </c>
      <c r="B897" s="2">
        <f>"8030306511"</f>
        <v/>
      </c>
      <c r="C897" t="inlineStr">
        <is>
          <t>COOL-VITA MCT Coffee Capsule Rasa Mocha Latte 2 Capsule</t>
        </is>
      </c>
      <c r="D897" t="inlineStr">
        <is>
          <t>Miss Glam Damar</t>
        </is>
      </c>
      <c r="E897" t="n">
        <v>0</v>
      </c>
      <c r="F897" t="n">
        <v>0.08</v>
      </c>
      <c r="G897" t="n">
        <v>3</v>
      </c>
      <c r="H897" t="n">
        <v>7</v>
      </c>
      <c r="I897" t="n">
        <v>16</v>
      </c>
      <c r="J897" t="n">
        <v>1</v>
      </c>
      <c r="K897" t="n">
        <v>0</v>
      </c>
      <c r="L897" t="n">
        <v>23204</v>
      </c>
      <c r="M897" t="n">
        <v>40000</v>
      </c>
      <c r="N897" t="n">
        <v>91</v>
      </c>
      <c r="O897" t="n">
        <v>0.91</v>
      </c>
      <c r="P897" t="n">
        <v>0</v>
      </c>
      <c r="Q897" t="n">
        <v>0.08</v>
      </c>
      <c r="R897" t="n">
        <v>3</v>
      </c>
      <c r="S897" t="n">
        <v>3200</v>
      </c>
      <c r="T897" t="n">
        <v>48</v>
      </c>
      <c r="U897" t="n">
        <v>49</v>
      </c>
      <c r="V897" t="n">
        <v>30</v>
      </c>
      <c r="W897" t="n">
        <v>3</v>
      </c>
      <c r="X897" t="n">
        <v>0</v>
      </c>
      <c r="Y897" t="n">
        <v>1</v>
      </c>
      <c r="Z897" t="n">
        <v>3</v>
      </c>
      <c r="AA897" t="n">
        <v>2</v>
      </c>
      <c r="AB897" t="n">
        <v>1</v>
      </c>
      <c r="AC897" t="n">
        <v>1</v>
      </c>
      <c r="AD897" t="n">
        <v>46408</v>
      </c>
      <c r="AE897" t="n">
        <v>23204</v>
      </c>
      <c r="AF897" t="n">
        <v>11897</v>
      </c>
      <c r="AG897" t="n">
        <v>2852</v>
      </c>
      <c r="AH897" t="inlineStr">
        <is>
          <t>PT. PARIT PADANG GLOBAL (PDG)</t>
        </is>
      </c>
      <c r="AI897" t="n">
        <v>1641</v>
      </c>
      <c r="AJ897" t="inlineStr">
        <is>
          <t>COOL-VITA</t>
        </is>
      </c>
      <c r="AK897" t="n">
        <v>21</v>
      </c>
      <c r="AL897" t="inlineStr">
        <is>
          <t>Miss Glam Damar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COOL-VITA</t>
        </is>
      </c>
      <c r="B898" s="2">
        <f>"769503011295"</f>
        <v/>
      </c>
      <c r="C898" t="inlineStr">
        <is>
          <t>COOL-VITA Slimkeep Minuman Rasa Aneka Buah dan Sayuran (7pcs) 315ml</t>
        </is>
      </c>
      <c r="D898" t="inlineStr">
        <is>
          <t>Miss Glam Damar</t>
        </is>
      </c>
      <c r="E898" t="n">
        <v>2</v>
      </c>
      <c r="F898" t="n">
        <v>0.14</v>
      </c>
      <c r="G898" t="n">
        <v>2</v>
      </c>
      <c r="H898" t="n">
        <v>7</v>
      </c>
      <c r="I898" t="n">
        <v>16</v>
      </c>
      <c r="J898" t="n">
        <v>3</v>
      </c>
      <c r="K898" t="n">
        <v>0</v>
      </c>
      <c r="L898" t="n">
        <v>28289</v>
      </c>
      <c r="M898" t="n">
        <v>50000</v>
      </c>
      <c r="N898" t="n">
        <v>91</v>
      </c>
      <c r="O898" t="n">
        <v>0.91</v>
      </c>
      <c r="P898" t="n">
        <v>0</v>
      </c>
      <c r="Q898" t="n">
        <v>0.14</v>
      </c>
      <c r="R898" t="n">
        <v>2</v>
      </c>
      <c r="S898" t="n">
        <v>7000.000000000001</v>
      </c>
      <c r="T898" t="n">
        <v>32</v>
      </c>
      <c r="U898" t="n">
        <v>33</v>
      </c>
      <c r="V898" t="n">
        <v>30</v>
      </c>
      <c r="W898" t="n">
        <v>5</v>
      </c>
      <c r="X898" t="n">
        <v>14.28571428571428</v>
      </c>
      <c r="Y898" t="n">
        <v>1</v>
      </c>
      <c r="Z898" t="n">
        <v>3</v>
      </c>
      <c r="AA898" t="n">
        <v>1</v>
      </c>
      <c r="AB898" t="n">
        <v>2</v>
      </c>
      <c r="AC898" t="n">
        <v>3</v>
      </c>
      <c r="AD898" t="n">
        <v>28289</v>
      </c>
      <c r="AE898" t="n">
        <v>84867</v>
      </c>
      <c r="AF898" t="n">
        <v>11897</v>
      </c>
      <c r="AG898" t="n">
        <v>2852</v>
      </c>
      <c r="AH898" t="inlineStr">
        <is>
          <t>PT. PARIT PADANG GLOBAL (PDG)</t>
        </is>
      </c>
      <c r="AI898" t="n">
        <v>1641</v>
      </c>
      <c r="AJ898" t="inlineStr">
        <is>
          <t>COOL-VITA</t>
        </is>
      </c>
      <c r="AK898" t="n">
        <v>21</v>
      </c>
      <c r="AL898" t="inlineStr">
        <is>
          <t>Miss Glam Damar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COSRX</t>
        </is>
      </c>
      <c r="B899" s="2">
        <f>"8809416470245"</f>
        <v/>
      </c>
      <c r="C899" t="inlineStr">
        <is>
          <t>COSRX Acne Pimple Master Patch 24 Patches</t>
        </is>
      </c>
      <c r="D899" t="inlineStr">
        <is>
          <t>Miss Glam Damar</t>
        </is>
      </c>
      <c r="E899" t="n">
        <v>4</v>
      </c>
      <c r="F899" t="n">
        <v>0.1456</v>
      </c>
      <c r="G899" t="n">
        <v>2.73</v>
      </c>
      <c r="H899" t="n">
        <v>2</v>
      </c>
      <c r="I899" t="n">
        <v>11</v>
      </c>
      <c r="J899" t="n">
        <v>3</v>
      </c>
      <c r="K899" t="n">
        <v>0</v>
      </c>
      <c r="L899" t="n">
        <v>47200</v>
      </c>
      <c r="M899" t="n">
        <v>59000</v>
      </c>
      <c r="N899" t="n">
        <v>91</v>
      </c>
      <c r="O899" t="n">
        <v>0.91</v>
      </c>
      <c r="P899" t="n">
        <v>1</v>
      </c>
      <c r="Q899" t="n">
        <v>0.08</v>
      </c>
      <c r="R899" t="n">
        <v>1</v>
      </c>
      <c r="S899" t="n">
        <v>8590.4</v>
      </c>
      <c r="T899" t="n">
        <v>30</v>
      </c>
      <c r="U899" t="n">
        <v>31</v>
      </c>
      <c r="V899" t="n">
        <v>30</v>
      </c>
      <c r="W899" t="n">
        <v>5</v>
      </c>
      <c r="X899" t="n">
        <v>27.47252747252747</v>
      </c>
      <c r="Y899" t="n">
        <v>1</v>
      </c>
      <c r="Z899" t="n">
        <v>1</v>
      </c>
      <c r="AA899" t="n">
        <v>0</v>
      </c>
      <c r="AB899" t="n">
        <v>1</v>
      </c>
      <c r="AC899" t="n">
        <v>3</v>
      </c>
      <c r="AD899" t="n">
        <v>0</v>
      </c>
      <c r="AE899" t="n">
        <v>141600</v>
      </c>
      <c r="AF899" t="n">
        <v>12333</v>
      </c>
      <c r="AG899" t="n">
        <v>92</v>
      </c>
      <c r="AH899" t="inlineStr">
        <is>
          <t>PT. SAI (PDG)</t>
        </is>
      </c>
      <c r="AI899" t="n">
        <v>57</v>
      </c>
      <c r="AJ899" t="inlineStr">
        <is>
          <t>COSRX</t>
        </is>
      </c>
      <c r="AK899" t="n">
        <v>21</v>
      </c>
      <c r="AL899" t="inlineStr">
        <is>
          <t>Miss Glam Damar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COSRX</t>
        </is>
      </c>
      <c r="B900" s="2">
        <f>"8809416470009"</f>
        <v/>
      </c>
      <c r="C900" t="inlineStr">
        <is>
          <t>COSRX Advanced Snail 96 Mucin Power Essence 100ml</t>
        </is>
      </c>
      <c r="D900" t="inlineStr">
        <is>
          <t>Miss Glam Damar</t>
        </is>
      </c>
      <c r="E900" t="n">
        <v>4</v>
      </c>
      <c r="F900" t="n">
        <v>0.06370000000000001</v>
      </c>
      <c r="G900" t="n">
        <v>0.91</v>
      </c>
      <c r="H900" t="n">
        <v>2</v>
      </c>
      <c r="I900" t="n">
        <v>11</v>
      </c>
      <c r="J900" t="n">
        <v>3</v>
      </c>
      <c r="K900" t="n">
        <v>0</v>
      </c>
      <c r="L900" t="n">
        <v>225267</v>
      </c>
      <c r="M900" t="n">
        <v>286500</v>
      </c>
      <c r="N900" t="n">
        <v>91</v>
      </c>
      <c r="O900" t="n">
        <v>0.91</v>
      </c>
      <c r="P900" t="n">
        <v>1</v>
      </c>
      <c r="Q900" t="n">
        <v>0.15</v>
      </c>
      <c r="R900" t="n">
        <v>2</v>
      </c>
      <c r="S900" t="n">
        <v>18250.05</v>
      </c>
      <c r="T900" t="n">
        <v>10</v>
      </c>
      <c r="U900" t="n">
        <v>11</v>
      </c>
      <c r="V900" t="n">
        <v>30</v>
      </c>
      <c r="W900" t="n">
        <v>2</v>
      </c>
      <c r="X900" t="n">
        <v>62.79434850863422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12333</v>
      </c>
      <c r="AG900" t="n">
        <v>92</v>
      </c>
      <c r="AH900" t="inlineStr">
        <is>
          <t>PT. SAI (PDG)</t>
        </is>
      </c>
      <c r="AI900" t="n">
        <v>57</v>
      </c>
      <c r="AJ900" t="inlineStr">
        <is>
          <t>COSRX</t>
        </is>
      </c>
      <c r="AK900" t="n">
        <v>21</v>
      </c>
      <c r="AL900" t="inlineStr">
        <is>
          <t>Miss Glam Damar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COSRX</t>
        </is>
      </c>
      <c r="B901" s="2">
        <f>"8809416470016"</f>
        <v/>
      </c>
      <c r="C901" t="inlineStr">
        <is>
          <t>COSRX Advanced Snail All In One Cream 100gr</t>
        </is>
      </c>
      <c r="D901" t="inlineStr">
        <is>
          <t>Miss Glam Damar</t>
        </is>
      </c>
      <c r="E901" t="n">
        <v>6</v>
      </c>
      <c r="F901" t="n">
        <v>0.0273</v>
      </c>
      <c r="G901" t="n">
        <v>0.91</v>
      </c>
      <c r="H901" t="n">
        <v>2</v>
      </c>
      <c r="I901" t="n">
        <v>11</v>
      </c>
      <c r="J901" t="n">
        <v>3</v>
      </c>
      <c r="K901" t="n">
        <v>0</v>
      </c>
      <c r="L901" t="n">
        <v>263200</v>
      </c>
      <c r="M901" t="n">
        <v>329000</v>
      </c>
      <c r="N901" t="n">
        <v>91</v>
      </c>
      <c r="O901" t="n">
        <v>0.91</v>
      </c>
      <c r="P901" t="n">
        <v>1</v>
      </c>
      <c r="Q901" t="n">
        <v>0.2</v>
      </c>
      <c r="R901" t="n">
        <v>2</v>
      </c>
      <c r="S901" t="n">
        <v>8981.700000000001</v>
      </c>
      <c r="T901" t="n">
        <v>10</v>
      </c>
      <c r="U901" t="n">
        <v>11</v>
      </c>
      <c r="V901" t="n">
        <v>30</v>
      </c>
      <c r="W901" t="n">
        <v>1</v>
      </c>
      <c r="X901" t="n">
        <v>219.7802197802198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12333</v>
      </c>
      <c r="AG901" t="n">
        <v>92</v>
      </c>
      <c r="AH901" t="inlineStr">
        <is>
          <t>PT. SAI (PDG)</t>
        </is>
      </c>
      <c r="AI901" t="n">
        <v>57</v>
      </c>
      <c r="AJ901" t="inlineStr">
        <is>
          <t>COSRX</t>
        </is>
      </c>
      <c r="AK901" t="n">
        <v>21</v>
      </c>
      <c r="AL901" t="inlineStr">
        <is>
          <t>Miss Glam Damar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COSRX</t>
        </is>
      </c>
      <c r="B902" s="2">
        <f>"8809416470030"</f>
        <v/>
      </c>
      <c r="C902" t="inlineStr">
        <is>
          <t>COSRX AHA BHA Clarifying Treatment Toner 150ml</t>
        </is>
      </c>
      <c r="D902" t="inlineStr">
        <is>
          <t>Miss Glam Damar</t>
        </is>
      </c>
      <c r="E902" t="n">
        <v>8</v>
      </c>
      <c r="F902" t="n">
        <v>0.04550000000000001</v>
      </c>
      <c r="G902" t="n">
        <v>0.91</v>
      </c>
      <c r="H902" t="n">
        <v>2</v>
      </c>
      <c r="I902" t="n">
        <v>11</v>
      </c>
      <c r="J902" t="n">
        <v>6</v>
      </c>
      <c r="K902" t="n">
        <v>0</v>
      </c>
      <c r="L902" t="n">
        <v>160000</v>
      </c>
      <c r="M902" t="n">
        <v>200000</v>
      </c>
      <c r="N902" t="n">
        <v>91</v>
      </c>
      <c r="O902" t="n">
        <v>0.91</v>
      </c>
      <c r="P902" t="n">
        <v>1</v>
      </c>
      <c r="Q902" t="n">
        <v>0.2</v>
      </c>
      <c r="R902" t="n">
        <v>2</v>
      </c>
      <c r="S902" t="n">
        <v>9100.000000000002</v>
      </c>
      <c r="T902" t="n">
        <v>10</v>
      </c>
      <c r="U902" t="n">
        <v>11</v>
      </c>
      <c r="V902" t="n">
        <v>30</v>
      </c>
      <c r="W902" t="n">
        <v>2</v>
      </c>
      <c r="X902" t="n">
        <v>175.8241758241758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12333</v>
      </c>
      <c r="AG902" t="n">
        <v>92</v>
      </c>
      <c r="AH902" t="inlineStr">
        <is>
          <t>PT. SAI (PDG)</t>
        </is>
      </c>
      <c r="AI902" t="n">
        <v>57</v>
      </c>
      <c r="AJ902" t="inlineStr">
        <is>
          <t>COSRX</t>
        </is>
      </c>
      <c r="AK902" t="n">
        <v>21</v>
      </c>
      <c r="AL902" t="inlineStr">
        <is>
          <t>Miss Glam Damar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COSRX</t>
        </is>
      </c>
      <c r="B903" s="2">
        <f>"8809416470191"</f>
        <v/>
      </c>
      <c r="C903" t="inlineStr">
        <is>
          <t>COSRX Aloe Soothing Sun Cream SPF 50 PA+++  50ml</t>
        </is>
      </c>
      <c r="D903" t="inlineStr">
        <is>
          <t>Miss Glam Damar</t>
        </is>
      </c>
      <c r="E903" t="n">
        <v>3</v>
      </c>
      <c r="F903" t="n">
        <v>0.0819</v>
      </c>
      <c r="G903" t="n">
        <v>1.82</v>
      </c>
      <c r="H903" t="n">
        <v>2</v>
      </c>
      <c r="I903" t="n">
        <v>11</v>
      </c>
      <c r="J903" t="n">
        <v>3</v>
      </c>
      <c r="K903" t="n">
        <v>0</v>
      </c>
      <c r="L903" t="n">
        <v>154780</v>
      </c>
      <c r="M903" t="n">
        <v>199000</v>
      </c>
      <c r="N903" t="n">
        <v>91</v>
      </c>
      <c r="O903" t="n">
        <v>0.91</v>
      </c>
      <c r="P903" t="n">
        <v>1</v>
      </c>
      <c r="Q903" t="n">
        <v>0.15</v>
      </c>
      <c r="R903" t="n">
        <v>1</v>
      </c>
      <c r="S903" t="n">
        <v>16298.1</v>
      </c>
      <c r="T903" t="n">
        <v>20</v>
      </c>
      <c r="U903" t="n">
        <v>21</v>
      </c>
      <c r="V903" t="n">
        <v>30</v>
      </c>
      <c r="W903" t="n">
        <v>3</v>
      </c>
      <c r="X903" t="n">
        <v>36.63003663003663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12333</v>
      </c>
      <c r="AG903" t="n">
        <v>92</v>
      </c>
      <c r="AH903" t="inlineStr">
        <is>
          <t>PT. SAI (PDG)</t>
        </is>
      </c>
      <c r="AI903" t="n">
        <v>57</v>
      </c>
      <c r="AJ903" t="inlineStr">
        <is>
          <t>COSRX</t>
        </is>
      </c>
      <c r="AK903" t="n">
        <v>21</v>
      </c>
      <c r="AL903" t="inlineStr">
        <is>
          <t>Miss Glam Damar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COSRX</t>
        </is>
      </c>
      <c r="B904" s="2">
        <f>"8809416470085"</f>
        <v/>
      </c>
      <c r="C904" t="inlineStr">
        <is>
          <t>COSRX Centella Water Alcohol Free Toner 150ml</t>
        </is>
      </c>
      <c r="D904" t="inlineStr">
        <is>
          <t>Miss Glam Damar</t>
        </is>
      </c>
      <c r="E904" t="n">
        <v>4</v>
      </c>
      <c r="F904" t="n">
        <v>0.0182</v>
      </c>
      <c r="G904" t="n">
        <v>0.91</v>
      </c>
      <c r="H904" t="n">
        <v>2</v>
      </c>
      <c r="I904" t="n">
        <v>11</v>
      </c>
      <c r="J904" t="n">
        <v>3</v>
      </c>
      <c r="K904" t="n">
        <v>0</v>
      </c>
      <c r="L904" t="n">
        <v>172001</v>
      </c>
      <c r="M904" t="n">
        <v>215000</v>
      </c>
      <c r="N904" t="n">
        <v>91</v>
      </c>
      <c r="O904" t="n">
        <v>0.91</v>
      </c>
      <c r="P904" t="n">
        <v>1</v>
      </c>
      <c r="Q904" t="n">
        <v>0.08</v>
      </c>
      <c r="R904" t="n">
        <v>2</v>
      </c>
      <c r="S904" t="n">
        <v>3913</v>
      </c>
      <c r="T904" t="n">
        <v>10</v>
      </c>
      <c r="U904" t="n">
        <v>11</v>
      </c>
      <c r="V904" t="n">
        <v>30</v>
      </c>
      <c r="W904" t="n">
        <v>1</v>
      </c>
      <c r="X904" t="n">
        <v>219.7802197802198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12333</v>
      </c>
      <c r="AG904" t="n">
        <v>92</v>
      </c>
      <c r="AH904" t="inlineStr">
        <is>
          <t>PT. SAI (PDG)</t>
        </is>
      </c>
      <c r="AI904" t="n">
        <v>57</v>
      </c>
      <c r="AJ904" t="inlineStr">
        <is>
          <t>COSRX</t>
        </is>
      </c>
      <c r="AK904" t="n">
        <v>21</v>
      </c>
      <c r="AL904" t="inlineStr">
        <is>
          <t>Miss Glam Damar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COSRX</t>
        </is>
      </c>
      <c r="B905" s="2">
        <f>"8809416470511"</f>
        <v/>
      </c>
      <c r="C905" t="inlineStr">
        <is>
          <t>COSRX Low PH Good Morning Gel Cleanser 150ml</t>
        </is>
      </c>
      <c r="D905" t="inlineStr">
        <is>
          <t>Miss Glam Damar</t>
        </is>
      </c>
      <c r="E905" t="n">
        <v>13</v>
      </c>
      <c r="F905" t="n">
        <v>0.7371000000000001</v>
      </c>
      <c r="G905" t="n">
        <v>2.73</v>
      </c>
      <c r="H905" t="n">
        <v>2</v>
      </c>
      <c r="I905" t="n">
        <v>11</v>
      </c>
      <c r="J905" t="n">
        <v>3</v>
      </c>
      <c r="K905" t="n">
        <v>0</v>
      </c>
      <c r="L905" t="n">
        <v>123957</v>
      </c>
      <c r="M905" t="n">
        <v>155000</v>
      </c>
      <c r="N905" t="n">
        <v>91</v>
      </c>
      <c r="O905" t="n">
        <v>0.91</v>
      </c>
      <c r="P905" t="n">
        <v>1</v>
      </c>
      <c r="Q905" t="n">
        <v>1.24</v>
      </c>
      <c r="R905" t="n">
        <v>4</v>
      </c>
      <c r="S905" t="n">
        <v>114250.5</v>
      </c>
      <c r="T905" t="n">
        <v>29</v>
      </c>
      <c r="U905" t="n">
        <v>31</v>
      </c>
      <c r="V905" t="n">
        <v>30</v>
      </c>
      <c r="W905" t="n">
        <v>23</v>
      </c>
      <c r="X905" t="n">
        <v>17.63668430335097</v>
      </c>
      <c r="Y905" t="n">
        <v>1</v>
      </c>
      <c r="Z905" t="n">
        <v>10</v>
      </c>
      <c r="AA905" t="n">
        <v>0</v>
      </c>
      <c r="AB905" t="n">
        <v>10</v>
      </c>
      <c r="AC905" t="n">
        <v>10</v>
      </c>
      <c r="AD905" t="n">
        <v>0</v>
      </c>
      <c r="AE905" t="n">
        <v>1239570</v>
      </c>
      <c r="AF905" t="n">
        <v>12333</v>
      </c>
      <c r="AG905" t="n">
        <v>92</v>
      </c>
      <c r="AH905" t="inlineStr">
        <is>
          <t>PT. SAI (PDG)</t>
        </is>
      </c>
      <c r="AI905" t="n">
        <v>57</v>
      </c>
      <c r="AJ905" t="inlineStr">
        <is>
          <t>COSRX</t>
        </is>
      </c>
      <c r="AK905" t="n">
        <v>21</v>
      </c>
      <c r="AL905" t="inlineStr">
        <is>
          <t>Miss Glam Damar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COSRX</t>
        </is>
      </c>
      <c r="B906" s="2">
        <f>"8809598451766"</f>
        <v/>
      </c>
      <c r="C906" t="inlineStr">
        <is>
          <t>COSRX Low PH Good Morning Gel Cleanser 50ml</t>
        </is>
      </c>
      <c r="D906" t="inlineStr">
        <is>
          <t>Miss Glam Damar</t>
        </is>
      </c>
      <c r="E906" t="n">
        <v>50</v>
      </c>
      <c r="F906" t="n">
        <v>3.1577</v>
      </c>
      <c r="G906" t="n">
        <v>8.19</v>
      </c>
      <c r="H906" t="n">
        <v>2</v>
      </c>
      <c r="I906" t="n">
        <v>11</v>
      </c>
      <c r="J906" t="n">
        <v>3</v>
      </c>
      <c r="K906" t="n">
        <v>0</v>
      </c>
      <c r="L906" t="n">
        <v>55158</v>
      </c>
      <c r="M906" t="n">
        <v>65000</v>
      </c>
      <c r="N906" t="n">
        <v>91</v>
      </c>
      <c r="O906" t="n">
        <v>0.91</v>
      </c>
      <c r="P906" t="n">
        <v>1</v>
      </c>
      <c r="Q906" t="n">
        <v>2.05</v>
      </c>
      <c r="R906" t="n">
        <v>6</v>
      </c>
      <c r="S906" t="n">
        <v>205250.5</v>
      </c>
      <c r="T906" t="n">
        <v>84</v>
      </c>
      <c r="U906" t="n">
        <v>91</v>
      </c>
      <c r="V906" t="n">
        <v>30</v>
      </c>
      <c r="W906" t="n">
        <v>95</v>
      </c>
      <c r="X906" t="n">
        <v>15.83430978243658</v>
      </c>
      <c r="Y906" t="n">
        <v>1</v>
      </c>
      <c r="Z906" t="n">
        <v>45</v>
      </c>
      <c r="AA906" t="n">
        <v>0</v>
      </c>
      <c r="AB906" t="n">
        <v>45</v>
      </c>
      <c r="AC906" t="n">
        <v>45</v>
      </c>
      <c r="AD906" t="n">
        <v>0</v>
      </c>
      <c r="AE906" t="n">
        <v>2482110</v>
      </c>
      <c r="AF906" t="n">
        <v>12333</v>
      </c>
      <c r="AG906" t="n">
        <v>92</v>
      </c>
      <c r="AH906" t="inlineStr">
        <is>
          <t>PT. SAI (PDG)</t>
        </is>
      </c>
      <c r="AI906" t="n">
        <v>57</v>
      </c>
      <c r="AJ906" t="inlineStr">
        <is>
          <t>COSRX</t>
        </is>
      </c>
      <c r="AK906" t="n">
        <v>21</v>
      </c>
      <c r="AL906" t="inlineStr">
        <is>
          <t>Miss Glam Damar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COSRX</t>
        </is>
      </c>
      <c r="B907" s="2">
        <f>"10100720610"</f>
        <v/>
      </c>
      <c r="C907" t="inlineStr">
        <is>
          <t>COSRX Low Ph Niacinamide Micellar Cleansing Water 100ml</t>
        </is>
      </c>
      <c r="D907" t="inlineStr">
        <is>
          <t>Miss Glam Damar</t>
        </is>
      </c>
      <c r="E907" t="n">
        <v>4</v>
      </c>
      <c r="F907" t="n">
        <v>0.0182</v>
      </c>
      <c r="G907" t="n">
        <v>0.91</v>
      </c>
      <c r="H907" t="n">
        <v>2</v>
      </c>
      <c r="I907" t="n">
        <v>11</v>
      </c>
      <c r="J907" t="n">
        <v>3</v>
      </c>
      <c r="K907" t="n">
        <v>0</v>
      </c>
      <c r="L907" t="n">
        <v>95200</v>
      </c>
      <c r="M907" t="n">
        <v>119000</v>
      </c>
      <c r="N907" t="n">
        <v>91</v>
      </c>
      <c r="O907" t="n">
        <v>0.91</v>
      </c>
      <c r="P907" t="n">
        <v>1</v>
      </c>
      <c r="Q907" t="n">
        <v>0.02</v>
      </c>
      <c r="R907" t="n">
        <v>1</v>
      </c>
      <c r="S907" t="n">
        <v>2165.8</v>
      </c>
      <c r="T907" t="n">
        <v>10</v>
      </c>
      <c r="U907" t="n">
        <v>11</v>
      </c>
      <c r="V907" t="n">
        <v>30</v>
      </c>
      <c r="W907" t="n">
        <v>1</v>
      </c>
      <c r="X907" t="n">
        <v>219.7802197802198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12333</v>
      </c>
      <c r="AG907" t="n">
        <v>92</v>
      </c>
      <c r="AH907" t="inlineStr">
        <is>
          <t>PT. SAI (PDG)</t>
        </is>
      </c>
      <c r="AI907" t="n">
        <v>57</v>
      </c>
      <c r="AJ907" t="inlineStr">
        <is>
          <t>COSRX</t>
        </is>
      </c>
      <c r="AK907" t="n">
        <v>21</v>
      </c>
      <c r="AL907" t="inlineStr">
        <is>
          <t>Miss Glam Damar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COSRX</t>
        </is>
      </c>
      <c r="B908" s="2">
        <f>"8809416470559"</f>
        <v/>
      </c>
      <c r="C908" t="inlineStr">
        <is>
          <t>COSRX Oil Free Moisturizing 100ml</t>
        </is>
      </c>
      <c r="D908" t="inlineStr">
        <is>
          <t>Miss Glam Damar</t>
        </is>
      </c>
      <c r="E908" t="n">
        <v>3</v>
      </c>
      <c r="F908" t="n">
        <v>0.0273</v>
      </c>
      <c r="G908" t="n">
        <v>0.91</v>
      </c>
      <c r="H908" t="n">
        <v>2</v>
      </c>
      <c r="I908" t="n">
        <v>11</v>
      </c>
      <c r="J908" t="n">
        <v>3</v>
      </c>
      <c r="K908" t="n">
        <v>0</v>
      </c>
      <c r="L908" t="n">
        <v>239920</v>
      </c>
      <c r="M908" t="n">
        <v>300000</v>
      </c>
      <c r="N908" t="n">
        <v>91</v>
      </c>
      <c r="O908" t="n">
        <v>0.91</v>
      </c>
      <c r="P908" t="n">
        <v>1</v>
      </c>
      <c r="Q908" t="n">
        <v>0.15</v>
      </c>
      <c r="R908" t="n">
        <v>1</v>
      </c>
      <c r="S908" t="n">
        <v>8190</v>
      </c>
      <c r="T908" t="n">
        <v>10</v>
      </c>
      <c r="U908" t="n">
        <v>11</v>
      </c>
      <c r="V908" t="n">
        <v>30</v>
      </c>
      <c r="W908" t="n">
        <v>1</v>
      </c>
      <c r="X908" t="n">
        <v>109.8901098901099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12333</v>
      </c>
      <c r="AG908" t="n">
        <v>92</v>
      </c>
      <c r="AH908" t="inlineStr">
        <is>
          <t>PT. SAI (PDG)</t>
        </is>
      </c>
      <c r="AI908" t="n">
        <v>57</v>
      </c>
      <c r="AJ908" t="inlineStr">
        <is>
          <t>COSRX</t>
        </is>
      </c>
      <c r="AK908" t="n">
        <v>21</v>
      </c>
      <c r="AL908" t="inlineStr">
        <is>
          <t>Miss Glam Damar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COSRX</t>
        </is>
      </c>
      <c r="B909" s="2">
        <f>"8809598451896"</f>
        <v/>
      </c>
      <c r="C909" t="inlineStr">
        <is>
          <t>COSRX Propolish Synergy Toner 150ml</t>
        </is>
      </c>
      <c r="D909" t="inlineStr">
        <is>
          <t>Miss Glam Damar</t>
        </is>
      </c>
      <c r="E909" t="n">
        <v>4</v>
      </c>
      <c r="F909" t="n">
        <v>0.02</v>
      </c>
      <c r="G909" t="n">
        <v>1</v>
      </c>
      <c r="H909" t="n">
        <v>2</v>
      </c>
      <c r="I909" t="n">
        <v>11</v>
      </c>
      <c r="J909" t="n">
        <v>3</v>
      </c>
      <c r="K909" t="n">
        <v>0</v>
      </c>
      <c r="L909" t="n">
        <v>191800</v>
      </c>
      <c r="M909" t="n">
        <v>245000</v>
      </c>
      <c r="N909" t="n">
        <v>91</v>
      </c>
      <c r="O909" t="n">
        <v>0.91</v>
      </c>
      <c r="P909" t="n">
        <v>0</v>
      </c>
      <c r="Q909" t="n">
        <v>0.02</v>
      </c>
      <c r="R909" t="n">
        <v>1</v>
      </c>
      <c r="S909" t="n">
        <v>4900</v>
      </c>
      <c r="T909" t="n">
        <v>11</v>
      </c>
      <c r="U909" t="n">
        <v>12</v>
      </c>
      <c r="V909" t="n">
        <v>30</v>
      </c>
      <c r="W909" t="n">
        <v>1</v>
      </c>
      <c r="X909" t="n">
        <v>200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12333</v>
      </c>
      <c r="AG909" t="n">
        <v>92</v>
      </c>
      <c r="AH909" t="inlineStr">
        <is>
          <t>PT. SAI (PDG)</t>
        </is>
      </c>
      <c r="AI909" t="n">
        <v>57</v>
      </c>
      <c r="AJ909" t="inlineStr">
        <is>
          <t>COSRX</t>
        </is>
      </c>
      <c r="AK909" t="n">
        <v>21</v>
      </c>
      <c r="AL909" t="inlineStr">
        <is>
          <t>Miss Glam Damar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COSRX</t>
        </is>
      </c>
      <c r="B910" s="2">
        <f>"8809416471112"</f>
        <v/>
      </c>
      <c r="C910" t="inlineStr">
        <is>
          <t>COSRX Salicyd Acid Daily Gentle Cleanser 150ml</t>
        </is>
      </c>
      <c r="D910" t="inlineStr">
        <is>
          <t>Miss Glam Damar</t>
        </is>
      </c>
      <c r="E910" t="n">
        <v>17</v>
      </c>
      <c r="F910" t="n">
        <v>0.5096000000000001</v>
      </c>
      <c r="G910" t="n">
        <v>2.73</v>
      </c>
      <c r="H910" t="n">
        <v>2</v>
      </c>
      <c r="I910" t="n">
        <v>11</v>
      </c>
      <c r="J910" t="n">
        <v>3</v>
      </c>
      <c r="K910" t="n">
        <v>0</v>
      </c>
      <c r="L910" t="n">
        <v>123348</v>
      </c>
      <c r="M910" t="n">
        <v>155000</v>
      </c>
      <c r="N910" t="n">
        <v>91</v>
      </c>
      <c r="O910" t="n">
        <v>0.91</v>
      </c>
      <c r="P910" t="n">
        <v>1</v>
      </c>
      <c r="Q910" t="n">
        <v>0.78</v>
      </c>
      <c r="R910" t="n">
        <v>4</v>
      </c>
      <c r="S910" t="n">
        <v>78988.00000000001</v>
      </c>
      <c r="T910" t="n">
        <v>30</v>
      </c>
      <c r="U910" t="n">
        <v>32</v>
      </c>
      <c r="V910" t="n">
        <v>30</v>
      </c>
      <c r="W910" t="n">
        <v>16</v>
      </c>
      <c r="X910" t="n">
        <v>33.35949764521192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12333</v>
      </c>
      <c r="AG910" t="n">
        <v>92</v>
      </c>
      <c r="AH910" t="inlineStr">
        <is>
          <t>PT. SAI (PDG)</t>
        </is>
      </c>
      <c r="AI910" t="n">
        <v>57</v>
      </c>
      <c r="AJ910" t="inlineStr">
        <is>
          <t>COSRX</t>
        </is>
      </c>
      <c r="AK910" t="n">
        <v>21</v>
      </c>
      <c r="AL910" t="inlineStr">
        <is>
          <t>Miss Glam Damar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COSRX</t>
        </is>
      </c>
      <c r="B911" s="2">
        <f>"101001105705"</f>
        <v/>
      </c>
      <c r="C911" t="inlineStr">
        <is>
          <t>COSRX Salicylic Acid Daily Gentle Cleanser 50ml</t>
        </is>
      </c>
      <c r="D911" t="inlineStr">
        <is>
          <t>Miss Glam Damar</t>
        </is>
      </c>
      <c r="E911" t="n">
        <v>0</v>
      </c>
      <c r="F911" t="n">
        <v>0.3185</v>
      </c>
      <c r="G911" t="n">
        <v>1.82</v>
      </c>
      <c r="H911" t="n">
        <v>2</v>
      </c>
      <c r="I911" t="n">
        <v>11</v>
      </c>
      <c r="J911" t="n">
        <v>3</v>
      </c>
      <c r="K911" t="n">
        <v>36</v>
      </c>
      <c r="L911" t="n">
        <v>48118</v>
      </c>
      <c r="M911" t="n">
        <v>69000</v>
      </c>
      <c r="N911" t="n">
        <v>91</v>
      </c>
      <c r="O911" t="n">
        <v>0.91</v>
      </c>
      <c r="P911" t="n">
        <v>1</v>
      </c>
      <c r="Q911" t="n">
        <v>0.72</v>
      </c>
      <c r="R911" t="n">
        <v>4</v>
      </c>
      <c r="S911" t="n">
        <v>21976.5</v>
      </c>
      <c r="T911" t="n">
        <v>20</v>
      </c>
      <c r="U911" t="n">
        <v>21</v>
      </c>
      <c r="V911" t="n">
        <v>30</v>
      </c>
      <c r="W911" t="n">
        <v>10</v>
      </c>
      <c r="X911" t="n">
        <v>0</v>
      </c>
      <c r="Y911" t="n">
        <v>1</v>
      </c>
      <c r="Z911" t="n">
        <v>0</v>
      </c>
      <c r="AA911" t="n">
        <v>3</v>
      </c>
      <c r="AB911" t="n">
        <v>0</v>
      </c>
      <c r="AC911" t="n">
        <v>0</v>
      </c>
      <c r="AD911" t="n">
        <v>144354</v>
      </c>
      <c r="AE911" t="n">
        <v>0</v>
      </c>
      <c r="AF911" t="n">
        <v>12333</v>
      </c>
      <c r="AG911" t="n">
        <v>92</v>
      </c>
      <c r="AH911" t="inlineStr">
        <is>
          <t>PT. SAI (PDG)</t>
        </is>
      </c>
      <c r="AI911" t="n">
        <v>57</v>
      </c>
      <c r="AJ911" t="inlineStr">
        <is>
          <t>COSRX</t>
        </is>
      </c>
      <c r="AK911" t="n">
        <v>21</v>
      </c>
      <c r="AL911" t="inlineStr">
        <is>
          <t>Miss Glam Damar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COSRX</t>
        </is>
      </c>
      <c r="B912" s="2">
        <f>"102002106552"</f>
        <v/>
      </c>
      <c r="C912" t="inlineStr">
        <is>
          <t>COSRX The 6 Peptide Skin Booster Serum 150ml</t>
        </is>
      </c>
      <c r="D912" t="inlineStr">
        <is>
          <t>Miss Glam Damar</t>
        </is>
      </c>
      <c r="E912" t="n">
        <v>6</v>
      </c>
      <c r="F912" t="n">
        <v>0.08</v>
      </c>
      <c r="G912" t="n">
        <v>1</v>
      </c>
      <c r="H912" t="n">
        <v>2</v>
      </c>
      <c r="I912" t="n">
        <v>11</v>
      </c>
      <c r="J912" t="n">
        <v>3</v>
      </c>
      <c r="K912" t="n">
        <v>0</v>
      </c>
      <c r="L912" t="n">
        <v>241600</v>
      </c>
      <c r="M912" t="n">
        <v>320000</v>
      </c>
      <c r="N912" t="n">
        <v>91</v>
      </c>
      <c r="O912" t="n">
        <v>0.91</v>
      </c>
      <c r="P912" t="n">
        <v>0</v>
      </c>
      <c r="Q912" t="n">
        <v>0.08</v>
      </c>
      <c r="R912" t="n">
        <v>1</v>
      </c>
      <c r="S912" t="n">
        <v>25600</v>
      </c>
      <c r="T912" t="n">
        <v>11</v>
      </c>
      <c r="U912" t="n">
        <v>12</v>
      </c>
      <c r="V912" t="n">
        <v>30</v>
      </c>
      <c r="W912" t="n">
        <v>3</v>
      </c>
      <c r="X912" t="n">
        <v>75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12333</v>
      </c>
      <c r="AG912" t="n">
        <v>92</v>
      </c>
      <c r="AH912" t="inlineStr">
        <is>
          <t>PT. SAI (PDG)</t>
        </is>
      </c>
      <c r="AI912" t="n">
        <v>57</v>
      </c>
      <c r="AJ912" t="inlineStr">
        <is>
          <t>COSRX</t>
        </is>
      </c>
      <c r="AK912" t="n">
        <v>21</v>
      </c>
      <c r="AL912" t="inlineStr">
        <is>
          <t>Miss Glam Damar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COSRX</t>
        </is>
      </c>
      <c r="B913" s="2">
        <f>"102002106707"</f>
        <v/>
      </c>
      <c r="C913" t="inlineStr">
        <is>
          <t>COSRX The Niacinamide 15 Serum 20ml</t>
        </is>
      </c>
      <c r="D913" t="inlineStr">
        <is>
          <t>Miss Glam Damar</t>
        </is>
      </c>
      <c r="E913" t="n">
        <v>8</v>
      </c>
      <c r="F913" t="n">
        <v>0.1547</v>
      </c>
      <c r="G913" t="n">
        <v>3.64</v>
      </c>
      <c r="H913" t="n">
        <v>2</v>
      </c>
      <c r="I913" t="n">
        <v>11</v>
      </c>
      <c r="J913" t="n">
        <v>3</v>
      </c>
      <c r="K913" t="n">
        <v>0</v>
      </c>
      <c r="L913" t="n">
        <v>210834</v>
      </c>
      <c r="M913" t="n">
        <v>275000</v>
      </c>
      <c r="N913" t="n">
        <v>91</v>
      </c>
      <c r="O913" t="n">
        <v>0.91</v>
      </c>
      <c r="P913" t="n">
        <v>1</v>
      </c>
      <c r="Q913" t="n">
        <v>0.19</v>
      </c>
      <c r="R913" t="n">
        <v>2</v>
      </c>
      <c r="S913" t="n">
        <v>42542.5</v>
      </c>
      <c r="T913" t="n">
        <v>40</v>
      </c>
      <c r="U913" t="n">
        <v>41</v>
      </c>
      <c r="V913" t="n">
        <v>30</v>
      </c>
      <c r="W913" t="n">
        <v>5</v>
      </c>
      <c r="X913" t="n">
        <v>51.71299288946348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12333</v>
      </c>
      <c r="AG913" t="n">
        <v>92</v>
      </c>
      <c r="AH913" t="inlineStr">
        <is>
          <t>PT. SAI (PDG)</t>
        </is>
      </c>
      <c r="AI913" t="n">
        <v>57</v>
      </c>
      <c r="AJ913" t="inlineStr">
        <is>
          <t>COSRX</t>
        </is>
      </c>
      <c r="AK913" t="n">
        <v>21</v>
      </c>
      <c r="AL913" t="inlineStr">
        <is>
          <t>Miss Glam Damar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COSRX</t>
        </is>
      </c>
      <c r="B914" s="2">
        <f>"10200225034"</f>
        <v/>
      </c>
      <c r="C914" t="inlineStr">
        <is>
          <t>COSRX Wash &amp; Moisture Bundle Pouch</t>
        </is>
      </c>
      <c r="D914" t="inlineStr">
        <is>
          <t>Miss Glam Damar</t>
        </is>
      </c>
      <c r="E914" t="n">
        <v>4</v>
      </c>
      <c r="F914" t="n">
        <v>0.0273</v>
      </c>
      <c r="G914" t="n">
        <v>0.91</v>
      </c>
      <c r="H914" t="n">
        <v>2</v>
      </c>
      <c r="I914" t="n">
        <v>11</v>
      </c>
      <c r="J914" t="n">
        <v>1</v>
      </c>
      <c r="K914" t="n">
        <v>0</v>
      </c>
      <c r="L914" t="n">
        <v>79200</v>
      </c>
      <c r="M914" t="n">
        <v>99000</v>
      </c>
      <c r="N914" t="n">
        <v>91</v>
      </c>
      <c r="O914" t="n">
        <v>0.91</v>
      </c>
      <c r="P914" t="n">
        <v>1</v>
      </c>
      <c r="Q914" t="n">
        <v>0.07000000000000001</v>
      </c>
      <c r="R914" t="n">
        <v>1</v>
      </c>
      <c r="S914" t="n">
        <v>2702.7</v>
      </c>
      <c r="T914" t="n">
        <v>10</v>
      </c>
      <c r="U914" t="n">
        <v>11</v>
      </c>
      <c r="V914" t="n">
        <v>30</v>
      </c>
      <c r="W914" t="n">
        <v>1</v>
      </c>
      <c r="X914" t="n">
        <v>146.5201465201465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12333</v>
      </c>
      <c r="AG914" t="n">
        <v>92</v>
      </c>
      <c r="AH914" t="inlineStr">
        <is>
          <t>PT. SAI (PDG)</t>
        </is>
      </c>
      <c r="AI914" t="n">
        <v>57</v>
      </c>
      <c r="AJ914" t="inlineStr">
        <is>
          <t>COSRX</t>
        </is>
      </c>
      <c r="AK914" t="n">
        <v>21</v>
      </c>
      <c r="AL914" t="inlineStr">
        <is>
          <t>Miss Glam Damar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COSRX</t>
        </is>
      </c>
      <c r="B915" s="2">
        <f>"10200225109"</f>
        <v/>
      </c>
      <c r="C915" t="inlineStr">
        <is>
          <t>COSRX Wash &amp; Toner Bundle Pouch</t>
        </is>
      </c>
      <c r="D915" t="inlineStr">
        <is>
          <t>Miss Glam Damar</t>
        </is>
      </c>
      <c r="E915" t="n">
        <v>6</v>
      </c>
      <c r="F915" t="n">
        <v>0.0273</v>
      </c>
      <c r="G915" t="n">
        <v>0.91</v>
      </c>
      <c r="H915" t="n">
        <v>2</v>
      </c>
      <c r="I915" t="n">
        <v>11</v>
      </c>
      <c r="J915" t="n">
        <v>1</v>
      </c>
      <c r="K915" t="n">
        <v>0</v>
      </c>
      <c r="L915" t="n">
        <v>79200</v>
      </c>
      <c r="M915" t="n">
        <v>99000</v>
      </c>
      <c r="N915" t="n">
        <v>91</v>
      </c>
      <c r="O915" t="n">
        <v>0.91</v>
      </c>
      <c r="P915" t="n">
        <v>1</v>
      </c>
      <c r="Q915" t="n">
        <v>0.24</v>
      </c>
      <c r="R915" t="n">
        <v>2</v>
      </c>
      <c r="S915" t="n">
        <v>2702.7</v>
      </c>
      <c r="T915" t="n">
        <v>10</v>
      </c>
      <c r="U915" t="n">
        <v>11</v>
      </c>
      <c r="V915" t="n">
        <v>30</v>
      </c>
      <c r="W915" t="n">
        <v>1</v>
      </c>
      <c r="X915" t="n">
        <v>219.7802197802198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12333</v>
      </c>
      <c r="AG915" t="n">
        <v>92</v>
      </c>
      <c r="AH915" t="inlineStr">
        <is>
          <t>PT. SAI (PDG)</t>
        </is>
      </c>
      <c r="AI915" t="n">
        <v>57</v>
      </c>
      <c r="AJ915" t="inlineStr">
        <is>
          <t>COSRX</t>
        </is>
      </c>
      <c r="AK915" t="n">
        <v>21</v>
      </c>
      <c r="AL915" t="inlineStr">
        <is>
          <t>Miss Glam Damar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COVER MAKE</t>
        </is>
      </c>
      <c r="B916" s="2">
        <f>"8997232437013"</f>
        <v/>
      </c>
      <c r="C916" t="inlineStr">
        <is>
          <t>COVER MAKE Lip Balm Berry Breeze 2,5gr</t>
        </is>
      </c>
      <c r="D916" t="inlineStr">
        <is>
          <t>Miss Glam Damar</t>
        </is>
      </c>
      <c r="E916" t="n">
        <v>10</v>
      </c>
      <c r="F916" t="n">
        <v>0.09100000000000001</v>
      </c>
      <c r="G916" t="n">
        <v>1.82</v>
      </c>
      <c r="H916" t="n">
        <v>2</v>
      </c>
      <c r="I916" t="n">
        <v>16</v>
      </c>
      <c r="J916" t="n">
        <v>3</v>
      </c>
      <c r="K916" t="n">
        <v>0</v>
      </c>
      <c r="L916" t="n">
        <v>17760</v>
      </c>
      <c r="M916" t="n">
        <v>23000</v>
      </c>
      <c r="N916" t="n">
        <v>91</v>
      </c>
      <c r="O916" t="n">
        <v>0.91</v>
      </c>
      <c r="P916" t="n">
        <v>1</v>
      </c>
      <c r="Q916" t="n">
        <v>0.1</v>
      </c>
      <c r="R916" t="n">
        <v>1</v>
      </c>
      <c r="S916" t="n">
        <v>2093</v>
      </c>
      <c r="T916" t="n">
        <v>29</v>
      </c>
      <c r="U916" t="n">
        <v>30</v>
      </c>
      <c r="V916" t="n">
        <v>30</v>
      </c>
      <c r="W916" t="n">
        <v>3</v>
      </c>
      <c r="X916" t="n">
        <v>109.8901098901099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437</v>
      </c>
      <c r="AG916" t="n">
        <v>107</v>
      </c>
      <c r="AH916" t="inlineStr">
        <is>
          <t xml:space="preserve">CV. DAHLIA - PPN (PDG) </t>
        </is>
      </c>
      <c r="AI916" t="n">
        <v>1772</v>
      </c>
      <c r="AJ916" t="inlineStr">
        <is>
          <t>COVER MAKE</t>
        </is>
      </c>
      <c r="AK916" t="n">
        <v>21</v>
      </c>
      <c r="AL916" t="inlineStr">
        <is>
          <t>Miss Glam Damar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COVER MAKE</t>
        </is>
      </c>
      <c r="B917" s="2">
        <f>"8997232437006"</f>
        <v/>
      </c>
      <c r="C917" t="inlineStr">
        <is>
          <t>COVER MAKE Lip Balm Brown Glaze 2,5gr</t>
        </is>
      </c>
      <c r="D917" t="inlineStr">
        <is>
          <t>Miss Glam Damar</t>
        </is>
      </c>
      <c r="E917" t="n">
        <v>13</v>
      </c>
      <c r="F917" t="n">
        <v>0.0273</v>
      </c>
      <c r="G917" t="n">
        <v>0.91</v>
      </c>
      <c r="H917" t="n">
        <v>2</v>
      </c>
      <c r="I917" t="n">
        <v>16</v>
      </c>
      <c r="J917" t="n">
        <v>3</v>
      </c>
      <c r="K917" t="n">
        <v>0</v>
      </c>
      <c r="L917" t="n">
        <v>17760</v>
      </c>
      <c r="M917" t="n">
        <v>23000</v>
      </c>
      <c r="N917" t="n">
        <v>91</v>
      </c>
      <c r="O917" t="n">
        <v>0.91</v>
      </c>
      <c r="P917" t="n">
        <v>1</v>
      </c>
      <c r="Q917" t="n">
        <v>0.02</v>
      </c>
      <c r="R917" t="n">
        <v>1</v>
      </c>
      <c r="S917" t="n">
        <v>627.9</v>
      </c>
      <c r="T917" t="n">
        <v>15</v>
      </c>
      <c r="U917" t="n">
        <v>16</v>
      </c>
      <c r="V917" t="n">
        <v>30</v>
      </c>
      <c r="W917" t="n">
        <v>1</v>
      </c>
      <c r="X917" t="n">
        <v>476.1904761904761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437</v>
      </c>
      <c r="AG917" t="n">
        <v>107</v>
      </c>
      <c r="AH917" t="inlineStr">
        <is>
          <t xml:space="preserve">CV. DAHLIA - PPN (PDG) </t>
        </is>
      </c>
      <c r="AI917" t="n">
        <v>1772</v>
      </c>
      <c r="AJ917" t="inlineStr">
        <is>
          <t>COVER MAKE</t>
        </is>
      </c>
      <c r="AK917" t="n">
        <v>21</v>
      </c>
      <c r="AL917" t="inlineStr">
        <is>
          <t>Miss Glam Damar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COVER MAKE</t>
        </is>
      </c>
      <c r="B918" s="2">
        <f>"8997232435217"</f>
        <v/>
      </c>
      <c r="C918" t="inlineStr">
        <is>
          <t>COVER MAKE Lip Balm Malibu Red 2,5gr</t>
        </is>
      </c>
      <c r="D918" t="inlineStr">
        <is>
          <t>Miss Glam Damar</t>
        </is>
      </c>
      <c r="E918" t="n">
        <v>3</v>
      </c>
      <c r="F918" t="n">
        <v>0.182</v>
      </c>
      <c r="G918" t="n">
        <v>1.82</v>
      </c>
      <c r="H918" t="n">
        <v>2</v>
      </c>
      <c r="I918" t="n">
        <v>16</v>
      </c>
      <c r="J918" t="n">
        <v>3</v>
      </c>
      <c r="K918" t="n">
        <v>0</v>
      </c>
      <c r="L918" t="n">
        <v>17760</v>
      </c>
      <c r="M918" t="n">
        <v>23000</v>
      </c>
      <c r="N918" t="n">
        <v>91</v>
      </c>
      <c r="O918" t="n">
        <v>0.91</v>
      </c>
      <c r="P918" t="n">
        <v>1</v>
      </c>
      <c r="Q918" t="n">
        <v>0.14</v>
      </c>
      <c r="R918" t="n">
        <v>3</v>
      </c>
      <c r="S918" t="n">
        <v>4186.000000000001</v>
      </c>
      <c r="T918" t="n">
        <v>29</v>
      </c>
      <c r="U918" t="n">
        <v>30</v>
      </c>
      <c r="V918" t="n">
        <v>30</v>
      </c>
      <c r="W918" t="n">
        <v>6</v>
      </c>
      <c r="X918" t="n">
        <v>16.48351648351648</v>
      </c>
      <c r="Y918" t="n">
        <v>1</v>
      </c>
      <c r="Z918" t="n">
        <v>3</v>
      </c>
      <c r="AA918" t="n">
        <v>0</v>
      </c>
      <c r="AB918" t="n">
        <v>3</v>
      </c>
      <c r="AC918" t="n">
        <v>3</v>
      </c>
      <c r="AD918" t="n">
        <v>0</v>
      </c>
      <c r="AE918" t="n">
        <v>53280</v>
      </c>
      <c r="AF918" t="n">
        <v>437</v>
      </c>
      <c r="AG918" t="n">
        <v>107</v>
      </c>
      <c r="AH918" t="inlineStr">
        <is>
          <t xml:space="preserve">CV. DAHLIA - PPN (PDG) </t>
        </is>
      </c>
      <c r="AI918" t="n">
        <v>1772</v>
      </c>
      <c r="AJ918" t="inlineStr">
        <is>
          <t>COVER MAKE</t>
        </is>
      </c>
      <c r="AK918" t="n">
        <v>21</v>
      </c>
      <c r="AL918" t="inlineStr">
        <is>
          <t>Miss Glam Damar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COVER MAKE</t>
        </is>
      </c>
      <c r="B919" s="2">
        <f>"8997232435187"</f>
        <v/>
      </c>
      <c r="C919" t="inlineStr">
        <is>
          <t>COVER MAKE Lip Balm Peach Salmon 2,5gr</t>
        </is>
      </c>
      <c r="D919" t="inlineStr">
        <is>
          <t>Miss Glam Damar</t>
        </is>
      </c>
      <c r="E919" t="n">
        <v>2</v>
      </c>
      <c r="F919" t="n">
        <v>0.09100000000000001</v>
      </c>
      <c r="G919" t="n">
        <v>0.91</v>
      </c>
      <c r="H919" t="n">
        <v>2</v>
      </c>
      <c r="I919" t="n">
        <v>16</v>
      </c>
      <c r="J919" t="n">
        <v>3</v>
      </c>
      <c r="K919" t="n">
        <v>0</v>
      </c>
      <c r="L919" t="n">
        <v>17760</v>
      </c>
      <c r="M919" t="n">
        <v>23000</v>
      </c>
      <c r="N919" t="n">
        <v>91</v>
      </c>
      <c r="O919" t="n">
        <v>0.91</v>
      </c>
      <c r="P919" t="n">
        <v>1</v>
      </c>
      <c r="Q919" t="n">
        <v>0.03</v>
      </c>
      <c r="R919" t="n">
        <v>1</v>
      </c>
      <c r="S919" t="n">
        <v>2093</v>
      </c>
      <c r="T919" t="n">
        <v>15</v>
      </c>
      <c r="U919" t="n">
        <v>16</v>
      </c>
      <c r="V919" t="n">
        <v>30</v>
      </c>
      <c r="W919" t="n">
        <v>3</v>
      </c>
      <c r="X919" t="n">
        <v>21.97802197802197</v>
      </c>
      <c r="Y919" t="n">
        <v>1</v>
      </c>
      <c r="Z919" t="n">
        <v>1</v>
      </c>
      <c r="AA919" t="n">
        <v>0</v>
      </c>
      <c r="AB919" t="n">
        <v>1</v>
      </c>
      <c r="AC919" t="n">
        <v>3</v>
      </c>
      <c r="AD919" t="n">
        <v>0</v>
      </c>
      <c r="AE919" t="n">
        <v>53280</v>
      </c>
      <c r="AF919" t="n">
        <v>437</v>
      </c>
      <c r="AG919" t="n">
        <v>107</v>
      </c>
      <c r="AH919" t="inlineStr">
        <is>
          <t xml:space="preserve">CV. DAHLIA - PPN (PDG) </t>
        </is>
      </c>
      <c r="AI919" t="n">
        <v>1772</v>
      </c>
      <c r="AJ919" t="inlineStr">
        <is>
          <t>COVER MAKE</t>
        </is>
      </c>
      <c r="AK919" t="n">
        <v>21</v>
      </c>
      <c r="AL919" t="inlineStr">
        <is>
          <t>Miss Glam Damar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COVER MAKE</t>
        </is>
      </c>
      <c r="B920" s="2">
        <f>"8997232435194"</f>
        <v/>
      </c>
      <c r="C920" t="inlineStr">
        <is>
          <t>COVER MAKE Lip Balm Pink Crush 2,5gr</t>
        </is>
      </c>
      <c r="D920" t="inlineStr">
        <is>
          <t>Miss Glam Damar</t>
        </is>
      </c>
      <c r="E920" t="n">
        <v>13</v>
      </c>
      <c r="F920" t="n">
        <v>0.2821</v>
      </c>
      <c r="G920" t="n">
        <v>2.73</v>
      </c>
      <c r="H920" t="n">
        <v>2</v>
      </c>
      <c r="I920" t="n">
        <v>16</v>
      </c>
      <c r="J920" t="n">
        <v>3</v>
      </c>
      <c r="K920" t="n">
        <v>0</v>
      </c>
      <c r="L920" t="n">
        <v>17760</v>
      </c>
      <c r="M920" t="n">
        <v>23000</v>
      </c>
      <c r="N920" t="n">
        <v>91</v>
      </c>
      <c r="O920" t="n">
        <v>0.91</v>
      </c>
      <c r="P920" t="n">
        <v>1</v>
      </c>
      <c r="Q920" t="n">
        <v>0.22</v>
      </c>
      <c r="R920" t="n">
        <v>2</v>
      </c>
      <c r="S920" t="n">
        <v>6488.3</v>
      </c>
      <c r="T920" t="n">
        <v>44</v>
      </c>
      <c r="U920" t="n">
        <v>45</v>
      </c>
      <c r="V920" t="n">
        <v>30</v>
      </c>
      <c r="W920" t="n">
        <v>9</v>
      </c>
      <c r="X920" t="n">
        <v>46.08294930875576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437</v>
      </c>
      <c r="AG920" t="n">
        <v>107</v>
      </c>
      <c r="AH920" t="inlineStr">
        <is>
          <t xml:space="preserve">CV. DAHLIA - PPN (PDG) </t>
        </is>
      </c>
      <c r="AI920" t="n">
        <v>1772</v>
      </c>
      <c r="AJ920" t="inlineStr">
        <is>
          <t>COVER MAKE</t>
        </is>
      </c>
      <c r="AK920" t="n">
        <v>21</v>
      </c>
      <c r="AL920" t="inlineStr">
        <is>
          <t>Miss Glam Damar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COVER MAKE</t>
        </is>
      </c>
      <c r="B921" s="2">
        <f>"8997232435200"</f>
        <v/>
      </c>
      <c r="C921" t="inlineStr">
        <is>
          <t>COVER MAKE Lip Balm Strawberry Sorbet 2,5gr</t>
        </is>
      </c>
      <c r="D921" t="inlineStr">
        <is>
          <t>Miss Glam Damar</t>
        </is>
      </c>
      <c r="E921" t="n">
        <v>14</v>
      </c>
      <c r="F921" t="n">
        <v>0.06370000000000001</v>
      </c>
      <c r="G921" t="n">
        <v>0.91</v>
      </c>
      <c r="H921" t="n">
        <v>2</v>
      </c>
      <c r="I921" t="n">
        <v>16</v>
      </c>
      <c r="J921" t="n">
        <v>3</v>
      </c>
      <c r="K921" t="n">
        <v>0</v>
      </c>
      <c r="L921" t="n">
        <v>17760</v>
      </c>
      <c r="M921" t="n">
        <v>23000</v>
      </c>
      <c r="N921" t="n">
        <v>91</v>
      </c>
      <c r="O921" t="n">
        <v>0.91</v>
      </c>
      <c r="P921" t="n">
        <v>1</v>
      </c>
      <c r="Q921" t="n">
        <v>0.03</v>
      </c>
      <c r="R921" t="n">
        <v>1</v>
      </c>
      <c r="S921" t="n">
        <v>1465.1</v>
      </c>
      <c r="T921" t="n">
        <v>15</v>
      </c>
      <c r="U921" t="n">
        <v>16</v>
      </c>
      <c r="V921" t="n">
        <v>30</v>
      </c>
      <c r="W921" t="n">
        <v>2</v>
      </c>
      <c r="X921" t="n">
        <v>219.7802197802198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437</v>
      </c>
      <c r="AG921" t="n">
        <v>107</v>
      </c>
      <c r="AH921" t="inlineStr">
        <is>
          <t xml:space="preserve">CV. DAHLIA - PPN (PDG) </t>
        </is>
      </c>
      <c r="AI921" t="n">
        <v>1772</v>
      </c>
      <c r="AJ921" t="inlineStr">
        <is>
          <t>COVER MAKE</t>
        </is>
      </c>
      <c r="AK921" t="n">
        <v>21</v>
      </c>
      <c r="AL921" t="inlineStr">
        <is>
          <t>Miss Glam Damar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COVER MAKE</t>
        </is>
      </c>
      <c r="B922" s="2">
        <f>"8997232437020"</f>
        <v/>
      </c>
      <c r="C922" t="inlineStr">
        <is>
          <t>COVER MAKE Nail Polish 01 Clear 7ml</t>
        </is>
      </c>
      <c r="D922" t="inlineStr">
        <is>
          <t>Miss Glam Damar</t>
        </is>
      </c>
      <c r="E922" t="n">
        <v>28</v>
      </c>
      <c r="F922" t="n">
        <v>2.2477</v>
      </c>
      <c r="G922" t="n">
        <v>7.28</v>
      </c>
      <c r="H922" t="n">
        <v>2</v>
      </c>
      <c r="I922" t="n">
        <v>16</v>
      </c>
      <c r="J922" t="n">
        <v>3</v>
      </c>
      <c r="K922" t="n">
        <v>0</v>
      </c>
      <c r="L922" t="n">
        <v>4800</v>
      </c>
      <c r="M922" t="n">
        <v>6000</v>
      </c>
      <c r="N922" t="n">
        <v>91</v>
      </c>
      <c r="O922" t="n">
        <v>0.91</v>
      </c>
      <c r="P922" t="n">
        <v>1</v>
      </c>
      <c r="Q922" t="n">
        <v>3.03</v>
      </c>
      <c r="R922" t="n">
        <v>8</v>
      </c>
      <c r="S922" t="n">
        <v>13486.2</v>
      </c>
      <c r="T922" t="n">
        <v>112</v>
      </c>
      <c r="U922" t="n">
        <v>117</v>
      </c>
      <c r="V922" t="n">
        <v>30</v>
      </c>
      <c r="W922" t="n">
        <v>68</v>
      </c>
      <c r="X922" t="n">
        <v>12.45717844908128</v>
      </c>
      <c r="Y922" t="n">
        <v>1</v>
      </c>
      <c r="Z922" t="n">
        <v>40</v>
      </c>
      <c r="AA922" t="n">
        <v>8</v>
      </c>
      <c r="AB922" t="n">
        <v>32</v>
      </c>
      <c r="AC922" t="n">
        <v>32</v>
      </c>
      <c r="AD922" t="n">
        <v>38400</v>
      </c>
      <c r="AE922" t="n">
        <v>153600</v>
      </c>
      <c r="AF922" t="n">
        <v>437</v>
      </c>
      <c r="AG922" t="n">
        <v>107</v>
      </c>
      <c r="AH922" t="inlineStr">
        <is>
          <t xml:space="preserve">CV. DAHLIA - PPN (PDG) </t>
        </is>
      </c>
      <c r="AI922" t="n">
        <v>1772</v>
      </c>
      <c r="AJ922" t="inlineStr">
        <is>
          <t>COVER MAKE</t>
        </is>
      </c>
      <c r="AK922" t="n">
        <v>21</v>
      </c>
      <c r="AL922" t="inlineStr">
        <is>
          <t>Miss Glam Damar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COVER MAKE</t>
        </is>
      </c>
      <c r="B923" s="2">
        <f>"8997232437037"</f>
        <v/>
      </c>
      <c r="C923" t="inlineStr">
        <is>
          <t>COVER MAKE Nail Polish 02 Peach Blink 7ml</t>
        </is>
      </c>
      <c r="D923" t="inlineStr">
        <is>
          <t>Miss Glam Damar</t>
        </is>
      </c>
      <c r="E923" t="n">
        <v>18</v>
      </c>
      <c r="F923" t="n">
        <v>0.9737000000000001</v>
      </c>
      <c r="G923" t="n">
        <v>4.55</v>
      </c>
      <c r="H923" t="n">
        <v>2</v>
      </c>
      <c r="I923" t="n">
        <v>16</v>
      </c>
      <c r="J923" t="n">
        <v>3</v>
      </c>
      <c r="K923" t="n">
        <v>0</v>
      </c>
      <c r="L923" t="n">
        <v>4800</v>
      </c>
      <c r="M923" t="n">
        <v>6000</v>
      </c>
      <c r="N923" t="n">
        <v>91</v>
      </c>
      <c r="O923" t="n">
        <v>0.91</v>
      </c>
      <c r="P923" t="n">
        <v>1</v>
      </c>
      <c r="Q923" t="n">
        <v>1.2</v>
      </c>
      <c r="R923" t="n">
        <v>4</v>
      </c>
      <c r="S923" t="n">
        <v>5842.200000000001</v>
      </c>
      <c r="T923" t="n">
        <v>71</v>
      </c>
      <c r="U923" t="n">
        <v>73</v>
      </c>
      <c r="V923" t="n">
        <v>30</v>
      </c>
      <c r="W923" t="n">
        <v>30</v>
      </c>
      <c r="X923" t="n">
        <v>18.48618671048578</v>
      </c>
      <c r="Y923" t="n">
        <v>1</v>
      </c>
      <c r="Z923" t="n">
        <v>12</v>
      </c>
      <c r="AA923" t="n">
        <v>0</v>
      </c>
      <c r="AB923" t="n">
        <v>12</v>
      </c>
      <c r="AC923" t="n">
        <v>12</v>
      </c>
      <c r="AD923" t="n">
        <v>0</v>
      </c>
      <c r="AE923" t="n">
        <v>57600</v>
      </c>
      <c r="AF923" t="n">
        <v>437</v>
      </c>
      <c r="AG923" t="n">
        <v>107</v>
      </c>
      <c r="AH923" t="inlineStr">
        <is>
          <t xml:space="preserve">CV. DAHLIA - PPN (PDG) </t>
        </is>
      </c>
      <c r="AI923" t="n">
        <v>1772</v>
      </c>
      <c r="AJ923" t="inlineStr">
        <is>
          <t>COVER MAKE</t>
        </is>
      </c>
      <c r="AK923" t="n">
        <v>21</v>
      </c>
      <c r="AL923" t="inlineStr">
        <is>
          <t>Miss Glam Damar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COVER MAKE</t>
        </is>
      </c>
      <c r="B924" s="2">
        <f>"8997232437044"</f>
        <v/>
      </c>
      <c r="C924" t="inlineStr">
        <is>
          <t>COVER MAKE Nail Polish 03 Nude 7ml</t>
        </is>
      </c>
      <c r="D924" t="inlineStr">
        <is>
          <t>Miss Glam Damar</t>
        </is>
      </c>
      <c r="E924" t="n">
        <v>21</v>
      </c>
      <c r="F924" t="n">
        <v>0.2912</v>
      </c>
      <c r="G924" t="n">
        <v>1.82</v>
      </c>
      <c r="H924" t="n">
        <v>2</v>
      </c>
      <c r="I924" t="n">
        <v>16</v>
      </c>
      <c r="J924" t="n">
        <v>3</v>
      </c>
      <c r="K924" t="n">
        <v>0</v>
      </c>
      <c r="L924" t="n">
        <v>4800</v>
      </c>
      <c r="M924" t="n">
        <v>6000</v>
      </c>
      <c r="N924" t="n">
        <v>91</v>
      </c>
      <c r="O924" t="n">
        <v>0.91</v>
      </c>
      <c r="P924" t="n">
        <v>1</v>
      </c>
      <c r="Q924" t="n">
        <v>0.49</v>
      </c>
      <c r="R924" t="n">
        <v>3</v>
      </c>
      <c r="S924" t="n">
        <v>1747.2</v>
      </c>
      <c r="T924" t="n">
        <v>29</v>
      </c>
      <c r="U924" t="n">
        <v>30</v>
      </c>
      <c r="V924" t="n">
        <v>30</v>
      </c>
      <c r="W924" t="n">
        <v>9</v>
      </c>
      <c r="X924" t="n">
        <v>72.11538461538461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437</v>
      </c>
      <c r="AG924" t="n">
        <v>107</v>
      </c>
      <c r="AH924" t="inlineStr">
        <is>
          <t xml:space="preserve">CV. DAHLIA - PPN (PDG) </t>
        </is>
      </c>
      <c r="AI924" t="n">
        <v>1772</v>
      </c>
      <c r="AJ924" t="inlineStr">
        <is>
          <t>COVER MAKE</t>
        </is>
      </c>
      <c r="AK924" t="n">
        <v>21</v>
      </c>
      <c r="AL924" t="inlineStr">
        <is>
          <t>Miss Glam Damar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COVER MAKE</t>
        </is>
      </c>
      <c r="B925" s="2">
        <f>"8997232437051"</f>
        <v/>
      </c>
      <c r="C925" t="inlineStr">
        <is>
          <t>COVER MAKE Nail Polish 04 Mauve Blink 7ml</t>
        </is>
      </c>
      <c r="D925" t="inlineStr">
        <is>
          <t>Miss Glam Damar</t>
        </is>
      </c>
      <c r="E925" t="n">
        <v>6</v>
      </c>
      <c r="F925" t="n">
        <v>0.7735</v>
      </c>
      <c r="G925" t="n">
        <v>4.55</v>
      </c>
      <c r="H925" t="n">
        <v>2</v>
      </c>
      <c r="I925" t="n">
        <v>16</v>
      </c>
      <c r="J925" t="n">
        <v>3</v>
      </c>
      <c r="K925" t="n">
        <v>0</v>
      </c>
      <c r="L925" t="n">
        <v>4800</v>
      </c>
      <c r="M925" t="n">
        <v>6000</v>
      </c>
      <c r="N925" t="n">
        <v>91</v>
      </c>
      <c r="O925" t="n">
        <v>0.91</v>
      </c>
      <c r="P925" t="n">
        <v>1</v>
      </c>
      <c r="Q925" t="n">
        <v>0.76</v>
      </c>
      <c r="R925" t="n">
        <v>4</v>
      </c>
      <c r="S925" t="n">
        <v>4641</v>
      </c>
      <c r="T925" t="n">
        <v>72</v>
      </c>
      <c r="U925" t="n">
        <v>74</v>
      </c>
      <c r="V925" t="n">
        <v>30</v>
      </c>
      <c r="W925" t="n">
        <v>24</v>
      </c>
      <c r="X925" t="n">
        <v>7.756948933419522</v>
      </c>
      <c r="Y925" t="n">
        <v>1</v>
      </c>
      <c r="Z925" t="n">
        <v>18</v>
      </c>
      <c r="AA925" t="n">
        <v>7</v>
      </c>
      <c r="AB925" t="n">
        <v>11</v>
      </c>
      <c r="AC925" t="n">
        <v>11</v>
      </c>
      <c r="AD925" t="n">
        <v>33600</v>
      </c>
      <c r="AE925" t="n">
        <v>52800</v>
      </c>
      <c r="AF925" t="n">
        <v>437</v>
      </c>
      <c r="AG925" t="n">
        <v>107</v>
      </c>
      <c r="AH925" t="inlineStr">
        <is>
          <t xml:space="preserve">CV. DAHLIA - PPN (PDG) </t>
        </is>
      </c>
      <c r="AI925" t="n">
        <v>1772</v>
      </c>
      <c r="AJ925" t="inlineStr">
        <is>
          <t>COVER MAKE</t>
        </is>
      </c>
      <c r="AK925" t="n">
        <v>21</v>
      </c>
      <c r="AL925" t="inlineStr">
        <is>
          <t>Miss Glam Damar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COVER MAKE</t>
        </is>
      </c>
      <c r="B926" s="2">
        <f>"8997232437068"</f>
        <v/>
      </c>
      <c r="C926" t="inlineStr">
        <is>
          <t>COVER MAKE Nail Polish 05 Magenta 7ml</t>
        </is>
      </c>
      <c r="D926" t="inlineStr">
        <is>
          <t>Miss Glam Damar</t>
        </is>
      </c>
      <c r="E926" t="n">
        <v>10</v>
      </c>
      <c r="F926" t="n">
        <v>0.2457</v>
      </c>
      <c r="G926" t="n">
        <v>1.82</v>
      </c>
      <c r="H926" t="n">
        <v>2</v>
      </c>
      <c r="I926" t="n">
        <v>16</v>
      </c>
      <c r="J926" t="n">
        <v>3</v>
      </c>
      <c r="K926" t="n">
        <v>0</v>
      </c>
      <c r="L926" t="n">
        <v>4800</v>
      </c>
      <c r="M926" t="n">
        <v>6000</v>
      </c>
      <c r="N926" t="n">
        <v>91</v>
      </c>
      <c r="O926" t="n">
        <v>0.91</v>
      </c>
      <c r="P926" t="n">
        <v>1</v>
      </c>
      <c r="Q926" t="n">
        <v>0.31</v>
      </c>
      <c r="R926" t="n">
        <v>3</v>
      </c>
      <c r="S926" t="n">
        <v>1474.2</v>
      </c>
      <c r="T926" t="n">
        <v>29</v>
      </c>
      <c r="U926" t="n">
        <v>30</v>
      </c>
      <c r="V926" t="n">
        <v>30</v>
      </c>
      <c r="W926" t="n">
        <v>8</v>
      </c>
      <c r="X926" t="n">
        <v>40.7000407000407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437</v>
      </c>
      <c r="AG926" t="n">
        <v>107</v>
      </c>
      <c r="AH926" t="inlineStr">
        <is>
          <t xml:space="preserve">CV. DAHLIA - PPN (PDG) </t>
        </is>
      </c>
      <c r="AI926" t="n">
        <v>1772</v>
      </c>
      <c r="AJ926" t="inlineStr">
        <is>
          <t>COVER MAKE</t>
        </is>
      </c>
      <c r="AK926" t="n">
        <v>21</v>
      </c>
      <c r="AL926" t="inlineStr">
        <is>
          <t>Miss Glam Damar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COVER MAKE</t>
        </is>
      </c>
      <c r="B927" s="2">
        <f>"8997232437075"</f>
        <v/>
      </c>
      <c r="C927" t="inlineStr">
        <is>
          <t>COVER MAKE Nail Polish 06 Pink Blink 7ml</t>
        </is>
      </c>
      <c r="D927" t="inlineStr">
        <is>
          <t>Miss Glam Damar</t>
        </is>
      </c>
      <c r="E927" t="n">
        <v>20</v>
      </c>
      <c r="F927" t="n">
        <v>0.3367</v>
      </c>
      <c r="G927" t="n">
        <v>2.73</v>
      </c>
      <c r="H927" t="n">
        <v>2</v>
      </c>
      <c r="I927" t="n">
        <v>16</v>
      </c>
      <c r="J927" t="n">
        <v>3</v>
      </c>
      <c r="K927" t="n">
        <v>0</v>
      </c>
      <c r="L927" t="n">
        <v>4800</v>
      </c>
      <c r="M927" t="n">
        <v>6000</v>
      </c>
      <c r="N927" t="n">
        <v>91</v>
      </c>
      <c r="O927" t="n">
        <v>0.91</v>
      </c>
      <c r="P927" t="n">
        <v>1</v>
      </c>
      <c r="Q927" t="n">
        <v>0.95</v>
      </c>
      <c r="R927" t="n">
        <v>4</v>
      </c>
      <c r="S927" t="n">
        <v>2020.2</v>
      </c>
      <c r="T927" t="n">
        <v>44</v>
      </c>
      <c r="U927" t="n">
        <v>45</v>
      </c>
      <c r="V927" t="n">
        <v>30</v>
      </c>
      <c r="W927" t="n">
        <v>11</v>
      </c>
      <c r="X927" t="n">
        <v>59.4000594000594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437</v>
      </c>
      <c r="AG927" t="n">
        <v>107</v>
      </c>
      <c r="AH927" t="inlineStr">
        <is>
          <t xml:space="preserve">CV. DAHLIA - PPN (PDG) </t>
        </is>
      </c>
      <c r="AI927" t="n">
        <v>1772</v>
      </c>
      <c r="AJ927" t="inlineStr">
        <is>
          <t>COVER MAKE</t>
        </is>
      </c>
      <c r="AK927" t="n">
        <v>21</v>
      </c>
      <c r="AL927" t="inlineStr">
        <is>
          <t>Miss Glam Damar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COVER MAKE</t>
        </is>
      </c>
      <c r="B928" s="2">
        <f>"8997232437082"</f>
        <v/>
      </c>
      <c r="C928" t="inlineStr">
        <is>
          <t>COVER MAKE Nail Polish 07 Black 7ml</t>
        </is>
      </c>
      <c r="D928" t="inlineStr">
        <is>
          <t>Miss Glam Damar</t>
        </is>
      </c>
      <c r="E928" t="n">
        <v>13</v>
      </c>
      <c r="F928" t="n">
        <v>0.1729</v>
      </c>
      <c r="G928" t="n">
        <v>1.82</v>
      </c>
      <c r="H928" t="n">
        <v>2</v>
      </c>
      <c r="I928" t="n">
        <v>16</v>
      </c>
      <c r="J928" t="n">
        <v>3</v>
      </c>
      <c r="K928" t="n">
        <v>0</v>
      </c>
      <c r="L928" t="n">
        <v>4800</v>
      </c>
      <c r="M928" t="n">
        <v>6000</v>
      </c>
      <c r="N928" t="n">
        <v>91</v>
      </c>
      <c r="O928" t="n">
        <v>0.91</v>
      </c>
      <c r="P928" t="n">
        <v>1</v>
      </c>
      <c r="Q928" t="n">
        <v>0.32</v>
      </c>
      <c r="R928" t="n">
        <v>2</v>
      </c>
      <c r="S928" t="n">
        <v>1037.4</v>
      </c>
      <c r="T928" t="n">
        <v>29</v>
      </c>
      <c r="U928" t="n">
        <v>30</v>
      </c>
      <c r="V928" t="n">
        <v>30</v>
      </c>
      <c r="W928" t="n">
        <v>6</v>
      </c>
      <c r="X928" t="n">
        <v>75.18796992481204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437</v>
      </c>
      <c r="AG928" t="n">
        <v>107</v>
      </c>
      <c r="AH928" t="inlineStr">
        <is>
          <t xml:space="preserve">CV. DAHLIA - PPN (PDG) </t>
        </is>
      </c>
      <c r="AI928" t="n">
        <v>1772</v>
      </c>
      <c r="AJ928" t="inlineStr">
        <is>
          <t>COVER MAKE</t>
        </is>
      </c>
      <c r="AK928" t="n">
        <v>21</v>
      </c>
      <c r="AL928" t="inlineStr">
        <is>
          <t>Miss Glam Damar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COVER MAKE</t>
        </is>
      </c>
      <c r="B929" s="2">
        <f>"8997232437099"</f>
        <v/>
      </c>
      <c r="C929" t="inlineStr">
        <is>
          <t>COVER MAKE Nail Polish 08 Brown 7ml</t>
        </is>
      </c>
      <c r="D929" t="inlineStr">
        <is>
          <t>Miss Glam Damar</t>
        </is>
      </c>
      <c r="E929" t="n">
        <v>13</v>
      </c>
      <c r="F929" t="n">
        <v>0.09100000000000001</v>
      </c>
      <c r="G929" t="n">
        <v>0.91</v>
      </c>
      <c r="H929" t="n">
        <v>2</v>
      </c>
      <c r="I929" t="n">
        <v>16</v>
      </c>
      <c r="J929" t="n">
        <v>3</v>
      </c>
      <c r="K929" t="n">
        <v>0</v>
      </c>
      <c r="L929" t="n">
        <v>4800</v>
      </c>
      <c r="M929" t="n">
        <v>6000</v>
      </c>
      <c r="N929" t="n">
        <v>91</v>
      </c>
      <c r="O929" t="n">
        <v>0.91</v>
      </c>
      <c r="P929" t="n">
        <v>1</v>
      </c>
      <c r="Q929" t="n">
        <v>0.27</v>
      </c>
      <c r="R929" t="n">
        <v>3</v>
      </c>
      <c r="S929" t="n">
        <v>546.0000000000001</v>
      </c>
      <c r="T929" t="n">
        <v>15</v>
      </c>
      <c r="U929" t="n">
        <v>16</v>
      </c>
      <c r="V929" t="n">
        <v>30</v>
      </c>
      <c r="W929" t="n">
        <v>3</v>
      </c>
      <c r="X929" t="n">
        <v>142.8571428571428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437</v>
      </c>
      <c r="AG929" t="n">
        <v>107</v>
      </c>
      <c r="AH929" t="inlineStr">
        <is>
          <t xml:space="preserve">CV. DAHLIA - PPN (PDG) </t>
        </is>
      </c>
      <c r="AI929" t="n">
        <v>1772</v>
      </c>
      <c r="AJ929" t="inlineStr">
        <is>
          <t>COVER MAKE</t>
        </is>
      </c>
      <c r="AK929" t="n">
        <v>21</v>
      </c>
      <c r="AL929" t="inlineStr">
        <is>
          <t>Miss Glam Damar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COVER MAKE</t>
        </is>
      </c>
      <c r="B930" s="2">
        <f>"8997232437112"</f>
        <v/>
      </c>
      <c r="C930" t="inlineStr">
        <is>
          <t>COVER MAKE Nail Polish 10 Red Wine 7ml</t>
        </is>
      </c>
      <c r="D930" t="inlineStr">
        <is>
          <t>Miss Glam Damar</t>
        </is>
      </c>
      <c r="E930" t="n">
        <v>96</v>
      </c>
      <c r="F930" t="n">
        <v>4.085900000000001</v>
      </c>
      <c r="G930" t="n">
        <v>22.75</v>
      </c>
      <c r="H930" t="n">
        <v>2</v>
      </c>
      <c r="I930" t="n">
        <v>16</v>
      </c>
      <c r="J930" t="n">
        <v>3</v>
      </c>
      <c r="K930" t="n">
        <v>0</v>
      </c>
      <c r="L930" t="n">
        <v>4800</v>
      </c>
      <c r="M930" t="n">
        <v>6000</v>
      </c>
      <c r="N930" t="n">
        <v>91</v>
      </c>
      <c r="O930" t="n">
        <v>0.91</v>
      </c>
      <c r="P930" t="n">
        <v>1</v>
      </c>
      <c r="Q930" t="n">
        <v>14.63</v>
      </c>
      <c r="R930" t="n">
        <v>32</v>
      </c>
      <c r="S930" t="n">
        <v>24515.4</v>
      </c>
      <c r="T930" t="n">
        <v>356</v>
      </c>
      <c r="U930" t="n">
        <v>365</v>
      </c>
      <c r="V930" t="n">
        <v>30</v>
      </c>
      <c r="W930" t="n">
        <v>123</v>
      </c>
      <c r="X930" t="n">
        <v>23.49543552216158</v>
      </c>
      <c r="Y930" t="n">
        <v>1</v>
      </c>
      <c r="Z930" t="n">
        <v>27</v>
      </c>
      <c r="AA930" t="n">
        <v>0</v>
      </c>
      <c r="AB930" t="n">
        <v>27</v>
      </c>
      <c r="AC930" t="n">
        <v>27</v>
      </c>
      <c r="AD930" t="n">
        <v>0</v>
      </c>
      <c r="AE930" t="n">
        <v>129600</v>
      </c>
      <c r="AF930" t="n">
        <v>437</v>
      </c>
      <c r="AG930" t="n">
        <v>107</v>
      </c>
      <c r="AH930" t="inlineStr">
        <is>
          <t xml:space="preserve">CV. DAHLIA - PPN (PDG) </t>
        </is>
      </c>
      <c r="AI930" t="n">
        <v>1772</v>
      </c>
      <c r="AJ930" t="inlineStr">
        <is>
          <t>COVER MAKE</t>
        </is>
      </c>
      <c r="AK930" t="n">
        <v>21</v>
      </c>
      <c r="AL930" t="inlineStr">
        <is>
          <t>Miss Glam Damar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COVER MAKE</t>
        </is>
      </c>
      <c r="B931" s="2">
        <f>"8997232437129"</f>
        <v/>
      </c>
      <c r="C931" t="inlineStr">
        <is>
          <t>COVER MAKE Nail Polish 11 Matcha 7ml</t>
        </is>
      </c>
      <c r="D931" t="inlineStr">
        <is>
          <t>Miss Glam Damar</t>
        </is>
      </c>
      <c r="E931" t="n">
        <v>8</v>
      </c>
      <c r="F931" t="n">
        <v>0.2912</v>
      </c>
      <c r="G931" t="n">
        <v>2.73</v>
      </c>
      <c r="H931" t="n">
        <v>2</v>
      </c>
      <c r="I931" t="n">
        <v>16</v>
      </c>
      <c r="J931" t="n">
        <v>3</v>
      </c>
      <c r="K931" t="n">
        <v>0</v>
      </c>
      <c r="L931" t="n">
        <v>4800</v>
      </c>
      <c r="M931" t="n">
        <v>6000</v>
      </c>
      <c r="N931" t="n">
        <v>91</v>
      </c>
      <c r="O931" t="n">
        <v>0.91</v>
      </c>
      <c r="P931" t="n">
        <v>1</v>
      </c>
      <c r="Q931" t="n">
        <v>0.42</v>
      </c>
      <c r="R931" t="n">
        <v>2</v>
      </c>
      <c r="S931" t="n">
        <v>1747.2</v>
      </c>
      <c r="T931" t="n">
        <v>44</v>
      </c>
      <c r="U931" t="n">
        <v>45</v>
      </c>
      <c r="V931" t="n">
        <v>30</v>
      </c>
      <c r="W931" t="n">
        <v>9</v>
      </c>
      <c r="X931" t="n">
        <v>27.47252747252747</v>
      </c>
      <c r="Y931" t="n">
        <v>1</v>
      </c>
      <c r="Z931" t="n">
        <v>1</v>
      </c>
      <c r="AA931" t="n">
        <v>0</v>
      </c>
      <c r="AB931" t="n">
        <v>1</v>
      </c>
      <c r="AC931" t="n">
        <v>3</v>
      </c>
      <c r="AD931" t="n">
        <v>0</v>
      </c>
      <c r="AE931" t="n">
        <v>14400</v>
      </c>
      <c r="AF931" t="n">
        <v>437</v>
      </c>
      <c r="AG931" t="n">
        <v>107</v>
      </c>
      <c r="AH931" t="inlineStr">
        <is>
          <t xml:space="preserve">CV. DAHLIA - PPN (PDG) </t>
        </is>
      </c>
      <c r="AI931" t="n">
        <v>1772</v>
      </c>
      <c r="AJ931" t="inlineStr">
        <is>
          <t>COVER MAKE</t>
        </is>
      </c>
      <c r="AK931" t="n">
        <v>21</v>
      </c>
      <c r="AL931" t="inlineStr">
        <is>
          <t>Miss Glam Damar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COVER MAKE</t>
        </is>
      </c>
      <c r="B932" s="2">
        <f>"8997232437136"</f>
        <v/>
      </c>
      <c r="C932" t="inlineStr">
        <is>
          <t>COVER MAKE Nail Polish 12 Blue 7ml</t>
        </is>
      </c>
      <c r="D932" t="inlineStr">
        <is>
          <t>Miss Glam Damar</t>
        </is>
      </c>
      <c r="E932" t="n">
        <v>11</v>
      </c>
      <c r="F932" t="n">
        <v>0.2912</v>
      </c>
      <c r="G932" t="n">
        <v>1.82</v>
      </c>
      <c r="H932" t="n">
        <v>2</v>
      </c>
      <c r="I932" t="n">
        <v>16</v>
      </c>
      <c r="J932" t="n">
        <v>3</v>
      </c>
      <c r="K932" t="n">
        <v>0</v>
      </c>
      <c r="L932" t="n">
        <v>4800</v>
      </c>
      <c r="M932" t="n">
        <v>6000</v>
      </c>
      <c r="N932" t="n">
        <v>91</v>
      </c>
      <c r="O932" t="n">
        <v>0.91</v>
      </c>
      <c r="P932" t="n">
        <v>1</v>
      </c>
      <c r="Q932" t="n">
        <v>0.25</v>
      </c>
      <c r="R932" t="n">
        <v>1</v>
      </c>
      <c r="S932" t="n">
        <v>1747.2</v>
      </c>
      <c r="T932" t="n">
        <v>29</v>
      </c>
      <c r="U932" t="n">
        <v>30</v>
      </c>
      <c r="V932" t="n">
        <v>30</v>
      </c>
      <c r="W932" t="n">
        <v>9</v>
      </c>
      <c r="X932" t="n">
        <v>37.77472527472527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437</v>
      </c>
      <c r="AG932" t="n">
        <v>107</v>
      </c>
      <c r="AH932" t="inlineStr">
        <is>
          <t xml:space="preserve">CV. DAHLIA - PPN (PDG) </t>
        </is>
      </c>
      <c r="AI932" t="n">
        <v>1772</v>
      </c>
      <c r="AJ932" t="inlineStr">
        <is>
          <t>COVER MAKE</t>
        </is>
      </c>
      <c r="AK932" t="n">
        <v>21</v>
      </c>
      <c r="AL932" t="inlineStr">
        <is>
          <t>Miss Glam Damar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COVER MAKE</t>
        </is>
      </c>
      <c r="B933" s="2">
        <f>"50600306643"</f>
        <v/>
      </c>
      <c r="C933" t="inlineStr">
        <is>
          <t>COVER MAKE Nail polish Choco 15 7ml</t>
        </is>
      </c>
      <c r="D933" t="inlineStr">
        <is>
          <t>Miss Glam Damar</t>
        </is>
      </c>
      <c r="E933" t="n">
        <v>0</v>
      </c>
      <c r="F933" t="n">
        <v>0.0182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91</v>
      </c>
      <c r="O933" t="n">
        <v>0.91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30</v>
      </c>
      <c r="W933" t="n">
        <v>1</v>
      </c>
      <c r="X933" t="n">
        <v>0</v>
      </c>
      <c r="Y933" t="n">
        <v>1</v>
      </c>
      <c r="Z933" t="n">
        <v>1</v>
      </c>
      <c r="AA933" t="n">
        <v>0</v>
      </c>
      <c r="AB933" t="n">
        <v>1</v>
      </c>
      <c r="AC933" t="n">
        <v>1</v>
      </c>
      <c r="AD933" t="n">
        <v>0</v>
      </c>
      <c r="AE933" t="n">
        <v>0</v>
      </c>
      <c r="AF933" t="n">
        <v>437</v>
      </c>
      <c r="AG933" t="n">
        <v>107</v>
      </c>
      <c r="AH933" t="inlineStr">
        <is>
          <t xml:space="preserve">CV. DAHLIA - PPN (PDG) </t>
        </is>
      </c>
      <c r="AI933" t="n">
        <v>1772</v>
      </c>
      <c r="AJ933" t="inlineStr">
        <is>
          <t>COVER MAKE</t>
        </is>
      </c>
      <c r="AK933" t="n">
        <v>21</v>
      </c>
      <c r="AL933" t="inlineStr">
        <is>
          <t>Miss Glam Damar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CROWNCARE</t>
        </is>
      </c>
      <c r="B934" s="2">
        <f>"40200633115"</f>
        <v/>
      </c>
      <c r="C934" t="inlineStr">
        <is>
          <t>CROWNCARE Bubble Hair Color Foam Cat Pewarna Rambut Black 10pcs/box</t>
        </is>
      </c>
      <c r="D934" t="inlineStr">
        <is>
          <t>Miss Glam Damar</t>
        </is>
      </c>
      <c r="E934" t="n">
        <v>5</v>
      </c>
      <c r="F934" t="n">
        <v>0.0182</v>
      </c>
      <c r="G934" t="n">
        <v>0.91</v>
      </c>
      <c r="H934" t="n">
        <v>4</v>
      </c>
      <c r="I934" t="n">
        <v>21</v>
      </c>
      <c r="J934" t="n">
        <v>1</v>
      </c>
      <c r="K934" t="n">
        <v>0</v>
      </c>
      <c r="L934" t="n">
        <v>55807</v>
      </c>
      <c r="M934" t="n">
        <v>80000</v>
      </c>
      <c r="N934" t="n">
        <v>91</v>
      </c>
      <c r="O934" t="n">
        <v>0.91</v>
      </c>
      <c r="P934" t="n">
        <v>1</v>
      </c>
      <c r="Q934" t="n">
        <v>0.02</v>
      </c>
      <c r="R934" t="n">
        <v>1</v>
      </c>
      <c r="S934" t="n">
        <v>1456</v>
      </c>
      <c r="T934" t="n">
        <v>20</v>
      </c>
      <c r="U934" t="n">
        <v>21</v>
      </c>
      <c r="V934" t="n">
        <v>30</v>
      </c>
      <c r="W934" t="n">
        <v>1</v>
      </c>
      <c r="X934" t="n">
        <v>274.7252747252747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4372</v>
      </c>
      <c r="AG934" t="n">
        <v>1</v>
      </c>
      <c r="AH934" t="inlineStr">
        <is>
          <t>PT. BERSAMA DISTRIVERSA INDONESIA (DC CIPUTAT)</t>
        </is>
      </c>
      <c r="AI934" t="n">
        <v>2312</v>
      </c>
      <c r="AJ934" t="inlineStr">
        <is>
          <t>CROWNCARE</t>
        </is>
      </c>
      <c r="AK934" t="n">
        <v>21</v>
      </c>
      <c r="AL934" t="inlineStr">
        <is>
          <t>Miss Glam Damar</t>
        </is>
      </c>
      <c r="AM934" t="n">
        <v>4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CROWNCARE</t>
        </is>
      </c>
      <c r="B935" s="2">
        <f>"40200633329"</f>
        <v/>
      </c>
      <c r="C935" t="inlineStr">
        <is>
          <t>CROWNCARE Bubble Hair Color Foam Cat Pewarna Rambut Black 20ml</t>
        </is>
      </c>
      <c r="D935" t="inlineStr">
        <is>
          <t>Miss Glam Damar</t>
        </is>
      </c>
      <c r="E935" t="n">
        <v>10</v>
      </c>
      <c r="F935" t="n">
        <v>0.0182</v>
      </c>
      <c r="G935" t="n">
        <v>0.91</v>
      </c>
      <c r="H935" t="n">
        <v>4</v>
      </c>
      <c r="I935" t="n">
        <v>21</v>
      </c>
      <c r="J935" t="n">
        <v>1</v>
      </c>
      <c r="K935" t="n">
        <v>0</v>
      </c>
      <c r="L935" t="n">
        <v>5580</v>
      </c>
      <c r="M935" t="n">
        <v>9000</v>
      </c>
      <c r="N935" t="n">
        <v>91</v>
      </c>
      <c r="O935" t="n">
        <v>0.91</v>
      </c>
      <c r="P935" t="n">
        <v>1</v>
      </c>
      <c r="Q935" t="n">
        <v>0.02</v>
      </c>
      <c r="R935" t="n">
        <v>2</v>
      </c>
      <c r="S935" t="n">
        <v>163.8</v>
      </c>
      <c r="T935" t="n">
        <v>20</v>
      </c>
      <c r="U935" t="n">
        <v>21</v>
      </c>
      <c r="V935" t="n">
        <v>30</v>
      </c>
      <c r="W935" t="n">
        <v>1</v>
      </c>
      <c r="X935" t="n">
        <v>549.4505494505494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4372</v>
      </c>
      <c r="AG935" t="n">
        <v>1</v>
      </c>
      <c r="AH935" t="inlineStr">
        <is>
          <t>PT. BERSAMA DISTRIVERSA INDONESIA (DC CIPUTAT)</t>
        </is>
      </c>
      <c r="AI935" t="n">
        <v>2312</v>
      </c>
      <c r="AJ935" t="inlineStr">
        <is>
          <t>CROWNCARE</t>
        </is>
      </c>
      <c r="AK935" t="n">
        <v>21</v>
      </c>
      <c r="AL935" t="inlineStr">
        <is>
          <t>Miss Glam Damar</t>
        </is>
      </c>
      <c r="AM935" t="n">
        <v>4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CROWNCARE</t>
        </is>
      </c>
      <c r="B936" s="2">
        <f>"40200633410"</f>
        <v/>
      </c>
      <c r="C936" t="inlineStr">
        <is>
          <t>CROWNCARE Bubble Hair Color Foam Cat Pewarna Rambut Dark Brown 20ml</t>
        </is>
      </c>
      <c r="D936" t="inlineStr">
        <is>
          <t>Miss Glam Damar</t>
        </is>
      </c>
      <c r="E936" t="n">
        <v>0</v>
      </c>
      <c r="F936" t="n">
        <v>0.15</v>
      </c>
      <c r="G936" t="n">
        <v>2</v>
      </c>
      <c r="H936" t="n">
        <v>4</v>
      </c>
      <c r="I936" t="n">
        <v>21</v>
      </c>
      <c r="J936" t="n">
        <v>1</v>
      </c>
      <c r="K936" t="n">
        <v>0</v>
      </c>
      <c r="L936" t="n">
        <v>6240</v>
      </c>
      <c r="M936" t="n">
        <v>9000</v>
      </c>
      <c r="N936" t="n">
        <v>91</v>
      </c>
      <c r="O936" t="n">
        <v>0.91</v>
      </c>
      <c r="P936" t="n">
        <v>0</v>
      </c>
      <c r="Q936" t="n">
        <v>0.15</v>
      </c>
      <c r="R936" t="n">
        <v>2</v>
      </c>
      <c r="S936" t="n">
        <v>1350</v>
      </c>
      <c r="T936" t="n">
        <v>42</v>
      </c>
      <c r="U936" t="n">
        <v>43</v>
      </c>
      <c r="V936" t="n">
        <v>30</v>
      </c>
      <c r="W936" t="n">
        <v>5</v>
      </c>
      <c r="X936" t="n">
        <v>0</v>
      </c>
      <c r="Y936" t="n">
        <v>1</v>
      </c>
      <c r="Z936" t="n">
        <v>5</v>
      </c>
      <c r="AA936" t="n">
        <v>4</v>
      </c>
      <c r="AB936" t="n">
        <v>1</v>
      </c>
      <c r="AC936" t="n">
        <v>1</v>
      </c>
      <c r="AD936" t="n">
        <v>24960</v>
      </c>
      <c r="AE936" t="n">
        <v>6240</v>
      </c>
      <c r="AF936" t="n">
        <v>4372</v>
      </c>
      <c r="AG936" t="n">
        <v>1</v>
      </c>
      <c r="AH936" t="inlineStr">
        <is>
          <t>PT. BERSAMA DISTRIVERSA INDONESIA (DC CIPUTAT)</t>
        </is>
      </c>
      <c r="AI936" t="n">
        <v>2312</v>
      </c>
      <c r="AJ936" t="inlineStr">
        <is>
          <t>CROWNCARE</t>
        </is>
      </c>
      <c r="AK936" t="n">
        <v>21</v>
      </c>
      <c r="AL936" t="inlineStr">
        <is>
          <t>Miss Glam Damar</t>
        </is>
      </c>
      <c r="AM936" t="n">
        <v>4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CROWNCARE</t>
        </is>
      </c>
      <c r="B937" s="2">
        <f>"40200633940"</f>
        <v/>
      </c>
      <c r="C937" t="inlineStr">
        <is>
          <t>CROWNCARE Hair Shadow Powder Dark Brown 4gr</t>
        </is>
      </c>
      <c r="D937" t="inlineStr">
        <is>
          <t>Miss Glam Damar</t>
        </is>
      </c>
      <c r="E937" t="n">
        <v>9</v>
      </c>
      <c r="F937" t="n">
        <v>0.02</v>
      </c>
      <c r="G937" t="n">
        <v>1</v>
      </c>
      <c r="H937" t="n">
        <v>4</v>
      </c>
      <c r="I937" t="n">
        <v>21</v>
      </c>
      <c r="J937" t="n">
        <v>1</v>
      </c>
      <c r="K937" t="n">
        <v>0</v>
      </c>
      <c r="L937" t="n">
        <v>42900</v>
      </c>
      <c r="M937" t="n">
        <v>55000</v>
      </c>
      <c r="N937" t="n">
        <v>91</v>
      </c>
      <c r="O937" t="n">
        <v>0.91</v>
      </c>
      <c r="P937" t="n">
        <v>0</v>
      </c>
      <c r="Q937" t="n">
        <v>0.02</v>
      </c>
      <c r="R937" t="n">
        <v>1</v>
      </c>
      <c r="S937" t="n">
        <v>1100</v>
      </c>
      <c r="T937" t="n">
        <v>21</v>
      </c>
      <c r="U937" t="n">
        <v>22</v>
      </c>
      <c r="V937" t="n">
        <v>30</v>
      </c>
      <c r="W937" t="n">
        <v>1</v>
      </c>
      <c r="X937" t="n">
        <v>450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4372</v>
      </c>
      <c r="AG937" t="n">
        <v>1</v>
      </c>
      <c r="AH937" t="inlineStr">
        <is>
          <t>PT. BERSAMA DISTRIVERSA INDONESIA (DC CIPUTAT)</t>
        </is>
      </c>
      <c r="AI937" t="n">
        <v>2312</v>
      </c>
      <c r="AJ937" t="inlineStr">
        <is>
          <t>CROWNCARE</t>
        </is>
      </c>
      <c r="AK937" t="n">
        <v>21</v>
      </c>
      <c r="AL937" t="inlineStr">
        <is>
          <t>Miss Glam Damar</t>
        </is>
      </c>
      <c r="AM937" t="n">
        <v>4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CROWNCARE</t>
        </is>
      </c>
      <c r="B938" s="2">
        <f>"40200633757"</f>
        <v/>
      </c>
      <c r="C938" t="inlineStr">
        <is>
          <t>CROWNCARE Hair Shadow Powder Natural Black 4gr</t>
        </is>
      </c>
      <c r="D938" t="inlineStr">
        <is>
          <t>Miss Glam Damar</t>
        </is>
      </c>
      <c r="E938" t="n">
        <v>8</v>
      </c>
      <c r="F938" t="n">
        <v>0.0182</v>
      </c>
      <c r="G938" t="n">
        <v>0.91</v>
      </c>
      <c r="H938" t="n">
        <v>4</v>
      </c>
      <c r="I938" t="n">
        <v>21</v>
      </c>
      <c r="J938" t="n">
        <v>1</v>
      </c>
      <c r="K938" t="n">
        <v>0</v>
      </c>
      <c r="L938" t="n">
        <v>42900</v>
      </c>
      <c r="M938" t="n">
        <v>55000</v>
      </c>
      <c r="N938" t="n">
        <v>91</v>
      </c>
      <c r="O938" t="n">
        <v>0.91</v>
      </c>
      <c r="P938" t="n">
        <v>1</v>
      </c>
      <c r="Q938" t="n">
        <v>0.02</v>
      </c>
      <c r="R938" t="n">
        <v>1</v>
      </c>
      <c r="S938" t="n">
        <v>1001</v>
      </c>
      <c r="T938" t="n">
        <v>20</v>
      </c>
      <c r="U938" t="n">
        <v>21</v>
      </c>
      <c r="V938" t="n">
        <v>30</v>
      </c>
      <c r="W938" t="n">
        <v>1</v>
      </c>
      <c r="X938" t="n">
        <v>439.5604395604395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4372</v>
      </c>
      <c r="AG938" t="n">
        <v>1</v>
      </c>
      <c r="AH938" t="inlineStr">
        <is>
          <t>PT. BERSAMA DISTRIVERSA INDONESIA (DC CIPUTAT)</t>
        </is>
      </c>
      <c r="AI938" t="n">
        <v>2312</v>
      </c>
      <c r="AJ938" t="inlineStr">
        <is>
          <t>CROWNCARE</t>
        </is>
      </c>
      <c r="AK938" t="n">
        <v>21</v>
      </c>
      <c r="AL938" t="inlineStr">
        <is>
          <t>Miss Glam Damar</t>
        </is>
      </c>
      <c r="AM938" t="n">
        <v>4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CROWNCARE</t>
        </is>
      </c>
      <c r="B939" s="2">
        <f>"40200632845"</f>
        <v/>
      </c>
      <c r="C939" t="inlineStr">
        <is>
          <t>CROWNCARE Pewarna Rambut Black 100ml</t>
        </is>
      </c>
      <c r="D939" t="inlineStr">
        <is>
          <t>Miss Glam Damar</t>
        </is>
      </c>
      <c r="E939" t="n">
        <v>3</v>
      </c>
      <c r="F939" t="n">
        <v>0.04550000000000001</v>
      </c>
      <c r="G939" t="n">
        <v>0.91</v>
      </c>
      <c r="H939" t="n">
        <v>4</v>
      </c>
      <c r="I939" t="n">
        <v>21</v>
      </c>
      <c r="J939" t="n">
        <v>1</v>
      </c>
      <c r="K939" t="n">
        <v>0</v>
      </c>
      <c r="L939" t="n">
        <v>58500</v>
      </c>
      <c r="M939" t="n">
        <v>75000</v>
      </c>
      <c r="N939" t="n">
        <v>91</v>
      </c>
      <c r="O939" t="n">
        <v>0.91</v>
      </c>
      <c r="P939" t="n">
        <v>1</v>
      </c>
      <c r="Q939" t="n">
        <v>0.07000000000000001</v>
      </c>
      <c r="R939" t="n">
        <v>1</v>
      </c>
      <c r="S939" t="n">
        <v>3412.5</v>
      </c>
      <c r="T939" t="n">
        <v>19</v>
      </c>
      <c r="U939" t="n">
        <v>20</v>
      </c>
      <c r="V939" t="n">
        <v>30</v>
      </c>
      <c r="W939" t="n">
        <v>2</v>
      </c>
      <c r="X939" t="n">
        <v>65.93406593406593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4372</v>
      </c>
      <c r="AG939" t="n">
        <v>1</v>
      </c>
      <c r="AH939" t="inlineStr">
        <is>
          <t>PT. BERSAMA DISTRIVERSA INDONESIA (DC CIPUTAT)</t>
        </is>
      </c>
      <c r="AI939" t="n">
        <v>2312</v>
      </c>
      <c r="AJ939" t="inlineStr">
        <is>
          <t>CROWNCARE</t>
        </is>
      </c>
      <c r="AK939" t="n">
        <v>21</v>
      </c>
      <c r="AL939" t="inlineStr">
        <is>
          <t>Miss Glam Damar</t>
        </is>
      </c>
      <c r="AM939" t="n">
        <v>4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CROWNCARE</t>
        </is>
      </c>
      <c r="B940" s="2">
        <f>"40200632950"</f>
        <v/>
      </c>
      <c r="C940" t="inlineStr">
        <is>
          <t>CROWNCARE Pewarna Rambut Chestnut Brown 100ml</t>
        </is>
      </c>
      <c r="D940" t="inlineStr">
        <is>
          <t>Miss Glam Damar</t>
        </is>
      </c>
      <c r="E940" t="n">
        <v>8</v>
      </c>
      <c r="F940" t="n">
        <v>0.04550000000000001</v>
      </c>
      <c r="G940" t="n">
        <v>0.91</v>
      </c>
      <c r="H940" t="n">
        <v>4</v>
      </c>
      <c r="I940" t="n">
        <v>21</v>
      </c>
      <c r="J940" t="n">
        <v>1</v>
      </c>
      <c r="K940" t="n">
        <v>0</v>
      </c>
      <c r="L940" t="n">
        <v>61092</v>
      </c>
      <c r="M940" t="n">
        <v>75000</v>
      </c>
      <c r="N940" t="n">
        <v>91</v>
      </c>
      <c r="O940" t="n">
        <v>0.91</v>
      </c>
      <c r="P940" t="n">
        <v>1</v>
      </c>
      <c r="Q940" t="n">
        <v>0.07000000000000001</v>
      </c>
      <c r="R940" t="n">
        <v>1</v>
      </c>
      <c r="S940" t="n">
        <v>3412.5</v>
      </c>
      <c r="T940" t="n">
        <v>19</v>
      </c>
      <c r="U940" t="n">
        <v>20</v>
      </c>
      <c r="V940" t="n">
        <v>30</v>
      </c>
      <c r="W940" t="n">
        <v>2</v>
      </c>
      <c r="X940" t="n">
        <v>175.8241758241758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4372</v>
      </c>
      <c r="AG940" t="n">
        <v>1</v>
      </c>
      <c r="AH940" t="inlineStr">
        <is>
          <t>PT. BERSAMA DISTRIVERSA INDONESIA (DC CIPUTAT)</t>
        </is>
      </c>
      <c r="AI940" t="n">
        <v>2312</v>
      </c>
      <c r="AJ940" t="inlineStr">
        <is>
          <t>CROWNCARE</t>
        </is>
      </c>
      <c r="AK940" t="n">
        <v>21</v>
      </c>
      <c r="AL940" t="inlineStr">
        <is>
          <t>Miss Glam Damar</t>
        </is>
      </c>
      <c r="AM940" t="n">
        <v>4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CROWNCARE</t>
        </is>
      </c>
      <c r="B941" s="2">
        <f>"40200633043"</f>
        <v/>
      </c>
      <c r="C941" t="inlineStr">
        <is>
          <t>CROWNCARE Pewarna Rambut Dark Brown 100ml</t>
        </is>
      </c>
      <c r="D941" t="inlineStr">
        <is>
          <t>Miss Glam Damar</t>
        </is>
      </c>
      <c r="E941" t="n">
        <v>0</v>
      </c>
      <c r="F941" t="n">
        <v>0.0182</v>
      </c>
      <c r="G941" t="n">
        <v>0.91</v>
      </c>
      <c r="H941" t="n">
        <v>4</v>
      </c>
      <c r="I941" t="n">
        <v>21</v>
      </c>
      <c r="J941" t="n">
        <v>1</v>
      </c>
      <c r="K941" t="n">
        <v>0</v>
      </c>
      <c r="L941" t="n">
        <v>60852</v>
      </c>
      <c r="M941" t="n">
        <v>75000</v>
      </c>
      <c r="N941" t="n">
        <v>91</v>
      </c>
      <c r="O941" t="n">
        <v>0.91</v>
      </c>
      <c r="P941" t="n">
        <v>1</v>
      </c>
      <c r="Q941" t="n">
        <v>0.08</v>
      </c>
      <c r="R941" t="n">
        <v>1</v>
      </c>
      <c r="S941" t="n">
        <v>1365</v>
      </c>
      <c r="T941" t="n">
        <v>20</v>
      </c>
      <c r="U941" t="n">
        <v>21</v>
      </c>
      <c r="V941" t="n">
        <v>30</v>
      </c>
      <c r="W941" t="n">
        <v>1</v>
      </c>
      <c r="X941" t="n">
        <v>0</v>
      </c>
      <c r="Y941" t="n">
        <v>1</v>
      </c>
      <c r="Z941" t="n">
        <v>1</v>
      </c>
      <c r="AA941" t="n">
        <v>1</v>
      </c>
      <c r="AB941" t="n">
        <v>0</v>
      </c>
      <c r="AC941" t="n">
        <v>0</v>
      </c>
      <c r="AD941" t="n">
        <v>60852</v>
      </c>
      <c r="AE941" t="n">
        <v>0</v>
      </c>
      <c r="AF941" t="n">
        <v>4372</v>
      </c>
      <c r="AG941" t="n">
        <v>1</v>
      </c>
      <c r="AH941" t="inlineStr">
        <is>
          <t>PT. BERSAMA DISTRIVERSA INDONESIA (DC CIPUTAT)</t>
        </is>
      </c>
      <c r="AI941" t="n">
        <v>2312</v>
      </c>
      <c r="AJ941" t="inlineStr">
        <is>
          <t>CROWNCARE</t>
        </is>
      </c>
      <c r="AK941" t="n">
        <v>21</v>
      </c>
      <c r="AL941" t="inlineStr">
        <is>
          <t>Miss Glam Damar</t>
        </is>
      </c>
      <c r="AM941" t="n">
        <v>4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CRUSITA</t>
        </is>
      </c>
      <c r="B942" s="2">
        <f>"30400192857"</f>
        <v/>
      </c>
      <c r="C942" t="inlineStr">
        <is>
          <t>CRUSITA BLOOMING SERIES Black Love 50ml</t>
        </is>
      </c>
      <c r="D942" t="inlineStr">
        <is>
          <t>Miss Glam Damar</t>
        </is>
      </c>
      <c r="E942" t="n">
        <v>3</v>
      </c>
      <c r="F942" t="n">
        <v>0.0273</v>
      </c>
      <c r="G942" t="n">
        <v>0.91</v>
      </c>
      <c r="H942" t="n">
        <v>4</v>
      </c>
      <c r="I942" t="n">
        <v>21</v>
      </c>
      <c r="J942" t="n">
        <v>1</v>
      </c>
      <c r="K942" t="n">
        <v>0</v>
      </c>
      <c r="L942" t="n">
        <v>133623</v>
      </c>
      <c r="M942" t="n">
        <v>189000</v>
      </c>
      <c r="N942" t="n">
        <v>91</v>
      </c>
      <c r="O942" t="n">
        <v>0.91</v>
      </c>
      <c r="P942" t="n">
        <v>1</v>
      </c>
      <c r="Q942" t="n">
        <v>0.07000000000000001</v>
      </c>
      <c r="R942" t="n">
        <v>1</v>
      </c>
      <c r="S942" t="n">
        <v>5159.7</v>
      </c>
      <c r="T942" t="n">
        <v>20</v>
      </c>
      <c r="U942" t="n">
        <v>21</v>
      </c>
      <c r="V942" t="n">
        <v>30</v>
      </c>
      <c r="W942" t="n">
        <v>1</v>
      </c>
      <c r="X942" t="n">
        <v>109.8901098901099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4404</v>
      </c>
      <c r="AG942" t="n">
        <v>1</v>
      </c>
      <c r="AH942" t="inlineStr">
        <is>
          <t>PT. BERSAMA DISTRIVERSA INDONESIA (DC CIPUTAT)</t>
        </is>
      </c>
      <c r="AI942" t="n">
        <v>2302</v>
      </c>
      <c r="AJ942" t="inlineStr">
        <is>
          <t>CRUSITA</t>
        </is>
      </c>
      <c r="AK942" t="n">
        <v>21</v>
      </c>
      <c r="AL942" t="inlineStr">
        <is>
          <t>Miss Glam Damar</t>
        </is>
      </c>
      <c r="AM942" t="n">
        <v>4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CRUSITA</t>
        </is>
      </c>
      <c r="B943" s="2">
        <f>"30400193360"</f>
        <v/>
      </c>
      <c r="C943" t="inlineStr">
        <is>
          <t>CRUSITA Blooming Series Deep Mountain 50ml</t>
        </is>
      </c>
      <c r="D943" t="inlineStr">
        <is>
          <t>Miss Glam Damar</t>
        </is>
      </c>
      <c r="E943" t="n">
        <v>2</v>
      </c>
      <c r="F943" t="n">
        <v>0.0182</v>
      </c>
      <c r="G943" t="n">
        <v>0.91</v>
      </c>
      <c r="H943" t="n">
        <v>4</v>
      </c>
      <c r="I943" t="n">
        <v>21</v>
      </c>
      <c r="J943" t="n">
        <v>1</v>
      </c>
      <c r="K943" t="n">
        <v>0</v>
      </c>
      <c r="L943" t="n">
        <v>128331</v>
      </c>
      <c r="M943" t="n">
        <v>189000</v>
      </c>
      <c r="N943" t="n">
        <v>91</v>
      </c>
      <c r="O943" t="n">
        <v>0.91</v>
      </c>
      <c r="P943" t="n">
        <v>1</v>
      </c>
      <c r="Q943" t="n">
        <v>0.03</v>
      </c>
      <c r="R943" t="n">
        <v>1</v>
      </c>
      <c r="S943" t="n">
        <v>3439.8</v>
      </c>
      <c r="T943" t="n">
        <v>20</v>
      </c>
      <c r="U943" t="n">
        <v>21</v>
      </c>
      <c r="V943" t="n">
        <v>30</v>
      </c>
      <c r="W943" t="n">
        <v>1</v>
      </c>
      <c r="X943" t="n">
        <v>109.8901098901099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4404</v>
      </c>
      <c r="AG943" t="n">
        <v>1</v>
      </c>
      <c r="AH943" t="inlineStr">
        <is>
          <t>PT. BERSAMA DISTRIVERSA INDONESIA (DC CIPUTAT)</t>
        </is>
      </c>
      <c r="AI943" t="n">
        <v>2302</v>
      </c>
      <c r="AJ943" t="inlineStr">
        <is>
          <t>CRUSITA</t>
        </is>
      </c>
      <c r="AK943" t="n">
        <v>21</v>
      </c>
      <c r="AL943" t="inlineStr">
        <is>
          <t>Miss Glam Damar</t>
        </is>
      </c>
      <c r="AM943" t="n">
        <v>4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CRUSITA</t>
        </is>
      </c>
      <c r="B944" s="2">
        <f>"30400192657"</f>
        <v/>
      </c>
      <c r="C944" t="inlineStr">
        <is>
          <t>CRUSITA BLOOMING SERIES Famous 50ml</t>
        </is>
      </c>
      <c r="D944" t="inlineStr">
        <is>
          <t>Miss Glam Damar</t>
        </is>
      </c>
      <c r="E944" t="n">
        <v>2</v>
      </c>
      <c r="F944" t="n">
        <v>0.0273</v>
      </c>
      <c r="G944" t="n">
        <v>0.91</v>
      </c>
      <c r="H944" t="n">
        <v>4</v>
      </c>
      <c r="I944" t="n">
        <v>21</v>
      </c>
      <c r="J944" t="n">
        <v>1</v>
      </c>
      <c r="K944" t="n">
        <v>0</v>
      </c>
      <c r="L944" t="n">
        <v>135121</v>
      </c>
      <c r="M944" t="n">
        <v>199000</v>
      </c>
      <c r="N944" t="n">
        <v>91</v>
      </c>
      <c r="O944" t="n">
        <v>0.91</v>
      </c>
      <c r="P944" t="n">
        <v>1</v>
      </c>
      <c r="Q944" t="n">
        <v>0.05</v>
      </c>
      <c r="R944" t="n">
        <v>1</v>
      </c>
      <c r="S944" t="n">
        <v>5432.7</v>
      </c>
      <c r="T944" t="n">
        <v>20</v>
      </c>
      <c r="U944" t="n">
        <v>21</v>
      </c>
      <c r="V944" t="n">
        <v>30</v>
      </c>
      <c r="W944" t="n">
        <v>1</v>
      </c>
      <c r="X944" t="n">
        <v>73.26007326007326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4404</v>
      </c>
      <c r="AG944" t="n">
        <v>1</v>
      </c>
      <c r="AH944" t="inlineStr">
        <is>
          <t>PT. BERSAMA DISTRIVERSA INDONESIA (DC CIPUTAT)</t>
        </is>
      </c>
      <c r="AI944" t="n">
        <v>2302</v>
      </c>
      <c r="AJ944" t="inlineStr">
        <is>
          <t>CRUSITA</t>
        </is>
      </c>
      <c r="AK944" t="n">
        <v>21</v>
      </c>
      <c r="AL944" t="inlineStr">
        <is>
          <t>Miss Glam Damar</t>
        </is>
      </c>
      <c r="AM944" t="n">
        <v>4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CRUSITA</t>
        </is>
      </c>
      <c r="B945" s="2">
        <f>"30400193511"</f>
        <v/>
      </c>
      <c r="C945" t="inlineStr">
        <is>
          <t>CRUSITA Blooming Series Gentlemen 50ml</t>
        </is>
      </c>
      <c r="D945" t="inlineStr">
        <is>
          <t>Miss Glam Damar</t>
        </is>
      </c>
      <c r="E945" t="n">
        <v>0</v>
      </c>
      <c r="F945" t="n">
        <v>0.0182</v>
      </c>
      <c r="G945" t="n">
        <v>0.91</v>
      </c>
      <c r="H945" t="n">
        <v>4</v>
      </c>
      <c r="I945" t="n">
        <v>21</v>
      </c>
      <c r="J945" t="n">
        <v>1</v>
      </c>
      <c r="K945" t="n">
        <v>3</v>
      </c>
      <c r="L945" t="n">
        <v>128331</v>
      </c>
      <c r="M945" t="n">
        <v>189000</v>
      </c>
      <c r="N945" t="n">
        <v>91</v>
      </c>
      <c r="O945" t="n">
        <v>0.91</v>
      </c>
      <c r="P945" t="n">
        <v>1</v>
      </c>
      <c r="Q945" t="n">
        <v>0.09</v>
      </c>
      <c r="R945" t="n">
        <v>1</v>
      </c>
      <c r="S945" t="n">
        <v>3439.8</v>
      </c>
      <c r="T945" t="n">
        <v>20</v>
      </c>
      <c r="U945" t="n">
        <v>21</v>
      </c>
      <c r="V945" t="n">
        <v>30</v>
      </c>
      <c r="W945" t="n">
        <v>1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4404</v>
      </c>
      <c r="AG945" t="n">
        <v>1</v>
      </c>
      <c r="AH945" t="inlineStr">
        <is>
          <t>PT. BERSAMA DISTRIVERSA INDONESIA (DC CIPUTAT)</t>
        </is>
      </c>
      <c r="AI945" t="n">
        <v>2302</v>
      </c>
      <c r="AJ945" t="inlineStr">
        <is>
          <t>CRUSITA</t>
        </is>
      </c>
      <c r="AK945" t="n">
        <v>21</v>
      </c>
      <c r="AL945" t="inlineStr">
        <is>
          <t>Miss Glam Damar</t>
        </is>
      </c>
      <c r="AM945" t="n">
        <v>4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CRUSITA</t>
        </is>
      </c>
      <c r="B946" s="2">
        <f>"30400257658"</f>
        <v/>
      </c>
      <c r="C946" t="inlineStr">
        <is>
          <t>CRUSITA BLOOMING SERIES Scandal 50ml</t>
        </is>
      </c>
      <c r="D946" t="inlineStr">
        <is>
          <t>Miss Glam Damar</t>
        </is>
      </c>
      <c r="E946" t="n">
        <v>4</v>
      </c>
      <c r="F946" t="n">
        <v>0.06370000000000001</v>
      </c>
      <c r="G946" t="n">
        <v>2.73</v>
      </c>
      <c r="H946" t="n">
        <v>4</v>
      </c>
      <c r="I946" t="n">
        <v>21</v>
      </c>
      <c r="J946" t="n">
        <v>1</v>
      </c>
      <c r="K946" t="n">
        <v>4</v>
      </c>
      <c r="L946" t="n">
        <v>143479</v>
      </c>
      <c r="M946" t="n">
        <v>199000</v>
      </c>
      <c r="N946" t="n">
        <v>91</v>
      </c>
      <c r="O946" t="n">
        <v>0.91</v>
      </c>
      <c r="P946" t="n">
        <v>1</v>
      </c>
      <c r="Q946" t="n">
        <v>0.05</v>
      </c>
      <c r="R946" t="n">
        <v>1</v>
      </c>
      <c r="S946" t="n">
        <v>12676.3</v>
      </c>
      <c r="T946" t="n">
        <v>58</v>
      </c>
      <c r="U946" t="n">
        <v>59</v>
      </c>
      <c r="V946" t="n">
        <v>30</v>
      </c>
      <c r="W946" t="n">
        <v>2</v>
      </c>
      <c r="X946" t="n">
        <v>62.79434850863422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4404</v>
      </c>
      <c r="AG946" t="n">
        <v>1</v>
      </c>
      <c r="AH946" t="inlineStr">
        <is>
          <t>PT. BERSAMA DISTRIVERSA INDONESIA (DC CIPUTAT)</t>
        </is>
      </c>
      <c r="AI946" t="n">
        <v>2302</v>
      </c>
      <c r="AJ946" t="inlineStr">
        <is>
          <t>CRUSITA</t>
        </is>
      </c>
      <c r="AK946" t="n">
        <v>21</v>
      </c>
      <c r="AL946" t="inlineStr">
        <is>
          <t>Miss Glam Damar</t>
        </is>
      </c>
      <c r="AM946" t="n">
        <v>4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CRUSITA</t>
        </is>
      </c>
      <c r="B947" s="2">
        <f>"30400187708"</f>
        <v/>
      </c>
      <c r="C947" t="inlineStr">
        <is>
          <t>CRUSITA Tea Collection Extrait De Parfum Es The Manis 50ml</t>
        </is>
      </c>
      <c r="D947" t="inlineStr">
        <is>
          <t>Miss Glam Damar</t>
        </is>
      </c>
      <c r="E947" t="n">
        <v>1</v>
      </c>
      <c r="F947" t="n">
        <v>0.0182</v>
      </c>
      <c r="G947" t="n">
        <v>0.91</v>
      </c>
      <c r="H947" t="n">
        <v>4</v>
      </c>
      <c r="I947" t="n">
        <v>21</v>
      </c>
      <c r="J947" t="n">
        <v>1</v>
      </c>
      <c r="K947" t="n">
        <v>0</v>
      </c>
      <c r="L947" t="n">
        <v>147925</v>
      </c>
      <c r="M947" t="n">
        <v>209000</v>
      </c>
      <c r="N947" t="n">
        <v>91</v>
      </c>
      <c r="O947" t="n">
        <v>0.91</v>
      </c>
      <c r="P947" t="n">
        <v>1</v>
      </c>
      <c r="Q947" t="n">
        <v>0.07000000000000001</v>
      </c>
      <c r="R947" t="n">
        <v>1</v>
      </c>
      <c r="S947" t="n">
        <v>3803.8</v>
      </c>
      <c r="T947" t="n">
        <v>20</v>
      </c>
      <c r="U947" t="n">
        <v>21</v>
      </c>
      <c r="V947" t="n">
        <v>30</v>
      </c>
      <c r="W947" t="n">
        <v>1</v>
      </c>
      <c r="X947" t="n">
        <v>54.94505494505494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4404</v>
      </c>
      <c r="AG947" t="n">
        <v>1</v>
      </c>
      <c r="AH947" t="inlineStr">
        <is>
          <t>PT. BERSAMA DISTRIVERSA INDONESIA (DC CIPUTAT)</t>
        </is>
      </c>
      <c r="AI947" t="n">
        <v>2302</v>
      </c>
      <c r="AJ947" t="inlineStr">
        <is>
          <t>CRUSITA</t>
        </is>
      </c>
      <c r="AK947" t="n">
        <v>21</v>
      </c>
      <c r="AL947" t="inlineStr">
        <is>
          <t>Miss Glam Damar</t>
        </is>
      </c>
      <c r="AM947" t="n">
        <v>4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CULTUSIA</t>
        </is>
      </c>
      <c r="B948" s="2">
        <f>"8991730010211"</f>
        <v/>
      </c>
      <c r="C948" t="inlineStr">
        <is>
          <t>CULTUSIA Coloring Shampoo Wood Brown  with Argan Oil  &amp; Keratin 160 ml</t>
        </is>
      </c>
      <c r="D948" t="inlineStr">
        <is>
          <t>Miss Glam Damar</t>
        </is>
      </c>
      <c r="E948" t="n">
        <v>6</v>
      </c>
      <c r="F948" t="n">
        <v>0.04550000000000001</v>
      </c>
      <c r="G948" t="n">
        <v>0.91</v>
      </c>
      <c r="H948" t="n">
        <v>2</v>
      </c>
      <c r="I948" t="n">
        <v>16</v>
      </c>
      <c r="J948" t="n">
        <v>3</v>
      </c>
      <c r="K948" t="n">
        <v>0</v>
      </c>
      <c r="L948" t="n">
        <v>54000</v>
      </c>
      <c r="M948" t="n">
        <v>64000</v>
      </c>
      <c r="N948" t="n">
        <v>91</v>
      </c>
      <c r="O948" t="n">
        <v>0.91</v>
      </c>
      <c r="P948" t="n">
        <v>1</v>
      </c>
      <c r="Q948" t="n">
        <v>0.1</v>
      </c>
      <c r="R948" t="n">
        <v>1</v>
      </c>
      <c r="S948" t="n">
        <v>2912</v>
      </c>
      <c r="T948" t="n">
        <v>15</v>
      </c>
      <c r="U948" t="n">
        <v>16</v>
      </c>
      <c r="V948" t="n">
        <v>30</v>
      </c>
      <c r="W948" t="n">
        <v>2</v>
      </c>
      <c r="X948" t="n">
        <v>131.8681318681319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466</v>
      </c>
      <c r="AG948" t="n">
        <v>107</v>
      </c>
      <c r="AH948" t="inlineStr">
        <is>
          <t xml:space="preserve">CV. DAHLIA - PPN (PDG) </t>
        </is>
      </c>
      <c r="AI948" t="n">
        <v>59</v>
      </c>
      <c r="AJ948" t="inlineStr">
        <is>
          <t>CULTUSIA</t>
        </is>
      </c>
      <c r="AK948" t="n">
        <v>21</v>
      </c>
      <c r="AL948" t="inlineStr">
        <is>
          <t>Miss Glam Damar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CULTUSIA</t>
        </is>
      </c>
      <c r="B949" s="2">
        <f>"8997004324879"</f>
        <v/>
      </c>
      <c r="C949" t="inlineStr">
        <is>
          <t>CULTUSIA Creambath Avocado 1kg</t>
        </is>
      </c>
      <c r="D949" t="inlineStr">
        <is>
          <t>Miss Glam Damar</t>
        </is>
      </c>
      <c r="E949" t="n">
        <v>6</v>
      </c>
      <c r="F949" t="n">
        <v>0.1</v>
      </c>
      <c r="G949" t="n">
        <v>1</v>
      </c>
      <c r="H949" t="n">
        <v>2</v>
      </c>
      <c r="I949" t="n">
        <v>16</v>
      </c>
      <c r="J949" t="n">
        <v>3</v>
      </c>
      <c r="K949" t="n">
        <v>0</v>
      </c>
      <c r="L949" t="n">
        <v>44550</v>
      </c>
      <c r="M949" t="n">
        <v>54500</v>
      </c>
      <c r="N949" t="n">
        <v>91</v>
      </c>
      <c r="O949" t="n">
        <v>0.91</v>
      </c>
      <c r="P949" t="n">
        <v>0</v>
      </c>
      <c r="Q949" t="n">
        <v>0.1</v>
      </c>
      <c r="R949" t="n">
        <v>1</v>
      </c>
      <c r="S949" t="n">
        <v>5450</v>
      </c>
      <c r="T949" t="n">
        <v>16</v>
      </c>
      <c r="U949" t="n">
        <v>17</v>
      </c>
      <c r="V949" t="n">
        <v>30</v>
      </c>
      <c r="W949" t="n">
        <v>3</v>
      </c>
      <c r="X949" t="n">
        <v>60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466</v>
      </c>
      <c r="AG949" t="n">
        <v>107</v>
      </c>
      <c r="AH949" t="inlineStr">
        <is>
          <t xml:space="preserve">CV. DAHLIA - PPN (PDG) </t>
        </is>
      </c>
      <c r="AI949" t="n">
        <v>59</v>
      </c>
      <c r="AJ949" t="inlineStr">
        <is>
          <t>CULTUSIA</t>
        </is>
      </c>
      <c r="AK949" t="n">
        <v>21</v>
      </c>
      <c r="AL949" t="inlineStr">
        <is>
          <t>Miss Glam Damar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CULTUSIA</t>
        </is>
      </c>
      <c r="B950" s="2">
        <f>"8997004324862"</f>
        <v/>
      </c>
      <c r="C950" t="inlineStr">
        <is>
          <t>CULTUSIA Creambath Coconut Milk 1kg</t>
        </is>
      </c>
      <c r="D950" t="inlineStr">
        <is>
          <t>Miss Glam Damar</t>
        </is>
      </c>
      <c r="E950" t="n">
        <v>2</v>
      </c>
      <c r="F950" t="n">
        <v>0.1729</v>
      </c>
      <c r="G950" t="n">
        <v>1.82</v>
      </c>
      <c r="H950" t="n">
        <v>2</v>
      </c>
      <c r="I950" t="n">
        <v>16</v>
      </c>
      <c r="J950" t="n">
        <v>3</v>
      </c>
      <c r="K950" t="n">
        <v>0</v>
      </c>
      <c r="L950" t="n">
        <v>44550</v>
      </c>
      <c r="M950" t="n">
        <v>52500</v>
      </c>
      <c r="N950" t="n">
        <v>91</v>
      </c>
      <c r="O950" t="n">
        <v>0.91</v>
      </c>
      <c r="P950" t="n">
        <v>1</v>
      </c>
      <c r="Q950" t="n">
        <v>0.08</v>
      </c>
      <c r="R950" t="n">
        <v>1</v>
      </c>
      <c r="S950" t="n">
        <v>9077.25</v>
      </c>
      <c r="T950" t="n">
        <v>29</v>
      </c>
      <c r="U950" t="n">
        <v>30</v>
      </c>
      <c r="V950" t="n">
        <v>30</v>
      </c>
      <c r="W950" t="n">
        <v>6</v>
      </c>
      <c r="X950" t="n">
        <v>11.56737998843262</v>
      </c>
      <c r="Y950" t="n">
        <v>1</v>
      </c>
      <c r="Z950" t="n">
        <v>4</v>
      </c>
      <c r="AA950" t="n">
        <v>1</v>
      </c>
      <c r="AB950" t="n">
        <v>3</v>
      </c>
      <c r="AC950" t="n">
        <v>3</v>
      </c>
      <c r="AD950" t="n">
        <v>44550</v>
      </c>
      <c r="AE950" t="n">
        <v>133650</v>
      </c>
      <c r="AF950" t="n">
        <v>466</v>
      </c>
      <c r="AG950" t="n">
        <v>107</v>
      </c>
      <c r="AH950" t="inlineStr">
        <is>
          <t xml:space="preserve">CV. DAHLIA - PPN (PDG) </t>
        </is>
      </c>
      <c r="AI950" t="n">
        <v>59</v>
      </c>
      <c r="AJ950" t="inlineStr">
        <is>
          <t>CULTUSIA</t>
        </is>
      </c>
      <c r="AK950" t="n">
        <v>21</v>
      </c>
      <c r="AL950" t="inlineStr">
        <is>
          <t>Miss Glam Damar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CULTUSIA</t>
        </is>
      </c>
      <c r="B951" s="2">
        <f>"8997004326637"</f>
        <v/>
      </c>
      <c r="C951" t="inlineStr">
        <is>
          <t>CULTUSIA Creambath Kiwi 1000ml</t>
        </is>
      </c>
      <c r="D951" t="inlineStr">
        <is>
          <t>Miss Glam Damar</t>
        </is>
      </c>
      <c r="E951" t="n">
        <v>3</v>
      </c>
      <c r="F951" t="n">
        <v>0.09100000000000001</v>
      </c>
      <c r="G951" t="n">
        <v>0.91</v>
      </c>
      <c r="H951" t="n">
        <v>2</v>
      </c>
      <c r="I951" t="n">
        <v>16</v>
      </c>
      <c r="J951" t="n">
        <v>3</v>
      </c>
      <c r="K951" t="n">
        <v>0</v>
      </c>
      <c r="L951" t="n">
        <v>44550</v>
      </c>
      <c r="M951" t="n">
        <v>54500</v>
      </c>
      <c r="N951" t="n">
        <v>91</v>
      </c>
      <c r="O951" t="n">
        <v>0.91</v>
      </c>
      <c r="P951" t="n">
        <v>1</v>
      </c>
      <c r="Q951" t="n">
        <v>0.03</v>
      </c>
      <c r="R951" t="n">
        <v>2</v>
      </c>
      <c r="S951" t="n">
        <v>4959.500000000001</v>
      </c>
      <c r="T951" t="n">
        <v>15</v>
      </c>
      <c r="U951" t="n">
        <v>16</v>
      </c>
      <c r="V951" t="n">
        <v>30</v>
      </c>
      <c r="W951" t="n">
        <v>3</v>
      </c>
      <c r="X951" t="n">
        <v>32.96703296703296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466</v>
      </c>
      <c r="AG951" t="n">
        <v>107</v>
      </c>
      <c r="AH951" t="inlineStr">
        <is>
          <t xml:space="preserve">CV. DAHLIA - PPN (PDG) </t>
        </is>
      </c>
      <c r="AI951" t="n">
        <v>59</v>
      </c>
      <c r="AJ951" t="inlineStr">
        <is>
          <t>CULTUSIA</t>
        </is>
      </c>
      <c r="AK951" t="n">
        <v>21</v>
      </c>
      <c r="AL951" t="inlineStr">
        <is>
          <t>Miss Glam Damar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CULTUSIA</t>
        </is>
      </c>
      <c r="B952" s="2">
        <f>"8997004329942"</f>
        <v/>
      </c>
      <c r="C952" t="inlineStr">
        <is>
          <t>CULTUSIA Creambath Nusantara Coffe 1000ml</t>
        </is>
      </c>
      <c r="D952" t="inlineStr">
        <is>
          <t>Miss Glam Damar</t>
        </is>
      </c>
      <c r="E952" t="n">
        <v>0</v>
      </c>
      <c r="F952" t="n">
        <v>0.06</v>
      </c>
      <c r="G952" t="n">
        <v>1</v>
      </c>
      <c r="H952" t="n">
        <v>2</v>
      </c>
      <c r="I952" t="n">
        <v>16</v>
      </c>
      <c r="J952" t="n">
        <v>3</v>
      </c>
      <c r="K952" t="n">
        <v>0</v>
      </c>
      <c r="L952" t="n">
        <v>44550</v>
      </c>
      <c r="M952" t="n">
        <v>52500</v>
      </c>
      <c r="N952" t="n">
        <v>91</v>
      </c>
      <c r="O952" t="n">
        <v>0.91</v>
      </c>
      <c r="P952" t="n">
        <v>0</v>
      </c>
      <c r="Q952" t="n">
        <v>0.06</v>
      </c>
      <c r="R952" t="n">
        <v>1</v>
      </c>
      <c r="S952" t="n">
        <v>3150</v>
      </c>
      <c r="T952" t="n">
        <v>16</v>
      </c>
      <c r="U952" t="n">
        <v>17</v>
      </c>
      <c r="V952" t="n">
        <v>30</v>
      </c>
      <c r="W952" t="n">
        <v>2</v>
      </c>
      <c r="X952" t="n">
        <v>0</v>
      </c>
      <c r="Y952" t="n">
        <v>1</v>
      </c>
      <c r="Z952" t="n">
        <v>2</v>
      </c>
      <c r="AA952" t="n">
        <v>1</v>
      </c>
      <c r="AB952" t="n">
        <v>1</v>
      </c>
      <c r="AC952" t="n">
        <v>3</v>
      </c>
      <c r="AD952" t="n">
        <v>44550</v>
      </c>
      <c r="AE952" t="n">
        <v>133650</v>
      </c>
      <c r="AF952" t="n">
        <v>466</v>
      </c>
      <c r="AG952" t="n">
        <v>107</v>
      </c>
      <c r="AH952" t="inlineStr">
        <is>
          <t xml:space="preserve">CV. DAHLIA - PPN (PDG) </t>
        </is>
      </c>
      <c r="AI952" t="n">
        <v>59</v>
      </c>
      <c r="AJ952" t="inlineStr">
        <is>
          <t>CULTUSIA</t>
        </is>
      </c>
      <c r="AK952" t="n">
        <v>21</v>
      </c>
      <c r="AL952" t="inlineStr">
        <is>
          <t>Miss Glam Damar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CULTUSIA</t>
        </is>
      </c>
      <c r="B953" s="2">
        <f>"8997004326071"</f>
        <v/>
      </c>
      <c r="C953" t="inlineStr">
        <is>
          <t>CULTUSIA Creambath Plus Kemiri 1000ml</t>
        </is>
      </c>
      <c r="D953" t="inlineStr">
        <is>
          <t>Miss Glam Damar</t>
        </is>
      </c>
      <c r="E953" t="n">
        <v>2</v>
      </c>
      <c r="F953" t="n">
        <v>0.09100000000000001</v>
      </c>
      <c r="G953" t="n">
        <v>0.91</v>
      </c>
      <c r="H953" t="n">
        <v>2</v>
      </c>
      <c r="I953" t="n">
        <v>16</v>
      </c>
      <c r="J953" t="n">
        <v>3</v>
      </c>
      <c r="K953" t="n">
        <v>0</v>
      </c>
      <c r="L953" t="n">
        <v>44550</v>
      </c>
      <c r="M953" t="n">
        <v>52500</v>
      </c>
      <c r="N953" t="n">
        <v>91</v>
      </c>
      <c r="O953" t="n">
        <v>0.91</v>
      </c>
      <c r="P953" t="n">
        <v>1</v>
      </c>
      <c r="Q953" t="n">
        <v>0.07000000000000001</v>
      </c>
      <c r="R953" t="n">
        <v>2</v>
      </c>
      <c r="S953" t="n">
        <v>4777.500000000001</v>
      </c>
      <c r="T953" t="n">
        <v>15</v>
      </c>
      <c r="U953" t="n">
        <v>16</v>
      </c>
      <c r="V953" t="n">
        <v>30</v>
      </c>
      <c r="W953" t="n">
        <v>3</v>
      </c>
      <c r="X953" t="n">
        <v>21.97802197802197</v>
      </c>
      <c r="Y953" t="n">
        <v>1</v>
      </c>
      <c r="Z953" t="n">
        <v>1</v>
      </c>
      <c r="AA953" t="n">
        <v>0</v>
      </c>
      <c r="AB953" t="n">
        <v>1</v>
      </c>
      <c r="AC953" t="n">
        <v>3</v>
      </c>
      <c r="AD953" t="n">
        <v>0</v>
      </c>
      <c r="AE953" t="n">
        <v>133650</v>
      </c>
      <c r="AF953" t="n">
        <v>466</v>
      </c>
      <c r="AG953" t="n">
        <v>107</v>
      </c>
      <c r="AH953" t="inlineStr">
        <is>
          <t xml:space="preserve">CV. DAHLIA - PPN (PDG) </t>
        </is>
      </c>
      <c r="AI953" t="n">
        <v>59</v>
      </c>
      <c r="AJ953" t="inlineStr">
        <is>
          <t>CULTUSIA</t>
        </is>
      </c>
      <c r="AK953" t="n">
        <v>21</v>
      </c>
      <c r="AL953" t="inlineStr">
        <is>
          <t>Miss Glam Damar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CULTUSIA</t>
        </is>
      </c>
      <c r="B954" s="2">
        <f>"8997004325555"</f>
        <v/>
      </c>
      <c r="C954" t="inlineStr">
        <is>
          <t>CULTUSIA Creambath Soy Milk 1000ml</t>
        </is>
      </c>
      <c r="D954" t="inlineStr">
        <is>
          <t>Miss Glam Damar</t>
        </is>
      </c>
      <c r="E954" t="n">
        <v>3</v>
      </c>
      <c r="F954" t="n">
        <v>0.04550000000000001</v>
      </c>
      <c r="G954" t="n">
        <v>0.91</v>
      </c>
      <c r="H954" t="n">
        <v>2</v>
      </c>
      <c r="I954" t="n">
        <v>16</v>
      </c>
      <c r="J954" t="n">
        <v>3</v>
      </c>
      <c r="K954" t="n">
        <v>0</v>
      </c>
      <c r="L954" t="n">
        <v>44550</v>
      </c>
      <c r="M954" t="n">
        <v>52500</v>
      </c>
      <c r="N954" t="n">
        <v>91</v>
      </c>
      <c r="O954" t="n">
        <v>0.91</v>
      </c>
      <c r="P954" t="n">
        <v>1</v>
      </c>
      <c r="Q954" t="n">
        <v>0.02</v>
      </c>
      <c r="R954" t="n">
        <v>1</v>
      </c>
      <c r="S954" t="n">
        <v>2388.75</v>
      </c>
      <c r="T954" t="n">
        <v>15</v>
      </c>
      <c r="U954" t="n">
        <v>16</v>
      </c>
      <c r="V954" t="n">
        <v>30</v>
      </c>
      <c r="W954" t="n">
        <v>2</v>
      </c>
      <c r="X954" t="n">
        <v>65.93406593406593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466</v>
      </c>
      <c r="AG954" t="n">
        <v>107</v>
      </c>
      <c r="AH954" t="inlineStr">
        <is>
          <t xml:space="preserve">CV. DAHLIA - PPN (PDG) </t>
        </is>
      </c>
      <c r="AI954" t="n">
        <v>59</v>
      </c>
      <c r="AJ954" t="inlineStr">
        <is>
          <t>CULTUSIA</t>
        </is>
      </c>
      <c r="AK954" t="n">
        <v>21</v>
      </c>
      <c r="AL954" t="inlineStr">
        <is>
          <t>Miss Glam Damar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CULTUSIA</t>
        </is>
      </c>
      <c r="B955" s="2">
        <f>"8997004325029"</f>
        <v/>
      </c>
      <c r="C955" t="inlineStr">
        <is>
          <t>CULTUSIA Creambath Stroberry 1000ml</t>
        </is>
      </c>
      <c r="D955" t="inlineStr">
        <is>
          <t>Miss Glam Damar</t>
        </is>
      </c>
      <c r="E955" t="n">
        <v>7</v>
      </c>
      <c r="F955" t="n">
        <v>0.6188</v>
      </c>
      <c r="G955" t="n">
        <v>2.73</v>
      </c>
      <c r="H955" t="n">
        <v>2</v>
      </c>
      <c r="I955" t="n">
        <v>16</v>
      </c>
      <c r="J955" t="n">
        <v>3</v>
      </c>
      <c r="K955" t="n">
        <v>0</v>
      </c>
      <c r="L955" t="n">
        <v>44550</v>
      </c>
      <c r="M955" t="n">
        <v>52500</v>
      </c>
      <c r="N955" t="n">
        <v>91</v>
      </c>
      <c r="O955" t="n">
        <v>0.91</v>
      </c>
      <c r="P955" t="n">
        <v>1</v>
      </c>
      <c r="Q955" t="n">
        <v>0.08</v>
      </c>
      <c r="R955" t="n">
        <v>2</v>
      </c>
      <c r="S955" t="n">
        <v>32487</v>
      </c>
      <c r="T955" t="n">
        <v>43</v>
      </c>
      <c r="U955" t="n">
        <v>45</v>
      </c>
      <c r="V955" t="n">
        <v>30</v>
      </c>
      <c r="W955" t="n">
        <v>19</v>
      </c>
      <c r="X955" t="n">
        <v>11.31221719457013</v>
      </c>
      <c r="Y955" t="n">
        <v>1</v>
      </c>
      <c r="Z955" t="n">
        <v>12</v>
      </c>
      <c r="AA955" t="n">
        <v>3</v>
      </c>
      <c r="AB955" t="n">
        <v>9</v>
      </c>
      <c r="AC955" t="n">
        <v>9</v>
      </c>
      <c r="AD955" t="n">
        <v>133650</v>
      </c>
      <c r="AE955" t="n">
        <v>400950</v>
      </c>
      <c r="AF955" t="n">
        <v>466</v>
      </c>
      <c r="AG955" t="n">
        <v>107</v>
      </c>
      <c r="AH955" t="inlineStr">
        <is>
          <t xml:space="preserve">CV. DAHLIA - PPN (PDG) </t>
        </is>
      </c>
      <c r="AI955" t="n">
        <v>59</v>
      </c>
      <c r="AJ955" t="inlineStr">
        <is>
          <t>CULTUSIA</t>
        </is>
      </c>
      <c r="AK955" t="n">
        <v>21</v>
      </c>
      <c r="AL955" t="inlineStr">
        <is>
          <t>Miss Glam Damar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CULTUSIA</t>
        </is>
      </c>
      <c r="B956" s="2">
        <f>"8997004326460"</f>
        <v/>
      </c>
      <c r="C956" t="inlineStr">
        <is>
          <t>CULTUSIA Creambath The Queen Of Fruit 1000ml</t>
        </is>
      </c>
      <c r="D956" t="inlineStr">
        <is>
          <t>Miss Glam Damar</t>
        </is>
      </c>
      <c r="E956" t="n">
        <v>2</v>
      </c>
      <c r="F956" t="n">
        <v>0.12</v>
      </c>
      <c r="G956" t="n">
        <v>1</v>
      </c>
      <c r="H956" t="n">
        <v>2</v>
      </c>
      <c r="I956" t="n">
        <v>16</v>
      </c>
      <c r="J956" t="n">
        <v>3</v>
      </c>
      <c r="K956" t="n">
        <v>0</v>
      </c>
      <c r="L956" t="n">
        <v>44550</v>
      </c>
      <c r="M956" t="n">
        <v>52500</v>
      </c>
      <c r="N956" t="n">
        <v>91</v>
      </c>
      <c r="O956" t="n">
        <v>0.91</v>
      </c>
      <c r="P956" t="n">
        <v>0</v>
      </c>
      <c r="Q956" t="n">
        <v>0.12</v>
      </c>
      <c r="R956" t="n">
        <v>1</v>
      </c>
      <c r="S956" t="n">
        <v>6300</v>
      </c>
      <c r="T956" t="n">
        <v>16</v>
      </c>
      <c r="U956" t="n">
        <v>17</v>
      </c>
      <c r="V956" t="n">
        <v>30</v>
      </c>
      <c r="W956" t="n">
        <v>4</v>
      </c>
      <c r="X956" t="n">
        <v>16.66666666666667</v>
      </c>
      <c r="Y956" t="n">
        <v>1</v>
      </c>
      <c r="Z956" t="n">
        <v>2</v>
      </c>
      <c r="AA956" t="n">
        <v>0</v>
      </c>
      <c r="AB956" t="n">
        <v>2</v>
      </c>
      <c r="AC956" t="n">
        <v>3</v>
      </c>
      <c r="AD956" t="n">
        <v>0</v>
      </c>
      <c r="AE956" t="n">
        <v>133650</v>
      </c>
      <c r="AF956" t="n">
        <v>466</v>
      </c>
      <c r="AG956" t="n">
        <v>107</v>
      </c>
      <c r="AH956" t="inlineStr">
        <is>
          <t xml:space="preserve">CV. DAHLIA - PPN (PDG) </t>
        </is>
      </c>
      <c r="AI956" t="n">
        <v>59</v>
      </c>
      <c r="AJ956" t="inlineStr">
        <is>
          <t>CULTUSIA</t>
        </is>
      </c>
      <c r="AK956" t="n">
        <v>21</v>
      </c>
      <c r="AL956" t="inlineStr">
        <is>
          <t>Miss Glam Damar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CULTUSIA</t>
        </is>
      </c>
      <c r="B957" s="2">
        <f>"8997004326996"</f>
        <v/>
      </c>
      <c r="C957" t="inlineStr">
        <is>
          <t>CULTUSIA Hair Color Blaecing</t>
        </is>
      </c>
      <c r="D957" t="inlineStr">
        <is>
          <t>Miss Glam Damar</t>
        </is>
      </c>
      <c r="E957" t="n">
        <v>7</v>
      </c>
      <c r="F957" t="n">
        <v>0.6006</v>
      </c>
      <c r="G957" t="n">
        <v>5.46</v>
      </c>
      <c r="H957" t="n">
        <v>2</v>
      </c>
      <c r="I957" t="n">
        <v>16</v>
      </c>
      <c r="J957" t="n">
        <v>3</v>
      </c>
      <c r="K957" t="n">
        <v>0</v>
      </c>
      <c r="L957" t="n">
        <v>12510</v>
      </c>
      <c r="M957" t="n">
        <v>15000</v>
      </c>
      <c r="N957" t="n">
        <v>91</v>
      </c>
      <c r="O957" t="n">
        <v>0.91</v>
      </c>
      <c r="P957" t="n">
        <v>1</v>
      </c>
      <c r="Q957" t="n">
        <v>0.22</v>
      </c>
      <c r="R957" t="n">
        <v>5</v>
      </c>
      <c r="S957" t="n">
        <v>9009</v>
      </c>
      <c r="T957" t="n">
        <v>87</v>
      </c>
      <c r="U957" t="n">
        <v>89</v>
      </c>
      <c r="V957" t="n">
        <v>30</v>
      </c>
      <c r="W957" t="n">
        <v>19</v>
      </c>
      <c r="X957" t="n">
        <v>11.65501165501165</v>
      </c>
      <c r="Y957" t="n">
        <v>1</v>
      </c>
      <c r="Z957" t="n">
        <v>12</v>
      </c>
      <c r="AA957" t="n">
        <v>3</v>
      </c>
      <c r="AB957" t="n">
        <v>9</v>
      </c>
      <c r="AC957" t="n">
        <v>9</v>
      </c>
      <c r="AD957" t="n">
        <v>37530</v>
      </c>
      <c r="AE957" t="n">
        <v>112590</v>
      </c>
      <c r="AF957" t="n">
        <v>466</v>
      </c>
      <c r="AG957" t="n">
        <v>107</v>
      </c>
      <c r="AH957" t="inlineStr">
        <is>
          <t xml:space="preserve">CV. DAHLIA - PPN (PDG) </t>
        </is>
      </c>
      <c r="AI957" t="n">
        <v>59</v>
      </c>
      <c r="AJ957" t="inlineStr">
        <is>
          <t>CULTUSIA</t>
        </is>
      </c>
      <c r="AK957" t="n">
        <v>21</v>
      </c>
      <c r="AL957" t="inlineStr">
        <is>
          <t>Miss Glam Damar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CULTUSIA</t>
        </is>
      </c>
      <c r="B958" s="2">
        <f>"8997004329935"</f>
        <v/>
      </c>
      <c r="C958" t="inlineStr">
        <is>
          <t>CULTUSIA Shampo Original Black dengan Ekstrak Jahe &amp; Minyak Zaitun 160ml</t>
        </is>
      </c>
      <c r="D958" t="inlineStr">
        <is>
          <t>Miss Glam Damar</t>
        </is>
      </c>
      <c r="E958" t="n">
        <v>6</v>
      </c>
      <c r="F958" t="n">
        <v>0.2184</v>
      </c>
      <c r="G958" t="n">
        <v>1.82</v>
      </c>
      <c r="H958" t="n">
        <v>2</v>
      </c>
      <c r="I958" t="n">
        <v>16</v>
      </c>
      <c r="J958" t="n">
        <v>3</v>
      </c>
      <c r="K958" t="n">
        <v>0</v>
      </c>
      <c r="L958" t="n">
        <v>45000</v>
      </c>
      <c r="M958" t="n">
        <v>59000</v>
      </c>
      <c r="N958" t="n">
        <v>91</v>
      </c>
      <c r="O958" t="n">
        <v>0.91</v>
      </c>
      <c r="P958" t="n">
        <v>1</v>
      </c>
      <c r="Q958" t="n">
        <v>0.17</v>
      </c>
      <c r="R958" t="n">
        <v>1</v>
      </c>
      <c r="S958" t="n">
        <v>12885.6</v>
      </c>
      <c r="T958" t="n">
        <v>29</v>
      </c>
      <c r="U958" t="n">
        <v>30</v>
      </c>
      <c r="V958" t="n">
        <v>30</v>
      </c>
      <c r="W958" t="n">
        <v>7</v>
      </c>
      <c r="X958" t="n">
        <v>27.47252747252747</v>
      </c>
      <c r="Y958" t="n">
        <v>1</v>
      </c>
      <c r="Z958" t="n">
        <v>1</v>
      </c>
      <c r="AA958" t="n">
        <v>0</v>
      </c>
      <c r="AB958" t="n">
        <v>1</v>
      </c>
      <c r="AC958" t="n">
        <v>3</v>
      </c>
      <c r="AD958" t="n">
        <v>0</v>
      </c>
      <c r="AE958" t="n">
        <v>135000</v>
      </c>
      <c r="AF958" t="n">
        <v>466</v>
      </c>
      <c r="AG958" t="n">
        <v>107</v>
      </c>
      <c r="AH958" t="inlineStr">
        <is>
          <t xml:space="preserve">CV. DAHLIA - PPN (PDG) </t>
        </is>
      </c>
      <c r="AI958" t="n">
        <v>59</v>
      </c>
      <c r="AJ958" t="inlineStr">
        <is>
          <t>CULTUSIA</t>
        </is>
      </c>
      <c r="AK958" t="n">
        <v>21</v>
      </c>
      <c r="AL958" t="inlineStr">
        <is>
          <t>Miss Glam Damar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D'ALBA</t>
        </is>
      </c>
      <c r="B959" s="2">
        <f>"8809563065448"</f>
        <v/>
      </c>
      <c r="C959" t="inlineStr">
        <is>
          <t>D'ALBA Double Layer Revitalizing Serum White Truffle 30ml</t>
        </is>
      </c>
      <c r="D959" t="inlineStr">
        <is>
          <t>Miss Glam Damar</t>
        </is>
      </c>
      <c r="E959" t="n">
        <v>3</v>
      </c>
      <c r="F959" t="n">
        <v>0.02</v>
      </c>
      <c r="G959" t="n">
        <v>1</v>
      </c>
      <c r="H959" t="n">
        <v>4</v>
      </c>
      <c r="I959" t="n">
        <v>21</v>
      </c>
      <c r="J959" t="n">
        <v>3</v>
      </c>
      <c r="K959" t="n">
        <v>0</v>
      </c>
      <c r="L959" t="n">
        <v>492191</v>
      </c>
      <c r="M959" t="n">
        <v>565500</v>
      </c>
      <c r="N959" t="n">
        <v>91</v>
      </c>
      <c r="O959" t="n">
        <v>0.91</v>
      </c>
      <c r="P959" t="n">
        <v>0</v>
      </c>
      <c r="Q959" t="n">
        <v>0.02</v>
      </c>
      <c r="R959" t="n">
        <v>1</v>
      </c>
      <c r="S959" t="n">
        <v>11310</v>
      </c>
      <c r="T959" t="n">
        <v>21</v>
      </c>
      <c r="U959" t="n">
        <v>22</v>
      </c>
      <c r="V959" t="n">
        <v>30</v>
      </c>
      <c r="W959" t="n">
        <v>1</v>
      </c>
      <c r="X959" t="n">
        <v>150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4437</v>
      </c>
      <c r="AG959" t="n">
        <v>1</v>
      </c>
      <c r="AH959" t="inlineStr">
        <is>
          <t>PT. BERSAMA DISTRIVERSA INDONESIA (DC CIPUTAT)</t>
        </is>
      </c>
      <c r="AI959" t="n">
        <v>1679</v>
      </c>
      <c r="AJ959" t="inlineStr">
        <is>
          <t>D'ALBA</t>
        </is>
      </c>
      <c r="AK959" t="n">
        <v>21</v>
      </c>
      <c r="AL959" t="inlineStr">
        <is>
          <t>Miss Glam Damar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D'ALBA</t>
        </is>
      </c>
      <c r="B960" s="2">
        <f>"8809563068753"</f>
        <v/>
      </c>
      <c r="C960" t="inlineStr">
        <is>
          <t>D'ALBA First Spray Serum Hydrate &amp; Radiant Skin 100ml</t>
        </is>
      </c>
      <c r="D960" t="inlineStr">
        <is>
          <t>Miss Glam Damar</t>
        </is>
      </c>
      <c r="E960" t="n">
        <v>3</v>
      </c>
      <c r="F960" t="n">
        <v>0.182</v>
      </c>
      <c r="G960" t="n">
        <v>2.73</v>
      </c>
      <c r="H960" t="n">
        <v>4</v>
      </c>
      <c r="I960" t="n">
        <v>21</v>
      </c>
      <c r="J960" t="n">
        <v>3</v>
      </c>
      <c r="K960" t="n">
        <v>0</v>
      </c>
      <c r="L960" t="n">
        <v>216084</v>
      </c>
      <c r="M960" t="n">
        <v>297000</v>
      </c>
      <c r="N960" t="n">
        <v>91</v>
      </c>
      <c r="O960" t="n">
        <v>0.91</v>
      </c>
      <c r="P960" t="n">
        <v>1</v>
      </c>
      <c r="Q960" t="n">
        <v>0.12</v>
      </c>
      <c r="R960" t="n">
        <v>1</v>
      </c>
      <c r="S960" t="n">
        <v>54054.00000000001</v>
      </c>
      <c r="T960" t="n">
        <v>57</v>
      </c>
      <c r="U960" t="n">
        <v>58</v>
      </c>
      <c r="V960" t="n">
        <v>30</v>
      </c>
      <c r="W960" t="n">
        <v>6</v>
      </c>
      <c r="X960" t="n">
        <v>16.48351648351648</v>
      </c>
      <c r="Y960" t="n">
        <v>1</v>
      </c>
      <c r="Z960" t="n">
        <v>3</v>
      </c>
      <c r="AA960" t="n">
        <v>1</v>
      </c>
      <c r="AB960" t="n">
        <v>2</v>
      </c>
      <c r="AC960" t="n">
        <v>3</v>
      </c>
      <c r="AD960" t="n">
        <v>216084</v>
      </c>
      <c r="AE960" t="n">
        <v>648252</v>
      </c>
      <c r="AF960" t="n">
        <v>4437</v>
      </c>
      <c r="AG960" t="n">
        <v>1</v>
      </c>
      <c r="AH960" t="inlineStr">
        <is>
          <t>PT. BERSAMA DISTRIVERSA INDONESIA (DC CIPUTAT)</t>
        </is>
      </c>
      <c r="AI960" t="n">
        <v>1679</v>
      </c>
      <c r="AJ960" t="inlineStr">
        <is>
          <t>D'ALBA</t>
        </is>
      </c>
      <c r="AK960" t="n">
        <v>21</v>
      </c>
      <c r="AL960" t="inlineStr">
        <is>
          <t>Miss Glam Damar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D'ALBA</t>
        </is>
      </c>
      <c r="B961" s="2">
        <f>"11200148539"</f>
        <v/>
      </c>
      <c r="C961" t="inlineStr">
        <is>
          <t>D'ALBA Pledmont First Spray Serum Allure From Basic White Truffle 50ml</t>
        </is>
      </c>
      <c r="D961" t="inlineStr">
        <is>
          <t>Miss Glam Damar</t>
        </is>
      </c>
      <c r="E961" t="n">
        <v>2</v>
      </c>
      <c r="F961" t="n">
        <v>0.0273</v>
      </c>
      <c r="G961" t="n">
        <v>0.91</v>
      </c>
      <c r="H961" t="n">
        <v>4</v>
      </c>
      <c r="I961" t="n">
        <v>21</v>
      </c>
      <c r="J961" t="n">
        <v>1</v>
      </c>
      <c r="K961" t="n">
        <v>0</v>
      </c>
      <c r="L961" t="n">
        <v>142744</v>
      </c>
      <c r="M961" t="n">
        <v>194000</v>
      </c>
      <c r="N961" t="n">
        <v>91</v>
      </c>
      <c r="O961" t="n">
        <v>0.91</v>
      </c>
      <c r="P961" t="n">
        <v>1</v>
      </c>
      <c r="Q961" t="n">
        <v>0.46</v>
      </c>
      <c r="R961" t="n">
        <v>2</v>
      </c>
      <c r="S961" t="n">
        <v>5296.2</v>
      </c>
      <c r="T961" t="n">
        <v>20</v>
      </c>
      <c r="U961" t="n">
        <v>21</v>
      </c>
      <c r="V961" t="n">
        <v>30</v>
      </c>
      <c r="W961" t="n">
        <v>1</v>
      </c>
      <c r="X961" t="n">
        <v>73.26007326007326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4437</v>
      </c>
      <c r="AG961" t="n">
        <v>1</v>
      </c>
      <c r="AH961" t="inlineStr">
        <is>
          <t>PT. BERSAMA DISTRIVERSA INDONESIA (DC CIPUTAT)</t>
        </is>
      </c>
      <c r="AI961" t="n">
        <v>1679</v>
      </c>
      <c r="AJ961" t="inlineStr">
        <is>
          <t>D'ALBA</t>
        </is>
      </c>
      <c r="AK961" t="n">
        <v>21</v>
      </c>
      <c r="AL961" t="inlineStr">
        <is>
          <t>Miss Glam Damar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D'ALBA</t>
        </is>
      </c>
      <c r="B962" s="2">
        <f>"8809782554884"</f>
        <v/>
      </c>
      <c r="C962" t="inlineStr">
        <is>
          <t>D'ALBA UV Essence Waterfull+ Tone Up Sun Cream SPF50</t>
        </is>
      </c>
      <c r="D962" t="inlineStr">
        <is>
          <t>Miss Glam Damar</t>
        </is>
      </c>
      <c r="E962" t="n">
        <v>0</v>
      </c>
      <c r="F962" t="n">
        <v>0.0182</v>
      </c>
      <c r="G962" t="n">
        <v>0.91</v>
      </c>
      <c r="H962" t="n">
        <v>4</v>
      </c>
      <c r="I962" t="n">
        <v>21</v>
      </c>
      <c r="J962" t="n">
        <v>3</v>
      </c>
      <c r="K962" t="n">
        <v>0</v>
      </c>
      <c r="L962" t="n">
        <v>216084</v>
      </c>
      <c r="M962" t="n">
        <v>285000</v>
      </c>
      <c r="N962" t="n">
        <v>91</v>
      </c>
      <c r="O962" t="n">
        <v>0.91</v>
      </c>
      <c r="P962" t="n">
        <v>1</v>
      </c>
      <c r="Q962" t="n">
        <v>0.1</v>
      </c>
      <c r="R962" t="n">
        <v>1</v>
      </c>
      <c r="S962" t="n">
        <v>5187</v>
      </c>
      <c r="T962" t="n">
        <v>20</v>
      </c>
      <c r="U962" t="n">
        <v>21</v>
      </c>
      <c r="V962" t="n">
        <v>30</v>
      </c>
      <c r="W962" t="n">
        <v>1</v>
      </c>
      <c r="X962" t="n">
        <v>0</v>
      </c>
      <c r="Y962" t="n">
        <v>1</v>
      </c>
      <c r="Z962" t="n">
        <v>1</v>
      </c>
      <c r="AA962" t="n">
        <v>1</v>
      </c>
      <c r="AB962" t="n">
        <v>0</v>
      </c>
      <c r="AC962" t="n">
        <v>0</v>
      </c>
      <c r="AD962" t="n">
        <v>216084</v>
      </c>
      <c r="AE962" t="n">
        <v>0</v>
      </c>
      <c r="AF962" t="n">
        <v>4437</v>
      </c>
      <c r="AG962" t="n">
        <v>1</v>
      </c>
      <c r="AH962" t="inlineStr">
        <is>
          <t>PT. BERSAMA DISTRIVERSA INDONESIA (DC CIPUTAT)</t>
        </is>
      </c>
      <c r="AI962" t="n">
        <v>1679</v>
      </c>
      <c r="AJ962" t="inlineStr">
        <is>
          <t>D'ALBA</t>
        </is>
      </c>
      <c r="AK962" t="n">
        <v>21</v>
      </c>
      <c r="AL962" t="inlineStr">
        <is>
          <t>Miss Glam Damar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D'ALBA</t>
        </is>
      </c>
      <c r="B963" s="2">
        <f>"11200431925"</f>
        <v/>
      </c>
      <c r="C963" t="inlineStr">
        <is>
          <t>D'ALBA White Truffle First Aromatic Spray Serum 60ml</t>
        </is>
      </c>
      <c r="D963" t="inlineStr">
        <is>
          <t>Miss Glam Damar</t>
        </is>
      </c>
      <c r="E963" t="n">
        <v>4</v>
      </c>
      <c r="F963" t="n">
        <v>0.1092</v>
      </c>
      <c r="G963" t="n">
        <v>0.91</v>
      </c>
      <c r="H963" t="n">
        <v>4</v>
      </c>
      <c r="I963" t="n">
        <v>21</v>
      </c>
      <c r="J963" t="n">
        <v>1</v>
      </c>
      <c r="K963" t="n">
        <v>0</v>
      </c>
      <c r="L963" t="n">
        <v>171991</v>
      </c>
      <c r="M963" t="n">
        <v>216500</v>
      </c>
      <c r="N963" t="n">
        <v>91</v>
      </c>
      <c r="O963" t="n">
        <v>0.91</v>
      </c>
      <c r="P963" t="n">
        <v>1</v>
      </c>
      <c r="Q963" t="n">
        <v>0.19</v>
      </c>
      <c r="R963" t="n">
        <v>3</v>
      </c>
      <c r="S963" t="n">
        <v>23641.8</v>
      </c>
      <c r="T963" t="n">
        <v>19</v>
      </c>
      <c r="U963" t="n">
        <v>20</v>
      </c>
      <c r="V963" t="n">
        <v>30</v>
      </c>
      <c r="W963" t="n">
        <v>4</v>
      </c>
      <c r="X963" t="n">
        <v>36.63003663003663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4437</v>
      </c>
      <c r="AG963" t="n">
        <v>1</v>
      </c>
      <c r="AH963" t="inlineStr">
        <is>
          <t>PT. BERSAMA DISTRIVERSA INDONESIA (DC CIPUTAT)</t>
        </is>
      </c>
      <c r="AI963" t="n">
        <v>1679</v>
      </c>
      <c r="AJ963" t="inlineStr">
        <is>
          <t>D'ALBA</t>
        </is>
      </c>
      <c r="AK963" t="n">
        <v>21</v>
      </c>
      <c r="AL963" t="inlineStr">
        <is>
          <t>Miss Glam Damar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DAZZLE ME</t>
        </is>
      </c>
      <c r="B964" s="2">
        <f>"8859588106602"</f>
        <v/>
      </c>
      <c r="C964" t="inlineStr">
        <is>
          <t>DAZZLE ME 24/7/ Wonderful Lip Serum 2gr</t>
        </is>
      </c>
      <c r="D964" t="inlineStr">
        <is>
          <t>Miss Glam Damar</t>
        </is>
      </c>
      <c r="E964" t="n">
        <v>20</v>
      </c>
      <c r="F964" t="n">
        <v>0.2457</v>
      </c>
      <c r="G964" t="n">
        <v>1.82</v>
      </c>
      <c r="H964" t="n">
        <v>3</v>
      </c>
      <c r="I964" t="n">
        <v>11</v>
      </c>
      <c r="J964" t="n">
        <v>3</v>
      </c>
      <c r="K964" t="n">
        <v>0</v>
      </c>
      <c r="L964" t="n">
        <v>23921</v>
      </c>
      <c r="M964" t="n">
        <v>29900</v>
      </c>
      <c r="N964" t="n">
        <v>91</v>
      </c>
      <c r="O964" t="n">
        <v>0.91</v>
      </c>
      <c r="P964" t="n">
        <v>1</v>
      </c>
      <c r="Q964" t="n">
        <v>0.46</v>
      </c>
      <c r="R964" t="n">
        <v>2</v>
      </c>
      <c r="S964" t="n">
        <v>7346.430000000001</v>
      </c>
      <c r="T964" t="n">
        <v>20</v>
      </c>
      <c r="U964" t="n">
        <v>21</v>
      </c>
      <c r="V964" t="n">
        <v>30</v>
      </c>
      <c r="W964" t="n">
        <v>8</v>
      </c>
      <c r="X964" t="n">
        <v>81.40008140008139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12803</v>
      </c>
      <c r="AG964" t="n">
        <v>2122</v>
      </c>
      <c r="AH964" t="inlineStr">
        <is>
          <t>PT. SINAR PADANG LESTARI - PPN (PDG)</t>
        </is>
      </c>
      <c r="AI964" t="n">
        <v>1422</v>
      </c>
      <c r="AJ964" t="inlineStr">
        <is>
          <t>DAZZLE ME</t>
        </is>
      </c>
      <c r="AK964" t="n">
        <v>21</v>
      </c>
      <c r="AL964" t="inlineStr">
        <is>
          <t>Miss Glam Damar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DAZZLE ME</t>
        </is>
      </c>
      <c r="B965" s="2">
        <f>"8991748004226"</f>
        <v/>
      </c>
      <c r="C965" t="inlineStr">
        <is>
          <t>DAZZLE ME 2in1 Love Jam Lip Clay 01 Early Morning 3g</t>
        </is>
      </c>
      <c r="D965" t="inlineStr">
        <is>
          <t>Miss Glam Damar</t>
        </is>
      </c>
      <c r="E965" t="n">
        <v>5</v>
      </c>
      <c r="F965" t="n">
        <v>0.02</v>
      </c>
      <c r="G965" t="n">
        <v>1</v>
      </c>
      <c r="H965" t="n">
        <v>3</v>
      </c>
      <c r="I965" t="n">
        <v>11</v>
      </c>
      <c r="J965" t="n">
        <v>3</v>
      </c>
      <c r="K965" t="n">
        <v>0</v>
      </c>
      <c r="L965" t="n">
        <v>28000</v>
      </c>
      <c r="M965" t="n">
        <v>34900</v>
      </c>
      <c r="N965" t="n">
        <v>91</v>
      </c>
      <c r="O965" t="n">
        <v>0.91</v>
      </c>
      <c r="P965" t="n">
        <v>0</v>
      </c>
      <c r="Q965" t="n">
        <v>0.02</v>
      </c>
      <c r="R965" t="n">
        <v>1</v>
      </c>
      <c r="S965" t="n">
        <v>698</v>
      </c>
      <c r="T965" t="n">
        <v>11</v>
      </c>
      <c r="U965" t="n">
        <v>12</v>
      </c>
      <c r="V965" t="n">
        <v>30</v>
      </c>
      <c r="W965" t="n">
        <v>1</v>
      </c>
      <c r="X965" t="n">
        <v>250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12803</v>
      </c>
      <c r="AG965" t="n">
        <v>2122</v>
      </c>
      <c r="AH965" t="inlineStr">
        <is>
          <t>PT. SINAR PADANG LESTARI - PPN (PDG)</t>
        </is>
      </c>
      <c r="AI965" t="n">
        <v>1422</v>
      </c>
      <c r="AJ965" t="inlineStr">
        <is>
          <t>DAZZLE ME</t>
        </is>
      </c>
      <c r="AK965" t="n">
        <v>21</v>
      </c>
      <c r="AL965" t="inlineStr">
        <is>
          <t>Miss Glam Damar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DAZZLE ME</t>
        </is>
      </c>
      <c r="B966" s="2">
        <f>"8991748004257"</f>
        <v/>
      </c>
      <c r="C966" t="inlineStr">
        <is>
          <t>DAZZLE ME 2in1 Love Jam Lip Clay 04 Dream Catcher 3g</t>
        </is>
      </c>
      <c r="D966" t="inlineStr">
        <is>
          <t>Miss Glam Damar</t>
        </is>
      </c>
      <c r="E966" t="n">
        <v>6</v>
      </c>
      <c r="F966" t="n">
        <v>0.0546</v>
      </c>
      <c r="G966" t="n">
        <v>0.91</v>
      </c>
      <c r="H966" t="n">
        <v>3</v>
      </c>
      <c r="I966" t="n">
        <v>11</v>
      </c>
      <c r="J966" t="n">
        <v>3</v>
      </c>
      <c r="K966" t="n">
        <v>0</v>
      </c>
      <c r="L966" t="n">
        <v>28000</v>
      </c>
      <c r="M966" t="n">
        <v>34900</v>
      </c>
      <c r="N966" t="n">
        <v>91</v>
      </c>
      <c r="O966" t="n">
        <v>0.91</v>
      </c>
      <c r="P966" t="n">
        <v>1</v>
      </c>
      <c r="Q966" t="n">
        <v>0.02</v>
      </c>
      <c r="R966" t="n">
        <v>1</v>
      </c>
      <c r="S966" t="n">
        <v>1905.54</v>
      </c>
      <c r="T966" t="n">
        <v>10</v>
      </c>
      <c r="U966" t="n">
        <v>11</v>
      </c>
      <c r="V966" t="n">
        <v>30</v>
      </c>
      <c r="W966" t="n">
        <v>2</v>
      </c>
      <c r="X966" t="n">
        <v>109.8901098901099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12803</v>
      </c>
      <c r="AG966" t="n">
        <v>2122</v>
      </c>
      <c r="AH966" t="inlineStr">
        <is>
          <t>PT. SINAR PADANG LESTARI - PPN (PDG)</t>
        </is>
      </c>
      <c r="AI966" t="n">
        <v>1422</v>
      </c>
      <c r="AJ966" t="inlineStr">
        <is>
          <t>DAZZLE ME</t>
        </is>
      </c>
      <c r="AK966" t="n">
        <v>21</v>
      </c>
      <c r="AL966" t="inlineStr">
        <is>
          <t>Miss Glam Damar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DAZZLE ME</t>
        </is>
      </c>
      <c r="B967" s="2">
        <f>"8991748004271"</f>
        <v/>
      </c>
      <c r="C967" t="inlineStr">
        <is>
          <t>DAZZLE ME 2in1 Love Jam Lip Clay 06 Cup Of Coffee 3gr</t>
        </is>
      </c>
      <c r="D967" t="inlineStr">
        <is>
          <t>Miss Glam Damar</t>
        </is>
      </c>
      <c r="E967" t="n">
        <v>19</v>
      </c>
      <c r="F967" t="n">
        <v>0.0273</v>
      </c>
      <c r="G967" t="n">
        <v>0.91</v>
      </c>
      <c r="H967" t="n">
        <v>3</v>
      </c>
      <c r="I967" t="n">
        <v>11</v>
      </c>
      <c r="J967" t="n">
        <v>3</v>
      </c>
      <c r="K967" t="n">
        <v>0</v>
      </c>
      <c r="L967" t="n">
        <v>28000</v>
      </c>
      <c r="M967" t="n">
        <v>33900</v>
      </c>
      <c r="N967" t="n">
        <v>91</v>
      </c>
      <c r="O967" t="n">
        <v>0.91</v>
      </c>
      <c r="P967" t="n">
        <v>1</v>
      </c>
      <c r="Q967" t="n">
        <v>0.02</v>
      </c>
      <c r="R967" t="n">
        <v>1</v>
      </c>
      <c r="S967" t="n">
        <v>925.47</v>
      </c>
      <c r="T967" t="n">
        <v>10</v>
      </c>
      <c r="U967" t="n">
        <v>11</v>
      </c>
      <c r="V967" t="n">
        <v>30</v>
      </c>
      <c r="W967" t="n">
        <v>1</v>
      </c>
      <c r="X967" t="n">
        <v>695.9706959706959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12803</v>
      </c>
      <c r="AG967" t="n">
        <v>2122</v>
      </c>
      <c r="AH967" t="inlineStr">
        <is>
          <t>PT. SINAR PADANG LESTARI - PPN (PDG)</t>
        </is>
      </c>
      <c r="AI967" t="n">
        <v>1422</v>
      </c>
      <c r="AJ967" t="inlineStr">
        <is>
          <t>DAZZLE ME</t>
        </is>
      </c>
      <c r="AK967" t="n">
        <v>21</v>
      </c>
      <c r="AL967" t="inlineStr">
        <is>
          <t>Miss Glam Damar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DAZZLE ME</t>
        </is>
      </c>
      <c r="B968" s="2">
        <f>"20300387549"</f>
        <v/>
      </c>
      <c r="C968" t="inlineStr">
        <is>
          <t>DAZZLE ME Acne Armor Cover &amp; Correct Skin Tint C05 Medium Pink</t>
        </is>
      </c>
      <c r="D968" t="inlineStr">
        <is>
          <t>Miss Glam Damar</t>
        </is>
      </c>
      <c r="E968" t="n">
        <v>8</v>
      </c>
      <c r="F968" t="n">
        <v>0.0728</v>
      </c>
      <c r="G968" t="n">
        <v>0.91</v>
      </c>
      <c r="H968" t="n">
        <v>3</v>
      </c>
      <c r="I968" t="n">
        <v>11</v>
      </c>
      <c r="J968" t="n">
        <v>3</v>
      </c>
      <c r="K968" t="n">
        <v>0</v>
      </c>
      <c r="L968" t="n">
        <v>39920</v>
      </c>
      <c r="M968" t="n">
        <v>49900</v>
      </c>
      <c r="N968" t="n">
        <v>91</v>
      </c>
      <c r="O968" t="n">
        <v>0.91</v>
      </c>
      <c r="P968" t="n">
        <v>1</v>
      </c>
      <c r="Q968" t="n">
        <v>0.03</v>
      </c>
      <c r="R968" t="n">
        <v>1</v>
      </c>
      <c r="S968" t="n">
        <v>3632.72</v>
      </c>
      <c r="T968" t="n">
        <v>10</v>
      </c>
      <c r="U968" t="n">
        <v>11</v>
      </c>
      <c r="V968" t="n">
        <v>30</v>
      </c>
      <c r="W968" t="n">
        <v>3</v>
      </c>
      <c r="X968" t="n">
        <v>109.8901098901099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12803</v>
      </c>
      <c r="AG968" t="n">
        <v>2122</v>
      </c>
      <c r="AH968" t="inlineStr">
        <is>
          <t>PT. SINAR PADANG LESTARI - PPN (PDG)</t>
        </is>
      </c>
      <c r="AI968" t="n">
        <v>1422</v>
      </c>
      <c r="AJ968" t="inlineStr">
        <is>
          <t>DAZZLE ME</t>
        </is>
      </c>
      <c r="AK968" t="n">
        <v>21</v>
      </c>
      <c r="AL968" t="inlineStr">
        <is>
          <t>Miss Glam Damar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DAZZLE ME</t>
        </is>
      </c>
      <c r="B969" s="2">
        <f>"20300387641"</f>
        <v/>
      </c>
      <c r="C969" t="inlineStr">
        <is>
          <t>DAZZLE ME Acne Armor Cover &amp; Correct Skin Tint N06 Medium Almond</t>
        </is>
      </c>
      <c r="D969" t="inlineStr">
        <is>
          <t>Miss Glam Damar</t>
        </is>
      </c>
      <c r="E969" t="n">
        <v>3</v>
      </c>
      <c r="F969" t="n">
        <v>0.1274</v>
      </c>
      <c r="G969" t="n">
        <v>0.91</v>
      </c>
      <c r="H969" t="n">
        <v>3</v>
      </c>
      <c r="I969" t="n">
        <v>11</v>
      </c>
      <c r="J969" t="n">
        <v>3</v>
      </c>
      <c r="K969" t="n">
        <v>0</v>
      </c>
      <c r="L969" t="n">
        <v>39921</v>
      </c>
      <c r="M969" t="n">
        <v>49900</v>
      </c>
      <c r="N969" t="n">
        <v>91</v>
      </c>
      <c r="O969" t="n">
        <v>0.91</v>
      </c>
      <c r="P969" t="n">
        <v>1</v>
      </c>
      <c r="Q969" t="n">
        <v>0.03</v>
      </c>
      <c r="R969" t="n">
        <v>1</v>
      </c>
      <c r="S969" t="n">
        <v>6357.26</v>
      </c>
      <c r="T969" t="n">
        <v>10</v>
      </c>
      <c r="U969" t="n">
        <v>11</v>
      </c>
      <c r="V969" t="n">
        <v>30</v>
      </c>
      <c r="W969" t="n">
        <v>4</v>
      </c>
      <c r="X969" t="n">
        <v>23.54788069073783</v>
      </c>
      <c r="Y969" t="n">
        <v>1</v>
      </c>
      <c r="Z969" t="n">
        <v>1</v>
      </c>
      <c r="AA969" t="n">
        <v>0</v>
      </c>
      <c r="AB969" t="n">
        <v>1</v>
      </c>
      <c r="AC969" t="n">
        <v>3</v>
      </c>
      <c r="AD969" t="n">
        <v>0</v>
      </c>
      <c r="AE969" t="n">
        <v>119763</v>
      </c>
      <c r="AF969" t="n">
        <v>12803</v>
      </c>
      <c r="AG969" t="n">
        <v>2122</v>
      </c>
      <c r="AH969" t="inlineStr">
        <is>
          <t>PT. SINAR PADANG LESTARI - PPN (PDG)</t>
        </is>
      </c>
      <c r="AI969" t="n">
        <v>1422</v>
      </c>
      <c r="AJ969" t="inlineStr">
        <is>
          <t>DAZZLE ME</t>
        </is>
      </c>
      <c r="AK969" t="n">
        <v>21</v>
      </c>
      <c r="AL969" t="inlineStr">
        <is>
          <t>Miss Glam Damar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DAZZLE ME</t>
        </is>
      </c>
      <c r="B970" s="2">
        <f>"20300387254"</f>
        <v/>
      </c>
      <c r="C970" t="inlineStr">
        <is>
          <t>DAZZLE ME Acne Armor Cover &amp; Correct Skin Tint W01 Light Ivory</t>
        </is>
      </c>
      <c r="D970" t="inlineStr">
        <is>
          <t>Miss Glam Damar</t>
        </is>
      </c>
      <c r="E970" t="n">
        <v>5</v>
      </c>
      <c r="F970" t="n">
        <v>0.1547</v>
      </c>
      <c r="G970" t="n">
        <v>1.82</v>
      </c>
      <c r="H970" t="n">
        <v>3</v>
      </c>
      <c r="I970" t="n">
        <v>11</v>
      </c>
      <c r="J970" t="n">
        <v>3</v>
      </c>
      <c r="K970" t="n">
        <v>0</v>
      </c>
      <c r="L970" t="n">
        <v>39921</v>
      </c>
      <c r="M970" t="n">
        <v>49900</v>
      </c>
      <c r="N970" t="n">
        <v>91</v>
      </c>
      <c r="O970" t="n">
        <v>0.91</v>
      </c>
      <c r="P970" t="n">
        <v>1</v>
      </c>
      <c r="Q970" t="n">
        <v>0.03</v>
      </c>
      <c r="R970" t="n">
        <v>1</v>
      </c>
      <c r="S970" t="n">
        <v>7719.530000000001</v>
      </c>
      <c r="T970" t="n">
        <v>20</v>
      </c>
      <c r="U970" t="n">
        <v>21</v>
      </c>
      <c r="V970" t="n">
        <v>30</v>
      </c>
      <c r="W970" t="n">
        <v>5</v>
      </c>
      <c r="X970" t="n">
        <v>32.32062055591467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12803</v>
      </c>
      <c r="AG970" t="n">
        <v>2122</v>
      </c>
      <c r="AH970" t="inlineStr">
        <is>
          <t>PT. SINAR PADANG LESTARI - PPN (PDG)</t>
        </is>
      </c>
      <c r="AI970" t="n">
        <v>1422</v>
      </c>
      <c r="AJ970" t="inlineStr">
        <is>
          <t>DAZZLE ME</t>
        </is>
      </c>
      <c r="AK970" t="n">
        <v>21</v>
      </c>
      <c r="AL970" t="inlineStr">
        <is>
          <t>Miss Glam Damar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DAZZLE ME</t>
        </is>
      </c>
      <c r="B971" s="2">
        <f>"20300387347"</f>
        <v/>
      </c>
      <c r="C971" t="inlineStr">
        <is>
          <t>DAZZLE ME Acne Armor Cover &amp; Correct Skin Tint W02 Light Bone</t>
        </is>
      </c>
      <c r="D971" t="inlineStr">
        <is>
          <t>Miss Glam Damar</t>
        </is>
      </c>
      <c r="E971" t="n">
        <v>22</v>
      </c>
      <c r="F971" t="n">
        <v>0.1274</v>
      </c>
      <c r="G971" t="n">
        <v>1.82</v>
      </c>
      <c r="H971" t="n">
        <v>3</v>
      </c>
      <c r="I971" t="n">
        <v>11</v>
      </c>
      <c r="J971" t="n">
        <v>3</v>
      </c>
      <c r="K971" t="n">
        <v>0</v>
      </c>
      <c r="L971" t="n">
        <v>39920</v>
      </c>
      <c r="M971" t="n">
        <v>49900</v>
      </c>
      <c r="N971" t="n">
        <v>91</v>
      </c>
      <c r="O971" t="n">
        <v>0.91</v>
      </c>
      <c r="P971" t="n">
        <v>1</v>
      </c>
      <c r="Q971" t="n">
        <v>0.03</v>
      </c>
      <c r="R971" t="n">
        <v>1</v>
      </c>
      <c r="S971" t="n">
        <v>6357.26</v>
      </c>
      <c r="T971" t="n">
        <v>20</v>
      </c>
      <c r="U971" t="n">
        <v>21</v>
      </c>
      <c r="V971" t="n">
        <v>30</v>
      </c>
      <c r="W971" t="n">
        <v>4</v>
      </c>
      <c r="X971" t="n">
        <v>172.6844583987441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12803</v>
      </c>
      <c r="AG971" t="n">
        <v>2122</v>
      </c>
      <c r="AH971" t="inlineStr">
        <is>
          <t>PT. SINAR PADANG LESTARI - PPN (PDG)</t>
        </is>
      </c>
      <c r="AI971" t="n">
        <v>1422</v>
      </c>
      <c r="AJ971" t="inlineStr">
        <is>
          <t>DAZZLE ME</t>
        </is>
      </c>
      <c r="AK971" t="n">
        <v>21</v>
      </c>
      <c r="AL971" t="inlineStr">
        <is>
          <t>Miss Glam Damar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DAZZLE ME</t>
        </is>
      </c>
      <c r="B972" s="2">
        <f>"20300387418"</f>
        <v/>
      </c>
      <c r="C972" t="inlineStr">
        <is>
          <t>DAZZLE ME Acne Armor Cover &amp; Correct Skin Tint W04 Yellow Beige</t>
        </is>
      </c>
      <c r="D972" t="inlineStr">
        <is>
          <t>Miss Glam Damar</t>
        </is>
      </c>
      <c r="E972" t="n">
        <v>8</v>
      </c>
      <c r="F972" t="n">
        <v>0.04550000000000001</v>
      </c>
      <c r="G972" t="n">
        <v>0.91</v>
      </c>
      <c r="H972" t="n">
        <v>3</v>
      </c>
      <c r="I972" t="n">
        <v>11</v>
      </c>
      <c r="J972" t="n">
        <v>3</v>
      </c>
      <c r="K972" t="n">
        <v>0</v>
      </c>
      <c r="L972" t="n">
        <v>39921</v>
      </c>
      <c r="M972" t="n">
        <v>49900</v>
      </c>
      <c r="N972" t="n">
        <v>91</v>
      </c>
      <c r="O972" t="n">
        <v>0.91</v>
      </c>
      <c r="P972" t="n">
        <v>1</v>
      </c>
      <c r="Q972" t="n">
        <v>0.07000000000000001</v>
      </c>
      <c r="R972" t="n">
        <v>1</v>
      </c>
      <c r="S972" t="n">
        <v>2270.45</v>
      </c>
      <c r="T972" t="n">
        <v>10</v>
      </c>
      <c r="U972" t="n">
        <v>11</v>
      </c>
      <c r="V972" t="n">
        <v>30</v>
      </c>
      <c r="W972" t="n">
        <v>2</v>
      </c>
      <c r="X972" t="n">
        <v>175.8241758241758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12803</v>
      </c>
      <c r="AG972" t="n">
        <v>2122</v>
      </c>
      <c r="AH972" t="inlineStr">
        <is>
          <t>PT. SINAR PADANG LESTARI - PPN (PDG)</t>
        </is>
      </c>
      <c r="AI972" t="n">
        <v>1422</v>
      </c>
      <c r="AJ972" t="inlineStr">
        <is>
          <t>DAZZLE ME</t>
        </is>
      </c>
      <c r="AK972" t="n">
        <v>21</v>
      </c>
      <c r="AL972" t="inlineStr">
        <is>
          <t>Miss Glam Damar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DAZZLE ME</t>
        </is>
      </c>
      <c r="B973" s="2">
        <f>"20300387720"</f>
        <v/>
      </c>
      <c r="C973" t="inlineStr">
        <is>
          <t>DAZZLE ME Acne Armor Cover &amp; Correct Skin Tint W08 Warm Cashew</t>
        </is>
      </c>
      <c r="D973" t="inlineStr">
        <is>
          <t>Miss Glam Damar</t>
        </is>
      </c>
      <c r="E973" t="n">
        <v>3</v>
      </c>
      <c r="F973" t="n">
        <v>0.0273</v>
      </c>
      <c r="G973" t="n">
        <v>0.91</v>
      </c>
      <c r="H973" t="n">
        <v>3</v>
      </c>
      <c r="I973" t="n">
        <v>11</v>
      </c>
      <c r="J973" t="n">
        <v>3</v>
      </c>
      <c r="K973" t="n">
        <v>0</v>
      </c>
      <c r="L973" t="n">
        <v>39920</v>
      </c>
      <c r="M973" t="n">
        <v>49900</v>
      </c>
      <c r="N973" t="n">
        <v>91</v>
      </c>
      <c r="O973" t="n">
        <v>0.91</v>
      </c>
      <c r="P973" t="n">
        <v>1</v>
      </c>
      <c r="Q973" t="n">
        <v>0.02</v>
      </c>
      <c r="R973" t="n">
        <v>1</v>
      </c>
      <c r="S973" t="n">
        <v>1362.27</v>
      </c>
      <c r="T973" t="n">
        <v>10</v>
      </c>
      <c r="U973" t="n">
        <v>11</v>
      </c>
      <c r="V973" t="n">
        <v>30</v>
      </c>
      <c r="W973" t="n">
        <v>1</v>
      </c>
      <c r="X973" t="n">
        <v>109.8901098901099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12803</v>
      </c>
      <c r="AG973" t="n">
        <v>2122</v>
      </c>
      <c r="AH973" t="inlineStr">
        <is>
          <t>PT. SINAR PADANG LESTARI - PPN (PDG)</t>
        </is>
      </c>
      <c r="AI973" t="n">
        <v>1422</v>
      </c>
      <c r="AJ973" t="inlineStr">
        <is>
          <t>DAZZLE ME</t>
        </is>
      </c>
      <c r="AK973" t="n">
        <v>21</v>
      </c>
      <c r="AL973" t="inlineStr">
        <is>
          <t>Miss Glam Damar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DAZZLE ME</t>
        </is>
      </c>
      <c r="B974" s="2">
        <f>"20100574139"</f>
        <v/>
      </c>
      <c r="C974" t="inlineStr">
        <is>
          <t>DAZZLE ME Acne Armor Flawless Flex Compact C02 Pink Fair 8gr</t>
        </is>
      </c>
      <c r="D974" t="inlineStr">
        <is>
          <t>Miss Glam Damar</t>
        </is>
      </c>
      <c r="E974" t="n">
        <v>8</v>
      </c>
      <c r="F974" t="n">
        <v>0.14</v>
      </c>
      <c r="G974" t="n">
        <v>1</v>
      </c>
      <c r="H974" t="n">
        <v>3</v>
      </c>
      <c r="I974" t="n">
        <v>11</v>
      </c>
      <c r="J974" t="n">
        <v>1</v>
      </c>
      <c r="K974" t="n">
        <v>0</v>
      </c>
      <c r="L974" t="n">
        <v>42555</v>
      </c>
      <c r="M974" t="n">
        <v>49900</v>
      </c>
      <c r="N974" t="n">
        <v>91</v>
      </c>
      <c r="O974" t="n">
        <v>0.91</v>
      </c>
      <c r="P974" t="n">
        <v>0</v>
      </c>
      <c r="Q974" t="n">
        <v>0.14</v>
      </c>
      <c r="R974" t="n">
        <v>1</v>
      </c>
      <c r="S974" t="n">
        <v>6986.000000000001</v>
      </c>
      <c r="T974" t="n">
        <v>11</v>
      </c>
      <c r="U974" t="n">
        <v>12</v>
      </c>
      <c r="V974" t="n">
        <v>30</v>
      </c>
      <c r="W974" t="n">
        <v>5</v>
      </c>
      <c r="X974" t="n">
        <v>57.14285714285714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12803</v>
      </c>
      <c r="AG974" t="n">
        <v>2122</v>
      </c>
      <c r="AH974" t="inlineStr">
        <is>
          <t>PT. SINAR PADANG LESTARI - PPN (PDG)</t>
        </is>
      </c>
      <c r="AI974" t="n">
        <v>1422</v>
      </c>
      <c r="AJ974" t="inlineStr">
        <is>
          <t>DAZZLE ME</t>
        </is>
      </c>
      <c r="AK974" t="n">
        <v>21</v>
      </c>
      <c r="AL974" t="inlineStr">
        <is>
          <t>Miss Glam Damar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DAZZLE ME</t>
        </is>
      </c>
      <c r="B975" s="2">
        <f>"20100574041"</f>
        <v/>
      </c>
      <c r="C975" t="inlineStr">
        <is>
          <t>DAZZLE ME Acne Armor Flawless Flex Compact C06 Pink Beige 8gr</t>
        </is>
      </c>
      <c r="D975" t="inlineStr">
        <is>
          <t>Miss Glam Damar</t>
        </is>
      </c>
      <c r="E975" t="n">
        <v>2</v>
      </c>
      <c r="F975" t="n">
        <v>0.2821</v>
      </c>
      <c r="G975" t="n">
        <v>1.82</v>
      </c>
      <c r="H975" t="n">
        <v>3</v>
      </c>
      <c r="I975" t="n">
        <v>11</v>
      </c>
      <c r="J975" t="n">
        <v>1</v>
      </c>
      <c r="K975" t="n">
        <v>0</v>
      </c>
      <c r="L975" t="n">
        <v>44311</v>
      </c>
      <c r="M975" t="n">
        <v>54000</v>
      </c>
      <c r="N975" t="n">
        <v>91</v>
      </c>
      <c r="O975" t="n">
        <v>0.91</v>
      </c>
      <c r="P975" t="n">
        <v>1</v>
      </c>
      <c r="Q975" t="n">
        <v>0.41</v>
      </c>
      <c r="R975" t="n">
        <v>3</v>
      </c>
      <c r="S975" t="n">
        <v>15233.4</v>
      </c>
      <c r="T975" t="n">
        <v>20</v>
      </c>
      <c r="U975" t="n">
        <v>21</v>
      </c>
      <c r="V975" t="n">
        <v>30</v>
      </c>
      <c r="W975" t="n">
        <v>9</v>
      </c>
      <c r="X975" t="n">
        <v>7.089684509039348</v>
      </c>
      <c r="Y975" t="n">
        <v>1</v>
      </c>
      <c r="Z975" t="n">
        <v>7</v>
      </c>
      <c r="AA975" t="n">
        <v>2</v>
      </c>
      <c r="AB975" t="n">
        <v>5</v>
      </c>
      <c r="AC975" t="n">
        <v>5</v>
      </c>
      <c r="AD975" t="n">
        <v>88622</v>
      </c>
      <c r="AE975" t="n">
        <v>221555</v>
      </c>
      <c r="AF975" t="n">
        <v>12803</v>
      </c>
      <c r="AG975" t="n">
        <v>2122</v>
      </c>
      <c r="AH975" t="inlineStr">
        <is>
          <t>PT. SINAR PADANG LESTARI - PPN (PDG)</t>
        </is>
      </c>
      <c r="AI975" t="n">
        <v>1422</v>
      </c>
      <c r="AJ975" t="inlineStr">
        <is>
          <t>DAZZLE ME</t>
        </is>
      </c>
      <c r="AK975" t="n">
        <v>21</v>
      </c>
      <c r="AL975" t="inlineStr">
        <is>
          <t>Miss Glam Damar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DAZZLE ME</t>
        </is>
      </c>
      <c r="B976" s="2">
        <f>"20100574348"</f>
        <v/>
      </c>
      <c r="C976" t="inlineStr">
        <is>
          <t>DAZZLE ME Acne Armor Flawless Flex Compact N08 Hazelnut 8gr</t>
        </is>
      </c>
      <c r="D976" t="inlineStr">
        <is>
          <t>Miss Glam Damar</t>
        </is>
      </c>
      <c r="E976" t="n">
        <v>10</v>
      </c>
      <c r="F976" t="n">
        <v>0.2457</v>
      </c>
      <c r="G976" t="n">
        <v>1.82</v>
      </c>
      <c r="H976" t="n">
        <v>3</v>
      </c>
      <c r="I976" t="n">
        <v>11</v>
      </c>
      <c r="J976" t="n">
        <v>1</v>
      </c>
      <c r="K976" t="n">
        <v>0</v>
      </c>
      <c r="L976" t="n">
        <v>39920</v>
      </c>
      <c r="M976" t="n">
        <v>49900</v>
      </c>
      <c r="N976" t="n">
        <v>91</v>
      </c>
      <c r="O976" t="n">
        <v>0.91</v>
      </c>
      <c r="P976" t="n">
        <v>1</v>
      </c>
      <c r="Q976" t="n">
        <v>0.07000000000000001</v>
      </c>
      <c r="R976" t="n">
        <v>2</v>
      </c>
      <c r="S976" t="n">
        <v>12260.43</v>
      </c>
      <c r="T976" t="n">
        <v>20</v>
      </c>
      <c r="U976" t="n">
        <v>21</v>
      </c>
      <c r="V976" t="n">
        <v>30</v>
      </c>
      <c r="W976" t="n">
        <v>8</v>
      </c>
      <c r="X976" t="n">
        <v>40.7000407000407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12803</v>
      </c>
      <c r="AG976" t="n">
        <v>2122</v>
      </c>
      <c r="AH976" t="inlineStr">
        <is>
          <t>PT. SINAR PADANG LESTARI - PPN (PDG)</t>
        </is>
      </c>
      <c r="AI976" t="n">
        <v>1422</v>
      </c>
      <c r="AJ976" t="inlineStr">
        <is>
          <t>DAZZLE ME</t>
        </is>
      </c>
      <c r="AK976" t="n">
        <v>21</v>
      </c>
      <c r="AL976" t="inlineStr">
        <is>
          <t>Miss Glam Damar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DAZZLE ME</t>
        </is>
      </c>
      <c r="B977" s="2">
        <f>"20100469913"</f>
        <v/>
      </c>
      <c r="C977" t="inlineStr">
        <is>
          <t>DAZZLE ME Acne Armor Puff Perfection Cushion C01 Light Fair 13gr</t>
        </is>
      </c>
      <c r="D977" t="inlineStr">
        <is>
          <t>Miss Glam Damar</t>
        </is>
      </c>
      <c r="E977" t="n">
        <v>24</v>
      </c>
      <c r="F977" t="n">
        <v>0.04550000000000001</v>
      </c>
      <c r="G977" t="n">
        <v>0.91</v>
      </c>
      <c r="H977" t="n">
        <v>3</v>
      </c>
      <c r="I977" t="n">
        <v>11</v>
      </c>
      <c r="J977" t="n">
        <v>1</v>
      </c>
      <c r="K977" t="n">
        <v>0</v>
      </c>
      <c r="L977" t="n">
        <v>47920</v>
      </c>
      <c r="M977" t="n">
        <v>59900</v>
      </c>
      <c r="N977" t="n">
        <v>91</v>
      </c>
      <c r="O977" t="n">
        <v>0.91</v>
      </c>
      <c r="P977" t="n">
        <v>1</v>
      </c>
      <c r="Q977" t="n">
        <v>0.02</v>
      </c>
      <c r="R977" t="n">
        <v>1</v>
      </c>
      <c r="S977" t="n">
        <v>2725.45</v>
      </c>
      <c r="T977" t="n">
        <v>10</v>
      </c>
      <c r="U977" t="n">
        <v>11</v>
      </c>
      <c r="V977" t="n">
        <v>30</v>
      </c>
      <c r="W977" t="n">
        <v>2</v>
      </c>
      <c r="X977" t="n">
        <v>527.4725274725274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12803</v>
      </c>
      <c r="AG977" t="n">
        <v>2122</v>
      </c>
      <c r="AH977" t="inlineStr">
        <is>
          <t>PT. SINAR PADANG LESTARI - PPN (PDG)</t>
        </is>
      </c>
      <c r="AI977" t="n">
        <v>1422</v>
      </c>
      <c r="AJ977" t="inlineStr">
        <is>
          <t>DAZZLE ME</t>
        </is>
      </c>
      <c r="AK977" t="n">
        <v>21</v>
      </c>
      <c r="AL977" t="inlineStr">
        <is>
          <t>Miss Glam Damar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DAZZLE ME</t>
        </is>
      </c>
      <c r="B978" s="2">
        <f>"20100470020"</f>
        <v/>
      </c>
      <c r="C978" t="inlineStr">
        <is>
          <t>DAZZLE ME Acne Armor Puff Perfection Cushion C02 Pink Fair 13gr</t>
        </is>
      </c>
      <c r="D978" t="inlineStr">
        <is>
          <t>Miss Glam Damar</t>
        </is>
      </c>
      <c r="E978" t="n">
        <v>13</v>
      </c>
      <c r="F978" t="n">
        <v>0.2002</v>
      </c>
      <c r="G978" t="n">
        <v>0.91</v>
      </c>
      <c r="H978" t="n">
        <v>3</v>
      </c>
      <c r="I978" t="n">
        <v>11</v>
      </c>
      <c r="J978" t="n">
        <v>1</v>
      </c>
      <c r="K978" t="n">
        <v>0</v>
      </c>
      <c r="L978" t="n">
        <v>47920</v>
      </c>
      <c r="M978" t="n">
        <v>59900</v>
      </c>
      <c r="N978" t="n">
        <v>91</v>
      </c>
      <c r="O978" t="n">
        <v>0.91</v>
      </c>
      <c r="P978" t="n">
        <v>1</v>
      </c>
      <c r="Q978" t="n">
        <v>0.05</v>
      </c>
      <c r="R978" t="n">
        <v>1</v>
      </c>
      <c r="S978" t="n">
        <v>11991.98</v>
      </c>
      <c r="T978" t="n">
        <v>10</v>
      </c>
      <c r="U978" t="n">
        <v>11</v>
      </c>
      <c r="V978" t="n">
        <v>30</v>
      </c>
      <c r="W978" t="n">
        <v>7</v>
      </c>
      <c r="X978" t="n">
        <v>64.93506493506493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12803</v>
      </c>
      <c r="AG978" t="n">
        <v>2122</v>
      </c>
      <c r="AH978" t="inlineStr">
        <is>
          <t>PT. SINAR PADANG LESTARI - PPN (PDG)</t>
        </is>
      </c>
      <c r="AI978" t="n">
        <v>1422</v>
      </c>
      <c r="AJ978" t="inlineStr">
        <is>
          <t>DAZZLE ME</t>
        </is>
      </c>
      <c r="AK978" t="n">
        <v>21</v>
      </c>
      <c r="AL978" t="inlineStr">
        <is>
          <t>Miss Glam Damar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DAZZLE ME</t>
        </is>
      </c>
      <c r="B979" s="2">
        <f>"20100470140"</f>
        <v/>
      </c>
      <c r="C979" t="inlineStr">
        <is>
          <t>DAZZLE ME Acne Armor Puff Perfection Cushion C09 Medium Pink 13gr</t>
        </is>
      </c>
      <c r="D979" t="inlineStr">
        <is>
          <t>Miss Glam Damar</t>
        </is>
      </c>
      <c r="E979" t="n">
        <v>2</v>
      </c>
      <c r="F979" t="n">
        <v>0.0182</v>
      </c>
      <c r="G979" t="n">
        <v>0.91</v>
      </c>
      <c r="H979" t="n">
        <v>3</v>
      </c>
      <c r="I979" t="n">
        <v>11</v>
      </c>
      <c r="J979" t="n">
        <v>1</v>
      </c>
      <c r="K979" t="n">
        <v>0</v>
      </c>
      <c r="L979" t="n">
        <v>47920</v>
      </c>
      <c r="M979" t="n">
        <v>59900</v>
      </c>
      <c r="N979" t="n">
        <v>91</v>
      </c>
      <c r="O979" t="n">
        <v>0.91</v>
      </c>
      <c r="P979" t="n">
        <v>1</v>
      </c>
      <c r="Q979" t="n">
        <v>0.05</v>
      </c>
      <c r="R979" t="n">
        <v>1</v>
      </c>
      <c r="S979" t="n">
        <v>1090.18</v>
      </c>
      <c r="T979" t="n">
        <v>10</v>
      </c>
      <c r="U979" t="n">
        <v>11</v>
      </c>
      <c r="V979" t="n">
        <v>30</v>
      </c>
      <c r="W979" t="n">
        <v>1</v>
      </c>
      <c r="X979" t="n">
        <v>109.8901098901099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12803</v>
      </c>
      <c r="AG979" t="n">
        <v>2122</v>
      </c>
      <c r="AH979" t="inlineStr">
        <is>
          <t>PT. SINAR PADANG LESTARI - PPN (PDG)</t>
        </is>
      </c>
      <c r="AI979" t="n">
        <v>1422</v>
      </c>
      <c r="AJ979" t="inlineStr">
        <is>
          <t>DAZZLE ME</t>
        </is>
      </c>
      <c r="AK979" t="n">
        <v>21</v>
      </c>
      <c r="AL979" t="inlineStr">
        <is>
          <t>Miss Glam Damar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DAZZLE ME</t>
        </is>
      </c>
      <c r="B980" s="2">
        <f>"20100470252"</f>
        <v/>
      </c>
      <c r="C980" t="inlineStr">
        <is>
          <t>DAZZLE ME Acne Armor Puff Perfection Cushion N04 Neutral Buff 13gr</t>
        </is>
      </c>
      <c r="D980" t="inlineStr">
        <is>
          <t>Miss Glam Damar</t>
        </is>
      </c>
      <c r="E980" t="n">
        <v>7</v>
      </c>
      <c r="F980" t="n">
        <v>0.1365</v>
      </c>
      <c r="G980" t="n">
        <v>0.91</v>
      </c>
      <c r="H980" t="n">
        <v>3</v>
      </c>
      <c r="I980" t="n">
        <v>11</v>
      </c>
      <c r="J980" t="n">
        <v>1</v>
      </c>
      <c r="K980" t="n">
        <v>0</v>
      </c>
      <c r="L980" t="n">
        <v>47920</v>
      </c>
      <c r="M980" t="n">
        <v>59900</v>
      </c>
      <c r="N980" t="n">
        <v>91</v>
      </c>
      <c r="O980" t="n">
        <v>0.91</v>
      </c>
      <c r="P980" t="n">
        <v>1</v>
      </c>
      <c r="Q980" t="n">
        <v>0.2</v>
      </c>
      <c r="R980" t="n">
        <v>1</v>
      </c>
      <c r="S980" t="n">
        <v>8176.35</v>
      </c>
      <c r="T980" t="n">
        <v>10</v>
      </c>
      <c r="U980" t="n">
        <v>11</v>
      </c>
      <c r="V980" t="n">
        <v>30</v>
      </c>
      <c r="W980" t="n">
        <v>5</v>
      </c>
      <c r="X980" t="n">
        <v>51.28205128205128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12803</v>
      </c>
      <c r="AG980" t="n">
        <v>2122</v>
      </c>
      <c r="AH980" t="inlineStr">
        <is>
          <t>PT. SINAR PADANG LESTARI - PPN (PDG)</t>
        </is>
      </c>
      <c r="AI980" t="n">
        <v>1422</v>
      </c>
      <c r="AJ980" t="inlineStr">
        <is>
          <t>DAZZLE ME</t>
        </is>
      </c>
      <c r="AK980" t="n">
        <v>21</v>
      </c>
      <c r="AL980" t="inlineStr">
        <is>
          <t>Miss Glam Damar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DAZZLE ME</t>
        </is>
      </c>
      <c r="B981" s="2">
        <f>"20100470308"</f>
        <v/>
      </c>
      <c r="C981" t="inlineStr">
        <is>
          <t>DAZZLE ME Acne Armor Puff Perfection Cushion W05 Meringue 13gr</t>
        </is>
      </c>
      <c r="D981" t="inlineStr">
        <is>
          <t>Miss Glam Damar</t>
        </is>
      </c>
      <c r="E981" t="n">
        <v>8</v>
      </c>
      <c r="F981" t="n">
        <v>0.06370000000000001</v>
      </c>
      <c r="G981" t="n">
        <v>1.82</v>
      </c>
      <c r="H981" t="n">
        <v>3</v>
      </c>
      <c r="I981" t="n">
        <v>11</v>
      </c>
      <c r="J981" t="n">
        <v>1</v>
      </c>
      <c r="K981" t="n">
        <v>0</v>
      </c>
      <c r="L981" t="n">
        <v>47920</v>
      </c>
      <c r="M981" t="n">
        <v>59900</v>
      </c>
      <c r="N981" t="n">
        <v>91</v>
      </c>
      <c r="O981" t="n">
        <v>0.91</v>
      </c>
      <c r="P981" t="n">
        <v>1</v>
      </c>
      <c r="Q981" t="n">
        <v>0.08</v>
      </c>
      <c r="R981" t="n">
        <v>1</v>
      </c>
      <c r="S981" t="n">
        <v>3815.630000000001</v>
      </c>
      <c r="T981" t="n">
        <v>20</v>
      </c>
      <c r="U981" t="n">
        <v>21</v>
      </c>
      <c r="V981" t="n">
        <v>30</v>
      </c>
      <c r="W981" t="n">
        <v>2</v>
      </c>
      <c r="X981" t="n">
        <v>125.5886970172684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12803</v>
      </c>
      <c r="AG981" t="n">
        <v>2122</v>
      </c>
      <c r="AH981" t="inlineStr">
        <is>
          <t>PT. SINAR PADANG LESTARI - PPN (PDG)</t>
        </is>
      </c>
      <c r="AI981" t="n">
        <v>1422</v>
      </c>
      <c r="AJ981" t="inlineStr">
        <is>
          <t>DAZZLE ME</t>
        </is>
      </c>
      <c r="AK981" t="n">
        <v>21</v>
      </c>
      <c r="AL981" t="inlineStr">
        <is>
          <t>Miss Glam Damar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DAZZLE ME</t>
        </is>
      </c>
      <c r="B982" s="2">
        <f>"8859588106862"</f>
        <v/>
      </c>
      <c r="C982" t="inlineStr">
        <is>
          <t>DAZZLE ME Always Setting Loose Powder 02 Pop Honey 6gr</t>
        </is>
      </c>
      <c r="D982" t="inlineStr">
        <is>
          <t>Miss Glam Damar</t>
        </is>
      </c>
      <c r="E982" t="n">
        <v>2</v>
      </c>
      <c r="F982" t="n">
        <v>0.4095</v>
      </c>
      <c r="G982" t="n">
        <v>3.64</v>
      </c>
      <c r="H982" t="n">
        <v>3</v>
      </c>
      <c r="I982" t="n">
        <v>11</v>
      </c>
      <c r="J982" t="n">
        <v>3</v>
      </c>
      <c r="K982" t="n">
        <v>0</v>
      </c>
      <c r="L982" t="n">
        <v>33520</v>
      </c>
      <c r="M982" t="n">
        <v>41900</v>
      </c>
      <c r="N982" t="n">
        <v>91</v>
      </c>
      <c r="O982" t="n">
        <v>0.91</v>
      </c>
      <c r="P982" t="n">
        <v>1</v>
      </c>
      <c r="Q982" t="n">
        <v>0.27</v>
      </c>
      <c r="R982" t="n">
        <v>2</v>
      </c>
      <c r="S982" t="n">
        <v>17158.05</v>
      </c>
      <c r="T982" t="n">
        <v>39</v>
      </c>
      <c r="U982" t="n">
        <v>41</v>
      </c>
      <c r="V982" t="n">
        <v>30</v>
      </c>
      <c r="W982" t="n">
        <v>13</v>
      </c>
      <c r="X982" t="n">
        <v>4.884004884004884</v>
      </c>
      <c r="Y982" t="n">
        <v>1</v>
      </c>
      <c r="Z982" t="n">
        <v>11</v>
      </c>
      <c r="AA982" t="n">
        <v>3</v>
      </c>
      <c r="AB982" t="n">
        <v>8</v>
      </c>
      <c r="AC982" t="n">
        <v>8</v>
      </c>
      <c r="AD982" t="n">
        <v>100560</v>
      </c>
      <c r="AE982" t="n">
        <v>268160</v>
      </c>
      <c r="AF982" t="n">
        <v>12803</v>
      </c>
      <c r="AG982" t="n">
        <v>2122</v>
      </c>
      <c r="AH982" t="inlineStr">
        <is>
          <t>PT. SINAR PADANG LESTARI - PPN (PDG)</t>
        </is>
      </c>
      <c r="AI982" t="n">
        <v>1422</v>
      </c>
      <c r="AJ982" t="inlineStr">
        <is>
          <t>DAZZLE ME</t>
        </is>
      </c>
      <c r="AK982" t="n">
        <v>21</v>
      </c>
      <c r="AL982" t="inlineStr">
        <is>
          <t>Miss Glam Damar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DAZZLE ME</t>
        </is>
      </c>
      <c r="B983" s="2">
        <f>"8859588109566"</f>
        <v/>
      </c>
      <c r="C983" t="inlineStr">
        <is>
          <t>DAZZLE ME Better Than Filter Double Kill Two Way Cake Powder 01 Rich Fair 9gr</t>
        </is>
      </c>
      <c r="D983" t="inlineStr">
        <is>
          <t>Miss Glam Damar</t>
        </is>
      </c>
      <c r="E983" t="n">
        <v>13</v>
      </c>
      <c r="F983" t="n">
        <v>0.0182</v>
      </c>
      <c r="G983" t="n">
        <v>0.91</v>
      </c>
      <c r="H983" t="n">
        <v>3</v>
      </c>
      <c r="I983" t="n">
        <v>11</v>
      </c>
      <c r="J983" t="n">
        <v>3</v>
      </c>
      <c r="K983" t="n">
        <v>0</v>
      </c>
      <c r="L983" t="n">
        <v>43920</v>
      </c>
      <c r="M983" t="n">
        <v>54900</v>
      </c>
      <c r="N983" t="n">
        <v>91</v>
      </c>
      <c r="O983" t="n">
        <v>0.91</v>
      </c>
      <c r="P983" t="n">
        <v>1</v>
      </c>
      <c r="Q983" t="n">
        <v>0.07000000000000001</v>
      </c>
      <c r="R983" t="n">
        <v>1</v>
      </c>
      <c r="S983" t="n">
        <v>999.1800000000001</v>
      </c>
      <c r="T983" t="n">
        <v>10</v>
      </c>
      <c r="U983" t="n">
        <v>11</v>
      </c>
      <c r="V983" t="n">
        <v>30</v>
      </c>
      <c r="W983" t="n">
        <v>1</v>
      </c>
      <c r="X983" t="n">
        <v>714.2857142857142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12803</v>
      </c>
      <c r="AG983" t="n">
        <v>2122</v>
      </c>
      <c r="AH983" t="inlineStr">
        <is>
          <t>PT. SINAR PADANG LESTARI - PPN (PDG)</t>
        </is>
      </c>
      <c r="AI983" t="n">
        <v>1422</v>
      </c>
      <c r="AJ983" t="inlineStr">
        <is>
          <t>DAZZLE ME</t>
        </is>
      </c>
      <c r="AK983" t="n">
        <v>21</v>
      </c>
      <c r="AL983" t="inlineStr">
        <is>
          <t>Miss Glam Damar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DAZZLE ME</t>
        </is>
      </c>
      <c r="B984" s="2">
        <f>"8859588109573"</f>
        <v/>
      </c>
      <c r="C984" t="inlineStr">
        <is>
          <t>DAZZLE ME Better Than Filter Double Kill Two Way Cake Powder 02 Light Pearl 9gr</t>
        </is>
      </c>
      <c r="D984" t="inlineStr">
        <is>
          <t>Miss Glam Damar</t>
        </is>
      </c>
      <c r="E984" t="n">
        <v>0</v>
      </c>
      <c r="F984" t="n">
        <v>0.3276</v>
      </c>
      <c r="G984" t="n">
        <v>1.82</v>
      </c>
      <c r="H984" t="n">
        <v>3</v>
      </c>
      <c r="I984" t="n">
        <v>11</v>
      </c>
      <c r="J984" t="n">
        <v>3</v>
      </c>
      <c r="K984" t="n">
        <v>0</v>
      </c>
      <c r="L984" t="n">
        <v>43920</v>
      </c>
      <c r="M984" t="n">
        <v>54900</v>
      </c>
      <c r="N984" t="n">
        <v>91</v>
      </c>
      <c r="O984" t="n">
        <v>0.91</v>
      </c>
      <c r="P984" t="n">
        <v>1</v>
      </c>
      <c r="Q984" t="n">
        <v>0.14</v>
      </c>
      <c r="R984" t="n">
        <v>2</v>
      </c>
      <c r="S984" t="n">
        <v>17985.24</v>
      </c>
      <c r="T984" t="n">
        <v>20</v>
      </c>
      <c r="U984" t="n">
        <v>21</v>
      </c>
      <c r="V984" t="n">
        <v>30</v>
      </c>
      <c r="W984" t="n">
        <v>10</v>
      </c>
      <c r="X984" t="n">
        <v>0</v>
      </c>
      <c r="Y984" t="n">
        <v>1</v>
      </c>
      <c r="Z984" t="n">
        <v>10</v>
      </c>
      <c r="AA984" t="n">
        <v>4</v>
      </c>
      <c r="AB984" t="n">
        <v>6</v>
      </c>
      <c r="AC984" t="n">
        <v>6</v>
      </c>
      <c r="AD984" t="n">
        <v>175680</v>
      </c>
      <c r="AE984" t="n">
        <v>263520</v>
      </c>
      <c r="AF984" t="n">
        <v>12803</v>
      </c>
      <c r="AG984" t="n">
        <v>2122</v>
      </c>
      <c r="AH984" t="inlineStr">
        <is>
          <t>PT. SINAR PADANG LESTARI - PPN (PDG)</t>
        </is>
      </c>
      <c r="AI984" t="n">
        <v>1422</v>
      </c>
      <c r="AJ984" t="inlineStr">
        <is>
          <t>DAZZLE ME</t>
        </is>
      </c>
      <c r="AK984" t="n">
        <v>21</v>
      </c>
      <c r="AL984" t="inlineStr">
        <is>
          <t>Miss Glam Damar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DAZZLE ME</t>
        </is>
      </c>
      <c r="B985" s="2">
        <f>"8859588109580"</f>
        <v/>
      </c>
      <c r="C985" t="inlineStr">
        <is>
          <t>DAZZLE ME Better Than Filter Double Kill Two Way Cake Powder 03 Nude Beige 9gr</t>
        </is>
      </c>
      <c r="D985" t="inlineStr">
        <is>
          <t>Miss Glam Damar</t>
        </is>
      </c>
      <c r="E985" t="n">
        <v>3</v>
      </c>
      <c r="F985" t="n">
        <v>0.04550000000000001</v>
      </c>
      <c r="G985" t="n">
        <v>0.91</v>
      </c>
      <c r="H985" t="n">
        <v>3</v>
      </c>
      <c r="I985" t="n">
        <v>11</v>
      </c>
      <c r="J985" t="n">
        <v>3</v>
      </c>
      <c r="K985" t="n">
        <v>0</v>
      </c>
      <c r="L985" t="n">
        <v>43920</v>
      </c>
      <c r="M985" t="n">
        <v>54900</v>
      </c>
      <c r="N985" t="n">
        <v>91</v>
      </c>
      <c r="O985" t="n">
        <v>0.91</v>
      </c>
      <c r="P985" t="n">
        <v>1</v>
      </c>
      <c r="Q985" t="n">
        <v>0.24</v>
      </c>
      <c r="R985" t="n">
        <v>2</v>
      </c>
      <c r="S985" t="n">
        <v>2497.95</v>
      </c>
      <c r="T985" t="n">
        <v>10</v>
      </c>
      <c r="U985" t="n">
        <v>11</v>
      </c>
      <c r="V985" t="n">
        <v>30</v>
      </c>
      <c r="W985" t="n">
        <v>2</v>
      </c>
      <c r="X985" t="n">
        <v>65.93406593406593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12803</v>
      </c>
      <c r="AG985" t="n">
        <v>2122</v>
      </c>
      <c r="AH985" t="inlineStr">
        <is>
          <t>PT. SINAR PADANG LESTARI - PPN (PDG)</t>
        </is>
      </c>
      <c r="AI985" t="n">
        <v>1422</v>
      </c>
      <c r="AJ985" t="inlineStr">
        <is>
          <t>DAZZLE ME</t>
        </is>
      </c>
      <c r="AK985" t="n">
        <v>21</v>
      </c>
      <c r="AL985" t="inlineStr">
        <is>
          <t>Miss Glam Damar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DAZZLE ME</t>
        </is>
      </c>
      <c r="B986" s="2">
        <f>"8859588109603"</f>
        <v/>
      </c>
      <c r="C986" t="inlineStr">
        <is>
          <t>DAZZLE ME Better Than Filter Double Kill Two Way Cake Powder 05 Soft Tan 9gr</t>
        </is>
      </c>
      <c r="D986" t="inlineStr">
        <is>
          <t>Miss Glam Damar</t>
        </is>
      </c>
      <c r="E986" t="n">
        <v>6</v>
      </c>
      <c r="F986" t="n">
        <v>0.1365</v>
      </c>
      <c r="G986" t="n">
        <v>1.82</v>
      </c>
      <c r="H986" t="n">
        <v>3</v>
      </c>
      <c r="I986" t="n">
        <v>11</v>
      </c>
      <c r="J986" t="n">
        <v>3</v>
      </c>
      <c r="K986" t="n">
        <v>0</v>
      </c>
      <c r="L986" t="n">
        <v>43920</v>
      </c>
      <c r="M986" t="n">
        <v>54900</v>
      </c>
      <c r="N986" t="n">
        <v>91</v>
      </c>
      <c r="O986" t="n">
        <v>0.91</v>
      </c>
      <c r="P986" t="n">
        <v>1</v>
      </c>
      <c r="Q986" t="n">
        <v>0.2</v>
      </c>
      <c r="R986" t="n">
        <v>3</v>
      </c>
      <c r="S986" t="n">
        <v>7493.85</v>
      </c>
      <c r="T986" t="n">
        <v>20</v>
      </c>
      <c r="U986" t="n">
        <v>21</v>
      </c>
      <c r="V986" t="n">
        <v>30</v>
      </c>
      <c r="W986" t="n">
        <v>5</v>
      </c>
      <c r="X986" t="n">
        <v>43.95604395604396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12803</v>
      </c>
      <c r="AG986" t="n">
        <v>2122</v>
      </c>
      <c r="AH986" t="inlineStr">
        <is>
          <t>PT. SINAR PADANG LESTARI - PPN (PDG)</t>
        </is>
      </c>
      <c r="AI986" t="n">
        <v>1422</v>
      </c>
      <c r="AJ986" t="inlineStr">
        <is>
          <t>DAZZLE ME</t>
        </is>
      </c>
      <c r="AK986" t="n">
        <v>21</v>
      </c>
      <c r="AL986" t="inlineStr">
        <is>
          <t>Miss Glam Damar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DAZZLE ME</t>
        </is>
      </c>
      <c r="B987" s="2">
        <f>"8859588109610"</f>
        <v/>
      </c>
      <c r="C987" t="inlineStr">
        <is>
          <t>DAZZLE ME Better Than Filter Double Kill Two Way Cake Powder 06 Deep Cocoa 9gr</t>
        </is>
      </c>
      <c r="D987" t="inlineStr">
        <is>
          <t>Miss Glam Damar</t>
        </is>
      </c>
      <c r="E987" t="n">
        <v>0</v>
      </c>
      <c r="F987" t="n">
        <v>0.09100000000000001</v>
      </c>
      <c r="G987" t="n">
        <v>1.82</v>
      </c>
      <c r="H987" t="n">
        <v>3</v>
      </c>
      <c r="I987" t="n">
        <v>11</v>
      </c>
      <c r="J987" t="n">
        <v>3</v>
      </c>
      <c r="K987" t="n">
        <v>0</v>
      </c>
      <c r="L987" t="n">
        <v>43920</v>
      </c>
      <c r="M987" t="n">
        <v>54900</v>
      </c>
      <c r="N987" t="n">
        <v>91</v>
      </c>
      <c r="O987" t="n">
        <v>0.91</v>
      </c>
      <c r="P987" t="n">
        <v>1</v>
      </c>
      <c r="Q987" t="n">
        <v>0.12</v>
      </c>
      <c r="R987" t="n">
        <v>1</v>
      </c>
      <c r="S987" t="n">
        <v>4995.900000000001</v>
      </c>
      <c r="T987" t="n">
        <v>20</v>
      </c>
      <c r="U987" t="n">
        <v>21</v>
      </c>
      <c r="V987" t="n">
        <v>30</v>
      </c>
      <c r="W987" t="n">
        <v>3</v>
      </c>
      <c r="X987" t="n">
        <v>0</v>
      </c>
      <c r="Y987" t="n">
        <v>1</v>
      </c>
      <c r="Z987" t="n">
        <v>3</v>
      </c>
      <c r="AA987" t="n">
        <v>2</v>
      </c>
      <c r="AB987" t="n">
        <v>1</v>
      </c>
      <c r="AC987" t="n">
        <v>3</v>
      </c>
      <c r="AD987" t="n">
        <v>87840</v>
      </c>
      <c r="AE987" t="n">
        <v>131760</v>
      </c>
      <c r="AF987" t="n">
        <v>12803</v>
      </c>
      <c r="AG987" t="n">
        <v>2122</v>
      </c>
      <c r="AH987" t="inlineStr">
        <is>
          <t>PT. SINAR PADANG LESTARI - PPN (PDG)</t>
        </is>
      </c>
      <c r="AI987" t="n">
        <v>1422</v>
      </c>
      <c r="AJ987" t="inlineStr">
        <is>
          <t>DAZZLE ME</t>
        </is>
      </c>
      <c r="AK987" t="n">
        <v>21</v>
      </c>
      <c r="AL987" t="inlineStr">
        <is>
          <t>Miss Glam Damar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DAZZLE ME</t>
        </is>
      </c>
      <c r="B988" s="2">
        <f>"8859588109641"</f>
        <v/>
      </c>
      <c r="C988" t="inlineStr">
        <is>
          <t>DAZZLE ME Better Than Filter Fixed Loose Powder N03 Medium Sand 8g</t>
        </is>
      </c>
      <c r="D988" t="inlineStr">
        <is>
          <t>Miss Glam Damar</t>
        </is>
      </c>
      <c r="E988" t="n">
        <v>24</v>
      </c>
      <c r="F988" t="n">
        <v>0.5551</v>
      </c>
      <c r="G988" t="n">
        <v>4.55</v>
      </c>
      <c r="H988" t="n">
        <v>3</v>
      </c>
      <c r="I988" t="n">
        <v>11</v>
      </c>
      <c r="J988" t="n">
        <v>3</v>
      </c>
      <c r="K988" t="n">
        <v>0</v>
      </c>
      <c r="L988" t="n">
        <v>43920</v>
      </c>
      <c r="M988" t="n">
        <v>54900</v>
      </c>
      <c r="N988" t="n">
        <v>91</v>
      </c>
      <c r="O988" t="n">
        <v>0.91</v>
      </c>
      <c r="P988" t="n">
        <v>1</v>
      </c>
      <c r="Q988" t="n">
        <v>0.29</v>
      </c>
      <c r="R988" t="n">
        <v>2</v>
      </c>
      <c r="S988" t="n">
        <v>30474.99</v>
      </c>
      <c r="T988" t="n">
        <v>49</v>
      </c>
      <c r="U988" t="n">
        <v>51</v>
      </c>
      <c r="V988" t="n">
        <v>30</v>
      </c>
      <c r="W988" t="n">
        <v>17</v>
      </c>
      <c r="X988" t="n">
        <v>43.23545307151864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12803</v>
      </c>
      <c r="AG988" t="n">
        <v>2122</v>
      </c>
      <c r="AH988" t="inlineStr">
        <is>
          <t>PT. SINAR PADANG LESTARI - PPN (PDG)</t>
        </is>
      </c>
      <c r="AI988" t="n">
        <v>1422</v>
      </c>
      <c r="AJ988" t="inlineStr">
        <is>
          <t>DAZZLE ME</t>
        </is>
      </c>
      <c r="AK988" t="n">
        <v>21</v>
      </c>
      <c r="AL988" t="inlineStr">
        <is>
          <t>Miss Glam Damar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DAZZLE ME</t>
        </is>
      </c>
      <c r="B989" s="2">
        <f>"8859588109627"</f>
        <v/>
      </c>
      <c r="C989" t="inlineStr">
        <is>
          <t>DAZZLE ME Better Than Filter Fixed Loose Powder T01 True Translucent 8gr</t>
        </is>
      </c>
      <c r="D989" t="inlineStr">
        <is>
          <t>Miss Glam Damar</t>
        </is>
      </c>
      <c r="E989" t="n">
        <v>22</v>
      </c>
      <c r="F989" t="n">
        <v>0.1729</v>
      </c>
      <c r="G989" t="n">
        <v>1.82</v>
      </c>
      <c r="H989" t="n">
        <v>3</v>
      </c>
      <c r="I989" t="n">
        <v>11</v>
      </c>
      <c r="J989" t="n">
        <v>3</v>
      </c>
      <c r="K989" t="n">
        <v>0</v>
      </c>
      <c r="L989" t="n">
        <v>43920</v>
      </c>
      <c r="M989" t="n">
        <v>54900</v>
      </c>
      <c r="N989" t="n">
        <v>91</v>
      </c>
      <c r="O989" t="n">
        <v>0.91</v>
      </c>
      <c r="P989" t="n">
        <v>1</v>
      </c>
      <c r="Q989" t="n">
        <v>0.27</v>
      </c>
      <c r="R989" t="n">
        <v>3</v>
      </c>
      <c r="S989" t="n">
        <v>9492.209999999999</v>
      </c>
      <c r="T989" t="n">
        <v>20</v>
      </c>
      <c r="U989" t="n">
        <v>21</v>
      </c>
      <c r="V989" t="n">
        <v>30</v>
      </c>
      <c r="W989" t="n">
        <v>6</v>
      </c>
      <c r="X989" t="n">
        <v>127.2411798727588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12803</v>
      </c>
      <c r="AG989" t="n">
        <v>2122</v>
      </c>
      <c r="AH989" t="inlineStr">
        <is>
          <t>PT. SINAR PADANG LESTARI - PPN (PDG)</t>
        </is>
      </c>
      <c r="AI989" t="n">
        <v>1422</v>
      </c>
      <c r="AJ989" t="inlineStr">
        <is>
          <t>DAZZLE ME</t>
        </is>
      </c>
      <c r="AK989" t="n">
        <v>21</v>
      </c>
      <c r="AL989" t="inlineStr">
        <is>
          <t>Miss Glam Damar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DAZZLE ME</t>
        </is>
      </c>
      <c r="B990" s="2">
        <f>"20100642838"</f>
        <v/>
      </c>
      <c r="C990" t="inlineStr">
        <is>
          <t>DAZZLE ME Better Than Filter Hd Invisible Powder 5 gr</t>
        </is>
      </c>
      <c r="D990" t="inlineStr">
        <is>
          <t>Miss Glam Damar</t>
        </is>
      </c>
      <c r="E990" t="n">
        <v>53</v>
      </c>
      <c r="F990" t="n">
        <v>0.04550000000000001</v>
      </c>
      <c r="G990" t="n">
        <v>0</v>
      </c>
      <c r="H990" t="n">
        <v>3</v>
      </c>
      <c r="I990" t="n">
        <v>11</v>
      </c>
      <c r="J990" t="n">
        <v>1</v>
      </c>
      <c r="K990" t="n">
        <v>0</v>
      </c>
      <c r="L990" t="n">
        <v>52720</v>
      </c>
      <c r="M990" t="n">
        <v>65900</v>
      </c>
      <c r="N990" t="n">
        <v>91</v>
      </c>
      <c r="O990" t="n">
        <v>0.91</v>
      </c>
      <c r="P990" t="n">
        <v>1</v>
      </c>
      <c r="Q990" t="n">
        <v>0.31</v>
      </c>
      <c r="R990" t="n">
        <v>5</v>
      </c>
      <c r="S990" t="n">
        <v>2998.45</v>
      </c>
      <c r="T990" t="n">
        <v>0</v>
      </c>
      <c r="U990" t="n">
        <v>1</v>
      </c>
      <c r="V990" t="n">
        <v>30</v>
      </c>
      <c r="W990" t="n">
        <v>2</v>
      </c>
      <c r="X990" t="n">
        <v>1164.835164835165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12803</v>
      </c>
      <c r="AG990" t="n">
        <v>2122</v>
      </c>
      <c r="AH990" t="inlineStr">
        <is>
          <t>PT. SINAR PADANG LESTARI - PPN (PDG)</t>
        </is>
      </c>
      <c r="AI990" t="n">
        <v>1422</v>
      </c>
      <c r="AJ990" t="inlineStr">
        <is>
          <t>DAZZLE ME</t>
        </is>
      </c>
      <c r="AK990" t="n">
        <v>21</v>
      </c>
      <c r="AL990" t="inlineStr">
        <is>
          <t>Miss Glam Damar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DAZZLE ME</t>
        </is>
      </c>
      <c r="B991" s="2">
        <f>"8859588109443"</f>
        <v/>
      </c>
      <c r="C991" t="inlineStr">
        <is>
          <t>DAZZLE ME Better Than Filter Maxnificent Essence Cushion C01 Fair Porcelain 15gr</t>
        </is>
      </c>
      <c r="D991" t="inlineStr">
        <is>
          <t>Miss Glam Damar</t>
        </is>
      </c>
      <c r="E991" t="n">
        <v>4</v>
      </c>
      <c r="F991" t="n">
        <v>0.09100000000000001</v>
      </c>
      <c r="G991" t="n">
        <v>0.91</v>
      </c>
      <c r="H991" t="n">
        <v>3</v>
      </c>
      <c r="I991" t="n">
        <v>11</v>
      </c>
      <c r="J991" t="n">
        <v>3</v>
      </c>
      <c r="K991" t="n">
        <v>0</v>
      </c>
      <c r="L991" t="n">
        <v>57520</v>
      </c>
      <c r="M991" t="n">
        <v>71900</v>
      </c>
      <c r="N991" t="n">
        <v>91</v>
      </c>
      <c r="O991" t="n">
        <v>0.91</v>
      </c>
      <c r="P991" t="n">
        <v>1</v>
      </c>
      <c r="Q991" t="n">
        <v>0.05</v>
      </c>
      <c r="R991" t="n">
        <v>1</v>
      </c>
      <c r="S991" t="n">
        <v>6542.900000000001</v>
      </c>
      <c r="T991" t="n">
        <v>10</v>
      </c>
      <c r="U991" t="n">
        <v>11</v>
      </c>
      <c r="V991" t="n">
        <v>30</v>
      </c>
      <c r="W991" t="n">
        <v>3</v>
      </c>
      <c r="X991" t="n">
        <v>43.95604395604395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12803</v>
      </c>
      <c r="AG991" t="n">
        <v>2122</v>
      </c>
      <c r="AH991" t="inlineStr">
        <is>
          <t>PT. SINAR PADANG LESTARI - PPN (PDG)</t>
        </is>
      </c>
      <c r="AI991" t="n">
        <v>1422</v>
      </c>
      <c r="AJ991" t="inlineStr">
        <is>
          <t>DAZZLE ME</t>
        </is>
      </c>
      <c r="AK991" t="n">
        <v>21</v>
      </c>
      <c r="AL991" t="inlineStr">
        <is>
          <t>Miss Glam Damar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DAZZLE ME</t>
        </is>
      </c>
      <c r="B992" s="2">
        <f>"8859588109450"</f>
        <v/>
      </c>
      <c r="C992" t="inlineStr">
        <is>
          <t>DAZZLE ME Better Than Filter Maxnificent Essence Cushion C02 Light Creme 15gr</t>
        </is>
      </c>
      <c r="D992" t="inlineStr">
        <is>
          <t>Miss Glam Damar</t>
        </is>
      </c>
      <c r="E992" t="n">
        <v>12</v>
      </c>
      <c r="F992" t="n">
        <v>0.1729</v>
      </c>
      <c r="G992" t="n">
        <v>1.82</v>
      </c>
      <c r="H992" t="n">
        <v>3</v>
      </c>
      <c r="I992" t="n">
        <v>11</v>
      </c>
      <c r="J992" t="n">
        <v>3</v>
      </c>
      <c r="K992" t="n">
        <v>0</v>
      </c>
      <c r="L992" t="n">
        <v>57520</v>
      </c>
      <c r="M992" t="n">
        <v>71900</v>
      </c>
      <c r="N992" t="n">
        <v>91</v>
      </c>
      <c r="O992" t="n">
        <v>0.91</v>
      </c>
      <c r="P992" t="n">
        <v>1</v>
      </c>
      <c r="Q992" t="n">
        <v>0.1</v>
      </c>
      <c r="R992" t="n">
        <v>1</v>
      </c>
      <c r="S992" t="n">
        <v>12431.51</v>
      </c>
      <c r="T992" t="n">
        <v>20</v>
      </c>
      <c r="U992" t="n">
        <v>21</v>
      </c>
      <c r="V992" t="n">
        <v>30</v>
      </c>
      <c r="W992" t="n">
        <v>6</v>
      </c>
      <c r="X992" t="n">
        <v>69.40427993059572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12803</v>
      </c>
      <c r="AG992" t="n">
        <v>2122</v>
      </c>
      <c r="AH992" t="inlineStr">
        <is>
          <t>PT. SINAR PADANG LESTARI - PPN (PDG)</t>
        </is>
      </c>
      <c r="AI992" t="n">
        <v>1422</v>
      </c>
      <c r="AJ992" t="inlineStr">
        <is>
          <t>DAZZLE ME</t>
        </is>
      </c>
      <c r="AK992" t="n">
        <v>21</v>
      </c>
      <c r="AL992" t="inlineStr">
        <is>
          <t>Miss Glam Damar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DAZZLE ME</t>
        </is>
      </c>
      <c r="B993" s="2">
        <f>"8859588109467"</f>
        <v/>
      </c>
      <c r="C993" t="inlineStr">
        <is>
          <t>DAZZLE ME Better Than Filter Maxnificent Essence Cushion N03 Wheat Beige 15gr</t>
        </is>
      </c>
      <c r="D993" t="inlineStr">
        <is>
          <t>Miss Glam Damar</t>
        </is>
      </c>
      <c r="E993" t="n">
        <v>6</v>
      </c>
      <c r="F993" t="n">
        <v>0.2457</v>
      </c>
      <c r="G993" t="n">
        <v>2.73</v>
      </c>
      <c r="H993" t="n">
        <v>3</v>
      </c>
      <c r="I993" t="n">
        <v>11</v>
      </c>
      <c r="J993" t="n">
        <v>3</v>
      </c>
      <c r="K993" t="n">
        <v>0</v>
      </c>
      <c r="L993" t="n">
        <v>57520</v>
      </c>
      <c r="M993" t="n">
        <v>71900</v>
      </c>
      <c r="N993" t="n">
        <v>91</v>
      </c>
      <c r="O993" t="n">
        <v>0.91</v>
      </c>
      <c r="P993" t="n">
        <v>1</v>
      </c>
      <c r="Q993" t="n">
        <v>0.19</v>
      </c>
      <c r="R993" t="n">
        <v>1</v>
      </c>
      <c r="S993" t="n">
        <v>17665.83</v>
      </c>
      <c r="T993" t="n">
        <v>30</v>
      </c>
      <c r="U993" t="n">
        <v>31</v>
      </c>
      <c r="V993" t="n">
        <v>30</v>
      </c>
      <c r="W993" t="n">
        <v>8</v>
      </c>
      <c r="X993" t="n">
        <v>24.42002442002442</v>
      </c>
      <c r="Y993" t="n">
        <v>1</v>
      </c>
      <c r="Z993" t="n">
        <v>2</v>
      </c>
      <c r="AA993" t="n">
        <v>0</v>
      </c>
      <c r="AB993" t="n">
        <v>2</v>
      </c>
      <c r="AC993" t="n">
        <v>3</v>
      </c>
      <c r="AD993" t="n">
        <v>0</v>
      </c>
      <c r="AE993" t="n">
        <v>172560</v>
      </c>
      <c r="AF993" t="n">
        <v>12803</v>
      </c>
      <c r="AG993" t="n">
        <v>2122</v>
      </c>
      <c r="AH993" t="inlineStr">
        <is>
          <t>PT. SINAR PADANG LESTARI - PPN (PDG)</t>
        </is>
      </c>
      <c r="AI993" t="n">
        <v>1422</v>
      </c>
      <c r="AJ993" t="inlineStr">
        <is>
          <t>DAZZLE ME</t>
        </is>
      </c>
      <c r="AK993" t="n">
        <v>21</v>
      </c>
      <c r="AL993" t="inlineStr">
        <is>
          <t>Miss Glam Damar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DAZZLE ME</t>
        </is>
      </c>
      <c r="B994" s="2">
        <f>"8859588109474"</f>
        <v/>
      </c>
      <c r="C994" t="inlineStr">
        <is>
          <t>DAZZLE ME Better Than Filter Maxnificent Essence Cushion N04 Medium Fawn 15gr</t>
        </is>
      </c>
      <c r="D994" t="inlineStr">
        <is>
          <t>Miss Glam Damar</t>
        </is>
      </c>
      <c r="E994" t="n">
        <v>10</v>
      </c>
      <c r="F994" t="n">
        <v>0.1092</v>
      </c>
      <c r="G994" t="n">
        <v>0.91</v>
      </c>
      <c r="H994" t="n">
        <v>3</v>
      </c>
      <c r="I994" t="n">
        <v>11</v>
      </c>
      <c r="J994" t="n">
        <v>3</v>
      </c>
      <c r="K994" t="n">
        <v>0</v>
      </c>
      <c r="L994" t="n">
        <v>57520</v>
      </c>
      <c r="M994" t="n">
        <v>71900</v>
      </c>
      <c r="N994" t="n">
        <v>91</v>
      </c>
      <c r="O994" t="n">
        <v>0.91</v>
      </c>
      <c r="P994" t="n">
        <v>1</v>
      </c>
      <c r="Q994" t="n">
        <v>0.03</v>
      </c>
      <c r="R994" t="n">
        <v>1</v>
      </c>
      <c r="S994" t="n">
        <v>7851.48</v>
      </c>
      <c r="T994" t="n">
        <v>10</v>
      </c>
      <c r="U994" t="n">
        <v>11</v>
      </c>
      <c r="V994" t="n">
        <v>30</v>
      </c>
      <c r="W994" t="n">
        <v>4</v>
      </c>
      <c r="X994" t="n">
        <v>91.57509157509158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12803</v>
      </c>
      <c r="AG994" t="n">
        <v>2122</v>
      </c>
      <c r="AH994" t="inlineStr">
        <is>
          <t>PT. SINAR PADANG LESTARI - PPN (PDG)</t>
        </is>
      </c>
      <c r="AI994" t="n">
        <v>1422</v>
      </c>
      <c r="AJ994" t="inlineStr">
        <is>
          <t>DAZZLE ME</t>
        </is>
      </c>
      <c r="AK994" t="n">
        <v>21</v>
      </c>
      <c r="AL994" t="inlineStr">
        <is>
          <t>Miss Glam Damar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DAZZLE ME</t>
        </is>
      </c>
      <c r="B995" s="2">
        <f>"8859588109498"</f>
        <v/>
      </c>
      <c r="C995" t="inlineStr">
        <is>
          <t>DAZZLE ME Better Than Filter Maxnificent Essence Cushion W06 Deep Espresso 15gr</t>
        </is>
      </c>
      <c r="D995" t="inlineStr">
        <is>
          <t>Miss Glam Damar</t>
        </is>
      </c>
      <c r="E995" t="n">
        <v>6</v>
      </c>
      <c r="F995" t="n">
        <v>0.0273</v>
      </c>
      <c r="G995" t="n">
        <v>0.91</v>
      </c>
      <c r="H995" t="n">
        <v>3</v>
      </c>
      <c r="I995" t="n">
        <v>11</v>
      </c>
      <c r="J995" t="n">
        <v>3</v>
      </c>
      <c r="K995" t="n">
        <v>0</v>
      </c>
      <c r="L995" t="n">
        <v>57520</v>
      </c>
      <c r="M995" t="n">
        <v>71900</v>
      </c>
      <c r="N995" t="n">
        <v>91</v>
      </c>
      <c r="O995" t="n">
        <v>0.91</v>
      </c>
      <c r="P995" t="n">
        <v>1</v>
      </c>
      <c r="Q995" t="n">
        <v>0.02</v>
      </c>
      <c r="R995" t="n">
        <v>1</v>
      </c>
      <c r="S995" t="n">
        <v>1962.87</v>
      </c>
      <c r="T995" t="n">
        <v>10</v>
      </c>
      <c r="U995" t="n">
        <v>11</v>
      </c>
      <c r="V995" t="n">
        <v>30</v>
      </c>
      <c r="W995" t="n">
        <v>1</v>
      </c>
      <c r="X995" t="n">
        <v>219.7802197802198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12803</v>
      </c>
      <c r="AG995" t="n">
        <v>2122</v>
      </c>
      <c r="AH995" t="inlineStr">
        <is>
          <t>PT. SINAR PADANG LESTARI - PPN (PDG)</t>
        </is>
      </c>
      <c r="AI995" t="n">
        <v>1422</v>
      </c>
      <c r="AJ995" t="inlineStr">
        <is>
          <t>DAZZLE ME</t>
        </is>
      </c>
      <c r="AK995" t="n">
        <v>21</v>
      </c>
      <c r="AL995" t="inlineStr">
        <is>
          <t>Miss Glam Damar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DAZZLE ME</t>
        </is>
      </c>
      <c r="B996" s="2">
        <f>"8991748004820"</f>
        <v/>
      </c>
      <c r="C996" t="inlineStr">
        <is>
          <t>DAZZLE ME Chic Liquid Eyeliner 04 WYD 1.1gr</t>
        </is>
      </c>
      <c r="D996" t="inlineStr">
        <is>
          <t>Miss Glam Damar</t>
        </is>
      </c>
      <c r="E996" t="n">
        <v>2</v>
      </c>
      <c r="F996" t="n">
        <v>0.02</v>
      </c>
      <c r="G996" t="n">
        <v>1</v>
      </c>
      <c r="H996" t="n">
        <v>3</v>
      </c>
      <c r="I996" t="n">
        <v>11</v>
      </c>
      <c r="J996" t="n">
        <v>3</v>
      </c>
      <c r="K996" t="n">
        <v>0</v>
      </c>
      <c r="L996" t="n">
        <v>24000</v>
      </c>
      <c r="M996" t="n">
        <v>28900</v>
      </c>
      <c r="N996" t="n">
        <v>91</v>
      </c>
      <c r="O996" t="n">
        <v>0.91</v>
      </c>
      <c r="P996" t="n">
        <v>0</v>
      </c>
      <c r="Q996" t="n">
        <v>0.02</v>
      </c>
      <c r="R996" t="n">
        <v>1</v>
      </c>
      <c r="S996" t="n">
        <v>578</v>
      </c>
      <c r="T996" t="n">
        <v>11</v>
      </c>
      <c r="U996" t="n">
        <v>12</v>
      </c>
      <c r="V996" t="n">
        <v>30</v>
      </c>
      <c r="W996" t="n">
        <v>1</v>
      </c>
      <c r="X996" t="n">
        <v>100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12803</v>
      </c>
      <c r="AG996" t="n">
        <v>2122</v>
      </c>
      <c r="AH996" t="inlineStr">
        <is>
          <t>PT. SINAR PADANG LESTARI - PPN (PDG)</t>
        </is>
      </c>
      <c r="AI996" t="n">
        <v>1422</v>
      </c>
      <c r="AJ996" t="inlineStr">
        <is>
          <t>DAZZLE ME</t>
        </is>
      </c>
      <c r="AK996" t="n">
        <v>21</v>
      </c>
      <c r="AL996" t="inlineStr">
        <is>
          <t>Miss Glam Damar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DAZZLE ME</t>
        </is>
      </c>
      <c r="B997" s="2">
        <f>"20300197804"</f>
        <v/>
      </c>
      <c r="C997" t="inlineStr">
        <is>
          <t>DAZZLE ME Color Chrome  Lip Matte R08 Charming Rose 3.6gr</t>
        </is>
      </c>
      <c r="D997" t="inlineStr">
        <is>
          <t>Miss Glam Damar</t>
        </is>
      </c>
      <c r="E997" t="n">
        <v>2</v>
      </c>
      <c r="F997" t="n">
        <v>0.0728</v>
      </c>
      <c r="G997" t="n">
        <v>0.91</v>
      </c>
      <c r="H997" t="n">
        <v>3</v>
      </c>
      <c r="I997" t="n">
        <v>11</v>
      </c>
      <c r="J997" t="n">
        <v>3</v>
      </c>
      <c r="K997" t="n">
        <v>0</v>
      </c>
      <c r="L997" t="n">
        <v>30320</v>
      </c>
      <c r="M997" t="n">
        <v>37900</v>
      </c>
      <c r="N997" t="n">
        <v>91</v>
      </c>
      <c r="O997" t="n">
        <v>0.91</v>
      </c>
      <c r="P997" t="n">
        <v>1</v>
      </c>
      <c r="Q997" t="n">
        <v>0.1</v>
      </c>
      <c r="R997" t="n">
        <v>1</v>
      </c>
      <c r="S997" t="n">
        <v>2759.12</v>
      </c>
      <c r="T997" t="n">
        <v>10</v>
      </c>
      <c r="U997" t="n">
        <v>11</v>
      </c>
      <c r="V997" t="n">
        <v>30</v>
      </c>
      <c r="W997" t="n">
        <v>3</v>
      </c>
      <c r="X997" t="n">
        <v>27.47252747252747</v>
      </c>
      <c r="Y997" t="n">
        <v>1</v>
      </c>
      <c r="Z997" t="n">
        <v>1</v>
      </c>
      <c r="AA997" t="n">
        <v>0</v>
      </c>
      <c r="AB997" t="n">
        <v>1</v>
      </c>
      <c r="AC997" t="n">
        <v>3</v>
      </c>
      <c r="AD997" t="n">
        <v>0</v>
      </c>
      <c r="AE997" t="n">
        <v>90960</v>
      </c>
      <c r="AF997" t="n">
        <v>12803</v>
      </c>
      <c r="AG997" t="n">
        <v>2122</v>
      </c>
      <c r="AH997" t="inlineStr">
        <is>
          <t>PT. SINAR PADANG LESTARI - PPN (PDG)</t>
        </is>
      </c>
      <c r="AI997" t="n">
        <v>1422</v>
      </c>
      <c r="AJ997" t="inlineStr">
        <is>
          <t>DAZZLE ME</t>
        </is>
      </c>
      <c r="AK997" t="n">
        <v>21</v>
      </c>
      <c r="AL997" t="inlineStr">
        <is>
          <t>Miss Glam Damar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DAZZLE ME</t>
        </is>
      </c>
      <c r="B998" s="2">
        <f>"8859588113587"</f>
        <v/>
      </c>
      <c r="C998" t="inlineStr">
        <is>
          <t>DAZZLE ME Color Chrome Lip Matte P05 Burgundy Bill 3.6gr</t>
        </is>
      </c>
      <c r="D998" t="inlineStr">
        <is>
          <t>Miss Glam Damar</t>
        </is>
      </c>
      <c r="E998" t="n">
        <v>0</v>
      </c>
      <c r="F998" t="n">
        <v>0.3185</v>
      </c>
      <c r="G998" t="n">
        <v>2.73</v>
      </c>
      <c r="H998" t="n">
        <v>3</v>
      </c>
      <c r="I998" t="n">
        <v>11</v>
      </c>
      <c r="J998" t="n">
        <v>3</v>
      </c>
      <c r="K998" t="n">
        <v>0</v>
      </c>
      <c r="L998" t="n">
        <v>30320</v>
      </c>
      <c r="M998" t="n">
        <v>37900</v>
      </c>
      <c r="N998" t="n">
        <v>91</v>
      </c>
      <c r="O998" t="n">
        <v>0.91</v>
      </c>
      <c r="P998" t="n">
        <v>1</v>
      </c>
      <c r="Q998" t="n">
        <v>0.24</v>
      </c>
      <c r="R998" t="n">
        <v>2</v>
      </c>
      <c r="S998" t="n">
        <v>12071.15</v>
      </c>
      <c r="T998" t="n">
        <v>30</v>
      </c>
      <c r="U998" t="n">
        <v>31</v>
      </c>
      <c r="V998" t="n">
        <v>30</v>
      </c>
      <c r="W998" t="n">
        <v>10</v>
      </c>
      <c r="X998" t="n">
        <v>0</v>
      </c>
      <c r="Y998" t="n">
        <v>1</v>
      </c>
      <c r="Z998" t="n">
        <v>10</v>
      </c>
      <c r="AA998" t="n">
        <v>4</v>
      </c>
      <c r="AB998" t="n">
        <v>6</v>
      </c>
      <c r="AC998" t="n">
        <v>6</v>
      </c>
      <c r="AD998" t="n">
        <v>121280</v>
      </c>
      <c r="AE998" t="n">
        <v>181920</v>
      </c>
      <c r="AF998" t="n">
        <v>12803</v>
      </c>
      <c r="AG998" t="n">
        <v>2122</v>
      </c>
      <c r="AH998" t="inlineStr">
        <is>
          <t>PT. SINAR PADANG LESTARI - PPN (PDG)</t>
        </is>
      </c>
      <c r="AI998" t="n">
        <v>1422</v>
      </c>
      <c r="AJ998" t="inlineStr">
        <is>
          <t>DAZZLE ME</t>
        </is>
      </c>
      <c r="AK998" t="n">
        <v>21</v>
      </c>
      <c r="AL998" t="inlineStr">
        <is>
          <t>Miss Glam Damar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DAZZLE ME</t>
        </is>
      </c>
      <c r="B999" s="2">
        <f>"20300197748"</f>
        <v/>
      </c>
      <c r="C999" t="inlineStr">
        <is>
          <t>DAZZLE Me Color Chrome Lip Matte R03 Classy Red 3.6gr</t>
        </is>
      </c>
      <c r="D999" t="inlineStr">
        <is>
          <t>Miss Glam Damar</t>
        </is>
      </c>
      <c r="E999" t="n">
        <v>4</v>
      </c>
      <c r="F999" t="n">
        <v>0.3094</v>
      </c>
      <c r="G999" t="n">
        <v>0.91</v>
      </c>
      <c r="H999" t="n">
        <v>3</v>
      </c>
      <c r="I999" t="n">
        <v>11</v>
      </c>
      <c r="J999" t="n">
        <v>3</v>
      </c>
      <c r="K999" t="n">
        <v>0</v>
      </c>
      <c r="L999" t="n">
        <v>30304</v>
      </c>
      <c r="M999" t="n">
        <v>37900</v>
      </c>
      <c r="N999" t="n">
        <v>91</v>
      </c>
      <c r="O999" t="n">
        <v>0.91</v>
      </c>
      <c r="P999" t="n">
        <v>1</v>
      </c>
      <c r="Q999" t="n">
        <v>0.22</v>
      </c>
      <c r="R999" t="n">
        <v>2</v>
      </c>
      <c r="S999" t="n">
        <v>11726.26</v>
      </c>
      <c r="T999" t="n">
        <v>10</v>
      </c>
      <c r="U999" t="n">
        <v>11</v>
      </c>
      <c r="V999" t="n">
        <v>30</v>
      </c>
      <c r="W999" t="n">
        <v>10</v>
      </c>
      <c r="X999" t="n">
        <v>12.92824822236587</v>
      </c>
      <c r="Y999" t="n">
        <v>1</v>
      </c>
      <c r="Z999" t="n">
        <v>6</v>
      </c>
      <c r="AA999" t="n">
        <v>0</v>
      </c>
      <c r="AB999" t="n">
        <v>6</v>
      </c>
      <c r="AC999" t="n">
        <v>6</v>
      </c>
      <c r="AD999" t="n">
        <v>0</v>
      </c>
      <c r="AE999" t="n">
        <v>181824</v>
      </c>
      <c r="AF999" t="n">
        <v>12803</v>
      </c>
      <c r="AG999" t="n">
        <v>2122</v>
      </c>
      <c r="AH999" t="inlineStr">
        <is>
          <t>PT. SINAR PADANG LESTARI - PPN (PDG)</t>
        </is>
      </c>
      <c r="AI999" t="n">
        <v>1422</v>
      </c>
      <c r="AJ999" t="inlineStr">
        <is>
          <t>DAZZLE ME</t>
        </is>
      </c>
      <c r="AK999" t="n">
        <v>21</v>
      </c>
      <c r="AL999" t="inlineStr">
        <is>
          <t>Miss Glam Damar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DAZZLE ME</t>
        </is>
      </c>
      <c r="B1000" s="2">
        <f>"20300197655"</f>
        <v/>
      </c>
      <c r="C1000" t="inlineStr">
        <is>
          <t>DAZZLE ME Color Chrome Lip Matte R04 Cerise Cannon 3.6gr</t>
        </is>
      </c>
      <c r="D1000" t="inlineStr">
        <is>
          <t>Miss Glam Damar</t>
        </is>
      </c>
      <c r="E1000" t="n">
        <v>1</v>
      </c>
      <c r="F1000" t="n">
        <v>0.2184</v>
      </c>
      <c r="G1000" t="n">
        <v>1.82</v>
      </c>
      <c r="H1000" t="n">
        <v>3</v>
      </c>
      <c r="I1000" t="n">
        <v>11</v>
      </c>
      <c r="J1000" t="n">
        <v>3</v>
      </c>
      <c r="K1000" t="n">
        <v>0</v>
      </c>
      <c r="L1000" t="n">
        <v>30312</v>
      </c>
      <c r="M1000" t="n">
        <v>37900</v>
      </c>
      <c r="N1000" t="n">
        <v>91</v>
      </c>
      <c r="O1000" t="n">
        <v>0.91</v>
      </c>
      <c r="P1000" t="n">
        <v>1</v>
      </c>
      <c r="Q1000" t="n">
        <v>0.25</v>
      </c>
      <c r="R1000" t="n">
        <v>2</v>
      </c>
      <c r="S1000" t="n">
        <v>8277.360000000001</v>
      </c>
      <c r="T1000" t="n">
        <v>20</v>
      </c>
      <c r="U1000" t="n">
        <v>21</v>
      </c>
      <c r="V1000" t="n">
        <v>30</v>
      </c>
      <c r="W1000" t="n">
        <v>7</v>
      </c>
      <c r="X1000" t="n">
        <v>4.578754578754578</v>
      </c>
      <c r="Y1000" t="n">
        <v>1</v>
      </c>
      <c r="Z1000" t="n">
        <v>6</v>
      </c>
      <c r="AA1000" t="n">
        <v>2</v>
      </c>
      <c r="AB1000" t="n">
        <v>4</v>
      </c>
      <c r="AC1000" t="n">
        <v>4</v>
      </c>
      <c r="AD1000" t="n">
        <v>60624</v>
      </c>
      <c r="AE1000" t="n">
        <v>121248</v>
      </c>
      <c r="AF1000" t="n">
        <v>12803</v>
      </c>
      <c r="AG1000" t="n">
        <v>2122</v>
      </c>
      <c r="AH1000" t="inlineStr">
        <is>
          <t>PT. SINAR PADANG LESTARI - PPN (PDG)</t>
        </is>
      </c>
      <c r="AI1000" t="n">
        <v>1422</v>
      </c>
      <c r="AJ1000" t="inlineStr">
        <is>
          <t>DAZZLE ME</t>
        </is>
      </c>
      <c r="AK1000" t="n">
        <v>21</v>
      </c>
      <c r="AL1000" t="inlineStr">
        <is>
          <t>Miss Glam Damar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DAZZLE ME</t>
        </is>
      </c>
      <c r="B1001" s="2">
        <f>"8859588111620"</f>
        <v/>
      </c>
      <c r="C1001" t="inlineStr">
        <is>
          <t>DAZZLE ME Color Chrome Lipglaze 05 Mapple Hazle 3gr</t>
        </is>
      </c>
      <c r="D1001" t="inlineStr">
        <is>
          <t>Miss Glam Damar</t>
        </is>
      </c>
      <c r="E1001" t="n">
        <v>0</v>
      </c>
      <c r="F1001" t="n">
        <v>0.4823000000000001</v>
      </c>
      <c r="G1001" t="n">
        <v>4.55</v>
      </c>
      <c r="H1001" t="n">
        <v>3</v>
      </c>
      <c r="I1001" t="n">
        <v>11</v>
      </c>
      <c r="J1001" t="n">
        <v>3</v>
      </c>
      <c r="K1001" t="n">
        <v>0</v>
      </c>
      <c r="L1001" t="n">
        <v>30320</v>
      </c>
      <c r="M1001" t="n">
        <v>37900</v>
      </c>
      <c r="N1001" t="n">
        <v>91</v>
      </c>
      <c r="O1001" t="n">
        <v>0.91</v>
      </c>
      <c r="P1001" t="n">
        <v>1</v>
      </c>
      <c r="Q1001" t="n">
        <v>0.29</v>
      </c>
      <c r="R1001" t="n">
        <v>2</v>
      </c>
      <c r="S1001" t="n">
        <v>18279.17</v>
      </c>
      <c r="T1001" t="n">
        <v>49</v>
      </c>
      <c r="U1001" t="n">
        <v>51</v>
      </c>
      <c r="V1001" t="n">
        <v>30</v>
      </c>
      <c r="W1001" t="n">
        <v>15</v>
      </c>
      <c r="X1001" t="n">
        <v>0</v>
      </c>
      <c r="Y1001" t="n">
        <v>1</v>
      </c>
      <c r="Z1001" t="n">
        <v>15</v>
      </c>
      <c r="AA1001" t="n">
        <v>6</v>
      </c>
      <c r="AB1001" t="n">
        <v>9</v>
      </c>
      <c r="AC1001" t="n">
        <v>9</v>
      </c>
      <c r="AD1001" t="n">
        <v>181920</v>
      </c>
      <c r="AE1001" t="n">
        <v>272880</v>
      </c>
      <c r="AF1001" t="n">
        <v>12803</v>
      </c>
      <c r="AG1001" t="n">
        <v>2122</v>
      </c>
      <c r="AH1001" t="inlineStr">
        <is>
          <t>PT. SINAR PADANG LESTARI - PPN (PDG)</t>
        </is>
      </c>
      <c r="AI1001" t="n">
        <v>1422</v>
      </c>
      <c r="AJ1001" t="inlineStr">
        <is>
          <t>DAZZLE ME</t>
        </is>
      </c>
      <c r="AK1001" t="n">
        <v>21</v>
      </c>
      <c r="AL1001" t="inlineStr">
        <is>
          <t>Miss Glam Damar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DAZZLE ME</t>
        </is>
      </c>
      <c r="B1002" s="2">
        <f>"8859588111644"</f>
        <v/>
      </c>
      <c r="C1002" t="inlineStr">
        <is>
          <t>DAZZLE ME Color Chrome Lipglaze 07 Rose Blush 3gr</t>
        </is>
      </c>
      <c r="D1002" t="inlineStr">
        <is>
          <t>Miss Glam Damar</t>
        </is>
      </c>
      <c r="E1002" t="n">
        <v>3</v>
      </c>
      <c r="F1002" t="n">
        <v>0.3003</v>
      </c>
      <c r="G1002" t="n">
        <v>2.73</v>
      </c>
      <c r="H1002" t="n">
        <v>3</v>
      </c>
      <c r="I1002" t="n">
        <v>11</v>
      </c>
      <c r="J1002" t="n">
        <v>3</v>
      </c>
      <c r="K1002" t="n">
        <v>0</v>
      </c>
      <c r="L1002" t="n">
        <v>30320</v>
      </c>
      <c r="M1002" t="n">
        <v>37900</v>
      </c>
      <c r="N1002" t="n">
        <v>91</v>
      </c>
      <c r="O1002" t="n">
        <v>0.91</v>
      </c>
      <c r="P1002" t="n">
        <v>1</v>
      </c>
      <c r="Q1002" t="n">
        <v>0.05</v>
      </c>
      <c r="R1002" t="n">
        <v>1</v>
      </c>
      <c r="S1002" t="n">
        <v>11381.37</v>
      </c>
      <c r="T1002" t="n">
        <v>30</v>
      </c>
      <c r="U1002" t="n">
        <v>31</v>
      </c>
      <c r="V1002" t="n">
        <v>30</v>
      </c>
      <c r="W1002" t="n">
        <v>10</v>
      </c>
      <c r="X1002" t="n">
        <v>9.990009990009989</v>
      </c>
      <c r="Y1002" t="n">
        <v>1</v>
      </c>
      <c r="Z1002" t="n">
        <v>7</v>
      </c>
      <c r="AA1002" t="n">
        <v>1</v>
      </c>
      <c r="AB1002" t="n">
        <v>6</v>
      </c>
      <c r="AC1002" t="n">
        <v>6</v>
      </c>
      <c r="AD1002" t="n">
        <v>30320</v>
      </c>
      <c r="AE1002" t="n">
        <v>181920</v>
      </c>
      <c r="AF1002" t="n">
        <v>12803</v>
      </c>
      <c r="AG1002" t="n">
        <v>2122</v>
      </c>
      <c r="AH1002" t="inlineStr">
        <is>
          <t>PT. SINAR PADANG LESTARI - PPN (PDG)</t>
        </is>
      </c>
      <c r="AI1002" t="n">
        <v>1422</v>
      </c>
      <c r="AJ1002" t="inlineStr">
        <is>
          <t>DAZZLE ME</t>
        </is>
      </c>
      <c r="AK1002" t="n">
        <v>21</v>
      </c>
      <c r="AL1002" t="inlineStr">
        <is>
          <t>Miss Glam Damar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DAZZLE ME</t>
        </is>
      </c>
      <c r="B1003" s="2">
        <f>"8859588111675"</f>
        <v/>
      </c>
      <c r="C1003" t="inlineStr">
        <is>
          <t>DAZZLE ME Color Chrome Lipglaze 10 Smoke Auburn 3gr</t>
        </is>
      </c>
      <c r="D1003" t="inlineStr">
        <is>
          <t>Miss Glam Damar</t>
        </is>
      </c>
      <c r="E1003" t="n">
        <v>6</v>
      </c>
      <c r="F1003" t="n">
        <v>0.1092</v>
      </c>
      <c r="G1003" t="n">
        <v>1.82</v>
      </c>
      <c r="H1003" t="n">
        <v>3</v>
      </c>
      <c r="I1003" t="n">
        <v>11</v>
      </c>
      <c r="J1003" t="n">
        <v>3</v>
      </c>
      <c r="K1003" t="n">
        <v>0</v>
      </c>
      <c r="L1003" t="n">
        <v>30320</v>
      </c>
      <c r="M1003" t="n">
        <v>37900</v>
      </c>
      <c r="N1003" t="n">
        <v>91</v>
      </c>
      <c r="O1003" t="n">
        <v>0.91</v>
      </c>
      <c r="P1003" t="n">
        <v>1</v>
      </c>
      <c r="Q1003" t="n">
        <v>0.03</v>
      </c>
      <c r="R1003" t="n">
        <v>1</v>
      </c>
      <c r="S1003" t="n">
        <v>4138.68</v>
      </c>
      <c r="T1003" t="n">
        <v>20</v>
      </c>
      <c r="U1003" t="n">
        <v>21</v>
      </c>
      <c r="V1003" t="n">
        <v>30</v>
      </c>
      <c r="W1003" t="n">
        <v>4</v>
      </c>
      <c r="X1003" t="n">
        <v>54.94505494505494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12803</v>
      </c>
      <c r="AG1003" t="n">
        <v>2122</v>
      </c>
      <c r="AH1003" t="inlineStr">
        <is>
          <t>PT. SINAR PADANG LESTARI - PPN (PDG)</t>
        </is>
      </c>
      <c r="AI1003" t="n">
        <v>1422</v>
      </c>
      <c r="AJ1003" t="inlineStr">
        <is>
          <t>DAZZLE ME</t>
        </is>
      </c>
      <c r="AK1003" t="n">
        <v>21</v>
      </c>
      <c r="AL1003" t="inlineStr">
        <is>
          <t>Miss Glam Damar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DAZZLE ME</t>
        </is>
      </c>
      <c r="B1004" s="2">
        <f>"203001100903"</f>
        <v/>
      </c>
      <c r="C1004" t="inlineStr">
        <is>
          <t>DAZZLE ME Color Chrome Melt To Dew Lip Click 096 Shining Muscat 2gr</t>
        </is>
      </c>
      <c r="D1004" t="inlineStr">
        <is>
          <t>Miss Glam Damar</t>
        </is>
      </c>
      <c r="E1004" t="n">
        <v>5</v>
      </c>
      <c r="F1004" t="n">
        <v>0.2002</v>
      </c>
      <c r="G1004" t="n">
        <v>1.82</v>
      </c>
      <c r="H1004" t="n">
        <v>3</v>
      </c>
      <c r="I1004" t="n">
        <v>11</v>
      </c>
      <c r="J1004" t="n">
        <v>1</v>
      </c>
      <c r="K1004" t="n">
        <v>0</v>
      </c>
      <c r="L1004" t="n">
        <v>35920</v>
      </c>
      <c r="M1004" t="n">
        <v>44900</v>
      </c>
      <c r="N1004" t="n">
        <v>91</v>
      </c>
      <c r="O1004" t="n">
        <v>0.91</v>
      </c>
      <c r="P1004" t="n">
        <v>1</v>
      </c>
      <c r="Q1004" t="n">
        <v>0.12</v>
      </c>
      <c r="R1004" t="n">
        <v>2</v>
      </c>
      <c r="S1004" t="n">
        <v>8988.980000000001</v>
      </c>
      <c r="T1004" t="n">
        <v>20</v>
      </c>
      <c r="U1004" t="n">
        <v>21</v>
      </c>
      <c r="V1004" t="n">
        <v>30</v>
      </c>
      <c r="W1004" t="n">
        <v>7</v>
      </c>
      <c r="X1004" t="n">
        <v>24.97502497502497</v>
      </c>
      <c r="Y1004" t="n">
        <v>1</v>
      </c>
      <c r="Z1004" t="n">
        <v>2</v>
      </c>
      <c r="AA1004" t="n">
        <v>0</v>
      </c>
      <c r="AB1004" t="n">
        <v>2</v>
      </c>
      <c r="AC1004" t="n">
        <v>2</v>
      </c>
      <c r="AD1004" t="n">
        <v>0</v>
      </c>
      <c r="AE1004" t="n">
        <v>71840</v>
      </c>
      <c r="AF1004" t="n">
        <v>12803</v>
      </c>
      <c r="AG1004" t="n">
        <v>2122</v>
      </c>
      <c r="AH1004" t="inlineStr">
        <is>
          <t>PT. SINAR PADANG LESTARI - PPN (PDG)</t>
        </is>
      </c>
      <c r="AI1004" t="n">
        <v>1422</v>
      </c>
      <c r="AJ1004" t="inlineStr">
        <is>
          <t>DAZZLE ME</t>
        </is>
      </c>
      <c r="AK1004" t="n">
        <v>21</v>
      </c>
      <c r="AL1004" t="inlineStr">
        <is>
          <t>Miss Glam Damar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DAZZLE ME</t>
        </is>
      </c>
      <c r="B1005" s="2">
        <f>"203001101048"</f>
        <v/>
      </c>
      <c r="C1005" t="inlineStr">
        <is>
          <t>DAZZLE ME Color Chrome Melt To Dew Lip Click 101 Bunny Tongue 2gr</t>
        </is>
      </c>
      <c r="D1005" t="inlineStr">
        <is>
          <t>Miss Glam Damar</t>
        </is>
      </c>
      <c r="E1005" t="n">
        <v>5</v>
      </c>
      <c r="F1005" t="n">
        <v>0.4368</v>
      </c>
      <c r="G1005" t="n">
        <v>4.55</v>
      </c>
      <c r="H1005" t="n">
        <v>3</v>
      </c>
      <c r="I1005" t="n">
        <v>11</v>
      </c>
      <c r="J1005" t="n">
        <v>1</v>
      </c>
      <c r="K1005" t="n">
        <v>0</v>
      </c>
      <c r="L1005" t="n">
        <v>35920</v>
      </c>
      <c r="M1005" t="n">
        <v>44900</v>
      </c>
      <c r="N1005" t="n">
        <v>91</v>
      </c>
      <c r="O1005" t="n">
        <v>0.91</v>
      </c>
      <c r="P1005" t="n">
        <v>1</v>
      </c>
      <c r="Q1005" t="n">
        <v>0.15</v>
      </c>
      <c r="R1005" t="n">
        <v>2</v>
      </c>
      <c r="S1005" t="n">
        <v>19612.32</v>
      </c>
      <c r="T1005" t="n">
        <v>49</v>
      </c>
      <c r="U1005" t="n">
        <v>51</v>
      </c>
      <c r="V1005" t="n">
        <v>30</v>
      </c>
      <c r="W1005" t="n">
        <v>14</v>
      </c>
      <c r="X1005" t="n">
        <v>11.44688644688645</v>
      </c>
      <c r="Y1005" t="n">
        <v>1</v>
      </c>
      <c r="Z1005" t="n">
        <v>9</v>
      </c>
      <c r="AA1005" t="n">
        <v>0</v>
      </c>
      <c r="AB1005" t="n">
        <v>9</v>
      </c>
      <c r="AC1005" t="n">
        <v>9</v>
      </c>
      <c r="AD1005" t="n">
        <v>0</v>
      </c>
      <c r="AE1005" t="n">
        <v>323280</v>
      </c>
      <c r="AF1005" t="n">
        <v>12803</v>
      </c>
      <c r="AG1005" t="n">
        <v>2122</v>
      </c>
      <c r="AH1005" t="inlineStr">
        <is>
          <t>PT. SINAR PADANG LESTARI - PPN (PDG)</t>
        </is>
      </c>
      <c r="AI1005" t="n">
        <v>1422</v>
      </c>
      <c r="AJ1005" t="inlineStr">
        <is>
          <t>DAZZLE ME</t>
        </is>
      </c>
      <c r="AK1005" t="n">
        <v>21</v>
      </c>
      <c r="AL1005" t="inlineStr">
        <is>
          <t>Miss Glam Damar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DAZZLE ME</t>
        </is>
      </c>
      <c r="B1006" s="2">
        <f>"203001101154"</f>
        <v/>
      </c>
      <c r="C1006" t="inlineStr">
        <is>
          <t>DAZZLE ME Color Chrome Melt To Dew Lip Click 707 Dream High 2gr</t>
        </is>
      </c>
      <c r="D1006" t="inlineStr">
        <is>
          <t>Miss Glam Damar</t>
        </is>
      </c>
      <c r="E1006" t="n">
        <v>15</v>
      </c>
      <c r="F1006" t="n">
        <v>0.0273</v>
      </c>
      <c r="G1006" t="n">
        <v>0.91</v>
      </c>
      <c r="H1006" t="n">
        <v>3</v>
      </c>
      <c r="I1006" t="n">
        <v>11</v>
      </c>
      <c r="J1006" t="n">
        <v>1</v>
      </c>
      <c r="K1006" t="n">
        <v>0</v>
      </c>
      <c r="L1006" t="n">
        <v>35920</v>
      </c>
      <c r="M1006" t="n">
        <v>44900</v>
      </c>
      <c r="N1006" t="n">
        <v>91</v>
      </c>
      <c r="O1006" t="n">
        <v>0.91</v>
      </c>
      <c r="P1006" t="n">
        <v>1</v>
      </c>
      <c r="Q1006" t="n">
        <v>0.19</v>
      </c>
      <c r="R1006" t="n">
        <v>2</v>
      </c>
      <c r="S1006" t="n">
        <v>1225.77</v>
      </c>
      <c r="T1006" t="n">
        <v>10</v>
      </c>
      <c r="U1006" t="n">
        <v>11</v>
      </c>
      <c r="V1006" t="n">
        <v>30</v>
      </c>
      <c r="W1006" t="n">
        <v>1</v>
      </c>
      <c r="X1006" t="n">
        <v>549.4505494505494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12803</v>
      </c>
      <c r="AG1006" t="n">
        <v>2122</v>
      </c>
      <c r="AH1006" t="inlineStr">
        <is>
          <t>PT. SINAR PADANG LESTARI - PPN (PDG)</t>
        </is>
      </c>
      <c r="AI1006" t="n">
        <v>1422</v>
      </c>
      <c r="AJ1006" t="inlineStr">
        <is>
          <t>DAZZLE ME</t>
        </is>
      </c>
      <c r="AK1006" t="n">
        <v>21</v>
      </c>
      <c r="AL1006" t="inlineStr">
        <is>
          <t>Miss Glam Damar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DAZZLE ME</t>
        </is>
      </c>
      <c r="B1007" s="2">
        <f>"203001101214"</f>
        <v/>
      </c>
      <c r="C1007" t="inlineStr">
        <is>
          <t>DAZZLE ME Color Chrome Melt To Dew Lip Click 732 Honey Gaze 2gr</t>
        </is>
      </c>
      <c r="D1007" t="inlineStr">
        <is>
          <t>Miss Glam Damar</t>
        </is>
      </c>
      <c r="E1007" t="n">
        <v>10</v>
      </c>
      <c r="F1007" t="n">
        <v>0.3367</v>
      </c>
      <c r="G1007" t="n">
        <v>2.73</v>
      </c>
      <c r="H1007" t="n">
        <v>3</v>
      </c>
      <c r="I1007" t="n">
        <v>11</v>
      </c>
      <c r="J1007" t="n">
        <v>1</v>
      </c>
      <c r="K1007" t="n">
        <v>0</v>
      </c>
      <c r="L1007" t="n">
        <v>35920</v>
      </c>
      <c r="M1007" t="n">
        <v>44900</v>
      </c>
      <c r="N1007" t="n">
        <v>91</v>
      </c>
      <c r="O1007" t="n">
        <v>0.91</v>
      </c>
      <c r="P1007" t="n">
        <v>1</v>
      </c>
      <c r="Q1007" t="n">
        <v>0.24</v>
      </c>
      <c r="R1007" t="n">
        <v>2</v>
      </c>
      <c r="S1007" t="n">
        <v>15117.83</v>
      </c>
      <c r="T1007" t="n">
        <v>30</v>
      </c>
      <c r="U1007" t="n">
        <v>32</v>
      </c>
      <c r="V1007" t="n">
        <v>30</v>
      </c>
      <c r="W1007" t="n">
        <v>11</v>
      </c>
      <c r="X1007" t="n">
        <v>29.7000297000297</v>
      </c>
      <c r="Y1007" t="n">
        <v>1</v>
      </c>
      <c r="Z1007" t="n">
        <v>1</v>
      </c>
      <c r="AA1007" t="n">
        <v>0</v>
      </c>
      <c r="AB1007" t="n">
        <v>1</v>
      </c>
      <c r="AC1007" t="n">
        <v>1</v>
      </c>
      <c r="AD1007" t="n">
        <v>0</v>
      </c>
      <c r="AE1007" t="n">
        <v>35920</v>
      </c>
      <c r="AF1007" t="n">
        <v>12803</v>
      </c>
      <c r="AG1007" t="n">
        <v>2122</v>
      </c>
      <c r="AH1007" t="inlineStr">
        <is>
          <t>PT. SINAR PADANG LESTARI - PPN (PDG)</t>
        </is>
      </c>
      <c r="AI1007" t="n">
        <v>1422</v>
      </c>
      <c r="AJ1007" t="inlineStr">
        <is>
          <t>DAZZLE ME</t>
        </is>
      </c>
      <c r="AK1007" t="n">
        <v>21</v>
      </c>
      <c r="AL1007" t="inlineStr">
        <is>
          <t>Miss Glam Damar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DAZZLE ME</t>
        </is>
      </c>
      <c r="B1008" s="2">
        <f>"203001101308"</f>
        <v/>
      </c>
      <c r="C1008" t="inlineStr">
        <is>
          <t>DAZZLE ME Color Chrome Melt To Dew Lip Click 821 Star World 2gr</t>
        </is>
      </c>
      <c r="D1008" t="inlineStr">
        <is>
          <t>Miss Glam Damar</t>
        </is>
      </c>
      <c r="E1008" t="n">
        <v>5</v>
      </c>
      <c r="F1008" t="n">
        <v>0.1547</v>
      </c>
      <c r="G1008" t="n">
        <v>1.82</v>
      </c>
      <c r="H1008" t="n">
        <v>3</v>
      </c>
      <c r="I1008" t="n">
        <v>11</v>
      </c>
      <c r="J1008" t="n">
        <v>1</v>
      </c>
      <c r="K1008" t="n">
        <v>0</v>
      </c>
      <c r="L1008" t="n">
        <v>35920</v>
      </c>
      <c r="M1008" t="n">
        <v>44900</v>
      </c>
      <c r="N1008" t="n">
        <v>91</v>
      </c>
      <c r="O1008" t="n">
        <v>0.91</v>
      </c>
      <c r="P1008" t="n">
        <v>1</v>
      </c>
      <c r="Q1008" t="n">
        <v>0.15</v>
      </c>
      <c r="R1008" t="n">
        <v>2</v>
      </c>
      <c r="S1008" t="n">
        <v>6946.03</v>
      </c>
      <c r="T1008" t="n">
        <v>20</v>
      </c>
      <c r="U1008" t="n">
        <v>21</v>
      </c>
      <c r="V1008" t="n">
        <v>30</v>
      </c>
      <c r="W1008" t="n">
        <v>5</v>
      </c>
      <c r="X1008" t="n">
        <v>32.32062055591467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12803</v>
      </c>
      <c r="AG1008" t="n">
        <v>2122</v>
      </c>
      <c r="AH1008" t="inlineStr">
        <is>
          <t>PT. SINAR PADANG LESTARI - PPN (PDG)</t>
        </is>
      </c>
      <c r="AI1008" t="n">
        <v>1422</v>
      </c>
      <c r="AJ1008" t="inlineStr">
        <is>
          <t>DAZZLE ME</t>
        </is>
      </c>
      <c r="AK1008" t="n">
        <v>21</v>
      </c>
      <c r="AL1008" t="inlineStr">
        <is>
          <t>Miss Glam Damar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DAZZLE ME</t>
        </is>
      </c>
      <c r="B1009" s="2">
        <f>"20100185204"</f>
        <v/>
      </c>
      <c r="C1009" t="inlineStr">
        <is>
          <t>DAZZLE ME Cover Me Serum Foundation Spf35 Pa+++ C03 Cool Vanilla 25g</t>
        </is>
      </c>
      <c r="D1009" t="inlineStr">
        <is>
          <t>Miss Glam Damar</t>
        </is>
      </c>
      <c r="E1009" t="n">
        <v>16</v>
      </c>
      <c r="F1009" t="n">
        <v>0.0182</v>
      </c>
      <c r="G1009" t="n">
        <v>0</v>
      </c>
      <c r="H1009" t="n">
        <v>3</v>
      </c>
      <c r="I1009" t="n">
        <v>11</v>
      </c>
      <c r="J1009" t="n">
        <v>1</v>
      </c>
      <c r="K1009" t="n">
        <v>0</v>
      </c>
      <c r="L1009" t="n">
        <v>55921</v>
      </c>
      <c r="M1009" t="n">
        <v>69900</v>
      </c>
      <c r="N1009" t="n">
        <v>91</v>
      </c>
      <c r="O1009" t="n">
        <v>0.91</v>
      </c>
      <c r="P1009" t="n">
        <v>1</v>
      </c>
      <c r="Q1009" t="n">
        <v>0.02</v>
      </c>
      <c r="R1009" t="n">
        <v>0</v>
      </c>
      <c r="S1009" t="n">
        <v>1272.18</v>
      </c>
      <c r="T1009" t="n">
        <v>0</v>
      </c>
      <c r="U1009" t="n">
        <v>1</v>
      </c>
      <c r="V1009" t="n">
        <v>30</v>
      </c>
      <c r="W1009" t="n">
        <v>1</v>
      </c>
      <c r="X1009" t="n">
        <v>879.1208791208791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12803</v>
      </c>
      <c r="AG1009" t="n">
        <v>2122</v>
      </c>
      <c r="AH1009" t="inlineStr">
        <is>
          <t>PT. SINAR PADANG LESTARI - PPN (PDG)</t>
        </is>
      </c>
      <c r="AI1009" t="n">
        <v>1422</v>
      </c>
      <c r="AJ1009" t="inlineStr">
        <is>
          <t>DAZZLE ME</t>
        </is>
      </c>
      <c r="AK1009" t="n">
        <v>21</v>
      </c>
      <c r="AL1009" t="inlineStr">
        <is>
          <t>Miss Glam Damar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DAZZLE ME</t>
        </is>
      </c>
      <c r="B1010" s="2">
        <f>"20100185440"</f>
        <v/>
      </c>
      <c r="C1010" t="inlineStr">
        <is>
          <t>DAZZLE ME Cover Me Serum Foundation Spf35 Pa+++ N04 Medium Buff 25g</t>
        </is>
      </c>
      <c r="D1010" t="inlineStr">
        <is>
          <t>Miss Glam Damar</t>
        </is>
      </c>
      <c r="E1010" t="n">
        <v>18</v>
      </c>
      <c r="F1010" t="n">
        <v>0.03</v>
      </c>
      <c r="G1010" t="n">
        <v>0</v>
      </c>
      <c r="H1010" t="n">
        <v>3</v>
      </c>
      <c r="I1010" t="n">
        <v>11</v>
      </c>
      <c r="J1010" t="n">
        <v>1</v>
      </c>
      <c r="K1010" t="n">
        <v>0</v>
      </c>
      <c r="L1010" t="n">
        <v>55921</v>
      </c>
      <c r="M1010" t="n">
        <v>69900</v>
      </c>
      <c r="N1010" t="n">
        <v>91</v>
      </c>
      <c r="O1010" t="n">
        <v>0.91</v>
      </c>
      <c r="P1010" t="n">
        <v>0</v>
      </c>
      <c r="Q1010" t="n">
        <v>0.03</v>
      </c>
      <c r="R1010" t="n">
        <v>0</v>
      </c>
      <c r="S1010" t="n">
        <v>2097</v>
      </c>
      <c r="T1010" t="n">
        <v>0</v>
      </c>
      <c r="U1010" t="n">
        <v>1</v>
      </c>
      <c r="V1010" t="n">
        <v>30</v>
      </c>
      <c r="W1010" t="n">
        <v>1</v>
      </c>
      <c r="X1010" t="n">
        <v>600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12803</v>
      </c>
      <c r="AG1010" t="n">
        <v>2122</v>
      </c>
      <c r="AH1010" t="inlineStr">
        <is>
          <t>PT. SINAR PADANG LESTARI - PPN (PDG)</t>
        </is>
      </c>
      <c r="AI1010" t="n">
        <v>1422</v>
      </c>
      <c r="AJ1010" t="inlineStr">
        <is>
          <t>DAZZLE ME</t>
        </is>
      </c>
      <c r="AK1010" t="n">
        <v>21</v>
      </c>
      <c r="AL1010" t="inlineStr">
        <is>
          <t>Miss Glam Damar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DAZZLE ME</t>
        </is>
      </c>
      <c r="B1011" s="2">
        <f>"20100185741"</f>
        <v/>
      </c>
      <c r="C1011" t="inlineStr">
        <is>
          <t>DAZZLE ME Cover Me Serum Powder Foundation Spf35 Pa+++ C04 Pink Beige 6g</t>
        </is>
      </c>
      <c r="D1011" t="inlineStr">
        <is>
          <t>Miss Glam Damar</t>
        </is>
      </c>
      <c r="E1011" t="n">
        <v>35</v>
      </c>
      <c r="F1011" t="n">
        <v>0.02</v>
      </c>
      <c r="G1011" t="n">
        <v>0</v>
      </c>
      <c r="H1011" t="n">
        <v>3</v>
      </c>
      <c r="I1011" t="n">
        <v>11</v>
      </c>
      <c r="J1011" t="n">
        <v>1</v>
      </c>
      <c r="K1011" t="n">
        <v>0</v>
      </c>
      <c r="L1011" t="n">
        <v>52720</v>
      </c>
      <c r="M1011" t="n">
        <v>65900</v>
      </c>
      <c r="N1011" t="n">
        <v>91</v>
      </c>
      <c r="O1011" t="n">
        <v>0.91</v>
      </c>
      <c r="P1011" t="n">
        <v>0</v>
      </c>
      <c r="Q1011" t="n">
        <v>0.02</v>
      </c>
      <c r="R1011" t="n">
        <v>0</v>
      </c>
      <c r="S1011" t="n">
        <v>1318</v>
      </c>
      <c r="T1011" t="n">
        <v>0</v>
      </c>
      <c r="U1011" t="n">
        <v>1</v>
      </c>
      <c r="V1011" t="n">
        <v>30</v>
      </c>
      <c r="W1011" t="n">
        <v>1</v>
      </c>
      <c r="X1011" t="n">
        <v>1750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12803</v>
      </c>
      <c r="AG1011" t="n">
        <v>2122</v>
      </c>
      <c r="AH1011" t="inlineStr">
        <is>
          <t>PT. SINAR PADANG LESTARI - PPN (PDG)</t>
        </is>
      </c>
      <c r="AI1011" t="n">
        <v>1422</v>
      </c>
      <c r="AJ1011" t="inlineStr">
        <is>
          <t>DAZZLE ME</t>
        </is>
      </c>
      <c r="AK1011" t="n">
        <v>21</v>
      </c>
      <c r="AL1011" t="inlineStr">
        <is>
          <t>Miss Glam Damar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DAZZLE ME</t>
        </is>
      </c>
      <c r="B1012" s="2">
        <f>"20100185926"</f>
        <v/>
      </c>
      <c r="C1012" t="inlineStr">
        <is>
          <t>DAZZLE ME Cover Me Serum Powder Foundation Spf35 Pa+++ N04 Medium Buff 6g</t>
        </is>
      </c>
      <c r="D1012" t="inlineStr">
        <is>
          <t>Miss Glam Damar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91</v>
      </c>
      <c r="O1012" t="n">
        <v>0.91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30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12803</v>
      </c>
      <c r="AG1012" t="n">
        <v>2122</v>
      </c>
      <c r="AH1012" t="inlineStr">
        <is>
          <t>PT. SINAR PADANG LESTARI - PPN (PDG)</t>
        </is>
      </c>
      <c r="AI1012" t="n">
        <v>1422</v>
      </c>
      <c r="AJ1012" t="inlineStr">
        <is>
          <t>DAZZLE ME</t>
        </is>
      </c>
      <c r="AK1012" t="n">
        <v>21</v>
      </c>
      <c r="AL1012" t="inlineStr">
        <is>
          <t>Miss Glam Damar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DAZZLE ME</t>
        </is>
      </c>
      <c r="B1013" s="2">
        <f>"8991748001539"</f>
        <v/>
      </c>
      <c r="C1013" t="inlineStr">
        <is>
          <t>DAZZLE ME Day By Day Foundation C304 Pink Nude 25ml</t>
        </is>
      </c>
      <c r="D1013" t="inlineStr">
        <is>
          <t>Miss Glam Damar</t>
        </is>
      </c>
      <c r="E1013" t="n">
        <v>2</v>
      </c>
      <c r="F1013" t="n">
        <v>0.02</v>
      </c>
      <c r="G1013" t="n">
        <v>1</v>
      </c>
      <c r="H1013" t="n">
        <v>3</v>
      </c>
      <c r="I1013" t="n">
        <v>11</v>
      </c>
      <c r="J1013" t="n">
        <v>3</v>
      </c>
      <c r="K1013" t="n">
        <v>0</v>
      </c>
      <c r="L1013" t="n">
        <v>41520</v>
      </c>
      <c r="M1013" t="n">
        <v>51900</v>
      </c>
      <c r="N1013" t="n">
        <v>91</v>
      </c>
      <c r="O1013" t="n">
        <v>0.91</v>
      </c>
      <c r="P1013" t="n">
        <v>0</v>
      </c>
      <c r="Q1013" t="n">
        <v>0.02</v>
      </c>
      <c r="R1013" t="n">
        <v>1</v>
      </c>
      <c r="S1013" t="n">
        <v>1038</v>
      </c>
      <c r="T1013" t="n">
        <v>11</v>
      </c>
      <c r="U1013" t="n">
        <v>12</v>
      </c>
      <c r="V1013" t="n">
        <v>30</v>
      </c>
      <c r="W1013" t="n">
        <v>1</v>
      </c>
      <c r="X1013" t="n">
        <v>100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12803</v>
      </c>
      <c r="AG1013" t="n">
        <v>2122</v>
      </c>
      <c r="AH1013" t="inlineStr">
        <is>
          <t>PT. SINAR PADANG LESTARI - PPN (PDG)</t>
        </is>
      </c>
      <c r="AI1013" t="n">
        <v>1422</v>
      </c>
      <c r="AJ1013" t="inlineStr">
        <is>
          <t>DAZZLE ME</t>
        </is>
      </c>
      <c r="AK1013" t="n">
        <v>21</v>
      </c>
      <c r="AL1013" t="inlineStr">
        <is>
          <t>Miss Glam Damar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DAZZLE ME</t>
        </is>
      </c>
      <c r="B1014" s="2">
        <f>"8991748005650"</f>
        <v/>
      </c>
      <c r="C1014" t="inlineStr">
        <is>
          <t>DAZZLE ME Day By Day Foundation W520 Warm Beige</t>
        </is>
      </c>
      <c r="D1014" t="inlineStr">
        <is>
          <t>Miss Glam Damar</t>
        </is>
      </c>
      <c r="E1014" t="n">
        <v>1</v>
      </c>
      <c r="F1014" t="n">
        <v>0.02</v>
      </c>
      <c r="G1014" t="n">
        <v>1</v>
      </c>
      <c r="H1014" t="n">
        <v>3</v>
      </c>
      <c r="I1014" t="n">
        <v>11</v>
      </c>
      <c r="J1014" t="n">
        <v>3</v>
      </c>
      <c r="K1014" t="n">
        <v>0</v>
      </c>
      <c r="L1014" t="n">
        <v>41520</v>
      </c>
      <c r="M1014" t="n">
        <v>51900</v>
      </c>
      <c r="N1014" t="n">
        <v>91</v>
      </c>
      <c r="O1014" t="n">
        <v>0.91</v>
      </c>
      <c r="P1014" t="n">
        <v>0</v>
      </c>
      <c r="Q1014" t="n">
        <v>0.02</v>
      </c>
      <c r="R1014" t="n">
        <v>1</v>
      </c>
      <c r="S1014" t="n">
        <v>1038</v>
      </c>
      <c r="T1014" t="n">
        <v>11</v>
      </c>
      <c r="U1014" t="n">
        <v>12</v>
      </c>
      <c r="V1014" t="n">
        <v>30</v>
      </c>
      <c r="W1014" t="n">
        <v>1</v>
      </c>
      <c r="X1014" t="n">
        <v>50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12803</v>
      </c>
      <c r="AG1014" t="n">
        <v>2122</v>
      </c>
      <c r="AH1014" t="inlineStr">
        <is>
          <t>PT. SINAR PADANG LESTARI - PPN (PDG)</t>
        </is>
      </c>
      <c r="AI1014" t="n">
        <v>1422</v>
      </c>
      <c r="AJ1014" t="inlineStr">
        <is>
          <t>DAZZLE ME</t>
        </is>
      </c>
      <c r="AK1014" t="n">
        <v>21</v>
      </c>
      <c r="AL1014" t="inlineStr">
        <is>
          <t>Miss Glam Damar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DAZZLE ME</t>
        </is>
      </c>
      <c r="B1015" s="2">
        <f>"8991748001546"</f>
        <v/>
      </c>
      <c r="C1015" t="inlineStr">
        <is>
          <t>DAZZLE ME Day By Day Foundation W805 Yellow Beige 25ml</t>
        </is>
      </c>
      <c r="D1015" t="inlineStr">
        <is>
          <t>Miss Glam Damar</t>
        </is>
      </c>
      <c r="E1015" t="n">
        <v>5</v>
      </c>
      <c r="F1015" t="n">
        <v>0.03</v>
      </c>
      <c r="G1015" t="n">
        <v>1</v>
      </c>
      <c r="H1015" t="n">
        <v>3</v>
      </c>
      <c r="I1015" t="n">
        <v>11</v>
      </c>
      <c r="J1015" t="n">
        <v>3</v>
      </c>
      <c r="K1015" t="n">
        <v>0</v>
      </c>
      <c r="L1015" t="n">
        <v>41520</v>
      </c>
      <c r="M1015" t="n">
        <v>51900</v>
      </c>
      <c r="N1015" t="n">
        <v>91</v>
      </c>
      <c r="O1015" t="n">
        <v>0.91</v>
      </c>
      <c r="P1015" t="n">
        <v>0</v>
      </c>
      <c r="Q1015" t="n">
        <v>0.03</v>
      </c>
      <c r="R1015" t="n">
        <v>1</v>
      </c>
      <c r="S1015" t="n">
        <v>1557</v>
      </c>
      <c r="T1015" t="n">
        <v>11</v>
      </c>
      <c r="U1015" t="n">
        <v>12</v>
      </c>
      <c r="V1015" t="n">
        <v>30</v>
      </c>
      <c r="W1015" t="n">
        <v>1</v>
      </c>
      <c r="X1015" t="n">
        <v>166.6666666666667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12803</v>
      </c>
      <c r="AG1015" t="n">
        <v>2122</v>
      </c>
      <c r="AH1015" t="inlineStr">
        <is>
          <t>PT. SINAR PADANG LESTARI - PPN (PDG)</t>
        </is>
      </c>
      <c r="AI1015" t="n">
        <v>1422</v>
      </c>
      <c r="AJ1015" t="inlineStr">
        <is>
          <t>DAZZLE ME</t>
        </is>
      </c>
      <c r="AK1015" t="n">
        <v>21</v>
      </c>
      <c r="AL1015" t="inlineStr">
        <is>
          <t>Miss Glam Damar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DAZZLE ME</t>
        </is>
      </c>
      <c r="B1016" s="2">
        <f>"8859588109597"</f>
        <v/>
      </c>
      <c r="C1016" t="inlineStr">
        <is>
          <t>DAZZLE ME Double Kill Two Way Cake Powder N04 Medium Buff 9gr</t>
        </is>
      </c>
      <c r="D1016" t="inlineStr">
        <is>
          <t>Miss Glam Damar</t>
        </is>
      </c>
      <c r="E1016" t="n">
        <v>10</v>
      </c>
      <c r="F1016" t="n">
        <v>0.04550000000000001</v>
      </c>
      <c r="G1016" t="n">
        <v>1.82</v>
      </c>
      <c r="H1016" t="n">
        <v>3</v>
      </c>
      <c r="I1016" t="n">
        <v>11</v>
      </c>
      <c r="J1016" t="n">
        <v>3</v>
      </c>
      <c r="K1016" t="n">
        <v>0</v>
      </c>
      <c r="L1016" t="n">
        <v>43920</v>
      </c>
      <c r="M1016" t="n">
        <v>54900</v>
      </c>
      <c r="N1016" t="n">
        <v>91</v>
      </c>
      <c r="O1016" t="n">
        <v>0.91</v>
      </c>
      <c r="P1016" t="n">
        <v>1</v>
      </c>
      <c r="Q1016" t="n">
        <v>0.03</v>
      </c>
      <c r="R1016" t="n">
        <v>1</v>
      </c>
      <c r="S1016" t="n">
        <v>2497.95</v>
      </c>
      <c r="T1016" t="n">
        <v>20</v>
      </c>
      <c r="U1016" t="n">
        <v>21</v>
      </c>
      <c r="V1016" t="n">
        <v>30</v>
      </c>
      <c r="W1016" t="n">
        <v>2</v>
      </c>
      <c r="X1016" t="n">
        <v>219.7802197802198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12803</v>
      </c>
      <c r="AG1016" t="n">
        <v>2122</v>
      </c>
      <c r="AH1016" t="inlineStr">
        <is>
          <t>PT. SINAR PADANG LESTARI - PPN (PDG)</t>
        </is>
      </c>
      <c r="AI1016" t="n">
        <v>1422</v>
      </c>
      <c r="AJ1016" t="inlineStr">
        <is>
          <t>DAZZLE ME</t>
        </is>
      </c>
      <c r="AK1016" t="n">
        <v>21</v>
      </c>
      <c r="AL1016" t="inlineStr">
        <is>
          <t>Miss Glam Damar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DAZZLE ME</t>
        </is>
      </c>
      <c r="B1017" s="2">
        <f>"8859588111798"</f>
        <v/>
      </c>
      <c r="C1017" t="inlineStr">
        <is>
          <t>DAZZLE ME Get A Grip Dewy Fix Setting Spray 60ml</t>
        </is>
      </c>
      <c r="D1017" t="inlineStr">
        <is>
          <t>Miss Glam Damar</t>
        </is>
      </c>
      <c r="E1017" t="n">
        <v>85</v>
      </c>
      <c r="F1017" t="n">
        <v>6.1516</v>
      </c>
      <c r="G1017" t="n">
        <v>14.56</v>
      </c>
      <c r="H1017" t="n">
        <v>3</v>
      </c>
      <c r="I1017" t="n">
        <v>11</v>
      </c>
      <c r="J1017" t="n">
        <v>3</v>
      </c>
      <c r="K1017" t="n">
        <v>0</v>
      </c>
      <c r="L1017" t="n">
        <v>34320</v>
      </c>
      <c r="M1017" t="n">
        <v>42900</v>
      </c>
      <c r="N1017" t="n">
        <v>91</v>
      </c>
      <c r="O1017" t="n">
        <v>0.91</v>
      </c>
      <c r="P1017" t="n">
        <v>1</v>
      </c>
      <c r="Q1017" t="n">
        <v>5.25</v>
      </c>
      <c r="R1017" t="n">
        <v>16</v>
      </c>
      <c r="S1017" t="n">
        <v>263903.64</v>
      </c>
      <c r="T1017" t="n">
        <v>142</v>
      </c>
      <c r="U1017" t="n">
        <v>161</v>
      </c>
      <c r="V1017" t="n">
        <v>30</v>
      </c>
      <c r="W1017" t="n">
        <v>185</v>
      </c>
      <c r="X1017" t="n">
        <v>13.81754340334222</v>
      </c>
      <c r="Y1017" t="n">
        <v>1</v>
      </c>
      <c r="Z1017" t="n">
        <v>100</v>
      </c>
      <c r="AA1017" t="n">
        <v>0</v>
      </c>
      <c r="AB1017" t="n">
        <v>100</v>
      </c>
      <c r="AC1017" t="n">
        <v>100</v>
      </c>
      <c r="AD1017" t="n">
        <v>0</v>
      </c>
      <c r="AE1017" t="n">
        <v>3432000</v>
      </c>
      <c r="AF1017" t="n">
        <v>12803</v>
      </c>
      <c r="AG1017" t="n">
        <v>2122</v>
      </c>
      <c r="AH1017" t="inlineStr">
        <is>
          <t>PT. SINAR PADANG LESTARI - PPN (PDG)</t>
        </is>
      </c>
      <c r="AI1017" t="n">
        <v>1422</v>
      </c>
      <c r="AJ1017" t="inlineStr">
        <is>
          <t>DAZZLE ME</t>
        </is>
      </c>
      <c r="AK1017" t="n">
        <v>21</v>
      </c>
      <c r="AL1017" t="inlineStr">
        <is>
          <t>Miss Glam Damar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DAZZLE ME</t>
        </is>
      </c>
      <c r="B1018" s="2">
        <f>"8859588111781"</f>
        <v/>
      </c>
      <c r="C1018" t="inlineStr">
        <is>
          <t>DAZZLE ME Get A Grip Make Up Setting Spray Mate Fix 60ml</t>
        </is>
      </c>
      <c r="D1018" t="inlineStr">
        <is>
          <t>Miss Glam Damar</t>
        </is>
      </c>
      <c r="E1018" t="n">
        <v>71</v>
      </c>
      <c r="F1018" t="n">
        <v>4.3225</v>
      </c>
      <c r="G1018" t="n">
        <v>11.83</v>
      </c>
      <c r="H1018" t="n">
        <v>3</v>
      </c>
      <c r="I1018" t="n">
        <v>11</v>
      </c>
      <c r="J1018" t="n">
        <v>3</v>
      </c>
      <c r="K1018" t="n">
        <v>0</v>
      </c>
      <c r="L1018" t="n">
        <v>34320</v>
      </c>
      <c r="M1018" t="n">
        <v>42900</v>
      </c>
      <c r="N1018" t="n">
        <v>91</v>
      </c>
      <c r="O1018" t="n">
        <v>0.91</v>
      </c>
      <c r="P1018" t="n">
        <v>1</v>
      </c>
      <c r="Q1018" t="n">
        <v>3.36</v>
      </c>
      <c r="R1018" t="n">
        <v>9</v>
      </c>
      <c r="S1018" t="n">
        <v>185435.25</v>
      </c>
      <c r="T1018" t="n">
        <v>118</v>
      </c>
      <c r="U1018" t="n">
        <v>131</v>
      </c>
      <c r="V1018" t="n">
        <v>30</v>
      </c>
      <c r="W1018" t="n">
        <v>130</v>
      </c>
      <c r="X1018" t="n">
        <v>16.42567958357432</v>
      </c>
      <c r="Y1018" t="n">
        <v>1</v>
      </c>
      <c r="Z1018" t="n">
        <v>59</v>
      </c>
      <c r="AA1018" t="n">
        <v>0</v>
      </c>
      <c r="AB1018" t="n">
        <v>59</v>
      </c>
      <c r="AC1018" t="n">
        <v>59</v>
      </c>
      <c r="AD1018" t="n">
        <v>0</v>
      </c>
      <c r="AE1018" t="n">
        <v>2024880</v>
      </c>
      <c r="AF1018" t="n">
        <v>12803</v>
      </c>
      <c r="AG1018" t="n">
        <v>2122</v>
      </c>
      <c r="AH1018" t="inlineStr">
        <is>
          <t>PT. SINAR PADANG LESTARI - PPN (PDG)</t>
        </is>
      </c>
      <c r="AI1018" t="n">
        <v>1422</v>
      </c>
      <c r="AJ1018" t="inlineStr">
        <is>
          <t>DAZZLE ME</t>
        </is>
      </c>
      <c r="AK1018" t="n">
        <v>21</v>
      </c>
      <c r="AL1018" t="inlineStr">
        <is>
          <t>Miss Glam Damar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DAZZLE ME</t>
        </is>
      </c>
      <c r="B1019" s="2">
        <f>"8859588117035"</f>
        <v/>
      </c>
      <c r="C1019" t="inlineStr">
        <is>
          <t>DAZZLE ME Get A Grip! Make Up Setting Spray Prime + Set Anti-Polution 50 ml</t>
        </is>
      </c>
      <c r="D1019" t="inlineStr">
        <is>
          <t>Miss Glam Damar</t>
        </is>
      </c>
      <c r="E1019" t="n">
        <v>49</v>
      </c>
      <c r="F1019" t="n">
        <v>3.2851</v>
      </c>
      <c r="G1019" t="n">
        <v>10.01</v>
      </c>
      <c r="H1019" t="n">
        <v>3</v>
      </c>
      <c r="I1019" t="n">
        <v>11</v>
      </c>
      <c r="J1019" t="n">
        <v>1</v>
      </c>
      <c r="K1019" t="n">
        <v>0</v>
      </c>
      <c r="L1019" t="n">
        <v>36720</v>
      </c>
      <c r="M1019" t="n">
        <v>45900</v>
      </c>
      <c r="N1019" t="n">
        <v>91</v>
      </c>
      <c r="O1019" t="n">
        <v>0.91</v>
      </c>
      <c r="P1019" t="n">
        <v>1</v>
      </c>
      <c r="Q1019" t="n">
        <v>1.15</v>
      </c>
      <c r="R1019" t="n">
        <v>6</v>
      </c>
      <c r="S1019" t="n">
        <v>150786.09</v>
      </c>
      <c r="T1019" t="n">
        <v>101</v>
      </c>
      <c r="U1019" t="n">
        <v>111</v>
      </c>
      <c r="V1019" t="n">
        <v>30</v>
      </c>
      <c r="W1019" t="n">
        <v>99</v>
      </c>
      <c r="X1019" t="n">
        <v>14.91583209034733</v>
      </c>
      <c r="Y1019" t="n">
        <v>1</v>
      </c>
      <c r="Z1019" t="n">
        <v>50</v>
      </c>
      <c r="AA1019" t="n">
        <v>0</v>
      </c>
      <c r="AB1019" t="n">
        <v>50</v>
      </c>
      <c r="AC1019" t="n">
        <v>50</v>
      </c>
      <c r="AD1019" t="n">
        <v>0</v>
      </c>
      <c r="AE1019" t="n">
        <v>1836000</v>
      </c>
      <c r="AF1019" t="n">
        <v>12803</v>
      </c>
      <c r="AG1019" t="n">
        <v>2122</v>
      </c>
      <c r="AH1019" t="inlineStr">
        <is>
          <t>PT. SINAR PADANG LESTARI - PPN (PDG)</t>
        </is>
      </c>
      <c r="AI1019" t="n">
        <v>1422</v>
      </c>
      <c r="AJ1019" t="inlineStr">
        <is>
          <t>DAZZLE ME</t>
        </is>
      </c>
      <c r="AK1019" t="n">
        <v>21</v>
      </c>
      <c r="AL1019" t="inlineStr">
        <is>
          <t>Miss Glam Damar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DAZZLE ME</t>
        </is>
      </c>
      <c r="B1020" s="2">
        <f>"20101209910"</f>
        <v/>
      </c>
      <c r="C1020" t="inlineStr">
        <is>
          <t>DAZZLE ME Get A Grip! Make Up Setting Spray Prime + Set Anti-Polution 50ml (New)</t>
        </is>
      </c>
      <c r="D1020" t="inlineStr">
        <is>
          <t>Miss Glam Damar</t>
        </is>
      </c>
      <c r="E1020" t="n">
        <v>67</v>
      </c>
      <c r="F1020" t="n">
        <v>0.6006</v>
      </c>
      <c r="G1020" t="n">
        <v>4.55</v>
      </c>
      <c r="H1020" t="n">
        <v>3</v>
      </c>
      <c r="I1020" t="n">
        <v>11</v>
      </c>
      <c r="J1020" t="n">
        <v>1</v>
      </c>
      <c r="K1020" t="n">
        <v>0</v>
      </c>
      <c r="L1020" t="n">
        <v>36720</v>
      </c>
      <c r="M1020" t="n">
        <v>45900</v>
      </c>
      <c r="N1020" t="n">
        <v>91</v>
      </c>
      <c r="O1020" t="n">
        <v>0.91</v>
      </c>
      <c r="P1020" t="n">
        <v>1</v>
      </c>
      <c r="Q1020" t="n">
        <v>1.76</v>
      </c>
      <c r="R1020" t="n">
        <v>7</v>
      </c>
      <c r="S1020" t="n">
        <v>27567.54</v>
      </c>
      <c r="T1020" t="n">
        <v>49</v>
      </c>
      <c r="U1020" t="n">
        <v>51</v>
      </c>
      <c r="V1020" t="n">
        <v>30</v>
      </c>
      <c r="W1020" t="n">
        <v>19</v>
      </c>
      <c r="X1020" t="n">
        <v>111.5551115551116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12803</v>
      </c>
      <c r="AG1020" t="n">
        <v>2122</v>
      </c>
      <c r="AH1020" t="inlineStr">
        <is>
          <t>PT. SINAR PADANG LESTARI - PPN (PDG)</t>
        </is>
      </c>
      <c r="AI1020" t="n">
        <v>1422</v>
      </c>
      <c r="AJ1020" t="inlineStr">
        <is>
          <t>DAZZLE ME</t>
        </is>
      </c>
      <c r="AK1020" t="n">
        <v>21</v>
      </c>
      <c r="AL1020" t="inlineStr">
        <is>
          <t>Miss Glam Damar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DAZZLE ME</t>
        </is>
      </c>
      <c r="B1021" s="2">
        <f>"20101207415"</f>
        <v/>
      </c>
      <c r="C1021" t="inlineStr">
        <is>
          <t>DAZZLE ME Get A Grip! Makeup Setting Spray Acne Soothing 60ml</t>
        </is>
      </c>
      <c r="D1021" t="inlineStr">
        <is>
          <t>Miss Glam Damar</t>
        </is>
      </c>
      <c r="E1021" t="n">
        <v>43</v>
      </c>
      <c r="F1021" t="n">
        <v>1.5925</v>
      </c>
      <c r="G1021" t="n">
        <v>5.46</v>
      </c>
      <c r="H1021" t="n">
        <v>3</v>
      </c>
      <c r="I1021" t="n">
        <v>11</v>
      </c>
      <c r="J1021" t="n">
        <v>3</v>
      </c>
      <c r="K1021" t="n">
        <v>0</v>
      </c>
      <c r="L1021" t="n">
        <v>34320</v>
      </c>
      <c r="M1021" t="n">
        <v>42900</v>
      </c>
      <c r="N1021" t="n">
        <v>91</v>
      </c>
      <c r="O1021" t="n">
        <v>0.91</v>
      </c>
      <c r="P1021" t="n">
        <v>1</v>
      </c>
      <c r="Q1021" t="n">
        <v>1.15</v>
      </c>
      <c r="R1021" t="n">
        <v>4</v>
      </c>
      <c r="S1021" t="n">
        <v>68318.25</v>
      </c>
      <c r="T1021" t="n">
        <v>56</v>
      </c>
      <c r="U1021" t="n">
        <v>61</v>
      </c>
      <c r="V1021" t="n">
        <v>30</v>
      </c>
      <c r="W1021" t="n">
        <v>48</v>
      </c>
      <c r="X1021" t="n">
        <v>27.00156985871272</v>
      </c>
      <c r="Y1021" t="n">
        <v>1</v>
      </c>
      <c r="Z1021" t="n">
        <v>5</v>
      </c>
      <c r="AA1021" t="n">
        <v>0</v>
      </c>
      <c r="AB1021" t="n">
        <v>5</v>
      </c>
      <c r="AC1021" t="n">
        <v>5</v>
      </c>
      <c r="AD1021" t="n">
        <v>0</v>
      </c>
      <c r="AE1021" t="n">
        <v>171600</v>
      </c>
      <c r="AF1021" t="n">
        <v>12803</v>
      </c>
      <c r="AG1021" t="n">
        <v>2122</v>
      </c>
      <c r="AH1021" t="inlineStr">
        <is>
          <t>PT. SINAR PADANG LESTARI - PPN (PDG)</t>
        </is>
      </c>
      <c r="AI1021" t="n">
        <v>1422</v>
      </c>
      <c r="AJ1021" t="inlineStr">
        <is>
          <t>DAZZLE ME</t>
        </is>
      </c>
      <c r="AK1021" t="n">
        <v>21</v>
      </c>
      <c r="AL1021" t="inlineStr">
        <is>
          <t>Miss Glam Damar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DAZZLE ME</t>
        </is>
      </c>
      <c r="B1022" s="2">
        <f>"20101211330"</f>
        <v/>
      </c>
      <c r="C1022" t="inlineStr">
        <is>
          <t>DAZZLE ME Get A Grip! Makeup Setting Spray Hydro Fix 60ml</t>
        </is>
      </c>
      <c r="D1022" t="inlineStr">
        <is>
          <t>Miss Glam Damar</t>
        </is>
      </c>
      <c r="E1022" t="n">
        <v>85</v>
      </c>
      <c r="F1022" t="n">
        <v>0.0273</v>
      </c>
      <c r="G1022" t="n">
        <v>0</v>
      </c>
      <c r="H1022" t="n">
        <v>3</v>
      </c>
      <c r="I1022" t="n">
        <v>11</v>
      </c>
      <c r="J1022" t="n">
        <v>1</v>
      </c>
      <c r="K1022" t="n">
        <v>0</v>
      </c>
      <c r="L1022" t="n">
        <v>34320</v>
      </c>
      <c r="M1022" t="n">
        <v>42900</v>
      </c>
      <c r="N1022" t="n">
        <v>91</v>
      </c>
      <c r="O1022" t="n">
        <v>0.91</v>
      </c>
      <c r="P1022" t="n">
        <v>1</v>
      </c>
      <c r="Q1022" t="n">
        <v>0.02</v>
      </c>
      <c r="R1022" t="n">
        <v>0</v>
      </c>
      <c r="S1022" t="n">
        <v>1171.17</v>
      </c>
      <c r="T1022" t="n">
        <v>0</v>
      </c>
      <c r="U1022" t="n">
        <v>1</v>
      </c>
      <c r="V1022" t="n">
        <v>30</v>
      </c>
      <c r="W1022" t="n">
        <v>1</v>
      </c>
      <c r="X1022" t="n">
        <v>3113.553113553113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12803</v>
      </c>
      <c r="AG1022" t="n">
        <v>2122</v>
      </c>
      <c r="AH1022" t="inlineStr">
        <is>
          <t>PT. SINAR PADANG LESTARI - PPN (PDG)</t>
        </is>
      </c>
      <c r="AI1022" t="n">
        <v>1422</v>
      </c>
      <c r="AJ1022" t="inlineStr">
        <is>
          <t>DAZZLE ME</t>
        </is>
      </c>
      <c r="AK1022" t="n">
        <v>21</v>
      </c>
      <c r="AL1022" t="inlineStr">
        <is>
          <t>Miss Glam Damar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DAZZLE ME</t>
        </is>
      </c>
      <c r="B1023" s="2">
        <f>"8859588113662"</f>
        <v/>
      </c>
      <c r="C1023" t="inlineStr">
        <is>
          <t>DAZZLE ME Ink Matte Lip Cream 005 Lush Ink 2.5ml</t>
        </is>
      </c>
      <c r="D1023" t="inlineStr">
        <is>
          <t>Miss Glam Damar</t>
        </is>
      </c>
      <c r="E1023" t="n">
        <v>3</v>
      </c>
      <c r="F1023" t="n">
        <v>0.2184</v>
      </c>
      <c r="G1023" t="n">
        <v>1.82</v>
      </c>
      <c r="H1023" t="n">
        <v>3</v>
      </c>
      <c r="I1023" t="n">
        <v>11</v>
      </c>
      <c r="J1023" t="n">
        <v>3</v>
      </c>
      <c r="K1023" t="n">
        <v>0</v>
      </c>
      <c r="L1023" t="n">
        <v>17520</v>
      </c>
      <c r="M1023" t="n">
        <v>21900</v>
      </c>
      <c r="N1023" t="n">
        <v>91</v>
      </c>
      <c r="O1023" t="n">
        <v>0.91</v>
      </c>
      <c r="P1023" t="n">
        <v>1</v>
      </c>
      <c r="Q1023" t="n">
        <v>0.08</v>
      </c>
      <c r="R1023" t="n">
        <v>3</v>
      </c>
      <c r="S1023" t="n">
        <v>4782.96</v>
      </c>
      <c r="T1023" t="n">
        <v>20</v>
      </c>
      <c r="U1023" t="n">
        <v>21</v>
      </c>
      <c r="V1023" t="n">
        <v>30</v>
      </c>
      <c r="W1023" t="n">
        <v>7</v>
      </c>
      <c r="X1023" t="n">
        <v>13.73626373626374</v>
      </c>
      <c r="Y1023" t="n">
        <v>1</v>
      </c>
      <c r="Z1023" t="n">
        <v>4</v>
      </c>
      <c r="AA1023" t="n">
        <v>0</v>
      </c>
      <c r="AB1023" t="n">
        <v>4</v>
      </c>
      <c r="AC1023" t="n">
        <v>4</v>
      </c>
      <c r="AD1023" t="n">
        <v>0</v>
      </c>
      <c r="AE1023" t="n">
        <v>70080</v>
      </c>
      <c r="AF1023" t="n">
        <v>12803</v>
      </c>
      <c r="AG1023" t="n">
        <v>2122</v>
      </c>
      <c r="AH1023" t="inlineStr">
        <is>
          <t>PT. SINAR PADANG LESTARI - PPN (PDG)</t>
        </is>
      </c>
      <c r="AI1023" t="n">
        <v>1422</v>
      </c>
      <c r="AJ1023" t="inlineStr">
        <is>
          <t>DAZZLE ME</t>
        </is>
      </c>
      <c r="AK1023" t="n">
        <v>21</v>
      </c>
      <c r="AL1023" t="inlineStr">
        <is>
          <t>Miss Glam Damar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DAZZLE ME</t>
        </is>
      </c>
      <c r="B1024" s="2">
        <f>"8859588115345"</f>
        <v/>
      </c>
      <c r="C1024" t="inlineStr">
        <is>
          <t>DAZZLE ME Ink Matte Lip Cream P01 Peach Ink 2.5ml</t>
        </is>
      </c>
      <c r="D1024" t="inlineStr">
        <is>
          <t>Miss Glam Damar</t>
        </is>
      </c>
      <c r="E1024" t="n">
        <v>13</v>
      </c>
      <c r="F1024" t="n">
        <v>0.1729</v>
      </c>
      <c r="G1024" t="n">
        <v>1.82</v>
      </c>
      <c r="H1024" t="n">
        <v>3</v>
      </c>
      <c r="I1024" t="n">
        <v>11</v>
      </c>
      <c r="J1024" t="n">
        <v>3</v>
      </c>
      <c r="K1024" t="n">
        <v>0</v>
      </c>
      <c r="L1024" t="n">
        <v>17520</v>
      </c>
      <c r="M1024" t="n">
        <v>21900</v>
      </c>
      <c r="N1024" t="n">
        <v>91</v>
      </c>
      <c r="O1024" t="n">
        <v>0.91</v>
      </c>
      <c r="P1024" t="n">
        <v>1</v>
      </c>
      <c r="Q1024" t="n">
        <v>0.19</v>
      </c>
      <c r="R1024" t="n">
        <v>2</v>
      </c>
      <c r="S1024" t="n">
        <v>3786.51</v>
      </c>
      <c r="T1024" t="n">
        <v>20</v>
      </c>
      <c r="U1024" t="n">
        <v>21</v>
      </c>
      <c r="V1024" t="n">
        <v>30</v>
      </c>
      <c r="W1024" t="n">
        <v>6</v>
      </c>
      <c r="X1024" t="n">
        <v>75.18796992481204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12803</v>
      </c>
      <c r="AG1024" t="n">
        <v>2122</v>
      </c>
      <c r="AH1024" t="inlineStr">
        <is>
          <t>PT. SINAR PADANG LESTARI - PPN (PDG)</t>
        </is>
      </c>
      <c r="AI1024" t="n">
        <v>1422</v>
      </c>
      <c r="AJ1024" t="inlineStr">
        <is>
          <t>DAZZLE ME</t>
        </is>
      </c>
      <c r="AK1024" t="n">
        <v>21</v>
      </c>
      <c r="AL1024" t="inlineStr">
        <is>
          <t>Miss Glam Damar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DAZZLE ME</t>
        </is>
      </c>
      <c r="B1025" s="2">
        <f>"203002176327"</f>
        <v/>
      </c>
      <c r="C1025" t="inlineStr">
        <is>
          <t>DAZZLE ME Ink-Gloss Lip Tint B07 Amber-Ink 2.5ml</t>
        </is>
      </c>
      <c r="D1025" t="inlineStr">
        <is>
          <t>Miss Glam Damar</t>
        </is>
      </c>
      <c r="E1025" t="n">
        <v>13</v>
      </c>
      <c r="F1025" t="n">
        <v>0.2002</v>
      </c>
      <c r="G1025" t="n">
        <v>1.82</v>
      </c>
      <c r="H1025" t="n">
        <v>3</v>
      </c>
      <c r="I1025" t="n">
        <v>11</v>
      </c>
      <c r="J1025" t="n">
        <v>3</v>
      </c>
      <c r="K1025" t="n">
        <v>0</v>
      </c>
      <c r="L1025" t="n">
        <v>17519</v>
      </c>
      <c r="M1025" t="n">
        <v>21900</v>
      </c>
      <c r="N1025" t="n">
        <v>91</v>
      </c>
      <c r="O1025" t="n">
        <v>0.91</v>
      </c>
      <c r="P1025" t="n">
        <v>1</v>
      </c>
      <c r="Q1025" t="n">
        <v>0.19</v>
      </c>
      <c r="R1025" t="n">
        <v>2</v>
      </c>
      <c r="S1025" t="n">
        <v>4384.38</v>
      </c>
      <c r="T1025" t="n">
        <v>20</v>
      </c>
      <c r="U1025" t="n">
        <v>21</v>
      </c>
      <c r="V1025" t="n">
        <v>30</v>
      </c>
      <c r="W1025" t="n">
        <v>7</v>
      </c>
      <c r="X1025" t="n">
        <v>64.93506493506493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12803</v>
      </c>
      <c r="AG1025" t="n">
        <v>2122</v>
      </c>
      <c r="AH1025" t="inlineStr">
        <is>
          <t>PT. SINAR PADANG LESTARI - PPN (PDG)</t>
        </is>
      </c>
      <c r="AI1025" t="n">
        <v>1422</v>
      </c>
      <c r="AJ1025" t="inlineStr">
        <is>
          <t>DAZZLE ME</t>
        </is>
      </c>
      <c r="AK1025" t="n">
        <v>21</v>
      </c>
      <c r="AL1025" t="inlineStr">
        <is>
          <t>Miss Glam Damar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DAZZLE ME</t>
        </is>
      </c>
      <c r="B1026" s="2">
        <f>"8859588112269"</f>
        <v/>
      </c>
      <c r="C1026" t="inlineStr">
        <is>
          <t>DAZZLE Me Ink-Gloss Lip Tint O06 Fresh-Ink 2.5ml</t>
        </is>
      </c>
      <c r="D1026" t="inlineStr">
        <is>
          <t>Miss Glam Damar</t>
        </is>
      </c>
      <c r="E1026" t="n">
        <v>4</v>
      </c>
      <c r="F1026" t="n">
        <v>0.3367</v>
      </c>
      <c r="G1026" t="n">
        <v>2.73</v>
      </c>
      <c r="H1026" t="n">
        <v>3</v>
      </c>
      <c r="I1026" t="n">
        <v>11</v>
      </c>
      <c r="J1026" t="n">
        <v>3</v>
      </c>
      <c r="K1026" t="n">
        <v>0</v>
      </c>
      <c r="L1026" t="n">
        <v>17519</v>
      </c>
      <c r="M1026" t="n">
        <v>21900</v>
      </c>
      <c r="N1026" t="n">
        <v>91</v>
      </c>
      <c r="O1026" t="n">
        <v>0.91</v>
      </c>
      <c r="P1026" t="n">
        <v>1</v>
      </c>
      <c r="Q1026" t="n">
        <v>0.24</v>
      </c>
      <c r="R1026" t="n">
        <v>3</v>
      </c>
      <c r="S1026" t="n">
        <v>7373.73</v>
      </c>
      <c r="T1026" t="n">
        <v>30</v>
      </c>
      <c r="U1026" t="n">
        <v>32</v>
      </c>
      <c r="V1026" t="n">
        <v>30</v>
      </c>
      <c r="W1026" t="n">
        <v>11</v>
      </c>
      <c r="X1026" t="n">
        <v>11.88001188001188</v>
      </c>
      <c r="Y1026" t="n">
        <v>1</v>
      </c>
      <c r="Z1026" t="n">
        <v>7</v>
      </c>
      <c r="AA1026" t="n">
        <v>0</v>
      </c>
      <c r="AB1026" t="n">
        <v>7</v>
      </c>
      <c r="AC1026" t="n">
        <v>7</v>
      </c>
      <c r="AD1026" t="n">
        <v>0</v>
      </c>
      <c r="AE1026" t="n">
        <v>122633</v>
      </c>
      <c r="AF1026" t="n">
        <v>12803</v>
      </c>
      <c r="AG1026" t="n">
        <v>2122</v>
      </c>
      <c r="AH1026" t="inlineStr">
        <is>
          <t>PT. SINAR PADANG LESTARI - PPN (PDG)</t>
        </is>
      </c>
      <c r="AI1026" t="n">
        <v>1422</v>
      </c>
      <c r="AJ1026" t="inlineStr">
        <is>
          <t>DAZZLE ME</t>
        </is>
      </c>
      <c r="AK1026" t="n">
        <v>21</v>
      </c>
      <c r="AL1026" t="inlineStr">
        <is>
          <t>Miss Glam Damar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DAZZLE ME</t>
        </is>
      </c>
      <c r="B1027" s="2">
        <f>"203002176460"</f>
        <v/>
      </c>
      <c r="C1027" t="inlineStr">
        <is>
          <t>DAZZLE ME Ink-Gloss Lip Tint R02 Allure-Ink 2.5ml</t>
        </is>
      </c>
      <c r="D1027" t="inlineStr">
        <is>
          <t>Miss Glam Damar</t>
        </is>
      </c>
      <c r="E1027" t="n">
        <v>10</v>
      </c>
      <c r="F1027" t="n">
        <v>0.2184</v>
      </c>
      <c r="G1027" t="n">
        <v>2.73</v>
      </c>
      <c r="H1027" t="n">
        <v>3</v>
      </c>
      <c r="I1027" t="n">
        <v>11</v>
      </c>
      <c r="J1027" t="n">
        <v>3</v>
      </c>
      <c r="K1027" t="n">
        <v>0</v>
      </c>
      <c r="L1027" t="n">
        <v>17519</v>
      </c>
      <c r="M1027" t="n">
        <v>21900</v>
      </c>
      <c r="N1027" t="n">
        <v>91</v>
      </c>
      <c r="O1027" t="n">
        <v>0.91</v>
      </c>
      <c r="P1027" t="n">
        <v>1</v>
      </c>
      <c r="Q1027" t="n">
        <v>0.32</v>
      </c>
      <c r="R1027" t="n">
        <v>3</v>
      </c>
      <c r="S1027" t="n">
        <v>4782.96</v>
      </c>
      <c r="T1027" t="n">
        <v>30</v>
      </c>
      <c r="U1027" t="n">
        <v>31</v>
      </c>
      <c r="V1027" t="n">
        <v>30</v>
      </c>
      <c r="W1027" t="n">
        <v>7</v>
      </c>
      <c r="X1027" t="n">
        <v>45.78754578754579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12803</v>
      </c>
      <c r="AG1027" t="n">
        <v>2122</v>
      </c>
      <c r="AH1027" t="inlineStr">
        <is>
          <t>PT. SINAR PADANG LESTARI - PPN (PDG)</t>
        </is>
      </c>
      <c r="AI1027" t="n">
        <v>1422</v>
      </c>
      <c r="AJ1027" t="inlineStr">
        <is>
          <t>DAZZLE ME</t>
        </is>
      </c>
      <c r="AK1027" t="n">
        <v>21</v>
      </c>
      <c r="AL1027" t="inlineStr">
        <is>
          <t>Miss Glam Damar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DAZZLE ME</t>
        </is>
      </c>
      <c r="B1028" s="2">
        <f>"8859588112238"</f>
        <v/>
      </c>
      <c r="C1028" t="inlineStr">
        <is>
          <t>DAZZLE Me Ink-Gloss Lip Tint R03 Femme-Ink 2.5ml</t>
        </is>
      </c>
      <c r="D1028" t="inlineStr">
        <is>
          <t>Miss Glam Damar</t>
        </is>
      </c>
      <c r="E1028" t="n">
        <v>8</v>
      </c>
      <c r="F1028" t="n">
        <v>0.4823000000000001</v>
      </c>
      <c r="G1028" t="n">
        <v>2.73</v>
      </c>
      <c r="H1028" t="n">
        <v>3</v>
      </c>
      <c r="I1028" t="n">
        <v>11</v>
      </c>
      <c r="J1028" t="n">
        <v>3</v>
      </c>
      <c r="K1028" t="n">
        <v>0</v>
      </c>
      <c r="L1028" t="n">
        <v>17519</v>
      </c>
      <c r="M1028" t="n">
        <v>21900</v>
      </c>
      <c r="N1028" t="n">
        <v>91</v>
      </c>
      <c r="O1028" t="n">
        <v>0.91</v>
      </c>
      <c r="P1028" t="n">
        <v>1</v>
      </c>
      <c r="Q1028" t="n">
        <v>0.14</v>
      </c>
      <c r="R1028" t="n">
        <v>2</v>
      </c>
      <c r="S1028" t="n">
        <v>10562.37</v>
      </c>
      <c r="T1028" t="n">
        <v>29</v>
      </c>
      <c r="U1028" t="n">
        <v>31</v>
      </c>
      <c r="V1028" t="n">
        <v>30</v>
      </c>
      <c r="W1028" t="n">
        <v>15</v>
      </c>
      <c r="X1028" t="n">
        <v>16.58718639850715</v>
      </c>
      <c r="Y1028" t="n">
        <v>1</v>
      </c>
      <c r="Z1028" t="n">
        <v>7</v>
      </c>
      <c r="AA1028" t="n">
        <v>0</v>
      </c>
      <c r="AB1028" t="n">
        <v>7</v>
      </c>
      <c r="AC1028" t="n">
        <v>7</v>
      </c>
      <c r="AD1028" t="n">
        <v>0</v>
      </c>
      <c r="AE1028" t="n">
        <v>122633</v>
      </c>
      <c r="AF1028" t="n">
        <v>12803</v>
      </c>
      <c r="AG1028" t="n">
        <v>2122</v>
      </c>
      <c r="AH1028" t="inlineStr">
        <is>
          <t>PT. SINAR PADANG LESTARI - PPN (PDG)</t>
        </is>
      </c>
      <c r="AI1028" t="n">
        <v>1422</v>
      </c>
      <c r="AJ1028" t="inlineStr">
        <is>
          <t>DAZZLE ME</t>
        </is>
      </c>
      <c r="AK1028" t="n">
        <v>21</v>
      </c>
      <c r="AL1028" t="inlineStr">
        <is>
          <t>Miss Glam Damar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DAZZLE ME</t>
        </is>
      </c>
      <c r="B1029" s="2">
        <f>"203002176241"</f>
        <v/>
      </c>
      <c r="C1029" t="inlineStr">
        <is>
          <t>DAZZLE ME Ink-Gloss Lip Tint R04 Toasty-Ink 2.5ml</t>
        </is>
      </c>
      <c r="D1029" t="inlineStr">
        <is>
          <t>Miss Glam Damar</t>
        </is>
      </c>
      <c r="E1029" t="n">
        <v>6</v>
      </c>
      <c r="F1029" t="n">
        <v>0.1365</v>
      </c>
      <c r="G1029" t="n">
        <v>0.91</v>
      </c>
      <c r="H1029" t="n">
        <v>3</v>
      </c>
      <c r="I1029" t="n">
        <v>11</v>
      </c>
      <c r="J1029" t="n">
        <v>3</v>
      </c>
      <c r="K1029" t="n">
        <v>0</v>
      </c>
      <c r="L1029" t="n">
        <v>17519</v>
      </c>
      <c r="M1029" t="n">
        <v>21900</v>
      </c>
      <c r="N1029" t="n">
        <v>91</v>
      </c>
      <c r="O1029" t="n">
        <v>0.91</v>
      </c>
      <c r="P1029" t="n">
        <v>1</v>
      </c>
      <c r="Q1029" t="n">
        <v>0.08</v>
      </c>
      <c r="R1029" t="n">
        <v>1</v>
      </c>
      <c r="S1029" t="n">
        <v>2989.35</v>
      </c>
      <c r="T1029" t="n">
        <v>10</v>
      </c>
      <c r="U1029" t="n">
        <v>11</v>
      </c>
      <c r="V1029" t="n">
        <v>30</v>
      </c>
      <c r="W1029" t="n">
        <v>5</v>
      </c>
      <c r="X1029" t="n">
        <v>43.95604395604396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12803</v>
      </c>
      <c r="AG1029" t="n">
        <v>2122</v>
      </c>
      <c r="AH1029" t="inlineStr">
        <is>
          <t>PT. SINAR PADANG LESTARI - PPN (PDG)</t>
        </is>
      </c>
      <c r="AI1029" t="n">
        <v>1422</v>
      </c>
      <c r="AJ1029" t="inlineStr">
        <is>
          <t>DAZZLE ME</t>
        </is>
      </c>
      <c r="AK1029" t="n">
        <v>21</v>
      </c>
      <c r="AL1029" t="inlineStr">
        <is>
          <t>Miss Glam Damar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DAZZLE ME</t>
        </is>
      </c>
      <c r="B1030" s="2">
        <f>"8991748005353"</f>
        <v/>
      </c>
      <c r="C1030" t="inlineStr">
        <is>
          <t>DAZZLE ME Ink-Licious Lip Tint O113 Liked 2,5 gr</t>
        </is>
      </c>
      <c r="D1030" t="inlineStr">
        <is>
          <t>Miss Glam Damar</t>
        </is>
      </c>
      <c r="E1030" t="n">
        <v>2</v>
      </c>
      <c r="F1030" t="n">
        <v>0.03</v>
      </c>
      <c r="G1030" t="n">
        <v>1</v>
      </c>
      <c r="H1030" t="n">
        <v>3</v>
      </c>
      <c r="I1030" t="n">
        <v>11</v>
      </c>
      <c r="J1030" t="n">
        <v>3</v>
      </c>
      <c r="K1030" t="n">
        <v>0</v>
      </c>
      <c r="L1030" t="n">
        <v>16720</v>
      </c>
      <c r="M1030" t="n">
        <v>20900</v>
      </c>
      <c r="N1030" t="n">
        <v>91</v>
      </c>
      <c r="O1030" t="n">
        <v>0.91</v>
      </c>
      <c r="P1030" t="n">
        <v>0</v>
      </c>
      <c r="Q1030" t="n">
        <v>0.03</v>
      </c>
      <c r="R1030" t="n">
        <v>1</v>
      </c>
      <c r="S1030" t="n">
        <v>627</v>
      </c>
      <c r="T1030" t="n">
        <v>11</v>
      </c>
      <c r="U1030" t="n">
        <v>12</v>
      </c>
      <c r="V1030" t="n">
        <v>30</v>
      </c>
      <c r="W1030" t="n">
        <v>1</v>
      </c>
      <c r="X1030" t="n">
        <v>66.66666666666667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12803</v>
      </c>
      <c r="AG1030" t="n">
        <v>2122</v>
      </c>
      <c r="AH1030" t="inlineStr">
        <is>
          <t>PT. SINAR PADANG LESTARI - PPN (PDG)</t>
        </is>
      </c>
      <c r="AI1030" t="n">
        <v>1422</v>
      </c>
      <c r="AJ1030" t="inlineStr">
        <is>
          <t>DAZZLE ME</t>
        </is>
      </c>
      <c r="AK1030" t="n">
        <v>21</v>
      </c>
      <c r="AL1030" t="inlineStr">
        <is>
          <t>Miss Glam Damar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DAZZLE ME</t>
        </is>
      </c>
      <c r="B1031" s="2">
        <f>"8991748005322"</f>
        <v/>
      </c>
      <c r="C1031" t="inlineStr">
        <is>
          <t>DAZZLE ME Ink-Licious Lip Tint R441 Rosie 2,5gr</t>
        </is>
      </c>
      <c r="D1031" t="inlineStr">
        <is>
          <t>Miss Glam Damar</t>
        </is>
      </c>
      <c r="E1031" t="n">
        <v>5</v>
      </c>
      <c r="F1031" t="n">
        <v>0.02</v>
      </c>
      <c r="G1031" t="n">
        <v>1</v>
      </c>
      <c r="H1031" t="n">
        <v>3</v>
      </c>
      <c r="I1031" t="n">
        <v>11</v>
      </c>
      <c r="J1031" t="n">
        <v>3</v>
      </c>
      <c r="K1031" t="n">
        <v>0</v>
      </c>
      <c r="L1031" t="n">
        <v>16720</v>
      </c>
      <c r="M1031" t="n">
        <v>20900</v>
      </c>
      <c r="N1031" t="n">
        <v>91</v>
      </c>
      <c r="O1031" t="n">
        <v>0.91</v>
      </c>
      <c r="P1031" t="n">
        <v>0</v>
      </c>
      <c r="Q1031" t="n">
        <v>0.02</v>
      </c>
      <c r="R1031" t="n">
        <v>1</v>
      </c>
      <c r="S1031" t="n">
        <v>418</v>
      </c>
      <c r="T1031" t="n">
        <v>11</v>
      </c>
      <c r="U1031" t="n">
        <v>12</v>
      </c>
      <c r="V1031" t="n">
        <v>30</v>
      </c>
      <c r="W1031" t="n">
        <v>1</v>
      </c>
      <c r="X1031" t="n">
        <v>250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12803</v>
      </c>
      <c r="AG1031" t="n">
        <v>2122</v>
      </c>
      <c r="AH1031" t="inlineStr">
        <is>
          <t>PT. SINAR PADANG LESTARI - PPN (PDG)</t>
        </is>
      </c>
      <c r="AI1031" t="n">
        <v>1422</v>
      </c>
      <c r="AJ1031" t="inlineStr">
        <is>
          <t>DAZZLE ME</t>
        </is>
      </c>
      <c r="AK1031" t="n">
        <v>21</v>
      </c>
      <c r="AL1031" t="inlineStr">
        <is>
          <t>Miss Glam Damar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DAZZLE ME</t>
        </is>
      </c>
      <c r="B1032" s="2">
        <f>"203002175603"</f>
        <v/>
      </c>
      <c r="C1032" t="inlineStr">
        <is>
          <t>DAZZLE ME Ink-Matte Lip Cream B06 Worth-Ink 2.5 ml - Box</t>
        </is>
      </c>
      <c r="D1032" t="inlineStr">
        <is>
          <t>Miss Glam Damar</t>
        </is>
      </c>
      <c r="E1032" t="n">
        <v>12</v>
      </c>
      <c r="F1032" t="n">
        <v>0.2912</v>
      </c>
      <c r="G1032" t="n">
        <v>1.82</v>
      </c>
      <c r="H1032" t="n">
        <v>3</v>
      </c>
      <c r="I1032" t="n">
        <v>11</v>
      </c>
      <c r="J1032" t="n">
        <v>3</v>
      </c>
      <c r="K1032" t="n">
        <v>0</v>
      </c>
      <c r="L1032" t="n">
        <v>17520</v>
      </c>
      <c r="M1032" t="n">
        <v>21900</v>
      </c>
      <c r="N1032" t="n">
        <v>91</v>
      </c>
      <c r="O1032" t="n">
        <v>0.91</v>
      </c>
      <c r="P1032" t="n">
        <v>1</v>
      </c>
      <c r="Q1032" t="n">
        <v>0.22</v>
      </c>
      <c r="R1032" t="n">
        <v>3</v>
      </c>
      <c r="S1032" t="n">
        <v>6377.280000000001</v>
      </c>
      <c r="T1032" t="n">
        <v>20</v>
      </c>
      <c r="U1032" t="n">
        <v>21</v>
      </c>
      <c r="V1032" t="n">
        <v>30</v>
      </c>
      <c r="W1032" t="n">
        <v>9</v>
      </c>
      <c r="X1032" t="n">
        <v>41.2087912087912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12803</v>
      </c>
      <c r="AG1032" t="n">
        <v>2122</v>
      </c>
      <c r="AH1032" t="inlineStr">
        <is>
          <t>PT. SINAR PADANG LESTARI - PPN (PDG)</t>
        </is>
      </c>
      <c r="AI1032" t="n">
        <v>1422</v>
      </c>
      <c r="AJ1032" t="inlineStr">
        <is>
          <t>DAZZLE ME</t>
        </is>
      </c>
      <c r="AK1032" t="n">
        <v>21</v>
      </c>
      <c r="AL1032" t="inlineStr">
        <is>
          <t>Miss Glam Damar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DAZZLE ME</t>
        </is>
      </c>
      <c r="B1033" s="2">
        <f>"203002175811"</f>
        <v/>
      </c>
      <c r="C1033" t="inlineStr">
        <is>
          <t>DAZZLE ME Ink-Matte Lip Cream P04 Wonder-Ink 2.5 ml Box</t>
        </is>
      </c>
      <c r="D1033" t="inlineStr">
        <is>
          <t>Miss Glam Damar</t>
        </is>
      </c>
      <c r="E1033" t="n">
        <v>12</v>
      </c>
      <c r="F1033" t="n">
        <v>0.3549</v>
      </c>
      <c r="G1033" t="n">
        <v>1.82</v>
      </c>
      <c r="H1033" t="n">
        <v>3</v>
      </c>
      <c r="I1033" t="n">
        <v>11</v>
      </c>
      <c r="J1033" t="n">
        <v>3</v>
      </c>
      <c r="K1033" t="n">
        <v>0</v>
      </c>
      <c r="L1033" t="n">
        <v>17520</v>
      </c>
      <c r="M1033" t="n">
        <v>21900</v>
      </c>
      <c r="N1033" t="n">
        <v>91</v>
      </c>
      <c r="O1033" t="n">
        <v>0.91</v>
      </c>
      <c r="P1033" t="n">
        <v>1</v>
      </c>
      <c r="Q1033" t="n">
        <v>0.37</v>
      </c>
      <c r="R1033" t="n">
        <v>3</v>
      </c>
      <c r="S1033" t="n">
        <v>7772.310000000001</v>
      </c>
      <c r="T1033" t="n">
        <v>19</v>
      </c>
      <c r="U1033" t="n">
        <v>21</v>
      </c>
      <c r="V1033" t="n">
        <v>30</v>
      </c>
      <c r="W1033" t="n">
        <v>11</v>
      </c>
      <c r="X1033" t="n">
        <v>33.81234150464919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12803</v>
      </c>
      <c r="AG1033" t="n">
        <v>2122</v>
      </c>
      <c r="AH1033" t="inlineStr">
        <is>
          <t>PT. SINAR PADANG LESTARI - PPN (PDG)</t>
        </is>
      </c>
      <c r="AI1033" t="n">
        <v>1422</v>
      </c>
      <c r="AJ1033" t="inlineStr">
        <is>
          <t>DAZZLE ME</t>
        </is>
      </c>
      <c r="AK1033" t="n">
        <v>21</v>
      </c>
      <c r="AL1033" t="inlineStr">
        <is>
          <t>Miss Glam Damar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DAZZLE ME</t>
        </is>
      </c>
      <c r="B1034" s="2">
        <f>"8859588113693"</f>
        <v/>
      </c>
      <c r="C1034" t="inlineStr">
        <is>
          <t>DAZZLE ME Ink-Matte Lip Cream R08 Joy-Ink 2.5 ml</t>
        </is>
      </c>
      <c r="D1034" t="inlineStr">
        <is>
          <t>Miss Glam Damar</t>
        </is>
      </c>
      <c r="E1034" t="n">
        <v>1</v>
      </c>
      <c r="F1034" t="n">
        <v>0.6825</v>
      </c>
      <c r="G1034" t="n">
        <v>2.73</v>
      </c>
      <c r="H1034" t="n">
        <v>3</v>
      </c>
      <c r="I1034" t="n">
        <v>11</v>
      </c>
      <c r="J1034" t="n">
        <v>3</v>
      </c>
      <c r="K1034" t="n">
        <v>0</v>
      </c>
      <c r="L1034" t="n">
        <v>17520</v>
      </c>
      <c r="M1034" t="n">
        <v>21900</v>
      </c>
      <c r="N1034" t="n">
        <v>91</v>
      </c>
      <c r="O1034" t="n">
        <v>0.91</v>
      </c>
      <c r="P1034" t="n">
        <v>1</v>
      </c>
      <c r="Q1034" t="n">
        <v>0.31</v>
      </c>
      <c r="R1034" t="n">
        <v>2</v>
      </c>
      <c r="S1034" t="n">
        <v>14946.75</v>
      </c>
      <c r="T1034" t="n">
        <v>28</v>
      </c>
      <c r="U1034" t="n">
        <v>31</v>
      </c>
      <c r="V1034" t="n">
        <v>30</v>
      </c>
      <c r="W1034" t="n">
        <v>21</v>
      </c>
      <c r="X1034" t="n">
        <v>1.465201465201465</v>
      </c>
      <c r="Y1034" t="n">
        <v>1</v>
      </c>
      <c r="Z1034" t="n">
        <v>20</v>
      </c>
      <c r="AA1034" t="n">
        <v>7</v>
      </c>
      <c r="AB1034" t="n">
        <v>13</v>
      </c>
      <c r="AC1034" t="n">
        <v>13</v>
      </c>
      <c r="AD1034" t="n">
        <v>122640</v>
      </c>
      <c r="AE1034" t="n">
        <v>227760</v>
      </c>
      <c r="AF1034" t="n">
        <v>12803</v>
      </c>
      <c r="AG1034" t="n">
        <v>2122</v>
      </c>
      <c r="AH1034" t="inlineStr">
        <is>
          <t>PT. SINAR PADANG LESTARI - PPN (PDG)</t>
        </is>
      </c>
      <c r="AI1034" t="n">
        <v>1422</v>
      </c>
      <c r="AJ1034" t="inlineStr">
        <is>
          <t>DAZZLE ME</t>
        </is>
      </c>
      <c r="AK1034" t="n">
        <v>21</v>
      </c>
      <c r="AL1034" t="inlineStr">
        <is>
          <t>Miss Glam Damar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DAZZLE ME</t>
        </is>
      </c>
      <c r="B1035" s="2">
        <f>"203002199740"</f>
        <v/>
      </c>
      <c r="C1035" t="inlineStr">
        <is>
          <t>DAZZLE ME Ink-Mousse Lip Cream N819 Not Today 2.5ml</t>
        </is>
      </c>
      <c r="D1035" t="inlineStr">
        <is>
          <t>Miss Glam Damar</t>
        </is>
      </c>
      <c r="E1035" t="n">
        <v>33</v>
      </c>
      <c r="F1035" t="n">
        <v>0.2</v>
      </c>
      <c r="G1035" t="n">
        <v>2</v>
      </c>
      <c r="H1035" t="n">
        <v>3</v>
      </c>
      <c r="I1035" t="n">
        <v>11</v>
      </c>
      <c r="J1035" t="n">
        <v>1</v>
      </c>
      <c r="K1035" t="n">
        <v>0</v>
      </c>
      <c r="L1035" t="n">
        <v>31920</v>
      </c>
      <c r="M1035" t="n">
        <v>39900</v>
      </c>
      <c r="N1035" t="n">
        <v>91</v>
      </c>
      <c r="O1035" t="n">
        <v>0.91</v>
      </c>
      <c r="P1035" t="n">
        <v>0</v>
      </c>
      <c r="Q1035" t="n">
        <v>0.2</v>
      </c>
      <c r="R1035" t="n">
        <v>2</v>
      </c>
      <c r="S1035" t="n">
        <v>7980</v>
      </c>
      <c r="T1035" t="n">
        <v>22</v>
      </c>
      <c r="U1035" t="n">
        <v>23</v>
      </c>
      <c r="V1035" t="n">
        <v>30</v>
      </c>
      <c r="W1035" t="n">
        <v>6</v>
      </c>
      <c r="X1035" t="n">
        <v>165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12803</v>
      </c>
      <c r="AG1035" t="n">
        <v>2122</v>
      </c>
      <c r="AH1035" t="inlineStr">
        <is>
          <t>PT. SINAR PADANG LESTARI - PPN (PDG)</t>
        </is>
      </c>
      <c r="AI1035" t="n">
        <v>1422</v>
      </c>
      <c r="AJ1035" t="inlineStr">
        <is>
          <t>DAZZLE ME</t>
        </is>
      </c>
      <c r="AK1035" t="n">
        <v>21</v>
      </c>
      <c r="AL1035" t="inlineStr">
        <is>
          <t>Miss Glam Damar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DAZZLE ME</t>
        </is>
      </c>
      <c r="B1036" s="2">
        <f>"203002199348"</f>
        <v/>
      </c>
      <c r="C1036" t="inlineStr">
        <is>
          <t>DAZZLE ME Ink-Mousse Lip Cream O066 Release Me 2.5ml</t>
        </is>
      </c>
      <c r="D1036" t="inlineStr">
        <is>
          <t>Miss Glam Damar</t>
        </is>
      </c>
      <c r="E1036" t="n">
        <v>19</v>
      </c>
      <c r="F1036" t="n">
        <v>0.0182</v>
      </c>
      <c r="G1036" t="n">
        <v>0.91</v>
      </c>
      <c r="H1036" t="n">
        <v>3</v>
      </c>
      <c r="I1036" t="n">
        <v>11</v>
      </c>
      <c r="J1036" t="n">
        <v>1</v>
      </c>
      <c r="K1036" t="n">
        <v>0</v>
      </c>
      <c r="L1036" t="n">
        <v>31920</v>
      </c>
      <c r="M1036" t="n">
        <v>39900</v>
      </c>
      <c r="N1036" t="n">
        <v>91</v>
      </c>
      <c r="O1036" t="n">
        <v>0.91</v>
      </c>
      <c r="P1036" t="n">
        <v>1</v>
      </c>
      <c r="Q1036" t="n">
        <v>0.39</v>
      </c>
      <c r="R1036" t="n">
        <v>3</v>
      </c>
      <c r="S1036" t="n">
        <v>726.1800000000001</v>
      </c>
      <c r="T1036" t="n">
        <v>10</v>
      </c>
      <c r="U1036" t="n">
        <v>11</v>
      </c>
      <c r="V1036" t="n">
        <v>30</v>
      </c>
      <c r="W1036" t="n">
        <v>1</v>
      </c>
      <c r="X1036" t="n">
        <v>1043.956043956044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12803</v>
      </c>
      <c r="AG1036" t="n">
        <v>2122</v>
      </c>
      <c r="AH1036" t="inlineStr">
        <is>
          <t>PT. SINAR PADANG LESTARI - PPN (PDG)</t>
        </is>
      </c>
      <c r="AI1036" t="n">
        <v>1422</v>
      </c>
      <c r="AJ1036" t="inlineStr">
        <is>
          <t>DAZZLE ME</t>
        </is>
      </c>
      <c r="AK1036" t="n">
        <v>21</v>
      </c>
      <c r="AL1036" t="inlineStr">
        <is>
          <t>Miss Glam Damar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DAZZLE ME</t>
        </is>
      </c>
      <c r="B1037" s="2">
        <f>"203002199504"</f>
        <v/>
      </c>
      <c r="C1037" t="inlineStr">
        <is>
          <t>DAZZLE ME Ink-Mousse Lip Cream R666 Blazing Hot 2.5ml</t>
        </is>
      </c>
      <c r="D1037" t="inlineStr">
        <is>
          <t>Miss Glam Damar</t>
        </is>
      </c>
      <c r="E1037" t="n">
        <v>46</v>
      </c>
      <c r="F1037" t="n">
        <v>0.1547</v>
      </c>
      <c r="G1037" t="n">
        <v>2.73</v>
      </c>
      <c r="H1037" t="n">
        <v>3</v>
      </c>
      <c r="I1037" t="n">
        <v>11</v>
      </c>
      <c r="J1037" t="n">
        <v>1</v>
      </c>
      <c r="K1037" t="n">
        <v>0</v>
      </c>
      <c r="L1037" t="n">
        <v>31920</v>
      </c>
      <c r="M1037" t="n">
        <v>39900</v>
      </c>
      <c r="N1037" t="n">
        <v>91</v>
      </c>
      <c r="O1037" t="n">
        <v>0.91</v>
      </c>
      <c r="P1037" t="n">
        <v>1</v>
      </c>
      <c r="Q1037" t="n">
        <v>0.78</v>
      </c>
      <c r="R1037" t="n">
        <v>6</v>
      </c>
      <c r="S1037" t="n">
        <v>6172.53</v>
      </c>
      <c r="T1037" t="n">
        <v>30</v>
      </c>
      <c r="U1037" t="n">
        <v>31</v>
      </c>
      <c r="V1037" t="n">
        <v>30</v>
      </c>
      <c r="W1037" t="n">
        <v>5</v>
      </c>
      <c r="X1037" t="n">
        <v>297.349709114415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12803</v>
      </c>
      <c r="AG1037" t="n">
        <v>2122</v>
      </c>
      <c r="AH1037" t="inlineStr">
        <is>
          <t>PT. SINAR PADANG LESTARI - PPN (PDG)</t>
        </is>
      </c>
      <c r="AI1037" t="n">
        <v>1422</v>
      </c>
      <c r="AJ1037" t="inlineStr">
        <is>
          <t>DAZZLE ME</t>
        </is>
      </c>
      <c r="AK1037" t="n">
        <v>21</v>
      </c>
      <c r="AL1037" t="inlineStr">
        <is>
          <t>Miss Glam Damar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DAZZLE ME</t>
        </is>
      </c>
      <c r="B1038" s="2">
        <f>"203002199655"</f>
        <v/>
      </c>
      <c r="C1038" t="inlineStr">
        <is>
          <t>DAZZLE ME Ink-Mousse Lip Cream R757 Joyful 2.5ml</t>
        </is>
      </c>
      <c r="D1038" t="inlineStr">
        <is>
          <t>Miss Glam Damar</t>
        </is>
      </c>
      <c r="E1038" t="n">
        <v>30</v>
      </c>
      <c r="F1038" t="n">
        <v>0.04550000000000001</v>
      </c>
      <c r="G1038" t="n">
        <v>1.82</v>
      </c>
      <c r="H1038" t="n">
        <v>3</v>
      </c>
      <c r="I1038" t="n">
        <v>11</v>
      </c>
      <c r="J1038" t="n">
        <v>1</v>
      </c>
      <c r="K1038" t="n">
        <v>0</v>
      </c>
      <c r="L1038" t="n">
        <v>31920</v>
      </c>
      <c r="M1038" t="n">
        <v>39900</v>
      </c>
      <c r="N1038" t="n">
        <v>91</v>
      </c>
      <c r="O1038" t="n">
        <v>0.91</v>
      </c>
      <c r="P1038" t="n">
        <v>1</v>
      </c>
      <c r="Q1038" t="n">
        <v>0.08</v>
      </c>
      <c r="R1038" t="n">
        <v>2</v>
      </c>
      <c r="S1038" t="n">
        <v>1815.45</v>
      </c>
      <c r="T1038" t="n">
        <v>20</v>
      </c>
      <c r="U1038" t="n">
        <v>21</v>
      </c>
      <c r="V1038" t="n">
        <v>30</v>
      </c>
      <c r="W1038" t="n">
        <v>2</v>
      </c>
      <c r="X1038" t="n">
        <v>659.3406593406593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12803</v>
      </c>
      <c r="AG1038" t="n">
        <v>2122</v>
      </c>
      <c r="AH1038" t="inlineStr">
        <is>
          <t>PT. SINAR PADANG LESTARI - PPN (PDG)</t>
        </is>
      </c>
      <c r="AI1038" t="n">
        <v>1422</v>
      </c>
      <c r="AJ1038" t="inlineStr">
        <is>
          <t>DAZZLE ME</t>
        </is>
      </c>
      <c r="AK1038" t="n">
        <v>21</v>
      </c>
      <c r="AL1038" t="inlineStr">
        <is>
          <t>Miss Glam Damar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DAZZLE ME</t>
        </is>
      </c>
      <c r="B1039" s="2">
        <f>"203002199803"</f>
        <v/>
      </c>
      <c r="C1039" t="inlineStr">
        <is>
          <t>DAZZLE ME Ink-Vinyl Lip Lacquer 008 Power-Ink 2.5ml</t>
        </is>
      </c>
      <c r="D1039" t="inlineStr">
        <is>
          <t>Miss Glam Damar</t>
        </is>
      </c>
      <c r="E1039" t="n">
        <v>24</v>
      </c>
      <c r="F1039" t="n">
        <v>0.3731</v>
      </c>
      <c r="G1039" t="n">
        <v>2.73</v>
      </c>
      <c r="H1039" t="n">
        <v>3</v>
      </c>
      <c r="I1039" t="n">
        <v>11</v>
      </c>
      <c r="J1039" t="n">
        <v>1</v>
      </c>
      <c r="K1039" t="n">
        <v>0</v>
      </c>
      <c r="L1039" t="n">
        <v>31920</v>
      </c>
      <c r="M1039" t="n">
        <v>39900</v>
      </c>
      <c r="N1039" t="n">
        <v>91</v>
      </c>
      <c r="O1039" t="n">
        <v>0.91</v>
      </c>
      <c r="P1039" t="n">
        <v>1</v>
      </c>
      <c r="Q1039" t="n">
        <v>0.32</v>
      </c>
      <c r="R1039" t="n">
        <v>3</v>
      </c>
      <c r="S1039" t="n">
        <v>14886.69</v>
      </c>
      <c r="T1039" t="n">
        <v>29</v>
      </c>
      <c r="U1039" t="n">
        <v>31</v>
      </c>
      <c r="V1039" t="n">
        <v>30</v>
      </c>
      <c r="W1039" t="n">
        <v>12</v>
      </c>
      <c r="X1039" t="n">
        <v>64.32591798445458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12803</v>
      </c>
      <c r="AG1039" t="n">
        <v>2122</v>
      </c>
      <c r="AH1039" t="inlineStr">
        <is>
          <t>PT. SINAR PADANG LESTARI - PPN (PDG)</t>
        </is>
      </c>
      <c r="AI1039" t="n">
        <v>1422</v>
      </c>
      <c r="AJ1039" t="inlineStr">
        <is>
          <t>DAZZLE ME</t>
        </is>
      </c>
      <c r="AK1039" t="n">
        <v>21</v>
      </c>
      <c r="AL1039" t="inlineStr">
        <is>
          <t>Miss Glam Damar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DAZZLE ME</t>
        </is>
      </c>
      <c r="B1040" s="2">
        <f>"203002199926"</f>
        <v/>
      </c>
      <c r="C1040" t="inlineStr">
        <is>
          <t>DAZZLE ME Ink-Vinyl Lip Lacquer 035 Icon-Ink 2.5ml</t>
        </is>
      </c>
      <c r="D1040" t="inlineStr">
        <is>
          <t>Miss Glam Damar</t>
        </is>
      </c>
      <c r="E1040" t="n">
        <v>25</v>
      </c>
      <c r="F1040" t="n">
        <v>1.0829</v>
      </c>
      <c r="G1040" t="n">
        <v>4.55</v>
      </c>
      <c r="H1040" t="n">
        <v>3</v>
      </c>
      <c r="I1040" t="n">
        <v>11</v>
      </c>
      <c r="J1040" t="n">
        <v>1</v>
      </c>
      <c r="K1040" t="n">
        <v>0</v>
      </c>
      <c r="L1040" t="n">
        <v>31920</v>
      </c>
      <c r="M1040" t="n">
        <v>39900</v>
      </c>
      <c r="N1040" t="n">
        <v>91</v>
      </c>
      <c r="O1040" t="n">
        <v>0.91</v>
      </c>
      <c r="P1040" t="n">
        <v>1</v>
      </c>
      <c r="Q1040" t="n">
        <v>0.59</v>
      </c>
      <c r="R1040" t="n">
        <v>3</v>
      </c>
      <c r="S1040" t="n">
        <v>43207.71</v>
      </c>
      <c r="T1040" t="n">
        <v>47</v>
      </c>
      <c r="U1040" t="n">
        <v>51</v>
      </c>
      <c r="V1040" t="n">
        <v>30</v>
      </c>
      <c r="W1040" t="n">
        <v>33</v>
      </c>
      <c r="X1040" t="n">
        <v>23.08615753993905</v>
      </c>
      <c r="Y1040" t="n">
        <v>1</v>
      </c>
      <c r="Z1040" t="n">
        <v>8</v>
      </c>
      <c r="AA1040" t="n">
        <v>0</v>
      </c>
      <c r="AB1040" t="n">
        <v>8</v>
      </c>
      <c r="AC1040" t="n">
        <v>8</v>
      </c>
      <c r="AD1040" t="n">
        <v>0</v>
      </c>
      <c r="AE1040" t="n">
        <v>255360</v>
      </c>
      <c r="AF1040" t="n">
        <v>12803</v>
      </c>
      <c r="AG1040" t="n">
        <v>2122</v>
      </c>
      <c r="AH1040" t="inlineStr">
        <is>
          <t>PT. SINAR PADANG LESTARI - PPN (PDG)</t>
        </is>
      </c>
      <c r="AI1040" t="n">
        <v>1422</v>
      </c>
      <c r="AJ1040" t="inlineStr">
        <is>
          <t>DAZZLE ME</t>
        </is>
      </c>
      <c r="AK1040" t="n">
        <v>21</v>
      </c>
      <c r="AL1040" t="inlineStr">
        <is>
          <t>Miss Glam Damar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DAZZLE ME</t>
        </is>
      </c>
      <c r="B1041" s="2">
        <f>"203002200012"</f>
        <v/>
      </c>
      <c r="C1041" t="inlineStr">
        <is>
          <t>DAZZLE ME Ink-Vinyl Lip Lacquer 099 Posh-Ink 2.5ml</t>
        </is>
      </c>
      <c r="D1041" t="inlineStr">
        <is>
          <t>Miss Glam Damar</t>
        </is>
      </c>
      <c r="E1041" t="n">
        <v>43</v>
      </c>
      <c r="F1041" t="n">
        <v>0.2912</v>
      </c>
      <c r="G1041" t="n">
        <v>2.73</v>
      </c>
      <c r="H1041" t="n">
        <v>3</v>
      </c>
      <c r="I1041" t="n">
        <v>11</v>
      </c>
      <c r="J1041" t="n">
        <v>1</v>
      </c>
      <c r="K1041" t="n">
        <v>0</v>
      </c>
      <c r="L1041" t="n">
        <v>31920</v>
      </c>
      <c r="M1041" t="n">
        <v>39900</v>
      </c>
      <c r="N1041" t="n">
        <v>91</v>
      </c>
      <c r="O1041" t="n">
        <v>0.91</v>
      </c>
      <c r="P1041" t="n">
        <v>1</v>
      </c>
      <c r="Q1041" t="n">
        <v>0.08</v>
      </c>
      <c r="R1041" t="n">
        <v>1</v>
      </c>
      <c r="S1041" t="n">
        <v>11618.88</v>
      </c>
      <c r="T1041" t="n">
        <v>30</v>
      </c>
      <c r="U1041" t="n">
        <v>31</v>
      </c>
      <c r="V1041" t="n">
        <v>30</v>
      </c>
      <c r="W1041" t="n">
        <v>9</v>
      </c>
      <c r="X1041" t="n">
        <v>147.6648351648352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12803</v>
      </c>
      <c r="AG1041" t="n">
        <v>2122</v>
      </c>
      <c r="AH1041" t="inlineStr">
        <is>
          <t>PT. SINAR PADANG LESTARI - PPN (PDG)</t>
        </is>
      </c>
      <c r="AI1041" t="n">
        <v>1422</v>
      </c>
      <c r="AJ1041" t="inlineStr">
        <is>
          <t>DAZZLE ME</t>
        </is>
      </c>
      <c r="AK1041" t="n">
        <v>21</v>
      </c>
      <c r="AL1041" t="inlineStr">
        <is>
          <t>Miss Glam Damar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DAZZLE ME</t>
        </is>
      </c>
      <c r="B1042" s="2">
        <f>"203002200107"</f>
        <v/>
      </c>
      <c r="C1042" t="inlineStr">
        <is>
          <t>DAZZLE ME Ink-Vinyl Lip Lacquer 233 Magic-Ink 2.5ml</t>
        </is>
      </c>
      <c r="D1042" t="inlineStr">
        <is>
          <t>Miss Glam Damar</t>
        </is>
      </c>
      <c r="E1042" t="n">
        <v>0</v>
      </c>
      <c r="F1042" t="n">
        <v>1.0647</v>
      </c>
      <c r="G1042" t="n">
        <v>10.92</v>
      </c>
      <c r="H1042" t="n">
        <v>3</v>
      </c>
      <c r="I1042" t="n">
        <v>11</v>
      </c>
      <c r="J1042" t="n">
        <v>1</v>
      </c>
      <c r="K1042" t="n">
        <v>0</v>
      </c>
      <c r="L1042" t="n">
        <v>31920</v>
      </c>
      <c r="M1042" t="n">
        <v>39900</v>
      </c>
      <c r="N1042" t="n">
        <v>91</v>
      </c>
      <c r="O1042" t="n">
        <v>0.91</v>
      </c>
      <c r="P1042" t="n">
        <v>1</v>
      </c>
      <c r="Q1042" t="n">
        <v>0.72</v>
      </c>
      <c r="R1042" t="n">
        <v>5</v>
      </c>
      <c r="S1042" t="n">
        <v>42481.53</v>
      </c>
      <c r="T1042" t="n">
        <v>117</v>
      </c>
      <c r="U1042" t="n">
        <v>121</v>
      </c>
      <c r="V1042" t="n">
        <v>30</v>
      </c>
      <c r="W1042" t="n">
        <v>32</v>
      </c>
      <c r="X1042" t="n">
        <v>0</v>
      </c>
      <c r="Y1042" t="n">
        <v>1</v>
      </c>
      <c r="Z1042" t="n">
        <v>32</v>
      </c>
      <c r="AA1042" t="n">
        <v>12</v>
      </c>
      <c r="AB1042" t="n">
        <v>20</v>
      </c>
      <c r="AC1042" t="n">
        <v>20</v>
      </c>
      <c r="AD1042" t="n">
        <v>383040</v>
      </c>
      <c r="AE1042" t="n">
        <v>638400</v>
      </c>
      <c r="AF1042" t="n">
        <v>12803</v>
      </c>
      <c r="AG1042" t="n">
        <v>2122</v>
      </c>
      <c r="AH1042" t="inlineStr">
        <is>
          <t>PT. SINAR PADANG LESTARI - PPN (PDG)</t>
        </is>
      </c>
      <c r="AI1042" t="n">
        <v>1422</v>
      </c>
      <c r="AJ1042" t="inlineStr">
        <is>
          <t>DAZZLE ME</t>
        </is>
      </c>
      <c r="AK1042" t="n">
        <v>21</v>
      </c>
      <c r="AL1042" t="inlineStr">
        <is>
          <t>Miss Glam Damar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DAZZLE ME</t>
        </is>
      </c>
      <c r="B1043" s="2">
        <f>"203002200247"</f>
        <v/>
      </c>
      <c r="C1043" t="inlineStr">
        <is>
          <t>DAZZLE ME Ink-Vinyl Lip Lacquer 555 Famous-Ink 2.5ml</t>
        </is>
      </c>
      <c r="D1043" t="inlineStr">
        <is>
          <t>Miss Glam Damar</t>
        </is>
      </c>
      <c r="E1043" t="n">
        <v>9</v>
      </c>
      <c r="F1043" t="n">
        <v>0.6006</v>
      </c>
      <c r="G1043" t="n">
        <v>3.64</v>
      </c>
      <c r="H1043" t="n">
        <v>3</v>
      </c>
      <c r="I1043" t="n">
        <v>11</v>
      </c>
      <c r="J1043" t="n">
        <v>1</v>
      </c>
      <c r="K1043" t="n">
        <v>0</v>
      </c>
      <c r="L1043" t="n">
        <v>31920</v>
      </c>
      <c r="M1043" t="n">
        <v>39900</v>
      </c>
      <c r="N1043" t="n">
        <v>91</v>
      </c>
      <c r="O1043" t="n">
        <v>0.91</v>
      </c>
      <c r="P1043" t="n">
        <v>1</v>
      </c>
      <c r="Q1043" t="n">
        <v>0.39</v>
      </c>
      <c r="R1043" t="n">
        <v>3</v>
      </c>
      <c r="S1043" t="n">
        <v>23963.94</v>
      </c>
      <c r="T1043" t="n">
        <v>39</v>
      </c>
      <c r="U1043" t="n">
        <v>41</v>
      </c>
      <c r="V1043" t="n">
        <v>30</v>
      </c>
      <c r="W1043" t="n">
        <v>19</v>
      </c>
      <c r="X1043" t="n">
        <v>14.98501498501498</v>
      </c>
      <c r="Y1043" t="n">
        <v>1</v>
      </c>
      <c r="Z1043" t="n">
        <v>10</v>
      </c>
      <c r="AA1043" t="n">
        <v>0</v>
      </c>
      <c r="AB1043" t="n">
        <v>10</v>
      </c>
      <c r="AC1043" t="n">
        <v>10</v>
      </c>
      <c r="AD1043" t="n">
        <v>0</v>
      </c>
      <c r="AE1043" t="n">
        <v>319200</v>
      </c>
      <c r="AF1043" t="n">
        <v>12803</v>
      </c>
      <c r="AG1043" t="n">
        <v>2122</v>
      </c>
      <c r="AH1043" t="inlineStr">
        <is>
          <t>PT. SINAR PADANG LESTARI - PPN (PDG)</t>
        </is>
      </c>
      <c r="AI1043" t="n">
        <v>1422</v>
      </c>
      <c r="AJ1043" t="inlineStr">
        <is>
          <t>DAZZLE ME</t>
        </is>
      </c>
      <c r="AK1043" t="n">
        <v>21</v>
      </c>
      <c r="AL1043" t="inlineStr">
        <is>
          <t>Miss Glam Damar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DAZZLE ME</t>
        </is>
      </c>
      <c r="B1044" s="2">
        <f>"20200219411"</f>
        <v/>
      </c>
      <c r="C1044" t="inlineStr">
        <is>
          <t>DAZZLE ME Lock &amp; Pop! Longlash-ting Mascara 7gr</t>
        </is>
      </c>
      <c r="D1044" t="inlineStr">
        <is>
          <t>Miss Glam Damar</t>
        </is>
      </c>
      <c r="E1044" t="n">
        <v>1</v>
      </c>
      <c r="F1044" t="n">
        <v>1.1284</v>
      </c>
      <c r="G1044" t="n">
        <v>8.19</v>
      </c>
      <c r="H1044" t="n">
        <v>3</v>
      </c>
      <c r="I1044" t="n">
        <v>11</v>
      </c>
      <c r="J1044" t="n">
        <v>1</v>
      </c>
      <c r="K1044" t="n">
        <v>0</v>
      </c>
      <c r="L1044" t="n">
        <v>27921</v>
      </c>
      <c r="M1044" t="n">
        <v>34900</v>
      </c>
      <c r="N1044" t="n">
        <v>91</v>
      </c>
      <c r="O1044" t="n">
        <v>0.91</v>
      </c>
      <c r="P1044" t="n">
        <v>1</v>
      </c>
      <c r="Q1044" t="n">
        <v>2.03</v>
      </c>
      <c r="R1044" t="n">
        <v>13</v>
      </c>
      <c r="S1044" t="n">
        <v>39381.16</v>
      </c>
      <c r="T1044" t="n">
        <v>87</v>
      </c>
      <c r="U1044" t="n">
        <v>91</v>
      </c>
      <c r="V1044" t="n">
        <v>30</v>
      </c>
      <c r="W1044" t="n">
        <v>34</v>
      </c>
      <c r="X1044" t="n">
        <v>0.8862105636299185</v>
      </c>
      <c r="Y1044" t="n">
        <v>1</v>
      </c>
      <c r="Z1044" t="n">
        <v>33</v>
      </c>
      <c r="AA1044" t="n">
        <v>12</v>
      </c>
      <c r="AB1044" t="n">
        <v>21</v>
      </c>
      <c r="AC1044" t="n">
        <v>21</v>
      </c>
      <c r="AD1044" t="n">
        <v>335052</v>
      </c>
      <c r="AE1044" t="n">
        <v>586341</v>
      </c>
      <c r="AF1044" t="n">
        <v>12803</v>
      </c>
      <c r="AG1044" t="n">
        <v>2122</v>
      </c>
      <c r="AH1044" t="inlineStr">
        <is>
          <t>PT. SINAR PADANG LESTARI - PPN (PDG)</t>
        </is>
      </c>
      <c r="AI1044" t="n">
        <v>1422</v>
      </c>
      <c r="AJ1044" t="inlineStr">
        <is>
          <t>DAZZLE ME</t>
        </is>
      </c>
      <c r="AK1044" t="n">
        <v>21</v>
      </c>
      <c r="AL1044" t="inlineStr">
        <is>
          <t>Miss Glam Damar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DAZZLE ME</t>
        </is>
      </c>
      <c r="B1045" s="2">
        <f>"20200219540"</f>
        <v/>
      </c>
      <c r="C1045" t="inlineStr">
        <is>
          <t>DAZZLE ME Lock &amp; Pop! Volumx-ing Mascara 7gr</t>
        </is>
      </c>
      <c r="D1045" t="inlineStr">
        <is>
          <t>Miss Glam Damar</t>
        </is>
      </c>
      <c r="E1045" t="n">
        <v>0</v>
      </c>
      <c r="F1045" t="n">
        <v>1.4378</v>
      </c>
      <c r="G1045" t="n">
        <v>9.1</v>
      </c>
      <c r="H1045" t="n">
        <v>3</v>
      </c>
      <c r="I1045" t="n">
        <v>11</v>
      </c>
      <c r="J1045" t="n">
        <v>1</v>
      </c>
      <c r="K1045" t="n">
        <v>0</v>
      </c>
      <c r="L1045" t="n">
        <v>27921</v>
      </c>
      <c r="M1045" t="n">
        <v>34900</v>
      </c>
      <c r="N1045" t="n">
        <v>91</v>
      </c>
      <c r="O1045" t="n">
        <v>0.91</v>
      </c>
      <c r="P1045" t="n">
        <v>1</v>
      </c>
      <c r="Q1045" t="n">
        <v>0.84</v>
      </c>
      <c r="R1045" t="n">
        <v>8</v>
      </c>
      <c r="S1045" t="n">
        <v>50179.22000000001</v>
      </c>
      <c r="T1045" t="n">
        <v>96</v>
      </c>
      <c r="U1045" t="n">
        <v>101</v>
      </c>
      <c r="V1045" t="n">
        <v>30</v>
      </c>
      <c r="W1045" t="n">
        <v>44</v>
      </c>
      <c r="X1045" t="n">
        <v>0</v>
      </c>
      <c r="Y1045" t="n">
        <v>1</v>
      </c>
      <c r="Z1045" t="n">
        <v>44</v>
      </c>
      <c r="AA1045" t="n">
        <v>16</v>
      </c>
      <c r="AB1045" t="n">
        <v>28</v>
      </c>
      <c r="AC1045" t="n">
        <v>28</v>
      </c>
      <c r="AD1045" t="n">
        <v>446736</v>
      </c>
      <c r="AE1045" t="n">
        <v>781788</v>
      </c>
      <c r="AF1045" t="n">
        <v>12803</v>
      </c>
      <c r="AG1045" t="n">
        <v>2122</v>
      </c>
      <c r="AH1045" t="inlineStr">
        <is>
          <t>PT. SINAR PADANG LESTARI - PPN (PDG)</t>
        </is>
      </c>
      <c r="AI1045" t="n">
        <v>1422</v>
      </c>
      <c r="AJ1045" t="inlineStr">
        <is>
          <t>DAZZLE ME</t>
        </is>
      </c>
      <c r="AK1045" t="n">
        <v>21</v>
      </c>
      <c r="AL1045" t="inlineStr">
        <is>
          <t>Miss Glam Damar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DAZZLE ME</t>
        </is>
      </c>
      <c r="B1046" s="2">
        <f>"20200469404"</f>
        <v/>
      </c>
      <c r="C1046" t="inlineStr">
        <is>
          <t>DAZZLE ME Lock &amp; Shape! Slim-Fit Eyebrow Pencil Natural Gray 0.1gr</t>
        </is>
      </c>
      <c r="D1046" t="inlineStr">
        <is>
          <t>Miss Glam Damar</t>
        </is>
      </c>
      <c r="E1046" t="n">
        <v>26</v>
      </c>
      <c r="F1046" t="n">
        <v>0.4277</v>
      </c>
      <c r="G1046" t="n">
        <v>2.73</v>
      </c>
      <c r="H1046" t="n">
        <v>3</v>
      </c>
      <c r="I1046" t="n">
        <v>11</v>
      </c>
      <c r="J1046" t="n">
        <v>1</v>
      </c>
      <c r="K1046" t="n">
        <v>0</v>
      </c>
      <c r="L1046" t="n">
        <v>22320</v>
      </c>
      <c r="M1046" t="n">
        <v>27900</v>
      </c>
      <c r="N1046" t="n">
        <v>91</v>
      </c>
      <c r="O1046" t="n">
        <v>0.91</v>
      </c>
      <c r="P1046" t="n">
        <v>1</v>
      </c>
      <c r="Q1046" t="n">
        <v>0.59</v>
      </c>
      <c r="R1046" t="n">
        <v>3</v>
      </c>
      <c r="S1046" t="n">
        <v>11932.83</v>
      </c>
      <c r="T1046" t="n">
        <v>29</v>
      </c>
      <c r="U1046" t="n">
        <v>31</v>
      </c>
      <c r="V1046" t="n">
        <v>30</v>
      </c>
      <c r="W1046" t="n">
        <v>13</v>
      </c>
      <c r="X1046" t="n">
        <v>60.79027355623101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12803</v>
      </c>
      <c r="AG1046" t="n">
        <v>2122</v>
      </c>
      <c r="AH1046" t="inlineStr">
        <is>
          <t>PT. SINAR PADANG LESTARI - PPN (PDG)</t>
        </is>
      </c>
      <c r="AI1046" t="n">
        <v>1422</v>
      </c>
      <c r="AJ1046" t="inlineStr">
        <is>
          <t>DAZZLE ME</t>
        </is>
      </c>
      <c r="AK1046" t="n">
        <v>21</v>
      </c>
      <c r="AL1046" t="inlineStr">
        <is>
          <t>Miss Glam Damar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DAZZLE ME</t>
        </is>
      </c>
      <c r="B1047" s="2">
        <f>"20200468258"</f>
        <v/>
      </c>
      <c r="C1047" t="inlineStr">
        <is>
          <t>DAZZLE ME Lock &amp; Shape! Super Stay Eyebrow Pencil Ash Brown 0.4gr</t>
        </is>
      </c>
      <c r="D1047" t="inlineStr">
        <is>
          <t>Miss Glam Damar</t>
        </is>
      </c>
      <c r="E1047" t="n">
        <v>0</v>
      </c>
      <c r="F1047" t="n">
        <v>0.07000000000000001</v>
      </c>
      <c r="G1047" t="n">
        <v>1</v>
      </c>
      <c r="H1047" t="n">
        <v>3</v>
      </c>
      <c r="I1047" t="n">
        <v>11</v>
      </c>
      <c r="J1047" t="n">
        <v>1</v>
      </c>
      <c r="K1047" t="n">
        <v>0</v>
      </c>
      <c r="L1047" t="n">
        <v>19920</v>
      </c>
      <c r="M1047" t="n">
        <v>24900</v>
      </c>
      <c r="N1047" t="n">
        <v>91</v>
      </c>
      <c r="O1047" t="n">
        <v>0.91</v>
      </c>
      <c r="P1047" t="n">
        <v>0</v>
      </c>
      <c r="Q1047" t="n">
        <v>0.07000000000000001</v>
      </c>
      <c r="R1047" t="n">
        <v>1</v>
      </c>
      <c r="S1047" t="n">
        <v>1743</v>
      </c>
      <c r="T1047" t="n">
        <v>11</v>
      </c>
      <c r="U1047" t="n">
        <v>12</v>
      </c>
      <c r="V1047" t="n">
        <v>30</v>
      </c>
      <c r="W1047" t="n">
        <v>3</v>
      </c>
      <c r="X1047" t="n">
        <v>0</v>
      </c>
      <c r="Y1047" t="n">
        <v>1</v>
      </c>
      <c r="Z1047" t="n">
        <v>3</v>
      </c>
      <c r="AA1047" t="n">
        <v>1</v>
      </c>
      <c r="AB1047" t="n">
        <v>2</v>
      </c>
      <c r="AC1047" t="n">
        <v>2</v>
      </c>
      <c r="AD1047" t="n">
        <v>19920</v>
      </c>
      <c r="AE1047" t="n">
        <v>39840</v>
      </c>
      <c r="AF1047" t="n">
        <v>12803</v>
      </c>
      <c r="AG1047" t="n">
        <v>2122</v>
      </c>
      <c r="AH1047" t="inlineStr">
        <is>
          <t>PT. SINAR PADANG LESTARI - PPN (PDG)</t>
        </is>
      </c>
      <c r="AI1047" t="n">
        <v>1422</v>
      </c>
      <c r="AJ1047" t="inlineStr">
        <is>
          <t>DAZZLE ME</t>
        </is>
      </c>
      <c r="AK1047" t="n">
        <v>21</v>
      </c>
      <c r="AL1047" t="inlineStr">
        <is>
          <t>Miss Glam Damar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DAZZLE ME</t>
        </is>
      </c>
      <c r="B1048" s="2">
        <f>"20200468653"</f>
        <v/>
      </c>
      <c r="C1048" t="inlineStr">
        <is>
          <t>DAZZLE ME Lock &amp; Shape! Super Stay Eyebrow Pencil Natural Gray 0.4gr</t>
        </is>
      </c>
      <c r="D1048" t="inlineStr">
        <is>
          <t>Miss Glam Damar</t>
        </is>
      </c>
      <c r="E1048" t="n">
        <v>8</v>
      </c>
      <c r="F1048" t="n">
        <v>0.3094</v>
      </c>
      <c r="G1048" t="n">
        <v>2.73</v>
      </c>
      <c r="H1048" t="n">
        <v>3</v>
      </c>
      <c r="I1048" t="n">
        <v>11</v>
      </c>
      <c r="J1048" t="n">
        <v>1</v>
      </c>
      <c r="K1048" t="n">
        <v>0</v>
      </c>
      <c r="L1048" t="n">
        <v>19920</v>
      </c>
      <c r="M1048" t="n">
        <v>24900</v>
      </c>
      <c r="N1048" t="n">
        <v>91</v>
      </c>
      <c r="O1048" t="n">
        <v>0.91</v>
      </c>
      <c r="P1048" t="n">
        <v>1</v>
      </c>
      <c r="Q1048" t="n">
        <v>0.24</v>
      </c>
      <c r="R1048" t="n">
        <v>3</v>
      </c>
      <c r="S1048" t="n">
        <v>7704.06</v>
      </c>
      <c r="T1048" t="n">
        <v>30</v>
      </c>
      <c r="U1048" t="n">
        <v>31</v>
      </c>
      <c r="V1048" t="n">
        <v>30</v>
      </c>
      <c r="W1048" t="n">
        <v>10</v>
      </c>
      <c r="X1048" t="n">
        <v>25.85649644473174</v>
      </c>
      <c r="Y1048" t="n">
        <v>1</v>
      </c>
      <c r="Z1048" t="n">
        <v>2</v>
      </c>
      <c r="AA1048" t="n">
        <v>0</v>
      </c>
      <c r="AB1048" t="n">
        <v>2</v>
      </c>
      <c r="AC1048" t="n">
        <v>2</v>
      </c>
      <c r="AD1048" t="n">
        <v>0</v>
      </c>
      <c r="AE1048" t="n">
        <v>39840</v>
      </c>
      <c r="AF1048" t="n">
        <v>12803</v>
      </c>
      <c r="AG1048" t="n">
        <v>2122</v>
      </c>
      <c r="AH1048" t="inlineStr">
        <is>
          <t>PT. SINAR PADANG LESTARI - PPN (PDG)</t>
        </is>
      </c>
      <c r="AI1048" t="n">
        <v>1422</v>
      </c>
      <c r="AJ1048" t="inlineStr">
        <is>
          <t>DAZZLE ME</t>
        </is>
      </c>
      <c r="AK1048" t="n">
        <v>21</v>
      </c>
      <c r="AL1048" t="inlineStr">
        <is>
          <t>Miss Glam Damar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DAZZLE ME</t>
        </is>
      </c>
      <c r="B1049" s="2">
        <f>"20200335013"</f>
        <v/>
      </c>
      <c r="C1049" t="inlineStr">
        <is>
          <t>DAZZLE ME Lock &amp; Wing! Hyper Slim Eyeliner 0,55ml</t>
        </is>
      </c>
      <c r="D1049" t="inlineStr">
        <is>
          <t>Miss Glam Damar</t>
        </is>
      </c>
      <c r="E1049" t="n">
        <v>27</v>
      </c>
      <c r="F1049" t="n">
        <v>0.6825</v>
      </c>
      <c r="G1049" t="n">
        <v>2.73</v>
      </c>
      <c r="H1049" t="n">
        <v>3</v>
      </c>
      <c r="I1049" t="n">
        <v>11</v>
      </c>
      <c r="J1049" t="n">
        <v>1</v>
      </c>
      <c r="K1049" t="n">
        <v>0</v>
      </c>
      <c r="L1049" t="n">
        <v>23921</v>
      </c>
      <c r="M1049" t="n">
        <v>29900</v>
      </c>
      <c r="N1049" t="n">
        <v>91</v>
      </c>
      <c r="O1049" t="n">
        <v>0.91</v>
      </c>
      <c r="P1049" t="n">
        <v>1</v>
      </c>
      <c r="Q1049" t="n">
        <v>0.37</v>
      </c>
      <c r="R1049" t="n">
        <v>2</v>
      </c>
      <c r="S1049" t="n">
        <v>20406.75</v>
      </c>
      <c r="T1049" t="n">
        <v>28</v>
      </c>
      <c r="U1049" t="n">
        <v>31</v>
      </c>
      <c r="V1049" t="n">
        <v>30</v>
      </c>
      <c r="W1049" t="n">
        <v>21</v>
      </c>
      <c r="X1049" t="n">
        <v>39.56043956043956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12803</v>
      </c>
      <c r="AG1049" t="n">
        <v>2122</v>
      </c>
      <c r="AH1049" t="inlineStr">
        <is>
          <t>PT. SINAR PADANG LESTARI - PPN (PDG)</t>
        </is>
      </c>
      <c r="AI1049" t="n">
        <v>1422</v>
      </c>
      <c r="AJ1049" t="inlineStr">
        <is>
          <t>DAZZLE ME</t>
        </is>
      </c>
      <c r="AK1049" t="n">
        <v>21</v>
      </c>
      <c r="AL1049" t="inlineStr">
        <is>
          <t>Miss Glam Damar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DAZZLE ME</t>
        </is>
      </c>
      <c r="B1050" s="2">
        <f>"20200333945"</f>
        <v/>
      </c>
      <c r="C1050" t="inlineStr">
        <is>
          <t>DAZZLE ME Lock &amp; Wings Hyper Stay Eyeliner 55ml</t>
        </is>
      </c>
      <c r="D1050" t="inlineStr">
        <is>
          <t>Miss Glam Damar</t>
        </is>
      </c>
      <c r="E1050" t="n">
        <v>29</v>
      </c>
      <c r="F1050" t="n">
        <v>0.1092</v>
      </c>
      <c r="G1050" t="n">
        <v>3.64</v>
      </c>
      <c r="H1050" t="n">
        <v>3</v>
      </c>
      <c r="I1050" t="n">
        <v>11</v>
      </c>
      <c r="J1050" t="n">
        <v>1</v>
      </c>
      <c r="K1050" t="n">
        <v>0</v>
      </c>
      <c r="L1050" t="n">
        <v>21521</v>
      </c>
      <c r="M1050" t="n">
        <v>26900</v>
      </c>
      <c r="N1050" t="n">
        <v>91</v>
      </c>
      <c r="O1050" t="n">
        <v>0.91</v>
      </c>
      <c r="P1050" t="n">
        <v>1</v>
      </c>
      <c r="Q1050" t="n">
        <v>0.12</v>
      </c>
      <c r="R1050" t="n">
        <v>0</v>
      </c>
      <c r="S1050" t="n">
        <v>2937.48</v>
      </c>
      <c r="T1050" t="n">
        <v>40</v>
      </c>
      <c r="U1050" t="n">
        <v>41</v>
      </c>
      <c r="V1050" t="n">
        <v>30</v>
      </c>
      <c r="W1050" t="n">
        <v>4</v>
      </c>
      <c r="X1050" t="n">
        <v>265.5677655677655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12803</v>
      </c>
      <c r="AG1050" t="n">
        <v>2122</v>
      </c>
      <c r="AH1050" t="inlineStr">
        <is>
          <t>PT. SINAR PADANG LESTARI - PPN (PDG)</t>
        </is>
      </c>
      <c r="AI1050" t="n">
        <v>1422</v>
      </c>
      <c r="AJ1050" t="inlineStr">
        <is>
          <t>DAZZLE ME</t>
        </is>
      </c>
      <c r="AK1050" t="n">
        <v>21</v>
      </c>
      <c r="AL1050" t="inlineStr">
        <is>
          <t>Miss Glam Damar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DAZZLE ME</t>
        </is>
      </c>
      <c r="B1051" s="2">
        <f>"8859588111897"</f>
        <v/>
      </c>
      <c r="C1051" t="inlineStr">
        <is>
          <t>DAZZLE ME Matte &amp; Gloss Lip Cream Duo N03 Nude Hue 1,5gr</t>
        </is>
      </c>
      <c r="D1051" t="inlineStr">
        <is>
          <t>Miss Glam Damar</t>
        </is>
      </c>
      <c r="E1051" t="n">
        <v>21</v>
      </c>
      <c r="F1051" t="n">
        <v>0.04550000000000001</v>
      </c>
      <c r="G1051" t="n">
        <v>0.91</v>
      </c>
      <c r="H1051" t="n">
        <v>3</v>
      </c>
      <c r="I1051" t="n">
        <v>11</v>
      </c>
      <c r="J1051" t="n">
        <v>3</v>
      </c>
      <c r="K1051" t="n">
        <v>0</v>
      </c>
      <c r="L1051" t="n">
        <v>32720</v>
      </c>
      <c r="M1051" t="n">
        <v>40900</v>
      </c>
      <c r="N1051" t="n">
        <v>91</v>
      </c>
      <c r="O1051" t="n">
        <v>0.91</v>
      </c>
      <c r="P1051" t="n">
        <v>1</v>
      </c>
      <c r="Q1051" t="n">
        <v>0.02</v>
      </c>
      <c r="R1051" t="n">
        <v>1</v>
      </c>
      <c r="S1051" t="n">
        <v>1860.95</v>
      </c>
      <c r="T1051" t="n">
        <v>10</v>
      </c>
      <c r="U1051" t="n">
        <v>11</v>
      </c>
      <c r="V1051" t="n">
        <v>30</v>
      </c>
      <c r="W1051" t="n">
        <v>2</v>
      </c>
      <c r="X1051" t="n">
        <v>461.5384615384615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12803</v>
      </c>
      <c r="AG1051" t="n">
        <v>2122</v>
      </c>
      <c r="AH1051" t="inlineStr">
        <is>
          <t>PT. SINAR PADANG LESTARI - PPN (PDG)</t>
        </is>
      </c>
      <c r="AI1051" t="n">
        <v>1422</v>
      </c>
      <c r="AJ1051" t="inlineStr">
        <is>
          <t>DAZZLE ME</t>
        </is>
      </c>
      <c r="AK1051" t="n">
        <v>21</v>
      </c>
      <c r="AL1051" t="inlineStr">
        <is>
          <t>Miss Glam Damar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DAZZLE ME</t>
        </is>
      </c>
      <c r="B1052" s="2">
        <f>"8859588111934"</f>
        <v/>
      </c>
      <c r="C1052" t="inlineStr">
        <is>
          <t>DAZZLE ME Matte &amp; Gloss Lip Cream Duo P07 Rose Up 1,5gr</t>
        </is>
      </c>
      <c r="D1052" t="inlineStr">
        <is>
          <t>Miss Glam Damar</t>
        </is>
      </c>
      <c r="E1052" t="n">
        <v>2</v>
      </c>
      <c r="F1052" t="n">
        <v>0.04550000000000001</v>
      </c>
      <c r="G1052" t="n">
        <v>0.91</v>
      </c>
      <c r="H1052" t="n">
        <v>3</v>
      </c>
      <c r="I1052" t="n">
        <v>11</v>
      </c>
      <c r="J1052" t="n">
        <v>3</v>
      </c>
      <c r="K1052" t="n">
        <v>0</v>
      </c>
      <c r="L1052" t="n">
        <v>32720</v>
      </c>
      <c r="M1052" t="n">
        <v>40900</v>
      </c>
      <c r="N1052" t="n">
        <v>91</v>
      </c>
      <c r="O1052" t="n">
        <v>0.91</v>
      </c>
      <c r="P1052" t="n">
        <v>1</v>
      </c>
      <c r="Q1052" t="n">
        <v>0.05</v>
      </c>
      <c r="R1052" t="n">
        <v>2</v>
      </c>
      <c r="S1052" t="n">
        <v>1860.95</v>
      </c>
      <c r="T1052" t="n">
        <v>10</v>
      </c>
      <c r="U1052" t="n">
        <v>11</v>
      </c>
      <c r="V1052" t="n">
        <v>30</v>
      </c>
      <c r="W1052" t="n">
        <v>2</v>
      </c>
      <c r="X1052" t="n">
        <v>43.95604395604395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12803</v>
      </c>
      <c r="AG1052" t="n">
        <v>2122</v>
      </c>
      <c r="AH1052" t="inlineStr">
        <is>
          <t>PT. SINAR PADANG LESTARI - PPN (PDG)</t>
        </is>
      </c>
      <c r="AI1052" t="n">
        <v>1422</v>
      </c>
      <c r="AJ1052" t="inlineStr">
        <is>
          <t>DAZZLE ME</t>
        </is>
      </c>
      <c r="AK1052" t="n">
        <v>21</v>
      </c>
      <c r="AL1052" t="inlineStr">
        <is>
          <t>Miss Glam Damar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DAZZLE ME</t>
        </is>
      </c>
      <c r="B1053" s="2">
        <f>"8859588111965"</f>
        <v/>
      </c>
      <c r="C1053" t="inlineStr">
        <is>
          <t>DAZZLE ME Matte &amp; Gloss Lip Cream Duo P10 Berry Banger 1,5gr</t>
        </is>
      </c>
      <c r="D1053" t="inlineStr">
        <is>
          <t>Miss Glam Damar</t>
        </is>
      </c>
      <c r="E1053" t="n">
        <v>4</v>
      </c>
      <c r="F1053" t="n">
        <v>0.4641</v>
      </c>
      <c r="G1053" t="n">
        <v>4.55</v>
      </c>
      <c r="H1053" t="n">
        <v>3</v>
      </c>
      <c r="I1053" t="n">
        <v>11</v>
      </c>
      <c r="J1053" t="n">
        <v>3</v>
      </c>
      <c r="K1053" t="n">
        <v>0</v>
      </c>
      <c r="L1053" t="n">
        <v>32720</v>
      </c>
      <c r="M1053" t="n">
        <v>40900</v>
      </c>
      <c r="N1053" t="n">
        <v>91</v>
      </c>
      <c r="O1053" t="n">
        <v>0.91</v>
      </c>
      <c r="P1053" t="n">
        <v>1</v>
      </c>
      <c r="Q1053" t="n">
        <v>0.12</v>
      </c>
      <c r="R1053" t="n">
        <v>3</v>
      </c>
      <c r="S1053" t="n">
        <v>18981.69</v>
      </c>
      <c r="T1053" t="n">
        <v>49</v>
      </c>
      <c r="U1053" t="n">
        <v>51</v>
      </c>
      <c r="V1053" t="n">
        <v>30</v>
      </c>
      <c r="W1053" t="n">
        <v>14</v>
      </c>
      <c r="X1053" t="n">
        <v>8.618832148243913</v>
      </c>
      <c r="Y1053" t="n">
        <v>1</v>
      </c>
      <c r="Z1053" t="n">
        <v>10</v>
      </c>
      <c r="AA1053" t="n">
        <v>2</v>
      </c>
      <c r="AB1053" t="n">
        <v>8</v>
      </c>
      <c r="AC1053" t="n">
        <v>8</v>
      </c>
      <c r="AD1053" t="n">
        <v>65440</v>
      </c>
      <c r="AE1053" t="n">
        <v>261760</v>
      </c>
      <c r="AF1053" t="n">
        <v>12803</v>
      </c>
      <c r="AG1053" t="n">
        <v>2122</v>
      </c>
      <c r="AH1053" t="inlineStr">
        <is>
          <t>PT. SINAR PADANG LESTARI - PPN (PDG)</t>
        </is>
      </c>
      <c r="AI1053" t="n">
        <v>1422</v>
      </c>
      <c r="AJ1053" t="inlineStr">
        <is>
          <t>DAZZLE ME</t>
        </is>
      </c>
      <c r="AK1053" t="n">
        <v>21</v>
      </c>
      <c r="AL1053" t="inlineStr">
        <is>
          <t>Miss Glam Damar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DAZZLE ME</t>
        </is>
      </c>
      <c r="B1054" s="2">
        <f>"8859588111903"</f>
        <v/>
      </c>
      <c r="C1054" t="inlineStr">
        <is>
          <t>DAZZLE ME Matte &amp; Gloss Lip Cream Duo R04 Mouve Matte 1,5gr</t>
        </is>
      </c>
      <c r="D1054" t="inlineStr">
        <is>
          <t>Miss Glam Damar</t>
        </is>
      </c>
      <c r="E1054" t="n">
        <v>21</v>
      </c>
      <c r="F1054" t="n">
        <v>0.04550000000000001</v>
      </c>
      <c r="G1054" t="n">
        <v>0.91</v>
      </c>
      <c r="H1054" t="n">
        <v>3</v>
      </c>
      <c r="I1054" t="n">
        <v>11</v>
      </c>
      <c r="J1054" t="n">
        <v>3</v>
      </c>
      <c r="K1054" t="n">
        <v>0</v>
      </c>
      <c r="L1054" t="n">
        <v>32720</v>
      </c>
      <c r="M1054" t="n">
        <v>40900</v>
      </c>
      <c r="N1054" t="n">
        <v>91</v>
      </c>
      <c r="O1054" t="n">
        <v>0.91</v>
      </c>
      <c r="P1054" t="n">
        <v>1</v>
      </c>
      <c r="Q1054" t="n">
        <v>0.03</v>
      </c>
      <c r="R1054" t="n">
        <v>1</v>
      </c>
      <c r="S1054" t="n">
        <v>1860.95</v>
      </c>
      <c r="T1054" t="n">
        <v>10</v>
      </c>
      <c r="U1054" t="n">
        <v>11</v>
      </c>
      <c r="V1054" t="n">
        <v>30</v>
      </c>
      <c r="W1054" t="n">
        <v>2</v>
      </c>
      <c r="X1054" t="n">
        <v>461.5384615384615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12803</v>
      </c>
      <c r="AG1054" t="n">
        <v>2122</v>
      </c>
      <c r="AH1054" t="inlineStr">
        <is>
          <t>PT. SINAR PADANG LESTARI - PPN (PDG)</t>
        </is>
      </c>
      <c r="AI1054" t="n">
        <v>1422</v>
      </c>
      <c r="AJ1054" t="inlineStr">
        <is>
          <t>DAZZLE ME</t>
        </is>
      </c>
      <c r="AK1054" t="n">
        <v>21</v>
      </c>
      <c r="AL1054" t="inlineStr">
        <is>
          <t>Miss Glam Damar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DAZZLE ME</t>
        </is>
      </c>
      <c r="B1055" s="2">
        <f>"8991748004059"</f>
        <v/>
      </c>
      <c r="C1055" t="inlineStr">
        <is>
          <t>DAZZLE ME Misty Matte Lip Cream 01 Misty 2g</t>
        </is>
      </c>
      <c r="D1055" t="inlineStr">
        <is>
          <t>Miss Glam Damar</t>
        </is>
      </c>
      <c r="E1055" t="n">
        <v>2</v>
      </c>
      <c r="F1055" t="n">
        <v>0.03</v>
      </c>
      <c r="G1055" t="n">
        <v>1</v>
      </c>
      <c r="H1055" t="n">
        <v>3</v>
      </c>
      <c r="I1055" t="n">
        <v>11</v>
      </c>
      <c r="J1055" t="n">
        <v>3</v>
      </c>
      <c r="K1055" t="n">
        <v>0</v>
      </c>
      <c r="L1055" t="n">
        <v>27500</v>
      </c>
      <c r="M1055" t="n">
        <v>34375</v>
      </c>
      <c r="N1055" t="n">
        <v>91</v>
      </c>
      <c r="O1055" t="n">
        <v>0.91</v>
      </c>
      <c r="P1055" t="n">
        <v>0</v>
      </c>
      <c r="Q1055" t="n">
        <v>0.03</v>
      </c>
      <c r="R1055" t="n">
        <v>1</v>
      </c>
      <c r="S1055" t="n">
        <v>1031.25</v>
      </c>
      <c r="T1055" t="n">
        <v>11</v>
      </c>
      <c r="U1055" t="n">
        <v>12</v>
      </c>
      <c r="V1055" t="n">
        <v>30</v>
      </c>
      <c r="W1055" t="n">
        <v>1</v>
      </c>
      <c r="X1055" t="n">
        <v>66.66666666666667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12803</v>
      </c>
      <c r="AG1055" t="n">
        <v>2122</v>
      </c>
      <c r="AH1055" t="inlineStr">
        <is>
          <t>PT. SINAR PADANG LESTARI - PPN (PDG)</t>
        </is>
      </c>
      <c r="AI1055" t="n">
        <v>1422</v>
      </c>
      <c r="AJ1055" t="inlineStr">
        <is>
          <t>DAZZLE ME</t>
        </is>
      </c>
      <c r="AK1055" t="n">
        <v>21</v>
      </c>
      <c r="AL1055" t="inlineStr">
        <is>
          <t>Miss Glam Damar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DAZZLE ME</t>
        </is>
      </c>
      <c r="B1056" s="2">
        <f>"8991748004066"</f>
        <v/>
      </c>
      <c r="C1056" t="inlineStr">
        <is>
          <t>DAZZLE ME Misty Matte Lip Cream 02 Encounter 2g</t>
        </is>
      </c>
      <c r="D1056" t="inlineStr">
        <is>
          <t>Miss Glam Damar</t>
        </is>
      </c>
      <c r="E1056" t="n">
        <v>2</v>
      </c>
      <c r="F1056" t="n">
        <v>0.02</v>
      </c>
      <c r="G1056" t="n">
        <v>1</v>
      </c>
      <c r="H1056" t="n">
        <v>3</v>
      </c>
      <c r="I1056" t="n">
        <v>11</v>
      </c>
      <c r="J1056" t="n">
        <v>3</v>
      </c>
      <c r="K1056" t="n">
        <v>0</v>
      </c>
      <c r="L1056" t="n">
        <v>27500</v>
      </c>
      <c r="M1056" t="n">
        <v>34375</v>
      </c>
      <c r="N1056" t="n">
        <v>91</v>
      </c>
      <c r="O1056" t="n">
        <v>0.91</v>
      </c>
      <c r="P1056" t="n">
        <v>0</v>
      </c>
      <c r="Q1056" t="n">
        <v>0.02</v>
      </c>
      <c r="R1056" t="n">
        <v>1</v>
      </c>
      <c r="S1056" t="n">
        <v>687.5</v>
      </c>
      <c r="T1056" t="n">
        <v>11</v>
      </c>
      <c r="U1056" t="n">
        <v>12</v>
      </c>
      <c r="V1056" t="n">
        <v>30</v>
      </c>
      <c r="W1056" t="n">
        <v>1</v>
      </c>
      <c r="X1056" t="n">
        <v>100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12803</v>
      </c>
      <c r="AG1056" t="n">
        <v>2122</v>
      </c>
      <c r="AH1056" t="inlineStr">
        <is>
          <t>PT. SINAR PADANG LESTARI - PPN (PDG)</t>
        </is>
      </c>
      <c r="AI1056" t="n">
        <v>1422</v>
      </c>
      <c r="AJ1056" t="inlineStr">
        <is>
          <t>DAZZLE ME</t>
        </is>
      </c>
      <c r="AK1056" t="n">
        <v>21</v>
      </c>
      <c r="AL1056" t="inlineStr">
        <is>
          <t>Miss Glam Damar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DAZZLE ME</t>
        </is>
      </c>
      <c r="B1057" s="2">
        <f>"8991748004097"</f>
        <v/>
      </c>
      <c r="C1057" t="inlineStr">
        <is>
          <t>DAZZLE ME Misty Matte Lip Cream 05 Rose Manor 2g</t>
        </is>
      </c>
      <c r="D1057" t="inlineStr">
        <is>
          <t>Miss Glam Damar</t>
        </is>
      </c>
      <c r="E1057" t="n">
        <v>23</v>
      </c>
      <c r="F1057" t="n">
        <v>0.03</v>
      </c>
      <c r="G1057" t="n">
        <v>1</v>
      </c>
      <c r="H1057" t="n">
        <v>3</v>
      </c>
      <c r="I1057" t="n">
        <v>11</v>
      </c>
      <c r="J1057" t="n">
        <v>3</v>
      </c>
      <c r="K1057" t="n">
        <v>0</v>
      </c>
      <c r="L1057" t="n">
        <v>27500</v>
      </c>
      <c r="M1057" t="n">
        <v>34375</v>
      </c>
      <c r="N1057" t="n">
        <v>91</v>
      </c>
      <c r="O1057" t="n">
        <v>0.91</v>
      </c>
      <c r="P1057" t="n">
        <v>0</v>
      </c>
      <c r="Q1057" t="n">
        <v>0.03</v>
      </c>
      <c r="R1057" t="n">
        <v>1</v>
      </c>
      <c r="S1057" t="n">
        <v>1031.25</v>
      </c>
      <c r="T1057" t="n">
        <v>11</v>
      </c>
      <c r="U1057" t="n">
        <v>12</v>
      </c>
      <c r="V1057" t="n">
        <v>30</v>
      </c>
      <c r="W1057" t="n">
        <v>1</v>
      </c>
      <c r="X1057" t="n">
        <v>766.6666666666667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12803</v>
      </c>
      <c r="AG1057" t="n">
        <v>2122</v>
      </c>
      <c r="AH1057" t="inlineStr">
        <is>
          <t>PT. SINAR PADANG LESTARI - PPN (PDG)</t>
        </is>
      </c>
      <c r="AI1057" t="n">
        <v>1422</v>
      </c>
      <c r="AJ1057" t="inlineStr">
        <is>
          <t>DAZZLE ME</t>
        </is>
      </c>
      <c r="AK1057" t="n">
        <v>21</v>
      </c>
      <c r="AL1057" t="inlineStr">
        <is>
          <t>Miss Glam Damar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DAZZLE ME</t>
        </is>
      </c>
      <c r="B1058" s="2">
        <f>"8859588105582"</f>
        <v/>
      </c>
      <c r="C1058" t="inlineStr">
        <is>
          <t>DAZZLE ME Mousse Lip Cream 0376 Pumpkin Magic 4,5gr</t>
        </is>
      </c>
      <c r="D1058" t="inlineStr">
        <is>
          <t>Miss Glam Damar</t>
        </is>
      </c>
      <c r="E1058" t="n">
        <v>0</v>
      </c>
      <c r="F1058" t="n">
        <v>0.02</v>
      </c>
      <c r="G1058" t="n">
        <v>1</v>
      </c>
      <c r="H1058" t="n">
        <v>3</v>
      </c>
      <c r="I1058" t="n">
        <v>11</v>
      </c>
      <c r="J1058" t="n">
        <v>3</v>
      </c>
      <c r="K1058" t="n">
        <v>0</v>
      </c>
      <c r="L1058" t="n">
        <v>32720</v>
      </c>
      <c r="M1058" t="n">
        <v>40900</v>
      </c>
      <c r="N1058" t="n">
        <v>91</v>
      </c>
      <c r="O1058" t="n">
        <v>0.91</v>
      </c>
      <c r="P1058" t="n">
        <v>0</v>
      </c>
      <c r="Q1058" t="n">
        <v>0.02</v>
      </c>
      <c r="R1058" t="n">
        <v>1</v>
      </c>
      <c r="S1058" t="n">
        <v>818</v>
      </c>
      <c r="T1058" t="n">
        <v>11</v>
      </c>
      <c r="U1058" t="n">
        <v>12</v>
      </c>
      <c r="V1058" t="n">
        <v>30</v>
      </c>
      <c r="W1058" t="n">
        <v>1</v>
      </c>
      <c r="X1058" t="n">
        <v>0</v>
      </c>
      <c r="Y1058" t="n">
        <v>1</v>
      </c>
      <c r="Z1058" t="n">
        <v>1</v>
      </c>
      <c r="AA1058" t="n">
        <v>1</v>
      </c>
      <c r="AB1058" t="n">
        <v>0</v>
      </c>
      <c r="AC1058" t="n">
        <v>0</v>
      </c>
      <c r="AD1058" t="n">
        <v>32720</v>
      </c>
      <c r="AE1058" t="n">
        <v>0</v>
      </c>
      <c r="AF1058" t="n">
        <v>12803</v>
      </c>
      <c r="AG1058" t="n">
        <v>2122</v>
      </c>
      <c r="AH1058" t="inlineStr">
        <is>
          <t>PT. SINAR PADANG LESTARI - PPN (PDG)</t>
        </is>
      </c>
      <c r="AI1058" t="n">
        <v>1422</v>
      </c>
      <c r="AJ1058" t="inlineStr">
        <is>
          <t>DAZZLE ME</t>
        </is>
      </c>
      <c r="AK1058" t="n">
        <v>21</v>
      </c>
      <c r="AL1058" t="inlineStr">
        <is>
          <t>Miss Glam Damar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DAZZLE ME</t>
        </is>
      </c>
      <c r="B1059" s="2">
        <f>"8859588105650"</f>
        <v/>
      </c>
      <c r="C1059" t="inlineStr">
        <is>
          <t>DAZZLE ME Muse Pressed Foundation 01 Fair Enough 6gr</t>
        </is>
      </c>
      <c r="D1059" t="inlineStr">
        <is>
          <t>Miss Glam Damar</t>
        </is>
      </c>
      <c r="E1059" t="n">
        <v>0</v>
      </c>
      <c r="F1059" t="n">
        <v>0.2275</v>
      </c>
      <c r="G1059" t="n">
        <v>1.82</v>
      </c>
      <c r="H1059" t="n">
        <v>3</v>
      </c>
      <c r="I1059" t="n">
        <v>11</v>
      </c>
      <c r="J1059" t="n">
        <v>3</v>
      </c>
      <c r="K1059" t="n">
        <v>0</v>
      </c>
      <c r="L1059" t="n">
        <v>35920</v>
      </c>
      <c r="M1059" t="n">
        <v>44900</v>
      </c>
      <c r="N1059" t="n">
        <v>91</v>
      </c>
      <c r="O1059" t="n">
        <v>0.91</v>
      </c>
      <c r="P1059" t="n">
        <v>1</v>
      </c>
      <c r="Q1059" t="n">
        <v>0.27</v>
      </c>
      <c r="R1059" t="n">
        <v>2</v>
      </c>
      <c r="S1059" t="n">
        <v>10214.75</v>
      </c>
      <c r="T1059" t="n">
        <v>20</v>
      </c>
      <c r="U1059" t="n">
        <v>21</v>
      </c>
      <c r="V1059" t="n">
        <v>30</v>
      </c>
      <c r="W1059" t="n">
        <v>7</v>
      </c>
      <c r="X1059" t="n">
        <v>0</v>
      </c>
      <c r="Y1059" t="n">
        <v>1</v>
      </c>
      <c r="Z1059" t="n">
        <v>7</v>
      </c>
      <c r="AA1059" t="n">
        <v>3</v>
      </c>
      <c r="AB1059" t="n">
        <v>4</v>
      </c>
      <c r="AC1059" t="n">
        <v>4</v>
      </c>
      <c r="AD1059" t="n">
        <v>107760</v>
      </c>
      <c r="AE1059" t="n">
        <v>143680</v>
      </c>
      <c r="AF1059" t="n">
        <v>12803</v>
      </c>
      <c r="AG1059" t="n">
        <v>2122</v>
      </c>
      <c r="AH1059" t="inlineStr">
        <is>
          <t>PT. SINAR PADANG LESTARI - PPN (PDG)</t>
        </is>
      </c>
      <c r="AI1059" t="n">
        <v>1422</v>
      </c>
      <c r="AJ1059" t="inlineStr">
        <is>
          <t>DAZZLE ME</t>
        </is>
      </c>
      <c r="AK1059" t="n">
        <v>21</v>
      </c>
      <c r="AL1059" t="inlineStr">
        <is>
          <t>Miss Glam Damar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DAZZLE ME</t>
        </is>
      </c>
      <c r="B1060" s="2">
        <f>"8859588108033"</f>
        <v/>
      </c>
      <c r="C1060" t="inlineStr">
        <is>
          <t>DAZZLE ME Muse Pressed Foundation 04 Warm Mocca 6gr</t>
        </is>
      </c>
      <c r="D1060" t="inlineStr">
        <is>
          <t>Miss Glam Damar</t>
        </is>
      </c>
      <c r="E1060" t="n">
        <v>1</v>
      </c>
      <c r="F1060" t="n">
        <v>0.06370000000000001</v>
      </c>
      <c r="G1060" t="n">
        <v>0.91</v>
      </c>
      <c r="H1060" t="n">
        <v>3</v>
      </c>
      <c r="I1060" t="n">
        <v>11</v>
      </c>
      <c r="J1060" t="n">
        <v>3</v>
      </c>
      <c r="K1060" t="n">
        <v>0</v>
      </c>
      <c r="L1060" t="n">
        <v>35920</v>
      </c>
      <c r="M1060" t="n">
        <v>44900</v>
      </c>
      <c r="N1060" t="n">
        <v>91</v>
      </c>
      <c r="O1060" t="n">
        <v>0.91</v>
      </c>
      <c r="P1060" t="n">
        <v>1</v>
      </c>
      <c r="Q1060" t="n">
        <v>0.02</v>
      </c>
      <c r="R1060" t="n">
        <v>1</v>
      </c>
      <c r="S1060" t="n">
        <v>2860.13</v>
      </c>
      <c r="T1060" t="n">
        <v>10</v>
      </c>
      <c r="U1060" t="n">
        <v>11</v>
      </c>
      <c r="V1060" t="n">
        <v>30</v>
      </c>
      <c r="W1060" t="n">
        <v>2</v>
      </c>
      <c r="X1060" t="n">
        <v>15.69858712715855</v>
      </c>
      <c r="Y1060" t="n">
        <v>1</v>
      </c>
      <c r="Z1060" t="n">
        <v>1</v>
      </c>
      <c r="AA1060" t="n">
        <v>0</v>
      </c>
      <c r="AB1060" t="n">
        <v>1</v>
      </c>
      <c r="AC1060" t="n">
        <v>3</v>
      </c>
      <c r="AD1060" t="n">
        <v>0</v>
      </c>
      <c r="AE1060" t="n">
        <v>107760</v>
      </c>
      <c r="AF1060" t="n">
        <v>12803</v>
      </c>
      <c r="AG1060" t="n">
        <v>2122</v>
      </c>
      <c r="AH1060" t="inlineStr">
        <is>
          <t>PT. SINAR PADANG LESTARI - PPN (PDG)</t>
        </is>
      </c>
      <c r="AI1060" t="n">
        <v>1422</v>
      </c>
      <c r="AJ1060" t="inlineStr">
        <is>
          <t>DAZZLE ME</t>
        </is>
      </c>
      <c r="AK1060" t="n">
        <v>21</v>
      </c>
      <c r="AL1060" t="inlineStr">
        <is>
          <t>Miss Glam Damar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DAZZLE ME</t>
        </is>
      </c>
      <c r="B1061" s="2">
        <f>"10100407855"</f>
        <v/>
      </c>
      <c r="C1061" t="inlineStr">
        <is>
          <t>DAZZLE ME Niacinamide-Txa Milky Cleanser 100ml</t>
        </is>
      </c>
      <c r="D1061" t="inlineStr">
        <is>
          <t>Miss Glam Damar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91</v>
      </c>
      <c r="O1061" t="n">
        <v>0.91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30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12803</v>
      </c>
      <c r="AG1061" t="n">
        <v>2122</v>
      </c>
      <c r="AH1061" t="inlineStr">
        <is>
          <t>PT. SINAR PADANG LESTARI - PPN (PDG)</t>
        </is>
      </c>
      <c r="AI1061" t="n">
        <v>1422</v>
      </c>
      <c r="AJ1061" t="inlineStr">
        <is>
          <t>DAZZLE ME</t>
        </is>
      </c>
      <c r="AK1061" t="n">
        <v>21</v>
      </c>
      <c r="AL1061" t="inlineStr">
        <is>
          <t>Miss Glam Damar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DAZZLE ME</t>
        </is>
      </c>
      <c r="B1062" s="2">
        <f>"8991748001591"</f>
        <v/>
      </c>
      <c r="C1062" t="inlineStr">
        <is>
          <t>DAZZLE ME Our Secret Cover Concealer 01 Light</t>
        </is>
      </c>
      <c r="D1062" t="inlineStr">
        <is>
          <t>Miss Glam Damar</t>
        </is>
      </c>
      <c r="E1062" t="n">
        <v>0</v>
      </c>
      <c r="F1062" t="n">
        <v>0.03</v>
      </c>
      <c r="G1062" t="n">
        <v>1</v>
      </c>
      <c r="H1062" t="n">
        <v>3</v>
      </c>
      <c r="I1062" t="n">
        <v>11</v>
      </c>
      <c r="J1062" t="n">
        <v>3</v>
      </c>
      <c r="K1062" t="n">
        <v>0</v>
      </c>
      <c r="L1062" t="n">
        <v>31119</v>
      </c>
      <c r="M1062" t="n">
        <v>38900</v>
      </c>
      <c r="N1062" t="n">
        <v>91</v>
      </c>
      <c r="O1062" t="n">
        <v>0.91</v>
      </c>
      <c r="P1062" t="n">
        <v>0</v>
      </c>
      <c r="Q1062" t="n">
        <v>0.03</v>
      </c>
      <c r="R1062" t="n">
        <v>1</v>
      </c>
      <c r="S1062" t="n">
        <v>1167</v>
      </c>
      <c r="T1062" t="n">
        <v>11</v>
      </c>
      <c r="U1062" t="n">
        <v>12</v>
      </c>
      <c r="V1062" t="n">
        <v>30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n">
        <v>0</v>
      </c>
      <c r="AC1062" t="n">
        <v>0</v>
      </c>
      <c r="AD1062" t="n">
        <v>31119</v>
      </c>
      <c r="AE1062" t="n">
        <v>0</v>
      </c>
      <c r="AF1062" t="n">
        <v>12803</v>
      </c>
      <c r="AG1062" t="n">
        <v>2122</v>
      </c>
      <c r="AH1062" t="inlineStr">
        <is>
          <t>PT. SINAR PADANG LESTARI - PPN (PDG)</t>
        </is>
      </c>
      <c r="AI1062" t="n">
        <v>1422</v>
      </c>
      <c r="AJ1062" t="inlineStr">
        <is>
          <t>DAZZLE ME</t>
        </is>
      </c>
      <c r="AK1062" t="n">
        <v>21</v>
      </c>
      <c r="AL1062" t="inlineStr">
        <is>
          <t>Miss Glam Damar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DAZZLE ME</t>
        </is>
      </c>
      <c r="B1063" s="2">
        <f>"8991748005704"</f>
        <v/>
      </c>
      <c r="C1063" t="inlineStr">
        <is>
          <t>DAZZLE ME Our Secret Cover Concealer 03 Petal 2,5gr</t>
        </is>
      </c>
      <c r="D1063" t="inlineStr">
        <is>
          <t>Miss Glam Damar</t>
        </is>
      </c>
      <c r="E1063" t="n">
        <v>10</v>
      </c>
      <c r="F1063" t="n">
        <v>0.07000000000000001</v>
      </c>
      <c r="G1063" t="n">
        <v>1</v>
      </c>
      <c r="H1063" t="n">
        <v>3</v>
      </c>
      <c r="I1063" t="n">
        <v>11</v>
      </c>
      <c r="J1063" t="n">
        <v>3</v>
      </c>
      <c r="K1063" t="n">
        <v>0</v>
      </c>
      <c r="L1063" t="n">
        <v>31119</v>
      </c>
      <c r="M1063" t="n">
        <v>38900</v>
      </c>
      <c r="N1063" t="n">
        <v>91</v>
      </c>
      <c r="O1063" t="n">
        <v>0.91</v>
      </c>
      <c r="P1063" t="n">
        <v>0</v>
      </c>
      <c r="Q1063" t="n">
        <v>0.07000000000000001</v>
      </c>
      <c r="R1063" t="n">
        <v>1</v>
      </c>
      <c r="S1063" t="n">
        <v>2723</v>
      </c>
      <c r="T1063" t="n">
        <v>11</v>
      </c>
      <c r="U1063" t="n">
        <v>12</v>
      </c>
      <c r="V1063" t="n">
        <v>30</v>
      </c>
      <c r="W1063" t="n">
        <v>3</v>
      </c>
      <c r="X1063" t="n">
        <v>142.8571428571428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12803</v>
      </c>
      <c r="AG1063" t="n">
        <v>2122</v>
      </c>
      <c r="AH1063" t="inlineStr">
        <is>
          <t>PT. SINAR PADANG LESTARI - PPN (PDG)</t>
        </is>
      </c>
      <c r="AI1063" t="n">
        <v>1422</v>
      </c>
      <c r="AJ1063" t="inlineStr">
        <is>
          <t>DAZZLE ME</t>
        </is>
      </c>
      <c r="AK1063" t="n">
        <v>21</v>
      </c>
      <c r="AL1063" t="inlineStr">
        <is>
          <t>Miss Glam Damar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DAZZLE ME</t>
        </is>
      </c>
      <c r="B1064" s="2">
        <f>"8991748005711"</f>
        <v/>
      </c>
      <c r="C1064" t="inlineStr">
        <is>
          <t>DAZZLE ME Our Secret Cover Concealer 04 Tawny 2,5gr</t>
        </is>
      </c>
      <c r="D1064" t="inlineStr">
        <is>
          <t>Miss Glam Damar</t>
        </is>
      </c>
      <c r="E1064" t="n">
        <v>2</v>
      </c>
      <c r="F1064" t="n">
        <v>0.09100000000000001</v>
      </c>
      <c r="G1064" t="n">
        <v>0.91</v>
      </c>
      <c r="H1064" t="n">
        <v>3</v>
      </c>
      <c r="I1064" t="n">
        <v>11</v>
      </c>
      <c r="J1064" t="n">
        <v>3</v>
      </c>
      <c r="K1064" t="n">
        <v>0</v>
      </c>
      <c r="L1064" t="n">
        <v>30781</v>
      </c>
      <c r="M1064" t="n">
        <v>38900</v>
      </c>
      <c r="N1064" t="n">
        <v>91</v>
      </c>
      <c r="O1064" t="n">
        <v>0.91</v>
      </c>
      <c r="P1064" t="n">
        <v>1</v>
      </c>
      <c r="Q1064" t="n">
        <v>0.03</v>
      </c>
      <c r="R1064" t="n">
        <v>1</v>
      </c>
      <c r="S1064" t="n">
        <v>3539.900000000001</v>
      </c>
      <c r="T1064" t="n">
        <v>10</v>
      </c>
      <c r="U1064" t="n">
        <v>11</v>
      </c>
      <c r="V1064" t="n">
        <v>30</v>
      </c>
      <c r="W1064" t="n">
        <v>3</v>
      </c>
      <c r="X1064" t="n">
        <v>21.97802197802197</v>
      </c>
      <c r="Y1064" t="n">
        <v>1</v>
      </c>
      <c r="Z1064" t="n">
        <v>1</v>
      </c>
      <c r="AA1064" t="n">
        <v>0</v>
      </c>
      <c r="AB1064" t="n">
        <v>1</v>
      </c>
      <c r="AC1064" t="n">
        <v>3</v>
      </c>
      <c r="AD1064" t="n">
        <v>0</v>
      </c>
      <c r="AE1064" t="n">
        <v>92343</v>
      </c>
      <c r="AF1064" t="n">
        <v>12803</v>
      </c>
      <c r="AG1064" t="n">
        <v>2122</v>
      </c>
      <c r="AH1064" t="inlineStr">
        <is>
          <t>PT. SINAR PADANG LESTARI - PPN (PDG)</t>
        </is>
      </c>
      <c r="AI1064" t="n">
        <v>1422</v>
      </c>
      <c r="AJ1064" t="inlineStr">
        <is>
          <t>DAZZLE ME</t>
        </is>
      </c>
      <c r="AK1064" t="n">
        <v>21</v>
      </c>
      <c r="AL1064" t="inlineStr">
        <is>
          <t>Miss Glam Damar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DAZZLE ME</t>
        </is>
      </c>
      <c r="B1065" s="2">
        <f>"20100706546"</f>
        <v/>
      </c>
      <c r="C1065" t="inlineStr">
        <is>
          <t>DAZZLE Me Supore-Fine Skin Makeup Primer 20gr</t>
        </is>
      </c>
      <c r="D1065" t="inlineStr">
        <is>
          <t>Miss Glam Damar</t>
        </is>
      </c>
      <c r="E1065" t="n">
        <v>0</v>
      </c>
      <c r="F1065" t="n">
        <v>0.1274</v>
      </c>
      <c r="G1065" t="n">
        <v>2.73</v>
      </c>
      <c r="H1065" t="n">
        <v>3</v>
      </c>
      <c r="I1065" t="n">
        <v>11</v>
      </c>
      <c r="J1065" t="n">
        <v>3</v>
      </c>
      <c r="K1065" t="n">
        <v>0</v>
      </c>
      <c r="L1065" t="n">
        <v>39920</v>
      </c>
      <c r="M1065" t="n">
        <v>49900</v>
      </c>
      <c r="N1065" t="n">
        <v>91</v>
      </c>
      <c r="O1065" t="n">
        <v>0.91</v>
      </c>
      <c r="P1065" t="n">
        <v>1</v>
      </c>
      <c r="Q1065" t="n">
        <v>0.06</v>
      </c>
      <c r="R1065" t="n">
        <v>1</v>
      </c>
      <c r="S1065" t="n">
        <v>6357.26</v>
      </c>
      <c r="T1065" t="n">
        <v>30</v>
      </c>
      <c r="U1065" t="n">
        <v>31</v>
      </c>
      <c r="V1065" t="n">
        <v>30</v>
      </c>
      <c r="W1065" t="n">
        <v>4</v>
      </c>
      <c r="X1065" t="n">
        <v>0</v>
      </c>
      <c r="Y1065" t="n">
        <v>1</v>
      </c>
      <c r="Z1065" t="n">
        <v>4</v>
      </c>
      <c r="AA1065" t="n">
        <v>2</v>
      </c>
      <c r="AB1065" t="n">
        <v>2</v>
      </c>
      <c r="AC1065" t="n">
        <v>3</v>
      </c>
      <c r="AD1065" t="n">
        <v>79840</v>
      </c>
      <c r="AE1065" t="n">
        <v>119760</v>
      </c>
      <c r="AF1065" t="n">
        <v>12803</v>
      </c>
      <c r="AG1065" t="n">
        <v>2122</v>
      </c>
      <c r="AH1065" t="inlineStr">
        <is>
          <t>PT. SINAR PADANG LESTARI - PPN (PDG)</t>
        </is>
      </c>
      <c r="AI1065" t="n">
        <v>1422</v>
      </c>
      <c r="AJ1065" t="inlineStr">
        <is>
          <t>DAZZLE ME</t>
        </is>
      </c>
      <c r="AK1065" t="n">
        <v>21</v>
      </c>
      <c r="AL1065" t="inlineStr">
        <is>
          <t>Miss Glam Damar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DAZZLE ME</t>
        </is>
      </c>
      <c r="B1066" s="2">
        <f>"20101210559"</f>
        <v/>
      </c>
      <c r="C1066" t="inlineStr">
        <is>
          <t>DAZZLE ME X Smileyworld Get A Grip! Makeup Setting Spray Prime+Set Anti-Pollution 100ml</t>
        </is>
      </c>
      <c r="D1066" t="inlineStr">
        <is>
          <t>Miss Glam Damar</t>
        </is>
      </c>
      <c r="E1066" t="n">
        <v>92</v>
      </c>
      <c r="F1066" t="n">
        <v>0.14</v>
      </c>
      <c r="G1066" t="n">
        <v>2</v>
      </c>
      <c r="H1066" t="n">
        <v>3</v>
      </c>
      <c r="I1066" t="n">
        <v>11</v>
      </c>
      <c r="J1066" t="n">
        <v>1</v>
      </c>
      <c r="K1066" t="n">
        <v>0</v>
      </c>
      <c r="L1066" t="n">
        <v>62132</v>
      </c>
      <c r="M1066" t="n">
        <v>78000</v>
      </c>
      <c r="N1066" t="n">
        <v>91</v>
      </c>
      <c r="O1066" t="n">
        <v>0.91</v>
      </c>
      <c r="P1066" t="n">
        <v>0</v>
      </c>
      <c r="Q1066" t="n">
        <v>0.14</v>
      </c>
      <c r="R1066" t="n">
        <v>2</v>
      </c>
      <c r="S1066" t="n">
        <v>10920</v>
      </c>
      <c r="T1066" t="n">
        <v>22</v>
      </c>
      <c r="U1066" t="n">
        <v>23</v>
      </c>
      <c r="V1066" t="n">
        <v>30</v>
      </c>
      <c r="W1066" t="n">
        <v>5</v>
      </c>
      <c r="X1066" t="n">
        <v>657.1428571428571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12803</v>
      </c>
      <c r="AG1066" t="n">
        <v>2122</v>
      </c>
      <c r="AH1066" t="inlineStr">
        <is>
          <t>PT. SINAR PADANG LESTARI - PPN (PDG)</t>
        </is>
      </c>
      <c r="AI1066" t="n">
        <v>1422</v>
      </c>
      <c r="AJ1066" t="inlineStr">
        <is>
          <t>DAZZLE ME</t>
        </is>
      </c>
      <c r="AK1066" t="n">
        <v>21</v>
      </c>
      <c r="AL1066" t="inlineStr">
        <is>
          <t>Miss Glam Damar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DAZZLE ME</t>
        </is>
      </c>
      <c r="B1067" s="2">
        <f>"203002199430"</f>
        <v/>
      </c>
      <c r="C1067" t="inlineStr">
        <is>
          <t>DAZZLE MEe Ink-Mousse Lip Cream O376 Pumpkin Magic 2.5ml</t>
        </is>
      </c>
      <c r="D1067" t="inlineStr">
        <is>
          <t>Miss Glam Damar</t>
        </is>
      </c>
      <c r="E1067" t="n">
        <v>4</v>
      </c>
      <c r="F1067" t="n">
        <v>0.0728</v>
      </c>
      <c r="G1067" t="n">
        <v>0.91</v>
      </c>
      <c r="H1067" t="n">
        <v>3</v>
      </c>
      <c r="I1067" t="n">
        <v>11</v>
      </c>
      <c r="J1067" t="n">
        <v>1</v>
      </c>
      <c r="K1067" t="n">
        <v>0</v>
      </c>
      <c r="L1067" t="n">
        <v>31920</v>
      </c>
      <c r="M1067" t="n">
        <v>39900</v>
      </c>
      <c r="N1067" t="n">
        <v>91</v>
      </c>
      <c r="O1067" t="n">
        <v>0.91</v>
      </c>
      <c r="P1067" t="n">
        <v>1</v>
      </c>
      <c r="Q1067" t="n">
        <v>0.05</v>
      </c>
      <c r="R1067" t="n">
        <v>1</v>
      </c>
      <c r="S1067" t="n">
        <v>2904.72</v>
      </c>
      <c r="T1067" t="n">
        <v>10</v>
      </c>
      <c r="U1067" t="n">
        <v>11</v>
      </c>
      <c r="V1067" t="n">
        <v>30</v>
      </c>
      <c r="W1067" t="n">
        <v>3</v>
      </c>
      <c r="X1067" t="n">
        <v>54.94505494505494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12803</v>
      </c>
      <c r="AG1067" t="n">
        <v>2122</v>
      </c>
      <c r="AH1067" t="inlineStr">
        <is>
          <t>PT. SINAR PADANG LESTARI - PPN (PDG)</t>
        </is>
      </c>
      <c r="AI1067" t="n">
        <v>1422</v>
      </c>
      <c r="AJ1067" t="inlineStr">
        <is>
          <t>DAZZLE ME</t>
        </is>
      </c>
      <c r="AK1067" t="n">
        <v>21</v>
      </c>
      <c r="AL1067" t="inlineStr">
        <is>
          <t>Miss Glam Damar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DEAR ME BEAUTY</t>
        </is>
      </c>
      <c r="B1068" s="2">
        <f>"8997230373788"</f>
        <v/>
      </c>
      <c r="C1068" t="inlineStr">
        <is>
          <t>DEAR ME BEAUTY Acne Care Meltaway Balm Cleansing Balm 100gr</t>
        </is>
      </c>
      <c r="D1068" t="inlineStr">
        <is>
          <t>Miss Glam Damar</t>
        </is>
      </c>
      <c r="E1068" t="n">
        <v>0</v>
      </c>
      <c r="F1068" t="n">
        <v>0.16</v>
      </c>
      <c r="G1068" t="n">
        <v>2</v>
      </c>
      <c r="H1068" t="n">
        <v>2</v>
      </c>
      <c r="I1068" t="n">
        <v>16</v>
      </c>
      <c r="J1068" t="n">
        <v>3</v>
      </c>
      <c r="K1068" t="n">
        <v>0</v>
      </c>
      <c r="L1068" t="n">
        <v>119200</v>
      </c>
      <c r="M1068" t="n">
        <v>149000</v>
      </c>
      <c r="N1068" t="n">
        <v>91</v>
      </c>
      <c r="O1068" t="n">
        <v>0.91</v>
      </c>
      <c r="P1068" t="n">
        <v>0</v>
      </c>
      <c r="Q1068" t="n">
        <v>0.16</v>
      </c>
      <c r="R1068" t="n">
        <v>2</v>
      </c>
      <c r="S1068" t="n">
        <v>23840</v>
      </c>
      <c r="T1068" t="n">
        <v>32</v>
      </c>
      <c r="U1068" t="n">
        <v>33</v>
      </c>
      <c r="V1068" t="n">
        <v>30</v>
      </c>
      <c r="W1068" t="n">
        <v>5</v>
      </c>
      <c r="X1068" t="n">
        <v>0</v>
      </c>
      <c r="Y1068" t="n">
        <v>1</v>
      </c>
      <c r="Z1068" t="n">
        <v>5</v>
      </c>
      <c r="AA1068" t="n">
        <v>3</v>
      </c>
      <c r="AB1068" t="n">
        <v>2</v>
      </c>
      <c r="AC1068" t="n">
        <v>3</v>
      </c>
      <c r="AD1068" t="n">
        <v>357600</v>
      </c>
      <c r="AE1068" t="n">
        <v>357600</v>
      </c>
      <c r="AF1068" t="n">
        <v>482</v>
      </c>
      <c r="AG1068" t="n">
        <v>107</v>
      </c>
      <c r="AH1068" t="inlineStr">
        <is>
          <t xml:space="preserve">CV. DAHLIA - PPN (PDG) </t>
        </is>
      </c>
      <c r="AI1068" t="n">
        <v>61</v>
      </c>
      <c r="AJ1068" t="inlineStr">
        <is>
          <t>DEAR ME BEAUTY</t>
        </is>
      </c>
      <c r="AK1068" t="n">
        <v>21</v>
      </c>
      <c r="AL1068" t="inlineStr">
        <is>
          <t>Miss Glam Damar</t>
        </is>
      </c>
      <c r="AM1068" t="n">
        <v>2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DEAR ME BEAUTY</t>
        </is>
      </c>
      <c r="B1069" s="2">
        <f>"8997230377823"</f>
        <v/>
      </c>
      <c r="C1069" t="inlineStr">
        <is>
          <t>DEAR ME BEAUTY Airy Liquid Blush Desert Rose 10ml</t>
        </is>
      </c>
      <c r="D1069" t="inlineStr">
        <is>
          <t>Miss Glam Damar</t>
        </is>
      </c>
      <c r="E1069" t="n">
        <v>3</v>
      </c>
      <c r="F1069" t="n">
        <v>0.06370000000000001</v>
      </c>
      <c r="G1069" t="n">
        <v>0.91</v>
      </c>
      <c r="H1069" t="n">
        <v>2</v>
      </c>
      <c r="I1069" t="n">
        <v>16</v>
      </c>
      <c r="J1069" t="n">
        <v>3</v>
      </c>
      <c r="K1069" t="n">
        <v>0</v>
      </c>
      <c r="L1069" t="n">
        <v>79200</v>
      </c>
      <c r="M1069" t="n">
        <v>99000</v>
      </c>
      <c r="N1069" t="n">
        <v>91</v>
      </c>
      <c r="O1069" t="n">
        <v>0.91</v>
      </c>
      <c r="P1069" t="n">
        <v>1</v>
      </c>
      <c r="Q1069" t="n">
        <v>0.02</v>
      </c>
      <c r="R1069" t="n">
        <v>1</v>
      </c>
      <c r="S1069" t="n">
        <v>6306.300000000001</v>
      </c>
      <c r="T1069" t="n">
        <v>15</v>
      </c>
      <c r="U1069" t="n">
        <v>16</v>
      </c>
      <c r="V1069" t="n">
        <v>30</v>
      </c>
      <c r="W1069" t="n">
        <v>2</v>
      </c>
      <c r="X1069" t="n">
        <v>47.09576138147566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482</v>
      </c>
      <c r="AG1069" t="n">
        <v>107</v>
      </c>
      <c r="AH1069" t="inlineStr">
        <is>
          <t xml:space="preserve">CV. DAHLIA - PPN (PDG) </t>
        </is>
      </c>
      <c r="AI1069" t="n">
        <v>61</v>
      </c>
      <c r="AJ1069" t="inlineStr">
        <is>
          <t>DEAR ME BEAUTY</t>
        </is>
      </c>
      <c r="AK1069" t="n">
        <v>21</v>
      </c>
      <c r="AL1069" t="inlineStr">
        <is>
          <t>Miss Glam Damar</t>
        </is>
      </c>
      <c r="AM1069" t="n">
        <v>2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DEAR ME BEAUTY</t>
        </is>
      </c>
      <c r="B1070" s="2">
        <f>"8997230372088"</f>
        <v/>
      </c>
      <c r="C1070" t="inlineStr">
        <is>
          <t>DEAR ME BEAUTY Airy Poreles Fluid Foundation N00 Nude Porcelain 30gr</t>
        </is>
      </c>
      <c r="D1070" t="inlineStr">
        <is>
          <t>Miss Glam Damar</t>
        </is>
      </c>
      <c r="E1070" t="n">
        <v>5</v>
      </c>
      <c r="F1070" t="n">
        <v>0.04550000000000001</v>
      </c>
      <c r="G1070" t="n">
        <v>0.91</v>
      </c>
      <c r="H1070" t="n">
        <v>2</v>
      </c>
      <c r="I1070" t="n">
        <v>16</v>
      </c>
      <c r="J1070" t="n">
        <v>3</v>
      </c>
      <c r="K1070" t="n">
        <v>0</v>
      </c>
      <c r="L1070" t="n">
        <v>79200</v>
      </c>
      <c r="M1070" t="n">
        <v>99000</v>
      </c>
      <c r="N1070" t="n">
        <v>91</v>
      </c>
      <c r="O1070" t="n">
        <v>0.91</v>
      </c>
      <c r="P1070" t="n">
        <v>1</v>
      </c>
      <c r="Q1070" t="n">
        <v>0.03</v>
      </c>
      <c r="R1070" t="n">
        <v>1</v>
      </c>
      <c r="S1070" t="n">
        <v>4504.500000000001</v>
      </c>
      <c r="T1070" t="n">
        <v>15</v>
      </c>
      <c r="U1070" t="n">
        <v>16</v>
      </c>
      <c r="V1070" t="n">
        <v>30</v>
      </c>
      <c r="W1070" t="n">
        <v>2</v>
      </c>
      <c r="X1070" t="n">
        <v>109.8901098901099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482</v>
      </c>
      <c r="AG1070" t="n">
        <v>107</v>
      </c>
      <c r="AH1070" t="inlineStr">
        <is>
          <t xml:space="preserve">CV. DAHLIA - PPN (PDG) </t>
        </is>
      </c>
      <c r="AI1070" t="n">
        <v>61</v>
      </c>
      <c r="AJ1070" t="inlineStr">
        <is>
          <t>DEAR ME BEAUTY</t>
        </is>
      </c>
      <c r="AK1070" t="n">
        <v>21</v>
      </c>
      <c r="AL1070" t="inlineStr">
        <is>
          <t>Miss Glam Damar</t>
        </is>
      </c>
      <c r="AM1070" t="n">
        <v>2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DEAR ME BEAUTY</t>
        </is>
      </c>
      <c r="B1071" s="2">
        <f>"8997230371302"</f>
        <v/>
      </c>
      <c r="C1071" t="inlineStr">
        <is>
          <t>DEAR ME BEAUTY Airy Poreless Fluid Foundation Creme Ivory 30gr</t>
        </is>
      </c>
      <c r="D1071" t="inlineStr">
        <is>
          <t>Miss Glam Damar</t>
        </is>
      </c>
      <c r="E1071" t="n">
        <v>7</v>
      </c>
      <c r="F1071" t="n">
        <v>0.0182</v>
      </c>
      <c r="G1071" t="n">
        <v>0</v>
      </c>
      <c r="H1071" t="n">
        <v>2</v>
      </c>
      <c r="I1071" t="n">
        <v>16</v>
      </c>
      <c r="J1071" t="n">
        <v>3</v>
      </c>
      <c r="K1071" t="n">
        <v>0</v>
      </c>
      <c r="L1071" t="n">
        <v>79200</v>
      </c>
      <c r="M1071" t="n">
        <v>99000</v>
      </c>
      <c r="N1071" t="n">
        <v>91</v>
      </c>
      <c r="O1071" t="n">
        <v>0.91</v>
      </c>
      <c r="P1071" t="n">
        <v>1</v>
      </c>
      <c r="Q1071" t="n">
        <v>0.03</v>
      </c>
      <c r="R1071" t="n">
        <v>1</v>
      </c>
      <c r="S1071" t="n">
        <v>1801.8</v>
      </c>
      <c r="T1071" t="n">
        <v>0</v>
      </c>
      <c r="U1071" t="n">
        <v>1</v>
      </c>
      <c r="V1071" t="n">
        <v>30</v>
      </c>
      <c r="W1071" t="n">
        <v>1</v>
      </c>
      <c r="X1071" t="n">
        <v>384.6153846153846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482</v>
      </c>
      <c r="AG1071" t="n">
        <v>107</v>
      </c>
      <c r="AH1071" t="inlineStr">
        <is>
          <t xml:space="preserve">CV. DAHLIA - PPN (PDG) </t>
        </is>
      </c>
      <c r="AI1071" t="n">
        <v>61</v>
      </c>
      <c r="AJ1071" t="inlineStr">
        <is>
          <t>DEAR ME BEAUTY</t>
        </is>
      </c>
      <c r="AK1071" t="n">
        <v>21</v>
      </c>
      <c r="AL1071" t="inlineStr">
        <is>
          <t>Miss Glam Damar</t>
        </is>
      </c>
      <c r="AM1071" t="n">
        <v>2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DEAR ME BEAUTY</t>
        </is>
      </c>
      <c r="B1072" s="2">
        <f>"8997230371371"</f>
        <v/>
      </c>
      <c r="C1072" t="inlineStr">
        <is>
          <t>DEAR ME BEAUTY Airy Poreless fluid Foundation Golden Beige 30gr</t>
        </is>
      </c>
      <c r="D1072" t="inlineStr">
        <is>
          <t>Miss Glam Damar</t>
        </is>
      </c>
      <c r="E1072" t="n">
        <v>5</v>
      </c>
      <c r="F1072" t="n">
        <v>0.07000000000000001</v>
      </c>
      <c r="G1072" t="n">
        <v>1</v>
      </c>
      <c r="H1072" t="n">
        <v>2</v>
      </c>
      <c r="I1072" t="n">
        <v>16</v>
      </c>
      <c r="J1072" t="n">
        <v>3</v>
      </c>
      <c r="K1072" t="n">
        <v>0</v>
      </c>
      <c r="L1072" t="n">
        <v>79200</v>
      </c>
      <c r="M1072" t="n">
        <v>99000</v>
      </c>
      <c r="N1072" t="n">
        <v>91</v>
      </c>
      <c r="O1072" t="n">
        <v>0.91</v>
      </c>
      <c r="P1072" t="n">
        <v>0</v>
      </c>
      <c r="Q1072" t="n">
        <v>0.07000000000000001</v>
      </c>
      <c r="R1072" t="n">
        <v>1</v>
      </c>
      <c r="S1072" t="n">
        <v>6930.000000000001</v>
      </c>
      <c r="T1072" t="n">
        <v>16</v>
      </c>
      <c r="U1072" t="n">
        <v>17</v>
      </c>
      <c r="V1072" t="n">
        <v>30</v>
      </c>
      <c r="W1072" t="n">
        <v>3</v>
      </c>
      <c r="X1072" t="n">
        <v>71.42857142857142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482</v>
      </c>
      <c r="AG1072" t="n">
        <v>107</v>
      </c>
      <c r="AH1072" t="inlineStr">
        <is>
          <t xml:space="preserve">CV. DAHLIA - PPN (PDG) </t>
        </is>
      </c>
      <c r="AI1072" t="n">
        <v>61</v>
      </c>
      <c r="AJ1072" t="inlineStr">
        <is>
          <t>DEAR ME BEAUTY</t>
        </is>
      </c>
      <c r="AK1072" t="n">
        <v>21</v>
      </c>
      <c r="AL1072" t="inlineStr">
        <is>
          <t>Miss Glam Damar</t>
        </is>
      </c>
      <c r="AM1072" t="n">
        <v>2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DEAR ME BEAUTY</t>
        </is>
      </c>
      <c r="B1073" s="2">
        <f>"8997230371340"</f>
        <v/>
      </c>
      <c r="C1073" t="inlineStr">
        <is>
          <t>DEAR ME BEAUTY Airy Poreless Fluid Foundation Nude Beige 30gr</t>
        </is>
      </c>
      <c r="D1073" t="inlineStr">
        <is>
          <t>Miss Glam Damar</t>
        </is>
      </c>
      <c r="E1073" t="n">
        <v>6</v>
      </c>
      <c r="F1073" t="n">
        <v>0.0182</v>
      </c>
      <c r="G1073" t="n">
        <v>0.91</v>
      </c>
      <c r="H1073" t="n">
        <v>2</v>
      </c>
      <c r="I1073" t="n">
        <v>16</v>
      </c>
      <c r="J1073" t="n">
        <v>3</v>
      </c>
      <c r="K1073" t="n">
        <v>0</v>
      </c>
      <c r="L1073" t="n">
        <v>79200</v>
      </c>
      <c r="M1073" t="n">
        <v>99000</v>
      </c>
      <c r="N1073" t="n">
        <v>91</v>
      </c>
      <c r="O1073" t="n">
        <v>0.91</v>
      </c>
      <c r="P1073" t="n">
        <v>1</v>
      </c>
      <c r="Q1073" t="n">
        <v>0.08</v>
      </c>
      <c r="R1073" t="n">
        <v>2</v>
      </c>
      <c r="S1073" t="n">
        <v>1801.8</v>
      </c>
      <c r="T1073" t="n">
        <v>15</v>
      </c>
      <c r="U1073" t="n">
        <v>16</v>
      </c>
      <c r="V1073" t="n">
        <v>30</v>
      </c>
      <c r="W1073" t="n">
        <v>1</v>
      </c>
      <c r="X1073" t="n">
        <v>329.6703296703296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482</v>
      </c>
      <c r="AG1073" t="n">
        <v>107</v>
      </c>
      <c r="AH1073" t="inlineStr">
        <is>
          <t xml:space="preserve">CV. DAHLIA - PPN (PDG) </t>
        </is>
      </c>
      <c r="AI1073" t="n">
        <v>61</v>
      </c>
      <c r="AJ1073" t="inlineStr">
        <is>
          <t>DEAR ME BEAUTY</t>
        </is>
      </c>
      <c r="AK1073" t="n">
        <v>21</v>
      </c>
      <c r="AL1073" t="inlineStr">
        <is>
          <t>Miss Glam Damar</t>
        </is>
      </c>
      <c r="AM1073" t="n">
        <v>2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DEAR ME BEAUTY</t>
        </is>
      </c>
      <c r="B1074" s="2">
        <f>"8997230371333"</f>
        <v/>
      </c>
      <c r="C1074" t="inlineStr">
        <is>
          <t>DEAR ME BEAUTY Airy Poreless Fluid Foundation Nude Ivory 30gr</t>
        </is>
      </c>
      <c r="D1074" t="inlineStr">
        <is>
          <t>Miss Glam Damar</t>
        </is>
      </c>
      <c r="E1074" t="n">
        <v>4</v>
      </c>
      <c r="F1074" t="n">
        <v>0.04550000000000001</v>
      </c>
      <c r="G1074" t="n">
        <v>0.91</v>
      </c>
      <c r="H1074" t="n">
        <v>2</v>
      </c>
      <c r="I1074" t="n">
        <v>16</v>
      </c>
      <c r="J1074" t="n">
        <v>3</v>
      </c>
      <c r="K1074" t="n">
        <v>0</v>
      </c>
      <c r="L1074" t="n">
        <v>79200</v>
      </c>
      <c r="M1074" t="n">
        <v>99000</v>
      </c>
      <c r="N1074" t="n">
        <v>91</v>
      </c>
      <c r="O1074" t="n">
        <v>0.91</v>
      </c>
      <c r="P1074" t="n">
        <v>1</v>
      </c>
      <c r="Q1074" t="n">
        <v>0.05</v>
      </c>
      <c r="R1074" t="n">
        <v>1</v>
      </c>
      <c r="S1074" t="n">
        <v>4504.500000000001</v>
      </c>
      <c r="T1074" t="n">
        <v>15</v>
      </c>
      <c r="U1074" t="n">
        <v>16</v>
      </c>
      <c r="V1074" t="n">
        <v>30</v>
      </c>
      <c r="W1074" t="n">
        <v>2</v>
      </c>
      <c r="X1074" t="n">
        <v>87.9120879120879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482</v>
      </c>
      <c r="AG1074" t="n">
        <v>107</v>
      </c>
      <c r="AH1074" t="inlineStr">
        <is>
          <t xml:space="preserve">CV. DAHLIA - PPN (PDG) </t>
        </is>
      </c>
      <c r="AI1074" t="n">
        <v>61</v>
      </c>
      <c r="AJ1074" t="inlineStr">
        <is>
          <t>DEAR ME BEAUTY</t>
        </is>
      </c>
      <c r="AK1074" t="n">
        <v>21</v>
      </c>
      <c r="AL1074" t="inlineStr">
        <is>
          <t>Miss Glam Damar</t>
        </is>
      </c>
      <c r="AM1074" t="n">
        <v>2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DEAR ME BEAUTY</t>
        </is>
      </c>
      <c r="B1075" s="2">
        <f>"8997230372095"</f>
        <v/>
      </c>
      <c r="C1075" t="inlineStr">
        <is>
          <t>DEAR ME BEAUTY Foundation Creame Porcelain</t>
        </is>
      </c>
      <c r="D1075" t="inlineStr">
        <is>
          <t>Miss Glam Damar</t>
        </is>
      </c>
      <c r="E1075" t="n">
        <v>6</v>
      </c>
      <c r="F1075" t="n">
        <v>0.02</v>
      </c>
      <c r="G1075" t="n">
        <v>1</v>
      </c>
      <c r="H1075" t="n">
        <v>2</v>
      </c>
      <c r="I1075" t="n">
        <v>16</v>
      </c>
      <c r="J1075" t="n">
        <v>3</v>
      </c>
      <c r="K1075" t="n">
        <v>0</v>
      </c>
      <c r="L1075" t="n">
        <v>79200</v>
      </c>
      <c r="M1075" t="n">
        <v>99000</v>
      </c>
      <c r="N1075" t="n">
        <v>91</v>
      </c>
      <c r="O1075" t="n">
        <v>0.91</v>
      </c>
      <c r="P1075" t="n">
        <v>0</v>
      </c>
      <c r="Q1075" t="n">
        <v>0.02</v>
      </c>
      <c r="R1075" t="n">
        <v>1</v>
      </c>
      <c r="S1075" t="n">
        <v>1980</v>
      </c>
      <c r="T1075" t="n">
        <v>16</v>
      </c>
      <c r="U1075" t="n">
        <v>17</v>
      </c>
      <c r="V1075" t="n">
        <v>30</v>
      </c>
      <c r="W1075" t="n">
        <v>1</v>
      </c>
      <c r="X1075" t="n">
        <v>300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482</v>
      </c>
      <c r="AG1075" t="n">
        <v>107</v>
      </c>
      <c r="AH1075" t="inlineStr">
        <is>
          <t xml:space="preserve">CV. DAHLIA - PPN (PDG) </t>
        </is>
      </c>
      <c r="AI1075" t="n">
        <v>61</v>
      </c>
      <c r="AJ1075" t="inlineStr">
        <is>
          <t>DEAR ME BEAUTY</t>
        </is>
      </c>
      <c r="AK1075" t="n">
        <v>21</v>
      </c>
      <c r="AL1075" t="inlineStr">
        <is>
          <t>Miss Glam Damar</t>
        </is>
      </c>
      <c r="AM1075" t="n">
        <v>2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DEAR ME BEAUTY</t>
        </is>
      </c>
      <c r="B1076" s="2">
        <f>"203002191112"</f>
        <v/>
      </c>
      <c r="C1076" t="inlineStr">
        <is>
          <t>DEAR ME BEAUTY Hydraglow Lip Stain Dear Gracia 3.5ml</t>
        </is>
      </c>
      <c r="D1076" t="inlineStr">
        <is>
          <t>Miss Glam Damar</t>
        </is>
      </c>
      <c r="E1076" t="n">
        <v>29</v>
      </c>
      <c r="F1076" t="n">
        <v>0.5733</v>
      </c>
      <c r="G1076" t="n">
        <v>3.64</v>
      </c>
      <c r="H1076" t="n">
        <v>2</v>
      </c>
      <c r="I1076" t="n">
        <v>16</v>
      </c>
      <c r="J1076" t="n">
        <v>1</v>
      </c>
      <c r="K1076" t="n">
        <v>0</v>
      </c>
      <c r="L1076" t="n">
        <v>55200</v>
      </c>
      <c r="M1076" t="n">
        <v>69000</v>
      </c>
      <c r="N1076" t="n">
        <v>91</v>
      </c>
      <c r="O1076" t="n">
        <v>0.91</v>
      </c>
      <c r="P1076" t="n">
        <v>1</v>
      </c>
      <c r="Q1076" t="n">
        <v>0.73</v>
      </c>
      <c r="R1076" t="n">
        <v>4</v>
      </c>
      <c r="S1076" t="n">
        <v>39557.7</v>
      </c>
      <c r="T1076" t="n">
        <v>58</v>
      </c>
      <c r="U1076" t="n">
        <v>60</v>
      </c>
      <c r="V1076" t="n">
        <v>30</v>
      </c>
      <c r="W1076" t="n">
        <v>18</v>
      </c>
      <c r="X1076" t="n">
        <v>50.58433629862201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482</v>
      </c>
      <c r="AG1076" t="n">
        <v>107</v>
      </c>
      <c r="AH1076" t="inlineStr">
        <is>
          <t xml:space="preserve">CV. DAHLIA - PPN (PDG) </t>
        </is>
      </c>
      <c r="AI1076" t="n">
        <v>61</v>
      </c>
      <c r="AJ1076" t="inlineStr">
        <is>
          <t>DEAR ME BEAUTY</t>
        </is>
      </c>
      <c r="AK1076" t="n">
        <v>21</v>
      </c>
      <c r="AL1076" t="inlineStr">
        <is>
          <t>Miss Glam Damar</t>
        </is>
      </c>
      <c r="AM1076" t="n">
        <v>2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DEAR ME BEAUTY</t>
        </is>
      </c>
      <c r="B1077" s="2">
        <f>"10700333817"</f>
        <v/>
      </c>
      <c r="C1077" t="inlineStr">
        <is>
          <t>DEAR ME BEAUTY Hypergloss  Lip Balm Dara 3,5gr</t>
        </is>
      </c>
      <c r="D1077" t="inlineStr">
        <is>
          <t>Miss Glam Damar</t>
        </is>
      </c>
      <c r="E1077" t="n">
        <v>8</v>
      </c>
      <c r="F1077" t="n">
        <v>0.182</v>
      </c>
      <c r="G1077" t="n">
        <v>1.82</v>
      </c>
      <c r="H1077" t="n">
        <v>2</v>
      </c>
      <c r="I1077" t="n">
        <v>16</v>
      </c>
      <c r="J1077" t="n">
        <v>1</v>
      </c>
      <c r="K1077" t="n">
        <v>0</v>
      </c>
      <c r="L1077" t="n">
        <v>71200</v>
      </c>
      <c r="M1077" t="n">
        <v>89000</v>
      </c>
      <c r="N1077" t="n">
        <v>91</v>
      </c>
      <c r="O1077" t="n">
        <v>0.91</v>
      </c>
      <c r="P1077" t="n">
        <v>1</v>
      </c>
      <c r="Q1077" t="n">
        <v>0.15</v>
      </c>
      <c r="R1077" t="n">
        <v>1</v>
      </c>
      <c r="S1077" t="n">
        <v>16198</v>
      </c>
      <c r="T1077" t="n">
        <v>29</v>
      </c>
      <c r="U1077" t="n">
        <v>30</v>
      </c>
      <c r="V1077" t="n">
        <v>30</v>
      </c>
      <c r="W1077" t="n">
        <v>6</v>
      </c>
      <c r="X1077" t="n">
        <v>43.95604395604395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482</v>
      </c>
      <c r="AG1077" t="n">
        <v>107</v>
      </c>
      <c r="AH1077" t="inlineStr">
        <is>
          <t xml:space="preserve">CV. DAHLIA - PPN (PDG) </t>
        </is>
      </c>
      <c r="AI1077" t="n">
        <v>61</v>
      </c>
      <c r="AJ1077" t="inlineStr">
        <is>
          <t>DEAR ME BEAUTY</t>
        </is>
      </c>
      <c r="AK1077" t="n">
        <v>21</v>
      </c>
      <c r="AL1077" t="inlineStr">
        <is>
          <t>Miss Glam Damar</t>
        </is>
      </c>
      <c r="AM1077" t="n">
        <v>2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DEAR ME BEAUTY</t>
        </is>
      </c>
      <c r="B1078" s="2">
        <f>"10700333649"</f>
        <v/>
      </c>
      <c r="C1078" t="inlineStr">
        <is>
          <t>DEAR ME BEAUTY Hypergloss  Lip Balm Puspa 3,5gr</t>
        </is>
      </c>
      <c r="D1078" t="inlineStr">
        <is>
          <t>Miss Glam Damar</t>
        </is>
      </c>
      <c r="E1078" t="n">
        <v>14</v>
      </c>
      <c r="F1078" t="n">
        <v>0.0182</v>
      </c>
      <c r="G1078" t="n">
        <v>0.91</v>
      </c>
      <c r="H1078" t="n">
        <v>2</v>
      </c>
      <c r="I1078" t="n">
        <v>16</v>
      </c>
      <c r="J1078" t="n">
        <v>1</v>
      </c>
      <c r="K1078" t="n">
        <v>0</v>
      </c>
      <c r="L1078" t="n">
        <v>71200</v>
      </c>
      <c r="M1078" t="n">
        <v>89000</v>
      </c>
      <c r="N1078" t="n">
        <v>91</v>
      </c>
      <c r="O1078" t="n">
        <v>0.91</v>
      </c>
      <c r="P1078" t="n">
        <v>1</v>
      </c>
      <c r="Q1078" t="n">
        <v>0.03</v>
      </c>
      <c r="R1078" t="n">
        <v>1</v>
      </c>
      <c r="S1078" t="n">
        <v>1619.8</v>
      </c>
      <c r="T1078" t="n">
        <v>15</v>
      </c>
      <c r="U1078" t="n">
        <v>16</v>
      </c>
      <c r="V1078" t="n">
        <v>30</v>
      </c>
      <c r="W1078" t="n">
        <v>1</v>
      </c>
      <c r="X1078" t="n">
        <v>769.2307692307692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482</v>
      </c>
      <c r="AG1078" t="n">
        <v>107</v>
      </c>
      <c r="AH1078" t="inlineStr">
        <is>
          <t xml:space="preserve">CV. DAHLIA - PPN (PDG) </t>
        </is>
      </c>
      <c r="AI1078" t="n">
        <v>61</v>
      </c>
      <c r="AJ1078" t="inlineStr">
        <is>
          <t>DEAR ME BEAUTY</t>
        </is>
      </c>
      <c r="AK1078" t="n">
        <v>21</v>
      </c>
      <c r="AL1078" t="inlineStr">
        <is>
          <t>Miss Glam Damar</t>
        </is>
      </c>
      <c r="AM1078" t="n">
        <v>2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DEAR ME BEAUTY</t>
        </is>
      </c>
      <c r="B1079" s="2">
        <f>"10700333745"</f>
        <v/>
      </c>
      <c r="C1079" t="inlineStr">
        <is>
          <t>DEAR ME BEAUTY Hypergloss  Lip Balm Rosa 3,5gr</t>
        </is>
      </c>
      <c r="D1079" t="inlineStr">
        <is>
          <t>Miss Glam Damar</t>
        </is>
      </c>
      <c r="E1079" t="n">
        <v>17</v>
      </c>
      <c r="F1079" t="n">
        <v>0.2457</v>
      </c>
      <c r="G1079" t="n">
        <v>1.82</v>
      </c>
      <c r="H1079" t="n">
        <v>2</v>
      </c>
      <c r="I1079" t="n">
        <v>16</v>
      </c>
      <c r="J1079" t="n">
        <v>1</v>
      </c>
      <c r="K1079" t="n">
        <v>0</v>
      </c>
      <c r="L1079" t="n">
        <v>71200</v>
      </c>
      <c r="M1079" t="n">
        <v>89000</v>
      </c>
      <c r="N1079" t="n">
        <v>91</v>
      </c>
      <c r="O1079" t="n">
        <v>0.91</v>
      </c>
      <c r="P1079" t="n">
        <v>1</v>
      </c>
      <c r="Q1079" t="n">
        <v>0.36</v>
      </c>
      <c r="R1079" t="n">
        <v>2</v>
      </c>
      <c r="S1079" t="n">
        <v>21867.3</v>
      </c>
      <c r="T1079" t="n">
        <v>29</v>
      </c>
      <c r="U1079" t="n">
        <v>30</v>
      </c>
      <c r="V1079" t="n">
        <v>30</v>
      </c>
      <c r="W1079" t="n">
        <v>8</v>
      </c>
      <c r="X1079" t="n">
        <v>69.19006919006918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482</v>
      </c>
      <c r="AG1079" t="n">
        <v>107</v>
      </c>
      <c r="AH1079" t="inlineStr">
        <is>
          <t xml:space="preserve">CV. DAHLIA - PPN (PDG) </t>
        </is>
      </c>
      <c r="AI1079" t="n">
        <v>61</v>
      </c>
      <c r="AJ1079" t="inlineStr">
        <is>
          <t>DEAR ME BEAUTY</t>
        </is>
      </c>
      <c r="AK1079" t="n">
        <v>21</v>
      </c>
      <c r="AL1079" t="inlineStr">
        <is>
          <t>Miss Glam Damar</t>
        </is>
      </c>
      <c r="AM1079" t="n">
        <v>2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DEAR ME BEAUTY</t>
        </is>
      </c>
      <c r="B1080" s="2">
        <f>"8997230374754"</f>
        <v/>
      </c>
      <c r="C1080" t="inlineStr">
        <is>
          <t>DEAR ME BEAUTY Hypergloss Lip Balm Dear Lala 3.5gr</t>
        </is>
      </c>
      <c r="D1080" t="inlineStr">
        <is>
          <t>Miss Glam Damar</t>
        </is>
      </c>
      <c r="E1080" t="n">
        <v>12</v>
      </c>
      <c r="F1080" t="n">
        <v>0.3549</v>
      </c>
      <c r="G1080" t="n">
        <v>1.82</v>
      </c>
      <c r="H1080" t="n">
        <v>2</v>
      </c>
      <c r="I1080" t="n">
        <v>16</v>
      </c>
      <c r="J1080" t="n">
        <v>3</v>
      </c>
      <c r="K1080" t="n">
        <v>0</v>
      </c>
      <c r="L1080" t="n">
        <v>71200</v>
      </c>
      <c r="M1080" t="n">
        <v>88000</v>
      </c>
      <c r="N1080" t="n">
        <v>91</v>
      </c>
      <c r="O1080" t="n">
        <v>0.91</v>
      </c>
      <c r="P1080" t="n">
        <v>1</v>
      </c>
      <c r="Q1080" t="n">
        <v>0.42</v>
      </c>
      <c r="R1080" t="n">
        <v>3</v>
      </c>
      <c r="S1080" t="n">
        <v>31231.2</v>
      </c>
      <c r="T1080" t="n">
        <v>29</v>
      </c>
      <c r="U1080" t="n">
        <v>30</v>
      </c>
      <c r="V1080" t="n">
        <v>30</v>
      </c>
      <c r="W1080" t="n">
        <v>11</v>
      </c>
      <c r="X1080" t="n">
        <v>33.81234150464919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482</v>
      </c>
      <c r="AG1080" t="n">
        <v>107</v>
      </c>
      <c r="AH1080" t="inlineStr">
        <is>
          <t xml:space="preserve">CV. DAHLIA - PPN (PDG) </t>
        </is>
      </c>
      <c r="AI1080" t="n">
        <v>61</v>
      </c>
      <c r="AJ1080" t="inlineStr">
        <is>
          <t>DEAR ME BEAUTY</t>
        </is>
      </c>
      <c r="AK1080" t="n">
        <v>21</v>
      </c>
      <c r="AL1080" t="inlineStr">
        <is>
          <t>Miss Glam Damar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DEAR ME BEAUTY</t>
        </is>
      </c>
      <c r="B1081" s="2">
        <f>"8997230374655"</f>
        <v/>
      </c>
      <c r="C1081" t="inlineStr">
        <is>
          <t>DEAR ME BEAUTY Hypergloss Lip Balm Dear Lia 3.5gr</t>
        </is>
      </c>
      <c r="D1081" t="inlineStr">
        <is>
          <t>Miss Glam Damar</t>
        </is>
      </c>
      <c r="E1081" t="n">
        <v>7</v>
      </c>
      <c r="F1081" t="n">
        <v>0.05</v>
      </c>
      <c r="G1081" t="n">
        <v>1</v>
      </c>
      <c r="H1081" t="n">
        <v>2</v>
      </c>
      <c r="I1081" t="n">
        <v>16</v>
      </c>
      <c r="J1081" t="n">
        <v>3</v>
      </c>
      <c r="K1081" t="n">
        <v>0</v>
      </c>
      <c r="L1081" t="n">
        <v>71200</v>
      </c>
      <c r="M1081" t="n">
        <v>88000</v>
      </c>
      <c r="N1081" t="n">
        <v>91</v>
      </c>
      <c r="O1081" t="n">
        <v>0.91</v>
      </c>
      <c r="P1081" t="n">
        <v>0</v>
      </c>
      <c r="Q1081" t="n">
        <v>0.05</v>
      </c>
      <c r="R1081" t="n">
        <v>1</v>
      </c>
      <c r="S1081" t="n">
        <v>4400</v>
      </c>
      <c r="T1081" t="n">
        <v>16</v>
      </c>
      <c r="U1081" t="n">
        <v>17</v>
      </c>
      <c r="V1081" t="n">
        <v>30</v>
      </c>
      <c r="W1081" t="n">
        <v>2</v>
      </c>
      <c r="X1081" t="n">
        <v>140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482</v>
      </c>
      <c r="AG1081" t="n">
        <v>107</v>
      </c>
      <c r="AH1081" t="inlineStr">
        <is>
          <t xml:space="preserve">CV. DAHLIA - PPN (PDG) </t>
        </is>
      </c>
      <c r="AI1081" t="n">
        <v>61</v>
      </c>
      <c r="AJ1081" t="inlineStr">
        <is>
          <t>DEAR ME BEAUTY</t>
        </is>
      </c>
      <c r="AK1081" t="n">
        <v>21</v>
      </c>
      <c r="AL1081" t="inlineStr">
        <is>
          <t>Miss Glam Damar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DEAR ME BEAUTY</t>
        </is>
      </c>
      <c r="B1082" s="2">
        <f>"8997230377496"</f>
        <v/>
      </c>
      <c r="C1082" t="inlineStr">
        <is>
          <t>DEAR ME BEAUTY Hypergloss Lip Balm Dear Rachel 3.5gr</t>
        </is>
      </c>
      <c r="D1082" t="inlineStr">
        <is>
          <t>Miss Glam Damar</t>
        </is>
      </c>
      <c r="E1082" t="n">
        <v>14</v>
      </c>
      <c r="F1082" t="n">
        <v>0.2912</v>
      </c>
      <c r="G1082" t="n">
        <v>1.82</v>
      </c>
      <c r="H1082" t="n">
        <v>2</v>
      </c>
      <c r="I1082" t="n">
        <v>16</v>
      </c>
      <c r="J1082" t="n">
        <v>3</v>
      </c>
      <c r="K1082" t="n">
        <v>0</v>
      </c>
      <c r="L1082" t="n">
        <v>71200</v>
      </c>
      <c r="M1082" t="n">
        <v>88000</v>
      </c>
      <c r="N1082" t="n">
        <v>91</v>
      </c>
      <c r="O1082" t="n">
        <v>0.91</v>
      </c>
      <c r="P1082" t="n">
        <v>1</v>
      </c>
      <c r="Q1082" t="n">
        <v>0.66</v>
      </c>
      <c r="R1082" t="n">
        <v>3</v>
      </c>
      <c r="S1082" t="n">
        <v>25625.6</v>
      </c>
      <c r="T1082" t="n">
        <v>29</v>
      </c>
      <c r="U1082" t="n">
        <v>30</v>
      </c>
      <c r="V1082" t="n">
        <v>30</v>
      </c>
      <c r="W1082" t="n">
        <v>9</v>
      </c>
      <c r="X1082" t="n">
        <v>48.07692307692307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482</v>
      </c>
      <c r="AG1082" t="n">
        <v>107</v>
      </c>
      <c r="AH1082" t="inlineStr">
        <is>
          <t xml:space="preserve">CV. DAHLIA - PPN (PDG) </t>
        </is>
      </c>
      <c r="AI1082" t="n">
        <v>61</v>
      </c>
      <c r="AJ1082" t="inlineStr">
        <is>
          <t>DEAR ME BEAUTY</t>
        </is>
      </c>
      <c r="AK1082" t="n">
        <v>21</v>
      </c>
      <c r="AL1082" t="inlineStr">
        <is>
          <t>Miss Glam Damar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DEAR ME BEAUTY</t>
        </is>
      </c>
      <c r="B1083" s="2">
        <f>"8997230374624"</f>
        <v/>
      </c>
      <c r="C1083" t="inlineStr">
        <is>
          <t>DEAR ME BEAUTY Hypergloss Lip Balm Dear Rene 3.5gr</t>
        </is>
      </c>
      <c r="D1083" t="inlineStr">
        <is>
          <t>Miss Glam Damar</t>
        </is>
      </c>
      <c r="E1083" t="n">
        <v>6</v>
      </c>
      <c r="F1083" t="n">
        <v>0.1729</v>
      </c>
      <c r="G1083" t="n">
        <v>3.64</v>
      </c>
      <c r="H1083" t="n">
        <v>2</v>
      </c>
      <c r="I1083" t="n">
        <v>16</v>
      </c>
      <c r="J1083" t="n">
        <v>3</v>
      </c>
      <c r="K1083" t="n">
        <v>0</v>
      </c>
      <c r="L1083" t="n">
        <v>71200</v>
      </c>
      <c r="M1083" t="n">
        <v>88000</v>
      </c>
      <c r="N1083" t="n">
        <v>91</v>
      </c>
      <c r="O1083" t="n">
        <v>0.91</v>
      </c>
      <c r="P1083" t="n">
        <v>1</v>
      </c>
      <c r="Q1083" t="n">
        <v>0.12</v>
      </c>
      <c r="R1083" t="n">
        <v>1</v>
      </c>
      <c r="S1083" t="n">
        <v>15215.2</v>
      </c>
      <c r="T1083" t="n">
        <v>58</v>
      </c>
      <c r="U1083" t="n">
        <v>59</v>
      </c>
      <c r="V1083" t="n">
        <v>30</v>
      </c>
      <c r="W1083" t="n">
        <v>6</v>
      </c>
      <c r="X1083" t="n">
        <v>34.70213996529786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482</v>
      </c>
      <c r="AG1083" t="n">
        <v>107</v>
      </c>
      <c r="AH1083" t="inlineStr">
        <is>
          <t xml:space="preserve">CV. DAHLIA - PPN (PDG) </t>
        </is>
      </c>
      <c r="AI1083" t="n">
        <v>61</v>
      </c>
      <c r="AJ1083" t="inlineStr">
        <is>
          <t>DEAR ME BEAUTY</t>
        </is>
      </c>
      <c r="AK1083" t="n">
        <v>21</v>
      </c>
      <c r="AL1083" t="inlineStr">
        <is>
          <t>Miss Glam Damar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DEAR ME BEAUTY</t>
        </is>
      </c>
      <c r="B1084" s="2">
        <f>"8997230374631"</f>
        <v/>
      </c>
      <c r="C1084" t="inlineStr">
        <is>
          <t>DEAR ME BEAUTY Hypergloss Lip Balm Dear Sonya 3.5gr</t>
        </is>
      </c>
      <c r="D1084" t="inlineStr">
        <is>
          <t>Miss Glam Damar</t>
        </is>
      </c>
      <c r="E1084" t="n">
        <v>14</v>
      </c>
      <c r="F1084" t="n">
        <v>0.1547</v>
      </c>
      <c r="G1084" t="n">
        <v>0.91</v>
      </c>
      <c r="H1084" t="n">
        <v>2</v>
      </c>
      <c r="I1084" t="n">
        <v>16</v>
      </c>
      <c r="J1084" t="n">
        <v>3</v>
      </c>
      <c r="K1084" t="n">
        <v>0</v>
      </c>
      <c r="L1084" t="n">
        <v>71200</v>
      </c>
      <c r="M1084" t="n">
        <v>88000</v>
      </c>
      <c r="N1084" t="n">
        <v>91</v>
      </c>
      <c r="O1084" t="n">
        <v>0.91</v>
      </c>
      <c r="P1084" t="n">
        <v>1</v>
      </c>
      <c r="Q1084" t="n">
        <v>0.22</v>
      </c>
      <c r="R1084" t="n">
        <v>1</v>
      </c>
      <c r="S1084" t="n">
        <v>13613.6</v>
      </c>
      <c r="T1084" t="n">
        <v>15</v>
      </c>
      <c r="U1084" t="n">
        <v>16</v>
      </c>
      <c r="V1084" t="n">
        <v>30</v>
      </c>
      <c r="W1084" t="n">
        <v>5</v>
      </c>
      <c r="X1084" t="n">
        <v>90.49773755656108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482</v>
      </c>
      <c r="AG1084" t="n">
        <v>107</v>
      </c>
      <c r="AH1084" t="inlineStr">
        <is>
          <t xml:space="preserve">CV. DAHLIA - PPN (PDG) </t>
        </is>
      </c>
      <c r="AI1084" t="n">
        <v>61</v>
      </c>
      <c r="AJ1084" t="inlineStr">
        <is>
          <t>DEAR ME BEAUTY</t>
        </is>
      </c>
      <c r="AK1084" t="n">
        <v>21</v>
      </c>
      <c r="AL1084" t="inlineStr">
        <is>
          <t>Miss Glam Damar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DEAR ME BEAUTY</t>
        </is>
      </c>
      <c r="B1085" s="2">
        <f>"8997230374662"</f>
        <v/>
      </c>
      <c r="C1085" t="inlineStr">
        <is>
          <t>DEAR ME BEAUTY Hypergloss Lip Balm Dear Winna 3.5gr</t>
        </is>
      </c>
      <c r="D1085" t="inlineStr">
        <is>
          <t>Miss Glam Damar</t>
        </is>
      </c>
      <c r="E1085" t="n">
        <v>3</v>
      </c>
      <c r="F1085" t="n">
        <v>0.0273</v>
      </c>
      <c r="G1085" t="n">
        <v>0.91</v>
      </c>
      <c r="H1085" t="n">
        <v>2</v>
      </c>
      <c r="I1085" t="n">
        <v>16</v>
      </c>
      <c r="J1085" t="n">
        <v>3</v>
      </c>
      <c r="K1085" t="n">
        <v>0</v>
      </c>
      <c r="L1085" t="n">
        <v>71200</v>
      </c>
      <c r="M1085" t="n">
        <v>88000</v>
      </c>
      <c r="N1085" t="n">
        <v>91</v>
      </c>
      <c r="O1085" t="n">
        <v>0.91</v>
      </c>
      <c r="P1085" t="n">
        <v>1</v>
      </c>
      <c r="Q1085" t="n">
        <v>0.08</v>
      </c>
      <c r="R1085" t="n">
        <v>2</v>
      </c>
      <c r="S1085" t="n">
        <v>2402.4</v>
      </c>
      <c r="T1085" t="n">
        <v>15</v>
      </c>
      <c r="U1085" t="n">
        <v>16</v>
      </c>
      <c r="V1085" t="n">
        <v>30</v>
      </c>
      <c r="W1085" t="n">
        <v>1</v>
      </c>
      <c r="X1085" t="n">
        <v>109.8901098901099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482</v>
      </c>
      <c r="AG1085" t="n">
        <v>107</v>
      </c>
      <c r="AH1085" t="inlineStr">
        <is>
          <t xml:space="preserve">CV. DAHLIA - PPN (PDG) </t>
        </is>
      </c>
      <c r="AI1085" t="n">
        <v>61</v>
      </c>
      <c r="AJ1085" t="inlineStr">
        <is>
          <t>DEAR ME BEAUTY</t>
        </is>
      </c>
      <c r="AK1085" t="n">
        <v>21</v>
      </c>
      <c r="AL1085" t="inlineStr">
        <is>
          <t>Miss Glam Damar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DEAR ME BEAUTY</t>
        </is>
      </c>
      <c r="B1086" s="2">
        <f>"20300444854"</f>
        <v/>
      </c>
      <c r="C1086" t="inlineStr">
        <is>
          <t>DEAR ME BEAUTY Lip Stain Dear Luna 3.5ml</t>
        </is>
      </c>
      <c r="D1086" t="inlineStr">
        <is>
          <t>Miss Glam Damar</t>
        </is>
      </c>
      <c r="E1086" t="n">
        <v>16</v>
      </c>
      <c r="F1086" t="n">
        <v>0.3822</v>
      </c>
      <c r="G1086" t="n">
        <v>2.73</v>
      </c>
      <c r="H1086" t="n">
        <v>2</v>
      </c>
      <c r="I1086" t="n">
        <v>16</v>
      </c>
      <c r="J1086" t="n">
        <v>1</v>
      </c>
      <c r="K1086" t="n">
        <v>0</v>
      </c>
      <c r="L1086" t="n">
        <v>55200</v>
      </c>
      <c r="M1086" t="n">
        <v>69000</v>
      </c>
      <c r="N1086" t="n">
        <v>91</v>
      </c>
      <c r="O1086" t="n">
        <v>0.91</v>
      </c>
      <c r="P1086" t="n">
        <v>1</v>
      </c>
      <c r="Q1086" t="n">
        <v>0.42</v>
      </c>
      <c r="R1086" t="n">
        <v>3</v>
      </c>
      <c r="S1086" t="n">
        <v>26371.8</v>
      </c>
      <c r="T1086" t="n">
        <v>43</v>
      </c>
      <c r="U1086" t="n">
        <v>44</v>
      </c>
      <c r="V1086" t="n">
        <v>30</v>
      </c>
      <c r="W1086" t="n">
        <v>12</v>
      </c>
      <c r="X1086" t="n">
        <v>41.86289900575615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482</v>
      </c>
      <c r="AG1086" t="n">
        <v>107</v>
      </c>
      <c r="AH1086" t="inlineStr">
        <is>
          <t xml:space="preserve">CV. DAHLIA - PPN (PDG) </t>
        </is>
      </c>
      <c r="AI1086" t="n">
        <v>61</v>
      </c>
      <c r="AJ1086" t="inlineStr">
        <is>
          <t>DEAR ME BEAUTY</t>
        </is>
      </c>
      <c r="AK1086" t="n">
        <v>21</v>
      </c>
      <c r="AL1086" t="inlineStr">
        <is>
          <t>Miss Glam Damar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DEAR ME BEAUTY</t>
        </is>
      </c>
      <c r="B1087" s="2">
        <f>"20300444709"</f>
        <v/>
      </c>
      <c r="C1087" t="inlineStr">
        <is>
          <t>DEAR ME BEAUTY Lip Stain Dear Olivia 3.5ml</t>
        </is>
      </c>
      <c r="D1087" t="inlineStr">
        <is>
          <t>Miss Glam Damar</t>
        </is>
      </c>
      <c r="E1087" t="n">
        <v>5</v>
      </c>
      <c r="F1087" t="n">
        <v>0.0728</v>
      </c>
      <c r="G1087" t="n">
        <v>2.73</v>
      </c>
      <c r="H1087" t="n">
        <v>2</v>
      </c>
      <c r="I1087" t="n">
        <v>16</v>
      </c>
      <c r="J1087" t="n">
        <v>1</v>
      </c>
      <c r="K1087" t="n">
        <v>0</v>
      </c>
      <c r="L1087" t="n">
        <v>55200</v>
      </c>
      <c r="M1087" t="n">
        <v>69000</v>
      </c>
      <c r="N1087" t="n">
        <v>91</v>
      </c>
      <c r="O1087" t="n">
        <v>0.91</v>
      </c>
      <c r="P1087" t="n">
        <v>1</v>
      </c>
      <c r="Q1087" t="n">
        <v>0.17</v>
      </c>
      <c r="R1087" t="n">
        <v>1</v>
      </c>
      <c r="S1087" t="n">
        <v>5023.2</v>
      </c>
      <c r="T1087" t="n">
        <v>44</v>
      </c>
      <c r="U1087" t="n">
        <v>45</v>
      </c>
      <c r="V1087" t="n">
        <v>30</v>
      </c>
      <c r="W1087" t="n">
        <v>3</v>
      </c>
      <c r="X1087" t="n">
        <v>68.68131868131867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482</v>
      </c>
      <c r="AG1087" t="n">
        <v>107</v>
      </c>
      <c r="AH1087" t="inlineStr">
        <is>
          <t xml:space="preserve">CV. DAHLIA - PPN (PDG) </t>
        </is>
      </c>
      <c r="AI1087" t="n">
        <v>61</v>
      </c>
      <c r="AJ1087" t="inlineStr">
        <is>
          <t>DEAR ME BEAUTY</t>
        </is>
      </c>
      <c r="AK1087" t="n">
        <v>21</v>
      </c>
      <c r="AL1087" t="inlineStr">
        <is>
          <t>Miss Glam Damar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DEAR ME BEAUTY</t>
        </is>
      </c>
      <c r="B1088" s="2">
        <f>"20300445010"</f>
        <v/>
      </c>
      <c r="C1088" t="inlineStr">
        <is>
          <t>DEAR ME BEAUTY Lip Stain Dear Sabrina 3.5ml</t>
        </is>
      </c>
      <c r="D1088" t="inlineStr">
        <is>
          <t>Miss Glam Damar</t>
        </is>
      </c>
      <c r="E1088" t="n">
        <v>6</v>
      </c>
      <c r="F1088" t="n">
        <v>0.06370000000000001</v>
      </c>
      <c r="G1088" t="n">
        <v>0.91</v>
      </c>
      <c r="H1088" t="n">
        <v>2</v>
      </c>
      <c r="I1088" t="n">
        <v>16</v>
      </c>
      <c r="J1088" t="n">
        <v>1</v>
      </c>
      <c r="K1088" t="n">
        <v>0</v>
      </c>
      <c r="L1088" t="n">
        <v>55200</v>
      </c>
      <c r="M1088" t="n">
        <v>69000</v>
      </c>
      <c r="N1088" t="n">
        <v>91</v>
      </c>
      <c r="O1088" t="n">
        <v>0.91</v>
      </c>
      <c r="P1088" t="n">
        <v>1</v>
      </c>
      <c r="Q1088" t="n">
        <v>0.14</v>
      </c>
      <c r="R1088" t="n">
        <v>1</v>
      </c>
      <c r="S1088" t="n">
        <v>4395.3</v>
      </c>
      <c r="T1088" t="n">
        <v>15</v>
      </c>
      <c r="U1088" t="n">
        <v>16</v>
      </c>
      <c r="V1088" t="n">
        <v>30</v>
      </c>
      <c r="W1088" t="n">
        <v>2</v>
      </c>
      <c r="X1088" t="n">
        <v>94.19152276295132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482</v>
      </c>
      <c r="AG1088" t="n">
        <v>107</v>
      </c>
      <c r="AH1088" t="inlineStr">
        <is>
          <t xml:space="preserve">CV. DAHLIA - PPN (PDG) </t>
        </is>
      </c>
      <c r="AI1088" t="n">
        <v>61</v>
      </c>
      <c r="AJ1088" t="inlineStr">
        <is>
          <t>DEAR ME BEAUTY</t>
        </is>
      </c>
      <c r="AK1088" t="n">
        <v>21</v>
      </c>
      <c r="AL1088" t="inlineStr">
        <is>
          <t>Miss Glam Damar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DEAR ME BEAUTY</t>
        </is>
      </c>
      <c r="B1089" s="2">
        <f>"20300444818"</f>
        <v/>
      </c>
      <c r="C1089" t="inlineStr">
        <is>
          <t>DEAR ME BEAUTY Lip Stain Dear Sharon 3.5ml</t>
        </is>
      </c>
      <c r="D1089" t="inlineStr">
        <is>
          <t>Miss Glam Damar</t>
        </is>
      </c>
      <c r="E1089" t="n">
        <v>13</v>
      </c>
      <c r="F1089" t="n">
        <v>0.2821</v>
      </c>
      <c r="G1089" t="n">
        <v>3.64</v>
      </c>
      <c r="H1089" t="n">
        <v>2</v>
      </c>
      <c r="I1089" t="n">
        <v>16</v>
      </c>
      <c r="J1089" t="n">
        <v>1</v>
      </c>
      <c r="K1089" t="n">
        <v>0</v>
      </c>
      <c r="L1089" t="n">
        <v>55200</v>
      </c>
      <c r="M1089" t="n">
        <v>69000</v>
      </c>
      <c r="N1089" t="n">
        <v>91</v>
      </c>
      <c r="O1089" t="n">
        <v>0.91</v>
      </c>
      <c r="P1089" t="n">
        <v>1</v>
      </c>
      <c r="Q1089" t="n">
        <v>0.34</v>
      </c>
      <c r="R1089" t="n">
        <v>4</v>
      </c>
      <c r="S1089" t="n">
        <v>19464.9</v>
      </c>
      <c r="T1089" t="n">
        <v>58</v>
      </c>
      <c r="U1089" t="n">
        <v>59</v>
      </c>
      <c r="V1089" t="n">
        <v>30</v>
      </c>
      <c r="W1089" t="n">
        <v>9</v>
      </c>
      <c r="X1089" t="n">
        <v>46.08294930875576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482</v>
      </c>
      <c r="AG1089" t="n">
        <v>107</v>
      </c>
      <c r="AH1089" t="inlineStr">
        <is>
          <t xml:space="preserve">CV. DAHLIA - PPN (PDG) </t>
        </is>
      </c>
      <c r="AI1089" t="n">
        <v>61</v>
      </c>
      <c r="AJ1089" t="inlineStr">
        <is>
          <t>DEAR ME BEAUTY</t>
        </is>
      </c>
      <c r="AK1089" t="n">
        <v>21</v>
      </c>
      <c r="AL1089" t="inlineStr">
        <is>
          <t>Miss Glam Damar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DEAR ME BEAUTY</t>
        </is>
      </c>
      <c r="B1090" s="2">
        <f>"8997230373962"</f>
        <v/>
      </c>
      <c r="C1090" t="inlineStr">
        <is>
          <t>DEAR ME BEAUTY Meltaway Balm Blueberry 100gr</t>
        </is>
      </c>
      <c r="D1090" t="inlineStr">
        <is>
          <t>Miss Glam Damar</t>
        </is>
      </c>
      <c r="E1090" t="n">
        <v>4</v>
      </c>
      <c r="F1090" t="n">
        <v>0.0273</v>
      </c>
      <c r="G1090" t="n">
        <v>0.91</v>
      </c>
      <c r="H1090" t="n">
        <v>2</v>
      </c>
      <c r="I1090" t="n">
        <v>16</v>
      </c>
      <c r="J1090" t="n">
        <v>3</v>
      </c>
      <c r="K1090" t="n">
        <v>0</v>
      </c>
      <c r="L1090" t="n">
        <v>119200</v>
      </c>
      <c r="M1090" t="n">
        <v>149000</v>
      </c>
      <c r="N1090" t="n">
        <v>91</v>
      </c>
      <c r="O1090" t="n">
        <v>0.91</v>
      </c>
      <c r="P1090" t="n">
        <v>1</v>
      </c>
      <c r="Q1090" t="n">
        <v>0.15</v>
      </c>
      <c r="R1090" t="n">
        <v>1</v>
      </c>
      <c r="S1090" t="n">
        <v>4067.7</v>
      </c>
      <c r="T1090" t="n">
        <v>15</v>
      </c>
      <c r="U1090" t="n">
        <v>16</v>
      </c>
      <c r="V1090" t="n">
        <v>30</v>
      </c>
      <c r="W1090" t="n">
        <v>1</v>
      </c>
      <c r="X1090" t="n">
        <v>146.5201465201465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482</v>
      </c>
      <c r="AG1090" t="n">
        <v>107</v>
      </c>
      <c r="AH1090" t="inlineStr">
        <is>
          <t xml:space="preserve">CV. DAHLIA - PPN (PDG) </t>
        </is>
      </c>
      <c r="AI1090" t="n">
        <v>61</v>
      </c>
      <c r="AJ1090" t="inlineStr">
        <is>
          <t>DEAR ME BEAUTY</t>
        </is>
      </c>
      <c r="AK1090" t="n">
        <v>21</v>
      </c>
      <c r="AL1090" t="inlineStr">
        <is>
          <t>Miss Glam Damar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DEAR ME BEAUTY</t>
        </is>
      </c>
      <c r="B1091" s="2">
        <f>"8997230373955"</f>
        <v/>
      </c>
      <c r="C1091" t="inlineStr">
        <is>
          <t>DEAR ME BEAUTY Meltaway Balm Peach 100gr</t>
        </is>
      </c>
      <c r="D1091" t="inlineStr">
        <is>
          <t>Miss Glam Damar</t>
        </is>
      </c>
      <c r="E1091" t="n">
        <v>4</v>
      </c>
      <c r="F1091" t="n">
        <v>0.0728</v>
      </c>
      <c r="G1091" t="n">
        <v>0.91</v>
      </c>
      <c r="H1091" t="n">
        <v>2</v>
      </c>
      <c r="I1091" t="n">
        <v>16</v>
      </c>
      <c r="J1091" t="n">
        <v>3</v>
      </c>
      <c r="K1091" t="n">
        <v>0</v>
      </c>
      <c r="L1091" t="n">
        <v>119200</v>
      </c>
      <c r="M1091" t="n">
        <v>149000</v>
      </c>
      <c r="N1091" t="n">
        <v>91</v>
      </c>
      <c r="O1091" t="n">
        <v>0.91</v>
      </c>
      <c r="P1091" t="n">
        <v>1</v>
      </c>
      <c r="Q1091" t="n">
        <v>0.1</v>
      </c>
      <c r="R1091" t="n">
        <v>2</v>
      </c>
      <c r="S1091" t="n">
        <v>10847.2</v>
      </c>
      <c r="T1091" t="n">
        <v>15</v>
      </c>
      <c r="U1091" t="n">
        <v>16</v>
      </c>
      <c r="V1091" t="n">
        <v>30</v>
      </c>
      <c r="W1091" t="n">
        <v>3</v>
      </c>
      <c r="X1091" t="n">
        <v>54.94505494505494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482</v>
      </c>
      <c r="AG1091" t="n">
        <v>107</v>
      </c>
      <c r="AH1091" t="inlineStr">
        <is>
          <t xml:space="preserve">CV. DAHLIA - PPN (PDG) </t>
        </is>
      </c>
      <c r="AI1091" t="n">
        <v>61</v>
      </c>
      <c r="AJ1091" t="inlineStr">
        <is>
          <t>DEAR ME BEAUTY</t>
        </is>
      </c>
      <c r="AK1091" t="n">
        <v>21</v>
      </c>
      <c r="AL1091" t="inlineStr">
        <is>
          <t>Miss Glam Damar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DEAR ME BEAUTY</t>
        </is>
      </c>
      <c r="B1092" s="2">
        <f>"8997230372569"</f>
        <v/>
      </c>
      <c r="C1092" t="inlineStr">
        <is>
          <t>DEAR ME BEAUTY Serum Concealer N02 Nude Beige 3,3g</t>
        </is>
      </c>
      <c r="D1092" t="inlineStr">
        <is>
          <t>Miss Glam Damar</t>
        </is>
      </c>
      <c r="E1092" t="n">
        <v>4</v>
      </c>
      <c r="F1092" t="n">
        <v>0.03</v>
      </c>
      <c r="G1092" t="n">
        <v>1</v>
      </c>
      <c r="H1092" t="n">
        <v>2</v>
      </c>
      <c r="I1092" t="n">
        <v>16</v>
      </c>
      <c r="J1092" t="n">
        <v>3</v>
      </c>
      <c r="K1092" t="n">
        <v>0</v>
      </c>
      <c r="L1092" t="n">
        <v>39200</v>
      </c>
      <c r="M1092" t="n">
        <v>49000</v>
      </c>
      <c r="N1092" t="n">
        <v>91</v>
      </c>
      <c r="O1092" t="n">
        <v>0.91</v>
      </c>
      <c r="P1092" t="n">
        <v>0</v>
      </c>
      <c r="Q1092" t="n">
        <v>0.03</v>
      </c>
      <c r="R1092" t="n">
        <v>1</v>
      </c>
      <c r="S1092" t="n">
        <v>1470</v>
      </c>
      <c r="T1092" t="n">
        <v>16</v>
      </c>
      <c r="U1092" t="n">
        <v>17</v>
      </c>
      <c r="V1092" t="n">
        <v>30</v>
      </c>
      <c r="W1092" t="n">
        <v>1</v>
      </c>
      <c r="X1092" t="n">
        <v>133.3333333333333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482</v>
      </c>
      <c r="AG1092" t="n">
        <v>107</v>
      </c>
      <c r="AH1092" t="inlineStr">
        <is>
          <t xml:space="preserve">CV. DAHLIA - PPN (PDG) </t>
        </is>
      </c>
      <c r="AI1092" t="n">
        <v>61</v>
      </c>
      <c r="AJ1092" t="inlineStr">
        <is>
          <t>DEAR ME BEAUTY</t>
        </is>
      </c>
      <c r="AK1092" t="n">
        <v>21</v>
      </c>
      <c r="AL1092" t="inlineStr">
        <is>
          <t>Miss Glam Damar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DEAR ME BEAUTY</t>
        </is>
      </c>
      <c r="B1093" s="2">
        <f>"8997230373870"</f>
        <v/>
      </c>
      <c r="C1093" t="inlineStr">
        <is>
          <t>DEAR ME BEAUTY Serum Lip Tint Dear Anastasia 3.5ml</t>
        </is>
      </c>
      <c r="D1093" t="inlineStr">
        <is>
          <t>Miss Glam Damar</t>
        </is>
      </c>
      <c r="E1093" t="n">
        <v>18</v>
      </c>
      <c r="F1093" t="n">
        <v>0.4823000000000001</v>
      </c>
      <c r="G1093" t="n">
        <v>1.82</v>
      </c>
      <c r="H1093" t="n">
        <v>2</v>
      </c>
      <c r="I1093" t="n">
        <v>16</v>
      </c>
      <c r="J1093" t="n">
        <v>3</v>
      </c>
      <c r="K1093" t="n">
        <v>0</v>
      </c>
      <c r="L1093" t="n">
        <v>39200</v>
      </c>
      <c r="M1093" t="n">
        <v>49000</v>
      </c>
      <c r="N1093" t="n">
        <v>91</v>
      </c>
      <c r="O1093" t="n">
        <v>0.91</v>
      </c>
      <c r="P1093" t="n">
        <v>1</v>
      </c>
      <c r="Q1093" t="n">
        <v>0.68</v>
      </c>
      <c r="R1093" t="n">
        <v>2</v>
      </c>
      <c r="S1093" t="n">
        <v>23632.7</v>
      </c>
      <c r="T1093" t="n">
        <v>29</v>
      </c>
      <c r="U1093" t="n">
        <v>30</v>
      </c>
      <c r="V1093" t="n">
        <v>30</v>
      </c>
      <c r="W1093" t="n">
        <v>15</v>
      </c>
      <c r="X1093" t="n">
        <v>37.32116939664109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482</v>
      </c>
      <c r="AG1093" t="n">
        <v>107</v>
      </c>
      <c r="AH1093" t="inlineStr">
        <is>
          <t xml:space="preserve">CV. DAHLIA - PPN (PDG) </t>
        </is>
      </c>
      <c r="AI1093" t="n">
        <v>61</v>
      </c>
      <c r="AJ1093" t="inlineStr">
        <is>
          <t>DEAR ME BEAUTY</t>
        </is>
      </c>
      <c r="AK1093" t="n">
        <v>21</v>
      </c>
      <c r="AL1093" t="inlineStr">
        <is>
          <t>Miss Glam Damar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DEAR ME BEAUTY</t>
        </is>
      </c>
      <c r="B1094" s="2">
        <f>"8997230373979"</f>
        <v/>
      </c>
      <c r="C1094" t="inlineStr">
        <is>
          <t>DEAR ME BEAUTY Serum Lip Tint Dear Elise 3.5ml</t>
        </is>
      </c>
      <c r="D1094" t="inlineStr">
        <is>
          <t>Miss Glam Damar</t>
        </is>
      </c>
      <c r="E1094" t="n">
        <v>9</v>
      </c>
      <c r="F1094" t="n">
        <v>0.0728</v>
      </c>
      <c r="G1094" t="n">
        <v>0.91</v>
      </c>
      <c r="H1094" t="n">
        <v>2</v>
      </c>
      <c r="I1094" t="n">
        <v>16</v>
      </c>
      <c r="J1094" t="n">
        <v>3</v>
      </c>
      <c r="K1094" t="n">
        <v>0</v>
      </c>
      <c r="L1094" t="n">
        <v>39200</v>
      </c>
      <c r="M1094" t="n">
        <v>49000</v>
      </c>
      <c r="N1094" t="n">
        <v>91</v>
      </c>
      <c r="O1094" t="n">
        <v>0.91</v>
      </c>
      <c r="P1094" t="n">
        <v>1</v>
      </c>
      <c r="Q1094" t="n">
        <v>0.12</v>
      </c>
      <c r="R1094" t="n">
        <v>2</v>
      </c>
      <c r="S1094" t="n">
        <v>3567.2</v>
      </c>
      <c r="T1094" t="n">
        <v>15</v>
      </c>
      <c r="U1094" t="n">
        <v>16</v>
      </c>
      <c r="V1094" t="n">
        <v>30</v>
      </c>
      <c r="W1094" t="n">
        <v>3</v>
      </c>
      <c r="X1094" t="n">
        <v>123.6263736263736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482</v>
      </c>
      <c r="AG1094" t="n">
        <v>107</v>
      </c>
      <c r="AH1094" t="inlineStr">
        <is>
          <t xml:space="preserve">CV. DAHLIA - PPN (PDG) </t>
        </is>
      </c>
      <c r="AI1094" t="n">
        <v>61</v>
      </c>
      <c r="AJ1094" t="inlineStr">
        <is>
          <t>DEAR ME BEAUTY</t>
        </is>
      </c>
      <c r="AK1094" t="n">
        <v>21</v>
      </c>
      <c r="AL1094" t="inlineStr">
        <is>
          <t>Miss Glam Damar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DEAR ME BEAUTY</t>
        </is>
      </c>
      <c r="B1095" s="2">
        <f>"8997230373900"</f>
        <v/>
      </c>
      <c r="C1095" t="inlineStr">
        <is>
          <t>DEAR ME BEAUTY Serum Lip Tint Dear Elly 3.5ml</t>
        </is>
      </c>
      <c r="D1095" t="inlineStr">
        <is>
          <t>Miss Glam Damar</t>
        </is>
      </c>
      <c r="E1095" t="n">
        <v>16</v>
      </c>
      <c r="F1095" t="n">
        <v>1.1557</v>
      </c>
      <c r="G1095" t="n">
        <v>3.64</v>
      </c>
      <c r="H1095" t="n">
        <v>2</v>
      </c>
      <c r="I1095" t="n">
        <v>16</v>
      </c>
      <c r="J1095" t="n">
        <v>3</v>
      </c>
      <c r="K1095" t="n">
        <v>0</v>
      </c>
      <c r="L1095" t="n">
        <v>39200</v>
      </c>
      <c r="M1095" t="n">
        <v>49000</v>
      </c>
      <c r="N1095" t="n">
        <v>91</v>
      </c>
      <c r="O1095" t="n">
        <v>0.91</v>
      </c>
      <c r="P1095" t="n">
        <v>1</v>
      </c>
      <c r="Q1095" t="n">
        <v>0.8100000000000001</v>
      </c>
      <c r="R1095" t="n">
        <v>6</v>
      </c>
      <c r="S1095" t="n">
        <v>56629.3</v>
      </c>
      <c r="T1095" t="n">
        <v>56</v>
      </c>
      <c r="U1095" t="n">
        <v>59</v>
      </c>
      <c r="V1095" t="n">
        <v>30</v>
      </c>
      <c r="W1095" t="n">
        <v>35</v>
      </c>
      <c r="X1095" t="n">
        <v>13.84442329324219</v>
      </c>
      <c r="Y1095" t="n">
        <v>1</v>
      </c>
      <c r="Z1095" t="n">
        <v>19</v>
      </c>
      <c r="AA1095" t="n">
        <v>3</v>
      </c>
      <c r="AB1095" t="n">
        <v>16</v>
      </c>
      <c r="AC1095" t="n">
        <v>16</v>
      </c>
      <c r="AD1095" t="n">
        <v>117600</v>
      </c>
      <c r="AE1095" t="n">
        <v>627200</v>
      </c>
      <c r="AF1095" t="n">
        <v>482</v>
      </c>
      <c r="AG1095" t="n">
        <v>107</v>
      </c>
      <c r="AH1095" t="inlineStr">
        <is>
          <t xml:space="preserve">CV. DAHLIA - PPN (PDG) </t>
        </is>
      </c>
      <c r="AI1095" t="n">
        <v>61</v>
      </c>
      <c r="AJ1095" t="inlineStr">
        <is>
          <t>DEAR ME BEAUTY</t>
        </is>
      </c>
      <c r="AK1095" t="n">
        <v>21</v>
      </c>
      <c r="AL1095" t="inlineStr">
        <is>
          <t>Miss Glam Damar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DEAR ME BEAUTY</t>
        </is>
      </c>
      <c r="B1096" s="2">
        <f>"8997230373887"</f>
        <v/>
      </c>
      <c r="C1096" t="inlineStr">
        <is>
          <t>DEAR ME BEAUTY Serum Lip Tint Dear Kyla 3.5ml</t>
        </is>
      </c>
      <c r="D1096" t="inlineStr">
        <is>
          <t>Miss Glam Damar</t>
        </is>
      </c>
      <c r="E1096" t="n">
        <v>6</v>
      </c>
      <c r="F1096" t="n">
        <v>0.2912</v>
      </c>
      <c r="G1096" t="n">
        <v>1.82</v>
      </c>
      <c r="H1096" t="n">
        <v>2</v>
      </c>
      <c r="I1096" t="n">
        <v>16</v>
      </c>
      <c r="J1096" t="n">
        <v>3</v>
      </c>
      <c r="K1096" t="n">
        <v>0</v>
      </c>
      <c r="L1096" t="n">
        <v>39200</v>
      </c>
      <c r="M1096" t="n">
        <v>49000</v>
      </c>
      <c r="N1096" t="n">
        <v>91</v>
      </c>
      <c r="O1096" t="n">
        <v>0.91</v>
      </c>
      <c r="P1096" t="n">
        <v>1</v>
      </c>
      <c r="Q1096" t="n">
        <v>0.24</v>
      </c>
      <c r="R1096" t="n">
        <v>2</v>
      </c>
      <c r="S1096" t="n">
        <v>14268.8</v>
      </c>
      <c r="T1096" t="n">
        <v>29</v>
      </c>
      <c r="U1096" t="n">
        <v>30</v>
      </c>
      <c r="V1096" t="n">
        <v>30</v>
      </c>
      <c r="W1096" t="n">
        <v>9</v>
      </c>
      <c r="X1096" t="n">
        <v>20.6043956043956</v>
      </c>
      <c r="Y1096" t="n">
        <v>1</v>
      </c>
      <c r="Z1096" t="n">
        <v>3</v>
      </c>
      <c r="AA1096" t="n">
        <v>0</v>
      </c>
      <c r="AB1096" t="n">
        <v>3</v>
      </c>
      <c r="AC1096" t="n">
        <v>3</v>
      </c>
      <c r="AD1096" t="n">
        <v>0</v>
      </c>
      <c r="AE1096" t="n">
        <v>117600</v>
      </c>
      <c r="AF1096" t="n">
        <v>482</v>
      </c>
      <c r="AG1096" t="n">
        <v>107</v>
      </c>
      <c r="AH1096" t="inlineStr">
        <is>
          <t xml:space="preserve">CV. DAHLIA - PPN (PDG) </t>
        </is>
      </c>
      <c r="AI1096" t="n">
        <v>61</v>
      </c>
      <c r="AJ1096" t="inlineStr">
        <is>
          <t>DEAR ME BEAUTY</t>
        </is>
      </c>
      <c r="AK1096" t="n">
        <v>21</v>
      </c>
      <c r="AL1096" t="inlineStr">
        <is>
          <t>Miss Glam Damar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DEAR ME BEAUTY</t>
        </is>
      </c>
      <c r="B1097" s="2">
        <f>"8997230373993"</f>
        <v/>
      </c>
      <c r="C1097" t="inlineStr">
        <is>
          <t>DEAR ME BEAUTY Serum Lip Tint Dear Maudy 3.5ml</t>
        </is>
      </c>
      <c r="D1097" t="inlineStr">
        <is>
          <t>Miss Glam Damar</t>
        </is>
      </c>
      <c r="E1097" t="n">
        <v>27</v>
      </c>
      <c r="F1097" t="n">
        <v>0.8008000000000001</v>
      </c>
      <c r="G1097" t="n">
        <v>3.64</v>
      </c>
      <c r="H1097" t="n">
        <v>2</v>
      </c>
      <c r="I1097" t="n">
        <v>16</v>
      </c>
      <c r="J1097" t="n">
        <v>3</v>
      </c>
      <c r="K1097" t="n">
        <v>0</v>
      </c>
      <c r="L1097" t="n">
        <v>39200</v>
      </c>
      <c r="M1097" t="n">
        <v>49000</v>
      </c>
      <c r="N1097" t="n">
        <v>91</v>
      </c>
      <c r="O1097" t="n">
        <v>0.91</v>
      </c>
      <c r="P1097" t="n">
        <v>1</v>
      </c>
      <c r="Q1097" t="n">
        <v>0.92</v>
      </c>
      <c r="R1097" t="n">
        <v>3</v>
      </c>
      <c r="S1097" t="n">
        <v>39239.2</v>
      </c>
      <c r="T1097" t="n">
        <v>57</v>
      </c>
      <c r="U1097" t="n">
        <v>59</v>
      </c>
      <c r="V1097" t="n">
        <v>30</v>
      </c>
      <c r="W1097" t="n">
        <v>25</v>
      </c>
      <c r="X1097" t="n">
        <v>33.71628371628371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482</v>
      </c>
      <c r="AG1097" t="n">
        <v>107</v>
      </c>
      <c r="AH1097" t="inlineStr">
        <is>
          <t xml:space="preserve">CV. DAHLIA - PPN (PDG) </t>
        </is>
      </c>
      <c r="AI1097" t="n">
        <v>61</v>
      </c>
      <c r="AJ1097" t="inlineStr">
        <is>
          <t>DEAR ME BEAUTY</t>
        </is>
      </c>
      <c r="AK1097" t="n">
        <v>21</v>
      </c>
      <c r="AL1097" t="inlineStr">
        <is>
          <t>Miss Glam Damar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DEAR ME BEAUTY</t>
        </is>
      </c>
      <c r="B1098" s="2">
        <f>"8997230373986"</f>
        <v/>
      </c>
      <c r="C1098" t="inlineStr">
        <is>
          <t>DEAR ME BEAUTY Serum Lip Tint Dear Monica 3.5ml</t>
        </is>
      </c>
      <c r="D1098" t="inlineStr">
        <is>
          <t>Miss Glam Damar</t>
        </is>
      </c>
      <c r="E1098" t="n">
        <v>36</v>
      </c>
      <c r="F1098" t="n">
        <v>1.3923</v>
      </c>
      <c r="G1098" t="n">
        <v>3.64</v>
      </c>
      <c r="H1098" t="n">
        <v>2</v>
      </c>
      <c r="I1098" t="n">
        <v>16</v>
      </c>
      <c r="J1098" t="n">
        <v>3</v>
      </c>
      <c r="K1098" t="n">
        <v>0</v>
      </c>
      <c r="L1098" t="n">
        <v>39200</v>
      </c>
      <c r="M1098" t="n">
        <v>49000</v>
      </c>
      <c r="N1098" t="n">
        <v>91</v>
      </c>
      <c r="O1098" t="n">
        <v>0.91</v>
      </c>
      <c r="P1098" t="n">
        <v>1</v>
      </c>
      <c r="Q1098" t="n">
        <v>1.15</v>
      </c>
      <c r="R1098" t="n">
        <v>5</v>
      </c>
      <c r="S1098" t="n">
        <v>68222.70000000001</v>
      </c>
      <c r="T1098" t="n">
        <v>56</v>
      </c>
      <c r="U1098" t="n">
        <v>59</v>
      </c>
      <c r="V1098" t="n">
        <v>30</v>
      </c>
      <c r="W1098" t="n">
        <v>42</v>
      </c>
      <c r="X1098" t="n">
        <v>25.85649644473174</v>
      </c>
      <c r="Y1098" t="n">
        <v>1</v>
      </c>
      <c r="Z1098" t="n">
        <v>6</v>
      </c>
      <c r="AA1098" t="n">
        <v>0</v>
      </c>
      <c r="AB1098" t="n">
        <v>6</v>
      </c>
      <c r="AC1098" t="n">
        <v>6</v>
      </c>
      <c r="AD1098" t="n">
        <v>0</v>
      </c>
      <c r="AE1098" t="n">
        <v>235200</v>
      </c>
      <c r="AF1098" t="n">
        <v>482</v>
      </c>
      <c r="AG1098" t="n">
        <v>107</v>
      </c>
      <c r="AH1098" t="inlineStr">
        <is>
          <t xml:space="preserve">CV. DAHLIA - PPN (PDG) </t>
        </is>
      </c>
      <c r="AI1098" t="n">
        <v>61</v>
      </c>
      <c r="AJ1098" t="inlineStr">
        <is>
          <t>DEAR ME BEAUTY</t>
        </is>
      </c>
      <c r="AK1098" t="n">
        <v>21</v>
      </c>
      <c r="AL1098" t="inlineStr">
        <is>
          <t>Miss Glam Damar</t>
        </is>
      </c>
      <c r="AM1098" t="n">
        <v>2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DEAR ME BEAUTY</t>
        </is>
      </c>
      <c r="B1099" s="2">
        <f>"8997230373917"</f>
        <v/>
      </c>
      <c r="C1099" t="inlineStr">
        <is>
          <t>DEAR ME BEAUTY Serum Lip Tint Dear Rissa 3.5ml</t>
        </is>
      </c>
      <c r="D1099" t="inlineStr">
        <is>
          <t>Miss Glam Damar</t>
        </is>
      </c>
      <c r="E1099" t="n">
        <v>26</v>
      </c>
      <c r="F1099" t="n">
        <v>1.0465</v>
      </c>
      <c r="G1099" t="n">
        <v>3.64</v>
      </c>
      <c r="H1099" t="n">
        <v>2</v>
      </c>
      <c r="I1099" t="n">
        <v>16</v>
      </c>
      <c r="J1099" t="n">
        <v>3</v>
      </c>
      <c r="K1099" t="n">
        <v>0</v>
      </c>
      <c r="L1099" t="n">
        <v>39200</v>
      </c>
      <c r="M1099" t="n">
        <v>49000</v>
      </c>
      <c r="N1099" t="n">
        <v>91</v>
      </c>
      <c r="O1099" t="n">
        <v>0.91</v>
      </c>
      <c r="P1099" t="n">
        <v>1</v>
      </c>
      <c r="Q1099" t="n">
        <v>1.24</v>
      </c>
      <c r="R1099" t="n">
        <v>4</v>
      </c>
      <c r="S1099" t="n">
        <v>51278.5</v>
      </c>
      <c r="T1099" t="n">
        <v>57</v>
      </c>
      <c r="U1099" t="n">
        <v>60</v>
      </c>
      <c r="V1099" t="n">
        <v>30</v>
      </c>
      <c r="W1099" t="n">
        <v>32</v>
      </c>
      <c r="X1099" t="n">
        <v>24.84472049689441</v>
      </c>
      <c r="Y1099" t="n">
        <v>1</v>
      </c>
      <c r="Z1099" t="n">
        <v>6</v>
      </c>
      <c r="AA1099" t="n">
        <v>0</v>
      </c>
      <c r="AB1099" t="n">
        <v>6</v>
      </c>
      <c r="AC1099" t="n">
        <v>6</v>
      </c>
      <c r="AD1099" t="n">
        <v>0</v>
      </c>
      <c r="AE1099" t="n">
        <v>235200</v>
      </c>
      <c r="AF1099" t="n">
        <v>482</v>
      </c>
      <c r="AG1099" t="n">
        <v>107</v>
      </c>
      <c r="AH1099" t="inlineStr">
        <is>
          <t xml:space="preserve">CV. DAHLIA - PPN (PDG) </t>
        </is>
      </c>
      <c r="AI1099" t="n">
        <v>61</v>
      </c>
      <c r="AJ1099" t="inlineStr">
        <is>
          <t>DEAR ME BEAUTY</t>
        </is>
      </c>
      <c r="AK1099" t="n">
        <v>21</v>
      </c>
      <c r="AL1099" t="inlineStr">
        <is>
          <t>Miss Glam Damar</t>
        </is>
      </c>
      <c r="AM1099" t="n">
        <v>2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DEAR ME BEAUTY</t>
        </is>
      </c>
      <c r="B1100" s="2">
        <f>"8997230374006"</f>
        <v/>
      </c>
      <c r="C1100" t="inlineStr">
        <is>
          <t>DEAR ME BEAUTY Serum Lip Tint Dear Valerie 3.5ml</t>
        </is>
      </c>
      <c r="D1100" t="inlineStr">
        <is>
          <t>Miss Glam Damar</t>
        </is>
      </c>
      <c r="E1100" t="n">
        <v>0</v>
      </c>
      <c r="F1100" t="n">
        <v>0.06370000000000001</v>
      </c>
      <c r="G1100" t="n">
        <v>0.91</v>
      </c>
      <c r="H1100" t="n">
        <v>2</v>
      </c>
      <c r="I1100" t="n">
        <v>16</v>
      </c>
      <c r="J1100" t="n">
        <v>3</v>
      </c>
      <c r="K1100" t="n">
        <v>0</v>
      </c>
      <c r="L1100" t="n">
        <v>39200</v>
      </c>
      <c r="M1100" t="n">
        <v>49000</v>
      </c>
      <c r="N1100" t="n">
        <v>91</v>
      </c>
      <c r="O1100" t="n">
        <v>0.91</v>
      </c>
      <c r="P1100" t="n">
        <v>1</v>
      </c>
      <c r="Q1100" t="n">
        <v>0.03</v>
      </c>
      <c r="R1100" t="n">
        <v>1</v>
      </c>
      <c r="S1100" t="n">
        <v>3121.3</v>
      </c>
      <c r="T1100" t="n">
        <v>15</v>
      </c>
      <c r="U1100" t="n">
        <v>16</v>
      </c>
      <c r="V1100" t="n">
        <v>30</v>
      </c>
      <c r="W1100" t="n">
        <v>2</v>
      </c>
      <c r="X1100" t="n">
        <v>0</v>
      </c>
      <c r="Y1100" t="n">
        <v>1</v>
      </c>
      <c r="Z1100" t="n">
        <v>2</v>
      </c>
      <c r="AA1100" t="n">
        <v>2</v>
      </c>
      <c r="AB1100" t="n">
        <v>0</v>
      </c>
      <c r="AC1100" t="n">
        <v>0</v>
      </c>
      <c r="AD1100" t="n">
        <v>78400</v>
      </c>
      <c r="AE1100" t="n">
        <v>0</v>
      </c>
      <c r="AF1100" t="n">
        <v>482</v>
      </c>
      <c r="AG1100" t="n">
        <v>107</v>
      </c>
      <c r="AH1100" t="inlineStr">
        <is>
          <t xml:space="preserve">CV. DAHLIA - PPN (PDG) </t>
        </is>
      </c>
      <c r="AI1100" t="n">
        <v>61</v>
      </c>
      <c r="AJ1100" t="inlineStr">
        <is>
          <t>DEAR ME BEAUTY</t>
        </is>
      </c>
      <c r="AK1100" t="n">
        <v>21</v>
      </c>
      <c r="AL1100" t="inlineStr">
        <is>
          <t>Miss Glam Damar</t>
        </is>
      </c>
      <c r="AM1100" t="n">
        <v>2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DEAR ME BEAUTY</t>
        </is>
      </c>
      <c r="B1101" s="2">
        <f>"8997230373894"</f>
        <v/>
      </c>
      <c r="C1101" t="inlineStr">
        <is>
          <t>DEAR ME BEAUTY Serum Lip Tint Dear Vania 3.5ml</t>
        </is>
      </c>
      <c r="D1101" t="inlineStr">
        <is>
          <t>Miss Glam Damar</t>
        </is>
      </c>
      <c r="E1101" t="n">
        <v>25</v>
      </c>
      <c r="F1101" t="n">
        <v>1.6835</v>
      </c>
      <c r="G1101" t="n">
        <v>6.37</v>
      </c>
      <c r="H1101" t="n">
        <v>2</v>
      </c>
      <c r="I1101" t="n">
        <v>16</v>
      </c>
      <c r="J1101" t="n">
        <v>3</v>
      </c>
      <c r="K1101" t="n">
        <v>0</v>
      </c>
      <c r="L1101" t="n">
        <v>39200</v>
      </c>
      <c r="M1101" t="n">
        <v>49000</v>
      </c>
      <c r="N1101" t="n">
        <v>91</v>
      </c>
      <c r="O1101" t="n">
        <v>0.91</v>
      </c>
      <c r="P1101" t="n">
        <v>1</v>
      </c>
      <c r="Q1101" t="n">
        <v>1.53</v>
      </c>
      <c r="R1101" t="n">
        <v>5</v>
      </c>
      <c r="S1101" t="n">
        <v>82491.50000000001</v>
      </c>
      <c r="T1101" t="n">
        <v>99</v>
      </c>
      <c r="U1101" t="n">
        <v>103</v>
      </c>
      <c r="V1101" t="n">
        <v>30</v>
      </c>
      <c r="W1101" t="n">
        <v>51</v>
      </c>
      <c r="X1101" t="n">
        <v>14.85001485001485</v>
      </c>
      <c r="Y1101" t="n">
        <v>1</v>
      </c>
      <c r="Z1101" t="n">
        <v>26</v>
      </c>
      <c r="AA1101" t="n">
        <v>2</v>
      </c>
      <c r="AB1101" t="n">
        <v>24</v>
      </c>
      <c r="AC1101" t="n">
        <v>24</v>
      </c>
      <c r="AD1101" t="n">
        <v>78400</v>
      </c>
      <c r="AE1101" t="n">
        <v>940800</v>
      </c>
      <c r="AF1101" t="n">
        <v>482</v>
      </c>
      <c r="AG1101" t="n">
        <v>107</v>
      </c>
      <c r="AH1101" t="inlineStr">
        <is>
          <t xml:space="preserve">CV. DAHLIA - PPN (PDG) </t>
        </is>
      </c>
      <c r="AI1101" t="n">
        <v>61</v>
      </c>
      <c r="AJ1101" t="inlineStr">
        <is>
          <t>DEAR ME BEAUTY</t>
        </is>
      </c>
      <c r="AK1101" t="n">
        <v>21</v>
      </c>
      <c r="AL1101" t="inlineStr">
        <is>
          <t>Miss Glam Damar</t>
        </is>
      </c>
      <c r="AM1101" t="n">
        <v>2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DEAR ME BEAUTY</t>
        </is>
      </c>
      <c r="B1102" s="2">
        <f>"8997230374013"</f>
        <v/>
      </c>
      <c r="C1102" t="inlineStr">
        <is>
          <t>DEAR ME BEAUTY Serum Lip Tint Dear Vivi 3.5ml</t>
        </is>
      </c>
      <c r="D1102" t="inlineStr">
        <is>
          <t>Miss Glam Damar</t>
        </is>
      </c>
      <c r="E1102" t="n">
        <v>5</v>
      </c>
      <c r="F1102" t="n">
        <v>0.1547</v>
      </c>
      <c r="G1102" t="n">
        <v>0.91</v>
      </c>
      <c r="H1102" t="n">
        <v>2</v>
      </c>
      <c r="I1102" t="n">
        <v>16</v>
      </c>
      <c r="J1102" t="n">
        <v>3</v>
      </c>
      <c r="K1102" t="n">
        <v>0</v>
      </c>
      <c r="L1102" t="n">
        <v>39200</v>
      </c>
      <c r="M1102" t="n">
        <v>49000</v>
      </c>
      <c r="N1102" t="n">
        <v>91</v>
      </c>
      <c r="O1102" t="n">
        <v>0.91</v>
      </c>
      <c r="P1102" t="n">
        <v>1</v>
      </c>
      <c r="Q1102" t="n">
        <v>0.1</v>
      </c>
      <c r="R1102" t="n">
        <v>2</v>
      </c>
      <c r="S1102" t="n">
        <v>7580.3</v>
      </c>
      <c r="T1102" t="n">
        <v>15</v>
      </c>
      <c r="U1102" t="n">
        <v>16</v>
      </c>
      <c r="V1102" t="n">
        <v>30</v>
      </c>
      <c r="W1102" t="n">
        <v>5</v>
      </c>
      <c r="X1102" t="n">
        <v>32.32062055591467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482</v>
      </c>
      <c r="AG1102" t="n">
        <v>107</v>
      </c>
      <c r="AH1102" t="inlineStr">
        <is>
          <t xml:space="preserve">CV. DAHLIA - PPN (PDG) </t>
        </is>
      </c>
      <c r="AI1102" t="n">
        <v>61</v>
      </c>
      <c r="AJ1102" t="inlineStr">
        <is>
          <t>DEAR ME BEAUTY</t>
        </is>
      </c>
      <c r="AK1102" t="n">
        <v>21</v>
      </c>
      <c r="AL1102" t="inlineStr">
        <is>
          <t>Miss Glam Damar</t>
        </is>
      </c>
      <c r="AM1102" t="n">
        <v>2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DEAR ME BEAUTY</t>
        </is>
      </c>
      <c r="B1103" s="2">
        <f>"8997230373023"</f>
        <v/>
      </c>
      <c r="C1103" t="inlineStr">
        <is>
          <t>DEAR ME BEAUTY Skin Barrier Face Gel Cleanser 100ml</t>
        </is>
      </c>
      <c r="D1103" t="inlineStr">
        <is>
          <t>Miss Glam Damar</t>
        </is>
      </c>
      <c r="E1103" t="n">
        <v>18</v>
      </c>
      <c r="F1103" t="n">
        <v>0.3731</v>
      </c>
      <c r="G1103" t="n">
        <v>3.64</v>
      </c>
      <c r="H1103" t="n">
        <v>2</v>
      </c>
      <c r="I1103" t="n">
        <v>16</v>
      </c>
      <c r="J1103" t="n">
        <v>3</v>
      </c>
      <c r="K1103" t="n">
        <v>0</v>
      </c>
      <c r="L1103" t="n">
        <v>63200</v>
      </c>
      <c r="M1103" t="n">
        <v>79000</v>
      </c>
      <c r="N1103" t="n">
        <v>91</v>
      </c>
      <c r="O1103" t="n">
        <v>0.91</v>
      </c>
      <c r="P1103" t="n">
        <v>1</v>
      </c>
      <c r="Q1103" t="n">
        <v>0.8100000000000001</v>
      </c>
      <c r="R1103" t="n">
        <v>4</v>
      </c>
      <c r="S1103" t="n">
        <v>29474.9</v>
      </c>
      <c r="T1103" t="n">
        <v>58</v>
      </c>
      <c r="U1103" t="n">
        <v>59</v>
      </c>
      <c r="V1103" t="n">
        <v>30</v>
      </c>
      <c r="W1103" t="n">
        <v>12</v>
      </c>
      <c r="X1103" t="n">
        <v>48.24443848834093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482</v>
      </c>
      <c r="AG1103" t="n">
        <v>107</v>
      </c>
      <c r="AH1103" t="inlineStr">
        <is>
          <t xml:space="preserve">CV. DAHLIA - PPN (PDG) </t>
        </is>
      </c>
      <c r="AI1103" t="n">
        <v>61</v>
      </c>
      <c r="AJ1103" t="inlineStr">
        <is>
          <t>DEAR ME BEAUTY</t>
        </is>
      </c>
      <c r="AK1103" t="n">
        <v>21</v>
      </c>
      <c r="AL1103" t="inlineStr">
        <is>
          <t>Miss Glam Damar</t>
        </is>
      </c>
      <c r="AM1103" t="n">
        <v>2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DEAR ME BEAUTY</t>
        </is>
      </c>
      <c r="B1104" s="2">
        <f>"10400405802"</f>
        <v/>
      </c>
      <c r="C1104" t="inlineStr">
        <is>
          <t>DEAR ME BEAUTY Skin Barrier Sunscreen Gel Care Bears 35ml</t>
        </is>
      </c>
      <c r="D1104" t="inlineStr">
        <is>
          <t>Miss Glam Damar</t>
        </is>
      </c>
      <c r="E1104" t="n">
        <v>0</v>
      </c>
      <c r="F1104" t="n">
        <v>0.0273</v>
      </c>
      <c r="G1104" t="n">
        <v>0.91</v>
      </c>
      <c r="H1104" t="n">
        <v>2</v>
      </c>
      <c r="I1104" t="n">
        <v>16</v>
      </c>
      <c r="J1104" t="n">
        <v>1</v>
      </c>
      <c r="K1104" t="n">
        <v>0</v>
      </c>
      <c r="L1104" t="n">
        <v>89069</v>
      </c>
      <c r="M1104" t="n">
        <v>105500</v>
      </c>
      <c r="N1104" t="n">
        <v>91</v>
      </c>
      <c r="O1104" t="n">
        <v>0.91</v>
      </c>
      <c r="P1104" t="n">
        <v>1</v>
      </c>
      <c r="Q1104" t="n">
        <v>0.18</v>
      </c>
      <c r="R1104" t="n">
        <v>4</v>
      </c>
      <c r="S1104" t="n">
        <v>2880.15</v>
      </c>
      <c r="T1104" t="n">
        <v>15</v>
      </c>
      <c r="U1104" t="n">
        <v>16</v>
      </c>
      <c r="V1104" t="n">
        <v>30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n">
        <v>0</v>
      </c>
      <c r="AC1104" t="n">
        <v>0</v>
      </c>
      <c r="AD1104" t="n">
        <v>89069</v>
      </c>
      <c r="AE1104" t="n">
        <v>0</v>
      </c>
      <c r="AF1104" t="n">
        <v>482</v>
      </c>
      <c r="AG1104" t="n">
        <v>107</v>
      </c>
      <c r="AH1104" t="inlineStr">
        <is>
          <t xml:space="preserve">CV. DAHLIA - PPN (PDG) </t>
        </is>
      </c>
      <c r="AI1104" t="n">
        <v>61</v>
      </c>
      <c r="AJ1104" t="inlineStr">
        <is>
          <t>DEAR ME BEAUTY</t>
        </is>
      </c>
      <c r="AK1104" t="n">
        <v>21</v>
      </c>
      <c r="AL1104" t="inlineStr">
        <is>
          <t>Miss Glam Damar</t>
        </is>
      </c>
      <c r="AM1104" t="n">
        <v>2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DEAR ME BEAUTY</t>
        </is>
      </c>
      <c r="B1105" s="2">
        <f>"8997230373931"</f>
        <v/>
      </c>
      <c r="C1105" t="inlineStr">
        <is>
          <t>DEAR ME BEAUTY Skin Barrier Water Cream (New)</t>
        </is>
      </c>
      <c r="D1105" t="inlineStr">
        <is>
          <t>Miss Glam Damar</t>
        </is>
      </c>
      <c r="E1105" t="n">
        <v>26</v>
      </c>
      <c r="F1105" t="n">
        <v>0.1547</v>
      </c>
      <c r="G1105" t="n">
        <v>1.82</v>
      </c>
      <c r="H1105" t="n">
        <v>2</v>
      </c>
      <c r="I1105" t="n">
        <v>16</v>
      </c>
      <c r="J1105" t="n">
        <v>3</v>
      </c>
      <c r="K1105" t="n">
        <v>0</v>
      </c>
      <c r="L1105" t="n">
        <v>103200</v>
      </c>
      <c r="M1105" t="n">
        <v>129000</v>
      </c>
      <c r="N1105" t="n">
        <v>91</v>
      </c>
      <c r="O1105" t="n">
        <v>0.91</v>
      </c>
      <c r="P1105" t="n">
        <v>1</v>
      </c>
      <c r="Q1105" t="n">
        <v>0.6899999999999999</v>
      </c>
      <c r="R1105" t="n">
        <v>3</v>
      </c>
      <c r="S1105" t="n">
        <v>19956.3</v>
      </c>
      <c r="T1105" t="n">
        <v>29</v>
      </c>
      <c r="U1105" t="n">
        <v>30</v>
      </c>
      <c r="V1105" t="n">
        <v>30</v>
      </c>
      <c r="W1105" t="n">
        <v>5</v>
      </c>
      <c r="X1105" t="n">
        <v>168.0672268907563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482</v>
      </c>
      <c r="AG1105" t="n">
        <v>107</v>
      </c>
      <c r="AH1105" t="inlineStr">
        <is>
          <t xml:space="preserve">CV. DAHLIA - PPN (PDG) </t>
        </is>
      </c>
      <c r="AI1105" t="n">
        <v>61</v>
      </c>
      <c r="AJ1105" t="inlineStr">
        <is>
          <t>DEAR ME BEAUTY</t>
        </is>
      </c>
      <c r="AK1105" t="n">
        <v>21</v>
      </c>
      <c r="AL1105" t="inlineStr">
        <is>
          <t>Miss Glam Damar</t>
        </is>
      </c>
      <c r="AM1105" t="n">
        <v>2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DEAR ME BEAUTY</t>
        </is>
      </c>
      <c r="B1106" s="2">
        <f>"8997230373085"</f>
        <v/>
      </c>
      <c r="C1106" t="inlineStr">
        <is>
          <t>DEAR ME BEAUTY Spf 50 + Skin Barrier Sunscreen Gel 35ml</t>
        </is>
      </c>
      <c r="D1106" t="inlineStr">
        <is>
          <t>Miss Glam Damar</t>
        </is>
      </c>
      <c r="E1106" t="n">
        <v>72</v>
      </c>
      <c r="F1106" t="n">
        <v>1.6016</v>
      </c>
      <c r="G1106" t="n">
        <v>5.46</v>
      </c>
      <c r="H1106" t="n">
        <v>2</v>
      </c>
      <c r="I1106" t="n">
        <v>16</v>
      </c>
      <c r="J1106" t="n">
        <v>3</v>
      </c>
      <c r="K1106" t="n">
        <v>0</v>
      </c>
      <c r="L1106" t="n">
        <v>79200</v>
      </c>
      <c r="M1106" t="n">
        <v>99000</v>
      </c>
      <c r="N1106" t="n">
        <v>91</v>
      </c>
      <c r="O1106" t="n">
        <v>0.91</v>
      </c>
      <c r="P1106" t="n">
        <v>1</v>
      </c>
      <c r="Q1106" t="n">
        <v>2.22</v>
      </c>
      <c r="R1106" t="n">
        <v>7</v>
      </c>
      <c r="S1106" t="n">
        <v>158558.4</v>
      </c>
      <c r="T1106" t="n">
        <v>85</v>
      </c>
      <c r="U1106" t="n">
        <v>89</v>
      </c>
      <c r="V1106" t="n">
        <v>30</v>
      </c>
      <c r="W1106" t="n">
        <v>49</v>
      </c>
      <c r="X1106" t="n">
        <v>44.95504495504495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482</v>
      </c>
      <c r="AG1106" t="n">
        <v>107</v>
      </c>
      <c r="AH1106" t="inlineStr">
        <is>
          <t xml:space="preserve">CV. DAHLIA - PPN (PDG) </t>
        </is>
      </c>
      <c r="AI1106" t="n">
        <v>61</v>
      </c>
      <c r="AJ1106" t="inlineStr">
        <is>
          <t>DEAR ME BEAUTY</t>
        </is>
      </c>
      <c r="AK1106" t="n">
        <v>21</v>
      </c>
      <c r="AL1106" t="inlineStr">
        <is>
          <t>Miss Glam Damar</t>
        </is>
      </c>
      <c r="AM1106" t="n">
        <v>2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DEAR ME BEAUTY</t>
        </is>
      </c>
      <c r="B1107" s="2">
        <f>"8997230374136"</f>
        <v/>
      </c>
      <c r="C1107" t="inlineStr">
        <is>
          <t>DEAR ME BEAUTY Velvet Lip Tint Dear Aulia 3.5ml</t>
        </is>
      </c>
      <c r="D1107" t="inlineStr">
        <is>
          <t>Miss Glam Damar</t>
        </is>
      </c>
      <c r="E1107" t="n">
        <v>6</v>
      </c>
      <c r="F1107" t="n">
        <v>0.1274</v>
      </c>
      <c r="G1107" t="n">
        <v>1.82</v>
      </c>
      <c r="H1107" t="n">
        <v>2</v>
      </c>
      <c r="I1107" t="n">
        <v>16</v>
      </c>
      <c r="J1107" t="n">
        <v>3</v>
      </c>
      <c r="K1107" t="n">
        <v>0</v>
      </c>
      <c r="L1107" t="n">
        <v>63200</v>
      </c>
      <c r="M1107" t="n">
        <v>79000</v>
      </c>
      <c r="N1107" t="n">
        <v>91</v>
      </c>
      <c r="O1107" t="n">
        <v>0.91</v>
      </c>
      <c r="P1107" t="n">
        <v>1</v>
      </c>
      <c r="Q1107" t="n">
        <v>0.07000000000000001</v>
      </c>
      <c r="R1107" t="n">
        <v>1</v>
      </c>
      <c r="S1107" t="n">
        <v>10064.6</v>
      </c>
      <c r="T1107" t="n">
        <v>29</v>
      </c>
      <c r="U1107" t="n">
        <v>30</v>
      </c>
      <c r="V1107" t="n">
        <v>30</v>
      </c>
      <c r="W1107" t="n">
        <v>4</v>
      </c>
      <c r="X1107" t="n">
        <v>47.09576138147566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482</v>
      </c>
      <c r="AG1107" t="n">
        <v>107</v>
      </c>
      <c r="AH1107" t="inlineStr">
        <is>
          <t xml:space="preserve">CV. DAHLIA - PPN (PDG) </t>
        </is>
      </c>
      <c r="AI1107" t="n">
        <v>61</v>
      </c>
      <c r="AJ1107" t="inlineStr">
        <is>
          <t>DEAR ME BEAUTY</t>
        </is>
      </c>
      <c r="AK1107" t="n">
        <v>21</v>
      </c>
      <c r="AL1107" t="inlineStr">
        <is>
          <t>Miss Glam Damar</t>
        </is>
      </c>
      <c r="AM1107" t="n">
        <v>2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DEAR ME BEAUTY</t>
        </is>
      </c>
      <c r="B1108" s="2">
        <f>"8997230374129"</f>
        <v/>
      </c>
      <c r="C1108" t="inlineStr">
        <is>
          <t>DEAR ME BEAUTY Velvet Lip Tint Dear Diana 3.5ml</t>
        </is>
      </c>
      <c r="D1108" t="inlineStr">
        <is>
          <t>Miss Glam Damar</t>
        </is>
      </c>
      <c r="E1108" t="n">
        <v>2</v>
      </c>
      <c r="F1108" t="n">
        <v>0.0273</v>
      </c>
      <c r="G1108" t="n">
        <v>0.91</v>
      </c>
      <c r="H1108" t="n">
        <v>2</v>
      </c>
      <c r="I1108" t="n">
        <v>16</v>
      </c>
      <c r="J1108" t="n">
        <v>3</v>
      </c>
      <c r="K1108" t="n">
        <v>0</v>
      </c>
      <c r="L1108" t="n">
        <v>63200</v>
      </c>
      <c r="M1108" t="n">
        <v>79000</v>
      </c>
      <c r="N1108" t="n">
        <v>91</v>
      </c>
      <c r="O1108" t="n">
        <v>0.91</v>
      </c>
      <c r="P1108" t="n">
        <v>1</v>
      </c>
      <c r="Q1108" t="n">
        <v>0.03</v>
      </c>
      <c r="R1108" t="n">
        <v>1</v>
      </c>
      <c r="S1108" t="n">
        <v>2156.7</v>
      </c>
      <c r="T1108" t="n">
        <v>15</v>
      </c>
      <c r="U1108" t="n">
        <v>16</v>
      </c>
      <c r="V1108" t="n">
        <v>30</v>
      </c>
      <c r="W1108" t="n">
        <v>1</v>
      </c>
      <c r="X1108" t="n">
        <v>73.26007326007326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482</v>
      </c>
      <c r="AG1108" t="n">
        <v>107</v>
      </c>
      <c r="AH1108" t="inlineStr">
        <is>
          <t xml:space="preserve">CV. DAHLIA - PPN (PDG) </t>
        </is>
      </c>
      <c r="AI1108" t="n">
        <v>61</v>
      </c>
      <c r="AJ1108" t="inlineStr">
        <is>
          <t>DEAR ME BEAUTY</t>
        </is>
      </c>
      <c r="AK1108" t="n">
        <v>21</v>
      </c>
      <c r="AL1108" t="inlineStr">
        <is>
          <t>Miss Glam Damar</t>
        </is>
      </c>
      <c r="AM1108" t="n">
        <v>2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DEAR ME BEAUTY</t>
        </is>
      </c>
      <c r="B1109" s="2">
        <f>"8997230374150"</f>
        <v/>
      </c>
      <c r="C1109" t="inlineStr">
        <is>
          <t>DEAR ME BEAUTY Velvet Lip Tint Dear Niki 3.5ml</t>
        </is>
      </c>
      <c r="D1109" t="inlineStr">
        <is>
          <t>Miss Glam Damar</t>
        </is>
      </c>
      <c r="E1109" t="n">
        <v>2</v>
      </c>
      <c r="F1109" t="n">
        <v>0.04550000000000001</v>
      </c>
      <c r="G1109" t="n">
        <v>0.91</v>
      </c>
      <c r="H1109" t="n">
        <v>2</v>
      </c>
      <c r="I1109" t="n">
        <v>16</v>
      </c>
      <c r="J1109" t="n">
        <v>3</v>
      </c>
      <c r="K1109" t="n">
        <v>0</v>
      </c>
      <c r="L1109" t="n">
        <v>63200</v>
      </c>
      <c r="M1109" t="n">
        <v>79000</v>
      </c>
      <c r="N1109" t="n">
        <v>91</v>
      </c>
      <c r="O1109" t="n">
        <v>0.91</v>
      </c>
      <c r="P1109" t="n">
        <v>1</v>
      </c>
      <c r="Q1109" t="n">
        <v>0.02</v>
      </c>
      <c r="R1109" t="n">
        <v>1</v>
      </c>
      <c r="S1109" t="n">
        <v>3594.5</v>
      </c>
      <c r="T1109" t="n">
        <v>15</v>
      </c>
      <c r="U1109" t="n">
        <v>16</v>
      </c>
      <c r="V1109" t="n">
        <v>30</v>
      </c>
      <c r="W1109" t="n">
        <v>2</v>
      </c>
      <c r="X1109" t="n">
        <v>43.95604395604395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482</v>
      </c>
      <c r="AG1109" t="n">
        <v>107</v>
      </c>
      <c r="AH1109" t="inlineStr">
        <is>
          <t xml:space="preserve">CV. DAHLIA - PPN (PDG) </t>
        </is>
      </c>
      <c r="AI1109" t="n">
        <v>61</v>
      </c>
      <c r="AJ1109" t="inlineStr">
        <is>
          <t>DEAR ME BEAUTY</t>
        </is>
      </c>
      <c r="AK1109" t="n">
        <v>21</v>
      </c>
      <c r="AL1109" t="inlineStr">
        <is>
          <t>Miss Glam Damar</t>
        </is>
      </c>
      <c r="AM1109" t="n">
        <v>2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DEAR ME BEAUTY</t>
        </is>
      </c>
      <c r="B1110" s="2">
        <f>"8997230374167"</f>
        <v/>
      </c>
      <c r="C1110" t="inlineStr">
        <is>
          <t>DEAR ME BEAUTY Velvet Lip Tint Dear Vinna 3.5ml</t>
        </is>
      </c>
      <c r="D1110" t="inlineStr">
        <is>
          <t>Miss Glam Damar</t>
        </is>
      </c>
      <c r="E1110" t="n">
        <v>7</v>
      </c>
      <c r="F1110" t="n">
        <v>0.182</v>
      </c>
      <c r="G1110" t="n">
        <v>1.82</v>
      </c>
      <c r="H1110" t="n">
        <v>2</v>
      </c>
      <c r="I1110" t="n">
        <v>16</v>
      </c>
      <c r="J1110" t="n">
        <v>3</v>
      </c>
      <c r="K1110" t="n">
        <v>0</v>
      </c>
      <c r="L1110" t="n">
        <v>63200</v>
      </c>
      <c r="M1110" t="n">
        <v>79000</v>
      </c>
      <c r="N1110" t="n">
        <v>91</v>
      </c>
      <c r="O1110" t="n">
        <v>0.91</v>
      </c>
      <c r="P1110" t="n">
        <v>1</v>
      </c>
      <c r="Q1110" t="n">
        <v>0.27</v>
      </c>
      <c r="R1110" t="n">
        <v>3</v>
      </c>
      <c r="S1110" t="n">
        <v>14378</v>
      </c>
      <c r="T1110" t="n">
        <v>29</v>
      </c>
      <c r="U1110" t="n">
        <v>30</v>
      </c>
      <c r="V1110" t="n">
        <v>30</v>
      </c>
      <c r="W1110" t="n">
        <v>6</v>
      </c>
      <c r="X1110" t="n">
        <v>38.46153846153846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482</v>
      </c>
      <c r="AG1110" t="n">
        <v>107</v>
      </c>
      <c r="AH1110" t="inlineStr">
        <is>
          <t xml:space="preserve">CV. DAHLIA - PPN (PDG) </t>
        </is>
      </c>
      <c r="AI1110" t="n">
        <v>61</v>
      </c>
      <c r="AJ1110" t="inlineStr">
        <is>
          <t>DEAR ME BEAUTY</t>
        </is>
      </c>
      <c r="AK1110" t="n">
        <v>21</v>
      </c>
      <c r="AL1110" t="inlineStr">
        <is>
          <t>Miss Glam Damar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DEAR ME BEAUTY</t>
        </is>
      </c>
      <c r="B1111" s="2">
        <f>"8997230374143"</f>
        <v/>
      </c>
      <c r="C1111" t="inlineStr">
        <is>
          <t>DEAR ME BEAUTY Velvet Liptint Dear Debby 3.5ml</t>
        </is>
      </c>
      <c r="D1111" t="inlineStr">
        <is>
          <t>Miss Glam Damar</t>
        </is>
      </c>
      <c r="E1111" t="n">
        <v>6</v>
      </c>
      <c r="F1111" t="n">
        <v>0.02</v>
      </c>
      <c r="G1111" t="n">
        <v>1</v>
      </c>
      <c r="H1111" t="n">
        <v>2</v>
      </c>
      <c r="I1111" t="n">
        <v>16</v>
      </c>
      <c r="J1111" t="n">
        <v>3</v>
      </c>
      <c r="K1111" t="n">
        <v>0</v>
      </c>
      <c r="L1111" t="n">
        <v>63200</v>
      </c>
      <c r="M1111" t="n">
        <v>79000</v>
      </c>
      <c r="N1111" t="n">
        <v>91</v>
      </c>
      <c r="O1111" t="n">
        <v>0.91</v>
      </c>
      <c r="P1111" t="n">
        <v>0</v>
      </c>
      <c r="Q1111" t="n">
        <v>0.02</v>
      </c>
      <c r="R1111" t="n">
        <v>1</v>
      </c>
      <c r="S1111" t="n">
        <v>1580</v>
      </c>
      <c r="T1111" t="n">
        <v>16</v>
      </c>
      <c r="U1111" t="n">
        <v>17</v>
      </c>
      <c r="V1111" t="n">
        <v>30</v>
      </c>
      <c r="W1111" t="n">
        <v>1</v>
      </c>
      <c r="X1111" t="n">
        <v>300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482</v>
      </c>
      <c r="AG1111" t="n">
        <v>107</v>
      </c>
      <c r="AH1111" t="inlineStr">
        <is>
          <t xml:space="preserve">CV. DAHLIA - PPN (PDG) </t>
        </is>
      </c>
      <c r="AI1111" t="n">
        <v>61</v>
      </c>
      <c r="AJ1111" t="inlineStr">
        <is>
          <t>DEAR ME BEAUTY</t>
        </is>
      </c>
      <c r="AK1111" t="n">
        <v>21</v>
      </c>
      <c r="AL1111" t="inlineStr">
        <is>
          <t>Miss Glam Damar</t>
        </is>
      </c>
      <c r="AM1111" t="n">
        <v>2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DEAR ME BEAUTY</t>
        </is>
      </c>
      <c r="B1112" s="2">
        <f>"203002203406"</f>
        <v/>
      </c>
      <c r="C1112" t="inlineStr">
        <is>
          <t>DEAR ME BEAUTY X Wilsen Willim Dear Ayu 3,5ml</t>
        </is>
      </c>
      <c r="D1112" t="inlineStr">
        <is>
          <t>Miss Glam Damar</t>
        </is>
      </c>
      <c r="E1112" t="n">
        <v>0</v>
      </c>
      <c r="F1112" t="n">
        <v>0.0182</v>
      </c>
      <c r="G1112" t="n">
        <v>0.91</v>
      </c>
      <c r="H1112" t="n">
        <v>2</v>
      </c>
      <c r="I1112" t="n">
        <v>16</v>
      </c>
      <c r="J1112" t="n">
        <v>1</v>
      </c>
      <c r="K1112" t="n">
        <v>0</v>
      </c>
      <c r="L1112" t="n">
        <v>57315</v>
      </c>
      <c r="M1112" t="n">
        <v>69000</v>
      </c>
      <c r="N1112" t="n">
        <v>91</v>
      </c>
      <c r="O1112" t="n">
        <v>0.91</v>
      </c>
      <c r="P1112" t="n">
        <v>1</v>
      </c>
      <c r="Q1112" t="n">
        <v>0.1</v>
      </c>
      <c r="R1112" t="n">
        <v>1</v>
      </c>
      <c r="S1112" t="n">
        <v>1255.8</v>
      </c>
      <c r="T1112" t="n">
        <v>15</v>
      </c>
      <c r="U1112" t="n">
        <v>16</v>
      </c>
      <c r="V1112" t="n">
        <v>30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n">
        <v>0</v>
      </c>
      <c r="AC1112" t="n">
        <v>0</v>
      </c>
      <c r="AD1112" t="n">
        <v>57315</v>
      </c>
      <c r="AE1112" t="n">
        <v>0</v>
      </c>
      <c r="AF1112" t="n">
        <v>482</v>
      </c>
      <c r="AG1112" t="n">
        <v>107</v>
      </c>
      <c r="AH1112" t="inlineStr">
        <is>
          <t xml:space="preserve">CV. DAHLIA - PPN (PDG) </t>
        </is>
      </c>
      <c r="AI1112" t="n">
        <v>61</v>
      </c>
      <c r="AJ1112" t="inlineStr">
        <is>
          <t>DEAR ME BEAUTY</t>
        </is>
      </c>
      <c r="AK1112" t="n">
        <v>21</v>
      </c>
      <c r="AL1112" t="inlineStr">
        <is>
          <t>Miss Glam Damar</t>
        </is>
      </c>
      <c r="AM1112" t="n">
        <v>2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DEAR ME BEAUTY</t>
        </is>
      </c>
      <c r="B1113" s="2">
        <f>"203002203626"</f>
        <v/>
      </c>
      <c r="C1113" t="inlineStr">
        <is>
          <t>DEAR ME BEAUTY X Wilsen Willim Hydraglow Lip Stain Dear Kirana 3,5ml</t>
        </is>
      </c>
      <c r="D1113" t="inlineStr">
        <is>
          <t>Miss Glam Damar</t>
        </is>
      </c>
      <c r="E1113" t="n">
        <v>1</v>
      </c>
      <c r="F1113" t="n">
        <v>0.08</v>
      </c>
      <c r="G1113" t="n">
        <v>1</v>
      </c>
      <c r="H1113" t="n">
        <v>2</v>
      </c>
      <c r="I1113" t="n">
        <v>16</v>
      </c>
      <c r="J1113" t="n">
        <v>1</v>
      </c>
      <c r="K1113" t="n">
        <v>0</v>
      </c>
      <c r="L1113" t="n">
        <v>57315</v>
      </c>
      <c r="M1113" t="n">
        <v>69000</v>
      </c>
      <c r="N1113" t="n">
        <v>91</v>
      </c>
      <c r="O1113" t="n">
        <v>0.91</v>
      </c>
      <c r="P1113" t="n">
        <v>0</v>
      </c>
      <c r="Q1113" t="n">
        <v>0.08</v>
      </c>
      <c r="R1113" t="n">
        <v>1</v>
      </c>
      <c r="S1113" t="n">
        <v>5520</v>
      </c>
      <c r="T1113" t="n">
        <v>16</v>
      </c>
      <c r="U1113" t="n">
        <v>17</v>
      </c>
      <c r="V1113" t="n">
        <v>30</v>
      </c>
      <c r="W1113" t="n">
        <v>3</v>
      </c>
      <c r="X1113" t="n">
        <v>12.5</v>
      </c>
      <c r="Y1113" t="n">
        <v>1</v>
      </c>
      <c r="Z1113" t="n">
        <v>2</v>
      </c>
      <c r="AA1113" t="n">
        <v>1</v>
      </c>
      <c r="AB1113" t="n">
        <v>1</v>
      </c>
      <c r="AC1113" t="n">
        <v>1</v>
      </c>
      <c r="AD1113" t="n">
        <v>57315</v>
      </c>
      <c r="AE1113" t="n">
        <v>57315</v>
      </c>
      <c r="AF1113" t="n">
        <v>482</v>
      </c>
      <c r="AG1113" t="n">
        <v>107</v>
      </c>
      <c r="AH1113" t="inlineStr">
        <is>
          <t xml:space="preserve">CV. DAHLIA - PPN (PDG) </t>
        </is>
      </c>
      <c r="AI1113" t="n">
        <v>61</v>
      </c>
      <c r="AJ1113" t="inlineStr">
        <is>
          <t>DEAR ME BEAUTY</t>
        </is>
      </c>
      <c r="AK1113" t="n">
        <v>21</v>
      </c>
      <c r="AL1113" t="inlineStr">
        <is>
          <t>Miss Glam Damar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DEAR ME BEAUTY</t>
        </is>
      </c>
      <c r="B1114" s="2">
        <f>"203002203503"</f>
        <v/>
      </c>
      <c r="C1114" t="inlineStr">
        <is>
          <t>DEAR ME BEAUTY X Wilsen Willim Hydraglow Lip Stain Dear Laras 3,5ml</t>
        </is>
      </c>
      <c r="D1114" t="inlineStr">
        <is>
          <t>Miss Glam Damar</t>
        </is>
      </c>
      <c r="E1114" t="n">
        <v>0</v>
      </c>
      <c r="F1114" t="n">
        <v>0.06370000000000001</v>
      </c>
      <c r="G1114" t="n">
        <v>1.82</v>
      </c>
      <c r="H1114" t="n">
        <v>2</v>
      </c>
      <c r="I1114" t="n">
        <v>16</v>
      </c>
      <c r="J1114" t="n">
        <v>1</v>
      </c>
      <c r="K1114" t="n">
        <v>0</v>
      </c>
      <c r="L1114" t="n">
        <v>57315</v>
      </c>
      <c r="M1114" t="n">
        <v>69000</v>
      </c>
      <c r="N1114" t="n">
        <v>91</v>
      </c>
      <c r="O1114" t="n">
        <v>0.91</v>
      </c>
      <c r="P1114" t="n">
        <v>1</v>
      </c>
      <c r="Q1114" t="n">
        <v>0.11</v>
      </c>
      <c r="R1114" t="n">
        <v>1</v>
      </c>
      <c r="S1114" t="n">
        <v>4395.3</v>
      </c>
      <c r="T1114" t="n">
        <v>29</v>
      </c>
      <c r="U1114" t="n">
        <v>30</v>
      </c>
      <c r="V1114" t="n">
        <v>30</v>
      </c>
      <c r="W1114" t="n">
        <v>2</v>
      </c>
      <c r="X1114" t="n">
        <v>0</v>
      </c>
      <c r="Y1114" t="n">
        <v>1</v>
      </c>
      <c r="Z1114" t="n">
        <v>2</v>
      </c>
      <c r="AA1114" t="n">
        <v>2</v>
      </c>
      <c r="AB1114" t="n">
        <v>0</v>
      </c>
      <c r="AC1114" t="n">
        <v>0</v>
      </c>
      <c r="AD1114" t="n">
        <v>114630</v>
      </c>
      <c r="AE1114" t="n">
        <v>0</v>
      </c>
      <c r="AF1114" t="n">
        <v>482</v>
      </c>
      <c r="AG1114" t="n">
        <v>107</v>
      </c>
      <c r="AH1114" t="inlineStr">
        <is>
          <t xml:space="preserve">CV. DAHLIA - PPN (PDG) </t>
        </is>
      </c>
      <c r="AI1114" t="n">
        <v>61</v>
      </c>
      <c r="AJ1114" t="inlineStr">
        <is>
          <t>DEAR ME BEAUTY</t>
        </is>
      </c>
      <c r="AK1114" t="n">
        <v>21</v>
      </c>
      <c r="AL1114" t="inlineStr">
        <is>
          <t>Miss Glam Damar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DEOREX</t>
        </is>
      </c>
      <c r="B1115" s="2">
        <f>"8992863662810"</f>
        <v/>
      </c>
      <c r="C1115" t="inlineStr">
        <is>
          <t>DEOREX Body Odorizer Spray Extra Whitening 60ml</t>
        </is>
      </c>
      <c r="D1115" t="inlineStr">
        <is>
          <t>Miss Glam Damar</t>
        </is>
      </c>
      <c r="E1115" t="n">
        <v>0</v>
      </c>
      <c r="F1115" t="n">
        <v>1.7108</v>
      </c>
      <c r="G1115" t="n">
        <v>7.28</v>
      </c>
      <c r="H1115" t="n">
        <v>4</v>
      </c>
      <c r="I1115" t="n">
        <v>21</v>
      </c>
      <c r="J1115" t="n">
        <v>3</v>
      </c>
      <c r="K1115" t="n">
        <v>0</v>
      </c>
      <c r="L1115" t="n">
        <v>64746</v>
      </c>
      <c r="M1115" t="n">
        <v>76000</v>
      </c>
      <c r="N1115" t="n">
        <v>91</v>
      </c>
      <c r="O1115" t="n">
        <v>0.91</v>
      </c>
      <c r="P1115" t="n">
        <v>1</v>
      </c>
      <c r="Q1115" t="n">
        <v>2.63</v>
      </c>
      <c r="R1115" t="n">
        <v>6</v>
      </c>
      <c r="S1115" t="n">
        <v>130020.8</v>
      </c>
      <c r="T1115" t="n">
        <v>147</v>
      </c>
      <c r="U1115" t="n">
        <v>154</v>
      </c>
      <c r="V1115" t="n">
        <v>30</v>
      </c>
      <c r="W1115" t="n">
        <v>52</v>
      </c>
      <c r="X1115" t="n">
        <v>0</v>
      </c>
      <c r="Y1115" t="n">
        <v>1</v>
      </c>
      <c r="Z1115" t="n">
        <v>52</v>
      </c>
      <c r="AA1115" t="n">
        <v>36</v>
      </c>
      <c r="AB1115" t="n">
        <v>16</v>
      </c>
      <c r="AC1115" t="n">
        <v>16</v>
      </c>
      <c r="AD1115" t="n">
        <v>2330856</v>
      </c>
      <c r="AE1115" t="n">
        <v>1035936</v>
      </c>
      <c r="AF1115" t="n">
        <v>4501</v>
      </c>
      <c r="AG1115" t="n">
        <v>1</v>
      </c>
      <c r="AH1115" t="inlineStr">
        <is>
          <t>PT. BERSAMA DISTRIVERSA INDONESIA (DC CIPUTAT)</t>
        </is>
      </c>
      <c r="AI1115" t="n">
        <v>1310</v>
      </c>
      <c r="AJ1115" t="inlineStr">
        <is>
          <t>DEOREX</t>
        </is>
      </c>
      <c r="AK1115" t="n">
        <v>21</v>
      </c>
      <c r="AL1115" t="inlineStr">
        <is>
          <t>Miss Glam Damar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DEOREX</t>
        </is>
      </c>
      <c r="B1116" s="2">
        <f>"8992863662803"</f>
        <v/>
      </c>
      <c r="C1116" t="inlineStr">
        <is>
          <t>DEOREX Body Odorizer Spray for Men 60ml</t>
        </is>
      </c>
      <c r="D1116" t="inlineStr">
        <is>
          <t>Miss Glam Damar</t>
        </is>
      </c>
      <c r="E1116" t="n">
        <v>3</v>
      </c>
      <c r="F1116" t="n">
        <v>0.3549</v>
      </c>
      <c r="G1116" t="n">
        <v>2.73</v>
      </c>
      <c r="H1116" t="n">
        <v>4</v>
      </c>
      <c r="I1116" t="n">
        <v>21</v>
      </c>
      <c r="J1116" t="n">
        <v>3</v>
      </c>
      <c r="K1116" t="n">
        <v>0</v>
      </c>
      <c r="L1116" t="n">
        <v>60420</v>
      </c>
      <c r="M1116" t="n">
        <v>79000</v>
      </c>
      <c r="N1116" t="n">
        <v>91</v>
      </c>
      <c r="O1116" t="n">
        <v>0.91</v>
      </c>
      <c r="P1116" t="n">
        <v>1</v>
      </c>
      <c r="Q1116" t="n">
        <v>0.07000000000000001</v>
      </c>
      <c r="R1116" t="n">
        <v>2</v>
      </c>
      <c r="S1116" t="n">
        <v>28037.1</v>
      </c>
      <c r="T1116" t="n">
        <v>56</v>
      </c>
      <c r="U1116" t="n">
        <v>58</v>
      </c>
      <c r="V1116" t="n">
        <v>30</v>
      </c>
      <c r="W1116" t="n">
        <v>11</v>
      </c>
      <c r="X1116" t="n">
        <v>8.453085376162297</v>
      </c>
      <c r="Y1116" t="n">
        <v>1</v>
      </c>
      <c r="Z1116" t="n">
        <v>8</v>
      </c>
      <c r="AA1116" t="n">
        <v>5</v>
      </c>
      <c r="AB1116" t="n">
        <v>3</v>
      </c>
      <c r="AC1116" t="n">
        <v>3</v>
      </c>
      <c r="AD1116" t="n">
        <v>302100</v>
      </c>
      <c r="AE1116" t="n">
        <v>181260</v>
      </c>
      <c r="AF1116" t="n">
        <v>4501</v>
      </c>
      <c r="AG1116" t="n">
        <v>1</v>
      </c>
      <c r="AH1116" t="inlineStr">
        <is>
          <t>PT. BERSAMA DISTRIVERSA INDONESIA (DC CIPUTAT)</t>
        </is>
      </c>
      <c r="AI1116" t="n">
        <v>1310</v>
      </c>
      <c r="AJ1116" t="inlineStr">
        <is>
          <t>DEOREX</t>
        </is>
      </c>
      <c r="AK1116" t="n">
        <v>21</v>
      </c>
      <c r="AL1116" t="inlineStr">
        <is>
          <t>Miss Glam Damar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DEOREX</t>
        </is>
      </c>
      <c r="B1117" s="2">
        <f>"8992863662797"</f>
        <v/>
      </c>
      <c r="C1117" t="inlineStr">
        <is>
          <t>DEOREX Body Odorizer Spray Musk 60ml New</t>
        </is>
      </c>
      <c r="D1117" t="inlineStr">
        <is>
          <t>Miss Glam Damar</t>
        </is>
      </c>
      <c r="E1117" t="n">
        <v>0</v>
      </c>
      <c r="F1117" t="n">
        <v>0.4186</v>
      </c>
      <c r="G1117" t="n">
        <v>3.64</v>
      </c>
      <c r="H1117" t="n">
        <v>4</v>
      </c>
      <c r="I1117" t="n">
        <v>21</v>
      </c>
      <c r="J1117" t="n">
        <v>3</v>
      </c>
      <c r="K1117" t="n">
        <v>0</v>
      </c>
      <c r="L1117" t="n">
        <v>60178</v>
      </c>
      <c r="M1117" t="n">
        <v>70500</v>
      </c>
      <c r="N1117" t="n">
        <v>91</v>
      </c>
      <c r="O1117" t="n">
        <v>0.91</v>
      </c>
      <c r="P1117" t="n">
        <v>1</v>
      </c>
      <c r="Q1117" t="n">
        <v>1.47</v>
      </c>
      <c r="R1117" t="n">
        <v>5</v>
      </c>
      <c r="S1117" t="n">
        <v>29511.3</v>
      </c>
      <c r="T1117" t="n">
        <v>75</v>
      </c>
      <c r="U1117" t="n">
        <v>77</v>
      </c>
      <c r="V1117" t="n">
        <v>30</v>
      </c>
      <c r="W1117" t="n">
        <v>13</v>
      </c>
      <c r="X1117" t="n">
        <v>0</v>
      </c>
      <c r="Y1117" t="n">
        <v>1</v>
      </c>
      <c r="Z1117" t="n">
        <v>13</v>
      </c>
      <c r="AA1117" t="n">
        <v>9</v>
      </c>
      <c r="AB1117" t="n">
        <v>4</v>
      </c>
      <c r="AC1117" t="n">
        <v>4</v>
      </c>
      <c r="AD1117" t="n">
        <v>541602</v>
      </c>
      <c r="AE1117" t="n">
        <v>240712</v>
      </c>
      <c r="AF1117" t="n">
        <v>4501</v>
      </c>
      <c r="AG1117" t="n">
        <v>1</v>
      </c>
      <c r="AH1117" t="inlineStr">
        <is>
          <t>PT. BERSAMA DISTRIVERSA INDONESIA (DC CIPUTAT)</t>
        </is>
      </c>
      <c r="AI1117" t="n">
        <v>1310</v>
      </c>
      <c r="AJ1117" t="inlineStr">
        <is>
          <t>DEOREX</t>
        </is>
      </c>
      <c r="AK1117" t="n">
        <v>21</v>
      </c>
      <c r="AL1117" t="inlineStr">
        <is>
          <t>Miss Glam Damar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DEOREX</t>
        </is>
      </c>
      <c r="B1118" s="2">
        <f>"731559330071"</f>
        <v/>
      </c>
      <c r="C1118" t="inlineStr">
        <is>
          <t>DEOREX Body Odorizer Spray Non Fragrance 60ml</t>
        </is>
      </c>
      <c r="D1118" t="inlineStr">
        <is>
          <t>Miss Glam Damar</t>
        </is>
      </c>
      <c r="E1118" t="n">
        <v>9</v>
      </c>
      <c r="F1118" t="n">
        <v>0.2457</v>
      </c>
      <c r="G1118" t="n">
        <v>1.82</v>
      </c>
      <c r="H1118" t="n">
        <v>4</v>
      </c>
      <c r="I1118" t="n">
        <v>21</v>
      </c>
      <c r="J1118" t="n">
        <v>3</v>
      </c>
      <c r="K1118" t="n">
        <v>0</v>
      </c>
      <c r="L1118" t="n">
        <v>54652</v>
      </c>
      <c r="M1118" t="n">
        <v>72500</v>
      </c>
      <c r="N1118" t="n">
        <v>91</v>
      </c>
      <c r="O1118" t="n">
        <v>0.91</v>
      </c>
      <c r="P1118" t="n">
        <v>1</v>
      </c>
      <c r="Q1118" t="n">
        <v>0.47</v>
      </c>
      <c r="R1118" t="n">
        <v>3</v>
      </c>
      <c r="S1118" t="n">
        <v>17813.25</v>
      </c>
      <c r="T1118" t="n">
        <v>38</v>
      </c>
      <c r="U1118" t="n">
        <v>39</v>
      </c>
      <c r="V1118" t="n">
        <v>30</v>
      </c>
      <c r="W1118" t="n">
        <v>8</v>
      </c>
      <c r="X1118" t="n">
        <v>36.63003663003663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4501</v>
      </c>
      <c r="AG1118" t="n">
        <v>1</v>
      </c>
      <c r="AH1118" t="inlineStr">
        <is>
          <t>PT. BERSAMA DISTRIVERSA INDONESIA (DC CIPUTAT)</t>
        </is>
      </c>
      <c r="AI1118" t="n">
        <v>1310</v>
      </c>
      <c r="AJ1118" t="inlineStr">
        <is>
          <t>DEOREX</t>
        </is>
      </c>
      <c r="AK1118" t="n">
        <v>21</v>
      </c>
      <c r="AL1118" t="inlineStr">
        <is>
          <t>Miss Glam Damar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DEOREX</t>
        </is>
      </c>
      <c r="B1119" s="2">
        <f>"8992863662919"</f>
        <v/>
      </c>
      <c r="C1119" t="inlineStr">
        <is>
          <t>DEOREX Drymax Extra 30ml</t>
        </is>
      </c>
      <c r="D1119" t="inlineStr">
        <is>
          <t>Miss Glam Damar</t>
        </is>
      </c>
      <c r="E1119" t="n">
        <v>0</v>
      </c>
      <c r="F1119" t="n">
        <v>0.3094</v>
      </c>
      <c r="G1119" t="n">
        <v>2.73</v>
      </c>
      <c r="H1119" t="n">
        <v>4</v>
      </c>
      <c r="I1119" t="n">
        <v>21</v>
      </c>
      <c r="J1119" t="n">
        <v>3</v>
      </c>
      <c r="K1119" t="n">
        <v>0</v>
      </c>
      <c r="L1119" t="n">
        <v>83860</v>
      </c>
      <c r="M1119" t="n">
        <v>109000</v>
      </c>
      <c r="N1119" t="n">
        <v>91</v>
      </c>
      <c r="O1119" t="n">
        <v>0.91</v>
      </c>
      <c r="P1119" t="n">
        <v>1</v>
      </c>
      <c r="Q1119" t="n">
        <v>0.31</v>
      </c>
      <c r="R1119" t="n">
        <v>2</v>
      </c>
      <c r="S1119" t="n">
        <v>33724.6</v>
      </c>
      <c r="T1119" t="n">
        <v>57</v>
      </c>
      <c r="U1119" t="n">
        <v>59</v>
      </c>
      <c r="V1119" t="n">
        <v>30</v>
      </c>
      <c r="W1119" t="n">
        <v>10</v>
      </c>
      <c r="X1119" t="n">
        <v>0</v>
      </c>
      <c r="Y1119" t="n">
        <v>1</v>
      </c>
      <c r="Z1119" t="n">
        <v>10</v>
      </c>
      <c r="AA1119" t="n">
        <v>7</v>
      </c>
      <c r="AB1119" t="n">
        <v>3</v>
      </c>
      <c r="AC1119" t="n">
        <v>3</v>
      </c>
      <c r="AD1119" t="n">
        <v>587020</v>
      </c>
      <c r="AE1119" t="n">
        <v>251580</v>
      </c>
      <c r="AF1119" t="n">
        <v>4501</v>
      </c>
      <c r="AG1119" t="n">
        <v>1</v>
      </c>
      <c r="AH1119" t="inlineStr">
        <is>
          <t>PT. BERSAMA DISTRIVERSA INDONESIA (DC CIPUTAT)</t>
        </is>
      </c>
      <c r="AI1119" t="n">
        <v>1310</v>
      </c>
      <c r="AJ1119" t="inlineStr">
        <is>
          <t>DEOREX</t>
        </is>
      </c>
      <c r="AK1119" t="n">
        <v>21</v>
      </c>
      <c r="AL1119" t="inlineStr">
        <is>
          <t>Miss Glam Damar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DEOREX</t>
        </is>
      </c>
      <c r="B1120" s="2">
        <f>"8992863662926"</f>
        <v/>
      </c>
      <c r="C1120" t="inlineStr">
        <is>
          <t>DEOREX Drymax Gentle 30ml</t>
        </is>
      </c>
      <c r="D1120" t="inlineStr">
        <is>
          <t>Miss Glam Damar</t>
        </is>
      </c>
      <c r="E1120" t="n">
        <v>7</v>
      </c>
      <c r="F1120" t="n">
        <v>0.182</v>
      </c>
      <c r="G1120" t="n">
        <v>2.73</v>
      </c>
      <c r="H1120" t="n">
        <v>4</v>
      </c>
      <c r="I1120" t="n">
        <v>21</v>
      </c>
      <c r="J1120" t="n">
        <v>3</v>
      </c>
      <c r="K1120" t="n">
        <v>0</v>
      </c>
      <c r="L1120" t="n">
        <v>79166</v>
      </c>
      <c r="M1120" t="n">
        <v>99000</v>
      </c>
      <c r="N1120" t="n">
        <v>91</v>
      </c>
      <c r="O1120" t="n">
        <v>0.91</v>
      </c>
      <c r="P1120" t="n">
        <v>1</v>
      </c>
      <c r="Q1120" t="n">
        <v>0.15</v>
      </c>
      <c r="R1120" t="n">
        <v>2</v>
      </c>
      <c r="S1120" t="n">
        <v>18018</v>
      </c>
      <c r="T1120" t="n">
        <v>57</v>
      </c>
      <c r="U1120" t="n">
        <v>58</v>
      </c>
      <c r="V1120" t="n">
        <v>30</v>
      </c>
      <c r="W1120" t="n">
        <v>6</v>
      </c>
      <c r="X1120" t="n">
        <v>38.46153846153846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4501</v>
      </c>
      <c r="AG1120" t="n">
        <v>1</v>
      </c>
      <c r="AH1120" t="inlineStr">
        <is>
          <t>PT. BERSAMA DISTRIVERSA INDONESIA (DC CIPUTAT)</t>
        </is>
      </c>
      <c r="AI1120" t="n">
        <v>1310</v>
      </c>
      <c r="AJ1120" t="inlineStr">
        <is>
          <t>DEOREX</t>
        </is>
      </c>
      <c r="AK1120" t="n">
        <v>21</v>
      </c>
      <c r="AL1120" t="inlineStr">
        <is>
          <t>Miss Glam Damar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DEOREX</t>
        </is>
      </c>
      <c r="B1121" s="2">
        <f>"8992863662902"</f>
        <v/>
      </c>
      <c r="C1121" t="inlineStr">
        <is>
          <t>DEOREX Drymax Original 30ml</t>
        </is>
      </c>
      <c r="D1121" t="inlineStr">
        <is>
          <t>Miss Glam Damar</t>
        </is>
      </c>
      <c r="E1121" t="n">
        <v>10</v>
      </c>
      <c r="F1121" t="n">
        <v>0.1092</v>
      </c>
      <c r="G1121" t="n">
        <v>2.73</v>
      </c>
      <c r="H1121" t="n">
        <v>4</v>
      </c>
      <c r="I1121" t="n">
        <v>21</v>
      </c>
      <c r="J1121" t="n">
        <v>3</v>
      </c>
      <c r="K1121" t="n">
        <v>0</v>
      </c>
      <c r="L1121" t="n">
        <v>79166</v>
      </c>
      <c r="M1121" t="n">
        <v>99000</v>
      </c>
      <c r="N1121" t="n">
        <v>91</v>
      </c>
      <c r="O1121" t="n">
        <v>0.91</v>
      </c>
      <c r="P1121" t="n">
        <v>1</v>
      </c>
      <c r="Q1121" t="n">
        <v>0.41</v>
      </c>
      <c r="R1121" t="n">
        <v>3</v>
      </c>
      <c r="S1121" t="n">
        <v>10810.8</v>
      </c>
      <c r="T1121" t="n">
        <v>57</v>
      </c>
      <c r="U1121" t="n">
        <v>58</v>
      </c>
      <c r="V1121" t="n">
        <v>30</v>
      </c>
      <c r="W1121" t="n">
        <v>4</v>
      </c>
      <c r="X1121" t="n">
        <v>91.57509157509158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4501</v>
      </c>
      <c r="AG1121" t="n">
        <v>1</v>
      </c>
      <c r="AH1121" t="inlineStr">
        <is>
          <t>PT. BERSAMA DISTRIVERSA INDONESIA (DC CIPUTAT)</t>
        </is>
      </c>
      <c r="AI1121" t="n">
        <v>1310</v>
      </c>
      <c r="AJ1121" t="inlineStr">
        <is>
          <t>DEOREX</t>
        </is>
      </c>
      <c r="AK1121" t="n">
        <v>21</v>
      </c>
      <c r="AL1121" t="inlineStr">
        <is>
          <t>Miss Glam Damar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DEOXIDE</t>
        </is>
      </c>
      <c r="B1122" s="2">
        <f>"30400519747"</f>
        <v/>
      </c>
      <c r="C1122" t="inlineStr">
        <is>
          <t>DEOXIDE Antiperspirant Deodorant Roll On BRIGHT+ For Brightening  60gr</t>
        </is>
      </c>
      <c r="D1122" t="inlineStr">
        <is>
          <t>Miss Glam Damar</t>
        </is>
      </c>
      <c r="E1122" t="n">
        <v>13</v>
      </c>
      <c r="F1122" t="n">
        <v>0.9737000000000001</v>
      </c>
      <c r="G1122" t="n">
        <v>4.55</v>
      </c>
      <c r="H1122" t="n">
        <v>4</v>
      </c>
      <c r="I1122" t="n">
        <v>21</v>
      </c>
      <c r="J1122" t="n">
        <v>1</v>
      </c>
      <c r="K1122" t="n">
        <v>0</v>
      </c>
      <c r="L1122" t="n">
        <v>33997</v>
      </c>
      <c r="M1122" t="n">
        <v>42500</v>
      </c>
      <c r="N1122" t="n">
        <v>91</v>
      </c>
      <c r="O1122" t="n">
        <v>0.91</v>
      </c>
      <c r="P1122" t="n">
        <v>1</v>
      </c>
      <c r="Q1122" t="n">
        <v>0.83</v>
      </c>
      <c r="R1122" t="n">
        <v>5</v>
      </c>
      <c r="S1122" t="n">
        <v>41382.25000000001</v>
      </c>
      <c r="T1122" t="n">
        <v>92</v>
      </c>
      <c r="U1122" t="n">
        <v>96</v>
      </c>
      <c r="V1122" t="n">
        <v>30</v>
      </c>
      <c r="W1122" t="n">
        <v>30</v>
      </c>
      <c r="X1122" t="n">
        <v>13.35113484646195</v>
      </c>
      <c r="Y1122" t="n">
        <v>1</v>
      </c>
      <c r="Z1122" t="n">
        <v>17</v>
      </c>
      <c r="AA1122" t="n">
        <v>8</v>
      </c>
      <c r="AB1122" t="n">
        <v>9</v>
      </c>
      <c r="AC1122" t="n">
        <v>9</v>
      </c>
      <c r="AD1122" t="n">
        <v>271976</v>
      </c>
      <c r="AE1122" t="n">
        <v>305973</v>
      </c>
      <c r="AF1122" t="n">
        <v>4534</v>
      </c>
      <c r="AG1122" t="n">
        <v>1</v>
      </c>
      <c r="AH1122" t="inlineStr">
        <is>
          <t>PT. BERSAMA DISTRIVERSA INDONESIA (DC CIPUTAT)</t>
        </is>
      </c>
      <c r="AI1122" t="n">
        <v>2396</v>
      </c>
      <c r="AJ1122" t="inlineStr">
        <is>
          <t>DEOXIDE</t>
        </is>
      </c>
      <c r="AK1122" t="n">
        <v>21</v>
      </c>
      <c r="AL1122" t="inlineStr">
        <is>
          <t>Miss Glam Damar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DEOXIDE</t>
        </is>
      </c>
      <c r="B1123" s="2">
        <f>"30400519657"</f>
        <v/>
      </c>
      <c r="C1123" t="inlineStr">
        <is>
          <t>DEOXIDE Antiperspirant Deodorant Roll On POWER+ For Hyperhidrosis 60gr</t>
        </is>
      </c>
      <c r="D1123" t="inlineStr">
        <is>
          <t>Miss Glam Damar</t>
        </is>
      </c>
      <c r="E1123" t="n">
        <v>26</v>
      </c>
      <c r="F1123" t="n">
        <v>1.2649</v>
      </c>
      <c r="G1123" t="n">
        <v>6.37</v>
      </c>
      <c r="H1123" t="n">
        <v>4</v>
      </c>
      <c r="I1123" t="n">
        <v>21</v>
      </c>
      <c r="J1123" t="n">
        <v>1</v>
      </c>
      <c r="K1123" t="n">
        <v>0</v>
      </c>
      <c r="L1123" t="n">
        <v>33998</v>
      </c>
      <c r="M1123" t="n">
        <v>42500</v>
      </c>
      <c r="N1123" t="n">
        <v>91</v>
      </c>
      <c r="O1123" t="n">
        <v>0.91</v>
      </c>
      <c r="P1123" t="n">
        <v>1</v>
      </c>
      <c r="Q1123" t="n">
        <v>1.05</v>
      </c>
      <c r="R1123" t="n">
        <v>6</v>
      </c>
      <c r="S1123" t="n">
        <v>53758.24999999999</v>
      </c>
      <c r="T1123" t="n">
        <v>129</v>
      </c>
      <c r="U1123" t="n">
        <v>135</v>
      </c>
      <c r="V1123" t="n">
        <v>30</v>
      </c>
      <c r="W1123" t="n">
        <v>38</v>
      </c>
      <c r="X1123" t="n">
        <v>20.55498458376156</v>
      </c>
      <c r="Y1123" t="n">
        <v>1</v>
      </c>
      <c r="Z1123" t="n">
        <v>12</v>
      </c>
      <c r="AA1123" t="n">
        <v>1</v>
      </c>
      <c r="AB1123" t="n">
        <v>11</v>
      </c>
      <c r="AC1123" t="n">
        <v>11</v>
      </c>
      <c r="AD1123" t="n">
        <v>33998</v>
      </c>
      <c r="AE1123" t="n">
        <v>373978</v>
      </c>
      <c r="AF1123" t="n">
        <v>4534</v>
      </c>
      <c r="AG1123" t="n">
        <v>1</v>
      </c>
      <c r="AH1123" t="inlineStr">
        <is>
          <t>PT. BERSAMA DISTRIVERSA INDONESIA (DC CIPUTAT)</t>
        </is>
      </c>
      <c r="AI1123" t="n">
        <v>2396</v>
      </c>
      <c r="AJ1123" t="inlineStr">
        <is>
          <t>DEOXIDE</t>
        </is>
      </c>
      <c r="AK1123" t="n">
        <v>21</v>
      </c>
      <c r="AL1123" t="inlineStr">
        <is>
          <t>Miss Glam Damar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DERMA ANGEL</t>
        </is>
      </c>
      <c r="B1124" s="2">
        <f>"4719745144530"</f>
        <v/>
      </c>
      <c r="C1124" t="inlineStr">
        <is>
          <t>DERMA ANGEL Acne  Spot Lightening Patch 12 Pcs</t>
        </is>
      </c>
      <c r="D1124" t="inlineStr">
        <is>
          <t>Miss Glam Damar</t>
        </is>
      </c>
      <c r="E1124" t="n">
        <v>17</v>
      </c>
      <c r="F1124" t="n">
        <v>0.2184</v>
      </c>
      <c r="G1124" t="n">
        <v>1.82</v>
      </c>
      <c r="H1124" t="n">
        <v>2</v>
      </c>
      <c r="I1124" t="n">
        <v>11</v>
      </c>
      <c r="J1124" t="n">
        <v>3</v>
      </c>
      <c r="K1124" t="n">
        <v>0</v>
      </c>
      <c r="L1124" t="n">
        <v>34086</v>
      </c>
      <c r="M1124" t="n">
        <v>43000</v>
      </c>
      <c r="N1124" t="n">
        <v>91</v>
      </c>
      <c r="O1124" t="n">
        <v>0.91</v>
      </c>
      <c r="P1124" t="n">
        <v>1</v>
      </c>
      <c r="Q1124" t="n">
        <v>0.39</v>
      </c>
      <c r="R1124" t="n">
        <v>2</v>
      </c>
      <c r="S1124" t="n">
        <v>9391.200000000001</v>
      </c>
      <c r="T1124" t="n">
        <v>20</v>
      </c>
      <c r="U1124" t="n">
        <v>21</v>
      </c>
      <c r="V1124" t="n">
        <v>30</v>
      </c>
      <c r="W1124" t="n">
        <v>7</v>
      </c>
      <c r="X1124" t="n">
        <v>77.83882783882784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12340</v>
      </c>
      <c r="AG1124" t="n">
        <v>92</v>
      </c>
      <c r="AH1124" t="inlineStr">
        <is>
          <t>PT. SAI (PDG)</t>
        </is>
      </c>
      <c r="AI1124" t="n">
        <v>350</v>
      </c>
      <c r="AJ1124" t="inlineStr">
        <is>
          <t>DERMA ANGEL</t>
        </is>
      </c>
      <c r="AK1124" t="n">
        <v>21</v>
      </c>
      <c r="AL1124" t="inlineStr">
        <is>
          <t>Miss Glam Damar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DERMA ANGEL</t>
        </is>
      </c>
      <c r="B1125" s="2">
        <f>"10600214302"</f>
        <v/>
      </c>
      <c r="C1125" t="inlineStr">
        <is>
          <t>DERMA ANGEL Acne Beauty Patch Flowers - Colorful Mix Shaped (12pcs)</t>
        </is>
      </c>
      <c r="D1125" t="inlineStr">
        <is>
          <t>Miss Glam Damar</t>
        </is>
      </c>
      <c r="E1125" t="n">
        <v>12</v>
      </c>
      <c r="F1125" t="n">
        <v>0.2184</v>
      </c>
      <c r="G1125" t="n">
        <v>1.82</v>
      </c>
      <c r="H1125" t="n">
        <v>2</v>
      </c>
      <c r="I1125" t="n">
        <v>11</v>
      </c>
      <c r="J1125" t="n">
        <v>1</v>
      </c>
      <c r="K1125" t="n">
        <v>0</v>
      </c>
      <c r="L1125" t="n">
        <v>34339</v>
      </c>
      <c r="M1125" t="n">
        <v>43000</v>
      </c>
      <c r="N1125" t="n">
        <v>91</v>
      </c>
      <c r="O1125" t="n">
        <v>0.91</v>
      </c>
      <c r="P1125" t="n">
        <v>1</v>
      </c>
      <c r="Q1125" t="n">
        <v>0.25</v>
      </c>
      <c r="R1125" t="n">
        <v>3</v>
      </c>
      <c r="S1125" t="n">
        <v>9391.200000000001</v>
      </c>
      <c r="T1125" t="n">
        <v>20</v>
      </c>
      <c r="U1125" t="n">
        <v>21</v>
      </c>
      <c r="V1125" t="n">
        <v>30</v>
      </c>
      <c r="W1125" t="n">
        <v>7</v>
      </c>
      <c r="X1125" t="n">
        <v>54.94505494505494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12340</v>
      </c>
      <c r="AG1125" t="n">
        <v>92</v>
      </c>
      <c r="AH1125" t="inlineStr">
        <is>
          <t>PT. SAI (PDG)</t>
        </is>
      </c>
      <c r="AI1125" t="n">
        <v>350</v>
      </c>
      <c r="AJ1125" t="inlineStr">
        <is>
          <t>DERMA ANGEL</t>
        </is>
      </c>
      <c r="AK1125" t="n">
        <v>21</v>
      </c>
      <c r="AL1125" t="inlineStr">
        <is>
          <t>Miss Glam Damar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DERMA ANGEL</t>
        </is>
      </c>
      <c r="B1126" s="2">
        <f>"4719745088209"</f>
        <v/>
      </c>
      <c r="C1126" t="inlineStr">
        <is>
          <t>DERMA ANGEL Acne Beauty Patch Hologram - Playful Cloud &amp; Moon Shaped</t>
        </is>
      </c>
      <c r="D1126" t="inlineStr">
        <is>
          <t>Miss Glam Damar</t>
        </is>
      </c>
      <c r="E1126" t="n">
        <v>1</v>
      </c>
      <c r="F1126" t="n">
        <v>0.0728</v>
      </c>
      <c r="G1126" t="n">
        <v>1.82</v>
      </c>
      <c r="H1126" t="n">
        <v>2</v>
      </c>
      <c r="I1126" t="n">
        <v>11</v>
      </c>
      <c r="J1126" t="n">
        <v>3</v>
      </c>
      <c r="K1126" t="n">
        <v>0</v>
      </c>
      <c r="L1126" t="n">
        <v>29240</v>
      </c>
      <c r="M1126" t="n">
        <v>43000</v>
      </c>
      <c r="N1126" t="n">
        <v>91</v>
      </c>
      <c r="O1126" t="n">
        <v>0.91</v>
      </c>
      <c r="P1126" t="n">
        <v>1</v>
      </c>
      <c r="Q1126" t="n">
        <v>0.03</v>
      </c>
      <c r="R1126" t="n">
        <v>1</v>
      </c>
      <c r="S1126" t="n">
        <v>3130.4</v>
      </c>
      <c r="T1126" t="n">
        <v>20</v>
      </c>
      <c r="U1126" t="n">
        <v>21</v>
      </c>
      <c r="V1126" t="n">
        <v>30</v>
      </c>
      <c r="W1126" t="n">
        <v>3</v>
      </c>
      <c r="X1126" t="n">
        <v>13.73626373626374</v>
      </c>
      <c r="Y1126" t="n">
        <v>1</v>
      </c>
      <c r="Z1126" t="n">
        <v>2</v>
      </c>
      <c r="AA1126" t="n">
        <v>0</v>
      </c>
      <c r="AB1126" t="n">
        <v>2</v>
      </c>
      <c r="AC1126" t="n">
        <v>3</v>
      </c>
      <c r="AD1126" t="n">
        <v>0</v>
      </c>
      <c r="AE1126" t="n">
        <v>87720</v>
      </c>
      <c r="AF1126" t="n">
        <v>12340</v>
      </c>
      <c r="AG1126" t="n">
        <v>92</v>
      </c>
      <c r="AH1126" t="inlineStr">
        <is>
          <t>PT. SAI (PDG)</t>
        </is>
      </c>
      <c r="AI1126" t="n">
        <v>350</v>
      </c>
      <c r="AJ1126" t="inlineStr">
        <is>
          <t>DERMA ANGEL</t>
        </is>
      </c>
      <c r="AK1126" t="n">
        <v>21</v>
      </c>
      <c r="AL1126" t="inlineStr">
        <is>
          <t>Miss Glam Damar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DERMA ANGEL</t>
        </is>
      </c>
      <c r="B1127" s="2">
        <f>"4719745088179"</f>
        <v/>
      </c>
      <c r="C1127" t="inlineStr">
        <is>
          <t>DERMA ANGEL Acne Beauty Patch Hologram - Playful Heart &amp; Flower Shaped</t>
        </is>
      </c>
      <c r="D1127" t="inlineStr">
        <is>
          <t>Miss Glam Damar</t>
        </is>
      </c>
      <c r="E1127" t="n">
        <v>6</v>
      </c>
      <c r="F1127" t="n">
        <v>0.04550000000000001</v>
      </c>
      <c r="G1127" t="n">
        <v>0.91</v>
      </c>
      <c r="H1127" t="n">
        <v>2</v>
      </c>
      <c r="I1127" t="n">
        <v>11</v>
      </c>
      <c r="J1127" t="n">
        <v>3</v>
      </c>
      <c r="K1127" t="n">
        <v>0</v>
      </c>
      <c r="L1127" t="n">
        <v>34400</v>
      </c>
      <c r="M1127" t="n">
        <v>43000</v>
      </c>
      <c r="N1127" t="n">
        <v>91</v>
      </c>
      <c r="O1127" t="n">
        <v>0.91</v>
      </c>
      <c r="P1127" t="n">
        <v>1</v>
      </c>
      <c r="Q1127" t="n">
        <v>0.25</v>
      </c>
      <c r="R1127" t="n">
        <v>2</v>
      </c>
      <c r="S1127" t="n">
        <v>1956.5</v>
      </c>
      <c r="T1127" t="n">
        <v>10</v>
      </c>
      <c r="U1127" t="n">
        <v>11</v>
      </c>
      <c r="V1127" t="n">
        <v>30</v>
      </c>
      <c r="W1127" t="n">
        <v>2</v>
      </c>
      <c r="X1127" t="n">
        <v>131.8681318681319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12340</v>
      </c>
      <c r="AG1127" t="n">
        <v>92</v>
      </c>
      <c r="AH1127" t="inlineStr">
        <is>
          <t>PT. SAI (PDG)</t>
        </is>
      </c>
      <c r="AI1127" t="n">
        <v>350</v>
      </c>
      <c r="AJ1127" t="inlineStr">
        <is>
          <t>DERMA ANGEL</t>
        </is>
      </c>
      <c r="AK1127" t="n">
        <v>21</v>
      </c>
      <c r="AL1127" t="inlineStr">
        <is>
          <t>Miss Glam Damar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DERMA ANGEL</t>
        </is>
      </c>
      <c r="B1128" s="2">
        <f>"4719745088148"</f>
        <v/>
      </c>
      <c r="C1128" t="inlineStr">
        <is>
          <t>DERMA ANGEL Acne Beauty Patch Hologram- Playful Buterfly &amp; Star Shaped</t>
        </is>
      </c>
      <c r="D1128" t="inlineStr">
        <is>
          <t>Miss Glam Damar</t>
        </is>
      </c>
      <c r="E1128" t="n">
        <v>5</v>
      </c>
      <c r="F1128" t="n">
        <v>0.1365</v>
      </c>
      <c r="G1128" t="n">
        <v>1.82</v>
      </c>
      <c r="H1128" t="n">
        <v>2</v>
      </c>
      <c r="I1128" t="n">
        <v>11</v>
      </c>
      <c r="J1128" t="n">
        <v>3</v>
      </c>
      <c r="K1128" t="n">
        <v>0</v>
      </c>
      <c r="L1128" t="n">
        <v>34400</v>
      </c>
      <c r="M1128" t="n">
        <v>43000</v>
      </c>
      <c r="N1128" t="n">
        <v>91</v>
      </c>
      <c r="O1128" t="n">
        <v>0.91</v>
      </c>
      <c r="P1128" t="n">
        <v>1</v>
      </c>
      <c r="Q1128" t="n">
        <v>0.07000000000000001</v>
      </c>
      <c r="R1128" t="n">
        <v>1</v>
      </c>
      <c r="S1128" t="n">
        <v>5869.5</v>
      </c>
      <c r="T1128" t="n">
        <v>20</v>
      </c>
      <c r="U1128" t="n">
        <v>21</v>
      </c>
      <c r="V1128" t="n">
        <v>30</v>
      </c>
      <c r="W1128" t="n">
        <v>5</v>
      </c>
      <c r="X1128" t="n">
        <v>36.63003663003663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12340</v>
      </c>
      <c r="AG1128" t="n">
        <v>92</v>
      </c>
      <c r="AH1128" t="inlineStr">
        <is>
          <t>PT. SAI (PDG)</t>
        </is>
      </c>
      <c r="AI1128" t="n">
        <v>350</v>
      </c>
      <c r="AJ1128" t="inlineStr">
        <is>
          <t>DERMA ANGEL</t>
        </is>
      </c>
      <c r="AK1128" t="n">
        <v>21</v>
      </c>
      <c r="AL1128" t="inlineStr">
        <is>
          <t>Miss Glam Damar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DERMA ANGEL</t>
        </is>
      </c>
      <c r="B1129" s="2">
        <f>"10600214453"</f>
        <v/>
      </c>
      <c r="C1129" t="inlineStr">
        <is>
          <t>DERMA ANGEL Acne Beauty Patch Kitties - Colorful Mix Shaped (12pcs)</t>
        </is>
      </c>
      <c r="D1129" t="inlineStr">
        <is>
          <t>Miss Glam Damar</t>
        </is>
      </c>
      <c r="E1129" t="n">
        <v>9</v>
      </c>
      <c r="F1129" t="n">
        <v>0.2457</v>
      </c>
      <c r="G1129" t="n">
        <v>1.82</v>
      </c>
      <c r="H1129" t="n">
        <v>2</v>
      </c>
      <c r="I1129" t="n">
        <v>11</v>
      </c>
      <c r="J1129" t="n">
        <v>1</v>
      </c>
      <c r="K1129" t="n">
        <v>0</v>
      </c>
      <c r="L1129" t="n">
        <v>34400</v>
      </c>
      <c r="M1129" t="n">
        <v>43000</v>
      </c>
      <c r="N1129" t="n">
        <v>91</v>
      </c>
      <c r="O1129" t="n">
        <v>0.91</v>
      </c>
      <c r="P1129" t="n">
        <v>1</v>
      </c>
      <c r="Q1129" t="n">
        <v>0.15</v>
      </c>
      <c r="R1129" t="n">
        <v>2</v>
      </c>
      <c r="S1129" t="n">
        <v>10565.1</v>
      </c>
      <c r="T1129" t="n">
        <v>20</v>
      </c>
      <c r="U1129" t="n">
        <v>21</v>
      </c>
      <c r="V1129" t="n">
        <v>30</v>
      </c>
      <c r="W1129" t="n">
        <v>8</v>
      </c>
      <c r="X1129" t="n">
        <v>36.63003663003663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12340</v>
      </c>
      <c r="AG1129" t="n">
        <v>92</v>
      </c>
      <c r="AH1129" t="inlineStr">
        <is>
          <t>PT. SAI (PDG)</t>
        </is>
      </c>
      <c r="AI1129" t="n">
        <v>350</v>
      </c>
      <c r="AJ1129" t="inlineStr">
        <is>
          <t>DERMA ANGEL</t>
        </is>
      </c>
      <c r="AK1129" t="n">
        <v>21</v>
      </c>
      <c r="AL1129" t="inlineStr">
        <is>
          <t>Miss Glam Damar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DERMA ANGEL</t>
        </is>
      </c>
      <c r="B1130" s="2">
        <f>"4719745505454"</f>
        <v/>
      </c>
      <c r="C1130" t="inlineStr">
        <is>
          <t>DERMA ANGEL Acne Care Acne Patch Day 6 Pcs</t>
        </is>
      </c>
      <c r="D1130" t="inlineStr">
        <is>
          <t>Miss Glam Damar</t>
        </is>
      </c>
      <c r="E1130" t="n">
        <v>25</v>
      </c>
      <c r="F1130" t="n">
        <v>4.222399999999999</v>
      </c>
      <c r="G1130" t="n">
        <v>10.92</v>
      </c>
      <c r="H1130" t="n">
        <v>2</v>
      </c>
      <c r="I1130" t="n">
        <v>11</v>
      </c>
      <c r="J1130" t="n">
        <v>3</v>
      </c>
      <c r="K1130" t="n">
        <v>0</v>
      </c>
      <c r="L1130" t="n">
        <v>13600</v>
      </c>
      <c r="M1130" t="n">
        <v>17000</v>
      </c>
      <c r="N1130" t="n">
        <v>91</v>
      </c>
      <c r="O1130" t="n">
        <v>0.91</v>
      </c>
      <c r="P1130" t="n">
        <v>1</v>
      </c>
      <c r="Q1130" t="n">
        <v>1.03</v>
      </c>
      <c r="R1130" t="n">
        <v>5</v>
      </c>
      <c r="S1130" t="n">
        <v>71780.79999999999</v>
      </c>
      <c r="T1130" t="n">
        <v>112</v>
      </c>
      <c r="U1130" t="n">
        <v>121</v>
      </c>
      <c r="V1130" t="n">
        <v>30</v>
      </c>
      <c r="W1130" t="n">
        <v>127</v>
      </c>
      <c r="X1130" t="n">
        <v>5.920803334596439</v>
      </c>
      <c r="Y1130" t="n">
        <v>1</v>
      </c>
      <c r="Z1130" t="n">
        <v>102</v>
      </c>
      <c r="AA1130" t="n">
        <v>22</v>
      </c>
      <c r="AB1130" t="n">
        <v>80</v>
      </c>
      <c r="AC1130" t="n">
        <v>80</v>
      </c>
      <c r="AD1130" t="n">
        <v>299200</v>
      </c>
      <c r="AE1130" t="n">
        <v>1088000</v>
      </c>
      <c r="AF1130" t="n">
        <v>12340</v>
      </c>
      <c r="AG1130" t="n">
        <v>92</v>
      </c>
      <c r="AH1130" t="inlineStr">
        <is>
          <t>PT. SAI (PDG)</t>
        </is>
      </c>
      <c r="AI1130" t="n">
        <v>350</v>
      </c>
      <c r="AJ1130" t="inlineStr">
        <is>
          <t>DERMA ANGEL</t>
        </is>
      </c>
      <c r="AK1130" t="n">
        <v>21</v>
      </c>
      <c r="AL1130" t="inlineStr">
        <is>
          <t>Miss Glam Damar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DERMA ANGEL</t>
        </is>
      </c>
      <c r="B1131" s="2">
        <f>"4719745010293"</f>
        <v/>
      </c>
      <c r="C1131" t="inlineStr">
        <is>
          <t>DERMA ANGEL Acne Care Intensive Gel 10gr</t>
        </is>
      </c>
      <c r="D1131" t="inlineStr">
        <is>
          <t>Miss Glam Damar</t>
        </is>
      </c>
      <c r="E1131" t="n">
        <v>4</v>
      </c>
      <c r="F1131" t="n">
        <v>0.06370000000000001</v>
      </c>
      <c r="G1131" t="n">
        <v>0.91</v>
      </c>
      <c r="H1131" t="n">
        <v>2</v>
      </c>
      <c r="I1131" t="n">
        <v>11</v>
      </c>
      <c r="J1131" t="n">
        <v>3</v>
      </c>
      <c r="K1131" t="n">
        <v>0</v>
      </c>
      <c r="L1131" t="n">
        <v>77351</v>
      </c>
      <c r="M1131" t="n">
        <v>99000</v>
      </c>
      <c r="N1131" t="n">
        <v>91</v>
      </c>
      <c r="O1131" t="n">
        <v>0.91</v>
      </c>
      <c r="P1131" t="n">
        <v>1</v>
      </c>
      <c r="Q1131" t="n">
        <v>0.12</v>
      </c>
      <c r="R1131" t="n">
        <v>2</v>
      </c>
      <c r="S1131" t="n">
        <v>6306.300000000001</v>
      </c>
      <c r="T1131" t="n">
        <v>10</v>
      </c>
      <c r="U1131" t="n">
        <v>11</v>
      </c>
      <c r="V1131" t="n">
        <v>30</v>
      </c>
      <c r="W1131" t="n">
        <v>2</v>
      </c>
      <c r="X1131" t="n">
        <v>62.79434850863422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12340</v>
      </c>
      <c r="AG1131" t="n">
        <v>92</v>
      </c>
      <c r="AH1131" t="inlineStr">
        <is>
          <t>PT. SAI (PDG)</t>
        </is>
      </c>
      <c r="AI1131" t="n">
        <v>350</v>
      </c>
      <c r="AJ1131" t="inlineStr">
        <is>
          <t>DERMA ANGEL</t>
        </is>
      </c>
      <c r="AK1131" t="n">
        <v>21</v>
      </c>
      <c r="AL1131" t="inlineStr">
        <is>
          <t>Miss Glam Damar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DERMA ANGEL</t>
        </is>
      </c>
      <c r="B1132" s="2">
        <f>"4719745074158"</f>
        <v/>
      </c>
      <c r="C1132" t="inlineStr">
        <is>
          <t>DERMA ANGEL Acne Patch Clearing Day 6 pcs</t>
        </is>
      </c>
      <c r="D1132" t="inlineStr">
        <is>
          <t>Miss Glam Damar</t>
        </is>
      </c>
      <c r="E1132" t="n">
        <v>30</v>
      </c>
      <c r="F1132" t="n">
        <v>0.2002</v>
      </c>
      <c r="G1132" t="n">
        <v>2.73</v>
      </c>
      <c r="H1132" t="n">
        <v>2</v>
      </c>
      <c r="I1132" t="n">
        <v>11</v>
      </c>
      <c r="J1132" t="n">
        <v>3</v>
      </c>
      <c r="K1132" t="n">
        <v>0</v>
      </c>
      <c r="L1132" t="n">
        <v>15200</v>
      </c>
      <c r="M1132" t="n">
        <v>19000</v>
      </c>
      <c r="N1132" t="n">
        <v>91</v>
      </c>
      <c r="O1132" t="n">
        <v>0.91</v>
      </c>
      <c r="P1132" t="n">
        <v>1</v>
      </c>
      <c r="Q1132" t="n">
        <v>1.25</v>
      </c>
      <c r="R1132" t="n">
        <v>4</v>
      </c>
      <c r="S1132" t="n">
        <v>3803.8</v>
      </c>
      <c r="T1132" t="n">
        <v>30</v>
      </c>
      <c r="U1132" t="n">
        <v>31</v>
      </c>
      <c r="V1132" t="n">
        <v>30</v>
      </c>
      <c r="W1132" t="n">
        <v>7</v>
      </c>
      <c r="X1132" t="n">
        <v>149.8501498501498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12340</v>
      </c>
      <c r="AG1132" t="n">
        <v>92</v>
      </c>
      <c r="AH1132" t="inlineStr">
        <is>
          <t>PT. SAI (PDG)</t>
        </is>
      </c>
      <c r="AI1132" t="n">
        <v>350</v>
      </c>
      <c r="AJ1132" t="inlineStr">
        <is>
          <t>DERMA ANGEL</t>
        </is>
      </c>
      <c r="AK1132" t="n">
        <v>21</v>
      </c>
      <c r="AL1132" t="inlineStr">
        <is>
          <t>Miss Glam Damar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DERMA ANGEL</t>
        </is>
      </c>
      <c r="B1133" s="2">
        <f>"4719745505119"</f>
        <v/>
      </c>
      <c r="C1133" t="inlineStr">
        <is>
          <t>DERMA ANGEL Acne Patch Day 12pcs</t>
        </is>
      </c>
      <c r="D1133" t="inlineStr">
        <is>
          <t>Miss Glam Damar</t>
        </is>
      </c>
      <c r="E1133" t="n">
        <v>44</v>
      </c>
      <c r="F1133" t="n">
        <v>0.9828000000000001</v>
      </c>
      <c r="G1133" t="n">
        <v>4.55</v>
      </c>
      <c r="H1133" t="n">
        <v>2</v>
      </c>
      <c r="I1133" t="n">
        <v>11</v>
      </c>
      <c r="J1133" t="n">
        <v>3</v>
      </c>
      <c r="K1133" t="n">
        <v>0</v>
      </c>
      <c r="L1133" t="n">
        <v>26390</v>
      </c>
      <c r="M1133" t="n">
        <v>33000</v>
      </c>
      <c r="N1133" t="n">
        <v>91</v>
      </c>
      <c r="O1133" t="n">
        <v>0.91</v>
      </c>
      <c r="P1133" t="n">
        <v>1</v>
      </c>
      <c r="Q1133" t="n">
        <v>1.83</v>
      </c>
      <c r="R1133" t="n">
        <v>6</v>
      </c>
      <c r="S1133" t="n">
        <v>32432.40000000001</v>
      </c>
      <c r="T1133" t="n">
        <v>49</v>
      </c>
      <c r="U1133" t="n">
        <v>51</v>
      </c>
      <c r="V1133" t="n">
        <v>30</v>
      </c>
      <c r="W1133" t="n">
        <v>30</v>
      </c>
      <c r="X1133" t="n">
        <v>44.77004477004476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12340</v>
      </c>
      <c r="AG1133" t="n">
        <v>92</v>
      </c>
      <c r="AH1133" t="inlineStr">
        <is>
          <t>PT. SAI (PDG)</t>
        </is>
      </c>
      <c r="AI1133" t="n">
        <v>350</v>
      </c>
      <c r="AJ1133" t="inlineStr">
        <is>
          <t>DERMA ANGEL</t>
        </is>
      </c>
      <c r="AK1133" t="n">
        <v>21</v>
      </c>
      <c r="AL1133" t="inlineStr">
        <is>
          <t>Miss Glam Damar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DERMA ANGEL</t>
        </is>
      </c>
      <c r="B1134" s="2">
        <f>"4719745505133"</f>
        <v/>
      </c>
      <c r="C1134" t="inlineStr">
        <is>
          <t>DERMA ANGEL Acne Patch Mix 18 pcs (Day 12 pcs + Night 6 pcs)</t>
        </is>
      </c>
      <c r="D1134" t="inlineStr">
        <is>
          <t>Miss Glam Damar</t>
        </is>
      </c>
      <c r="E1134" t="n">
        <v>15</v>
      </c>
      <c r="F1134" t="n">
        <v>0.4186</v>
      </c>
      <c r="G1134" t="n">
        <v>2.73</v>
      </c>
      <c r="H1134" t="n">
        <v>2</v>
      </c>
      <c r="I1134" t="n">
        <v>11</v>
      </c>
      <c r="J1134" t="n">
        <v>3</v>
      </c>
      <c r="K1134" t="n">
        <v>0</v>
      </c>
      <c r="L1134" t="n">
        <v>36676</v>
      </c>
      <c r="M1134" t="n">
        <v>45000</v>
      </c>
      <c r="N1134" t="n">
        <v>91</v>
      </c>
      <c r="O1134" t="n">
        <v>0.91</v>
      </c>
      <c r="P1134" t="n">
        <v>1</v>
      </c>
      <c r="Q1134" t="n">
        <v>0.75</v>
      </c>
      <c r="R1134" t="n">
        <v>4</v>
      </c>
      <c r="S1134" t="n">
        <v>18837</v>
      </c>
      <c r="T1134" t="n">
        <v>30</v>
      </c>
      <c r="U1134" t="n">
        <v>31</v>
      </c>
      <c r="V1134" t="n">
        <v>30</v>
      </c>
      <c r="W1134" t="n">
        <v>13</v>
      </c>
      <c r="X1134" t="n">
        <v>35.8337314859054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12340</v>
      </c>
      <c r="AG1134" t="n">
        <v>92</v>
      </c>
      <c r="AH1134" t="inlineStr">
        <is>
          <t>PT. SAI (PDG)</t>
        </is>
      </c>
      <c r="AI1134" t="n">
        <v>350</v>
      </c>
      <c r="AJ1134" t="inlineStr">
        <is>
          <t>DERMA ANGEL</t>
        </is>
      </c>
      <c r="AK1134" t="n">
        <v>21</v>
      </c>
      <c r="AL1134" t="inlineStr">
        <is>
          <t>Miss Glam Damar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DERMA ANGEL</t>
        </is>
      </c>
      <c r="B1135" s="2">
        <f>"4719745505126"</f>
        <v/>
      </c>
      <c r="C1135" t="inlineStr">
        <is>
          <t>DERMA ANGEL Acne Patch Night 12pcs</t>
        </is>
      </c>
      <c r="D1135" t="inlineStr">
        <is>
          <t>Miss Glam Damar</t>
        </is>
      </c>
      <c r="E1135" t="n">
        <v>16</v>
      </c>
      <c r="F1135" t="n">
        <v>0.2912</v>
      </c>
      <c r="G1135" t="n">
        <v>2.73</v>
      </c>
      <c r="H1135" t="n">
        <v>2</v>
      </c>
      <c r="I1135" t="n">
        <v>11</v>
      </c>
      <c r="J1135" t="n">
        <v>3</v>
      </c>
      <c r="K1135" t="n">
        <v>0</v>
      </c>
      <c r="L1135" t="n">
        <v>27189</v>
      </c>
      <c r="M1135" t="n">
        <v>34000</v>
      </c>
      <c r="N1135" t="n">
        <v>91</v>
      </c>
      <c r="O1135" t="n">
        <v>0.91</v>
      </c>
      <c r="P1135" t="n">
        <v>1</v>
      </c>
      <c r="Q1135" t="n">
        <v>0.64</v>
      </c>
      <c r="R1135" t="n">
        <v>4</v>
      </c>
      <c r="S1135" t="n">
        <v>9900.800000000001</v>
      </c>
      <c r="T1135" t="n">
        <v>30</v>
      </c>
      <c r="U1135" t="n">
        <v>31</v>
      </c>
      <c r="V1135" t="n">
        <v>30</v>
      </c>
      <c r="W1135" t="n">
        <v>9</v>
      </c>
      <c r="X1135" t="n">
        <v>54.94505494505494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12340</v>
      </c>
      <c r="AG1135" t="n">
        <v>92</v>
      </c>
      <c r="AH1135" t="inlineStr">
        <is>
          <t>PT. SAI (PDG)</t>
        </is>
      </c>
      <c r="AI1135" t="n">
        <v>350</v>
      </c>
      <c r="AJ1135" t="inlineStr">
        <is>
          <t>DERMA ANGEL</t>
        </is>
      </c>
      <c r="AK1135" t="n">
        <v>21</v>
      </c>
      <c r="AL1135" t="inlineStr">
        <is>
          <t>Miss Glam Damar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DERMA ANGEL</t>
        </is>
      </c>
      <c r="B1136" s="2">
        <f>"4719745505461"</f>
        <v/>
      </c>
      <c r="C1136" t="inlineStr">
        <is>
          <t>DERMA ANGEL Acne Patch Night 6pcs</t>
        </is>
      </c>
      <c r="D1136" t="inlineStr">
        <is>
          <t>Miss Glam Damar</t>
        </is>
      </c>
      <c r="E1136" t="n">
        <v>16</v>
      </c>
      <c r="F1136" t="n">
        <v>1.0829</v>
      </c>
      <c r="G1136" t="n">
        <v>3.64</v>
      </c>
      <c r="H1136" t="n">
        <v>2</v>
      </c>
      <c r="I1136" t="n">
        <v>11</v>
      </c>
      <c r="J1136" t="n">
        <v>12</v>
      </c>
      <c r="K1136" t="n">
        <v>0</v>
      </c>
      <c r="L1136" t="n">
        <v>14400</v>
      </c>
      <c r="M1136" t="n">
        <v>19000</v>
      </c>
      <c r="N1136" t="n">
        <v>91</v>
      </c>
      <c r="O1136" t="n">
        <v>0.91</v>
      </c>
      <c r="P1136" t="n">
        <v>1</v>
      </c>
      <c r="Q1136" t="n">
        <v>0.27</v>
      </c>
      <c r="R1136" t="n">
        <v>3</v>
      </c>
      <c r="S1136" t="n">
        <v>20575.1</v>
      </c>
      <c r="T1136" t="n">
        <v>38</v>
      </c>
      <c r="U1136" t="n">
        <v>41</v>
      </c>
      <c r="V1136" t="n">
        <v>30</v>
      </c>
      <c r="W1136" t="n">
        <v>33</v>
      </c>
      <c r="X1136" t="n">
        <v>14.77514082556099</v>
      </c>
      <c r="Y1136" t="n">
        <v>1</v>
      </c>
      <c r="Z1136" t="n">
        <v>17</v>
      </c>
      <c r="AA1136" t="n">
        <v>0</v>
      </c>
      <c r="AB1136" t="n">
        <v>17</v>
      </c>
      <c r="AC1136" t="n">
        <v>17</v>
      </c>
      <c r="AD1136" t="n">
        <v>0</v>
      </c>
      <c r="AE1136" t="n">
        <v>244800</v>
      </c>
      <c r="AF1136" t="n">
        <v>12340</v>
      </c>
      <c r="AG1136" t="n">
        <v>92</v>
      </c>
      <c r="AH1136" t="inlineStr">
        <is>
          <t>PT. SAI (PDG)</t>
        </is>
      </c>
      <c r="AI1136" t="n">
        <v>350</v>
      </c>
      <c r="AJ1136" t="inlineStr">
        <is>
          <t>DERMA ANGEL</t>
        </is>
      </c>
      <c r="AK1136" t="n">
        <v>21</v>
      </c>
      <c r="AL1136" t="inlineStr">
        <is>
          <t>Miss Glam Damar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DERMA ANGEL</t>
        </is>
      </c>
      <c r="B1137" s="2">
        <f>"4719745015885"</f>
        <v/>
      </c>
      <c r="C1137" t="inlineStr">
        <is>
          <t>DERMA ANGEL Acne Patch Plus With Salicylic Acid Day 12 pcs</t>
        </is>
      </c>
      <c r="D1137" t="inlineStr">
        <is>
          <t>Miss Glam Damar</t>
        </is>
      </c>
      <c r="E1137" t="n">
        <v>38</v>
      </c>
      <c r="F1137" t="n">
        <v>0.8463000000000001</v>
      </c>
      <c r="G1137" t="n">
        <v>3.64</v>
      </c>
      <c r="H1137" t="n">
        <v>2</v>
      </c>
      <c r="I1137" t="n">
        <v>11</v>
      </c>
      <c r="J1137" t="n">
        <v>3</v>
      </c>
      <c r="K1137" t="n">
        <v>0</v>
      </c>
      <c r="L1137" t="n">
        <v>30915</v>
      </c>
      <c r="M1137" t="n">
        <v>37000</v>
      </c>
      <c r="N1137" t="n">
        <v>91</v>
      </c>
      <c r="O1137" t="n">
        <v>0.91</v>
      </c>
      <c r="P1137" t="n">
        <v>1</v>
      </c>
      <c r="Q1137" t="n">
        <v>1.66</v>
      </c>
      <c r="R1137" t="n">
        <v>9</v>
      </c>
      <c r="S1137" t="n">
        <v>31313.1</v>
      </c>
      <c r="T1137" t="n">
        <v>39</v>
      </c>
      <c r="U1137" t="n">
        <v>41</v>
      </c>
      <c r="V1137" t="n">
        <v>30</v>
      </c>
      <c r="W1137" t="n">
        <v>26</v>
      </c>
      <c r="X1137" t="n">
        <v>44.90133522391586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12340</v>
      </c>
      <c r="AG1137" t="n">
        <v>92</v>
      </c>
      <c r="AH1137" t="inlineStr">
        <is>
          <t>PT. SAI (PDG)</t>
        </is>
      </c>
      <c r="AI1137" t="n">
        <v>350</v>
      </c>
      <c r="AJ1137" t="inlineStr">
        <is>
          <t>DERMA ANGEL</t>
        </is>
      </c>
      <c r="AK1137" t="n">
        <v>21</v>
      </c>
      <c r="AL1137" t="inlineStr">
        <is>
          <t>Miss Glam Damar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DERMA ANGEL</t>
        </is>
      </c>
      <c r="B1138" s="2">
        <f>"4719745015915"</f>
        <v/>
      </c>
      <c r="C1138" t="inlineStr">
        <is>
          <t>DERMA ANGEL Acne Patch Plus With Salicylic Acid Night 12 pcs</t>
        </is>
      </c>
      <c r="D1138" t="inlineStr">
        <is>
          <t>Miss Glam Damar</t>
        </is>
      </c>
      <c r="E1138" t="n">
        <v>28</v>
      </c>
      <c r="F1138" t="n">
        <v>0.4004</v>
      </c>
      <c r="G1138" t="n">
        <v>2.73</v>
      </c>
      <c r="H1138" t="n">
        <v>2</v>
      </c>
      <c r="I1138" t="n">
        <v>11</v>
      </c>
      <c r="J1138" t="n">
        <v>3</v>
      </c>
      <c r="K1138" t="n">
        <v>0</v>
      </c>
      <c r="L1138" t="n">
        <v>32473</v>
      </c>
      <c r="M1138" t="n">
        <v>39000</v>
      </c>
      <c r="N1138" t="n">
        <v>91</v>
      </c>
      <c r="O1138" t="n">
        <v>0.91</v>
      </c>
      <c r="P1138" t="n">
        <v>1</v>
      </c>
      <c r="Q1138" t="n">
        <v>0.95</v>
      </c>
      <c r="R1138" t="n">
        <v>4</v>
      </c>
      <c r="S1138" t="n">
        <v>15615.6</v>
      </c>
      <c r="T1138" t="n">
        <v>30</v>
      </c>
      <c r="U1138" t="n">
        <v>31</v>
      </c>
      <c r="V1138" t="n">
        <v>30</v>
      </c>
      <c r="W1138" t="n">
        <v>13</v>
      </c>
      <c r="X1138" t="n">
        <v>69.93006993006992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12340</v>
      </c>
      <c r="AG1138" t="n">
        <v>92</v>
      </c>
      <c r="AH1138" t="inlineStr">
        <is>
          <t>PT. SAI (PDG)</t>
        </is>
      </c>
      <c r="AI1138" t="n">
        <v>350</v>
      </c>
      <c r="AJ1138" t="inlineStr">
        <is>
          <t>DERMA ANGEL</t>
        </is>
      </c>
      <c r="AK1138" t="n">
        <v>21</v>
      </c>
      <c r="AL1138" t="inlineStr">
        <is>
          <t>Miss Glam Damar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DERMA ANGEL</t>
        </is>
      </c>
      <c r="B1139" s="2">
        <f>"4719745085703"</f>
        <v/>
      </c>
      <c r="C1139" t="inlineStr">
        <is>
          <t>DERMA ANGEL Acne Patch Soothing Night 6 pcs</t>
        </is>
      </c>
      <c r="D1139" t="inlineStr">
        <is>
          <t>Miss Glam Damar</t>
        </is>
      </c>
      <c r="E1139" t="n">
        <v>31</v>
      </c>
      <c r="F1139" t="n">
        <v>1.1739</v>
      </c>
      <c r="G1139" t="n">
        <v>4.55</v>
      </c>
      <c r="H1139" t="n">
        <v>2</v>
      </c>
      <c r="I1139" t="n">
        <v>11</v>
      </c>
      <c r="J1139" t="n">
        <v>3</v>
      </c>
      <c r="K1139" t="n">
        <v>0</v>
      </c>
      <c r="L1139" t="n">
        <v>15989</v>
      </c>
      <c r="M1139" t="n">
        <v>20000</v>
      </c>
      <c r="N1139" t="n">
        <v>91</v>
      </c>
      <c r="O1139" t="n">
        <v>0.91</v>
      </c>
      <c r="P1139" t="n">
        <v>1</v>
      </c>
      <c r="Q1139" t="n">
        <v>0.97</v>
      </c>
      <c r="R1139" t="n">
        <v>4</v>
      </c>
      <c r="S1139" t="n">
        <v>23478</v>
      </c>
      <c r="T1139" t="n">
        <v>48</v>
      </c>
      <c r="U1139" t="n">
        <v>51</v>
      </c>
      <c r="V1139" t="n">
        <v>30</v>
      </c>
      <c r="W1139" t="n">
        <v>36</v>
      </c>
      <c r="X1139" t="n">
        <v>26.40770082630547</v>
      </c>
      <c r="Y1139" t="n">
        <v>1</v>
      </c>
      <c r="Z1139" t="n">
        <v>5</v>
      </c>
      <c r="AA1139" t="n">
        <v>0</v>
      </c>
      <c r="AB1139" t="n">
        <v>5</v>
      </c>
      <c r="AC1139" t="n">
        <v>5</v>
      </c>
      <c r="AD1139" t="n">
        <v>0</v>
      </c>
      <c r="AE1139" t="n">
        <v>79945</v>
      </c>
      <c r="AF1139" t="n">
        <v>12340</v>
      </c>
      <c r="AG1139" t="n">
        <v>92</v>
      </c>
      <c r="AH1139" t="inlineStr">
        <is>
          <t>PT. SAI (PDG)</t>
        </is>
      </c>
      <c r="AI1139" t="n">
        <v>350</v>
      </c>
      <c r="AJ1139" t="inlineStr">
        <is>
          <t>DERMA ANGEL</t>
        </is>
      </c>
      <c r="AK1139" t="n">
        <v>21</v>
      </c>
      <c r="AL1139" t="inlineStr">
        <is>
          <t>Miss Glam Damar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DIOSYS</t>
        </is>
      </c>
      <c r="B1140" s="2">
        <f>"8997025470517"</f>
        <v/>
      </c>
      <c r="C1140" t="inlineStr">
        <is>
          <t>DIOSYS Serum Vitamin Kuning 60ml</t>
        </is>
      </c>
      <c r="D1140" t="inlineStr">
        <is>
          <t>Miss Glam Damar</t>
        </is>
      </c>
      <c r="E1140" t="n">
        <v>3</v>
      </c>
      <c r="F1140" t="n">
        <v>0.05</v>
      </c>
      <c r="G1140" t="n">
        <v>1</v>
      </c>
      <c r="H1140" t="n">
        <v>1</v>
      </c>
      <c r="I1140" t="n">
        <v>7</v>
      </c>
      <c r="J1140" t="n">
        <v>3</v>
      </c>
      <c r="K1140" t="n">
        <v>0</v>
      </c>
      <c r="L1140" t="n">
        <v>17000</v>
      </c>
      <c r="M1140" t="n">
        <v>25000</v>
      </c>
      <c r="N1140" t="n">
        <v>91</v>
      </c>
      <c r="O1140" t="n">
        <v>0.91</v>
      </c>
      <c r="P1140" t="n">
        <v>0</v>
      </c>
      <c r="Q1140" t="n">
        <v>0.05</v>
      </c>
      <c r="R1140" t="n">
        <v>1</v>
      </c>
      <c r="S1140" t="n">
        <v>1250</v>
      </c>
      <c r="T1140" t="n">
        <v>7</v>
      </c>
      <c r="U1140" t="n">
        <v>8</v>
      </c>
      <c r="V1140" t="n">
        <v>30</v>
      </c>
      <c r="W1140" t="n">
        <v>2</v>
      </c>
      <c r="X1140" t="n">
        <v>60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11154</v>
      </c>
      <c r="AG1140" t="n">
        <v>54</v>
      </c>
      <c r="AH1140" t="inlineStr">
        <is>
          <t>PT. MIRANTI ADILLHA - PPN (PDG)</t>
        </is>
      </c>
      <c r="AI1140" t="n">
        <v>1150</v>
      </c>
      <c r="AJ1140" t="inlineStr">
        <is>
          <t>DIOSYS</t>
        </is>
      </c>
      <c r="AK1140" t="n">
        <v>21</v>
      </c>
      <c r="AL1140" t="inlineStr">
        <is>
          <t>Miss Glam Damar</t>
        </is>
      </c>
      <c r="AM1140" t="n">
        <v>4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DIOSYS</t>
        </is>
      </c>
      <c r="B1141" s="2">
        <f>"8997025470548"</f>
        <v/>
      </c>
      <c r="C1141" t="inlineStr">
        <is>
          <t>DIOSYS Serum Vitamin Rambut Merah 60ml</t>
        </is>
      </c>
      <c r="D1141" t="inlineStr">
        <is>
          <t>Miss Glam Damar</t>
        </is>
      </c>
      <c r="E1141" t="n">
        <v>0</v>
      </c>
      <c r="F1141" t="n">
        <v>0.0546</v>
      </c>
      <c r="G1141" t="n">
        <v>0.91</v>
      </c>
      <c r="H1141" t="n">
        <v>1</v>
      </c>
      <c r="I1141" t="n">
        <v>7</v>
      </c>
      <c r="J1141" t="n">
        <v>3</v>
      </c>
      <c r="K1141" t="n">
        <v>0</v>
      </c>
      <c r="L1141" t="n">
        <v>17000</v>
      </c>
      <c r="M1141" t="n">
        <v>25000</v>
      </c>
      <c r="N1141" t="n">
        <v>91</v>
      </c>
      <c r="O1141" t="n">
        <v>0.91</v>
      </c>
      <c r="P1141" t="n">
        <v>1</v>
      </c>
      <c r="Q1141" t="n">
        <v>0.13</v>
      </c>
      <c r="R1141" t="n">
        <v>2</v>
      </c>
      <c r="S1141" t="n">
        <v>1365</v>
      </c>
      <c r="T1141" t="n">
        <v>7</v>
      </c>
      <c r="U1141" t="n">
        <v>8</v>
      </c>
      <c r="V1141" t="n">
        <v>30</v>
      </c>
      <c r="W1141" t="n">
        <v>2</v>
      </c>
      <c r="X1141" t="n">
        <v>0</v>
      </c>
      <c r="Y1141" t="n">
        <v>1</v>
      </c>
      <c r="Z1141" t="n">
        <v>2</v>
      </c>
      <c r="AA1141" t="n">
        <v>1</v>
      </c>
      <c r="AB1141" t="n">
        <v>1</v>
      </c>
      <c r="AC1141" t="n">
        <v>3</v>
      </c>
      <c r="AD1141" t="n">
        <v>17000</v>
      </c>
      <c r="AE1141" t="n">
        <v>51000</v>
      </c>
      <c r="AF1141" t="n">
        <v>11154</v>
      </c>
      <c r="AG1141" t="n">
        <v>54</v>
      </c>
      <c r="AH1141" t="inlineStr">
        <is>
          <t>PT. MIRANTI ADILLHA - PPN (PDG)</t>
        </is>
      </c>
      <c r="AI1141" t="n">
        <v>1150</v>
      </c>
      <c r="AJ1141" t="inlineStr">
        <is>
          <t>DIOSYS</t>
        </is>
      </c>
      <c r="AK1141" t="n">
        <v>21</v>
      </c>
      <c r="AL1141" t="inlineStr">
        <is>
          <t>Miss Glam Damar</t>
        </is>
      </c>
      <c r="AM1141" t="n">
        <v>4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DIOSYS</t>
        </is>
      </c>
      <c r="B1142" s="2">
        <f>"8997025470531"</f>
        <v/>
      </c>
      <c r="C1142" t="inlineStr">
        <is>
          <t>DIOSYS Vitamin Rambut Biru 60ml</t>
        </is>
      </c>
      <c r="D1142" t="inlineStr">
        <is>
          <t>Miss Glam Damar</t>
        </is>
      </c>
      <c r="E1142" t="n">
        <v>0</v>
      </c>
      <c r="F1142" t="n">
        <v>0.0182</v>
      </c>
      <c r="G1142" t="n">
        <v>0.91</v>
      </c>
      <c r="H1142" t="n">
        <v>1</v>
      </c>
      <c r="I1142" t="n">
        <v>7</v>
      </c>
      <c r="J1142" t="n">
        <v>3</v>
      </c>
      <c r="K1142" t="n">
        <v>0</v>
      </c>
      <c r="L1142" t="n">
        <v>17000</v>
      </c>
      <c r="M1142" t="n">
        <v>25000</v>
      </c>
      <c r="N1142" t="n">
        <v>91</v>
      </c>
      <c r="O1142" t="n">
        <v>0.91</v>
      </c>
      <c r="P1142" t="n">
        <v>1</v>
      </c>
      <c r="Q1142" t="n">
        <v>0.12</v>
      </c>
      <c r="R1142" t="n">
        <v>1</v>
      </c>
      <c r="S1142" t="n">
        <v>455</v>
      </c>
      <c r="T1142" t="n">
        <v>7</v>
      </c>
      <c r="U1142" t="n">
        <v>8</v>
      </c>
      <c r="V1142" t="n">
        <v>30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n">
        <v>0</v>
      </c>
      <c r="AC1142" t="n">
        <v>0</v>
      </c>
      <c r="AD1142" t="n">
        <v>17000</v>
      </c>
      <c r="AE1142" t="n">
        <v>0</v>
      </c>
      <c r="AF1142" t="n">
        <v>11154</v>
      </c>
      <c r="AG1142" t="n">
        <v>54</v>
      </c>
      <c r="AH1142" t="inlineStr">
        <is>
          <t>PT. MIRANTI ADILLHA - PPN (PDG)</t>
        </is>
      </c>
      <c r="AI1142" t="n">
        <v>1150</v>
      </c>
      <c r="AJ1142" t="inlineStr">
        <is>
          <t>DIOSYS</t>
        </is>
      </c>
      <c r="AK1142" t="n">
        <v>21</v>
      </c>
      <c r="AL1142" t="inlineStr">
        <is>
          <t>Miss Glam Damar</t>
        </is>
      </c>
      <c r="AM1142" t="n">
        <v>4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DORSKIN</t>
        </is>
      </c>
      <c r="B1143" s="2">
        <f>"10500405011"</f>
        <v/>
      </c>
      <c r="C1143" t="inlineStr">
        <is>
          <t>DORSKIN Matcha Glow Dream Mask 30gr</t>
        </is>
      </c>
      <c r="D1143" t="inlineStr">
        <is>
          <t>Miss Glam Damar</t>
        </is>
      </c>
      <c r="E1143" t="n">
        <v>0</v>
      </c>
      <c r="F1143" t="n">
        <v>0.1092</v>
      </c>
      <c r="G1143" t="n">
        <v>1.82</v>
      </c>
      <c r="H1143" t="n">
        <v>4</v>
      </c>
      <c r="I1143" t="n">
        <v>6</v>
      </c>
      <c r="J1143" t="n">
        <v>3</v>
      </c>
      <c r="K1143" t="n">
        <v>9</v>
      </c>
      <c r="L1143" t="n">
        <v>81750</v>
      </c>
      <c r="M1143" t="n">
        <v>115000</v>
      </c>
      <c r="N1143" t="n">
        <v>91</v>
      </c>
      <c r="O1143" t="n">
        <v>0.91</v>
      </c>
      <c r="P1143" t="n">
        <v>1</v>
      </c>
      <c r="Q1143" t="n">
        <v>0.11</v>
      </c>
      <c r="R1143" t="n">
        <v>2</v>
      </c>
      <c r="S1143" t="n">
        <v>12558</v>
      </c>
      <c r="T1143" t="n">
        <v>11</v>
      </c>
      <c r="U1143" t="n">
        <v>12</v>
      </c>
      <c r="V1143" t="n">
        <v>30</v>
      </c>
      <c r="W1143" t="n">
        <v>4</v>
      </c>
      <c r="X1143" t="n">
        <v>0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2078</v>
      </c>
      <c r="AG1143" t="n">
        <v>3317</v>
      </c>
      <c r="AH1143" t="inlineStr">
        <is>
          <t>PT GREAT DELI FARMA (PKU)</t>
        </is>
      </c>
      <c r="AI1143" t="n">
        <v>1114</v>
      </c>
      <c r="AJ1143" t="inlineStr">
        <is>
          <t>DORSKIN</t>
        </is>
      </c>
      <c r="AK1143" t="n">
        <v>21</v>
      </c>
      <c r="AL1143" t="inlineStr">
        <is>
          <t>Miss Glam Damar</t>
        </is>
      </c>
      <c r="AM1143" t="n">
        <v>3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DORSKIN</t>
        </is>
      </c>
      <c r="B1144" s="2">
        <f>"10300710656"</f>
        <v/>
      </c>
      <c r="C1144" t="inlineStr">
        <is>
          <t>DORSKIN Pink Bliss Moisturizer Light Watery Gel For Oily Skin 30gr</t>
        </is>
      </c>
      <c r="D1144" t="inlineStr">
        <is>
          <t>Miss Glam Damar</t>
        </is>
      </c>
      <c r="E1144" t="n">
        <v>3</v>
      </c>
      <c r="F1144" t="n">
        <v>0.06370000000000001</v>
      </c>
      <c r="G1144" t="n">
        <v>0.91</v>
      </c>
      <c r="H1144" t="n">
        <v>4</v>
      </c>
      <c r="I1144" t="n">
        <v>6</v>
      </c>
      <c r="J1144" t="n">
        <v>3</v>
      </c>
      <c r="K1144" t="n">
        <v>3</v>
      </c>
      <c r="L1144" t="n">
        <v>81750</v>
      </c>
      <c r="M1144" t="n">
        <v>117000</v>
      </c>
      <c r="N1144" t="n">
        <v>91</v>
      </c>
      <c r="O1144" t="n">
        <v>0.91</v>
      </c>
      <c r="P1144" t="n">
        <v>1</v>
      </c>
      <c r="Q1144" t="n">
        <v>0.05</v>
      </c>
      <c r="R1144" t="n">
        <v>1</v>
      </c>
      <c r="S1144" t="n">
        <v>7452.900000000001</v>
      </c>
      <c r="T1144" t="n">
        <v>6</v>
      </c>
      <c r="U1144" t="n">
        <v>7</v>
      </c>
      <c r="V1144" t="n">
        <v>30</v>
      </c>
      <c r="W1144" t="n">
        <v>2</v>
      </c>
      <c r="X1144" t="n">
        <v>47.09576138147566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2078</v>
      </c>
      <c r="AG1144" t="n">
        <v>3317</v>
      </c>
      <c r="AH1144" t="inlineStr">
        <is>
          <t>PT GREAT DELI FARMA (PKU)</t>
        </is>
      </c>
      <c r="AI1144" t="n">
        <v>1114</v>
      </c>
      <c r="AJ1144" t="inlineStr">
        <is>
          <t>DORSKIN</t>
        </is>
      </c>
      <c r="AK1144" t="n">
        <v>21</v>
      </c>
      <c r="AL1144" t="inlineStr">
        <is>
          <t>Miss Glam Damar</t>
        </is>
      </c>
      <c r="AM1144" t="n">
        <v>3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DOVE</t>
        </is>
      </c>
      <c r="B1145" s="2">
        <f>"8999999026400"</f>
        <v/>
      </c>
      <c r="C1145" t="inlineStr">
        <is>
          <t>DOVE Deeplay Nurishing Nutrium Moisture 550ml</t>
        </is>
      </c>
      <c r="D1145" t="inlineStr">
        <is>
          <t>Miss Glam Damar</t>
        </is>
      </c>
      <c r="E1145" t="n">
        <v>0</v>
      </c>
      <c r="F1145" t="n">
        <v>0.04550000000000001</v>
      </c>
      <c r="G1145" t="n">
        <v>0.91</v>
      </c>
      <c r="H1145" t="n">
        <v>3</v>
      </c>
      <c r="I1145" t="n">
        <v>5</v>
      </c>
      <c r="J1145" t="n">
        <v>3</v>
      </c>
      <c r="K1145" t="n">
        <v>0</v>
      </c>
      <c r="L1145" t="n">
        <v>61396</v>
      </c>
      <c r="M1145" t="n">
        <v>93000</v>
      </c>
      <c r="N1145" t="n">
        <v>91</v>
      </c>
      <c r="O1145" t="n">
        <v>0.91</v>
      </c>
      <c r="P1145" t="n">
        <v>1</v>
      </c>
      <c r="Q1145" t="n">
        <v>0.02</v>
      </c>
      <c r="R1145" t="n">
        <v>1</v>
      </c>
      <c r="S1145" t="n">
        <v>4231.500000000001</v>
      </c>
      <c r="T1145" t="n">
        <v>5</v>
      </c>
      <c r="U1145" t="n">
        <v>6</v>
      </c>
      <c r="V1145" t="n">
        <v>30</v>
      </c>
      <c r="W1145" t="n">
        <v>2</v>
      </c>
      <c r="X1145" t="n">
        <v>0</v>
      </c>
      <c r="Y1145" t="n">
        <v>1</v>
      </c>
      <c r="Z1145" t="n">
        <v>2</v>
      </c>
      <c r="AA1145" t="n">
        <v>1</v>
      </c>
      <c r="AB1145" t="n">
        <v>1</v>
      </c>
      <c r="AC1145" t="n">
        <v>3</v>
      </c>
      <c r="AD1145" t="n">
        <v>61396</v>
      </c>
      <c r="AE1145" t="n">
        <v>184188</v>
      </c>
      <c r="AF1145" t="n">
        <v>1535</v>
      </c>
      <c r="AG1145" t="n">
        <v>361</v>
      </c>
      <c r="AH1145" t="inlineStr">
        <is>
          <t>CV. SERBA SERBI - PPN (PDG)</t>
        </is>
      </c>
      <c r="AI1145" t="n">
        <v>393</v>
      </c>
      <c r="AJ1145" t="inlineStr">
        <is>
          <t>DOVE</t>
        </is>
      </c>
      <c r="AK1145" t="n">
        <v>21</v>
      </c>
      <c r="AL1145" t="inlineStr">
        <is>
          <t>Miss Glam Damar</t>
        </is>
      </c>
      <c r="AM1145" t="n">
        <v>2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DOVE</t>
        </is>
      </c>
      <c r="B1146" s="2">
        <f>"8999999005580"</f>
        <v/>
      </c>
      <c r="C1146" t="inlineStr">
        <is>
          <t>DOVE Deodorant Roll On Nourish And Smooth 40ml</t>
        </is>
      </c>
      <c r="D1146" t="inlineStr">
        <is>
          <t>Miss Glam Damar</t>
        </is>
      </c>
      <c r="E1146" t="n">
        <v>5</v>
      </c>
      <c r="F1146" t="n">
        <v>0.3367</v>
      </c>
      <c r="G1146" t="n">
        <v>1.82</v>
      </c>
      <c r="H1146" t="n">
        <v>3</v>
      </c>
      <c r="I1146" t="n">
        <v>5</v>
      </c>
      <c r="J1146" t="n">
        <v>3</v>
      </c>
      <c r="K1146" t="n">
        <v>0</v>
      </c>
      <c r="L1146" t="n">
        <v>21906</v>
      </c>
      <c r="M1146" t="n">
        <v>26000</v>
      </c>
      <c r="N1146" t="n">
        <v>91</v>
      </c>
      <c r="O1146" t="n">
        <v>0.91</v>
      </c>
      <c r="P1146" t="n">
        <v>1</v>
      </c>
      <c r="Q1146" t="n">
        <v>0.27</v>
      </c>
      <c r="R1146" t="n">
        <v>2</v>
      </c>
      <c r="S1146" t="n">
        <v>8754.200000000001</v>
      </c>
      <c r="T1146" t="n">
        <v>9</v>
      </c>
      <c r="U1146" t="n">
        <v>11</v>
      </c>
      <c r="V1146" t="n">
        <v>30</v>
      </c>
      <c r="W1146" t="n">
        <v>11</v>
      </c>
      <c r="X1146" t="n">
        <v>14.85001485001485</v>
      </c>
      <c r="Y1146" t="n">
        <v>1</v>
      </c>
      <c r="Z1146" t="n">
        <v>6</v>
      </c>
      <c r="AA1146" t="n">
        <v>0</v>
      </c>
      <c r="AB1146" t="n">
        <v>6</v>
      </c>
      <c r="AC1146" t="n">
        <v>6</v>
      </c>
      <c r="AD1146" t="n">
        <v>0</v>
      </c>
      <c r="AE1146" t="n">
        <v>131436</v>
      </c>
      <c r="AF1146" t="n">
        <v>1535</v>
      </c>
      <c r="AG1146" t="n">
        <v>361</v>
      </c>
      <c r="AH1146" t="inlineStr">
        <is>
          <t>CV. SERBA SERBI - PPN (PDG)</t>
        </is>
      </c>
      <c r="AI1146" t="n">
        <v>393</v>
      </c>
      <c r="AJ1146" t="inlineStr">
        <is>
          <t>DOVE</t>
        </is>
      </c>
      <c r="AK1146" t="n">
        <v>21</v>
      </c>
      <c r="AL1146" t="inlineStr">
        <is>
          <t>Miss Glam Damar</t>
        </is>
      </c>
      <c r="AM1146" t="n">
        <v>2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DOVE</t>
        </is>
      </c>
      <c r="B1147" s="2">
        <f>"8999999027865"</f>
        <v/>
      </c>
      <c r="C1147" t="inlineStr">
        <is>
          <t>DOVE Deodorant Roll On Ultimate Repair Anti Bakteri 40ml</t>
        </is>
      </c>
      <c r="D1147" t="inlineStr">
        <is>
          <t>Miss Glam Damar</t>
        </is>
      </c>
      <c r="E1147" t="n">
        <v>23</v>
      </c>
      <c r="F1147" t="n">
        <v>0.5733</v>
      </c>
      <c r="G1147" t="n">
        <v>2.73</v>
      </c>
      <c r="H1147" t="n">
        <v>3</v>
      </c>
      <c r="I1147" t="n">
        <v>5</v>
      </c>
      <c r="J1147" t="n">
        <v>3</v>
      </c>
      <c r="K1147" t="n">
        <v>0</v>
      </c>
      <c r="L1147" t="n">
        <v>21878</v>
      </c>
      <c r="M1147" t="n">
        <v>26000</v>
      </c>
      <c r="N1147" t="n">
        <v>91</v>
      </c>
      <c r="O1147" t="n">
        <v>0.91</v>
      </c>
      <c r="P1147" t="n">
        <v>1</v>
      </c>
      <c r="Q1147" t="n">
        <v>0.54</v>
      </c>
      <c r="R1147" t="n">
        <v>6</v>
      </c>
      <c r="S1147" t="n">
        <v>14905.8</v>
      </c>
      <c r="T1147" t="n">
        <v>12</v>
      </c>
      <c r="U1147" t="n">
        <v>14</v>
      </c>
      <c r="V1147" t="n">
        <v>30</v>
      </c>
      <c r="W1147" t="n">
        <v>18</v>
      </c>
      <c r="X1147" t="n">
        <v>40.11861154718297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1535</v>
      </c>
      <c r="AG1147" t="n">
        <v>361</v>
      </c>
      <c r="AH1147" t="inlineStr">
        <is>
          <t>CV. SERBA SERBI - PPN (PDG)</t>
        </is>
      </c>
      <c r="AI1147" t="n">
        <v>393</v>
      </c>
      <c r="AJ1147" t="inlineStr">
        <is>
          <t>DOVE</t>
        </is>
      </c>
      <c r="AK1147" t="n">
        <v>21</v>
      </c>
      <c r="AL1147" t="inlineStr">
        <is>
          <t>Miss Glam Damar</t>
        </is>
      </c>
      <c r="AM1147" t="n">
        <v>2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DOVE</t>
        </is>
      </c>
      <c r="B1148" s="2">
        <f>"8999999519865"</f>
        <v/>
      </c>
      <c r="C1148" t="inlineStr">
        <is>
          <t>DOVE Go Fresh Cucumber &amp; Green Tea Scent 40ml</t>
        </is>
      </c>
      <c r="D1148" t="inlineStr">
        <is>
          <t>Miss Glam Damar</t>
        </is>
      </c>
      <c r="E1148" t="n">
        <v>6</v>
      </c>
      <c r="F1148" t="n">
        <v>0.1092</v>
      </c>
      <c r="G1148" t="n">
        <v>1.82</v>
      </c>
      <c r="H1148" t="n">
        <v>3</v>
      </c>
      <c r="I1148" t="n">
        <v>5</v>
      </c>
      <c r="J1148" t="n">
        <v>3</v>
      </c>
      <c r="K1148" t="n">
        <v>0</v>
      </c>
      <c r="L1148" t="n">
        <v>20812</v>
      </c>
      <c r="M1148" t="n">
        <v>24500</v>
      </c>
      <c r="N1148" t="n">
        <v>91</v>
      </c>
      <c r="O1148" t="n">
        <v>0.91</v>
      </c>
      <c r="P1148" t="n">
        <v>1</v>
      </c>
      <c r="Q1148" t="n">
        <v>0.22</v>
      </c>
      <c r="R1148" t="n">
        <v>1</v>
      </c>
      <c r="S1148" t="n">
        <v>2675.4</v>
      </c>
      <c r="T1148" t="n">
        <v>9</v>
      </c>
      <c r="U1148" t="n">
        <v>10</v>
      </c>
      <c r="V1148" t="n">
        <v>30</v>
      </c>
      <c r="W1148" t="n">
        <v>4</v>
      </c>
      <c r="X1148" t="n">
        <v>54.94505494505494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1535</v>
      </c>
      <c r="AG1148" t="n">
        <v>361</v>
      </c>
      <c r="AH1148" t="inlineStr">
        <is>
          <t>CV. SERBA SERBI - PPN (PDG)</t>
        </is>
      </c>
      <c r="AI1148" t="n">
        <v>393</v>
      </c>
      <c r="AJ1148" t="inlineStr">
        <is>
          <t>DOVE</t>
        </is>
      </c>
      <c r="AK1148" t="n">
        <v>21</v>
      </c>
      <c r="AL1148" t="inlineStr">
        <is>
          <t>Miss Glam Damar</t>
        </is>
      </c>
      <c r="AM1148" t="n">
        <v>2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DOVE</t>
        </is>
      </c>
      <c r="B1149" s="2">
        <f>"8999999519872"</f>
        <v/>
      </c>
      <c r="C1149" t="inlineStr">
        <is>
          <t>DOVE Go Fresh Pomegranate &amp; Lemon Verbena Scent 40ml</t>
        </is>
      </c>
      <c r="D1149" t="inlineStr">
        <is>
          <t>Miss Glam Damar</t>
        </is>
      </c>
      <c r="E1149" t="n">
        <v>12</v>
      </c>
      <c r="F1149" t="n">
        <v>0.3276</v>
      </c>
      <c r="G1149" t="n">
        <v>2.73</v>
      </c>
      <c r="H1149" t="n">
        <v>3</v>
      </c>
      <c r="I1149" t="n">
        <v>5</v>
      </c>
      <c r="J1149" t="n">
        <v>3</v>
      </c>
      <c r="K1149" t="n">
        <v>0</v>
      </c>
      <c r="L1149" t="n">
        <v>20812</v>
      </c>
      <c r="M1149" t="n">
        <v>25000</v>
      </c>
      <c r="N1149" t="n">
        <v>91</v>
      </c>
      <c r="O1149" t="n">
        <v>0.91</v>
      </c>
      <c r="P1149" t="n">
        <v>1</v>
      </c>
      <c r="Q1149" t="n">
        <v>0.15</v>
      </c>
      <c r="R1149" t="n">
        <v>2</v>
      </c>
      <c r="S1149" t="n">
        <v>8190</v>
      </c>
      <c r="T1149" t="n">
        <v>13</v>
      </c>
      <c r="U1149" t="n">
        <v>14</v>
      </c>
      <c r="V1149" t="n">
        <v>30</v>
      </c>
      <c r="W1149" t="n">
        <v>10</v>
      </c>
      <c r="X1149" t="n">
        <v>36.63003663003663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1535</v>
      </c>
      <c r="AG1149" t="n">
        <v>361</v>
      </c>
      <c r="AH1149" t="inlineStr">
        <is>
          <t>CV. SERBA SERBI - PPN (PDG)</t>
        </is>
      </c>
      <c r="AI1149" t="n">
        <v>393</v>
      </c>
      <c r="AJ1149" t="inlineStr">
        <is>
          <t>DOVE</t>
        </is>
      </c>
      <c r="AK1149" t="n">
        <v>21</v>
      </c>
      <c r="AL1149" t="inlineStr">
        <is>
          <t>Miss Glam Damar</t>
        </is>
      </c>
      <c r="AM1149" t="n">
        <v>2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DOVE</t>
        </is>
      </c>
      <c r="B1150" s="2">
        <f>"8999999584214"</f>
        <v/>
      </c>
      <c r="C1150" t="inlineStr">
        <is>
          <t>DOVE Micellar Shampoo Hair Boost Calcium Complex 190ml</t>
        </is>
      </c>
      <c r="D1150" t="inlineStr">
        <is>
          <t>Miss Glam Damar</t>
        </is>
      </c>
      <c r="E1150" t="n">
        <v>1</v>
      </c>
      <c r="F1150" t="n">
        <v>0.09100000000000001</v>
      </c>
      <c r="G1150" t="n">
        <v>0.91</v>
      </c>
      <c r="H1150" t="n">
        <v>3</v>
      </c>
      <c r="I1150" t="n">
        <v>5</v>
      </c>
      <c r="J1150" t="n">
        <v>3</v>
      </c>
      <c r="K1150" t="n">
        <v>0</v>
      </c>
      <c r="L1150" t="n">
        <v>33998</v>
      </c>
      <c r="M1150" t="n">
        <v>43000</v>
      </c>
      <c r="N1150" t="n">
        <v>91</v>
      </c>
      <c r="O1150" t="n">
        <v>0.91</v>
      </c>
      <c r="P1150" t="n">
        <v>1</v>
      </c>
      <c r="Q1150" t="n">
        <v>0.1</v>
      </c>
      <c r="R1150" t="n">
        <v>1</v>
      </c>
      <c r="S1150" t="n">
        <v>3913</v>
      </c>
      <c r="T1150" t="n">
        <v>5</v>
      </c>
      <c r="U1150" t="n">
        <v>6</v>
      </c>
      <c r="V1150" t="n">
        <v>30</v>
      </c>
      <c r="W1150" t="n">
        <v>3</v>
      </c>
      <c r="X1150" t="n">
        <v>10.98901098901099</v>
      </c>
      <c r="Y1150" t="n">
        <v>1</v>
      </c>
      <c r="Z1150" t="n">
        <v>2</v>
      </c>
      <c r="AA1150" t="n">
        <v>0</v>
      </c>
      <c r="AB1150" t="n">
        <v>2</v>
      </c>
      <c r="AC1150" t="n">
        <v>3</v>
      </c>
      <c r="AD1150" t="n">
        <v>0</v>
      </c>
      <c r="AE1150" t="n">
        <v>101994</v>
      </c>
      <c r="AF1150" t="n">
        <v>1535</v>
      </c>
      <c r="AG1150" t="n">
        <v>361</v>
      </c>
      <c r="AH1150" t="inlineStr">
        <is>
          <t>CV. SERBA SERBI - PPN (PDG)</t>
        </is>
      </c>
      <c r="AI1150" t="n">
        <v>393</v>
      </c>
      <c r="AJ1150" t="inlineStr">
        <is>
          <t>DOVE</t>
        </is>
      </c>
      <c r="AK1150" t="n">
        <v>21</v>
      </c>
      <c r="AL1150" t="inlineStr">
        <is>
          <t>Miss Glam Damar</t>
        </is>
      </c>
      <c r="AM1150" t="n">
        <v>2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DOVE</t>
        </is>
      </c>
      <c r="B1151" s="2">
        <f>"8999999595357"</f>
        <v/>
      </c>
      <c r="C1151" t="inlineStr">
        <is>
          <t>DOVE Perawatan Rambut Rontok Hair Tonic Spray 75ml</t>
        </is>
      </c>
      <c r="D1151" t="inlineStr">
        <is>
          <t>Miss Glam Damar</t>
        </is>
      </c>
      <c r="E1151" t="n">
        <v>9</v>
      </c>
      <c r="F1151" t="n">
        <v>0.1274</v>
      </c>
      <c r="G1151" t="n">
        <v>0.91</v>
      </c>
      <c r="H1151" t="n">
        <v>3</v>
      </c>
      <c r="I1151" t="n">
        <v>5</v>
      </c>
      <c r="J1151" t="n">
        <v>3</v>
      </c>
      <c r="K1151" t="n">
        <v>0</v>
      </c>
      <c r="L1151" t="n">
        <v>41736</v>
      </c>
      <c r="M1151" t="n">
        <v>49500</v>
      </c>
      <c r="N1151" t="n">
        <v>91</v>
      </c>
      <c r="O1151" t="n">
        <v>0.91</v>
      </c>
      <c r="P1151" t="n">
        <v>1</v>
      </c>
      <c r="Q1151" t="n">
        <v>0.27</v>
      </c>
      <c r="R1151" t="n">
        <v>2</v>
      </c>
      <c r="S1151" t="n">
        <v>6306.300000000001</v>
      </c>
      <c r="T1151" t="n">
        <v>5</v>
      </c>
      <c r="U1151" t="n">
        <v>6</v>
      </c>
      <c r="V1151" t="n">
        <v>30</v>
      </c>
      <c r="W1151" t="n">
        <v>4</v>
      </c>
      <c r="X1151" t="n">
        <v>70.6436420722135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1535</v>
      </c>
      <c r="AG1151" t="n">
        <v>361</v>
      </c>
      <c r="AH1151" t="inlineStr">
        <is>
          <t>CV. SERBA SERBI - PPN (PDG)</t>
        </is>
      </c>
      <c r="AI1151" t="n">
        <v>393</v>
      </c>
      <c r="AJ1151" t="inlineStr">
        <is>
          <t>DOVE</t>
        </is>
      </c>
      <c r="AK1151" t="n">
        <v>21</v>
      </c>
      <c r="AL1151" t="inlineStr">
        <is>
          <t>Miss Glam Damar</t>
        </is>
      </c>
      <c r="AM1151" t="n">
        <v>2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DOVE</t>
        </is>
      </c>
      <c r="B1152" s="2">
        <f>"8999999601454"</f>
        <v/>
      </c>
      <c r="C1152" t="inlineStr">
        <is>
          <t>DOVE Radiant and Care Deodorant Serum Even Tone + Dark Marks Reducer 45ml</t>
        </is>
      </c>
      <c r="D1152" t="inlineStr">
        <is>
          <t>Miss Glam Damar</t>
        </is>
      </c>
      <c r="E1152" t="n">
        <v>18</v>
      </c>
      <c r="F1152" t="n">
        <v>0.2912</v>
      </c>
      <c r="G1152" t="n">
        <v>1.82</v>
      </c>
      <c r="H1152" t="n">
        <v>3</v>
      </c>
      <c r="I1152" t="n">
        <v>5</v>
      </c>
      <c r="J1152" t="n">
        <v>3</v>
      </c>
      <c r="K1152" t="n">
        <v>0</v>
      </c>
      <c r="L1152" t="n">
        <v>19252</v>
      </c>
      <c r="M1152" t="n">
        <v>27000</v>
      </c>
      <c r="N1152" t="n">
        <v>91</v>
      </c>
      <c r="O1152" t="n">
        <v>0.91</v>
      </c>
      <c r="P1152" t="n">
        <v>1</v>
      </c>
      <c r="Q1152" t="n">
        <v>0.44</v>
      </c>
      <c r="R1152" t="n">
        <v>4</v>
      </c>
      <c r="S1152" t="n">
        <v>7862.400000000001</v>
      </c>
      <c r="T1152" t="n">
        <v>9</v>
      </c>
      <c r="U1152" t="n">
        <v>10</v>
      </c>
      <c r="V1152" t="n">
        <v>30</v>
      </c>
      <c r="W1152" t="n">
        <v>9</v>
      </c>
      <c r="X1152" t="n">
        <v>61.81318681318681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1535</v>
      </c>
      <c r="AG1152" t="n">
        <v>361</v>
      </c>
      <c r="AH1152" t="inlineStr">
        <is>
          <t>CV. SERBA SERBI - PPN (PDG)</t>
        </is>
      </c>
      <c r="AI1152" t="n">
        <v>393</v>
      </c>
      <c r="AJ1152" t="inlineStr">
        <is>
          <t>DOVE</t>
        </is>
      </c>
      <c r="AK1152" t="n">
        <v>21</v>
      </c>
      <c r="AL1152" t="inlineStr">
        <is>
          <t>Miss Glam Damar</t>
        </is>
      </c>
      <c r="AM1152" t="n">
        <v>2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DOVE</t>
        </is>
      </c>
      <c r="B1153" s="2">
        <f>"8999999601430"</f>
        <v/>
      </c>
      <c r="C1153" t="inlineStr">
        <is>
          <t>DOVE Radiant and Care Deodorant Serum Even Tone + Deep Renew 45ml</t>
        </is>
      </c>
      <c r="D1153" t="inlineStr">
        <is>
          <t>Miss Glam Damar</t>
        </is>
      </c>
      <c r="E1153" t="n">
        <v>13</v>
      </c>
      <c r="F1153" t="n">
        <v>0.5277999999999999</v>
      </c>
      <c r="G1153" t="n">
        <v>2.73</v>
      </c>
      <c r="H1153" t="n">
        <v>3</v>
      </c>
      <c r="I1153" t="n">
        <v>5</v>
      </c>
      <c r="J1153" t="n">
        <v>3</v>
      </c>
      <c r="K1153" t="n">
        <v>0</v>
      </c>
      <c r="L1153" t="n">
        <v>19546</v>
      </c>
      <c r="M1153" t="n">
        <v>27000</v>
      </c>
      <c r="N1153" t="n">
        <v>91</v>
      </c>
      <c r="O1153" t="n">
        <v>0.91</v>
      </c>
      <c r="P1153" t="n">
        <v>1</v>
      </c>
      <c r="Q1153" t="n">
        <v>0.41</v>
      </c>
      <c r="R1153" t="n">
        <v>2</v>
      </c>
      <c r="S1153" t="n">
        <v>14250.6</v>
      </c>
      <c r="T1153" t="n">
        <v>13</v>
      </c>
      <c r="U1153" t="n">
        <v>15</v>
      </c>
      <c r="V1153" t="n">
        <v>30</v>
      </c>
      <c r="W1153" t="n">
        <v>16</v>
      </c>
      <c r="X1153" t="n">
        <v>24.63054187192119</v>
      </c>
      <c r="Y1153" t="n">
        <v>1</v>
      </c>
      <c r="Z1153" t="n">
        <v>3</v>
      </c>
      <c r="AA1153" t="n">
        <v>0</v>
      </c>
      <c r="AB1153" t="n">
        <v>3</v>
      </c>
      <c r="AC1153" t="n">
        <v>3</v>
      </c>
      <c r="AD1153" t="n">
        <v>0</v>
      </c>
      <c r="AE1153" t="n">
        <v>58638</v>
      </c>
      <c r="AF1153" t="n">
        <v>1535</v>
      </c>
      <c r="AG1153" t="n">
        <v>361</v>
      </c>
      <c r="AH1153" t="inlineStr">
        <is>
          <t>CV. SERBA SERBI - PPN (PDG)</t>
        </is>
      </c>
      <c r="AI1153" t="n">
        <v>393</v>
      </c>
      <c r="AJ1153" t="inlineStr">
        <is>
          <t>DOVE</t>
        </is>
      </c>
      <c r="AK1153" t="n">
        <v>21</v>
      </c>
      <c r="AL1153" t="inlineStr">
        <is>
          <t>Miss Glam Damar</t>
        </is>
      </c>
      <c r="AM1153" t="n">
        <v>2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DOVE</t>
        </is>
      </c>
      <c r="B1154" s="2">
        <f>"8999999601447"</f>
        <v/>
      </c>
      <c r="C1154" t="inlineStr">
        <is>
          <t>DOVE Radiant and Care Deodorant Serum Even Tone + Skin Smoothener 45ml</t>
        </is>
      </c>
      <c r="D1154" t="inlineStr">
        <is>
          <t>Miss Glam Damar</t>
        </is>
      </c>
      <c r="E1154" t="n">
        <v>9</v>
      </c>
      <c r="F1154" t="n">
        <v>0.4914000000000001</v>
      </c>
      <c r="G1154" t="n">
        <v>3.64</v>
      </c>
      <c r="H1154" t="n">
        <v>3</v>
      </c>
      <c r="I1154" t="n">
        <v>5</v>
      </c>
      <c r="J1154" t="n">
        <v>3</v>
      </c>
      <c r="K1154" t="n">
        <v>0</v>
      </c>
      <c r="L1154" t="n">
        <v>21391</v>
      </c>
      <c r="M1154" t="n">
        <v>27000</v>
      </c>
      <c r="N1154" t="n">
        <v>91</v>
      </c>
      <c r="O1154" t="n">
        <v>0.91</v>
      </c>
      <c r="P1154" t="n">
        <v>1</v>
      </c>
      <c r="Q1154" t="n">
        <v>0.36</v>
      </c>
      <c r="R1154" t="n">
        <v>2</v>
      </c>
      <c r="S1154" t="n">
        <v>13267.8</v>
      </c>
      <c r="T1154" t="n">
        <v>17</v>
      </c>
      <c r="U1154" t="n">
        <v>19</v>
      </c>
      <c r="V1154" t="n">
        <v>30</v>
      </c>
      <c r="W1154" t="n">
        <v>15</v>
      </c>
      <c r="X1154" t="n">
        <v>18.31501831501831</v>
      </c>
      <c r="Y1154" t="n">
        <v>1</v>
      </c>
      <c r="Z1154" t="n">
        <v>6</v>
      </c>
      <c r="AA1154" t="n">
        <v>0</v>
      </c>
      <c r="AB1154" t="n">
        <v>6</v>
      </c>
      <c r="AC1154" t="n">
        <v>6</v>
      </c>
      <c r="AD1154" t="n">
        <v>0</v>
      </c>
      <c r="AE1154" t="n">
        <v>128346</v>
      </c>
      <c r="AF1154" t="n">
        <v>1535</v>
      </c>
      <c r="AG1154" t="n">
        <v>361</v>
      </c>
      <c r="AH1154" t="inlineStr">
        <is>
          <t>CV. SERBA SERBI - PPN (PDG)</t>
        </is>
      </c>
      <c r="AI1154" t="n">
        <v>393</v>
      </c>
      <c r="AJ1154" t="inlineStr">
        <is>
          <t>DOVE</t>
        </is>
      </c>
      <c r="AK1154" t="n">
        <v>21</v>
      </c>
      <c r="AL1154" t="inlineStr">
        <is>
          <t>Miss Glam Damar</t>
        </is>
      </c>
      <c r="AM1154" t="n">
        <v>2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DOVE</t>
        </is>
      </c>
      <c r="B1155" s="2">
        <f>"8999999548612"</f>
        <v/>
      </c>
      <c r="C1155" t="inlineStr">
        <is>
          <t>DOVE Radiant Care Dry Serum Deodorant Deep Renew 40ml</t>
        </is>
      </c>
      <c r="D1155" t="inlineStr">
        <is>
          <t>Miss Glam Damar</t>
        </is>
      </c>
      <c r="E1155" t="n">
        <v>17</v>
      </c>
      <c r="F1155" t="n">
        <v>0.42</v>
      </c>
      <c r="G1155" t="n">
        <v>2</v>
      </c>
      <c r="H1155" t="n">
        <v>3</v>
      </c>
      <c r="I1155" t="n">
        <v>5</v>
      </c>
      <c r="J1155" t="n">
        <v>3</v>
      </c>
      <c r="K1155" t="n">
        <v>0</v>
      </c>
      <c r="L1155" t="n">
        <v>24302</v>
      </c>
      <c r="M1155" t="n">
        <v>29000</v>
      </c>
      <c r="N1155" t="n">
        <v>91</v>
      </c>
      <c r="O1155" t="n">
        <v>0.91</v>
      </c>
      <c r="P1155" t="n">
        <v>0</v>
      </c>
      <c r="Q1155" t="n">
        <v>0.42</v>
      </c>
      <c r="R1155" t="n">
        <v>2</v>
      </c>
      <c r="S1155" t="n">
        <v>12180</v>
      </c>
      <c r="T1155" t="n">
        <v>9</v>
      </c>
      <c r="U1155" t="n">
        <v>11</v>
      </c>
      <c r="V1155" t="n">
        <v>30</v>
      </c>
      <c r="W1155" t="n">
        <v>13</v>
      </c>
      <c r="X1155" t="n">
        <v>40.47619047619047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1535</v>
      </c>
      <c r="AG1155" t="n">
        <v>361</v>
      </c>
      <c r="AH1155" t="inlineStr">
        <is>
          <t>CV. SERBA SERBI - PPN (PDG)</t>
        </is>
      </c>
      <c r="AI1155" t="n">
        <v>393</v>
      </c>
      <c r="AJ1155" t="inlineStr">
        <is>
          <t>DOVE</t>
        </is>
      </c>
      <c r="AK1155" t="n">
        <v>21</v>
      </c>
      <c r="AL1155" t="inlineStr">
        <is>
          <t>Miss Glam Damar</t>
        </is>
      </c>
      <c r="AM1155" t="n">
        <v>2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DOVE</t>
        </is>
      </c>
      <c r="B1156" s="2">
        <f>"30100168438"</f>
        <v/>
      </c>
      <c r="C1156" t="inlineStr">
        <is>
          <t>DOVE Serum Body Wash Pampering Care 400ml</t>
        </is>
      </c>
      <c r="D1156" t="inlineStr">
        <is>
          <t>Miss Glam Damar</t>
        </is>
      </c>
      <c r="E1156" t="n">
        <v>14</v>
      </c>
      <c r="F1156" t="n">
        <v>0.6279</v>
      </c>
      <c r="G1156" t="n">
        <v>3.64</v>
      </c>
      <c r="H1156" t="n">
        <v>3</v>
      </c>
      <c r="I1156" t="n">
        <v>5</v>
      </c>
      <c r="J1156" t="n">
        <v>1</v>
      </c>
      <c r="K1156" t="n">
        <v>0</v>
      </c>
      <c r="L1156" t="n">
        <v>27968</v>
      </c>
      <c r="M1156" t="n">
        <v>33000</v>
      </c>
      <c r="N1156" t="n">
        <v>91</v>
      </c>
      <c r="O1156" t="n">
        <v>0.91</v>
      </c>
      <c r="P1156" t="n">
        <v>1</v>
      </c>
      <c r="Q1156" t="n">
        <v>0.83</v>
      </c>
      <c r="R1156" t="n">
        <v>4</v>
      </c>
      <c r="S1156" t="n">
        <v>20720.7</v>
      </c>
      <c r="T1156" t="n">
        <v>17</v>
      </c>
      <c r="U1156" t="n">
        <v>19</v>
      </c>
      <c r="V1156" t="n">
        <v>30</v>
      </c>
      <c r="W1156" t="n">
        <v>19</v>
      </c>
      <c r="X1156" t="n">
        <v>22.29654403567447</v>
      </c>
      <c r="Y1156" t="n">
        <v>1</v>
      </c>
      <c r="Z1156" t="n">
        <v>5</v>
      </c>
      <c r="AA1156" t="n">
        <v>0</v>
      </c>
      <c r="AB1156" t="n">
        <v>5</v>
      </c>
      <c r="AC1156" t="n">
        <v>5</v>
      </c>
      <c r="AD1156" t="n">
        <v>0</v>
      </c>
      <c r="AE1156" t="n">
        <v>139840</v>
      </c>
      <c r="AF1156" t="n">
        <v>1535</v>
      </c>
      <c r="AG1156" t="n">
        <v>361</v>
      </c>
      <c r="AH1156" t="inlineStr">
        <is>
          <t>CV. SERBA SERBI - PPN (PDG)</t>
        </is>
      </c>
      <c r="AI1156" t="n">
        <v>393</v>
      </c>
      <c r="AJ1156" t="inlineStr">
        <is>
          <t>DOVE</t>
        </is>
      </c>
      <c r="AK1156" t="n">
        <v>21</v>
      </c>
      <c r="AL1156" t="inlineStr">
        <is>
          <t>Miss Glam Damar</t>
        </is>
      </c>
      <c r="AM1156" t="n">
        <v>2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DOVE</t>
        </is>
      </c>
      <c r="B1157" s="2">
        <f>"30100168603"</f>
        <v/>
      </c>
      <c r="C1157" t="inlineStr">
        <is>
          <t>DOVE Serum Body Wash Sensitive Relief 400ml</t>
        </is>
      </c>
      <c r="D1157" t="inlineStr">
        <is>
          <t>Miss Glam Damar</t>
        </is>
      </c>
      <c r="E1157" t="n">
        <v>8</v>
      </c>
      <c r="F1157" t="n">
        <v>0.1547</v>
      </c>
      <c r="G1157" t="n">
        <v>1.82</v>
      </c>
      <c r="H1157" t="n">
        <v>3</v>
      </c>
      <c r="I1157" t="n">
        <v>5</v>
      </c>
      <c r="J1157" t="n">
        <v>1</v>
      </c>
      <c r="K1157" t="n">
        <v>0</v>
      </c>
      <c r="L1157" t="n">
        <v>26860</v>
      </c>
      <c r="M1157" t="n">
        <v>33000</v>
      </c>
      <c r="N1157" t="n">
        <v>91</v>
      </c>
      <c r="O1157" t="n">
        <v>0.91</v>
      </c>
      <c r="P1157" t="n">
        <v>1</v>
      </c>
      <c r="Q1157" t="n">
        <v>0.22</v>
      </c>
      <c r="R1157" t="n">
        <v>2</v>
      </c>
      <c r="S1157" t="n">
        <v>5105.1</v>
      </c>
      <c r="T1157" t="n">
        <v>9</v>
      </c>
      <c r="U1157" t="n">
        <v>10</v>
      </c>
      <c r="V1157" t="n">
        <v>30</v>
      </c>
      <c r="W1157" t="n">
        <v>5</v>
      </c>
      <c r="X1157" t="n">
        <v>51.71299288946348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1535</v>
      </c>
      <c r="AG1157" t="n">
        <v>361</v>
      </c>
      <c r="AH1157" t="inlineStr">
        <is>
          <t>CV. SERBA SERBI - PPN (PDG)</t>
        </is>
      </c>
      <c r="AI1157" t="n">
        <v>393</v>
      </c>
      <c r="AJ1157" t="inlineStr">
        <is>
          <t>DOVE</t>
        </is>
      </c>
      <c r="AK1157" t="n">
        <v>21</v>
      </c>
      <c r="AL1157" t="inlineStr">
        <is>
          <t>Miss Glam Damar</t>
        </is>
      </c>
      <c r="AM1157" t="n">
        <v>2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EARTH LOVE LIFE</t>
        </is>
      </c>
      <c r="B1158" s="2">
        <f>"8993137721806"</f>
        <v/>
      </c>
      <c r="C1158" t="inlineStr">
        <is>
          <t>EARTH LOVE LIFE Body Lotion Serum Bulgarian Rose &amp; East Nusa Vanilla 250ml</t>
        </is>
      </c>
      <c r="D1158" t="inlineStr">
        <is>
          <t>Miss Glam Damar</t>
        </is>
      </c>
      <c r="E1158" t="n">
        <v>5</v>
      </c>
      <c r="F1158" t="n">
        <v>0.0728</v>
      </c>
      <c r="G1158" t="n">
        <v>0.91</v>
      </c>
      <c r="H1158" t="n">
        <v>2</v>
      </c>
      <c r="I1158" t="n">
        <v>6</v>
      </c>
      <c r="J1158" t="n">
        <v>3</v>
      </c>
      <c r="K1158" t="n">
        <v>0</v>
      </c>
      <c r="L1158" t="n">
        <v>58449</v>
      </c>
      <c r="M1158" t="n">
        <v>78000</v>
      </c>
      <c r="N1158" t="n">
        <v>91</v>
      </c>
      <c r="O1158" t="n">
        <v>0.91</v>
      </c>
      <c r="P1158" t="n">
        <v>1</v>
      </c>
      <c r="Q1158" t="n">
        <v>0.15</v>
      </c>
      <c r="R1158" t="n">
        <v>2</v>
      </c>
      <c r="S1158" t="n">
        <v>5678.400000000001</v>
      </c>
      <c r="T1158" t="n">
        <v>6</v>
      </c>
      <c r="U1158" t="n">
        <v>7</v>
      </c>
      <c r="V1158" t="n">
        <v>30</v>
      </c>
      <c r="W1158" t="n">
        <v>3</v>
      </c>
      <c r="X1158" t="n">
        <v>68.68131868131867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11687</v>
      </c>
      <c r="AG1158" t="n">
        <v>63</v>
      </c>
      <c r="AH1158" t="inlineStr">
        <is>
          <t>PT. PARAMA GLOBAL INSPIRA - PPN (PDG)</t>
        </is>
      </c>
      <c r="AI1158" t="n">
        <v>1993</v>
      </c>
      <c r="AJ1158" t="inlineStr">
        <is>
          <t>EARTH LOVE LIFE</t>
        </is>
      </c>
      <c r="AK1158" t="n">
        <v>21</v>
      </c>
      <c r="AL1158" t="inlineStr">
        <is>
          <t>Miss Glam Damar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EARTH LOVE LIFE</t>
        </is>
      </c>
      <c r="B1159" s="2">
        <f>"8993137721783"</f>
        <v/>
      </c>
      <c r="C1159" t="inlineStr">
        <is>
          <t>EARTH LOVE LIFE Body Lotion Serum East Balinese Bamboo &amp; Oriental Mint 250ml</t>
        </is>
      </c>
      <c r="D1159" t="inlineStr">
        <is>
          <t>Miss Glam Damar</t>
        </is>
      </c>
      <c r="E1159" t="n">
        <v>2</v>
      </c>
      <c r="F1159" t="n">
        <v>0.0182</v>
      </c>
      <c r="G1159" t="n">
        <v>0.91</v>
      </c>
      <c r="H1159" t="n">
        <v>2</v>
      </c>
      <c r="I1159" t="n">
        <v>6</v>
      </c>
      <c r="J1159" t="n">
        <v>3</v>
      </c>
      <c r="K1159" t="n">
        <v>0</v>
      </c>
      <c r="L1159" t="n">
        <v>58449</v>
      </c>
      <c r="M1159" t="n">
        <v>78000</v>
      </c>
      <c r="N1159" t="n">
        <v>91</v>
      </c>
      <c r="O1159" t="n">
        <v>0.91</v>
      </c>
      <c r="P1159" t="n">
        <v>1</v>
      </c>
      <c r="Q1159" t="n">
        <v>0.03</v>
      </c>
      <c r="R1159" t="n">
        <v>1</v>
      </c>
      <c r="S1159" t="n">
        <v>1419.6</v>
      </c>
      <c r="T1159" t="n">
        <v>6</v>
      </c>
      <c r="U1159" t="n">
        <v>7</v>
      </c>
      <c r="V1159" t="n">
        <v>30</v>
      </c>
      <c r="W1159" t="n">
        <v>1</v>
      </c>
      <c r="X1159" t="n">
        <v>109.8901098901099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11687</v>
      </c>
      <c r="AG1159" t="n">
        <v>63</v>
      </c>
      <c r="AH1159" t="inlineStr">
        <is>
          <t>PT. PARAMA GLOBAL INSPIRA - PPN (PDG)</t>
        </is>
      </c>
      <c r="AI1159" t="n">
        <v>1993</v>
      </c>
      <c r="AJ1159" t="inlineStr">
        <is>
          <t>EARTH LOVE LIFE</t>
        </is>
      </c>
      <c r="AK1159" t="n">
        <v>21</v>
      </c>
      <c r="AL1159" t="inlineStr">
        <is>
          <t>Miss Glam Damar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EARTH LOVE LIFE</t>
        </is>
      </c>
      <c r="B1160" s="2">
        <f>"8993137721790"</f>
        <v/>
      </c>
      <c r="C1160" t="inlineStr">
        <is>
          <t>EARTH LOVE LIFE Body Lotion Serum Javanese Moringa  &amp; Balinese Starfruit 250ml</t>
        </is>
      </c>
      <c r="D1160" t="inlineStr">
        <is>
          <t>Miss Glam Damar</t>
        </is>
      </c>
      <c r="E1160" t="n">
        <v>5</v>
      </c>
      <c r="F1160" t="n">
        <v>0.0273</v>
      </c>
      <c r="G1160" t="n">
        <v>0.91</v>
      </c>
      <c r="H1160" t="n">
        <v>2</v>
      </c>
      <c r="I1160" t="n">
        <v>6</v>
      </c>
      <c r="J1160" t="n">
        <v>3</v>
      </c>
      <c r="K1160" t="n">
        <v>0</v>
      </c>
      <c r="L1160" t="n">
        <v>58449</v>
      </c>
      <c r="M1160" t="n">
        <v>78000</v>
      </c>
      <c r="N1160" t="n">
        <v>91</v>
      </c>
      <c r="O1160" t="n">
        <v>0.91</v>
      </c>
      <c r="P1160" t="n">
        <v>1</v>
      </c>
      <c r="Q1160" t="n">
        <v>0.12</v>
      </c>
      <c r="R1160" t="n">
        <v>1</v>
      </c>
      <c r="S1160" t="n">
        <v>2129.4</v>
      </c>
      <c r="T1160" t="n">
        <v>6</v>
      </c>
      <c r="U1160" t="n">
        <v>7</v>
      </c>
      <c r="V1160" t="n">
        <v>30</v>
      </c>
      <c r="W1160" t="n">
        <v>1</v>
      </c>
      <c r="X1160" t="n">
        <v>183.1501831501832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11687</v>
      </c>
      <c r="AG1160" t="n">
        <v>63</v>
      </c>
      <c r="AH1160" t="inlineStr">
        <is>
          <t>PT. PARAMA GLOBAL INSPIRA - PPN (PDG)</t>
        </is>
      </c>
      <c r="AI1160" t="n">
        <v>1993</v>
      </c>
      <c r="AJ1160" t="inlineStr">
        <is>
          <t>EARTH LOVE LIFE</t>
        </is>
      </c>
      <c r="AK1160" t="n">
        <v>21</v>
      </c>
      <c r="AL1160" t="inlineStr">
        <is>
          <t>Miss Glam Damar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EARTH LOVE LIFE</t>
        </is>
      </c>
      <c r="B1161" s="2">
        <f>"8993137721813"</f>
        <v/>
      </c>
      <c r="C1161" t="inlineStr">
        <is>
          <t>EARTH LOVE LIFE Body Lotion Serum Spanish Lavender &amp; Javanese Rice Milk 250ml</t>
        </is>
      </c>
      <c r="D1161" t="inlineStr">
        <is>
          <t>Miss Glam Damar</t>
        </is>
      </c>
      <c r="E1161" t="n">
        <v>6</v>
      </c>
      <c r="F1161" t="n">
        <v>0.12</v>
      </c>
      <c r="G1161" t="n">
        <v>1</v>
      </c>
      <c r="H1161" t="n">
        <v>2</v>
      </c>
      <c r="I1161" t="n">
        <v>6</v>
      </c>
      <c r="J1161" t="n">
        <v>3</v>
      </c>
      <c r="K1161" t="n">
        <v>0</v>
      </c>
      <c r="L1161" t="n">
        <v>58449</v>
      </c>
      <c r="M1161" t="n">
        <v>78000</v>
      </c>
      <c r="N1161" t="n">
        <v>91</v>
      </c>
      <c r="O1161" t="n">
        <v>0.91</v>
      </c>
      <c r="P1161" t="n">
        <v>0</v>
      </c>
      <c r="Q1161" t="n">
        <v>0.12</v>
      </c>
      <c r="R1161" t="n">
        <v>1</v>
      </c>
      <c r="S1161" t="n">
        <v>9360</v>
      </c>
      <c r="T1161" t="n">
        <v>6</v>
      </c>
      <c r="U1161" t="n">
        <v>7</v>
      </c>
      <c r="V1161" t="n">
        <v>30</v>
      </c>
      <c r="W1161" t="n">
        <v>4</v>
      </c>
      <c r="X1161" t="n">
        <v>50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11687</v>
      </c>
      <c r="AG1161" t="n">
        <v>63</v>
      </c>
      <c r="AH1161" t="inlineStr">
        <is>
          <t>PT. PARAMA GLOBAL INSPIRA - PPN (PDG)</t>
        </is>
      </c>
      <c r="AI1161" t="n">
        <v>1993</v>
      </c>
      <c r="AJ1161" t="inlineStr">
        <is>
          <t>EARTH LOVE LIFE</t>
        </is>
      </c>
      <c r="AK1161" t="n">
        <v>21</v>
      </c>
      <c r="AL1161" t="inlineStr">
        <is>
          <t>Miss Glam Damar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EARTH LOVE LIFE</t>
        </is>
      </c>
      <c r="B1162" s="2">
        <f>"8993137721707"</f>
        <v/>
      </c>
      <c r="C1162" t="inlineStr">
        <is>
          <t>EARTH LOVE LIFE Body Wash Bulgarian Rose &amp; East Nusa Vanilla 250ml</t>
        </is>
      </c>
      <c r="D1162" t="inlineStr">
        <is>
          <t>Miss Glam Damar</t>
        </is>
      </c>
      <c r="E1162" t="n">
        <v>7</v>
      </c>
      <c r="F1162" t="n">
        <v>0.09100000000000001</v>
      </c>
      <c r="G1162" t="n">
        <v>0.91</v>
      </c>
      <c r="H1162" t="n">
        <v>2</v>
      </c>
      <c r="I1162" t="n">
        <v>6</v>
      </c>
      <c r="J1162" t="n">
        <v>3</v>
      </c>
      <c r="K1162" t="n">
        <v>0</v>
      </c>
      <c r="L1162" t="n">
        <v>52500</v>
      </c>
      <c r="M1162" t="n">
        <v>70000</v>
      </c>
      <c r="N1162" t="n">
        <v>91</v>
      </c>
      <c r="O1162" t="n">
        <v>0.91</v>
      </c>
      <c r="P1162" t="n">
        <v>1</v>
      </c>
      <c r="Q1162" t="n">
        <v>0.19</v>
      </c>
      <c r="R1162" t="n">
        <v>2</v>
      </c>
      <c r="S1162" t="n">
        <v>6370.000000000001</v>
      </c>
      <c r="T1162" t="n">
        <v>6</v>
      </c>
      <c r="U1162" t="n">
        <v>7</v>
      </c>
      <c r="V1162" t="n">
        <v>30</v>
      </c>
      <c r="W1162" t="n">
        <v>3</v>
      </c>
      <c r="X1162" t="n">
        <v>76.92307692307692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11687</v>
      </c>
      <c r="AG1162" t="n">
        <v>63</v>
      </c>
      <c r="AH1162" t="inlineStr">
        <is>
          <t>PT. PARAMA GLOBAL INSPIRA - PPN (PDG)</t>
        </is>
      </c>
      <c r="AI1162" t="n">
        <v>1993</v>
      </c>
      <c r="AJ1162" t="inlineStr">
        <is>
          <t>EARTH LOVE LIFE</t>
        </is>
      </c>
      <c r="AK1162" t="n">
        <v>21</v>
      </c>
      <c r="AL1162" t="inlineStr">
        <is>
          <t>Miss Glam Damar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EARTH LOVE LIFE</t>
        </is>
      </c>
      <c r="B1163" s="2">
        <f>"8993137721691"</f>
        <v/>
      </c>
      <c r="C1163" t="inlineStr">
        <is>
          <t>EARTH LOVE LIFE Body Wash Javanese Moringa &amp; Balinese Starfruit 250ml</t>
        </is>
      </c>
      <c r="D1163" t="inlineStr">
        <is>
          <t>Miss Glam Damar</t>
        </is>
      </c>
      <c r="E1163" t="n">
        <v>5</v>
      </c>
      <c r="F1163" t="n">
        <v>0.07000000000000001</v>
      </c>
      <c r="G1163" t="n">
        <v>2</v>
      </c>
      <c r="H1163" t="n">
        <v>2</v>
      </c>
      <c r="I1163" t="n">
        <v>6</v>
      </c>
      <c r="J1163" t="n">
        <v>3</v>
      </c>
      <c r="K1163" t="n">
        <v>0</v>
      </c>
      <c r="L1163" t="n">
        <v>52500</v>
      </c>
      <c r="M1163" t="n">
        <v>70000</v>
      </c>
      <c r="N1163" t="n">
        <v>91</v>
      </c>
      <c r="O1163" t="n">
        <v>0.91</v>
      </c>
      <c r="P1163" t="n">
        <v>0</v>
      </c>
      <c r="Q1163" t="n">
        <v>0.07000000000000001</v>
      </c>
      <c r="R1163" t="n">
        <v>2</v>
      </c>
      <c r="S1163" t="n">
        <v>4900.000000000001</v>
      </c>
      <c r="T1163" t="n">
        <v>12</v>
      </c>
      <c r="U1163" t="n">
        <v>13</v>
      </c>
      <c r="V1163" t="n">
        <v>30</v>
      </c>
      <c r="W1163" t="n">
        <v>3</v>
      </c>
      <c r="X1163" t="n">
        <v>71.42857142857142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11687</v>
      </c>
      <c r="AG1163" t="n">
        <v>63</v>
      </c>
      <c r="AH1163" t="inlineStr">
        <is>
          <t>PT. PARAMA GLOBAL INSPIRA - PPN (PDG)</t>
        </is>
      </c>
      <c r="AI1163" t="n">
        <v>1993</v>
      </c>
      <c r="AJ1163" t="inlineStr">
        <is>
          <t>EARTH LOVE LIFE</t>
        </is>
      </c>
      <c r="AK1163" t="n">
        <v>21</v>
      </c>
      <c r="AL1163" t="inlineStr">
        <is>
          <t>Miss Glam Damar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EARTH LOVE LIFE</t>
        </is>
      </c>
      <c r="B1164" s="2">
        <f>"8993137721721"</f>
        <v/>
      </c>
      <c r="C1164" t="inlineStr">
        <is>
          <t>EARTH LOVE LIFE Body Wash South Bali Frangipani &amp; Tropical Coconut Water 250ml</t>
        </is>
      </c>
      <c r="D1164" t="inlineStr">
        <is>
          <t>Miss Glam Damar</t>
        </is>
      </c>
      <c r="E1164" t="n">
        <v>6</v>
      </c>
      <c r="F1164" t="n">
        <v>0.05</v>
      </c>
      <c r="G1164" t="n">
        <v>1</v>
      </c>
      <c r="H1164" t="n">
        <v>2</v>
      </c>
      <c r="I1164" t="n">
        <v>6</v>
      </c>
      <c r="J1164" t="n">
        <v>3</v>
      </c>
      <c r="K1164" t="n">
        <v>0</v>
      </c>
      <c r="L1164" t="n">
        <v>52500</v>
      </c>
      <c r="M1164" t="n">
        <v>70000</v>
      </c>
      <c r="N1164" t="n">
        <v>91</v>
      </c>
      <c r="O1164" t="n">
        <v>0.91</v>
      </c>
      <c r="P1164" t="n">
        <v>0</v>
      </c>
      <c r="Q1164" t="n">
        <v>0.05</v>
      </c>
      <c r="R1164" t="n">
        <v>1</v>
      </c>
      <c r="S1164" t="n">
        <v>3500</v>
      </c>
      <c r="T1164" t="n">
        <v>6</v>
      </c>
      <c r="U1164" t="n">
        <v>7</v>
      </c>
      <c r="V1164" t="n">
        <v>30</v>
      </c>
      <c r="W1164" t="n">
        <v>2</v>
      </c>
      <c r="X1164" t="n">
        <v>120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11687</v>
      </c>
      <c r="AG1164" t="n">
        <v>63</v>
      </c>
      <c r="AH1164" t="inlineStr">
        <is>
          <t>PT. PARAMA GLOBAL INSPIRA - PPN (PDG)</t>
        </is>
      </c>
      <c r="AI1164" t="n">
        <v>1993</v>
      </c>
      <c r="AJ1164" t="inlineStr">
        <is>
          <t>EARTH LOVE LIFE</t>
        </is>
      </c>
      <c r="AK1164" t="n">
        <v>21</v>
      </c>
      <c r="AL1164" t="inlineStr">
        <is>
          <t>Miss Glam Damar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EARTH LOVE LIFE</t>
        </is>
      </c>
      <c r="B1165" s="2">
        <f>"8993137721714"</f>
        <v/>
      </c>
      <c r="C1165" t="inlineStr">
        <is>
          <t>EARTH LOVE LIFE Body Wash Spanish Lavender &amp; Javanese Rice Milk 250ml</t>
        </is>
      </c>
      <c r="D1165" t="inlineStr">
        <is>
          <t>Miss Glam Damar</t>
        </is>
      </c>
      <c r="E1165" t="n">
        <v>6</v>
      </c>
      <c r="F1165" t="n">
        <v>0.06370000000000001</v>
      </c>
      <c r="G1165" t="n">
        <v>1.82</v>
      </c>
      <c r="H1165" t="n">
        <v>2</v>
      </c>
      <c r="I1165" t="n">
        <v>6</v>
      </c>
      <c r="J1165" t="n">
        <v>3</v>
      </c>
      <c r="K1165" t="n">
        <v>0</v>
      </c>
      <c r="L1165" t="n">
        <v>52500</v>
      </c>
      <c r="M1165" t="n">
        <v>70000</v>
      </c>
      <c r="N1165" t="n">
        <v>91</v>
      </c>
      <c r="O1165" t="n">
        <v>0.91</v>
      </c>
      <c r="P1165" t="n">
        <v>1</v>
      </c>
      <c r="Q1165" t="n">
        <v>0.07000000000000001</v>
      </c>
      <c r="R1165" t="n">
        <v>1</v>
      </c>
      <c r="S1165" t="n">
        <v>4459.000000000001</v>
      </c>
      <c r="T1165" t="n">
        <v>11</v>
      </c>
      <c r="U1165" t="n">
        <v>12</v>
      </c>
      <c r="V1165" t="n">
        <v>30</v>
      </c>
      <c r="W1165" t="n">
        <v>2</v>
      </c>
      <c r="X1165" t="n">
        <v>94.19152276295132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11687</v>
      </c>
      <c r="AG1165" t="n">
        <v>63</v>
      </c>
      <c r="AH1165" t="inlineStr">
        <is>
          <t>PT. PARAMA GLOBAL INSPIRA - PPN (PDG)</t>
        </is>
      </c>
      <c r="AI1165" t="n">
        <v>1993</v>
      </c>
      <c r="AJ1165" t="inlineStr">
        <is>
          <t>EARTH LOVE LIFE</t>
        </is>
      </c>
      <c r="AK1165" t="n">
        <v>21</v>
      </c>
      <c r="AL1165" t="inlineStr">
        <is>
          <t>Miss Glam Damar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EARTH LOVE LIFE</t>
        </is>
      </c>
      <c r="B1166" s="2">
        <f>"30200195514"</f>
        <v/>
      </c>
      <c r="C1166" t="inlineStr">
        <is>
          <t>EARTH LOVE LIFE Bulgarian Rose &amp; East Nusa Vanilla Body Lotion Serum 60ml</t>
        </is>
      </c>
      <c r="D1166" t="inlineStr">
        <is>
          <t>Miss Glam Damar</t>
        </is>
      </c>
      <c r="E1166" t="n">
        <v>10</v>
      </c>
      <c r="F1166" t="n">
        <v>0.1547</v>
      </c>
      <c r="G1166" t="n">
        <v>1.82</v>
      </c>
      <c r="H1166" t="n">
        <v>2</v>
      </c>
      <c r="I1166" t="n">
        <v>6</v>
      </c>
      <c r="J1166" t="n">
        <v>1</v>
      </c>
      <c r="K1166" t="n">
        <v>0</v>
      </c>
      <c r="L1166" t="n">
        <v>23500</v>
      </c>
      <c r="M1166" t="n">
        <v>33500</v>
      </c>
      <c r="N1166" t="n">
        <v>91</v>
      </c>
      <c r="O1166" t="n">
        <v>0.91</v>
      </c>
      <c r="P1166" t="n">
        <v>1</v>
      </c>
      <c r="Q1166" t="n">
        <v>0.37</v>
      </c>
      <c r="R1166" t="n">
        <v>2</v>
      </c>
      <c r="S1166" t="n">
        <v>5182.45</v>
      </c>
      <c r="T1166" t="n">
        <v>11</v>
      </c>
      <c r="U1166" t="n">
        <v>12</v>
      </c>
      <c r="V1166" t="n">
        <v>30</v>
      </c>
      <c r="W1166" t="n">
        <v>5</v>
      </c>
      <c r="X1166" t="n">
        <v>64.64124111182934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11687</v>
      </c>
      <c r="AG1166" t="n">
        <v>63</v>
      </c>
      <c r="AH1166" t="inlineStr">
        <is>
          <t>PT. PARAMA GLOBAL INSPIRA - PPN (PDG)</t>
        </is>
      </c>
      <c r="AI1166" t="n">
        <v>1993</v>
      </c>
      <c r="AJ1166" t="inlineStr">
        <is>
          <t>EARTH LOVE LIFE</t>
        </is>
      </c>
      <c r="AK1166" t="n">
        <v>21</v>
      </c>
      <c r="AL1166" t="inlineStr">
        <is>
          <t>Miss Glam Damar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EARTH LOVE LIFE</t>
        </is>
      </c>
      <c r="B1167" s="2">
        <f>"30100170041"</f>
        <v/>
      </c>
      <c r="C1167" t="inlineStr">
        <is>
          <t>EARTH LOVE LIFE Bulgarian Rose &amp; East Nusa Vanilla Body Wash 60ml</t>
        </is>
      </c>
      <c r="D1167" t="inlineStr">
        <is>
          <t>Miss Glam Damar</t>
        </is>
      </c>
      <c r="E1167" t="n">
        <v>11</v>
      </c>
      <c r="F1167" t="n">
        <v>0.0273</v>
      </c>
      <c r="G1167" t="n">
        <v>0.91</v>
      </c>
      <c r="H1167" t="n">
        <v>2</v>
      </c>
      <c r="I1167" t="n">
        <v>6</v>
      </c>
      <c r="J1167" t="n">
        <v>1</v>
      </c>
      <c r="K1167" t="n">
        <v>0</v>
      </c>
      <c r="L1167" t="n">
        <v>21500</v>
      </c>
      <c r="M1167" t="n">
        <v>30500</v>
      </c>
      <c r="N1167" t="n">
        <v>91</v>
      </c>
      <c r="O1167" t="n">
        <v>0.91</v>
      </c>
      <c r="P1167" t="n">
        <v>1</v>
      </c>
      <c r="Q1167" t="n">
        <v>0.2</v>
      </c>
      <c r="R1167" t="n">
        <v>2</v>
      </c>
      <c r="S1167" t="n">
        <v>832.6500000000001</v>
      </c>
      <c r="T1167" t="n">
        <v>6</v>
      </c>
      <c r="U1167" t="n">
        <v>7</v>
      </c>
      <c r="V1167" t="n">
        <v>30</v>
      </c>
      <c r="W1167" t="n">
        <v>1</v>
      </c>
      <c r="X1167" t="n">
        <v>402.9304029304029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11687</v>
      </c>
      <c r="AG1167" t="n">
        <v>63</v>
      </c>
      <c r="AH1167" t="inlineStr">
        <is>
          <t>PT. PARAMA GLOBAL INSPIRA - PPN (PDG)</t>
        </is>
      </c>
      <c r="AI1167" t="n">
        <v>1993</v>
      </c>
      <c r="AJ1167" t="inlineStr">
        <is>
          <t>EARTH LOVE LIFE</t>
        </is>
      </c>
      <c r="AK1167" t="n">
        <v>21</v>
      </c>
      <c r="AL1167" t="inlineStr">
        <is>
          <t>Miss Glam Damar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EARTH LOVE LIFE</t>
        </is>
      </c>
      <c r="B1168" s="2">
        <f>"30200195325"</f>
        <v/>
      </c>
      <c r="C1168" t="inlineStr">
        <is>
          <t>EARTH LOVE LIFE East Balinese Bamboo &amp; Oriental Mint Body Lotion Serum 60ml</t>
        </is>
      </c>
      <c r="D1168" t="inlineStr">
        <is>
          <t>Miss Glam Damar</t>
        </is>
      </c>
      <c r="E1168" t="n">
        <v>12</v>
      </c>
      <c r="F1168" t="n">
        <v>0.04550000000000001</v>
      </c>
      <c r="G1168" t="n">
        <v>0.91</v>
      </c>
      <c r="H1168" t="n">
        <v>2</v>
      </c>
      <c r="I1168" t="n">
        <v>6</v>
      </c>
      <c r="J1168" t="n">
        <v>1</v>
      </c>
      <c r="K1168" t="n">
        <v>0</v>
      </c>
      <c r="L1168" t="n">
        <v>23500</v>
      </c>
      <c r="M1168" t="n">
        <v>33500</v>
      </c>
      <c r="N1168" t="n">
        <v>91</v>
      </c>
      <c r="O1168" t="n">
        <v>0.91</v>
      </c>
      <c r="P1168" t="n">
        <v>1</v>
      </c>
      <c r="Q1168" t="n">
        <v>0.07000000000000001</v>
      </c>
      <c r="R1168" t="n">
        <v>2</v>
      </c>
      <c r="S1168" t="n">
        <v>1524.25</v>
      </c>
      <c r="T1168" t="n">
        <v>6</v>
      </c>
      <c r="U1168" t="n">
        <v>7</v>
      </c>
      <c r="V1168" t="n">
        <v>30</v>
      </c>
      <c r="W1168" t="n">
        <v>2</v>
      </c>
      <c r="X1168" t="n">
        <v>263.7362637362637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11687</v>
      </c>
      <c r="AG1168" t="n">
        <v>63</v>
      </c>
      <c r="AH1168" t="inlineStr">
        <is>
          <t>PT. PARAMA GLOBAL INSPIRA - PPN (PDG)</t>
        </is>
      </c>
      <c r="AI1168" t="n">
        <v>1993</v>
      </c>
      <c r="AJ1168" t="inlineStr">
        <is>
          <t>EARTH LOVE LIFE</t>
        </is>
      </c>
      <c r="AK1168" t="n">
        <v>21</v>
      </c>
      <c r="AL1168" t="inlineStr">
        <is>
          <t>Miss Glam Damar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EARTH LOVE LIFE</t>
        </is>
      </c>
      <c r="B1169" s="2">
        <f>"8993137721684"</f>
        <v/>
      </c>
      <c r="C1169" t="inlineStr">
        <is>
          <t>EARTH LOVE LIFE East Balinese Bamboo &amp; Oriental Mint Body Wash 250ml</t>
        </is>
      </c>
      <c r="D1169" t="inlineStr">
        <is>
          <t>Miss Glam Damar</t>
        </is>
      </c>
      <c r="E1169" t="n">
        <v>7</v>
      </c>
      <c r="F1169" t="n">
        <v>0.06370000000000001</v>
      </c>
      <c r="G1169" t="n">
        <v>0.91</v>
      </c>
      <c r="H1169" t="n">
        <v>2</v>
      </c>
      <c r="I1169" t="n">
        <v>6</v>
      </c>
      <c r="J1169" t="n">
        <v>3</v>
      </c>
      <c r="K1169" t="n">
        <v>0</v>
      </c>
      <c r="L1169" t="n">
        <v>52500</v>
      </c>
      <c r="M1169" t="n">
        <v>70000</v>
      </c>
      <c r="N1169" t="n">
        <v>91</v>
      </c>
      <c r="O1169" t="n">
        <v>0.91</v>
      </c>
      <c r="P1169" t="n">
        <v>1</v>
      </c>
      <c r="Q1169" t="n">
        <v>0.1</v>
      </c>
      <c r="R1169" t="n">
        <v>1</v>
      </c>
      <c r="S1169" t="n">
        <v>4459.000000000001</v>
      </c>
      <c r="T1169" t="n">
        <v>6</v>
      </c>
      <c r="U1169" t="n">
        <v>7</v>
      </c>
      <c r="V1169" t="n">
        <v>30</v>
      </c>
      <c r="W1169" t="n">
        <v>2</v>
      </c>
      <c r="X1169" t="n">
        <v>109.8901098901099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11687</v>
      </c>
      <c r="AG1169" t="n">
        <v>63</v>
      </c>
      <c r="AH1169" t="inlineStr">
        <is>
          <t>PT. PARAMA GLOBAL INSPIRA - PPN (PDG)</t>
        </is>
      </c>
      <c r="AI1169" t="n">
        <v>1993</v>
      </c>
      <c r="AJ1169" t="inlineStr">
        <is>
          <t>EARTH LOVE LIFE</t>
        </is>
      </c>
      <c r="AK1169" t="n">
        <v>21</v>
      </c>
      <c r="AL1169" t="inlineStr">
        <is>
          <t>Miss Glam Damar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EARTH LOVE LIFE</t>
        </is>
      </c>
      <c r="B1170" s="2">
        <f>"30100169835"</f>
        <v/>
      </c>
      <c r="C1170" t="inlineStr">
        <is>
          <t>EARTH LOVE LIFE East Balinese Bamboo &amp; Oriental Mint Body Wash 60ml</t>
        </is>
      </c>
      <c r="D1170" t="inlineStr">
        <is>
          <t>Miss Glam Damar</t>
        </is>
      </c>
      <c r="E1170" t="n">
        <v>12</v>
      </c>
      <c r="F1170" t="n">
        <v>0.0728</v>
      </c>
      <c r="G1170" t="n">
        <v>0.91</v>
      </c>
      <c r="H1170" t="n">
        <v>2</v>
      </c>
      <c r="I1170" t="n">
        <v>6</v>
      </c>
      <c r="J1170" t="n">
        <v>1</v>
      </c>
      <c r="K1170" t="n">
        <v>0</v>
      </c>
      <c r="L1170" t="n">
        <v>21500</v>
      </c>
      <c r="M1170" t="n">
        <v>30500</v>
      </c>
      <c r="N1170" t="n">
        <v>91</v>
      </c>
      <c r="O1170" t="n">
        <v>0.91</v>
      </c>
      <c r="P1170" t="n">
        <v>1</v>
      </c>
      <c r="Q1170" t="n">
        <v>0.12</v>
      </c>
      <c r="R1170" t="n">
        <v>6</v>
      </c>
      <c r="S1170" t="n">
        <v>2220.4</v>
      </c>
      <c r="T1170" t="n">
        <v>6</v>
      </c>
      <c r="U1170" t="n">
        <v>7</v>
      </c>
      <c r="V1170" t="n">
        <v>30</v>
      </c>
      <c r="W1170" t="n">
        <v>3</v>
      </c>
      <c r="X1170" t="n">
        <v>164.8351648351648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11687</v>
      </c>
      <c r="AG1170" t="n">
        <v>63</v>
      </c>
      <c r="AH1170" t="inlineStr">
        <is>
          <t>PT. PARAMA GLOBAL INSPIRA - PPN (PDG)</t>
        </is>
      </c>
      <c r="AI1170" t="n">
        <v>1993</v>
      </c>
      <c r="AJ1170" t="inlineStr">
        <is>
          <t>EARTH LOVE LIFE</t>
        </is>
      </c>
      <c r="AK1170" t="n">
        <v>21</v>
      </c>
      <c r="AL1170" t="inlineStr">
        <is>
          <t>Miss Glam Damar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EARTH LOVE LIFE</t>
        </is>
      </c>
      <c r="B1171" s="2">
        <f>"30200195422"</f>
        <v/>
      </c>
      <c r="C1171" t="inlineStr">
        <is>
          <t>EARTH LOVE LIFE Javanese Moringa &amp; Balinese Starfruit Body Lotion Serum 60 ml</t>
        </is>
      </c>
      <c r="D1171" t="inlineStr">
        <is>
          <t>Miss Glam Damar</t>
        </is>
      </c>
      <c r="E1171" t="n">
        <v>9</v>
      </c>
      <c r="F1171" t="n">
        <v>0.0364</v>
      </c>
      <c r="G1171" t="n">
        <v>0.91</v>
      </c>
      <c r="H1171" t="n">
        <v>2</v>
      </c>
      <c r="I1171" t="n">
        <v>6</v>
      </c>
      <c r="J1171" t="n">
        <v>1</v>
      </c>
      <c r="K1171" t="n">
        <v>0</v>
      </c>
      <c r="L1171" t="n">
        <v>23500</v>
      </c>
      <c r="M1171" t="n">
        <v>33500</v>
      </c>
      <c r="N1171" t="n">
        <v>91</v>
      </c>
      <c r="O1171" t="n">
        <v>0.91</v>
      </c>
      <c r="P1171" t="n">
        <v>1</v>
      </c>
      <c r="Q1171" t="n">
        <v>0.46</v>
      </c>
      <c r="R1171" t="n">
        <v>7</v>
      </c>
      <c r="S1171" t="n">
        <v>1219.4</v>
      </c>
      <c r="T1171" t="n">
        <v>6</v>
      </c>
      <c r="U1171" t="n">
        <v>7</v>
      </c>
      <c r="V1171" t="n">
        <v>30</v>
      </c>
      <c r="W1171" t="n">
        <v>2</v>
      </c>
      <c r="X1171" t="n">
        <v>247.2527472527472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11687</v>
      </c>
      <c r="AG1171" t="n">
        <v>63</v>
      </c>
      <c r="AH1171" t="inlineStr">
        <is>
          <t>PT. PARAMA GLOBAL INSPIRA - PPN (PDG)</t>
        </is>
      </c>
      <c r="AI1171" t="n">
        <v>1993</v>
      </c>
      <c r="AJ1171" t="inlineStr">
        <is>
          <t>EARTH LOVE LIFE</t>
        </is>
      </c>
      <c r="AK1171" t="n">
        <v>21</v>
      </c>
      <c r="AL1171" t="inlineStr">
        <is>
          <t>Miss Glam Damar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EARTH LOVE LIFE</t>
        </is>
      </c>
      <c r="B1172" s="2">
        <f>"30100169953"</f>
        <v/>
      </c>
      <c r="C1172" t="inlineStr">
        <is>
          <t>EARTH LOVE LIFE Javanese Moringa &amp; Balinese Starfruit Body Wash 60ml</t>
        </is>
      </c>
      <c r="D1172" t="inlineStr">
        <is>
          <t>Miss Glam Damar</t>
        </is>
      </c>
      <c r="E1172" t="n">
        <v>11</v>
      </c>
      <c r="F1172" t="n">
        <v>0.06370000000000001</v>
      </c>
      <c r="G1172" t="n">
        <v>0.91</v>
      </c>
      <c r="H1172" t="n">
        <v>2</v>
      </c>
      <c r="I1172" t="n">
        <v>6</v>
      </c>
      <c r="J1172" t="n">
        <v>1</v>
      </c>
      <c r="K1172" t="n">
        <v>0</v>
      </c>
      <c r="L1172" t="n">
        <v>21500</v>
      </c>
      <c r="M1172" t="n">
        <v>30500</v>
      </c>
      <c r="N1172" t="n">
        <v>91</v>
      </c>
      <c r="O1172" t="n">
        <v>0.91</v>
      </c>
      <c r="P1172" t="n">
        <v>1</v>
      </c>
      <c r="Q1172" t="n">
        <v>0.12</v>
      </c>
      <c r="R1172" t="n">
        <v>2</v>
      </c>
      <c r="S1172" t="n">
        <v>1942.85</v>
      </c>
      <c r="T1172" t="n">
        <v>6</v>
      </c>
      <c r="U1172" t="n">
        <v>7</v>
      </c>
      <c r="V1172" t="n">
        <v>30</v>
      </c>
      <c r="W1172" t="n">
        <v>2</v>
      </c>
      <c r="X1172" t="n">
        <v>172.6844583987441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11687</v>
      </c>
      <c r="AG1172" t="n">
        <v>63</v>
      </c>
      <c r="AH1172" t="inlineStr">
        <is>
          <t>PT. PARAMA GLOBAL INSPIRA - PPN (PDG)</t>
        </is>
      </c>
      <c r="AI1172" t="n">
        <v>1993</v>
      </c>
      <c r="AJ1172" t="inlineStr">
        <is>
          <t>EARTH LOVE LIFE</t>
        </is>
      </c>
      <c r="AK1172" t="n">
        <v>21</v>
      </c>
      <c r="AL1172" t="inlineStr">
        <is>
          <t>Miss Glam Damar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EARTH LOVE LIFE</t>
        </is>
      </c>
      <c r="B1173" s="2">
        <f>"30100170235"</f>
        <v/>
      </c>
      <c r="C1173" t="inlineStr">
        <is>
          <t>EARTH LOVE LIFE South Bali Frangipani &amp; Tropical Coconut Water Body Wash 60ml</t>
        </is>
      </c>
      <c r="D1173" t="inlineStr">
        <is>
          <t>Miss Glam Damar</t>
        </is>
      </c>
      <c r="E1173" t="n">
        <v>12</v>
      </c>
      <c r="F1173" t="n">
        <v>0.0182</v>
      </c>
      <c r="G1173" t="n">
        <v>0.91</v>
      </c>
      <c r="H1173" t="n">
        <v>2</v>
      </c>
      <c r="I1173" t="n">
        <v>6</v>
      </c>
      <c r="J1173" t="n">
        <v>1</v>
      </c>
      <c r="K1173" t="n">
        <v>0</v>
      </c>
      <c r="L1173" t="n">
        <v>21500</v>
      </c>
      <c r="M1173" t="n">
        <v>30500</v>
      </c>
      <c r="N1173" t="n">
        <v>91</v>
      </c>
      <c r="O1173" t="n">
        <v>0.91</v>
      </c>
      <c r="P1173" t="n">
        <v>1</v>
      </c>
      <c r="Q1173" t="n">
        <v>0.05</v>
      </c>
      <c r="R1173" t="n">
        <v>3</v>
      </c>
      <c r="S1173" t="n">
        <v>555.1</v>
      </c>
      <c r="T1173" t="n">
        <v>6</v>
      </c>
      <c r="U1173" t="n">
        <v>7</v>
      </c>
      <c r="V1173" t="n">
        <v>30</v>
      </c>
      <c r="W1173" t="n">
        <v>1</v>
      </c>
      <c r="X1173" t="n">
        <v>659.3406593406593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11687</v>
      </c>
      <c r="AG1173" t="n">
        <v>63</v>
      </c>
      <c r="AH1173" t="inlineStr">
        <is>
          <t>PT. PARAMA GLOBAL INSPIRA - PPN (PDG)</t>
        </is>
      </c>
      <c r="AI1173" t="n">
        <v>1993</v>
      </c>
      <c r="AJ1173" t="inlineStr">
        <is>
          <t>EARTH LOVE LIFE</t>
        </is>
      </c>
      <c r="AK1173" t="n">
        <v>21</v>
      </c>
      <c r="AL1173" t="inlineStr">
        <is>
          <t>Miss Glam Damar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EARTH LOVE LIFE</t>
        </is>
      </c>
      <c r="B1174" s="2">
        <f>"8993137721820"</f>
        <v/>
      </c>
      <c r="C1174" t="inlineStr">
        <is>
          <t>EARTH LOVE LIFE South Body Gel Serum Bali Frangipani &amp; Tropical Coconut Water 250ml</t>
        </is>
      </c>
      <c r="D1174" t="inlineStr">
        <is>
          <t>Miss Glam Damar</t>
        </is>
      </c>
      <c r="E1174" t="n">
        <v>4</v>
      </c>
      <c r="F1174" t="n">
        <v>0.07000000000000001</v>
      </c>
      <c r="G1174" t="n">
        <v>1</v>
      </c>
      <c r="H1174" t="n">
        <v>2</v>
      </c>
      <c r="I1174" t="n">
        <v>6</v>
      </c>
      <c r="J1174" t="n">
        <v>3</v>
      </c>
      <c r="K1174" t="n">
        <v>0</v>
      </c>
      <c r="L1174" t="n">
        <v>58449</v>
      </c>
      <c r="M1174" t="n">
        <v>78000</v>
      </c>
      <c r="N1174" t="n">
        <v>91</v>
      </c>
      <c r="O1174" t="n">
        <v>0.91</v>
      </c>
      <c r="P1174" t="n">
        <v>0</v>
      </c>
      <c r="Q1174" t="n">
        <v>0.07000000000000001</v>
      </c>
      <c r="R1174" t="n">
        <v>1</v>
      </c>
      <c r="S1174" t="n">
        <v>5460.000000000001</v>
      </c>
      <c r="T1174" t="n">
        <v>6</v>
      </c>
      <c r="U1174" t="n">
        <v>7</v>
      </c>
      <c r="V1174" t="n">
        <v>30</v>
      </c>
      <c r="W1174" t="n">
        <v>3</v>
      </c>
      <c r="X1174" t="n">
        <v>57.14285714285714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11687</v>
      </c>
      <c r="AG1174" t="n">
        <v>63</v>
      </c>
      <c r="AH1174" t="inlineStr">
        <is>
          <t>PT. PARAMA GLOBAL INSPIRA - PPN (PDG)</t>
        </is>
      </c>
      <c r="AI1174" t="n">
        <v>1993</v>
      </c>
      <c r="AJ1174" t="inlineStr">
        <is>
          <t>EARTH LOVE LIFE</t>
        </is>
      </c>
      <c r="AK1174" t="n">
        <v>21</v>
      </c>
      <c r="AL1174" t="inlineStr">
        <is>
          <t>Miss Glam Damar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EARTH LOVE LIFE</t>
        </is>
      </c>
      <c r="B1175" s="2">
        <f>"30200195651"</f>
        <v/>
      </c>
      <c r="C1175" t="inlineStr">
        <is>
          <t>EARTH LOVE LIFE Spanish Lavender &amp; Javanese Rice Milk Body Lotion Serum 60 ml</t>
        </is>
      </c>
      <c r="D1175" t="inlineStr">
        <is>
          <t>Miss Glam Damar</t>
        </is>
      </c>
      <c r="E1175" t="n">
        <v>9</v>
      </c>
      <c r="F1175" t="n">
        <v>0.04550000000000001</v>
      </c>
      <c r="G1175" t="n">
        <v>0.91</v>
      </c>
      <c r="H1175" t="n">
        <v>2</v>
      </c>
      <c r="I1175" t="n">
        <v>6</v>
      </c>
      <c r="J1175" t="n">
        <v>1</v>
      </c>
      <c r="K1175" t="n">
        <v>0</v>
      </c>
      <c r="L1175" t="n">
        <v>23250</v>
      </c>
      <c r="M1175" t="n">
        <v>33500</v>
      </c>
      <c r="N1175" t="n">
        <v>91</v>
      </c>
      <c r="O1175" t="n">
        <v>0.91</v>
      </c>
      <c r="P1175" t="n">
        <v>1</v>
      </c>
      <c r="Q1175" t="n">
        <v>0.17</v>
      </c>
      <c r="R1175" t="n">
        <v>2</v>
      </c>
      <c r="S1175" t="n">
        <v>1524.25</v>
      </c>
      <c r="T1175" t="n">
        <v>6</v>
      </c>
      <c r="U1175" t="n">
        <v>7</v>
      </c>
      <c r="V1175" t="n">
        <v>30</v>
      </c>
      <c r="W1175" t="n">
        <v>2</v>
      </c>
      <c r="X1175" t="n">
        <v>197.8021978021978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11687</v>
      </c>
      <c r="AG1175" t="n">
        <v>63</v>
      </c>
      <c r="AH1175" t="inlineStr">
        <is>
          <t>PT. PARAMA GLOBAL INSPIRA - PPN (PDG)</t>
        </is>
      </c>
      <c r="AI1175" t="n">
        <v>1993</v>
      </c>
      <c r="AJ1175" t="inlineStr">
        <is>
          <t>EARTH LOVE LIFE</t>
        </is>
      </c>
      <c r="AK1175" t="n">
        <v>21</v>
      </c>
      <c r="AL1175" t="inlineStr">
        <is>
          <t>Miss Glam Damar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EARTH LOVE LIFE</t>
        </is>
      </c>
      <c r="B1176" s="2">
        <f>"30100170147"</f>
        <v/>
      </c>
      <c r="C1176" t="inlineStr">
        <is>
          <t>EARTH LOVE LIFE Spanish Lavender &amp; Javanese Rice Milk Body Wash 60ml</t>
        </is>
      </c>
      <c r="D1176" t="inlineStr">
        <is>
          <t>Miss Glam Damar</t>
        </is>
      </c>
      <c r="E1176" t="n">
        <v>4</v>
      </c>
      <c r="F1176" t="n">
        <v>0.0273</v>
      </c>
      <c r="G1176" t="n">
        <v>0.91</v>
      </c>
      <c r="H1176" t="n">
        <v>2</v>
      </c>
      <c r="I1176" t="n">
        <v>6</v>
      </c>
      <c r="J1176" t="n">
        <v>1</v>
      </c>
      <c r="K1176" t="n">
        <v>0</v>
      </c>
      <c r="L1176" t="n">
        <v>23000</v>
      </c>
      <c r="M1176" t="n">
        <v>30500</v>
      </c>
      <c r="N1176" t="n">
        <v>91</v>
      </c>
      <c r="O1176" t="n">
        <v>0.91</v>
      </c>
      <c r="P1176" t="n">
        <v>1</v>
      </c>
      <c r="Q1176" t="n">
        <v>0.05</v>
      </c>
      <c r="R1176" t="n">
        <v>1</v>
      </c>
      <c r="S1176" t="n">
        <v>832.6500000000001</v>
      </c>
      <c r="T1176" t="n">
        <v>6</v>
      </c>
      <c r="U1176" t="n">
        <v>7</v>
      </c>
      <c r="V1176" t="n">
        <v>30</v>
      </c>
      <c r="W1176" t="n">
        <v>1</v>
      </c>
      <c r="X1176" t="n">
        <v>146.5201465201465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11687</v>
      </c>
      <c r="AG1176" t="n">
        <v>63</v>
      </c>
      <c r="AH1176" t="inlineStr">
        <is>
          <t>PT. PARAMA GLOBAL INSPIRA - PPN (PDG)</t>
        </is>
      </c>
      <c r="AI1176" t="n">
        <v>1993</v>
      </c>
      <c r="AJ1176" t="inlineStr">
        <is>
          <t>EARTH LOVE LIFE</t>
        </is>
      </c>
      <c r="AK1176" t="n">
        <v>21</v>
      </c>
      <c r="AL1176" t="inlineStr">
        <is>
          <t>Miss Glam Damar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EIEM BEAUTY</t>
        </is>
      </c>
      <c r="B1177" s="2">
        <f>"2488260026721"</f>
        <v/>
      </c>
      <c r="C1177" t="inlineStr">
        <is>
          <t>EIEM BEAUTY Acne + Anti Aging Serum 20ml</t>
        </is>
      </c>
      <c r="D1177" t="inlineStr">
        <is>
          <t>Miss Glam Damar</t>
        </is>
      </c>
      <c r="E1177" t="n">
        <v>6</v>
      </c>
      <c r="F1177" t="n">
        <v>0.0182</v>
      </c>
      <c r="G1177" t="n">
        <v>0.91</v>
      </c>
      <c r="H1177" t="n">
        <v>2</v>
      </c>
      <c r="I1177" t="n">
        <v>16</v>
      </c>
      <c r="J1177" t="n">
        <v>3</v>
      </c>
      <c r="K1177" t="n">
        <v>0</v>
      </c>
      <c r="L1177" t="n">
        <v>29412</v>
      </c>
      <c r="M1177" t="n">
        <v>38000</v>
      </c>
      <c r="N1177" t="n">
        <v>91</v>
      </c>
      <c r="O1177" t="n">
        <v>0.91</v>
      </c>
      <c r="P1177" t="n">
        <v>1</v>
      </c>
      <c r="Q1177" t="n">
        <v>0.05</v>
      </c>
      <c r="R1177" t="n">
        <v>1</v>
      </c>
      <c r="S1177" t="n">
        <v>691.6</v>
      </c>
      <c r="T1177" t="n">
        <v>15</v>
      </c>
      <c r="U1177" t="n">
        <v>16</v>
      </c>
      <c r="V1177" t="n">
        <v>30</v>
      </c>
      <c r="W1177" t="n">
        <v>1</v>
      </c>
      <c r="X1177" t="n">
        <v>329.6703296703296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496</v>
      </c>
      <c r="AG1177" t="n">
        <v>107</v>
      </c>
      <c r="AH1177" t="inlineStr">
        <is>
          <t xml:space="preserve">CV. DAHLIA - PPN (PDG) </t>
        </is>
      </c>
      <c r="AI1177" t="n">
        <v>1286</v>
      </c>
      <c r="AJ1177" t="inlineStr">
        <is>
          <t>EIEM BEAUTY</t>
        </is>
      </c>
      <c r="AK1177" t="n">
        <v>21</v>
      </c>
      <c r="AL1177" t="inlineStr">
        <is>
          <t>Miss Glam Damar</t>
        </is>
      </c>
      <c r="AM1177" t="n">
        <v>2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EIEM BEAUTY</t>
        </is>
      </c>
      <c r="B1178" s="2">
        <f>"101001109615"</f>
        <v/>
      </c>
      <c r="C1178" t="inlineStr">
        <is>
          <t>EIEM BEAUTY Barrier Cleanser 50ml</t>
        </is>
      </c>
      <c r="D1178" t="inlineStr">
        <is>
          <t>Miss Glam Damar</t>
        </is>
      </c>
      <c r="E1178" t="n">
        <v>5</v>
      </c>
      <c r="F1178" t="n">
        <v>0.04550000000000001</v>
      </c>
      <c r="G1178" t="n">
        <v>0.91</v>
      </c>
      <c r="H1178" t="n">
        <v>2</v>
      </c>
      <c r="I1178" t="n">
        <v>16</v>
      </c>
      <c r="J1178" t="n">
        <v>1</v>
      </c>
      <c r="K1178" t="n">
        <v>0</v>
      </c>
      <c r="L1178" t="n">
        <v>28880</v>
      </c>
      <c r="M1178" t="n">
        <v>38000</v>
      </c>
      <c r="N1178" t="n">
        <v>91</v>
      </c>
      <c r="O1178" t="n">
        <v>0.91</v>
      </c>
      <c r="P1178" t="n">
        <v>1</v>
      </c>
      <c r="Q1178" t="n">
        <v>0.02</v>
      </c>
      <c r="R1178" t="n">
        <v>1</v>
      </c>
      <c r="S1178" t="n">
        <v>1729</v>
      </c>
      <c r="T1178" t="n">
        <v>15</v>
      </c>
      <c r="U1178" t="n">
        <v>16</v>
      </c>
      <c r="V1178" t="n">
        <v>30</v>
      </c>
      <c r="W1178" t="n">
        <v>2</v>
      </c>
      <c r="X1178" t="n">
        <v>109.8901098901099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496</v>
      </c>
      <c r="AG1178" t="n">
        <v>107</v>
      </c>
      <c r="AH1178" t="inlineStr">
        <is>
          <t xml:space="preserve">CV. DAHLIA - PPN (PDG) </t>
        </is>
      </c>
      <c r="AI1178" t="n">
        <v>1286</v>
      </c>
      <c r="AJ1178" t="inlineStr">
        <is>
          <t>EIEM BEAUTY</t>
        </is>
      </c>
      <c r="AK1178" t="n">
        <v>21</v>
      </c>
      <c r="AL1178" t="inlineStr">
        <is>
          <t>Miss Glam Damar</t>
        </is>
      </c>
      <c r="AM1178" t="n">
        <v>2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EIEM BEAUTY</t>
        </is>
      </c>
      <c r="B1179" s="2">
        <f>"8994455150026"</f>
        <v/>
      </c>
      <c r="C1179" t="inlineStr">
        <is>
          <t>EIEM BEAUTY Brightening Serum 20ml</t>
        </is>
      </c>
      <c r="D1179" t="inlineStr">
        <is>
          <t>Miss Glam Damar</t>
        </is>
      </c>
      <c r="E1179" t="n">
        <v>4</v>
      </c>
      <c r="F1179" t="n">
        <v>0.06370000000000001</v>
      </c>
      <c r="G1179" t="n">
        <v>0.91</v>
      </c>
      <c r="H1179" t="n">
        <v>2</v>
      </c>
      <c r="I1179" t="n">
        <v>16</v>
      </c>
      <c r="J1179" t="n">
        <v>3</v>
      </c>
      <c r="K1179" t="n">
        <v>0</v>
      </c>
      <c r="L1179" t="n">
        <v>29412</v>
      </c>
      <c r="M1179" t="n">
        <v>37000</v>
      </c>
      <c r="N1179" t="n">
        <v>91</v>
      </c>
      <c r="O1179" t="n">
        <v>0.91</v>
      </c>
      <c r="P1179" t="n">
        <v>1</v>
      </c>
      <c r="Q1179" t="n">
        <v>0.02</v>
      </c>
      <c r="R1179" t="n">
        <v>1</v>
      </c>
      <c r="S1179" t="n">
        <v>2356.9</v>
      </c>
      <c r="T1179" t="n">
        <v>15</v>
      </c>
      <c r="U1179" t="n">
        <v>16</v>
      </c>
      <c r="V1179" t="n">
        <v>30</v>
      </c>
      <c r="W1179" t="n">
        <v>2</v>
      </c>
      <c r="X1179" t="n">
        <v>62.79434850863422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496</v>
      </c>
      <c r="AG1179" t="n">
        <v>107</v>
      </c>
      <c r="AH1179" t="inlineStr">
        <is>
          <t xml:space="preserve">CV. DAHLIA - PPN (PDG) </t>
        </is>
      </c>
      <c r="AI1179" t="n">
        <v>1286</v>
      </c>
      <c r="AJ1179" t="inlineStr">
        <is>
          <t>EIEM BEAUTY</t>
        </is>
      </c>
      <c r="AK1179" t="n">
        <v>21</v>
      </c>
      <c r="AL1179" t="inlineStr">
        <is>
          <t>Miss Glam Damar</t>
        </is>
      </c>
      <c r="AM1179" t="n">
        <v>2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EIEM BEAUTY</t>
        </is>
      </c>
      <c r="B1180" s="2">
        <f>"10200141213"</f>
        <v/>
      </c>
      <c r="C1180" t="inlineStr">
        <is>
          <t>EIEM BEAUTY Centella Asiatica Calm &amp; Shooting Toner 100ml</t>
        </is>
      </c>
      <c r="D1180" t="inlineStr">
        <is>
          <t>Miss Glam Damar</t>
        </is>
      </c>
      <c r="E1180" t="n">
        <v>7</v>
      </c>
      <c r="F1180" t="n">
        <v>0.0728</v>
      </c>
      <c r="G1180" t="n">
        <v>0.91</v>
      </c>
      <c r="H1180" t="n">
        <v>2</v>
      </c>
      <c r="I1180" t="n">
        <v>16</v>
      </c>
      <c r="J1180" t="n">
        <v>3</v>
      </c>
      <c r="K1180" t="n">
        <v>0</v>
      </c>
      <c r="L1180" t="n">
        <v>29412</v>
      </c>
      <c r="M1180" t="n">
        <v>38000</v>
      </c>
      <c r="N1180" t="n">
        <v>91</v>
      </c>
      <c r="O1180" t="n">
        <v>0.91</v>
      </c>
      <c r="P1180" t="n">
        <v>1</v>
      </c>
      <c r="Q1180" t="n">
        <v>0.03</v>
      </c>
      <c r="R1180" t="n">
        <v>1</v>
      </c>
      <c r="S1180" t="n">
        <v>2766.4</v>
      </c>
      <c r="T1180" t="n">
        <v>15</v>
      </c>
      <c r="U1180" t="n">
        <v>16</v>
      </c>
      <c r="V1180" t="n">
        <v>30</v>
      </c>
      <c r="W1180" t="n">
        <v>3</v>
      </c>
      <c r="X1180" t="n">
        <v>96.15384615384615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496</v>
      </c>
      <c r="AG1180" t="n">
        <v>107</v>
      </c>
      <c r="AH1180" t="inlineStr">
        <is>
          <t xml:space="preserve">CV. DAHLIA - PPN (PDG) </t>
        </is>
      </c>
      <c r="AI1180" t="n">
        <v>1286</v>
      </c>
      <c r="AJ1180" t="inlineStr">
        <is>
          <t>EIEM BEAUTY</t>
        </is>
      </c>
      <c r="AK1180" t="n">
        <v>21</v>
      </c>
      <c r="AL1180" t="inlineStr">
        <is>
          <t>Miss Glam Damar</t>
        </is>
      </c>
      <c r="AM1180" t="n">
        <v>2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EIEM BEAUTY</t>
        </is>
      </c>
      <c r="B1181" s="2">
        <f>"8994455150156"</f>
        <v/>
      </c>
      <c r="C1181" t="inlineStr">
        <is>
          <t>EIEM BEAUTY Cera x Cica Moisturizer 50ml</t>
        </is>
      </c>
      <c r="D1181" t="inlineStr">
        <is>
          <t>Miss Glam Damar</t>
        </is>
      </c>
      <c r="E1181" t="n">
        <v>2</v>
      </c>
      <c r="F1181" t="n">
        <v>0.2639</v>
      </c>
      <c r="G1181" t="n">
        <v>1.82</v>
      </c>
      <c r="H1181" t="n">
        <v>2</v>
      </c>
      <c r="I1181" t="n">
        <v>16</v>
      </c>
      <c r="J1181" t="n">
        <v>3</v>
      </c>
      <c r="K1181" t="n">
        <v>0</v>
      </c>
      <c r="L1181" t="n">
        <v>31920</v>
      </c>
      <c r="M1181" t="n">
        <v>38500</v>
      </c>
      <c r="N1181" t="n">
        <v>91</v>
      </c>
      <c r="O1181" t="n">
        <v>0.91</v>
      </c>
      <c r="P1181" t="n">
        <v>1</v>
      </c>
      <c r="Q1181" t="n">
        <v>0.05</v>
      </c>
      <c r="R1181" t="n">
        <v>1</v>
      </c>
      <c r="S1181" t="n">
        <v>10160.15</v>
      </c>
      <c r="T1181" t="n">
        <v>29</v>
      </c>
      <c r="U1181" t="n">
        <v>30</v>
      </c>
      <c r="V1181" t="n">
        <v>30</v>
      </c>
      <c r="W1181" t="n">
        <v>8</v>
      </c>
      <c r="X1181" t="n">
        <v>7.578628268283442</v>
      </c>
      <c r="Y1181" t="n">
        <v>1</v>
      </c>
      <c r="Z1181" t="n">
        <v>6</v>
      </c>
      <c r="AA1181" t="n">
        <v>3</v>
      </c>
      <c r="AB1181" t="n">
        <v>3</v>
      </c>
      <c r="AC1181" t="n">
        <v>3</v>
      </c>
      <c r="AD1181" t="n">
        <v>95760</v>
      </c>
      <c r="AE1181" t="n">
        <v>95760</v>
      </c>
      <c r="AF1181" t="n">
        <v>496</v>
      </c>
      <c r="AG1181" t="n">
        <v>107</v>
      </c>
      <c r="AH1181" t="inlineStr">
        <is>
          <t xml:space="preserve">CV. DAHLIA - PPN (PDG) </t>
        </is>
      </c>
      <c r="AI1181" t="n">
        <v>1286</v>
      </c>
      <c r="AJ1181" t="inlineStr">
        <is>
          <t>EIEM BEAUTY</t>
        </is>
      </c>
      <c r="AK1181" t="n">
        <v>21</v>
      </c>
      <c r="AL1181" t="inlineStr">
        <is>
          <t>Miss Glam Damar</t>
        </is>
      </c>
      <c r="AM1181" t="n">
        <v>2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EIEM BEAUTY</t>
        </is>
      </c>
      <c r="B1182" s="2">
        <f>"10100722930"</f>
        <v/>
      </c>
      <c r="C1182" t="inlineStr">
        <is>
          <t>EIEM BEAUTY Ceramild Micellar Water H20 303ml</t>
        </is>
      </c>
      <c r="D1182" t="inlineStr">
        <is>
          <t>Miss Glam Damar</t>
        </is>
      </c>
      <c r="E1182" t="n">
        <v>15</v>
      </c>
      <c r="F1182" t="n">
        <v>0.4459</v>
      </c>
      <c r="G1182" t="n">
        <v>1.82</v>
      </c>
      <c r="H1182" t="n">
        <v>2</v>
      </c>
      <c r="I1182" t="n">
        <v>16</v>
      </c>
      <c r="J1182" t="n">
        <v>1</v>
      </c>
      <c r="K1182" t="n">
        <v>0</v>
      </c>
      <c r="L1182" t="n">
        <v>29412</v>
      </c>
      <c r="M1182" t="n">
        <v>39000</v>
      </c>
      <c r="N1182" t="n">
        <v>91</v>
      </c>
      <c r="O1182" t="n">
        <v>0.91</v>
      </c>
      <c r="P1182" t="n">
        <v>1</v>
      </c>
      <c r="Q1182" t="n">
        <v>0.1</v>
      </c>
      <c r="R1182" t="n">
        <v>2</v>
      </c>
      <c r="S1182" t="n">
        <v>17390.1</v>
      </c>
      <c r="T1182" t="n">
        <v>29</v>
      </c>
      <c r="U1182" t="n">
        <v>30</v>
      </c>
      <c r="V1182" t="n">
        <v>30</v>
      </c>
      <c r="W1182" t="n">
        <v>14</v>
      </c>
      <c r="X1182" t="n">
        <v>33.6398295581969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496</v>
      </c>
      <c r="AG1182" t="n">
        <v>107</v>
      </c>
      <c r="AH1182" t="inlineStr">
        <is>
          <t xml:space="preserve">CV. DAHLIA - PPN (PDG) </t>
        </is>
      </c>
      <c r="AI1182" t="n">
        <v>1286</v>
      </c>
      <c r="AJ1182" t="inlineStr">
        <is>
          <t>EIEM BEAUTY</t>
        </is>
      </c>
      <c r="AK1182" t="n">
        <v>21</v>
      </c>
      <c r="AL1182" t="inlineStr">
        <is>
          <t>Miss Glam Damar</t>
        </is>
      </c>
      <c r="AM1182" t="n">
        <v>2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EIEM BEAUTY</t>
        </is>
      </c>
      <c r="B1183" s="2">
        <f>"10300724752"</f>
        <v/>
      </c>
      <c r="C1183" t="inlineStr">
        <is>
          <t>EIEM BEAUTY Glow B3+ Brigthening Moisturizer 50gr</t>
        </is>
      </c>
      <c r="D1183" t="inlineStr">
        <is>
          <t>Miss Glam Damar</t>
        </is>
      </c>
      <c r="E1183" t="n">
        <v>22</v>
      </c>
      <c r="F1183" t="n">
        <v>0.4186</v>
      </c>
      <c r="G1183" t="n">
        <v>1.82</v>
      </c>
      <c r="H1183" t="n">
        <v>2</v>
      </c>
      <c r="I1183" t="n">
        <v>16</v>
      </c>
      <c r="J1183" t="n">
        <v>1</v>
      </c>
      <c r="K1183" t="n">
        <v>0</v>
      </c>
      <c r="L1183" t="n">
        <v>31840</v>
      </c>
      <c r="M1183" t="n">
        <v>40000</v>
      </c>
      <c r="N1183" t="n">
        <v>91</v>
      </c>
      <c r="O1183" t="n">
        <v>0.91</v>
      </c>
      <c r="P1183" t="n">
        <v>1</v>
      </c>
      <c r="Q1183" t="n">
        <v>0.42</v>
      </c>
      <c r="R1183" t="n">
        <v>3</v>
      </c>
      <c r="S1183" t="n">
        <v>16744</v>
      </c>
      <c r="T1183" t="n">
        <v>29</v>
      </c>
      <c r="U1183" t="n">
        <v>30</v>
      </c>
      <c r="V1183" t="n">
        <v>30</v>
      </c>
      <c r="W1183" t="n">
        <v>13</v>
      </c>
      <c r="X1183" t="n">
        <v>52.55613951266125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496</v>
      </c>
      <c r="AG1183" t="n">
        <v>107</v>
      </c>
      <c r="AH1183" t="inlineStr">
        <is>
          <t xml:space="preserve">CV. DAHLIA - PPN (PDG) </t>
        </is>
      </c>
      <c r="AI1183" t="n">
        <v>1286</v>
      </c>
      <c r="AJ1183" t="inlineStr">
        <is>
          <t>EIEM BEAUTY</t>
        </is>
      </c>
      <c r="AK1183" t="n">
        <v>21</v>
      </c>
      <c r="AL1183" t="inlineStr">
        <is>
          <t>Miss Glam Damar</t>
        </is>
      </c>
      <c r="AM1183" t="n">
        <v>2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EIEM BEAUTY</t>
        </is>
      </c>
      <c r="B1184" s="2">
        <f>"8994455150064"</f>
        <v/>
      </c>
      <c r="C1184" t="inlineStr">
        <is>
          <t>EIEM BEAUTY Natural Sunscreen Spf 50 50ml</t>
        </is>
      </c>
      <c r="D1184" t="inlineStr">
        <is>
          <t>Miss Glam Damar</t>
        </is>
      </c>
      <c r="E1184" t="n">
        <v>2</v>
      </c>
      <c r="F1184" t="n">
        <v>0.1365</v>
      </c>
      <c r="G1184" t="n">
        <v>1.82</v>
      </c>
      <c r="H1184" t="n">
        <v>2</v>
      </c>
      <c r="I1184" t="n">
        <v>16</v>
      </c>
      <c r="J1184" t="n">
        <v>3</v>
      </c>
      <c r="K1184" t="n">
        <v>0</v>
      </c>
      <c r="L1184" t="n">
        <v>30324</v>
      </c>
      <c r="M1184" t="n">
        <v>36000</v>
      </c>
      <c r="N1184" t="n">
        <v>91</v>
      </c>
      <c r="O1184" t="n">
        <v>0.91</v>
      </c>
      <c r="P1184" t="n">
        <v>1</v>
      </c>
      <c r="Q1184" t="n">
        <v>0.05</v>
      </c>
      <c r="R1184" t="n">
        <v>1</v>
      </c>
      <c r="S1184" t="n">
        <v>4914</v>
      </c>
      <c r="T1184" t="n">
        <v>29</v>
      </c>
      <c r="U1184" t="n">
        <v>30</v>
      </c>
      <c r="V1184" t="n">
        <v>30</v>
      </c>
      <c r="W1184" t="n">
        <v>5</v>
      </c>
      <c r="X1184" t="n">
        <v>14.65201465201465</v>
      </c>
      <c r="Y1184" t="n">
        <v>1</v>
      </c>
      <c r="Z1184" t="n">
        <v>3</v>
      </c>
      <c r="AA1184" t="n">
        <v>1</v>
      </c>
      <c r="AB1184" t="n">
        <v>2</v>
      </c>
      <c r="AC1184" t="n">
        <v>3</v>
      </c>
      <c r="AD1184" t="n">
        <v>30324</v>
      </c>
      <c r="AE1184" t="n">
        <v>90972</v>
      </c>
      <c r="AF1184" t="n">
        <v>496</v>
      </c>
      <c r="AG1184" t="n">
        <v>107</v>
      </c>
      <c r="AH1184" t="inlineStr">
        <is>
          <t xml:space="preserve">CV. DAHLIA - PPN (PDG) </t>
        </is>
      </c>
      <c r="AI1184" t="n">
        <v>1286</v>
      </c>
      <c r="AJ1184" t="inlineStr">
        <is>
          <t>EIEM BEAUTY</t>
        </is>
      </c>
      <c r="AK1184" t="n">
        <v>21</v>
      </c>
      <c r="AL1184" t="inlineStr">
        <is>
          <t>Miss Glam Damar</t>
        </is>
      </c>
      <c r="AM1184" t="n">
        <v>2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EIEM BEAUTY</t>
        </is>
      </c>
      <c r="B1185" s="2">
        <f>"10300725104"</f>
        <v/>
      </c>
      <c r="C1185" t="inlineStr">
        <is>
          <t>EIEM BEAUTY Reti - IV Moisturizer 50gr</t>
        </is>
      </c>
      <c r="D1185" t="inlineStr">
        <is>
          <t>Miss Glam Damar</t>
        </is>
      </c>
      <c r="E1185" t="n">
        <v>4</v>
      </c>
      <c r="F1185" t="n">
        <v>0.0728</v>
      </c>
      <c r="G1185" t="n">
        <v>0.91</v>
      </c>
      <c r="H1185" t="n">
        <v>2</v>
      </c>
      <c r="I1185" t="n">
        <v>16</v>
      </c>
      <c r="J1185" t="n">
        <v>1</v>
      </c>
      <c r="K1185" t="n">
        <v>0</v>
      </c>
      <c r="L1185" t="n">
        <v>30248</v>
      </c>
      <c r="M1185" t="n">
        <v>40000</v>
      </c>
      <c r="N1185" t="n">
        <v>91</v>
      </c>
      <c r="O1185" t="n">
        <v>0.91</v>
      </c>
      <c r="P1185" t="n">
        <v>1</v>
      </c>
      <c r="Q1185" t="n">
        <v>0.07000000000000001</v>
      </c>
      <c r="R1185" t="n">
        <v>1</v>
      </c>
      <c r="S1185" t="n">
        <v>2912</v>
      </c>
      <c r="T1185" t="n">
        <v>15</v>
      </c>
      <c r="U1185" t="n">
        <v>16</v>
      </c>
      <c r="V1185" t="n">
        <v>30</v>
      </c>
      <c r="W1185" t="n">
        <v>3</v>
      </c>
      <c r="X1185" t="n">
        <v>54.94505494505494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496</v>
      </c>
      <c r="AG1185" t="n">
        <v>107</v>
      </c>
      <c r="AH1185" t="inlineStr">
        <is>
          <t xml:space="preserve">CV. DAHLIA - PPN (PDG) </t>
        </is>
      </c>
      <c r="AI1185" t="n">
        <v>1286</v>
      </c>
      <c r="AJ1185" t="inlineStr">
        <is>
          <t>EIEM BEAUTY</t>
        </is>
      </c>
      <c r="AK1185" t="n">
        <v>21</v>
      </c>
      <c r="AL1185" t="inlineStr">
        <is>
          <t>Miss Glam Damar</t>
        </is>
      </c>
      <c r="AM1185" t="n">
        <v>2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EIEM BEAUTY</t>
        </is>
      </c>
      <c r="B1186" s="2">
        <f>"10400310611"</f>
        <v/>
      </c>
      <c r="C1186" t="inlineStr">
        <is>
          <t>EIEM BEAUTY Sunsecure Brightening Sunscreen 30ml</t>
        </is>
      </c>
      <c r="D1186" t="inlineStr">
        <is>
          <t>Miss Glam Damar</t>
        </is>
      </c>
      <c r="E1186" t="n">
        <v>14</v>
      </c>
      <c r="F1186" t="n">
        <v>0.4641</v>
      </c>
      <c r="G1186" t="n">
        <v>2.73</v>
      </c>
      <c r="H1186" t="n">
        <v>2</v>
      </c>
      <c r="I1186" t="n">
        <v>16</v>
      </c>
      <c r="J1186" t="n">
        <v>1</v>
      </c>
      <c r="K1186" t="n">
        <v>0</v>
      </c>
      <c r="L1186" t="n">
        <v>24000</v>
      </c>
      <c r="M1186" t="n">
        <v>29500</v>
      </c>
      <c r="N1186" t="n">
        <v>91</v>
      </c>
      <c r="O1186" t="n">
        <v>0.91</v>
      </c>
      <c r="P1186" t="n">
        <v>1</v>
      </c>
      <c r="Q1186" t="n">
        <v>0.29</v>
      </c>
      <c r="R1186" t="n">
        <v>3</v>
      </c>
      <c r="S1186" t="n">
        <v>13690.95</v>
      </c>
      <c r="T1186" t="n">
        <v>43</v>
      </c>
      <c r="U1186" t="n">
        <v>44</v>
      </c>
      <c r="V1186" t="n">
        <v>30</v>
      </c>
      <c r="W1186" t="n">
        <v>14</v>
      </c>
      <c r="X1186" t="n">
        <v>30.16591251885369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496</v>
      </c>
      <c r="AG1186" t="n">
        <v>107</v>
      </c>
      <c r="AH1186" t="inlineStr">
        <is>
          <t xml:space="preserve">CV. DAHLIA - PPN (PDG) </t>
        </is>
      </c>
      <c r="AI1186" t="n">
        <v>1286</v>
      </c>
      <c r="AJ1186" t="inlineStr">
        <is>
          <t>EIEM BEAUTY</t>
        </is>
      </c>
      <c r="AK1186" t="n">
        <v>21</v>
      </c>
      <c r="AL1186" t="inlineStr">
        <is>
          <t>Miss Glam Damar</t>
        </is>
      </c>
      <c r="AM1186" t="n">
        <v>2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EIEM BEAUTY</t>
        </is>
      </c>
      <c r="B1187" s="2">
        <f>"8994455150002"</f>
        <v/>
      </c>
      <c r="C1187" t="inlineStr">
        <is>
          <t>EIEM BEAUTY Water Bank Moisturizer 30gr</t>
        </is>
      </c>
      <c r="D1187" t="inlineStr">
        <is>
          <t>Miss Glam Damar</t>
        </is>
      </c>
      <c r="E1187" t="n">
        <v>8</v>
      </c>
      <c r="F1187" t="n">
        <v>0.3367</v>
      </c>
      <c r="G1187" t="n">
        <v>1.82</v>
      </c>
      <c r="H1187" t="n">
        <v>2</v>
      </c>
      <c r="I1187" t="n">
        <v>16</v>
      </c>
      <c r="J1187" t="n">
        <v>3</v>
      </c>
      <c r="K1187" t="n">
        <v>0</v>
      </c>
      <c r="L1187" t="n">
        <v>30341</v>
      </c>
      <c r="M1187" t="n">
        <v>37000</v>
      </c>
      <c r="N1187" t="n">
        <v>91</v>
      </c>
      <c r="O1187" t="n">
        <v>0.91</v>
      </c>
      <c r="P1187" t="n">
        <v>1</v>
      </c>
      <c r="Q1187" t="n">
        <v>0.22</v>
      </c>
      <c r="R1187" t="n">
        <v>2</v>
      </c>
      <c r="S1187" t="n">
        <v>12457.9</v>
      </c>
      <c r="T1187" t="n">
        <v>29</v>
      </c>
      <c r="U1187" t="n">
        <v>30</v>
      </c>
      <c r="V1187" t="n">
        <v>30</v>
      </c>
      <c r="W1187" t="n">
        <v>11</v>
      </c>
      <c r="X1187" t="n">
        <v>23.76002376002376</v>
      </c>
      <c r="Y1187" t="n">
        <v>1</v>
      </c>
      <c r="Z1187" t="n">
        <v>3</v>
      </c>
      <c r="AA1187" t="n">
        <v>0</v>
      </c>
      <c r="AB1187" t="n">
        <v>3</v>
      </c>
      <c r="AC1187" t="n">
        <v>3</v>
      </c>
      <c r="AD1187" t="n">
        <v>0</v>
      </c>
      <c r="AE1187" t="n">
        <v>91023</v>
      </c>
      <c r="AF1187" t="n">
        <v>496</v>
      </c>
      <c r="AG1187" t="n">
        <v>107</v>
      </c>
      <c r="AH1187" t="inlineStr">
        <is>
          <t xml:space="preserve">CV. DAHLIA - PPN (PDG) </t>
        </is>
      </c>
      <c r="AI1187" t="n">
        <v>1286</v>
      </c>
      <c r="AJ1187" t="inlineStr">
        <is>
          <t>EIEM BEAUTY</t>
        </is>
      </c>
      <c r="AK1187" t="n">
        <v>21</v>
      </c>
      <c r="AL1187" t="inlineStr">
        <is>
          <t>Miss Glam Damar</t>
        </is>
      </c>
      <c r="AM1187" t="n">
        <v>2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EIEM BEAUTY</t>
        </is>
      </c>
      <c r="B1188" s="2">
        <f>"10300723044"</f>
        <v/>
      </c>
      <c r="C1188" t="inlineStr">
        <is>
          <t>EIEM Beauty Waterbank Moisturizer 100gr</t>
        </is>
      </c>
      <c r="D1188" t="inlineStr">
        <is>
          <t>Miss Glam Damar</t>
        </is>
      </c>
      <c r="E1188" t="n">
        <v>21</v>
      </c>
      <c r="F1188" t="n">
        <v>0.1</v>
      </c>
      <c r="G1188" t="n">
        <v>1</v>
      </c>
      <c r="H1188" t="n">
        <v>2</v>
      </c>
      <c r="I1188" t="n">
        <v>16</v>
      </c>
      <c r="J1188" t="n">
        <v>1</v>
      </c>
      <c r="K1188" t="n">
        <v>0</v>
      </c>
      <c r="L1188" t="n">
        <v>75897</v>
      </c>
      <c r="M1188" t="n">
        <v>99000</v>
      </c>
      <c r="N1188" t="n">
        <v>91</v>
      </c>
      <c r="O1188" t="n">
        <v>0.91</v>
      </c>
      <c r="P1188" t="n">
        <v>0</v>
      </c>
      <c r="Q1188" t="n">
        <v>0.1</v>
      </c>
      <c r="R1188" t="n">
        <v>1</v>
      </c>
      <c r="S1188" t="n">
        <v>9900</v>
      </c>
      <c r="T1188" t="n">
        <v>16</v>
      </c>
      <c r="U1188" t="n">
        <v>17</v>
      </c>
      <c r="V1188" t="n">
        <v>30</v>
      </c>
      <c r="W1188" t="n">
        <v>3</v>
      </c>
      <c r="X1188" t="n">
        <v>210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496</v>
      </c>
      <c r="AG1188" t="n">
        <v>107</v>
      </c>
      <c r="AH1188" t="inlineStr">
        <is>
          <t xml:space="preserve">CV. DAHLIA - PPN (PDG) </t>
        </is>
      </c>
      <c r="AI1188" t="n">
        <v>1286</v>
      </c>
      <c r="AJ1188" t="inlineStr">
        <is>
          <t>EIEM BEAUTY</t>
        </is>
      </c>
      <c r="AK1188" t="n">
        <v>21</v>
      </c>
      <c r="AL1188" t="inlineStr">
        <is>
          <t>Miss Glam Damar</t>
        </is>
      </c>
      <c r="AM1188" t="n">
        <v>2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EILEEN GRACE</t>
        </is>
      </c>
      <c r="B1189" s="2">
        <f>"4717002592148"</f>
        <v/>
      </c>
      <c r="C1189" t="inlineStr">
        <is>
          <t>EILEEN GRACE Deep Cleansing Black Jelly Mask 300ml</t>
        </is>
      </c>
      <c r="D1189" t="inlineStr">
        <is>
          <t>Miss Glam Damar</t>
        </is>
      </c>
      <c r="E1189" t="n">
        <v>11</v>
      </c>
      <c r="F1189" t="n">
        <v>0.09100000000000001</v>
      </c>
      <c r="G1189" t="n">
        <v>0.91</v>
      </c>
      <c r="H1189" t="n">
        <v>4</v>
      </c>
      <c r="I1189" t="n">
        <v>21</v>
      </c>
      <c r="J1189" t="n">
        <v>3</v>
      </c>
      <c r="K1189" t="n">
        <v>0</v>
      </c>
      <c r="L1189" t="n">
        <v>292542</v>
      </c>
      <c r="M1189" t="n">
        <v>361500</v>
      </c>
      <c r="N1189" t="n">
        <v>91</v>
      </c>
      <c r="O1189" t="n">
        <v>0.91</v>
      </c>
      <c r="P1189" t="n">
        <v>1</v>
      </c>
      <c r="Q1189" t="n">
        <v>0.1</v>
      </c>
      <c r="R1189" t="n">
        <v>1</v>
      </c>
      <c r="S1189" t="n">
        <v>32896.50000000001</v>
      </c>
      <c r="T1189" t="n">
        <v>19</v>
      </c>
      <c r="U1189" t="n">
        <v>20</v>
      </c>
      <c r="V1189" t="n">
        <v>30</v>
      </c>
      <c r="W1189" t="n">
        <v>3</v>
      </c>
      <c r="X1189" t="n">
        <v>120.8791208791209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4600</v>
      </c>
      <c r="AG1189" t="n">
        <v>1</v>
      </c>
      <c r="AH1189" t="inlineStr">
        <is>
          <t>PT. BERSAMA DISTRIVERSA INDONESIA (DC CIPUTAT)</t>
        </is>
      </c>
      <c r="AI1189" t="n">
        <v>1474</v>
      </c>
      <c r="AJ1189" t="inlineStr">
        <is>
          <t>EILEEN GRACE</t>
        </is>
      </c>
      <c r="AK1189" t="n">
        <v>21</v>
      </c>
      <c r="AL1189" t="inlineStr">
        <is>
          <t>Miss Glam Damar</t>
        </is>
      </c>
      <c r="AM1189" t="n">
        <v>2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EILEEN GRACE</t>
        </is>
      </c>
      <c r="B1190" s="2">
        <f>"4717002592131"</f>
        <v/>
      </c>
      <c r="C1190" t="inlineStr">
        <is>
          <t>EILEEN GRACE Moisture Rose Jelly Mask 300ml</t>
        </is>
      </c>
      <c r="D1190" t="inlineStr">
        <is>
          <t>Miss Glam Damar</t>
        </is>
      </c>
      <c r="E1190" t="n">
        <v>0</v>
      </c>
      <c r="F1190" t="n">
        <v>0.08</v>
      </c>
      <c r="G1190" t="n">
        <v>2</v>
      </c>
      <c r="H1190" t="n">
        <v>4</v>
      </c>
      <c r="I1190" t="n">
        <v>21</v>
      </c>
      <c r="J1190" t="n">
        <v>3</v>
      </c>
      <c r="K1190" t="n">
        <v>9</v>
      </c>
      <c r="L1190" t="n">
        <v>295200</v>
      </c>
      <c r="M1190" t="n">
        <v>322000</v>
      </c>
      <c r="N1190" t="n">
        <v>91</v>
      </c>
      <c r="O1190" t="n">
        <v>0.91</v>
      </c>
      <c r="P1190" t="n">
        <v>0</v>
      </c>
      <c r="Q1190" t="n">
        <v>0.08</v>
      </c>
      <c r="R1190" t="n">
        <v>2</v>
      </c>
      <c r="S1190" t="n">
        <v>25760</v>
      </c>
      <c r="T1190" t="n">
        <v>42</v>
      </c>
      <c r="U1190" t="n">
        <v>43</v>
      </c>
      <c r="V1190" t="n">
        <v>30</v>
      </c>
      <c r="W1190" t="n">
        <v>3</v>
      </c>
      <c r="X1190" t="n">
        <v>0</v>
      </c>
      <c r="Y1190" t="n">
        <v>1</v>
      </c>
      <c r="Z1190" t="n">
        <v>0</v>
      </c>
      <c r="AA1190" t="n">
        <v>1</v>
      </c>
      <c r="AB1190" t="n">
        <v>0</v>
      </c>
      <c r="AC1190" t="n">
        <v>0</v>
      </c>
      <c r="AD1190" t="n">
        <v>295200</v>
      </c>
      <c r="AE1190" t="n">
        <v>0</v>
      </c>
      <c r="AF1190" t="n">
        <v>4600</v>
      </c>
      <c r="AG1190" t="n">
        <v>1</v>
      </c>
      <c r="AH1190" t="inlineStr">
        <is>
          <t>PT. BERSAMA DISTRIVERSA INDONESIA (DC CIPUTAT)</t>
        </is>
      </c>
      <c r="AI1190" t="n">
        <v>1474</v>
      </c>
      <c r="AJ1190" t="inlineStr">
        <is>
          <t>EILEEN GRACE</t>
        </is>
      </c>
      <c r="AK1190" t="n">
        <v>21</v>
      </c>
      <c r="AL1190" t="inlineStr">
        <is>
          <t>Miss Glam Damar</t>
        </is>
      </c>
      <c r="AM1190" t="n">
        <v>2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ELFORMULA</t>
        </is>
      </c>
      <c r="B1191" s="2">
        <f>"725765154262"</f>
        <v/>
      </c>
      <c r="C1191" t="inlineStr">
        <is>
          <t>ELFORMULA Cerahydro Barrier Moisture Gel 50ml</t>
        </is>
      </c>
      <c r="D1191" t="inlineStr">
        <is>
          <t>Miss Glam Damar</t>
        </is>
      </c>
      <c r="E1191" t="n">
        <v>8</v>
      </c>
      <c r="F1191" t="n">
        <v>0.8827</v>
      </c>
      <c r="G1191" t="n">
        <v>3.64</v>
      </c>
      <c r="H1191" t="n">
        <v>3</v>
      </c>
      <c r="I1191" t="n">
        <v>11</v>
      </c>
      <c r="J1191" t="n">
        <v>3</v>
      </c>
      <c r="K1191" t="n">
        <v>0</v>
      </c>
      <c r="L1191" t="n">
        <v>108800</v>
      </c>
      <c r="M1191" t="n">
        <v>128000</v>
      </c>
      <c r="N1191" t="n">
        <v>91</v>
      </c>
      <c r="O1191" t="n">
        <v>0.91</v>
      </c>
      <c r="P1191" t="n">
        <v>1</v>
      </c>
      <c r="Q1191" t="n">
        <v>0.9</v>
      </c>
      <c r="R1191" t="n">
        <v>4</v>
      </c>
      <c r="S1191" t="n">
        <v>112985.6</v>
      </c>
      <c r="T1191" t="n">
        <v>38</v>
      </c>
      <c r="U1191" t="n">
        <v>41</v>
      </c>
      <c r="V1191" t="n">
        <v>30</v>
      </c>
      <c r="W1191" t="n">
        <v>27</v>
      </c>
      <c r="X1191" t="n">
        <v>9.063101846607001</v>
      </c>
      <c r="Y1191" t="n">
        <v>1</v>
      </c>
      <c r="Z1191" t="n">
        <v>19</v>
      </c>
      <c r="AA1191" t="n">
        <v>2</v>
      </c>
      <c r="AB1191" t="n">
        <v>17</v>
      </c>
      <c r="AC1191" t="n">
        <v>17</v>
      </c>
      <c r="AD1191" t="n">
        <v>217600</v>
      </c>
      <c r="AE1191" t="n">
        <v>1849600</v>
      </c>
      <c r="AF1191" t="n">
        <v>9999</v>
      </c>
      <c r="AG1191" t="n">
        <v>78</v>
      </c>
      <c r="AH1191" t="inlineStr">
        <is>
          <t>PT. GLORIENTA P.H - PPN (PDG)</t>
        </is>
      </c>
      <c r="AI1191" t="n">
        <v>1165</v>
      </c>
      <c r="AJ1191" t="inlineStr">
        <is>
          <t>ELFORMULA</t>
        </is>
      </c>
      <c r="AK1191" t="n">
        <v>21</v>
      </c>
      <c r="AL1191" t="inlineStr">
        <is>
          <t>Miss Glam Damar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ELFORMULA</t>
        </is>
      </c>
      <c r="B1192" s="2">
        <f>"725765154255"</f>
        <v/>
      </c>
      <c r="C1192" t="inlineStr">
        <is>
          <t>ELFORMULA CeraHydro Barrier Sunscreen SPF 50+++ 50ml</t>
        </is>
      </c>
      <c r="D1192" t="inlineStr">
        <is>
          <t>Miss Glam Damar</t>
        </is>
      </c>
      <c r="E1192" t="n">
        <v>14</v>
      </c>
      <c r="F1192" t="n">
        <v>0.1092</v>
      </c>
      <c r="G1192" t="n">
        <v>1.82</v>
      </c>
      <c r="H1192" t="n">
        <v>3</v>
      </c>
      <c r="I1192" t="n">
        <v>11</v>
      </c>
      <c r="J1192" t="n">
        <v>3</v>
      </c>
      <c r="K1192" t="n">
        <v>0</v>
      </c>
      <c r="L1192" t="n">
        <v>91800</v>
      </c>
      <c r="M1192" t="n">
        <v>108000</v>
      </c>
      <c r="N1192" t="n">
        <v>91</v>
      </c>
      <c r="O1192" t="n">
        <v>0.91</v>
      </c>
      <c r="P1192" t="n">
        <v>1</v>
      </c>
      <c r="Q1192" t="n">
        <v>0.03</v>
      </c>
      <c r="R1192" t="n">
        <v>1</v>
      </c>
      <c r="S1192" t="n">
        <v>11793.6</v>
      </c>
      <c r="T1192" t="n">
        <v>20</v>
      </c>
      <c r="U1192" t="n">
        <v>21</v>
      </c>
      <c r="V1192" t="n">
        <v>30</v>
      </c>
      <c r="W1192" t="n">
        <v>4</v>
      </c>
      <c r="X1192" t="n">
        <v>128.2051282051282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9999</v>
      </c>
      <c r="AG1192" t="n">
        <v>78</v>
      </c>
      <c r="AH1192" t="inlineStr">
        <is>
          <t>PT. GLORIENTA P.H - PPN (PDG)</t>
        </is>
      </c>
      <c r="AI1192" t="n">
        <v>1165</v>
      </c>
      <c r="AJ1192" t="inlineStr">
        <is>
          <t>ELFORMULA</t>
        </is>
      </c>
      <c r="AK1192" t="n">
        <v>21</v>
      </c>
      <c r="AL1192" t="inlineStr">
        <is>
          <t>Miss Glam Damar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ELFORMULA</t>
        </is>
      </c>
      <c r="B1193" s="2">
        <f>"764460290684"</f>
        <v/>
      </c>
      <c r="C1193" t="inlineStr">
        <is>
          <t>ELFORMULA Daily Gentle Low pH Facial Cleanser 100gr</t>
        </is>
      </c>
      <c r="D1193" t="inlineStr">
        <is>
          <t>Miss Glam Damar</t>
        </is>
      </c>
      <c r="E1193" t="n">
        <v>3</v>
      </c>
      <c r="F1193" t="n">
        <v>0.06370000000000001</v>
      </c>
      <c r="G1193" t="n">
        <v>1.82</v>
      </c>
      <c r="H1193" t="n">
        <v>3</v>
      </c>
      <c r="I1193" t="n">
        <v>11</v>
      </c>
      <c r="J1193" t="n">
        <v>3</v>
      </c>
      <c r="K1193" t="n">
        <v>0</v>
      </c>
      <c r="L1193" t="n">
        <v>78200</v>
      </c>
      <c r="M1193" t="n">
        <v>145000</v>
      </c>
      <c r="N1193" t="n">
        <v>91</v>
      </c>
      <c r="O1193" t="n">
        <v>0.91</v>
      </c>
      <c r="P1193" t="n">
        <v>1</v>
      </c>
      <c r="Q1193" t="n">
        <v>0.05</v>
      </c>
      <c r="R1193" t="n">
        <v>2</v>
      </c>
      <c r="S1193" t="n">
        <v>9236.500000000002</v>
      </c>
      <c r="T1193" t="n">
        <v>20</v>
      </c>
      <c r="U1193" t="n">
        <v>21</v>
      </c>
      <c r="V1193" t="n">
        <v>30</v>
      </c>
      <c r="W1193" t="n">
        <v>2</v>
      </c>
      <c r="X1193" t="n">
        <v>47.09576138147566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9999</v>
      </c>
      <c r="AG1193" t="n">
        <v>78</v>
      </c>
      <c r="AH1193" t="inlineStr">
        <is>
          <t>PT. GLORIENTA P.H - PPN (PDG)</t>
        </is>
      </c>
      <c r="AI1193" t="n">
        <v>1165</v>
      </c>
      <c r="AJ1193" t="inlineStr">
        <is>
          <t>ELFORMULA</t>
        </is>
      </c>
      <c r="AK1193" t="n">
        <v>21</v>
      </c>
      <c r="AL1193" t="inlineStr">
        <is>
          <t>Miss Glam Damar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ELFORMULA</t>
        </is>
      </c>
      <c r="B1194" s="2">
        <f>"764460145090"</f>
        <v/>
      </c>
      <c r="C1194" t="inlineStr">
        <is>
          <t>ELFORMULA Intensive Peeling Solution 35gr</t>
        </is>
      </c>
      <c r="D1194" t="inlineStr">
        <is>
          <t>Miss Glam Damar</t>
        </is>
      </c>
      <c r="E1194" t="n">
        <v>27</v>
      </c>
      <c r="F1194" t="n">
        <v>1.2467</v>
      </c>
      <c r="G1194" t="n">
        <v>5.46</v>
      </c>
      <c r="H1194" t="n">
        <v>3</v>
      </c>
      <c r="I1194" t="n">
        <v>11</v>
      </c>
      <c r="J1194" t="n">
        <v>6</v>
      </c>
      <c r="K1194" t="n">
        <v>0</v>
      </c>
      <c r="L1194" t="n">
        <v>108800</v>
      </c>
      <c r="M1194" t="n">
        <v>135000</v>
      </c>
      <c r="N1194" t="n">
        <v>91</v>
      </c>
      <c r="O1194" t="n">
        <v>0.91</v>
      </c>
      <c r="P1194" t="n">
        <v>1</v>
      </c>
      <c r="Q1194" t="n">
        <v>0.83</v>
      </c>
      <c r="R1194" t="n">
        <v>4</v>
      </c>
      <c r="S1194" t="n">
        <v>168304.5</v>
      </c>
      <c r="T1194" t="n">
        <v>57</v>
      </c>
      <c r="U1194" t="n">
        <v>61</v>
      </c>
      <c r="V1194" t="n">
        <v>30</v>
      </c>
      <c r="W1194" t="n">
        <v>38</v>
      </c>
      <c r="X1194" t="n">
        <v>21.65717494184647</v>
      </c>
      <c r="Y1194" t="n">
        <v>1</v>
      </c>
      <c r="Z1194" t="n">
        <v>11</v>
      </c>
      <c r="AA1194" t="n">
        <v>0</v>
      </c>
      <c r="AB1194" t="n">
        <v>11</v>
      </c>
      <c r="AC1194" t="n">
        <v>11</v>
      </c>
      <c r="AD1194" t="n">
        <v>0</v>
      </c>
      <c r="AE1194" t="n">
        <v>1196800</v>
      </c>
      <c r="AF1194" t="n">
        <v>9999</v>
      </c>
      <c r="AG1194" t="n">
        <v>78</v>
      </c>
      <c r="AH1194" t="inlineStr">
        <is>
          <t>PT. GLORIENTA P.H - PPN (PDG)</t>
        </is>
      </c>
      <c r="AI1194" t="n">
        <v>1165</v>
      </c>
      <c r="AJ1194" t="inlineStr">
        <is>
          <t>ELFORMULA</t>
        </is>
      </c>
      <c r="AK1194" t="n">
        <v>21</v>
      </c>
      <c r="AL1194" t="inlineStr">
        <is>
          <t>Miss Glam Damar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ELLIPS</t>
        </is>
      </c>
      <c r="B1195" s="2">
        <f>"8993417200038"</f>
        <v/>
      </c>
      <c r="C1195" t="inlineStr">
        <is>
          <t>ELLIPS Hair Vitamin Nutri Color</t>
        </is>
      </c>
      <c r="D1195" t="inlineStr">
        <is>
          <t>Miss Glam Damar</t>
        </is>
      </c>
      <c r="E1195" t="n">
        <v>12</v>
      </c>
      <c r="F1195" t="n">
        <v>1.3377</v>
      </c>
      <c r="G1195" t="n">
        <v>12.74</v>
      </c>
      <c r="H1195" t="n">
        <v>3</v>
      </c>
      <c r="I1195" t="n">
        <v>30</v>
      </c>
      <c r="J1195" t="n">
        <v>12</v>
      </c>
      <c r="K1195" t="n">
        <v>0</v>
      </c>
      <c r="L1195" t="n">
        <v>12650</v>
      </c>
      <c r="M1195" t="n">
        <v>15000</v>
      </c>
      <c r="N1195" t="n">
        <v>91</v>
      </c>
      <c r="O1195" t="n">
        <v>0.91</v>
      </c>
      <c r="P1195" t="n">
        <v>1</v>
      </c>
      <c r="Q1195" t="n">
        <v>0.92</v>
      </c>
      <c r="R1195" t="n">
        <v>6</v>
      </c>
      <c r="S1195" t="n">
        <v>20065.5</v>
      </c>
      <c r="T1195" t="n">
        <v>379</v>
      </c>
      <c r="U1195" t="n">
        <v>384</v>
      </c>
      <c r="V1195" t="n">
        <v>30</v>
      </c>
      <c r="W1195" t="n">
        <v>41</v>
      </c>
      <c r="X1195" t="n">
        <v>8.970621215519174</v>
      </c>
      <c r="Y1195" t="n">
        <v>1</v>
      </c>
      <c r="Z1195" t="n">
        <v>29</v>
      </c>
      <c r="AA1195" t="n">
        <v>29</v>
      </c>
      <c r="AB1195" t="n">
        <v>0</v>
      </c>
      <c r="AC1195" t="n">
        <v>0</v>
      </c>
      <c r="AD1195" t="n">
        <v>366850</v>
      </c>
      <c r="AE1195" t="n">
        <v>0</v>
      </c>
      <c r="AF1195" t="n">
        <v>13374</v>
      </c>
      <c r="AG1195" t="n">
        <v>64</v>
      </c>
      <c r="AH1195" t="inlineStr">
        <is>
          <t>PT. YUSUF KOSASIH - PPN  (PDG)</t>
        </is>
      </c>
      <c r="AI1195" t="n">
        <v>64</v>
      </c>
      <c r="AJ1195" t="inlineStr">
        <is>
          <t>ELLIPS</t>
        </is>
      </c>
      <c r="AK1195" t="n">
        <v>21</v>
      </c>
      <c r="AL1195" t="inlineStr">
        <is>
          <t>Miss Glam Damar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ELLIPS</t>
        </is>
      </c>
      <c r="B1196" s="2">
        <f>"8993417200069"</f>
        <v/>
      </c>
      <c r="C1196" t="inlineStr">
        <is>
          <t>ELLIPS Hair Vitamin Repair</t>
        </is>
      </c>
      <c r="D1196" t="inlineStr">
        <is>
          <t>Miss Glam Damar</t>
        </is>
      </c>
      <c r="E1196" t="n">
        <v>46</v>
      </c>
      <c r="F1196" t="n">
        <v>2.5025</v>
      </c>
      <c r="G1196" t="n">
        <v>7.28</v>
      </c>
      <c r="H1196" t="n">
        <v>3</v>
      </c>
      <c r="I1196" t="n">
        <v>30</v>
      </c>
      <c r="J1196" t="n">
        <v>12</v>
      </c>
      <c r="K1196" t="n">
        <v>0</v>
      </c>
      <c r="L1196" t="n">
        <v>12650</v>
      </c>
      <c r="M1196" t="n">
        <v>16000</v>
      </c>
      <c r="N1196" t="n">
        <v>91</v>
      </c>
      <c r="O1196" t="n">
        <v>0.91</v>
      </c>
      <c r="P1196" t="n">
        <v>1</v>
      </c>
      <c r="Q1196" t="n">
        <v>1.58</v>
      </c>
      <c r="R1196" t="n">
        <v>4</v>
      </c>
      <c r="S1196" t="n">
        <v>40040</v>
      </c>
      <c r="T1196" t="n">
        <v>211</v>
      </c>
      <c r="U1196" t="n">
        <v>219</v>
      </c>
      <c r="V1196" t="n">
        <v>30</v>
      </c>
      <c r="W1196" t="n">
        <v>76</v>
      </c>
      <c r="X1196" t="n">
        <v>18.38161838161838</v>
      </c>
      <c r="Y1196" t="n">
        <v>1</v>
      </c>
      <c r="Z1196" t="n">
        <v>30</v>
      </c>
      <c r="AA1196" t="n">
        <v>30</v>
      </c>
      <c r="AB1196" t="n">
        <v>0</v>
      </c>
      <c r="AC1196" t="n">
        <v>0</v>
      </c>
      <c r="AD1196" t="n">
        <v>379500</v>
      </c>
      <c r="AE1196" t="n">
        <v>0</v>
      </c>
      <c r="AF1196" t="n">
        <v>13374</v>
      </c>
      <c r="AG1196" t="n">
        <v>64</v>
      </c>
      <c r="AH1196" t="inlineStr">
        <is>
          <t>PT. YUSUF KOSASIH - PPN  (PDG)</t>
        </is>
      </c>
      <c r="AI1196" t="n">
        <v>64</v>
      </c>
      <c r="AJ1196" t="inlineStr">
        <is>
          <t>ELLIPS</t>
        </is>
      </c>
      <c r="AK1196" t="n">
        <v>21</v>
      </c>
      <c r="AL1196" t="inlineStr">
        <is>
          <t>Miss Glam Damar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ELLIPS</t>
        </is>
      </c>
      <c r="B1197" s="2">
        <f>"8993417200045"</f>
        <v/>
      </c>
      <c r="C1197" t="inlineStr">
        <is>
          <t>ELLIPS Hair Vitamin Shiny Black</t>
        </is>
      </c>
      <c r="D1197" t="inlineStr">
        <is>
          <t>Miss Glam Damar</t>
        </is>
      </c>
      <c r="E1197" t="n">
        <v>16</v>
      </c>
      <c r="F1197" t="n">
        <v>1.3377</v>
      </c>
      <c r="G1197" t="n">
        <v>8.19</v>
      </c>
      <c r="H1197" t="n">
        <v>3</v>
      </c>
      <c r="I1197" t="n">
        <v>30</v>
      </c>
      <c r="J1197" t="n">
        <v>12</v>
      </c>
      <c r="K1197" t="n">
        <v>0</v>
      </c>
      <c r="L1197" t="n">
        <v>12650</v>
      </c>
      <c r="M1197" t="n">
        <v>15000</v>
      </c>
      <c r="N1197" t="n">
        <v>91</v>
      </c>
      <c r="O1197" t="n">
        <v>0.91</v>
      </c>
      <c r="P1197" t="n">
        <v>1</v>
      </c>
      <c r="Q1197" t="n">
        <v>0.61</v>
      </c>
      <c r="R1197" t="n">
        <v>4</v>
      </c>
      <c r="S1197" t="n">
        <v>20065.5</v>
      </c>
      <c r="T1197" t="n">
        <v>242</v>
      </c>
      <c r="U1197" t="n">
        <v>247</v>
      </c>
      <c r="V1197" t="n">
        <v>30</v>
      </c>
      <c r="W1197" t="n">
        <v>41</v>
      </c>
      <c r="X1197" t="n">
        <v>11.9608282873589</v>
      </c>
      <c r="Y1197" t="n">
        <v>1</v>
      </c>
      <c r="Z1197" t="n">
        <v>25</v>
      </c>
      <c r="AA1197" t="n">
        <v>25</v>
      </c>
      <c r="AB1197" t="n">
        <v>0</v>
      </c>
      <c r="AC1197" t="n">
        <v>0</v>
      </c>
      <c r="AD1197" t="n">
        <v>316250</v>
      </c>
      <c r="AE1197" t="n">
        <v>0</v>
      </c>
      <c r="AF1197" t="n">
        <v>13374</v>
      </c>
      <c r="AG1197" t="n">
        <v>64</v>
      </c>
      <c r="AH1197" t="inlineStr">
        <is>
          <t>PT. YUSUF KOSASIH - PPN  (PDG)</t>
        </is>
      </c>
      <c r="AI1197" t="n">
        <v>64</v>
      </c>
      <c r="AJ1197" t="inlineStr">
        <is>
          <t>ELLIPS</t>
        </is>
      </c>
      <c r="AK1197" t="n">
        <v>21</v>
      </c>
      <c r="AL1197" t="inlineStr">
        <is>
          <t>Miss Glam Damar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ELLIPS</t>
        </is>
      </c>
      <c r="B1198" s="2">
        <f>"8993417200083"</f>
        <v/>
      </c>
      <c r="C1198" t="inlineStr">
        <is>
          <t>ELLIPS Hair Vitamin Silky Black</t>
        </is>
      </c>
      <c r="D1198" t="inlineStr">
        <is>
          <t>Miss Glam Damar</t>
        </is>
      </c>
      <c r="E1198" t="n">
        <v>16</v>
      </c>
      <c r="F1198" t="n">
        <v>0.5369</v>
      </c>
      <c r="G1198" t="n">
        <v>2.73</v>
      </c>
      <c r="H1198" t="n">
        <v>3</v>
      </c>
      <c r="I1198" t="n">
        <v>30</v>
      </c>
      <c r="J1198" t="n">
        <v>12</v>
      </c>
      <c r="K1198" t="n">
        <v>0</v>
      </c>
      <c r="L1198" t="n">
        <v>12650</v>
      </c>
      <c r="M1198" t="n">
        <v>15500</v>
      </c>
      <c r="N1198" t="n">
        <v>91</v>
      </c>
      <c r="O1198" t="n">
        <v>0.91</v>
      </c>
      <c r="P1198" t="n">
        <v>1</v>
      </c>
      <c r="Q1198" t="n">
        <v>0.47</v>
      </c>
      <c r="R1198" t="n">
        <v>4</v>
      </c>
      <c r="S1198" t="n">
        <v>8321.950000000001</v>
      </c>
      <c r="T1198" t="n">
        <v>81</v>
      </c>
      <c r="U1198" t="n">
        <v>83</v>
      </c>
      <c r="V1198" t="n">
        <v>30</v>
      </c>
      <c r="W1198" t="n">
        <v>17</v>
      </c>
      <c r="X1198" t="n">
        <v>29.80070776680946</v>
      </c>
      <c r="Y1198" t="n">
        <v>1</v>
      </c>
      <c r="Z1198" t="n">
        <v>1</v>
      </c>
      <c r="AA1198" t="n">
        <v>1</v>
      </c>
      <c r="AB1198" t="n">
        <v>0</v>
      </c>
      <c r="AC1198" t="n">
        <v>0</v>
      </c>
      <c r="AD1198" t="n">
        <v>12650</v>
      </c>
      <c r="AE1198" t="n">
        <v>0</v>
      </c>
      <c r="AF1198" t="n">
        <v>13374</v>
      </c>
      <c r="AG1198" t="n">
        <v>64</v>
      </c>
      <c r="AH1198" t="inlineStr">
        <is>
          <t>PT. YUSUF KOSASIH - PPN  (PDG)</t>
        </is>
      </c>
      <c r="AI1198" t="n">
        <v>64</v>
      </c>
      <c r="AJ1198" t="inlineStr">
        <is>
          <t>ELLIPS</t>
        </is>
      </c>
      <c r="AK1198" t="n">
        <v>21</v>
      </c>
      <c r="AL1198" t="inlineStr">
        <is>
          <t>Miss Glam Damar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ELLIPS</t>
        </is>
      </c>
      <c r="B1199" s="2">
        <f>"8993417200014"</f>
        <v/>
      </c>
      <c r="C1199" t="inlineStr">
        <is>
          <t>ELLIPS Hair Vitamin Smooth</t>
        </is>
      </c>
      <c r="D1199" t="inlineStr">
        <is>
          <t>Miss Glam Damar</t>
        </is>
      </c>
      <c r="E1199" t="n">
        <v>43</v>
      </c>
      <c r="F1199" t="n">
        <v>1.1284</v>
      </c>
      <c r="G1199" t="n">
        <v>4.55</v>
      </c>
      <c r="H1199" t="n">
        <v>3</v>
      </c>
      <c r="I1199" t="n">
        <v>30</v>
      </c>
      <c r="J1199" t="n">
        <v>12</v>
      </c>
      <c r="K1199" t="n">
        <v>0</v>
      </c>
      <c r="L1199" t="n">
        <v>12650</v>
      </c>
      <c r="M1199" t="n">
        <v>16000</v>
      </c>
      <c r="N1199" t="n">
        <v>91</v>
      </c>
      <c r="O1199" t="n">
        <v>0.91</v>
      </c>
      <c r="P1199" t="n">
        <v>1</v>
      </c>
      <c r="Q1199" t="n">
        <v>1.31</v>
      </c>
      <c r="R1199" t="n">
        <v>14</v>
      </c>
      <c r="S1199" t="n">
        <v>18054.4</v>
      </c>
      <c r="T1199" t="n">
        <v>134</v>
      </c>
      <c r="U1199" t="n">
        <v>138</v>
      </c>
      <c r="V1199" t="n">
        <v>30</v>
      </c>
      <c r="W1199" t="n">
        <v>34</v>
      </c>
      <c r="X1199" t="n">
        <v>38.10705423608649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13374</v>
      </c>
      <c r="AG1199" t="n">
        <v>64</v>
      </c>
      <c r="AH1199" t="inlineStr">
        <is>
          <t>PT. YUSUF KOSASIH - PPN  (PDG)</t>
        </is>
      </c>
      <c r="AI1199" t="n">
        <v>64</v>
      </c>
      <c r="AJ1199" t="inlineStr">
        <is>
          <t>ELLIPS</t>
        </is>
      </c>
      <c r="AK1199" t="n">
        <v>21</v>
      </c>
      <c r="AL1199" t="inlineStr">
        <is>
          <t>Miss Glam Damar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ELLIPS</t>
        </is>
      </c>
      <c r="B1200" s="2">
        <f>"8993417200076"</f>
        <v/>
      </c>
      <c r="C1200" t="inlineStr">
        <is>
          <t>ELLIPS Hair Vitamin Smooth &amp; Silky With Pro Keratin Complex</t>
        </is>
      </c>
      <c r="D1200" t="inlineStr">
        <is>
          <t>Miss Glam Damar</t>
        </is>
      </c>
      <c r="E1200" t="n">
        <v>6</v>
      </c>
      <c r="F1200" t="n">
        <v>0.6916</v>
      </c>
      <c r="G1200" t="n">
        <v>3.64</v>
      </c>
      <c r="H1200" t="n">
        <v>3</v>
      </c>
      <c r="I1200" t="n">
        <v>30</v>
      </c>
      <c r="J1200" t="n">
        <v>12</v>
      </c>
      <c r="K1200" t="n">
        <v>0</v>
      </c>
      <c r="L1200" t="n">
        <v>12650</v>
      </c>
      <c r="M1200" t="n">
        <v>15000</v>
      </c>
      <c r="N1200" t="n">
        <v>91</v>
      </c>
      <c r="O1200" t="n">
        <v>0.91</v>
      </c>
      <c r="P1200" t="n">
        <v>1</v>
      </c>
      <c r="Q1200" t="n">
        <v>0.98</v>
      </c>
      <c r="R1200" t="n">
        <v>4</v>
      </c>
      <c r="S1200" t="n">
        <v>10374</v>
      </c>
      <c r="T1200" t="n">
        <v>108</v>
      </c>
      <c r="U1200" t="n">
        <v>111</v>
      </c>
      <c r="V1200" t="n">
        <v>30</v>
      </c>
      <c r="W1200" t="n">
        <v>21</v>
      </c>
      <c r="X1200" t="n">
        <v>8.675534991324465</v>
      </c>
      <c r="Y1200" t="n">
        <v>1</v>
      </c>
      <c r="Z1200" t="n">
        <v>15</v>
      </c>
      <c r="AA1200" t="n">
        <v>15</v>
      </c>
      <c r="AB1200" t="n">
        <v>0</v>
      </c>
      <c r="AC1200" t="n">
        <v>0</v>
      </c>
      <c r="AD1200" t="n">
        <v>189750</v>
      </c>
      <c r="AE1200" t="n">
        <v>0</v>
      </c>
      <c r="AF1200" t="n">
        <v>13374</v>
      </c>
      <c r="AG1200" t="n">
        <v>64</v>
      </c>
      <c r="AH1200" t="inlineStr">
        <is>
          <t>PT. YUSUF KOSASIH - PPN  (PDG)</t>
        </is>
      </c>
      <c r="AI1200" t="n">
        <v>64</v>
      </c>
      <c r="AJ1200" t="inlineStr">
        <is>
          <t>ELLIPS</t>
        </is>
      </c>
      <c r="AK1200" t="n">
        <v>21</v>
      </c>
      <c r="AL1200" t="inlineStr">
        <is>
          <t>Miss Glam Damar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ELLIPS</t>
        </is>
      </c>
      <c r="B1201" s="2">
        <f>"8993417200021"</f>
        <v/>
      </c>
      <c r="C1201" t="inlineStr">
        <is>
          <t>ELLIPS Hair Vitamin Treatment Jojoba</t>
        </is>
      </c>
      <c r="D1201" t="inlineStr">
        <is>
          <t>Miss Glam Damar</t>
        </is>
      </c>
      <c r="E1201" t="n">
        <v>11</v>
      </c>
      <c r="F1201" t="n">
        <v>1.092</v>
      </c>
      <c r="G1201" t="n">
        <v>3.64</v>
      </c>
      <c r="H1201" t="n">
        <v>3</v>
      </c>
      <c r="I1201" t="n">
        <v>30</v>
      </c>
      <c r="J1201" t="n">
        <v>12</v>
      </c>
      <c r="K1201" t="n">
        <v>0</v>
      </c>
      <c r="L1201" t="n">
        <v>12650</v>
      </c>
      <c r="M1201" t="n">
        <v>15000</v>
      </c>
      <c r="N1201" t="n">
        <v>91</v>
      </c>
      <c r="O1201" t="n">
        <v>0.91</v>
      </c>
      <c r="P1201" t="n">
        <v>1</v>
      </c>
      <c r="Q1201" t="n">
        <v>1.53</v>
      </c>
      <c r="R1201" t="n">
        <v>10</v>
      </c>
      <c r="S1201" t="n">
        <v>16380</v>
      </c>
      <c r="T1201" t="n">
        <v>106</v>
      </c>
      <c r="U1201" t="n">
        <v>110</v>
      </c>
      <c r="V1201" t="n">
        <v>30</v>
      </c>
      <c r="W1201" t="n">
        <v>33</v>
      </c>
      <c r="X1201" t="n">
        <v>10.07326007326007</v>
      </c>
      <c r="Y1201" t="n">
        <v>1</v>
      </c>
      <c r="Z1201" t="n">
        <v>22</v>
      </c>
      <c r="AA1201" t="n">
        <v>22</v>
      </c>
      <c r="AB1201" t="n">
        <v>0</v>
      </c>
      <c r="AC1201" t="n">
        <v>0</v>
      </c>
      <c r="AD1201" t="n">
        <v>278300</v>
      </c>
      <c r="AE1201" t="n">
        <v>0</v>
      </c>
      <c r="AF1201" t="n">
        <v>13374</v>
      </c>
      <c r="AG1201" t="n">
        <v>64</v>
      </c>
      <c r="AH1201" t="inlineStr">
        <is>
          <t>PT. YUSUF KOSASIH - PPN  (PDG)</t>
        </is>
      </c>
      <c r="AI1201" t="n">
        <v>64</v>
      </c>
      <c r="AJ1201" t="inlineStr">
        <is>
          <t>ELLIPS</t>
        </is>
      </c>
      <c r="AK1201" t="n">
        <v>21</v>
      </c>
      <c r="AL1201" t="inlineStr">
        <is>
          <t>Miss Glam Damar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ELLIPS</t>
        </is>
      </c>
      <c r="B1202" s="2">
        <f>"8993417200052"</f>
        <v/>
      </c>
      <c r="C1202" t="inlineStr">
        <is>
          <t>ELLIPS Hair Vitamin Vitality With Ginseng &amp; Honey Oil 6x1ml</t>
        </is>
      </c>
      <c r="D1202" t="inlineStr">
        <is>
          <t>Miss Glam Damar</t>
        </is>
      </c>
      <c r="E1202" t="n">
        <v>9</v>
      </c>
      <c r="F1202" t="n">
        <v>1.5925</v>
      </c>
      <c r="G1202" t="n">
        <v>5.46</v>
      </c>
      <c r="H1202" t="n">
        <v>3</v>
      </c>
      <c r="I1202" t="n">
        <v>30</v>
      </c>
      <c r="J1202" t="n">
        <v>12</v>
      </c>
      <c r="K1202" t="n">
        <v>0</v>
      </c>
      <c r="L1202" t="n">
        <v>12650</v>
      </c>
      <c r="M1202" t="n">
        <v>15000</v>
      </c>
      <c r="N1202" t="n">
        <v>91</v>
      </c>
      <c r="O1202" t="n">
        <v>0.91</v>
      </c>
      <c r="P1202" t="n">
        <v>1</v>
      </c>
      <c r="Q1202" t="n">
        <v>0.97</v>
      </c>
      <c r="R1202" t="n">
        <v>4</v>
      </c>
      <c r="S1202" t="n">
        <v>23887.5</v>
      </c>
      <c r="T1202" t="n">
        <v>160</v>
      </c>
      <c r="U1202" t="n">
        <v>165</v>
      </c>
      <c r="V1202" t="n">
        <v>30</v>
      </c>
      <c r="W1202" t="n">
        <v>48</v>
      </c>
      <c r="X1202" t="n">
        <v>5.65149136577708</v>
      </c>
      <c r="Y1202" t="n">
        <v>1</v>
      </c>
      <c r="Z1202" t="n">
        <v>39</v>
      </c>
      <c r="AA1202" t="n">
        <v>39</v>
      </c>
      <c r="AB1202" t="n">
        <v>0</v>
      </c>
      <c r="AC1202" t="n">
        <v>0</v>
      </c>
      <c r="AD1202" t="n">
        <v>493350</v>
      </c>
      <c r="AE1202" t="n">
        <v>0</v>
      </c>
      <c r="AF1202" t="n">
        <v>13374</v>
      </c>
      <c r="AG1202" t="n">
        <v>64</v>
      </c>
      <c r="AH1202" t="inlineStr">
        <is>
          <t>PT. YUSUF KOSASIH - PPN  (PDG)</t>
        </is>
      </c>
      <c r="AI1202" t="n">
        <v>64</v>
      </c>
      <c r="AJ1202" t="inlineStr">
        <is>
          <t>ELLIPS</t>
        </is>
      </c>
      <c r="AK1202" t="n">
        <v>21</v>
      </c>
      <c r="AL1202" t="inlineStr">
        <is>
          <t>Miss Glam Damar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ELLIPS</t>
        </is>
      </c>
      <c r="B1203" s="2">
        <f>"8993417307225"</f>
        <v/>
      </c>
      <c r="C1203" t="inlineStr">
        <is>
          <t>ELLIPS Vitamin Hair Mist Fragrance Booster Fresh &amp; Smooth 100ml</t>
        </is>
      </c>
      <c r="D1203" t="inlineStr">
        <is>
          <t>Miss Glam Damar</t>
        </is>
      </c>
      <c r="E1203" t="n">
        <v>10</v>
      </c>
      <c r="F1203" t="n">
        <v>0.7553</v>
      </c>
      <c r="G1203" t="n">
        <v>3.64</v>
      </c>
      <c r="H1203" t="n">
        <v>3</v>
      </c>
      <c r="I1203" t="n">
        <v>30</v>
      </c>
      <c r="J1203" t="n">
        <v>3</v>
      </c>
      <c r="K1203" t="n">
        <v>0</v>
      </c>
      <c r="L1203" t="n">
        <v>23800</v>
      </c>
      <c r="M1203" t="n">
        <v>28000</v>
      </c>
      <c r="N1203" t="n">
        <v>91</v>
      </c>
      <c r="O1203" t="n">
        <v>0.91</v>
      </c>
      <c r="P1203" t="n">
        <v>1</v>
      </c>
      <c r="Q1203" t="n">
        <v>0.47</v>
      </c>
      <c r="R1203" t="n">
        <v>3</v>
      </c>
      <c r="S1203" t="n">
        <v>21148.4</v>
      </c>
      <c r="T1203" t="n">
        <v>107</v>
      </c>
      <c r="U1203" t="n">
        <v>110</v>
      </c>
      <c r="V1203" t="n">
        <v>30</v>
      </c>
      <c r="W1203" t="n">
        <v>23</v>
      </c>
      <c r="X1203" t="n">
        <v>13.23977227591685</v>
      </c>
      <c r="Y1203" t="n">
        <v>1</v>
      </c>
      <c r="Z1203" t="n">
        <v>13</v>
      </c>
      <c r="AA1203" t="n">
        <v>13</v>
      </c>
      <c r="AB1203" t="n">
        <v>0</v>
      </c>
      <c r="AC1203" t="n">
        <v>0</v>
      </c>
      <c r="AD1203" t="n">
        <v>309400</v>
      </c>
      <c r="AE1203" t="n">
        <v>0</v>
      </c>
      <c r="AF1203" t="n">
        <v>13374</v>
      </c>
      <c r="AG1203" t="n">
        <v>64</v>
      </c>
      <c r="AH1203" t="inlineStr">
        <is>
          <t>PT. YUSUF KOSASIH - PPN  (PDG)</t>
        </is>
      </c>
      <c r="AI1203" t="n">
        <v>64</v>
      </c>
      <c r="AJ1203" t="inlineStr">
        <is>
          <t>ELLIPS</t>
        </is>
      </c>
      <c r="AK1203" t="n">
        <v>21</v>
      </c>
      <c r="AL1203" t="inlineStr">
        <is>
          <t>Miss Glam Damar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ELLIPS</t>
        </is>
      </c>
      <c r="B1204" s="2">
        <f>"8993417307218"</f>
        <v/>
      </c>
      <c r="C1204" t="inlineStr">
        <is>
          <t>ELLIPS Vitamin Hair Mist Fragrance Booster Sweet &amp; Silky 100ml</t>
        </is>
      </c>
      <c r="D1204" t="inlineStr">
        <is>
          <t>Miss Glam Damar</t>
        </is>
      </c>
      <c r="E1204" t="n">
        <v>4</v>
      </c>
      <c r="F1204" t="n">
        <v>0.9282</v>
      </c>
      <c r="G1204" t="n">
        <v>3.64</v>
      </c>
      <c r="H1204" t="n">
        <v>3</v>
      </c>
      <c r="I1204" t="n">
        <v>30</v>
      </c>
      <c r="J1204" t="n">
        <v>3</v>
      </c>
      <c r="K1204" t="n">
        <v>0</v>
      </c>
      <c r="L1204" t="n">
        <v>23800</v>
      </c>
      <c r="M1204" t="n">
        <v>28000</v>
      </c>
      <c r="N1204" t="n">
        <v>91</v>
      </c>
      <c r="O1204" t="n">
        <v>0.91</v>
      </c>
      <c r="P1204" t="n">
        <v>1</v>
      </c>
      <c r="Q1204" t="n">
        <v>0.46</v>
      </c>
      <c r="R1204" t="n">
        <v>4</v>
      </c>
      <c r="S1204" t="n">
        <v>25989.6</v>
      </c>
      <c r="T1204" t="n">
        <v>107</v>
      </c>
      <c r="U1204" t="n">
        <v>110</v>
      </c>
      <c r="V1204" t="n">
        <v>30</v>
      </c>
      <c r="W1204" t="n">
        <v>28</v>
      </c>
      <c r="X1204" t="n">
        <v>4.309416074121956</v>
      </c>
      <c r="Y1204" t="n">
        <v>1</v>
      </c>
      <c r="Z1204" t="n">
        <v>24</v>
      </c>
      <c r="AA1204" t="n">
        <v>24</v>
      </c>
      <c r="AB1204" t="n">
        <v>0</v>
      </c>
      <c r="AC1204" t="n">
        <v>0</v>
      </c>
      <c r="AD1204" t="n">
        <v>571200</v>
      </c>
      <c r="AE1204" t="n">
        <v>0</v>
      </c>
      <c r="AF1204" t="n">
        <v>13374</v>
      </c>
      <c r="AG1204" t="n">
        <v>64</v>
      </c>
      <c r="AH1204" t="inlineStr">
        <is>
          <t>PT. YUSUF KOSASIH - PPN  (PDG)</t>
        </is>
      </c>
      <c r="AI1204" t="n">
        <v>64</v>
      </c>
      <c r="AJ1204" t="inlineStr">
        <is>
          <t>ELLIPS</t>
        </is>
      </c>
      <c r="AK1204" t="n">
        <v>21</v>
      </c>
      <c r="AL1204" t="inlineStr">
        <is>
          <t>Miss Glam Damar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ELVICTO</t>
        </is>
      </c>
      <c r="B1205" s="2">
        <f>"8994451190071"</f>
        <v/>
      </c>
      <c r="C1205" t="inlineStr">
        <is>
          <t>ELVICTO 10PM Parfum Full Of Desire 35ml</t>
        </is>
      </c>
      <c r="D1205" t="inlineStr">
        <is>
          <t>Miss Glam Damar</t>
        </is>
      </c>
      <c r="E1205" t="n">
        <v>11</v>
      </c>
      <c r="F1205" t="n">
        <v>0.2275</v>
      </c>
      <c r="G1205" t="n">
        <v>1.82</v>
      </c>
      <c r="H1205" t="n">
        <v>2</v>
      </c>
      <c r="I1205" t="n">
        <v>16</v>
      </c>
      <c r="J1205" t="n">
        <v>3</v>
      </c>
      <c r="K1205" t="n">
        <v>0</v>
      </c>
      <c r="L1205" t="n">
        <v>91656</v>
      </c>
      <c r="M1205" t="n">
        <v>134000</v>
      </c>
      <c r="N1205" t="n">
        <v>91</v>
      </c>
      <c r="O1205" t="n">
        <v>0.91</v>
      </c>
      <c r="P1205" t="n">
        <v>1</v>
      </c>
      <c r="Q1205" t="n">
        <v>0.37</v>
      </c>
      <c r="R1205" t="n">
        <v>2</v>
      </c>
      <c r="S1205" t="n">
        <v>30485</v>
      </c>
      <c r="T1205" t="n">
        <v>29</v>
      </c>
      <c r="U1205" t="n">
        <v>30</v>
      </c>
      <c r="V1205" t="n">
        <v>30</v>
      </c>
      <c r="W1205" t="n">
        <v>7</v>
      </c>
      <c r="X1205" t="n">
        <v>48.35164835164835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512</v>
      </c>
      <c r="AG1205" t="n">
        <v>107</v>
      </c>
      <c r="AH1205" t="inlineStr">
        <is>
          <t xml:space="preserve">CV. DAHLIA - PPN (PDG) </t>
        </is>
      </c>
      <c r="AI1205" t="n">
        <v>1296</v>
      </c>
      <c r="AJ1205" t="inlineStr">
        <is>
          <t>ELVICTO</t>
        </is>
      </c>
      <c r="AK1205" t="n">
        <v>21</v>
      </c>
      <c r="AL1205" t="inlineStr">
        <is>
          <t>Miss Glam Damar</t>
        </is>
      </c>
      <c r="AM1205" t="n">
        <v>3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ELVICTO</t>
        </is>
      </c>
      <c r="B1206" s="2">
        <f>"8994461350014"</f>
        <v/>
      </c>
      <c r="C1206" t="inlineStr">
        <is>
          <t>ELVICTO Anti Acne Face Wash 92.27% 100ml</t>
        </is>
      </c>
      <c r="D1206" t="inlineStr">
        <is>
          <t>Miss Glam Damar</t>
        </is>
      </c>
      <c r="E1206" t="n">
        <v>10</v>
      </c>
      <c r="F1206" t="n">
        <v>0.2457</v>
      </c>
      <c r="G1206" t="n">
        <v>1.82</v>
      </c>
      <c r="H1206" t="n">
        <v>2</v>
      </c>
      <c r="I1206" t="n">
        <v>16</v>
      </c>
      <c r="J1206" t="n">
        <v>1</v>
      </c>
      <c r="K1206" t="n">
        <v>0</v>
      </c>
      <c r="L1206" t="n">
        <v>35100</v>
      </c>
      <c r="M1206" t="n">
        <v>47000</v>
      </c>
      <c r="N1206" t="n">
        <v>91</v>
      </c>
      <c r="O1206" t="n">
        <v>0.91</v>
      </c>
      <c r="P1206" t="n">
        <v>1</v>
      </c>
      <c r="Q1206" t="n">
        <v>0.08</v>
      </c>
      <c r="R1206" t="n">
        <v>1</v>
      </c>
      <c r="S1206" t="n">
        <v>11547.9</v>
      </c>
      <c r="T1206" t="n">
        <v>29</v>
      </c>
      <c r="U1206" t="n">
        <v>30</v>
      </c>
      <c r="V1206" t="n">
        <v>30</v>
      </c>
      <c r="W1206" t="n">
        <v>8</v>
      </c>
      <c r="X1206" t="n">
        <v>40.7000407000407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512</v>
      </c>
      <c r="AG1206" t="n">
        <v>107</v>
      </c>
      <c r="AH1206" t="inlineStr">
        <is>
          <t xml:space="preserve">CV. DAHLIA - PPN (PDG) </t>
        </is>
      </c>
      <c r="AI1206" t="n">
        <v>1296</v>
      </c>
      <c r="AJ1206" t="inlineStr">
        <is>
          <t>ELVICTO</t>
        </is>
      </c>
      <c r="AK1206" t="n">
        <v>21</v>
      </c>
      <c r="AL1206" t="inlineStr">
        <is>
          <t>Miss Glam Damar</t>
        </is>
      </c>
      <c r="AM1206" t="n">
        <v>3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ELVICTO</t>
        </is>
      </c>
      <c r="B1207" s="2">
        <f>"8994451190293"</f>
        <v/>
      </c>
      <c r="C1207" t="inlineStr">
        <is>
          <t>ELVICTO Beach Club Parfum 35ml</t>
        </is>
      </c>
      <c r="D1207" t="inlineStr">
        <is>
          <t>Miss Glam Damar</t>
        </is>
      </c>
      <c r="E1207" t="n">
        <v>4</v>
      </c>
      <c r="F1207" t="n">
        <v>0.06370000000000001</v>
      </c>
      <c r="G1207" t="n">
        <v>0.91</v>
      </c>
      <c r="H1207" t="n">
        <v>2</v>
      </c>
      <c r="I1207" t="n">
        <v>16</v>
      </c>
      <c r="J1207" t="n">
        <v>3</v>
      </c>
      <c r="K1207" t="n">
        <v>0</v>
      </c>
      <c r="L1207" t="n">
        <v>100575</v>
      </c>
      <c r="M1207" t="n">
        <v>134000</v>
      </c>
      <c r="N1207" t="n">
        <v>91</v>
      </c>
      <c r="O1207" t="n">
        <v>0.91</v>
      </c>
      <c r="P1207" t="n">
        <v>1</v>
      </c>
      <c r="Q1207" t="n">
        <v>0.05</v>
      </c>
      <c r="R1207" t="n">
        <v>1</v>
      </c>
      <c r="S1207" t="n">
        <v>8535.800000000001</v>
      </c>
      <c r="T1207" t="n">
        <v>15</v>
      </c>
      <c r="U1207" t="n">
        <v>16</v>
      </c>
      <c r="V1207" t="n">
        <v>30</v>
      </c>
      <c r="W1207" t="n">
        <v>2</v>
      </c>
      <c r="X1207" t="n">
        <v>62.79434850863422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512</v>
      </c>
      <c r="AG1207" t="n">
        <v>107</v>
      </c>
      <c r="AH1207" t="inlineStr">
        <is>
          <t xml:space="preserve">CV. DAHLIA - PPN (PDG) </t>
        </is>
      </c>
      <c r="AI1207" t="n">
        <v>1296</v>
      </c>
      <c r="AJ1207" t="inlineStr">
        <is>
          <t>ELVICTO</t>
        </is>
      </c>
      <c r="AK1207" t="n">
        <v>21</v>
      </c>
      <c r="AL1207" t="inlineStr">
        <is>
          <t>Miss Glam Damar</t>
        </is>
      </c>
      <c r="AM1207" t="n">
        <v>3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ELVICTO</t>
        </is>
      </c>
      <c r="B1208" s="2">
        <f>"101001115753"</f>
        <v/>
      </c>
      <c r="C1208" t="inlineStr">
        <is>
          <t>ELVICTO Bright Scrub Face Wash 100ml</t>
        </is>
      </c>
      <c r="D1208" t="inlineStr">
        <is>
          <t>Miss Glam Damar</t>
        </is>
      </c>
      <c r="E1208" t="n">
        <v>5</v>
      </c>
      <c r="F1208" t="n">
        <v>0.06370000000000001</v>
      </c>
      <c r="G1208" t="n">
        <v>0.91</v>
      </c>
      <c r="H1208" t="n">
        <v>2</v>
      </c>
      <c r="I1208" t="n">
        <v>16</v>
      </c>
      <c r="J1208" t="n">
        <v>1</v>
      </c>
      <c r="K1208" t="n">
        <v>0</v>
      </c>
      <c r="L1208" t="n">
        <v>35100</v>
      </c>
      <c r="M1208" t="n">
        <v>47000</v>
      </c>
      <c r="N1208" t="n">
        <v>91</v>
      </c>
      <c r="O1208" t="n">
        <v>0.91</v>
      </c>
      <c r="P1208" t="n">
        <v>1</v>
      </c>
      <c r="Q1208" t="n">
        <v>0.25</v>
      </c>
      <c r="R1208" t="n">
        <v>2</v>
      </c>
      <c r="S1208" t="n">
        <v>2993.9</v>
      </c>
      <c r="T1208" t="n">
        <v>15</v>
      </c>
      <c r="U1208" t="n">
        <v>16</v>
      </c>
      <c r="V1208" t="n">
        <v>30</v>
      </c>
      <c r="W1208" t="n">
        <v>2</v>
      </c>
      <c r="X1208" t="n">
        <v>78.49293563579278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512</v>
      </c>
      <c r="AG1208" t="n">
        <v>107</v>
      </c>
      <c r="AH1208" t="inlineStr">
        <is>
          <t xml:space="preserve">CV. DAHLIA - PPN (PDG) </t>
        </is>
      </c>
      <c r="AI1208" t="n">
        <v>1296</v>
      </c>
      <c r="AJ1208" t="inlineStr">
        <is>
          <t>ELVICTO</t>
        </is>
      </c>
      <c r="AK1208" t="n">
        <v>21</v>
      </c>
      <c r="AL1208" t="inlineStr">
        <is>
          <t>Miss Glam Damar</t>
        </is>
      </c>
      <c r="AM1208" t="n">
        <v>3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ELVICTO</t>
        </is>
      </c>
      <c r="B1209" s="2">
        <f>"10300601934"</f>
        <v/>
      </c>
      <c r="C1209" t="inlineStr">
        <is>
          <t>ELVICTO Bright Up Moisturizer 15gr</t>
        </is>
      </c>
      <c r="D1209" t="inlineStr">
        <is>
          <t>Miss Glam Damar</t>
        </is>
      </c>
      <c r="E1209" t="n">
        <v>6</v>
      </c>
      <c r="F1209" t="n">
        <v>0.1547</v>
      </c>
      <c r="G1209" t="n">
        <v>3.64</v>
      </c>
      <c r="H1209" t="n">
        <v>2</v>
      </c>
      <c r="I1209" t="n">
        <v>16</v>
      </c>
      <c r="J1209" t="n">
        <v>3</v>
      </c>
      <c r="K1209" t="n">
        <v>0</v>
      </c>
      <c r="L1209" t="n">
        <v>67500</v>
      </c>
      <c r="M1209" t="n">
        <v>90000</v>
      </c>
      <c r="N1209" t="n">
        <v>91</v>
      </c>
      <c r="O1209" t="n">
        <v>0.91</v>
      </c>
      <c r="P1209" t="n">
        <v>1</v>
      </c>
      <c r="Q1209" t="n">
        <v>0.15</v>
      </c>
      <c r="R1209" t="n">
        <v>1</v>
      </c>
      <c r="S1209" t="n">
        <v>13923</v>
      </c>
      <c r="T1209" t="n">
        <v>58</v>
      </c>
      <c r="U1209" t="n">
        <v>59</v>
      </c>
      <c r="V1209" t="n">
        <v>30</v>
      </c>
      <c r="W1209" t="n">
        <v>5</v>
      </c>
      <c r="X1209" t="n">
        <v>38.78474466709761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512</v>
      </c>
      <c r="AG1209" t="n">
        <v>107</v>
      </c>
      <c r="AH1209" t="inlineStr">
        <is>
          <t xml:space="preserve">CV. DAHLIA - PPN (PDG) </t>
        </is>
      </c>
      <c r="AI1209" t="n">
        <v>1296</v>
      </c>
      <c r="AJ1209" t="inlineStr">
        <is>
          <t>ELVICTO</t>
        </is>
      </c>
      <c r="AK1209" t="n">
        <v>21</v>
      </c>
      <c r="AL1209" t="inlineStr">
        <is>
          <t>Miss Glam Damar</t>
        </is>
      </c>
      <c r="AM1209" t="n">
        <v>3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ELVICTO</t>
        </is>
      </c>
      <c r="B1210" s="2">
        <f>"10200266225"</f>
        <v/>
      </c>
      <c r="C1210" t="inlineStr">
        <is>
          <t>ELVICTO Brightening Serum 30ml</t>
        </is>
      </c>
      <c r="D1210" t="inlineStr">
        <is>
          <t>Miss Glam Damar</t>
        </is>
      </c>
      <c r="E1210" t="n">
        <v>8</v>
      </c>
      <c r="F1210" t="n">
        <v>0.0273</v>
      </c>
      <c r="G1210" t="n">
        <v>0.91</v>
      </c>
      <c r="H1210" t="n">
        <v>2</v>
      </c>
      <c r="I1210" t="n">
        <v>16</v>
      </c>
      <c r="J1210" t="n">
        <v>3</v>
      </c>
      <c r="K1210" t="n">
        <v>0</v>
      </c>
      <c r="L1210" t="n">
        <v>121500</v>
      </c>
      <c r="M1210" t="n">
        <v>179000</v>
      </c>
      <c r="N1210" t="n">
        <v>91</v>
      </c>
      <c r="O1210" t="n">
        <v>0.91</v>
      </c>
      <c r="P1210" t="n">
        <v>1</v>
      </c>
      <c r="Q1210" t="n">
        <v>0.08</v>
      </c>
      <c r="R1210" t="n">
        <v>1</v>
      </c>
      <c r="S1210" t="n">
        <v>4886.7</v>
      </c>
      <c r="T1210" t="n">
        <v>15</v>
      </c>
      <c r="U1210" t="n">
        <v>16</v>
      </c>
      <c r="V1210" t="n">
        <v>30</v>
      </c>
      <c r="W1210" t="n">
        <v>1</v>
      </c>
      <c r="X1210" t="n">
        <v>293.040293040293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512</v>
      </c>
      <c r="AG1210" t="n">
        <v>107</v>
      </c>
      <c r="AH1210" t="inlineStr">
        <is>
          <t xml:space="preserve">CV. DAHLIA - PPN (PDG) </t>
        </is>
      </c>
      <c r="AI1210" t="n">
        <v>1296</v>
      </c>
      <c r="AJ1210" t="inlineStr">
        <is>
          <t>ELVICTO</t>
        </is>
      </c>
      <c r="AK1210" t="n">
        <v>21</v>
      </c>
      <c r="AL1210" t="inlineStr">
        <is>
          <t>Miss Glam Damar</t>
        </is>
      </c>
      <c r="AM1210" t="n">
        <v>3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ELVICTO</t>
        </is>
      </c>
      <c r="B1211" s="2">
        <f>"8994451190552"</f>
        <v/>
      </c>
      <c r="C1211" t="inlineStr">
        <is>
          <t>ELVICTO Deep Bright Face Wash 100ml</t>
        </is>
      </c>
      <c r="D1211" t="inlineStr">
        <is>
          <t>Miss Glam Damar</t>
        </is>
      </c>
      <c r="E1211" t="n">
        <v>11</v>
      </c>
      <c r="F1211" t="n">
        <v>0.5369</v>
      </c>
      <c r="G1211" t="n">
        <v>3.64</v>
      </c>
      <c r="H1211" t="n">
        <v>2</v>
      </c>
      <c r="I1211" t="n">
        <v>16</v>
      </c>
      <c r="J1211" t="n">
        <v>3</v>
      </c>
      <c r="K1211" t="n">
        <v>0</v>
      </c>
      <c r="L1211" t="n">
        <v>35100</v>
      </c>
      <c r="M1211" t="n">
        <v>46500</v>
      </c>
      <c r="N1211" t="n">
        <v>91</v>
      </c>
      <c r="O1211" t="n">
        <v>0.91</v>
      </c>
      <c r="P1211" t="n">
        <v>1</v>
      </c>
      <c r="Q1211" t="n">
        <v>0.39</v>
      </c>
      <c r="R1211" t="n">
        <v>3</v>
      </c>
      <c r="S1211" t="n">
        <v>24965.85</v>
      </c>
      <c r="T1211" t="n">
        <v>58</v>
      </c>
      <c r="U1211" t="n">
        <v>60</v>
      </c>
      <c r="V1211" t="n">
        <v>30</v>
      </c>
      <c r="W1211" t="n">
        <v>17</v>
      </c>
      <c r="X1211" t="n">
        <v>20.4879865896815</v>
      </c>
      <c r="Y1211" t="n">
        <v>1</v>
      </c>
      <c r="Z1211" t="n">
        <v>6</v>
      </c>
      <c r="AA1211" t="n">
        <v>0</v>
      </c>
      <c r="AB1211" t="n">
        <v>6</v>
      </c>
      <c r="AC1211" t="n">
        <v>6</v>
      </c>
      <c r="AD1211" t="n">
        <v>0</v>
      </c>
      <c r="AE1211" t="n">
        <v>210600</v>
      </c>
      <c r="AF1211" t="n">
        <v>512</v>
      </c>
      <c r="AG1211" t="n">
        <v>107</v>
      </c>
      <c r="AH1211" t="inlineStr">
        <is>
          <t xml:space="preserve">CV. DAHLIA - PPN (PDG) </t>
        </is>
      </c>
      <c r="AI1211" t="n">
        <v>1296</v>
      </c>
      <c r="AJ1211" t="inlineStr">
        <is>
          <t>ELVICTO</t>
        </is>
      </c>
      <c r="AK1211" t="n">
        <v>21</v>
      </c>
      <c r="AL1211" t="inlineStr">
        <is>
          <t>Miss Glam Damar</t>
        </is>
      </c>
      <c r="AM1211" t="n">
        <v>3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ELVICTO</t>
        </is>
      </c>
      <c r="B1212" s="2">
        <f>"8994451190088"</f>
        <v/>
      </c>
      <c r="C1212" t="inlineStr">
        <is>
          <t>ELVICTO Escobar Parfum 35ml</t>
        </is>
      </c>
      <c r="D1212" t="inlineStr">
        <is>
          <t>Miss Glam Damar</t>
        </is>
      </c>
      <c r="E1212" t="n">
        <v>6</v>
      </c>
      <c r="F1212" t="n">
        <v>0.2184</v>
      </c>
      <c r="G1212" t="n">
        <v>1.82</v>
      </c>
      <c r="H1212" t="n">
        <v>2</v>
      </c>
      <c r="I1212" t="n">
        <v>16</v>
      </c>
      <c r="J1212" t="n">
        <v>3</v>
      </c>
      <c r="K1212" t="n">
        <v>0</v>
      </c>
      <c r="L1212" t="n">
        <v>100059</v>
      </c>
      <c r="M1212" t="n">
        <v>134000</v>
      </c>
      <c r="N1212" t="n">
        <v>91</v>
      </c>
      <c r="O1212" t="n">
        <v>0.91</v>
      </c>
      <c r="P1212" t="n">
        <v>1</v>
      </c>
      <c r="Q1212" t="n">
        <v>0.14</v>
      </c>
      <c r="R1212" t="n">
        <v>1</v>
      </c>
      <c r="S1212" t="n">
        <v>29265.6</v>
      </c>
      <c r="T1212" t="n">
        <v>29</v>
      </c>
      <c r="U1212" t="n">
        <v>30</v>
      </c>
      <c r="V1212" t="n">
        <v>30</v>
      </c>
      <c r="W1212" t="n">
        <v>7</v>
      </c>
      <c r="X1212" t="n">
        <v>27.47252747252747</v>
      </c>
      <c r="Y1212" t="n">
        <v>1</v>
      </c>
      <c r="Z1212" t="n">
        <v>1</v>
      </c>
      <c r="AA1212" t="n">
        <v>0</v>
      </c>
      <c r="AB1212" t="n">
        <v>1</v>
      </c>
      <c r="AC1212" t="n">
        <v>3</v>
      </c>
      <c r="AD1212" t="n">
        <v>0</v>
      </c>
      <c r="AE1212" t="n">
        <v>300177</v>
      </c>
      <c r="AF1212" t="n">
        <v>512</v>
      </c>
      <c r="AG1212" t="n">
        <v>107</v>
      </c>
      <c r="AH1212" t="inlineStr">
        <is>
          <t xml:space="preserve">CV. DAHLIA - PPN (PDG) </t>
        </is>
      </c>
      <c r="AI1212" t="n">
        <v>1296</v>
      </c>
      <c r="AJ1212" t="inlineStr">
        <is>
          <t>ELVICTO</t>
        </is>
      </c>
      <c r="AK1212" t="n">
        <v>21</v>
      </c>
      <c r="AL1212" t="inlineStr">
        <is>
          <t>Miss Glam Damar</t>
        </is>
      </c>
      <c r="AM1212" t="n">
        <v>3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ELVICTO</t>
        </is>
      </c>
      <c r="B1213" s="2">
        <f>"11200315053"</f>
        <v/>
      </c>
      <c r="C1213" t="inlineStr">
        <is>
          <t>ELVICTO Exfoliating Serum AHA BHA PHA &amp; Niacinamide 20gr</t>
        </is>
      </c>
      <c r="D1213" t="inlineStr">
        <is>
          <t>Miss Glam Damar</t>
        </is>
      </c>
      <c r="E1213" t="n">
        <v>5</v>
      </c>
      <c r="F1213" t="n">
        <v>0.02</v>
      </c>
      <c r="G1213" t="n">
        <v>1</v>
      </c>
      <c r="H1213" t="n">
        <v>2</v>
      </c>
      <c r="I1213" t="n">
        <v>16</v>
      </c>
      <c r="J1213" t="n">
        <v>1</v>
      </c>
      <c r="K1213" t="n">
        <v>0</v>
      </c>
      <c r="L1213" t="n">
        <v>81000</v>
      </c>
      <c r="M1213" t="n">
        <v>108000</v>
      </c>
      <c r="N1213" t="n">
        <v>91</v>
      </c>
      <c r="O1213" t="n">
        <v>0.91</v>
      </c>
      <c r="P1213" t="n">
        <v>0</v>
      </c>
      <c r="Q1213" t="n">
        <v>0.02</v>
      </c>
      <c r="R1213" t="n">
        <v>1</v>
      </c>
      <c r="S1213" t="n">
        <v>2160</v>
      </c>
      <c r="T1213" t="n">
        <v>16</v>
      </c>
      <c r="U1213" t="n">
        <v>17</v>
      </c>
      <c r="V1213" t="n">
        <v>30</v>
      </c>
      <c r="W1213" t="n">
        <v>1</v>
      </c>
      <c r="X1213" t="n">
        <v>250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512</v>
      </c>
      <c r="AG1213" t="n">
        <v>107</v>
      </c>
      <c r="AH1213" t="inlineStr">
        <is>
          <t xml:space="preserve">CV. DAHLIA - PPN (PDG) </t>
        </is>
      </c>
      <c r="AI1213" t="n">
        <v>1296</v>
      </c>
      <c r="AJ1213" t="inlineStr">
        <is>
          <t>ELVICTO</t>
        </is>
      </c>
      <c r="AK1213" t="n">
        <v>21</v>
      </c>
      <c r="AL1213" t="inlineStr">
        <is>
          <t>Miss Glam Damar</t>
        </is>
      </c>
      <c r="AM1213" t="n">
        <v>3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ELVICTO</t>
        </is>
      </c>
      <c r="B1214" s="2">
        <f>"11000409646"</f>
        <v/>
      </c>
      <c r="C1214" t="inlineStr">
        <is>
          <t>ELVICTO Extrait De Parfum Golden Age 30ml</t>
        </is>
      </c>
      <c r="D1214" t="inlineStr">
        <is>
          <t>Miss Glam Damar</t>
        </is>
      </c>
      <c r="E1214" t="n">
        <v>1</v>
      </c>
      <c r="F1214" t="n">
        <v>0.09100000000000001</v>
      </c>
      <c r="G1214" t="n">
        <v>2.73</v>
      </c>
      <c r="H1214" t="n">
        <v>2</v>
      </c>
      <c r="I1214" t="n">
        <v>16</v>
      </c>
      <c r="J1214" t="n">
        <v>1</v>
      </c>
      <c r="K1214" t="n">
        <v>0</v>
      </c>
      <c r="L1214" t="n">
        <v>100575</v>
      </c>
      <c r="M1214" t="n">
        <v>134500</v>
      </c>
      <c r="N1214" t="n">
        <v>91</v>
      </c>
      <c r="O1214" t="n">
        <v>0.91</v>
      </c>
      <c r="P1214" t="n">
        <v>1</v>
      </c>
      <c r="Q1214" t="n">
        <v>0.05</v>
      </c>
      <c r="R1214" t="n">
        <v>1</v>
      </c>
      <c r="S1214" t="n">
        <v>12239.5</v>
      </c>
      <c r="T1214" t="n">
        <v>44</v>
      </c>
      <c r="U1214" t="n">
        <v>45</v>
      </c>
      <c r="V1214" t="n">
        <v>30</v>
      </c>
      <c r="W1214" t="n">
        <v>3</v>
      </c>
      <c r="X1214" t="n">
        <v>10.98901098901099</v>
      </c>
      <c r="Y1214" t="n">
        <v>1</v>
      </c>
      <c r="Z1214" t="n">
        <v>2</v>
      </c>
      <c r="AA1214" t="n">
        <v>1</v>
      </c>
      <c r="AB1214" t="n">
        <v>1</v>
      </c>
      <c r="AC1214" t="n">
        <v>1</v>
      </c>
      <c r="AD1214" t="n">
        <v>100575</v>
      </c>
      <c r="AE1214" t="n">
        <v>100575</v>
      </c>
      <c r="AF1214" t="n">
        <v>512</v>
      </c>
      <c r="AG1214" t="n">
        <v>107</v>
      </c>
      <c r="AH1214" t="inlineStr">
        <is>
          <t xml:space="preserve">CV. DAHLIA - PPN (PDG) </t>
        </is>
      </c>
      <c r="AI1214" t="n">
        <v>1296</v>
      </c>
      <c r="AJ1214" t="inlineStr">
        <is>
          <t>ELVICTO</t>
        </is>
      </c>
      <c r="AK1214" t="n">
        <v>21</v>
      </c>
      <c r="AL1214" t="inlineStr">
        <is>
          <t>Miss Glam Damar</t>
        </is>
      </c>
      <c r="AM1214" t="n">
        <v>3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ELVICTO</t>
        </is>
      </c>
      <c r="B1215" s="2">
        <f>"11000501717"</f>
        <v/>
      </c>
      <c r="C1215" t="inlineStr">
        <is>
          <t>ELVICTO Hair Styling Powder 10gr</t>
        </is>
      </c>
      <c r="D1215" t="inlineStr">
        <is>
          <t>Miss Glam Damar</t>
        </is>
      </c>
      <c r="E1215" t="n">
        <v>2</v>
      </c>
      <c r="F1215" t="n">
        <v>0.05</v>
      </c>
      <c r="G1215" t="n">
        <v>1</v>
      </c>
      <c r="H1215" t="n">
        <v>2</v>
      </c>
      <c r="I1215" t="n">
        <v>16</v>
      </c>
      <c r="J1215" t="n">
        <v>1</v>
      </c>
      <c r="K1215" t="n">
        <v>0</v>
      </c>
      <c r="L1215" t="n">
        <v>56801</v>
      </c>
      <c r="M1215" t="n">
        <v>67000</v>
      </c>
      <c r="N1215" t="n">
        <v>91</v>
      </c>
      <c r="O1215" t="n">
        <v>0.91</v>
      </c>
      <c r="P1215" t="n">
        <v>0</v>
      </c>
      <c r="Q1215" t="n">
        <v>0.05</v>
      </c>
      <c r="R1215" t="n">
        <v>1</v>
      </c>
      <c r="S1215" t="n">
        <v>3350</v>
      </c>
      <c r="T1215" t="n">
        <v>16</v>
      </c>
      <c r="U1215" t="n">
        <v>17</v>
      </c>
      <c r="V1215" t="n">
        <v>30</v>
      </c>
      <c r="W1215" t="n">
        <v>2</v>
      </c>
      <c r="X1215" t="n">
        <v>40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512</v>
      </c>
      <c r="AG1215" t="n">
        <v>107</v>
      </c>
      <c r="AH1215" t="inlineStr">
        <is>
          <t xml:space="preserve">CV. DAHLIA - PPN (PDG) </t>
        </is>
      </c>
      <c r="AI1215" t="n">
        <v>1296</v>
      </c>
      <c r="AJ1215" t="inlineStr">
        <is>
          <t>ELVICTO</t>
        </is>
      </c>
      <c r="AK1215" t="n">
        <v>21</v>
      </c>
      <c r="AL1215" t="inlineStr">
        <is>
          <t>Miss Glam Damar</t>
        </is>
      </c>
      <c r="AM1215" t="n">
        <v>3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ELVICTO</t>
        </is>
      </c>
      <c r="B1216" s="2">
        <f>"8994451190446"</f>
        <v/>
      </c>
      <c r="C1216" t="inlineStr">
        <is>
          <t>ELVICTO Helios Parfum 35ml</t>
        </is>
      </c>
      <c r="D1216" t="inlineStr">
        <is>
          <t>Miss Glam Damar</t>
        </is>
      </c>
      <c r="E1216" t="n">
        <v>4</v>
      </c>
      <c r="F1216" t="n">
        <v>0.0728</v>
      </c>
      <c r="G1216" t="n">
        <v>0.91</v>
      </c>
      <c r="H1216" t="n">
        <v>2</v>
      </c>
      <c r="I1216" t="n">
        <v>16</v>
      </c>
      <c r="J1216" t="n">
        <v>3</v>
      </c>
      <c r="K1216" t="n">
        <v>0</v>
      </c>
      <c r="L1216" t="n">
        <v>100533</v>
      </c>
      <c r="M1216" t="n">
        <v>134000</v>
      </c>
      <c r="N1216" t="n">
        <v>91</v>
      </c>
      <c r="O1216" t="n">
        <v>0.91</v>
      </c>
      <c r="P1216" t="n">
        <v>1</v>
      </c>
      <c r="Q1216" t="n">
        <v>0.19</v>
      </c>
      <c r="R1216" t="n">
        <v>2</v>
      </c>
      <c r="S1216" t="n">
        <v>9755.200000000001</v>
      </c>
      <c r="T1216" t="n">
        <v>15</v>
      </c>
      <c r="U1216" t="n">
        <v>16</v>
      </c>
      <c r="V1216" t="n">
        <v>30</v>
      </c>
      <c r="W1216" t="n">
        <v>3</v>
      </c>
      <c r="X1216" t="n">
        <v>54.94505494505494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512</v>
      </c>
      <c r="AG1216" t="n">
        <v>107</v>
      </c>
      <c r="AH1216" t="inlineStr">
        <is>
          <t xml:space="preserve">CV. DAHLIA - PPN (PDG) </t>
        </is>
      </c>
      <c r="AI1216" t="n">
        <v>1296</v>
      </c>
      <c r="AJ1216" t="inlineStr">
        <is>
          <t>ELVICTO</t>
        </is>
      </c>
      <c r="AK1216" t="n">
        <v>21</v>
      </c>
      <c r="AL1216" t="inlineStr">
        <is>
          <t>Miss Glam Damar</t>
        </is>
      </c>
      <c r="AM1216" t="n">
        <v>3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ELVICTO</t>
        </is>
      </c>
      <c r="B1217" s="2">
        <f>"11001000032"</f>
        <v/>
      </c>
      <c r="C1217" t="inlineStr">
        <is>
          <t>ELVICTO Men Acne Toner 100ml</t>
        </is>
      </c>
      <c r="D1217" t="inlineStr">
        <is>
          <t>Miss Glam Damar</t>
        </is>
      </c>
      <c r="E1217" t="n">
        <v>4</v>
      </c>
      <c r="F1217" t="n">
        <v>0.03</v>
      </c>
      <c r="G1217" t="n">
        <v>1</v>
      </c>
      <c r="H1217" t="n">
        <v>2</v>
      </c>
      <c r="I1217" t="n">
        <v>16</v>
      </c>
      <c r="J1217" t="n">
        <v>3</v>
      </c>
      <c r="K1217" t="n">
        <v>0</v>
      </c>
      <c r="L1217" t="n">
        <v>67500</v>
      </c>
      <c r="M1217" t="n">
        <v>130000</v>
      </c>
      <c r="N1217" t="n">
        <v>91</v>
      </c>
      <c r="O1217" t="n">
        <v>0.91</v>
      </c>
      <c r="P1217" t="n">
        <v>0</v>
      </c>
      <c r="Q1217" t="n">
        <v>0.03</v>
      </c>
      <c r="R1217" t="n">
        <v>1</v>
      </c>
      <c r="S1217" t="n">
        <v>3900</v>
      </c>
      <c r="T1217" t="n">
        <v>16</v>
      </c>
      <c r="U1217" t="n">
        <v>17</v>
      </c>
      <c r="V1217" t="n">
        <v>30</v>
      </c>
      <c r="W1217" t="n">
        <v>1</v>
      </c>
      <c r="X1217" t="n">
        <v>133.3333333333333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512</v>
      </c>
      <c r="AG1217" t="n">
        <v>107</v>
      </c>
      <c r="AH1217" t="inlineStr">
        <is>
          <t xml:space="preserve">CV. DAHLIA - PPN (PDG) </t>
        </is>
      </c>
      <c r="AI1217" t="n">
        <v>1296</v>
      </c>
      <c r="AJ1217" t="inlineStr">
        <is>
          <t>ELVICTO</t>
        </is>
      </c>
      <c r="AK1217" t="n">
        <v>21</v>
      </c>
      <c r="AL1217" t="inlineStr">
        <is>
          <t>Miss Glam Damar</t>
        </is>
      </c>
      <c r="AM1217" t="n">
        <v>3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ELVICTO</t>
        </is>
      </c>
      <c r="B1218" s="2">
        <f>"11000206026"</f>
        <v/>
      </c>
      <c r="C1218" t="inlineStr">
        <is>
          <t>ELVICTO Moisturizer DNA Salmon 15gr</t>
        </is>
      </c>
      <c r="D1218" t="inlineStr">
        <is>
          <t>Miss Glam Damar</t>
        </is>
      </c>
      <c r="E1218" t="n">
        <v>3</v>
      </c>
      <c r="F1218" t="n">
        <v>0.0182</v>
      </c>
      <c r="G1218" t="n">
        <v>0.91</v>
      </c>
      <c r="H1218" t="n">
        <v>2</v>
      </c>
      <c r="I1218" t="n">
        <v>16</v>
      </c>
      <c r="J1218" t="n">
        <v>1</v>
      </c>
      <c r="K1218" t="n">
        <v>0</v>
      </c>
      <c r="L1218" t="n">
        <v>63940</v>
      </c>
      <c r="M1218" t="n">
        <v>90000</v>
      </c>
      <c r="N1218" t="n">
        <v>91</v>
      </c>
      <c r="O1218" t="n">
        <v>0.91</v>
      </c>
      <c r="P1218" t="n">
        <v>1</v>
      </c>
      <c r="Q1218" t="n">
        <v>0.14</v>
      </c>
      <c r="R1218" t="n">
        <v>1</v>
      </c>
      <c r="S1218" t="n">
        <v>1638</v>
      </c>
      <c r="T1218" t="n">
        <v>15</v>
      </c>
      <c r="U1218" t="n">
        <v>16</v>
      </c>
      <c r="V1218" t="n">
        <v>30</v>
      </c>
      <c r="W1218" t="n">
        <v>1</v>
      </c>
      <c r="X1218" t="n">
        <v>164.8351648351648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512</v>
      </c>
      <c r="AG1218" t="n">
        <v>107</v>
      </c>
      <c r="AH1218" t="inlineStr">
        <is>
          <t xml:space="preserve">CV. DAHLIA - PPN (PDG) </t>
        </is>
      </c>
      <c r="AI1218" t="n">
        <v>1296</v>
      </c>
      <c r="AJ1218" t="inlineStr">
        <is>
          <t>ELVICTO</t>
        </is>
      </c>
      <c r="AK1218" t="n">
        <v>21</v>
      </c>
      <c r="AL1218" t="inlineStr">
        <is>
          <t>Miss Glam Damar</t>
        </is>
      </c>
      <c r="AM1218" t="n">
        <v>3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ELVICTO</t>
        </is>
      </c>
      <c r="B1219" s="2">
        <f>"8994451190323"</f>
        <v/>
      </c>
      <c r="C1219" t="inlineStr">
        <is>
          <t>ELVICTO Suite And Tie Parfum 35ml</t>
        </is>
      </c>
      <c r="D1219" t="inlineStr">
        <is>
          <t>Miss Glam Damar</t>
        </is>
      </c>
      <c r="E1219" t="n">
        <v>5</v>
      </c>
      <c r="F1219" t="n">
        <v>0.1729</v>
      </c>
      <c r="G1219" t="n">
        <v>0.91</v>
      </c>
      <c r="H1219" t="n">
        <v>2</v>
      </c>
      <c r="I1219" t="n">
        <v>16</v>
      </c>
      <c r="J1219" t="n">
        <v>3</v>
      </c>
      <c r="K1219" t="n">
        <v>0</v>
      </c>
      <c r="L1219" t="n">
        <v>85489</v>
      </c>
      <c r="M1219" t="n">
        <v>134000</v>
      </c>
      <c r="N1219" t="n">
        <v>91</v>
      </c>
      <c r="O1219" t="n">
        <v>0.91</v>
      </c>
      <c r="P1219" t="n">
        <v>1</v>
      </c>
      <c r="Q1219" t="n">
        <v>0.08</v>
      </c>
      <c r="R1219" t="n">
        <v>1</v>
      </c>
      <c r="S1219" t="n">
        <v>23168.6</v>
      </c>
      <c r="T1219" t="n">
        <v>15</v>
      </c>
      <c r="U1219" t="n">
        <v>16</v>
      </c>
      <c r="V1219" t="n">
        <v>30</v>
      </c>
      <c r="W1219" t="n">
        <v>6</v>
      </c>
      <c r="X1219" t="n">
        <v>28.91844997108155</v>
      </c>
      <c r="Y1219" t="n">
        <v>1</v>
      </c>
      <c r="Z1219" t="n">
        <v>1</v>
      </c>
      <c r="AA1219" t="n">
        <v>0</v>
      </c>
      <c r="AB1219" t="n">
        <v>1</v>
      </c>
      <c r="AC1219" t="n">
        <v>3</v>
      </c>
      <c r="AD1219" t="n">
        <v>0</v>
      </c>
      <c r="AE1219" t="n">
        <v>256467</v>
      </c>
      <c r="AF1219" t="n">
        <v>512</v>
      </c>
      <c r="AG1219" t="n">
        <v>107</v>
      </c>
      <c r="AH1219" t="inlineStr">
        <is>
          <t xml:space="preserve">CV. DAHLIA - PPN (PDG) </t>
        </is>
      </c>
      <c r="AI1219" t="n">
        <v>1296</v>
      </c>
      <c r="AJ1219" t="inlineStr">
        <is>
          <t>ELVICTO</t>
        </is>
      </c>
      <c r="AK1219" t="n">
        <v>21</v>
      </c>
      <c r="AL1219" t="inlineStr">
        <is>
          <t>Miss Glam Damar</t>
        </is>
      </c>
      <c r="AM1219" t="n">
        <v>3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ELVICTO</t>
        </is>
      </c>
      <c r="B1220" s="2">
        <f>"8994451190316"</f>
        <v/>
      </c>
      <c r="C1220" t="inlineStr">
        <is>
          <t>ELVICTO Sunscreen Expert Spf 50+ PA++++ New Formulation 30gr</t>
        </is>
      </c>
      <c r="D1220" t="inlineStr">
        <is>
          <t>Miss Glam Damar</t>
        </is>
      </c>
      <c r="E1220" t="n">
        <v>4</v>
      </c>
      <c r="F1220" t="n">
        <v>0.0273</v>
      </c>
      <c r="G1220" t="n">
        <v>1.82</v>
      </c>
      <c r="H1220" t="n">
        <v>2</v>
      </c>
      <c r="I1220" t="n">
        <v>16</v>
      </c>
      <c r="J1220" t="n">
        <v>3</v>
      </c>
      <c r="K1220" t="n">
        <v>0</v>
      </c>
      <c r="L1220" t="n">
        <v>78592</v>
      </c>
      <c r="M1220" t="n">
        <v>117000</v>
      </c>
      <c r="N1220" t="n">
        <v>91</v>
      </c>
      <c r="O1220" t="n">
        <v>0.91</v>
      </c>
      <c r="P1220" t="n">
        <v>1</v>
      </c>
      <c r="Q1220" t="n">
        <v>0.1</v>
      </c>
      <c r="R1220" t="n">
        <v>1</v>
      </c>
      <c r="S1220" t="n">
        <v>3194.1</v>
      </c>
      <c r="T1220" t="n">
        <v>30</v>
      </c>
      <c r="U1220" t="n">
        <v>31</v>
      </c>
      <c r="V1220" t="n">
        <v>30</v>
      </c>
      <c r="W1220" t="n">
        <v>1</v>
      </c>
      <c r="X1220" t="n">
        <v>146.5201465201465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512</v>
      </c>
      <c r="AG1220" t="n">
        <v>107</v>
      </c>
      <c r="AH1220" t="inlineStr">
        <is>
          <t xml:space="preserve">CV. DAHLIA - PPN (PDG) </t>
        </is>
      </c>
      <c r="AI1220" t="n">
        <v>1296</v>
      </c>
      <c r="AJ1220" t="inlineStr">
        <is>
          <t>ELVICTO</t>
        </is>
      </c>
      <c r="AK1220" t="n">
        <v>21</v>
      </c>
      <c r="AL1220" t="inlineStr">
        <is>
          <t>Miss Glam Damar</t>
        </is>
      </c>
      <c r="AM1220" t="n">
        <v>3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ELVICTO</t>
        </is>
      </c>
      <c r="B1221" s="2">
        <f>"8994451190095"</f>
        <v/>
      </c>
      <c r="C1221" t="inlineStr">
        <is>
          <t>ELVICTO The Illusion of Heaven Haluu Parfum 35ml</t>
        </is>
      </c>
      <c r="D1221" t="inlineStr">
        <is>
          <t>Miss Glam Damar</t>
        </is>
      </c>
      <c r="E1221" t="n">
        <v>2</v>
      </c>
      <c r="F1221" t="n">
        <v>0.1274</v>
      </c>
      <c r="G1221" t="n">
        <v>0.91</v>
      </c>
      <c r="H1221" t="n">
        <v>2</v>
      </c>
      <c r="I1221" t="n">
        <v>16</v>
      </c>
      <c r="J1221" t="n">
        <v>3</v>
      </c>
      <c r="K1221" t="n">
        <v>0</v>
      </c>
      <c r="L1221" t="n">
        <v>100575</v>
      </c>
      <c r="M1221" t="n">
        <v>134000</v>
      </c>
      <c r="N1221" t="n">
        <v>91</v>
      </c>
      <c r="O1221" t="n">
        <v>0.91</v>
      </c>
      <c r="P1221" t="n">
        <v>1</v>
      </c>
      <c r="Q1221" t="n">
        <v>0.08</v>
      </c>
      <c r="R1221" t="n">
        <v>1</v>
      </c>
      <c r="S1221" t="n">
        <v>17071.6</v>
      </c>
      <c r="T1221" t="n">
        <v>15</v>
      </c>
      <c r="U1221" t="n">
        <v>16</v>
      </c>
      <c r="V1221" t="n">
        <v>30</v>
      </c>
      <c r="W1221" t="n">
        <v>4</v>
      </c>
      <c r="X1221" t="n">
        <v>15.69858712715855</v>
      </c>
      <c r="Y1221" t="n">
        <v>1</v>
      </c>
      <c r="Z1221" t="n">
        <v>2</v>
      </c>
      <c r="AA1221" t="n">
        <v>1</v>
      </c>
      <c r="AB1221" t="n">
        <v>1</v>
      </c>
      <c r="AC1221" t="n">
        <v>3</v>
      </c>
      <c r="AD1221" t="n">
        <v>100575</v>
      </c>
      <c r="AE1221" t="n">
        <v>301725</v>
      </c>
      <c r="AF1221" t="n">
        <v>512</v>
      </c>
      <c r="AG1221" t="n">
        <v>107</v>
      </c>
      <c r="AH1221" t="inlineStr">
        <is>
          <t xml:space="preserve">CV. DAHLIA - PPN (PDG) </t>
        </is>
      </c>
      <c r="AI1221" t="n">
        <v>1296</v>
      </c>
      <c r="AJ1221" t="inlineStr">
        <is>
          <t>ELVICTO</t>
        </is>
      </c>
      <c r="AK1221" t="n">
        <v>21</v>
      </c>
      <c r="AL1221" t="inlineStr">
        <is>
          <t>Miss Glam Damar</t>
        </is>
      </c>
      <c r="AM1221" t="n">
        <v>3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ELVICTO</t>
        </is>
      </c>
      <c r="B1222" s="2">
        <f>"8994451195076"</f>
        <v/>
      </c>
      <c r="C1222" t="inlineStr">
        <is>
          <t>ELVICTO Xtrovert Parfum Tell New Stories 35ml</t>
        </is>
      </c>
      <c r="D1222" t="inlineStr">
        <is>
          <t>Miss Glam Damar</t>
        </is>
      </c>
      <c r="E1222" t="n">
        <v>8</v>
      </c>
      <c r="F1222" t="n">
        <v>0.6188</v>
      </c>
      <c r="G1222" t="n">
        <v>2.73</v>
      </c>
      <c r="H1222" t="n">
        <v>2</v>
      </c>
      <c r="I1222" t="n">
        <v>16</v>
      </c>
      <c r="J1222" t="n">
        <v>3</v>
      </c>
      <c r="K1222" t="n">
        <v>0</v>
      </c>
      <c r="L1222" t="n">
        <v>100575</v>
      </c>
      <c r="M1222" t="n">
        <v>122500</v>
      </c>
      <c r="N1222" t="n">
        <v>91</v>
      </c>
      <c r="O1222" t="n">
        <v>0.91</v>
      </c>
      <c r="P1222" t="n">
        <v>1</v>
      </c>
      <c r="Q1222" t="n">
        <v>0.31</v>
      </c>
      <c r="R1222" t="n">
        <v>2</v>
      </c>
      <c r="S1222" t="n">
        <v>75803</v>
      </c>
      <c r="T1222" t="n">
        <v>43</v>
      </c>
      <c r="U1222" t="n">
        <v>45</v>
      </c>
      <c r="V1222" t="n">
        <v>30</v>
      </c>
      <c r="W1222" t="n">
        <v>19</v>
      </c>
      <c r="X1222" t="n">
        <v>12.92824822236587</v>
      </c>
      <c r="Y1222" t="n">
        <v>1</v>
      </c>
      <c r="Z1222" t="n">
        <v>11</v>
      </c>
      <c r="AA1222" t="n">
        <v>2</v>
      </c>
      <c r="AB1222" t="n">
        <v>9</v>
      </c>
      <c r="AC1222" t="n">
        <v>9</v>
      </c>
      <c r="AD1222" t="n">
        <v>201150</v>
      </c>
      <c r="AE1222" t="n">
        <v>905175</v>
      </c>
      <c r="AF1222" t="n">
        <v>512</v>
      </c>
      <c r="AG1222" t="n">
        <v>107</v>
      </c>
      <c r="AH1222" t="inlineStr">
        <is>
          <t xml:space="preserve">CV. DAHLIA - PPN (PDG) </t>
        </is>
      </c>
      <c r="AI1222" t="n">
        <v>1296</v>
      </c>
      <c r="AJ1222" t="inlineStr">
        <is>
          <t>ELVICTO</t>
        </is>
      </c>
      <c r="AK1222" t="n">
        <v>21</v>
      </c>
      <c r="AL1222" t="inlineStr">
        <is>
          <t>Miss Glam Damar</t>
        </is>
      </c>
      <c r="AM1222" t="n">
        <v>3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EMERON</t>
        </is>
      </c>
      <c r="B1223" s="2">
        <f>"8998866109291"</f>
        <v/>
      </c>
      <c r="C1223" t="inlineStr">
        <is>
          <t>EMERON Hijab Hair Vitamin Clean &amp; Fresh 6 x 1ml</t>
        </is>
      </c>
      <c r="D1223" t="inlineStr">
        <is>
          <t>Miss Glam Damar</t>
        </is>
      </c>
      <c r="E1223" t="n">
        <v>0</v>
      </c>
      <c r="F1223" t="n">
        <v>0.02</v>
      </c>
      <c r="G1223" t="n">
        <v>1</v>
      </c>
      <c r="H1223" t="n">
        <v>2</v>
      </c>
      <c r="I1223" t="n">
        <v>6</v>
      </c>
      <c r="J1223" t="n">
        <v>3</v>
      </c>
      <c r="K1223" t="n">
        <v>0</v>
      </c>
      <c r="L1223" t="n">
        <v>8100</v>
      </c>
      <c r="M1223" t="n">
        <v>10500</v>
      </c>
      <c r="N1223" t="n">
        <v>91</v>
      </c>
      <c r="O1223" t="n">
        <v>0.91</v>
      </c>
      <c r="P1223" t="n">
        <v>0</v>
      </c>
      <c r="Q1223" t="n">
        <v>0.02</v>
      </c>
      <c r="R1223" t="n">
        <v>1</v>
      </c>
      <c r="S1223" t="n">
        <v>210</v>
      </c>
      <c r="T1223" t="n">
        <v>6</v>
      </c>
      <c r="U1223" t="n">
        <v>7</v>
      </c>
      <c r="V1223" t="n">
        <v>30</v>
      </c>
      <c r="W1223" t="n">
        <v>1</v>
      </c>
      <c r="X1223" t="n">
        <v>0</v>
      </c>
      <c r="Y1223" t="n">
        <v>1</v>
      </c>
      <c r="Z1223" t="n">
        <v>1</v>
      </c>
      <c r="AA1223" t="n">
        <v>1</v>
      </c>
      <c r="AB1223" t="n">
        <v>0</v>
      </c>
      <c r="AC1223" t="n">
        <v>0</v>
      </c>
      <c r="AD1223" t="n">
        <v>8100</v>
      </c>
      <c r="AE1223" t="n">
        <v>0</v>
      </c>
      <c r="AF1223" t="n">
        <v>11327</v>
      </c>
      <c r="AG1223" t="n">
        <v>448</v>
      </c>
      <c r="AH1223" t="inlineStr">
        <is>
          <t>PT. PADANG DISTRIBUSINDO RAYA - PPN (PDG)</t>
        </is>
      </c>
      <c r="AI1223" t="n">
        <v>450</v>
      </c>
      <c r="AJ1223" t="inlineStr">
        <is>
          <t>EMERON</t>
        </is>
      </c>
      <c r="AK1223" t="n">
        <v>21</v>
      </c>
      <c r="AL1223" t="inlineStr">
        <is>
          <t>Miss Glam Damar</t>
        </is>
      </c>
      <c r="AM1223" t="n">
        <v>3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EMINA</t>
        </is>
      </c>
      <c r="B1224" s="2">
        <f>"8993137002172"</f>
        <v/>
      </c>
      <c r="C1224" t="inlineStr">
        <is>
          <t>EMINA Airy Surprise Tint 02 Chillax 3gr</t>
        </is>
      </c>
      <c r="D1224" t="inlineStr">
        <is>
          <t>Miss Glam Damar</t>
        </is>
      </c>
      <c r="E1224" t="n">
        <v>6</v>
      </c>
      <c r="F1224" t="n">
        <v>0.06370000000000001</v>
      </c>
      <c r="G1224" t="n">
        <v>0.91</v>
      </c>
      <c r="H1224" t="n">
        <v>2</v>
      </c>
      <c r="I1224" t="n">
        <v>6</v>
      </c>
      <c r="J1224" t="n">
        <v>3</v>
      </c>
      <c r="K1224" t="n">
        <v>0</v>
      </c>
      <c r="L1224" t="n">
        <v>51036</v>
      </c>
      <c r="M1224" t="n">
        <v>62500</v>
      </c>
      <c r="N1224" t="n">
        <v>91</v>
      </c>
      <c r="O1224" t="n">
        <v>0.91</v>
      </c>
      <c r="P1224" t="n">
        <v>1</v>
      </c>
      <c r="Q1224" t="n">
        <v>0.14</v>
      </c>
      <c r="R1224" t="n">
        <v>2</v>
      </c>
      <c r="S1224" t="n">
        <v>3981.25</v>
      </c>
      <c r="T1224" t="n">
        <v>6</v>
      </c>
      <c r="U1224" t="n">
        <v>7</v>
      </c>
      <c r="V1224" t="n">
        <v>30</v>
      </c>
      <c r="W1224" t="n">
        <v>2</v>
      </c>
      <c r="X1224" t="n">
        <v>94.19152276295132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11691</v>
      </c>
      <c r="AG1224" t="n">
        <v>63</v>
      </c>
      <c r="AH1224" t="inlineStr">
        <is>
          <t>PT. PARAMA GLOBAL INSPIRA - PPN (PDG)</t>
        </is>
      </c>
      <c r="AI1224" t="n">
        <v>63</v>
      </c>
      <c r="AJ1224" t="inlineStr">
        <is>
          <t>EMINA</t>
        </is>
      </c>
      <c r="AK1224" t="n">
        <v>21</v>
      </c>
      <c r="AL1224" t="inlineStr">
        <is>
          <t>Miss Glam Damar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EMINA</t>
        </is>
      </c>
      <c r="B1225" s="2">
        <f>"8993137002189"</f>
        <v/>
      </c>
      <c r="C1225" t="inlineStr">
        <is>
          <t>EMINA Airy Surprise Tint 03 1-000-Pink 3gr</t>
        </is>
      </c>
      <c r="D1225" t="inlineStr">
        <is>
          <t>Miss Glam Damar</t>
        </is>
      </c>
      <c r="E1225" t="n">
        <v>10</v>
      </c>
      <c r="F1225" t="n">
        <v>0.1092</v>
      </c>
      <c r="G1225" t="n">
        <v>1.82</v>
      </c>
      <c r="H1225" t="n">
        <v>2</v>
      </c>
      <c r="I1225" t="n">
        <v>6</v>
      </c>
      <c r="J1225" t="n">
        <v>3</v>
      </c>
      <c r="K1225" t="n">
        <v>0</v>
      </c>
      <c r="L1225" t="n">
        <v>51036</v>
      </c>
      <c r="M1225" t="n">
        <v>62500</v>
      </c>
      <c r="N1225" t="n">
        <v>91</v>
      </c>
      <c r="O1225" t="n">
        <v>0.91</v>
      </c>
      <c r="P1225" t="n">
        <v>1</v>
      </c>
      <c r="Q1225" t="n">
        <v>0.27</v>
      </c>
      <c r="R1225" t="n">
        <v>3</v>
      </c>
      <c r="S1225" t="n">
        <v>6825</v>
      </c>
      <c r="T1225" t="n">
        <v>11</v>
      </c>
      <c r="U1225" t="n">
        <v>12</v>
      </c>
      <c r="V1225" t="n">
        <v>30</v>
      </c>
      <c r="W1225" t="n">
        <v>4</v>
      </c>
      <c r="X1225" t="n">
        <v>91.57509157509158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11691</v>
      </c>
      <c r="AG1225" t="n">
        <v>63</v>
      </c>
      <c r="AH1225" t="inlineStr">
        <is>
          <t>PT. PARAMA GLOBAL INSPIRA - PPN (PDG)</t>
        </is>
      </c>
      <c r="AI1225" t="n">
        <v>63</v>
      </c>
      <c r="AJ1225" t="inlineStr">
        <is>
          <t>EMINA</t>
        </is>
      </c>
      <c r="AK1225" t="n">
        <v>21</v>
      </c>
      <c r="AL1225" t="inlineStr">
        <is>
          <t>Miss Glam Damar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EMINA</t>
        </is>
      </c>
      <c r="B1226" s="2">
        <f>"8993137002196"</f>
        <v/>
      </c>
      <c r="C1226" t="inlineStr">
        <is>
          <t>EMINA Airy Surprise Tint 04 Bewitched 3gr</t>
        </is>
      </c>
      <c r="D1226" t="inlineStr">
        <is>
          <t>Miss Glam Damar</t>
        </is>
      </c>
      <c r="E1226" t="n">
        <v>4</v>
      </c>
      <c r="F1226" t="n">
        <v>0.0182</v>
      </c>
      <c r="G1226" t="n">
        <v>0.91</v>
      </c>
      <c r="H1226" t="n">
        <v>2</v>
      </c>
      <c r="I1226" t="n">
        <v>6</v>
      </c>
      <c r="J1226" t="n">
        <v>3</v>
      </c>
      <c r="K1226" t="n">
        <v>0</v>
      </c>
      <c r="L1226" t="n">
        <v>51036</v>
      </c>
      <c r="M1226" t="n">
        <v>62500</v>
      </c>
      <c r="N1226" t="n">
        <v>91</v>
      </c>
      <c r="O1226" t="n">
        <v>0.91</v>
      </c>
      <c r="P1226" t="n">
        <v>1</v>
      </c>
      <c r="Q1226" t="n">
        <v>0.03</v>
      </c>
      <c r="R1226" t="n">
        <v>1</v>
      </c>
      <c r="S1226" t="n">
        <v>1137.5</v>
      </c>
      <c r="T1226" t="n">
        <v>6</v>
      </c>
      <c r="U1226" t="n">
        <v>7</v>
      </c>
      <c r="V1226" t="n">
        <v>30</v>
      </c>
      <c r="W1226" t="n">
        <v>1</v>
      </c>
      <c r="X1226" t="n">
        <v>219.7802197802198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11691</v>
      </c>
      <c r="AG1226" t="n">
        <v>63</v>
      </c>
      <c r="AH1226" t="inlineStr">
        <is>
          <t>PT. PARAMA GLOBAL INSPIRA - PPN (PDG)</t>
        </is>
      </c>
      <c r="AI1226" t="n">
        <v>63</v>
      </c>
      <c r="AJ1226" t="inlineStr">
        <is>
          <t>EMINA</t>
        </is>
      </c>
      <c r="AK1226" t="n">
        <v>21</v>
      </c>
      <c r="AL1226" t="inlineStr">
        <is>
          <t>Miss Glam Damar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EMINA</t>
        </is>
      </c>
      <c r="B1227" s="2">
        <f>"8993137002219"</f>
        <v/>
      </c>
      <c r="C1227" t="inlineStr">
        <is>
          <t>EMINA Airy Surprise Tint 06 Dot-com 3gr</t>
        </is>
      </c>
      <c r="D1227" t="inlineStr">
        <is>
          <t>Miss Glam Damar</t>
        </is>
      </c>
      <c r="E1227" t="n">
        <v>11</v>
      </c>
      <c r="F1227" t="n">
        <v>0.1092</v>
      </c>
      <c r="G1227" t="n">
        <v>0.91</v>
      </c>
      <c r="H1227" t="n">
        <v>2</v>
      </c>
      <c r="I1227" t="n">
        <v>6</v>
      </c>
      <c r="J1227" t="n">
        <v>3</v>
      </c>
      <c r="K1227" t="n">
        <v>0</v>
      </c>
      <c r="L1227" t="n">
        <v>51036</v>
      </c>
      <c r="M1227" t="n">
        <v>62500</v>
      </c>
      <c r="N1227" t="n">
        <v>91</v>
      </c>
      <c r="O1227" t="n">
        <v>0.91</v>
      </c>
      <c r="P1227" t="n">
        <v>1</v>
      </c>
      <c r="Q1227" t="n">
        <v>0.37</v>
      </c>
      <c r="R1227" t="n">
        <v>4</v>
      </c>
      <c r="S1227" t="n">
        <v>6825</v>
      </c>
      <c r="T1227" t="n">
        <v>6</v>
      </c>
      <c r="U1227" t="n">
        <v>7</v>
      </c>
      <c r="V1227" t="n">
        <v>30</v>
      </c>
      <c r="W1227" t="n">
        <v>4</v>
      </c>
      <c r="X1227" t="n">
        <v>100.7326007326007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11691</v>
      </c>
      <c r="AG1227" t="n">
        <v>63</v>
      </c>
      <c r="AH1227" t="inlineStr">
        <is>
          <t>PT. PARAMA GLOBAL INSPIRA - PPN (PDG)</t>
        </is>
      </c>
      <c r="AI1227" t="n">
        <v>63</v>
      </c>
      <c r="AJ1227" t="inlineStr">
        <is>
          <t>EMINA</t>
        </is>
      </c>
      <c r="AK1227" t="n">
        <v>21</v>
      </c>
      <c r="AL1227" t="inlineStr">
        <is>
          <t>Miss Glam Damar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EMINA</t>
        </is>
      </c>
      <c r="B1228" s="2">
        <f>"8993137002226"</f>
        <v/>
      </c>
      <c r="C1228" t="inlineStr">
        <is>
          <t>EMINA Airy Surprise Tint 07 Pixelated  3gr</t>
        </is>
      </c>
      <c r="D1228" t="inlineStr">
        <is>
          <t>Miss Glam Damar</t>
        </is>
      </c>
      <c r="E1228" t="n">
        <v>4</v>
      </c>
      <c r="F1228" t="n">
        <v>0.04550000000000001</v>
      </c>
      <c r="G1228" t="n">
        <v>0.91</v>
      </c>
      <c r="H1228" t="n">
        <v>2</v>
      </c>
      <c r="I1228" t="n">
        <v>6</v>
      </c>
      <c r="J1228" t="n">
        <v>3</v>
      </c>
      <c r="K1228" t="n">
        <v>0</v>
      </c>
      <c r="L1228" t="n">
        <v>51036</v>
      </c>
      <c r="M1228" t="n">
        <v>62500</v>
      </c>
      <c r="N1228" t="n">
        <v>91</v>
      </c>
      <c r="O1228" t="n">
        <v>0.91</v>
      </c>
      <c r="P1228" t="n">
        <v>1</v>
      </c>
      <c r="Q1228" t="n">
        <v>0.1</v>
      </c>
      <c r="R1228" t="n">
        <v>2</v>
      </c>
      <c r="S1228" t="n">
        <v>2843.75</v>
      </c>
      <c r="T1228" t="n">
        <v>6</v>
      </c>
      <c r="U1228" t="n">
        <v>7</v>
      </c>
      <c r="V1228" t="n">
        <v>30</v>
      </c>
      <c r="W1228" t="n">
        <v>2</v>
      </c>
      <c r="X1228" t="n">
        <v>87.9120879120879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11691</v>
      </c>
      <c r="AG1228" t="n">
        <v>63</v>
      </c>
      <c r="AH1228" t="inlineStr">
        <is>
          <t>PT. PARAMA GLOBAL INSPIRA - PPN (PDG)</t>
        </is>
      </c>
      <c r="AI1228" t="n">
        <v>63</v>
      </c>
      <c r="AJ1228" t="inlineStr">
        <is>
          <t>EMINA</t>
        </is>
      </c>
      <c r="AK1228" t="n">
        <v>21</v>
      </c>
      <c r="AL1228" t="inlineStr">
        <is>
          <t>Miss Glam Damar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EMINA</t>
        </is>
      </c>
      <c r="B1229" s="2">
        <f>"8993137002233"</f>
        <v/>
      </c>
      <c r="C1229" t="inlineStr">
        <is>
          <t>EMINA Airy Surprise Tint 08 Yada Yada  3gr</t>
        </is>
      </c>
      <c r="D1229" t="inlineStr">
        <is>
          <t>Miss Glam Damar</t>
        </is>
      </c>
      <c r="E1229" t="n">
        <v>4</v>
      </c>
      <c r="F1229" t="n">
        <v>0.06370000000000001</v>
      </c>
      <c r="G1229" t="n">
        <v>0.91</v>
      </c>
      <c r="H1229" t="n">
        <v>2</v>
      </c>
      <c r="I1229" t="n">
        <v>6</v>
      </c>
      <c r="J1229" t="n">
        <v>3</v>
      </c>
      <c r="K1229" t="n">
        <v>0</v>
      </c>
      <c r="L1229" t="n">
        <v>50717</v>
      </c>
      <c r="M1229" t="n">
        <v>62500</v>
      </c>
      <c r="N1229" t="n">
        <v>91</v>
      </c>
      <c r="O1229" t="n">
        <v>0.91</v>
      </c>
      <c r="P1229" t="n">
        <v>1</v>
      </c>
      <c r="Q1229" t="n">
        <v>0.02</v>
      </c>
      <c r="R1229" t="n">
        <v>1</v>
      </c>
      <c r="S1229" t="n">
        <v>3981.25</v>
      </c>
      <c r="T1229" t="n">
        <v>6</v>
      </c>
      <c r="U1229" t="n">
        <v>7</v>
      </c>
      <c r="V1229" t="n">
        <v>30</v>
      </c>
      <c r="W1229" t="n">
        <v>2</v>
      </c>
      <c r="X1229" t="n">
        <v>62.79434850863422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11691</v>
      </c>
      <c r="AG1229" t="n">
        <v>63</v>
      </c>
      <c r="AH1229" t="inlineStr">
        <is>
          <t>PT. PARAMA GLOBAL INSPIRA - PPN (PDG)</t>
        </is>
      </c>
      <c r="AI1229" t="n">
        <v>63</v>
      </c>
      <c r="AJ1229" t="inlineStr">
        <is>
          <t>EMINA</t>
        </is>
      </c>
      <c r="AK1229" t="n">
        <v>21</v>
      </c>
      <c r="AL1229" t="inlineStr">
        <is>
          <t>Miss Glam Damar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EMINA</t>
        </is>
      </c>
      <c r="B1230" s="2">
        <f>"20300394232"</f>
        <v/>
      </c>
      <c r="C1230" t="inlineStr">
        <is>
          <t>EMINA Airy Surprise Tint 09 URL 3gr</t>
        </is>
      </c>
      <c r="D1230" t="inlineStr">
        <is>
          <t>Miss Glam Damar</t>
        </is>
      </c>
      <c r="E1230" t="n">
        <v>8</v>
      </c>
      <c r="F1230" t="n">
        <v>0.06370000000000001</v>
      </c>
      <c r="G1230" t="n">
        <v>0.91</v>
      </c>
      <c r="H1230" t="n">
        <v>2</v>
      </c>
      <c r="I1230" t="n">
        <v>6</v>
      </c>
      <c r="J1230" t="n">
        <v>1</v>
      </c>
      <c r="K1230" t="n">
        <v>0</v>
      </c>
      <c r="L1230" t="n">
        <v>51036</v>
      </c>
      <c r="M1230" t="n">
        <v>62500</v>
      </c>
      <c r="N1230" t="n">
        <v>91</v>
      </c>
      <c r="O1230" t="n">
        <v>0.91</v>
      </c>
      <c r="P1230" t="n">
        <v>1</v>
      </c>
      <c r="Q1230" t="n">
        <v>0.07000000000000001</v>
      </c>
      <c r="R1230" t="n">
        <v>2</v>
      </c>
      <c r="S1230" t="n">
        <v>3981.25</v>
      </c>
      <c r="T1230" t="n">
        <v>6</v>
      </c>
      <c r="U1230" t="n">
        <v>7</v>
      </c>
      <c r="V1230" t="n">
        <v>30</v>
      </c>
      <c r="W1230" t="n">
        <v>2</v>
      </c>
      <c r="X1230" t="n">
        <v>125.5886970172684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11691</v>
      </c>
      <c r="AG1230" t="n">
        <v>63</v>
      </c>
      <c r="AH1230" t="inlineStr">
        <is>
          <t>PT. PARAMA GLOBAL INSPIRA - PPN (PDG)</t>
        </is>
      </c>
      <c r="AI1230" t="n">
        <v>63</v>
      </c>
      <c r="AJ1230" t="inlineStr">
        <is>
          <t>EMINA</t>
        </is>
      </c>
      <c r="AK1230" t="n">
        <v>21</v>
      </c>
      <c r="AL1230" t="inlineStr">
        <is>
          <t>Miss Glam Damar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EMINA</t>
        </is>
      </c>
      <c r="B1231" s="2">
        <f>"20300394441"</f>
        <v/>
      </c>
      <c r="C1231" t="inlineStr">
        <is>
          <t>EMINA Airy Surprise Tint 11 So Fetch 3gr</t>
        </is>
      </c>
      <c r="D1231" t="inlineStr">
        <is>
          <t>Miss Glam Damar</t>
        </is>
      </c>
      <c r="E1231" t="n">
        <v>4</v>
      </c>
      <c r="F1231" t="n">
        <v>0.03</v>
      </c>
      <c r="G1231" t="n">
        <v>1</v>
      </c>
      <c r="H1231" t="n">
        <v>2</v>
      </c>
      <c r="I1231" t="n">
        <v>6</v>
      </c>
      <c r="J1231" t="n">
        <v>1</v>
      </c>
      <c r="K1231" t="n">
        <v>0</v>
      </c>
      <c r="L1231" t="n">
        <v>51036</v>
      </c>
      <c r="M1231" t="n">
        <v>62500</v>
      </c>
      <c r="N1231" t="n">
        <v>91</v>
      </c>
      <c r="O1231" t="n">
        <v>0.91</v>
      </c>
      <c r="P1231" t="n">
        <v>0</v>
      </c>
      <c r="Q1231" t="n">
        <v>0.03</v>
      </c>
      <c r="R1231" t="n">
        <v>1</v>
      </c>
      <c r="S1231" t="n">
        <v>1875</v>
      </c>
      <c r="T1231" t="n">
        <v>6</v>
      </c>
      <c r="U1231" t="n">
        <v>7</v>
      </c>
      <c r="V1231" t="n">
        <v>30</v>
      </c>
      <c r="W1231" t="n">
        <v>1</v>
      </c>
      <c r="X1231" t="n">
        <v>133.3333333333333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11691</v>
      </c>
      <c r="AG1231" t="n">
        <v>63</v>
      </c>
      <c r="AH1231" t="inlineStr">
        <is>
          <t>PT. PARAMA GLOBAL INSPIRA - PPN (PDG)</t>
        </is>
      </c>
      <c r="AI1231" t="n">
        <v>63</v>
      </c>
      <c r="AJ1231" t="inlineStr">
        <is>
          <t>EMINA</t>
        </is>
      </c>
      <c r="AK1231" t="n">
        <v>21</v>
      </c>
      <c r="AL1231" t="inlineStr">
        <is>
          <t>Miss Glam Damar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EMINA</t>
        </is>
      </c>
      <c r="B1232" s="2">
        <f>"10400310714"</f>
        <v/>
      </c>
      <c r="C1232" t="inlineStr">
        <is>
          <t>EMINA Airy UV Gel 25 ml</t>
        </is>
      </c>
      <c r="D1232" t="inlineStr">
        <is>
          <t>Miss Glam Damar</t>
        </is>
      </c>
      <c r="E1232" t="n">
        <v>198</v>
      </c>
      <c r="F1232" t="n">
        <v>0.3549</v>
      </c>
      <c r="G1232" t="n">
        <v>2.73</v>
      </c>
      <c r="H1232" t="n">
        <v>2</v>
      </c>
      <c r="I1232" t="n">
        <v>6</v>
      </c>
      <c r="J1232" t="n">
        <v>1</v>
      </c>
      <c r="K1232" t="n">
        <v>0</v>
      </c>
      <c r="L1232" t="n">
        <v>27969</v>
      </c>
      <c r="M1232" t="n">
        <v>34500</v>
      </c>
      <c r="N1232" t="n">
        <v>91</v>
      </c>
      <c r="O1232" t="n">
        <v>0.91</v>
      </c>
      <c r="P1232" t="n">
        <v>1</v>
      </c>
      <c r="Q1232" t="n">
        <v>0.31</v>
      </c>
      <c r="R1232" t="n">
        <v>2</v>
      </c>
      <c r="S1232" t="n">
        <v>12244.05</v>
      </c>
      <c r="T1232" t="n">
        <v>16</v>
      </c>
      <c r="U1232" t="n">
        <v>17</v>
      </c>
      <c r="V1232" t="n">
        <v>30</v>
      </c>
      <c r="W1232" t="n">
        <v>11</v>
      </c>
      <c r="X1232" t="n">
        <v>557.9036348267117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11691</v>
      </c>
      <c r="AG1232" t="n">
        <v>63</v>
      </c>
      <c r="AH1232" t="inlineStr">
        <is>
          <t>PT. PARAMA GLOBAL INSPIRA - PPN (PDG)</t>
        </is>
      </c>
      <c r="AI1232" t="n">
        <v>63</v>
      </c>
      <c r="AJ1232" t="inlineStr">
        <is>
          <t>EMINA</t>
        </is>
      </c>
      <c r="AK1232" t="n">
        <v>21</v>
      </c>
      <c r="AL1232" t="inlineStr">
        <is>
          <t>Miss Glam Damar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EMINA</t>
        </is>
      </c>
      <c r="B1233" s="2">
        <f>"8993137703055"</f>
        <v/>
      </c>
      <c r="C1233" t="inlineStr">
        <is>
          <t>EMINA All Day Glow Tone Up Gel Spf 15 PA*** 20ml</t>
        </is>
      </c>
      <c r="D1233" t="inlineStr">
        <is>
          <t>Miss Glam Damar</t>
        </is>
      </c>
      <c r="E1233" t="n">
        <v>88</v>
      </c>
      <c r="F1233" t="n">
        <v>7.079800000000001</v>
      </c>
      <c r="G1233" t="n">
        <v>15.47</v>
      </c>
      <c r="H1233" t="n">
        <v>2</v>
      </c>
      <c r="I1233" t="n">
        <v>6</v>
      </c>
      <c r="J1233" t="n">
        <v>6</v>
      </c>
      <c r="K1233" t="n">
        <v>0</v>
      </c>
      <c r="L1233" t="n">
        <v>19540</v>
      </c>
      <c r="M1233" t="n">
        <v>24000</v>
      </c>
      <c r="N1233" t="n">
        <v>91</v>
      </c>
      <c r="O1233" t="n">
        <v>0.91</v>
      </c>
      <c r="P1233" t="n">
        <v>1</v>
      </c>
      <c r="Q1233" t="n">
        <v>4.32</v>
      </c>
      <c r="R1233" t="n">
        <v>11</v>
      </c>
      <c r="S1233" t="n">
        <v>169915.2</v>
      </c>
      <c r="T1233" t="n">
        <v>79</v>
      </c>
      <c r="U1233" t="n">
        <v>94</v>
      </c>
      <c r="V1233" t="n">
        <v>30</v>
      </c>
      <c r="W1233" t="n">
        <v>213</v>
      </c>
      <c r="X1233" t="n">
        <v>12.42972965338004</v>
      </c>
      <c r="Y1233" t="n">
        <v>1</v>
      </c>
      <c r="Z1233" t="n">
        <v>125</v>
      </c>
      <c r="AA1233" t="n">
        <v>0</v>
      </c>
      <c r="AB1233" t="n">
        <v>125</v>
      </c>
      <c r="AC1233" t="n">
        <v>125</v>
      </c>
      <c r="AD1233" t="n">
        <v>0</v>
      </c>
      <c r="AE1233" t="n">
        <v>2442500</v>
      </c>
      <c r="AF1233" t="n">
        <v>11691</v>
      </c>
      <c r="AG1233" t="n">
        <v>63</v>
      </c>
      <c r="AH1233" t="inlineStr">
        <is>
          <t>PT. PARAMA GLOBAL INSPIRA - PPN (PDG)</t>
        </is>
      </c>
      <c r="AI1233" t="n">
        <v>63</v>
      </c>
      <c r="AJ1233" t="inlineStr">
        <is>
          <t>EMINA</t>
        </is>
      </c>
      <c r="AK1233" t="n">
        <v>21</v>
      </c>
      <c r="AL1233" t="inlineStr">
        <is>
          <t>Miss Glam Damar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EMINA</t>
        </is>
      </c>
      <c r="B1234" s="2">
        <f>"101001115224"</f>
        <v/>
      </c>
      <c r="C1234" t="inlineStr">
        <is>
          <t>EMINA Amino PHA Brightening Low pH Cleanser 70 ml</t>
        </is>
      </c>
      <c r="D1234" t="inlineStr">
        <is>
          <t>Miss Glam Damar</t>
        </is>
      </c>
      <c r="E1234" t="n">
        <v>6</v>
      </c>
      <c r="F1234" t="n">
        <v>0.1274</v>
      </c>
      <c r="G1234" t="n">
        <v>0.91</v>
      </c>
      <c r="H1234" t="n">
        <v>2</v>
      </c>
      <c r="I1234" t="n">
        <v>6</v>
      </c>
      <c r="J1234" t="n">
        <v>1</v>
      </c>
      <c r="K1234" t="n">
        <v>0</v>
      </c>
      <c r="L1234" t="n">
        <v>26054</v>
      </c>
      <c r="M1234" t="n">
        <v>32000</v>
      </c>
      <c r="N1234" t="n">
        <v>91</v>
      </c>
      <c r="O1234" t="n">
        <v>0.91</v>
      </c>
      <c r="P1234" t="n">
        <v>1</v>
      </c>
      <c r="Q1234" t="n">
        <v>0.1</v>
      </c>
      <c r="R1234" t="n">
        <v>2</v>
      </c>
      <c r="S1234" t="n">
        <v>4076.800000000001</v>
      </c>
      <c r="T1234" t="n">
        <v>6</v>
      </c>
      <c r="U1234" t="n">
        <v>7</v>
      </c>
      <c r="V1234" t="n">
        <v>30</v>
      </c>
      <c r="W1234" t="n">
        <v>4</v>
      </c>
      <c r="X1234" t="n">
        <v>47.09576138147566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11691</v>
      </c>
      <c r="AG1234" t="n">
        <v>63</v>
      </c>
      <c r="AH1234" t="inlineStr">
        <is>
          <t>PT. PARAMA GLOBAL INSPIRA - PPN (PDG)</t>
        </is>
      </c>
      <c r="AI1234" t="n">
        <v>63</v>
      </c>
      <c r="AJ1234" t="inlineStr">
        <is>
          <t>EMINA</t>
        </is>
      </c>
      <c r="AK1234" t="n">
        <v>21</v>
      </c>
      <c r="AL1234" t="inlineStr">
        <is>
          <t>Miss Glam Damar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EMINA</t>
        </is>
      </c>
      <c r="B1235" s="2">
        <f>"8993137700092"</f>
        <v/>
      </c>
      <c r="C1235" t="inlineStr">
        <is>
          <t>EMINA Aqua Infused Sleeping Mask 30gr</t>
        </is>
      </c>
      <c r="D1235" t="inlineStr">
        <is>
          <t>Miss Glam Damar</t>
        </is>
      </c>
      <c r="E1235" t="n">
        <v>0</v>
      </c>
      <c r="F1235" t="n">
        <v>0.04550000000000001</v>
      </c>
      <c r="G1235" t="n">
        <v>0.91</v>
      </c>
      <c r="H1235" t="n">
        <v>2</v>
      </c>
      <c r="I1235" t="n">
        <v>6</v>
      </c>
      <c r="J1235" t="n">
        <v>3</v>
      </c>
      <c r="K1235" t="n">
        <v>0</v>
      </c>
      <c r="L1235" t="n">
        <v>36782</v>
      </c>
      <c r="M1235" t="n">
        <v>45000</v>
      </c>
      <c r="N1235" t="n">
        <v>91</v>
      </c>
      <c r="O1235" t="n">
        <v>0.91</v>
      </c>
      <c r="P1235" t="n">
        <v>1</v>
      </c>
      <c r="Q1235" t="n">
        <v>0.07000000000000001</v>
      </c>
      <c r="R1235" t="n">
        <v>2</v>
      </c>
      <c r="S1235" t="n">
        <v>2047.5</v>
      </c>
      <c r="T1235" t="n">
        <v>6</v>
      </c>
      <c r="U1235" t="n">
        <v>7</v>
      </c>
      <c r="V1235" t="n">
        <v>30</v>
      </c>
      <c r="W1235" t="n">
        <v>2</v>
      </c>
      <c r="X1235" t="n">
        <v>0</v>
      </c>
      <c r="Y1235" t="n">
        <v>1</v>
      </c>
      <c r="Z1235" t="n">
        <v>2</v>
      </c>
      <c r="AA1235" t="n">
        <v>1</v>
      </c>
      <c r="AB1235" t="n">
        <v>1</v>
      </c>
      <c r="AC1235" t="n">
        <v>3</v>
      </c>
      <c r="AD1235" t="n">
        <v>36782</v>
      </c>
      <c r="AE1235" t="n">
        <v>110346</v>
      </c>
      <c r="AF1235" t="n">
        <v>11691</v>
      </c>
      <c r="AG1235" t="n">
        <v>63</v>
      </c>
      <c r="AH1235" t="inlineStr">
        <is>
          <t>PT. PARAMA GLOBAL INSPIRA - PPN (PDG)</t>
        </is>
      </c>
      <c r="AI1235" t="n">
        <v>63</v>
      </c>
      <c r="AJ1235" t="inlineStr">
        <is>
          <t>EMINA</t>
        </is>
      </c>
      <c r="AK1235" t="n">
        <v>21</v>
      </c>
      <c r="AL1235" t="inlineStr">
        <is>
          <t>Miss Glam Damar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EMINA</t>
        </is>
      </c>
      <c r="B1236" s="2">
        <f>"8993137691369"</f>
        <v/>
      </c>
      <c r="C1236" t="inlineStr">
        <is>
          <t>EMINA Bare With Me Mineral Loose Powder 03 Amber 8gr</t>
        </is>
      </c>
      <c r="D1236" t="inlineStr">
        <is>
          <t>Miss Glam Damar</t>
        </is>
      </c>
      <c r="E1236" t="n">
        <v>2</v>
      </c>
      <c r="F1236" t="n">
        <v>0.0182</v>
      </c>
      <c r="G1236" t="n">
        <v>0.91</v>
      </c>
      <c r="H1236" t="n">
        <v>2</v>
      </c>
      <c r="I1236" t="n">
        <v>6</v>
      </c>
      <c r="J1236" t="n">
        <v>3</v>
      </c>
      <c r="K1236" t="n">
        <v>0</v>
      </c>
      <c r="L1236" t="n">
        <v>47127</v>
      </c>
      <c r="M1236" t="n">
        <v>56000</v>
      </c>
      <c r="N1236" t="n">
        <v>91</v>
      </c>
      <c r="O1236" t="n">
        <v>0.91</v>
      </c>
      <c r="P1236" t="n">
        <v>1</v>
      </c>
      <c r="Q1236" t="n">
        <v>0.02</v>
      </c>
      <c r="R1236" t="n">
        <v>1</v>
      </c>
      <c r="S1236" t="n">
        <v>1019.2</v>
      </c>
      <c r="T1236" t="n">
        <v>6</v>
      </c>
      <c r="U1236" t="n">
        <v>7</v>
      </c>
      <c r="V1236" t="n">
        <v>30</v>
      </c>
      <c r="W1236" t="n">
        <v>1</v>
      </c>
      <c r="X1236" t="n">
        <v>109.8901098901099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11691</v>
      </c>
      <c r="AG1236" t="n">
        <v>63</v>
      </c>
      <c r="AH1236" t="inlineStr">
        <is>
          <t>PT. PARAMA GLOBAL INSPIRA - PPN (PDG)</t>
        </is>
      </c>
      <c r="AI1236" t="n">
        <v>63</v>
      </c>
      <c r="AJ1236" t="inlineStr">
        <is>
          <t>EMINA</t>
        </is>
      </c>
      <c r="AK1236" t="n">
        <v>21</v>
      </c>
      <c r="AL1236" t="inlineStr">
        <is>
          <t>Miss Glam Damar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EMINA</t>
        </is>
      </c>
      <c r="B1237" s="2">
        <f>"203003102901"</f>
        <v/>
      </c>
      <c r="C1237" t="inlineStr">
        <is>
          <t>EMINA Bouncy Tint 01 Ginger Cloud 7.4gr</t>
        </is>
      </c>
      <c r="D1237" t="inlineStr">
        <is>
          <t>Miss Glam Damar</t>
        </is>
      </c>
      <c r="E1237" t="n">
        <v>12</v>
      </c>
      <c r="F1237" t="n">
        <v>0.1365</v>
      </c>
      <c r="G1237" t="n">
        <v>0.91</v>
      </c>
      <c r="H1237" t="n">
        <v>2</v>
      </c>
      <c r="I1237" t="n">
        <v>6</v>
      </c>
      <c r="J1237" t="n">
        <v>1</v>
      </c>
      <c r="K1237" t="n">
        <v>0</v>
      </c>
      <c r="L1237" t="n">
        <v>50575</v>
      </c>
      <c r="M1237" t="n">
        <v>62000</v>
      </c>
      <c r="N1237" t="n">
        <v>91</v>
      </c>
      <c r="O1237" t="n">
        <v>0.91</v>
      </c>
      <c r="P1237" t="n">
        <v>1</v>
      </c>
      <c r="Q1237" t="n">
        <v>0.2</v>
      </c>
      <c r="R1237" t="n">
        <v>3</v>
      </c>
      <c r="S1237" t="n">
        <v>8463</v>
      </c>
      <c r="T1237" t="n">
        <v>6</v>
      </c>
      <c r="U1237" t="n">
        <v>7</v>
      </c>
      <c r="V1237" t="n">
        <v>30</v>
      </c>
      <c r="W1237" t="n">
        <v>5</v>
      </c>
      <c r="X1237" t="n">
        <v>87.91208791208791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11691</v>
      </c>
      <c r="AG1237" t="n">
        <v>63</v>
      </c>
      <c r="AH1237" t="inlineStr">
        <is>
          <t>PT. PARAMA GLOBAL INSPIRA - PPN (PDG)</t>
        </is>
      </c>
      <c r="AI1237" t="n">
        <v>63</v>
      </c>
      <c r="AJ1237" t="inlineStr">
        <is>
          <t>EMINA</t>
        </is>
      </c>
      <c r="AK1237" t="n">
        <v>21</v>
      </c>
      <c r="AL1237" t="inlineStr">
        <is>
          <t>Miss Glam Damar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EMINA</t>
        </is>
      </c>
      <c r="B1238" s="2">
        <f>"203003103039"</f>
        <v/>
      </c>
      <c r="C1238" t="inlineStr">
        <is>
          <t>EMINA Bouncy Tint 02 Plush Popsicle 7.4gr</t>
        </is>
      </c>
      <c r="D1238" t="inlineStr">
        <is>
          <t>Miss Glam Damar</t>
        </is>
      </c>
      <c r="E1238" t="n">
        <v>10</v>
      </c>
      <c r="F1238" t="n">
        <v>0.182</v>
      </c>
      <c r="G1238" t="n">
        <v>1.82</v>
      </c>
      <c r="H1238" t="n">
        <v>2</v>
      </c>
      <c r="I1238" t="n">
        <v>6</v>
      </c>
      <c r="J1238" t="n">
        <v>1</v>
      </c>
      <c r="K1238" t="n">
        <v>0</v>
      </c>
      <c r="L1238" t="n">
        <v>50575</v>
      </c>
      <c r="M1238" t="n">
        <v>62000</v>
      </c>
      <c r="N1238" t="n">
        <v>91</v>
      </c>
      <c r="O1238" t="n">
        <v>0.91</v>
      </c>
      <c r="P1238" t="n">
        <v>1</v>
      </c>
      <c r="Q1238" t="n">
        <v>0.17</v>
      </c>
      <c r="R1238" t="n">
        <v>2</v>
      </c>
      <c r="S1238" t="n">
        <v>11284</v>
      </c>
      <c r="T1238" t="n">
        <v>11</v>
      </c>
      <c r="U1238" t="n">
        <v>12</v>
      </c>
      <c r="V1238" t="n">
        <v>30</v>
      </c>
      <c r="W1238" t="n">
        <v>6</v>
      </c>
      <c r="X1238" t="n">
        <v>54.94505494505494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11691</v>
      </c>
      <c r="AG1238" t="n">
        <v>63</v>
      </c>
      <c r="AH1238" t="inlineStr">
        <is>
          <t>PT. PARAMA GLOBAL INSPIRA - PPN (PDG)</t>
        </is>
      </c>
      <c r="AI1238" t="n">
        <v>63</v>
      </c>
      <c r="AJ1238" t="inlineStr">
        <is>
          <t>EMINA</t>
        </is>
      </c>
      <c r="AK1238" t="n">
        <v>21</v>
      </c>
      <c r="AL1238" t="inlineStr">
        <is>
          <t>Miss Glam Damar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EMINA</t>
        </is>
      </c>
      <c r="B1239" s="2">
        <f>"203003103111"</f>
        <v/>
      </c>
      <c r="C1239" t="inlineStr">
        <is>
          <t>EMINA Bouncy Tint 03 Tea Puff 7.4gr</t>
        </is>
      </c>
      <c r="D1239" t="inlineStr">
        <is>
          <t>Miss Glam Damar</t>
        </is>
      </c>
      <c r="E1239" t="n">
        <v>9</v>
      </c>
      <c r="F1239" t="n">
        <v>0.2275</v>
      </c>
      <c r="G1239" t="n">
        <v>1.82</v>
      </c>
      <c r="H1239" t="n">
        <v>2</v>
      </c>
      <c r="I1239" t="n">
        <v>6</v>
      </c>
      <c r="J1239" t="n">
        <v>1</v>
      </c>
      <c r="K1239" t="n">
        <v>0</v>
      </c>
      <c r="L1239" t="n">
        <v>50575</v>
      </c>
      <c r="M1239" t="n">
        <v>62000</v>
      </c>
      <c r="N1239" t="n">
        <v>91</v>
      </c>
      <c r="O1239" t="n">
        <v>0.91</v>
      </c>
      <c r="P1239" t="n">
        <v>1</v>
      </c>
      <c r="Q1239" t="n">
        <v>0.39</v>
      </c>
      <c r="R1239" t="n">
        <v>2</v>
      </c>
      <c r="S1239" t="n">
        <v>14105</v>
      </c>
      <c r="T1239" t="n">
        <v>11</v>
      </c>
      <c r="U1239" t="n">
        <v>12</v>
      </c>
      <c r="V1239" t="n">
        <v>30</v>
      </c>
      <c r="W1239" t="n">
        <v>7</v>
      </c>
      <c r="X1239" t="n">
        <v>39.56043956043956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11691</v>
      </c>
      <c r="AG1239" t="n">
        <v>63</v>
      </c>
      <c r="AH1239" t="inlineStr">
        <is>
          <t>PT. PARAMA GLOBAL INSPIRA - PPN (PDG)</t>
        </is>
      </c>
      <c r="AI1239" t="n">
        <v>63</v>
      </c>
      <c r="AJ1239" t="inlineStr">
        <is>
          <t>EMINA</t>
        </is>
      </c>
      <c r="AK1239" t="n">
        <v>21</v>
      </c>
      <c r="AL1239" t="inlineStr">
        <is>
          <t>Miss Glam Damar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EMINA</t>
        </is>
      </c>
      <c r="B1240" s="2">
        <f>"203003103245"</f>
        <v/>
      </c>
      <c r="C1240" t="inlineStr">
        <is>
          <t>EMINA Bouncy Tint 04 Berry Mousse 7.4gr</t>
        </is>
      </c>
      <c r="D1240" t="inlineStr">
        <is>
          <t>Miss Glam Damar</t>
        </is>
      </c>
      <c r="E1240" t="n">
        <v>7</v>
      </c>
      <c r="F1240" t="n">
        <v>0.0728</v>
      </c>
      <c r="G1240" t="n">
        <v>0.91</v>
      </c>
      <c r="H1240" t="n">
        <v>2</v>
      </c>
      <c r="I1240" t="n">
        <v>6</v>
      </c>
      <c r="J1240" t="n">
        <v>1</v>
      </c>
      <c r="K1240" t="n">
        <v>0</v>
      </c>
      <c r="L1240" t="n">
        <v>52981</v>
      </c>
      <c r="M1240" t="n">
        <v>62000</v>
      </c>
      <c r="N1240" t="n">
        <v>91</v>
      </c>
      <c r="O1240" t="n">
        <v>0.91</v>
      </c>
      <c r="P1240" t="n">
        <v>1</v>
      </c>
      <c r="Q1240" t="n">
        <v>0.08</v>
      </c>
      <c r="R1240" t="n">
        <v>1</v>
      </c>
      <c r="S1240" t="n">
        <v>4513.6</v>
      </c>
      <c r="T1240" t="n">
        <v>6</v>
      </c>
      <c r="U1240" t="n">
        <v>7</v>
      </c>
      <c r="V1240" t="n">
        <v>30</v>
      </c>
      <c r="W1240" t="n">
        <v>3</v>
      </c>
      <c r="X1240" t="n">
        <v>96.15384615384615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11691</v>
      </c>
      <c r="AG1240" t="n">
        <v>63</v>
      </c>
      <c r="AH1240" t="inlineStr">
        <is>
          <t>PT. PARAMA GLOBAL INSPIRA - PPN (PDG)</t>
        </is>
      </c>
      <c r="AI1240" t="n">
        <v>63</v>
      </c>
      <c r="AJ1240" t="inlineStr">
        <is>
          <t>EMINA</t>
        </is>
      </c>
      <c r="AK1240" t="n">
        <v>21</v>
      </c>
      <c r="AL1240" t="inlineStr">
        <is>
          <t>Miss Glam Damar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EMINA</t>
        </is>
      </c>
      <c r="B1241" s="2">
        <f>"203003103405"</f>
        <v/>
      </c>
      <c r="C1241" t="inlineStr">
        <is>
          <t>EMINA Bouncy Tint 05 Peach Fluff 7.4gr</t>
        </is>
      </c>
      <c r="D1241" t="inlineStr">
        <is>
          <t>Miss Glam Damar</t>
        </is>
      </c>
      <c r="E1241" t="n">
        <v>13</v>
      </c>
      <c r="F1241" t="n">
        <v>0.1092</v>
      </c>
      <c r="G1241" t="n">
        <v>0.91</v>
      </c>
      <c r="H1241" t="n">
        <v>2</v>
      </c>
      <c r="I1241" t="n">
        <v>6</v>
      </c>
      <c r="J1241" t="n">
        <v>1</v>
      </c>
      <c r="K1241" t="n">
        <v>0</v>
      </c>
      <c r="L1241" t="n">
        <v>50575</v>
      </c>
      <c r="M1241" t="n">
        <v>62000</v>
      </c>
      <c r="N1241" t="n">
        <v>91</v>
      </c>
      <c r="O1241" t="n">
        <v>0.91</v>
      </c>
      <c r="P1241" t="n">
        <v>1</v>
      </c>
      <c r="Q1241" t="n">
        <v>0.08</v>
      </c>
      <c r="R1241" t="n">
        <v>1</v>
      </c>
      <c r="S1241" t="n">
        <v>6770.400000000001</v>
      </c>
      <c r="T1241" t="n">
        <v>6</v>
      </c>
      <c r="U1241" t="n">
        <v>7</v>
      </c>
      <c r="V1241" t="n">
        <v>30</v>
      </c>
      <c r="W1241" t="n">
        <v>4</v>
      </c>
      <c r="X1241" t="n">
        <v>119.047619047619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11691</v>
      </c>
      <c r="AG1241" t="n">
        <v>63</v>
      </c>
      <c r="AH1241" t="inlineStr">
        <is>
          <t>PT. PARAMA GLOBAL INSPIRA - PPN (PDG)</t>
        </is>
      </c>
      <c r="AI1241" t="n">
        <v>63</v>
      </c>
      <c r="AJ1241" t="inlineStr">
        <is>
          <t>EMINA</t>
        </is>
      </c>
      <c r="AK1241" t="n">
        <v>21</v>
      </c>
      <c r="AL1241" t="inlineStr">
        <is>
          <t>Miss Glam Damar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EMINA</t>
        </is>
      </c>
      <c r="B1242" s="2">
        <f>"203003103345"</f>
        <v/>
      </c>
      <c r="C1242" t="inlineStr">
        <is>
          <t>EMINA Bouncy Tint 06 Bouncy Blush 7.4gr</t>
        </is>
      </c>
      <c r="D1242" t="inlineStr">
        <is>
          <t>Miss Glam Damar</t>
        </is>
      </c>
      <c r="E1242" t="n">
        <v>6</v>
      </c>
      <c r="F1242" t="n">
        <v>0.1092</v>
      </c>
      <c r="G1242" t="n">
        <v>0.91</v>
      </c>
      <c r="H1242" t="n">
        <v>2</v>
      </c>
      <c r="I1242" t="n">
        <v>6</v>
      </c>
      <c r="J1242" t="n">
        <v>1</v>
      </c>
      <c r="K1242" t="n">
        <v>0</v>
      </c>
      <c r="L1242" t="n">
        <v>50576</v>
      </c>
      <c r="M1242" t="n">
        <v>62000</v>
      </c>
      <c r="N1242" t="n">
        <v>91</v>
      </c>
      <c r="O1242" t="n">
        <v>0.91</v>
      </c>
      <c r="P1242" t="n">
        <v>1</v>
      </c>
      <c r="Q1242" t="n">
        <v>0.15</v>
      </c>
      <c r="R1242" t="n">
        <v>2</v>
      </c>
      <c r="S1242" t="n">
        <v>6770.400000000001</v>
      </c>
      <c r="T1242" t="n">
        <v>6</v>
      </c>
      <c r="U1242" t="n">
        <v>7</v>
      </c>
      <c r="V1242" t="n">
        <v>30</v>
      </c>
      <c r="W1242" t="n">
        <v>4</v>
      </c>
      <c r="X1242" t="n">
        <v>54.94505494505494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11691</v>
      </c>
      <c r="AG1242" t="n">
        <v>63</v>
      </c>
      <c r="AH1242" t="inlineStr">
        <is>
          <t>PT. PARAMA GLOBAL INSPIRA - PPN (PDG)</t>
        </is>
      </c>
      <c r="AI1242" t="n">
        <v>63</v>
      </c>
      <c r="AJ1242" t="inlineStr">
        <is>
          <t>EMINA</t>
        </is>
      </c>
      <c r="AK1242" t="n">
        <v>21</v>
      </c>
      <c r="AL1242" t="inlineStr">
        <is>
          <t>Miss Glam Damar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EMINA</t>
        </is>
      </c>
      <c r="B1243" s="2">
        <f>"8993137727709"</f>
        <v/>
      </c>
      <c r="C1243" t="inlineStr">
        <is>
          <t>EMINA Bright Stuff Exfoliating Toner 100ml</t>
        </is>
      </c>
      <c r="D1243" t="inlineStr">
        <is>
          <t>Miss Glam Damar</t>
        </is>
      </c>
      <c r="E1243" t="n">
        <v>4</v>
      </c>
      <c r="F1243" t="n">
        <v>0.06370000000000001</v>
      </c>
      <c r="G1243" t="n">
        <v>0.91</v>
      </c>
      <c r="H1243" t="n">
        <v>2</v>
      </c>
      <c r="I1243" t="n">
        <v>6</v>
      </c>
      <c r="J1243" t="n">
        <v>3</v>
      </c>
      <c r="K1243" t="n">
        <v>0</v>
      </c>
      <c r="L1243" t="n">
        <v>30141</v>
      </c>
      <c r="M1243" t="n">
        <v>37000</v>
      </c>
      <c r="N1243" t="n">
        <v>91</v>
      </c>
      <c r="O1243" t="n">
        <v>0.91</v>
      </c>
      <c r="P1243" t="n">
        <v>1</v>
      </c>
      <c r="Q1243" t="n">
        <v>0.03</v>
      </c>
      <c r="R1243" t="n">
        <v>1</v>
      </c>
      <c r="S1243" t="n">
        <v>2356.9</v>
      </c>
      <c r="T1243" t="n">
        <v>6</v>
      </c>
      <c r="U1243" t="n">
        <v>7</v>
      </c>
      <c r="V1243" t="n">
        <v>30</v>
      </c>
      <c r="W1243" t="n">
        <v>2</v>
      </c>
      <c r="X1243" t="n">
        <v>62.79434850863422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11691</v>
      </c>
      <c r="AG1243" t="n">
        <v>63</v>
      </c>
      <c r="AH1243" t="inlineStr">
        <is>
          <t>PT. PARAMA GLOBAL INSPIRA - PPN (PDG)</t>
        </is>
      </c>
      <c r="AI1243" t="n">
        <v>63</v>
      </c>
      <c r="AJ1243" t="inlineStr">
        <is>
          <t>EMINA</t>
        </is>
      </c>
      <c r="AK1243" t="n">
        <v>21</v>
      </c>
      <c r="AL1243" t="inlineStr">
        <is>
          <t>Miss Glam Damar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EMINA</t>
        </is>
      </c>
      <c r="B1244" s="2">
        <f>"8993137712811"</f>
        <v/>
      </c>
      <c r="C1244" t="inlineStr">
        <is>
          <t>EMINA Bright Stuff Face Serum 30ml</t>
        </is>
      </c>
      <c r="D1244" t="inlineStr">
        <is>
          <t>Miss Glam Damar</t>
        </is>
      </c>
      <c r="E1244" t="n">
        <v>12</v>
      </c>
      <c r="F1244" t="n">
        <v>0.4459</v>
      </c>
      <c r="G1244" t="n">
        <v>3.64</v>
      </c>
      <c r="H1244" t="n">
        <v>2</v>
      </c>
      <c r="I1244" t="n">
        <v>6</v>
      </c>
      <c r="J1244" t="n">
        <v>3</v>
      </c>
      <c r="K1244" t="n">
        <v>0</v>
      </c>
      <c r="L1244" t="n">
        <v>40997</v>
      </c>
      <c r="M1244" t="n">
        <v>50000</v>
      </c>
      <c r="N1244" t="n">
        <v>91</v>
      </c>
      <c r="O1244" t="n">
        <v>0.91</v>
      </c>
      <c r="P1244" t="n">
        <v>1</v>
      </c>
      <c r="Q1244" t="n">
        <v>0.39</v>
      </c>
      <c r="R1244" t="n">
        <v>3</v>
      </c>
      <c r="S1244" t="n">
        <v>22295</v>
      </c>
      <c r="T1244" t="n">
        <v>21</v>
      </c>
      <c r="U1244" t="n">
        <v>22</v>
      </c>
      <c r="V1244" t="n">
        <v>30</v>
      </c>
      <c r="W1244" t="n">
        <v>14</v>
      </c>
      <c r="X1244" t="n">
        <v>26.91186364655752</v>
      </c>
      <c r="Y1244" t="n">
        <v>1</v>
      </c>
      <c r="Z1244" t="n">
        <v>2</v>
      </c>
      <c r="AA1244" t="n">
        <v>0</v>
      </c>
      <c r="AB1244" t="n">
        <v>2</v>
      </c>
      <c r="AC1244" t="n">
        <v>3</v>
      </c>
      <c r="AD1244" t="n">
        <v>0</v>
      </c>
      <c r="AE1244" t="n">
        <v>122991</v>
      </c>
      <c r="AF1244" t="n">
        <v>11691</v>
      </c>
      <c r="AG1244" t="n">
        <v>63</v>
      </c>
      <c r="AH1244" t="inlineStr">
        <is>
          <t>PT. PARAMA GLOBAL INSPIRA - PPN (PDG)</t>
        </is>
      </c>
      <c r="AI1244" t="n">
        <v>63</v>
      </c>
      <c r="AJ1244" t="inlineStr">
        <is>
          <t>EMINA</t>
        </is>
      </c>
      <c r="AK1244" t="n">
        <v>21</v>
      </c>
      <c r="AL1244" t="inlineStr">
        <is>
          <t>Miss Glam Damar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EMINA</t>
        </is>
      </c>
      <c r="B1245" s="2">
        <f>"8993137711029"</f>
        <v/>
      </c>
      <c r="C1245" t="inlineStr">
        <is>
          <t>EMINA Bright Stuff Face Toner 100ml</t>
        </is>
      </c>
      <c r="D1245" t="inlineStr">
        <is>
          <t>Miss Glam Damar</t>
        </is>
      </c>
      <c r="E1245" t="n">
        <v>7</v>
      </c>
      <c r="F1245" t="n">
        <v>0.6916</v>
      </c>
      <c r="G1245" t="n">
        <v>3.64</v>
      </c>
      <c r="H1245" t="n">
        <v>2</v>
      </c>
      <c r="I1245" t="n">
        <v>6</v>
      </c>
      <c r="J1245" t="n">
        <v>3</v>
      </c>
      <c r="K1245" t="n">
        <v>0</v>
      </c>
      <c r="L1245" t="n">
        <v>22989</v>
      </c>
      <c r="M1245" t="n">
        <v>28500</v>
      </c>
      <c r="N1245" t="n">
        <v>91</v>
      </c>
      <c r="O1245" t="n">
        <v>0.91</v>
      </c>
      <c r="P1245" t="n">
        <v>1</v>
      </c>
      <c r="Q1245" t="n">
        <v>0.46</v>
      </c>
      <c r="R1245" t="n">
        <v>2</v>
      </c>
      <c r="S1245" t="n">
        <v>19710.6</v>
      </c>
      <c r="T1245" t="n">
        <v>21</v>
      </c>
      <c r="U1245" t="n">
        <v>23</v>
      </c>
      <c r="V1245" t="n">
        <v>30</v>
      </c>
      <c r="W1245" t="n">
        <v>21</v>
      </c>
      <c r="X1245" t="n">
        <v>10.12145748987854</v>
      </c>
      <c r="Y1245" t="n">
        <v>1</v>
      </c>
      <c r="Z1245" t="n">
        <v>14</v>
      </c>
      <c r="AA1245" t="n">
        <v>0</v>
      </c>
      <c r="AB1245" t="n">
        <v>14</v>
      </c>
      <c r="AC1245" t="n">
        <v>14</v>
      </c>
      <c r="AD1245" t="n">
        <v>0</v>
      </c>
      <c r="AE1245" t="n">
        <v>321846</v>
      </c>
      <c r="AF1245" t="n">
        <v>11691</v>
      </c>
      <c r="AG1245" t="n">
        <v>63</v>
      </c>
      <c r="AH1245" t="inlineStr">
        <is>
          <t>PT. PARAMA GLOBAL INSPIRA - PPN (PDG)</t>
        </is>
      </c>
      <c r="AI1245" t="n">
        <v>63</v>
      </c>
      <c r="AJ1245" t="inlineStr">
        <is>
          <t>EMINA</t>
        </is>
      </c>
      <c r="AK1245" t="n">
        <v>21</v>
      </c>
      <c r="AL1245" t="inlineStr">
        <is>
          <t>Miss Glam Damar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EMINA</t>
        </is>
      </c>
      <c r="B1246" s="2">
        <f>"8993137713184"</f>
        <v/>
      </c>
      <c r="C1246" t="inlineStr">
        <is>
          <t>EMINA Bright Stuff Face Toner 50 ml</t>
        </is>
      </c>
      <c r="D1246" t="inlineStr">
        <is>
          <t>Miss Glam Damar</t>
        </is>
      </c>
      <c r="E1246" t="n">
        <v>5</v>
      </c>
      <c r="F1246" t="n">
        <v>0.2912</v>
      </c>
      <c r="G1246" t="n">
        <v>2.73</v>
      </c>
      <c r="H1246" t="n">
        <v>2</v>
      </c>
      <c r="I1246" t="n">
        <v>6</v>
      </c>
      <c r="J1246" t="n">
        <v>3</v>
      </c>
      <c r="K1246" t="n">
        <v>0</v>
      </c>
      <c r="L1246" t="n">
        <v>14560</v>
      </c>
      <c r="M1246" t="n">
        <v>18000</v>
      </c>
      <c r="N1246" t="n">
        <v>91</v>
      </c>
      <c r="O1246" t="n">
        <v>0.91</v>
      </c>
      <c r="P1246" t="n">
        <v>1</v>
      </c>
      <c r="Q1246" t="n">
        <v>0.15</v>
      </c>
      <c r="R1246" t="n">
        <v>2</v>
      </c>
      <c r="S1246" t="n">
        <v>5241.6</v>
      </c>
      <c r="T1246" t="n">
        <v>16</v>
      </c>
      <c r="U1246" t="n">
        <v>17</v>
      </c>
      <c r="V1246" t="n">
        <v>30</v>
      </c>
      <c r="W1246" t="n">
        <v>9</v>
      </c>
      <c r="X1246" t="n">
        <v>17.17032967032967</v>
      </c>
      <c r="Y1246" t="n">
        <v>1</v>
      </c>
      <c r="Z1246" t="n">
        <v>4</v>
      </c>
      <c r="AA1246" t="n">
        <v>0</v>
      </c>
      <c r="AB1246" t="n">
        <v>4</v>
      </c>
      <c r="AC1246" t="n">
        <v>4</v>
      </c>
      <c r="AD1246" t="n">
        <v>0</v>
      </c>
      <c r="AE1246" t="n">
        <v>58240</v>
      </c>
      <c r="AF1246" t="n">
        <v>11691</v>
      </c>
      <c r="AG1246" t="n">
        <v>63</v>
      </c>
      <c r="AH1246" t="inlineStr">
        <is>
          <t>PT. PARAMA GLOBAL INSPIRA - PPN (PDG)</t>
        </is>
      </c>
      <c r="AI1246" t="n">
        <v>63</v>
      </c>
      <c r="AJ1246" t="inlineStr">
        <is>
          <t>EMINA</t>
        </is>
      </c>
      <c r="AK1246" t="n">
        <v>21</v>
      </c>
      <c r="AL1246" t="inlineStr">
        <is>
          <t>Miss Glam Damar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EMINA</t>
        </is>
      </c>
      <c r="B1247" s="2">
        <f>"8993137708289"</f>
        <v/>
      </c>
      <c r="C1247" t="inlineStr">
        <is>
          <t>EMINA Bright Stuff for Acne Prone Skin Face Wash 50ml</t>
        </is>
      </c>
      <c r="D1247" t="inlineStr">
        <is>
          <t>Miss Glam Damar</t>
        </is>
      </c>
      <c r="E1247" t="n">
        <v>21</v>
      </c>
      <c r="F1247" t="n">
        <v>1.1284</v>
      </c>
      <c r="G1247" t="n">
        <v>5.46</v>
      </c>
      <c r="H1247" t="n">
        <v>2</v>
      </c>
      <c r="I1247" t="n">
        <v>6</v>
      </c>
      <c r="J1247" t="n">
        <v>3</v>
      </c>
      <c r="K1247" t="n">
        <v>0</v>
      </c>
      <c r="L1247" t="n">
        <v>15709</v>
      </c>
      <c r="M1247" t="n">
        <v>19500</v>
      </c>
      <c r="N1247" t="n">
        <v>91</v>
      </c>
      <c r="O1247" t="n">
        <v>0.91</v>
      </c>
      <c r="P1247" t="n">
        <v>1</v>
      </c>
      <c r="Q1247" t="n">
        <v>0.61</v>
      </c>
      <c r="R1247" t="n">
        <v>3</v>
      </c>
      <c r="S1247" t="n">
        <v>22003.8</v>
      </c>
      <c r="T1247" t="n">
        <v>31</v>
      </c>
      <c r="U1247" t="n">
        <v>34</v>
      </c>
      <c r="V1247" t="n">
        <v>30</v>
      </c>
      <c r="W1247" t="n">
        <v>34</v>
      </c>
      <c r="X1247" t="n">
        <v>18.61042183622829</v>
      </c>
      <c r="Y1247" t="n">
        <v>1</v>
      </c>
      <c r="Z1247" t="n">
        <v>13</v>
      </c>
      <c r="AA1247" t="n">
        <v>0</v>
      </c>
      <c r="AB1247" t="n">
        <v>13</v>
      </c>
      <c r="AC1247" t="n">
        <v>13</v>
      </c>
      <c r="AD1247" t="n">
        <v>0</v>
      </c>
      <c r="AE1247" t="n">
        <v>204217</v>
      </c>
      <c r="AF1247" t="n">
        <v>11691</v>
      </c>
      <c r="AG1247" t="n">
        <v>63</v>
      </c>
      <c r="AH1247" t="inlineStr">
        <is>
          <t>PT. PARAMA GLOBAL INSPIRA - PPN (PDG)</t>
        </is>
      </c>
      <c r="AI1247" t="n">
        <v>63</v>
      </c>
      <c r="AJ1247" t="inlineStr">
        <is>
          <t>EMINA</t>
        </is>
      </c>
      <c r="AK1247" t="n">
        <v>21</v>
      </c>
      <c r="AL1247" t="inlineStr">
        <is>
          <t>Miss Glam Damar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EMINA</t>
        </is>
      </c>
      <c r="B1248" s="2">
        <f>"8993137707510"</f>
        <v/>
      </c>
      <c r="C1248" t="inlineStr">
        <is>
          <t>EMINA Bright Stuff for Acne Prone Skin Moisturizing Cream 20ml</t>
        </is>
      </c>
      <c r="D1248" t="inlineStr">
        <is>
          <t>Miss Glam Damar</t>
        </is>
      </c>
      <c r="E1248" t="n">
        <v>14</v>
      </c>
      <c r="F1248" t="n">
        <v>1.1102</v>
      </c>
      <c r="G1248" t="n">
        <v>8.19</v>
      </c>
      <c r="H1248" t="n">
        <v>2</v>
      </c>
      <c r="I1248" t="n">
        <v>6</v>
      </c>
      <c r="J1248" t="n">
        <v>3</v>
      </c>
      <c r="K1248" t="n">
        <v>0</v>
      </c>
      <c r="L1248" t="n">
        <v>20688</v>
      </c>
      <c r="M1248" t="n">
        <v>25500</v>
      </c>
      <c r="N1248" t="n">
        <v>91</v>
      </c>
      <c r="O1248" t="n">
        <v>0.91</v>
      </c>
      <c r="P1248" t="n">
        <v>1</v>
      </c>
      <c r="Q1248" t="n">
        <v>0.41</v>
      </c>
      <c r="R1248" t="n">
        <v>3</v>
      </c>
      <c r="S1248" t="n">
        <v>28310.1</v>
      </c>
      <c r="T1248" t="n">
        <v>47</v>
      </c>
      <c r="U1248" t="n">
        <v>50</v>
      </c>
      <c r="V1248" t="n">
        <v>30</v>
      </c>
      <c r="W1248" t="n">
        <v>34</v>
      </c>
      <c r="X1248" t="n">
        <v>12.61034047919294</v>
      </c>
      <c r="Y1248" t="n">
        <v>1</v>
      </c>
      <c r="Z1248" t="n">
        <v>20</v>
      </c>
      <c r="AA1248" t="n">
        <v>0</v>
      </c>
      <c r="AB1248" t="n">
        <v>20</v>
      </c>
      <c r="AC1248" t="n">
        <v>20</v>
      </c>
      <c r="AD1248" t="n">
        <v>0</v>
      </c>
      <c r="AE1248" t="n">
        <v>413760</v>
      </c>
      <c r="AF1248" t="n">
        <v>11691</v>
      </c>
      <c r="AG1248" t="n">
        <v>63</v>
      </c>
      <c r="AH1248" t="inlineStr">
        <is>
          <t>PT. PARAMA GLOBAL INSPIRA - PPN (PDG)</t>
        </is>
      </c>
      <c r="AI1248" t="n">
        <v>63</v>
      </c>
      <c r="AJ1248" t="inlineStr">
        <is>
          <t>EMINA</t>
        </is>
      </c>
      <c r="AK1248" t="n">
        <v>21</v>
      </c>
      <c r="AL1248" t="inlineStr">
        <is>
          <t>Miss Glam Damar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EMINA</t>
        </is>
      </c>
      <c r="B1249" s="2">
        <f>"8993137703246"</f>
        <v/>
      </c>
      <c r="C1249" t="inlineStr">
        <is>
          <t>EMINA Bright Stuff Loose Powder 55gr</t>
        </is>
      </c>
      <c r="D1249" t="inlineStr">
        <is>
          <t>Miss Glam Damar</t>
        </is>
      </c>
      <c r="E1249" t="n">
        <v>37</v>
      </c>
      <c r="F1249" t="n">
        <v>4.222399999999999</v>
      </c>
      <c r="G1249" t="n">
        <v>8.19</v>
      </c>
      <c r="H1249" t="n">
        <v>2</v>
      </c>
      <c r="I1249" t="n">
        <v>6</v>
      </c>
      <c r="J1249" t="n">
        <v>6</v>
      </c>
      <c r="K1249" t="n">
        <v>0</v>
      </c>
      <c r="L1249" t="n">
        <v>20690</v>
      </c>
      <c r="M1249" t="n">
        <v>25500</v>
      </c>
      <c r="N1249" t="n">
        <v>91</v>
      </c>
      <c r="O1249" t="n">
        <v>0.91</v>
      </c>
      <c r="P1249" t="n">
        <v>1</v>
      </c>
      <c r="Q1249" t="n">
        <v>2.83</v>
      </c>
      <c r="R1249" t="n">
        <v>8</v>
      </c>
      <c r="S1249" t="n">
        <v>107671.2</v>
      </c>
      <c r="T1249" t="n">
        <v>41</v>
      </c>
      <c r="U1249" t="n">
        <v>50</v>
      </c>
      <c r="V1249" t="n">
        <v>30</v>
      </c>
      <c r="W1249" t="n">
        <v>127</v>
      </c>
      <c r="X1249" t="n">
        <v>8.76278893520273</v>
      </c>
      <c r="Y1249" t="n">
        <v>1</v>
      </c>
      <c r="Z1249" t="n">
        <v>90</v>
      </c>
      <c r="AA1249" t="n">
        <v>0</v>
      </c>
      <c r="AB1249" t="n">
        <v>90</v>
      </c>
      <c r="AC1249" t="n">
        <v>90</v>
      </c>
      <c r="AD1249" t="n">
        <v>0</v>
      </c>
      <c r="AE1249" t="n">
        <v>1862100</v>
      </c>
      <c r="AF1249" t="n">
        <v>11691</v>
      </c>
      <c r="AG1249" t="n">
        <v>63</v>
      </c>
      <c r="AH1249" t="inlineStr">
        <is>
          <t>PT. PARAMA GLOBAL INSPIRA - PPN (PDG)</t>
        </is>
      </c>
      <c r="AI1249" t="n">
        <v>63</v>
      </c>
      <c r="AJ1249" t="inlineStr">
        <is>
          <t>EMINA</t>
        </is>
      </c>
      <c r="AK1249" t="n">
        <v>21</v>
      </c>
      <c r="AL1249" t="inlineStr">
        <is>
          <t>Miss Glam Damar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EMINA</t>
        </is>
      </c>
      <c r="B1250" s="2">
        <f>"8993137712408"</f>
        <v/>
      </c>
      <c r="C1250" t="inlineStr">
        <is>
          <t>EMINA Bright Stuff Micellar Water 50ml</t>
        </is>
      </c>
      <c r="D1250" t="inlineStr">
        <is>
          <t>Miss Glam Damar</t>
        </is>
      </c>
      <c r="E1250" t="n">
        <v>10</v>
      </c>
      <c r="F1250" t="n">
        <v>0.3094</v>
      </c>
      <c r="G1250" t="n">
        <v>2.73</v>
      </c>
      <c r="H1250" t="n">
        <v>2</v>
      </c>
      <c r="I1250" t="n">
        <v>6</v>
      </c>
      <c r="J1250" t="n">
        <v>3</v>
      </c>
      <c r="K1250" t="n">
        <v>0</v>
      </c>
      <c r="L1250" t="n">
        <v>13410</v>
      </c>
      <c r="M1250" t="n">
        <v>16500</v>
      </c>
      <c r="N1250" t="n">
        <v>91</v>
      </c>
      <c r="O1250" t="n">
        <v>0.91</v>
      </c>
      <c r="P1250" t="n">
        <v>1</v>
      </c>
      <c r="Q1250" t="n">
        <v>0.5600000000000001</v>
      </c>
      <c r="R1250" t="n">
        <v>3</v>
      </c>
      <c r="S1250" t="n">
        <v>5105.1</v>
      </c>
      <c r="T1250" t="n">
        <v>16</v>
      </c>
      <c r="U1250" t="n">
        <v>17</v>
      </c>
      <c r="V1250" t="n">
        <v>30</v>
      </c>
      <c r="W1250" t="n">
        <v>10</v>
      </c>
      <c r="X1250" t="n">
        <v>32.32062055591467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11691</v>
      </c>
      <c r="AG1250" t="n">
        <v>63</v>
      </c>
      <c r="AH1250" t="inlineStr">
        <is>
          <t>PT. PARAMA GLOBAL INSPIRA - PPN (PDG)</t>
        </is>
      </c>
      <c r="AI1250" t="n">
        <v>63</v>
      </c>
      <c r="AJ1250" t="inlineStr">
        <is>
          <t>EMINA</t>
        </is>
      </c>
      <c r="AK1250" t="n">
        <v>21</v>
      </c>
      <c r="AL1250" t="inlineStr">
        <is>
          <t>Miss Glam Damar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EMINA</t>
        </is>
      </c>
      <c r="B1251" s="2">
        <f>"8993137702102"</f>
        <v/>
      </c>
      <c r="C1251" t="inlineStr">
        <is>
          <t>EMINA Bright Stuff Moisturizing Cream 20ml</t>
        </is>
      </c>
      <c r="D1251" t="inlineStr">
        <is>
          <t>Miss Glam Damar</t>
        </is>
      </c>
      <c r="E1251" t="n">
        <v>25</v>
      </c>
      <c r="F1251" t="n">
        <v>1.9565</v>
      </c>
      <c r="G1251" t="n">
        <v>9.1</v>
      </c>
      <c r="H1251" t="n">
        <v>2</v>
      </c>
      <c r="I1251" t="n">
        <v>6</v>
      </c>
      <c r="J1251" t="n">
        <v>3</v>
      </c>
      <c r="K1251" t="n">
        <v>0</v>
      </c>
      <c r="L1251" t="n">
        <v>19540</v>
      </c>
      <c r="M1251" t="n">
        <v>24000</v>
      </c>
      <c r="N1251" t="n">
        <v>91</v>
      </c>
      <c r="O1251" t="n">
        <v>0.91</v>
      </c>
      <c r="P1251" t="n">
        <v>1</v>
      </c>
      <c r="Q1251" t="n">
        <v>1.1</v>
      </c>
      <c r="R1251" t="n">
        <v>6</v>
      </c>
      <c r="S1251" t="n">
        <v>46956</v>
      </c>
      <c r="T1251" t="n">
        <v>51</v>
      </c>
      <c r="U1251" t="n">
        <v>55</v>
      </c>
      <c r="V1251" t="n">
        <v>30</v>
      </c>
      <c r="W1251" t="n">
        <v>59</v>
      </c>
      <c r="X1251" t="n">
        <v>12.77791975466394</v>
      </c>
      <c r="Y1251" t="n">
        <v>1</v>
      </c>
      <c r="Z1251" t="n">
        <v>34</v>
      </c>
      <c r="AA1251" t="n">
        <v>0</v>
      </c>
      <c r="AB1251" t="n">
        <v>34</v>
      </c>
      <c r="AC1251" t="n">
        <v>34</v>
      </c>
      <c r="AD1251" t="n">
        <v>0</v>
      </c>
      <c r="AE1251" t="n">
        <v>664360</v>
      </c>
      <c r="AF1251" t="n">
        <v>11691</v>
      </c>
      <c r="AG1251" t="n">
        <v>63</v>
      </c>
      <c r="AH1251" t="inlineStr">
        <is>
          <t>PT. PARAMA GLOBAL INSPIRA - PPN (PDG)</t>
        </is>
      </c>
      <c r="AI1251" t="n">
        <v>63</v>
      </c>
      <c r="AJ1251" t="inlineStr">
        <is>
          <t>EMINA</t>
        </is>
      </c>
      <c r="AK1251" t="n">
        <v>21</v>
      </c>
      <c r="AL1251" t="inlineStr">
        <is>
          <t>Miss Glam Damar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EMINA</t>
        </is>
      </c>
      <c r="B1252" s="2">
        <f>"8993137727716"</f>
        <v/>
      </c>
      <c r="C1252" t="inlineStr">
        <is>
          <t>EMINA Bright Stuff Night Cream With Summer Plum Extract 20gr</t>
        </is>
      </c>
      <c r="D1252" t="inlineStr">
        <is>
          <t>Miss Glam Damar</t>
        </is>
      </c>
      <c r="E1252" t="n">
        <v>5</v>
      </c>
      <c r="F1252" t="n">
        <v>0.182</v>
      </c>
      <c r="G1252" t="n">
        <v>1.82</v>
      </c>
      <c r="H1252" t="n">
        <v>2</v>
      </c>
      <c r="I1252" t="n">
        <v>6</v>
      </c>
      <c r="J1252" t="n">
        <v>3</v>
      </c>
      <c r="K1252" t="n">
        <v>0</v>
      </c>
      <c r="L1252" t="n">
        <v>20690</v>
      </c>
      <c r="M1252" t="n">
        <v>25500</v>
      </c>
      <c r="N1252" t="n">
        <v>91</v>
      </c>
      <c r="O1252" t="n">
        <v>0.91</v>
      </c>
      <c r="P1252" t="n">
        <v>1</v>
      </c>
      <c r="Q1252" t="n">
        <v>0.1</v>
      </c>
      <c r="R1252" t="n">
        <v>1</v>
      </c>
      <c r="S1252" t="n">
        <v>4641.000000000001</v>
      </c>
      <c r="T1252" t="n">
        <v>11</v>
      </c>
      <c r="U1252" t="n">
        <v>12</v>
      </c>
      <c r="V1252" t="n">
        <v>30</v>
      </c>
      <c r="W1252" t="n">
        <v>6</v>
      </c>
      <c r="X1252" t="n">
        <v>27.47252747252747</v>
      </c>
      <c r="Y1252" t="n">
        <v>1</v>
      </c>
      <c r="Z1252" t="n">
        <v>1</v>
      </c>
      <c r="AA1252" t="n">
        <v>0</v>
      </c>
      <c r="AB1252" t="n">
        <v>1</v>
      </c>
      <c r="AC1252" t="n">
        <v>3</v>
      </c>
      <c r="AD1252" t="n">
        <v>0</v>
      </c>
      <c r="AE1252" t="n">
        <v>62070</v>
      </c>
      <c r="AF1252" t="n">
        <v>11691</v>
      </c>
      <c r="AG1252" t="n">
        <v>63</v>
      </c>
      <c r="AH1252" t="inlineStr">
        <is>
          <t>PT. PARAMA GLOBAL INSPIRA - PPN (PDG)</t>
        </is>
      </c>
      <c r="AI1252" t="n">
        <v>63</v>
      </c>
      <c r="AJ1252" t="inlineStr">
        <is>
          <t>EMINA</t>
        </is>
      </c>
      <c r="AK1252" t="n">
        <v>21</v>
      </c>
      <c r="AL1252" t="inlineStr">
        <is>
          <t>Miss Glam Damar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EMINA</t>
        </is>
      </c>
      <c r="B1253" s="2">
        <f>"8993137700047"</f>
        <v/>
      </c>
      <c r="C1253" t="inlineStr">
        <is>
          <t>EMINA Cheek Lit Cream Blush Nudie Brown 10ml</t>
        </is>
      </c>
      <c r="D1253" t="inlineStr">
        <is>
          <t>Miss Glam Damar</t>
        </is>
      </c>
      <c r="E1253" t="n">
        <v>6</v>
      </c>
      <c r="F1253" t="n">
        <v>0.05</v>
      </c>
      <c r="G1253" t="n">
        <v>1</v>
      </c>
      <c r="H1253" t="n">
        <v>2</v>
      </c>
      <c r="I1253" t="n">
        <v>6</v>
      </c>
      <c r="J1253" t="n">
        <v>3</v>
      </c>
      <c r="K1253" t="n">
        <v>0</v>
      </c>
      <c r="L1253" t="n">
        <v>25287</v>
      </c>
      <c r="M1253" t="n">
        <v>30500</v>
      </c>
      <c r="N1253" t="n">
        <v>91</v>
      </c>
      <c r="O1253" t="n">
        <v>0.91</v>
      </c>
      <c r="P1253" t="n">
        <v>0</v>
      </c>
      <c r="Q1253" t="n">
        <v>0.05</v>
      </c>
      <c r="R1253" t="n">
        <v>1</v>
      </c>
      <c r="S1253" t="n">
        <v>1525</v>
      </c>
      <c r="T1253" t="n">
        <v>6</v>
      </c>
      <c r="U1253" t="n">
        <v>7</v>
      </c>
      <c r="V1253" t="n">
        <v>30</v>
      </c>
      <c r="W1253" t="n">
        <v>2</v>
      </c>
      <c r="X1253" t="n">
        <v>120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11691</v>
      </c>
      <c r="AG1253" t="n">
        <v>63</v>
      </c>
      <c r="AH1253" t="inlineStr">
        <is>
          <t>PT. PARAMA GLOBAL INSPIRA - PPN (PDG)</t>
        </is>
      </c>
      <c r="AI1253" t="n">
        <v>63</v>
      </c>
      <c r="AJ1253" t="inlineStr">
        <is>
          <t>EMINA</t>
        </is>
      </c>
      <c r="AK1253" t="n">
        <v>21</v>
      </c>
      <c r="AL1253" t="inlineStr">
        <is>
          <t>Miss Glam Damar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EMINA</t>
        </is>
      </c>
      <c r="B1254" s="2">
        <f>"8993137691505"</f>
        <v/>
      </c>
      <c r="C1254" t="inlineStr">
        <is>
          <t>EMINA Cheek Lit Cream Blush Nudie Peach 10ml</t>
        </is>
      </c>
      <c r="D1254" t="inlineStr">
        <is>
          <t>Miss Glam Damar</t>
        </is>
      </c>
      <c r="E1254" t="n">
        <v>3</v>
      </c>
      <c r="F1254" t="n">
        <v>0.05</v>
      </c>
      <c r="G1254" t="n">
        <v>1</v>
      </c>
      <c r="H1254" t="n">
        <v>2</v>
      </c>
      <c r="I1254" t="n">
        <v>6</v>
      </c>
      <c r="J1254" t="n">
        <v>3</v>
      </c>
      <c r="K1254" t="n">
        <v>0</v>
      </c>
      <c r="L1254" t="n">
        <v>26820</v>
      </c>
      <c r="M1254" t="n">
        <v>33000</v>
      </c>
      <c r="N1254" t="n">
        <v>91</v>
      </c>
      <c r="O1254" t="n">
        <v>0.91</v>
      </c>
      <c r="P1254" t="n">
        <v>0</v>
      </c>
      <c r="Q1254" t="n">
        <v>0.05</v>
      </c>
      <c r="R1254" t="n">
        <v>1</v>
      </c>
      <c r="S1254" t="n">
        <v>1650</v>
      </c>
      <c r="T1254" t="n">
        <v>6</v>
      </c>
      <c r="U1254" t="n">
        <v>7</v>
      </c>
      <c r="V1254" t="n">
        <v>30</v>
      </c>
      <c r="W1254" t="n">
        <v>2</v>
      </c>
      <c r="X1254" t="n">
        <v>60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11691</v>
      </c>
      <c r="AG1254" t="n">
        <v>63</v>
      </c>
      <c r="AH1254" t="inlineStr">
        <is>
          <t>PT. PARAMA GLOBAL INSPIRA - PPN (PDG)</t>
        </is>
      </c>
      <c r="AI1254" t="n">
        <v>63</v>
      </c>
      <c r="AJ1254" t="inlineStr">
        <is>
          <t>EMINA</t>
        </is>
      </c>
      <c r="AK1254" t="n">
        <v>21</v>
      </c>
      <c r="AL1254" t="inlineStr">
        <is>
          <t>Miss Glam Damar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EMINA</t>
        </is>
      </c>
      <c r="B1255" s="2">
        <f>"8993137731478"</f>
        <v/>
      </c>
      <c r="C1255" t="inlineStr">
        <is>
          <t>EMINA Cheek Lit Pressed Blush Apple Crumble 3,5 gr</t>
        </is>
      </c>
      <c r="D1255" t="inlineStr">
        <is>
          <t>Miss Glam Damar</t>
        </is>
      </c>
      <c r="E1255" t="n">
        <v>5</v>
      </c>
      <c r="F1255" t="n">
        <v>0.06370000000000001</v>
      </c>
      <c r="G1255" t="n">
        <v>1.82</v>
      </c>
      <c r="H1255" t="n">
        <v>2</v>
      </c>
      <c r="I1255" t="n">
        <v>6</v>
      </c>
      <c r="J1255" t="n">
        <v>3</v>
      </c>
      <c r="K1255" t="n">
        <v>0</v>
      </c>
      <c r="L1255" t="n">
        <v>32928</v>
      </c>
      <c r="M1255" t="n">
        <v>40500</v>
      </c>
      <c r="N1255" t="n">
        <v>91</v>
      </c>
      <c r="O1255" t="n">
        <v>0.91</v>
      </c>
      <c r="P1255" t="n">
        <v>1</v>
      </c>
      <c r="Q1255" t="n">
        <v>0.08</v>
      </c>
      <c r="R1255" t="n">
        <v>2</v>
      </c>
      <c r="S1255" t="n">
        <v>2579.85</v>
      </c>
      <c r="T1255" t="n">
        <v>11</v>
      </c>
      <c r="U1255" t="n">
        <v>12</v>
      </c>
      <c r="V1255" t="n">
        <v>30</v>
      </c>
      <c r="W1255" t="n">
        <v>2</v>
      </c>
      <c r="X1255" t="n">
        <v>78.49293563579278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11691</v>
      </c>
      <c r="AG1255" t="n">
        <v>63</v>
      </c>
      <c r="AH1255" t="inlineStr">
        <is>
          <t>PT. PARAMA GLOBAL INSPIRA - PPN (PDG)</t>
        </is>
      </c>
      <c r="AI1255" t="n">
        <v>63</v>
      </c>
      <c r="AJ1255" t="inlineStr">
        <is>
          <t>EMINA</t>
        </is>
      </c>
      <c r="AK1255" t="n">
        <v>21</v>
      </c>
      <c r="AL1255" t="inlineStr">
        <is>
          <t>Miss Glam Damar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EMINA</t>
        </is>
      </c>
      <c r="B1256" s="2">
        <f>"8993137691994"</f>
        <v/>
      </c>
      <c r="C1256" t="inlineStr">
        <is>
          <t>EMINA Cheek Lit Pressed Blush Bittersweet 3.5gr</t>
        </is>
      </c>
      <c r="D1256" t="inlineStr">
        <is>
          <t>Miss Glam Damar</t>
        </is>
      </c>
      <c r="E1256" t="n">
        <v>8</v>
      </c>
      <c r="F1256" t="n">
        <v>0.1274</v>
      </c>
      <c r="G1256" t="n">
        <v>0.91</v>
      </c>
      <c r="H1256" t="n">
        <v>2</v>
      </c>
      <c r="I1256" t="n">
        <v>6</v>
      </c>
      <c r="J1256" t="n">
        <v>3</v>
      </c>
      <c r="K1256" t="n">
        <v>0</v>
      </c>
      <c r="L1256" t="n">
        <v>32913</v>
      </c>
      <c r="M1256" t="n">
        <v>40500</v>
      </c>
      <c r="N1256" t="n">
        <v>91</v>
      </c>
      <c r="O1256" t="n">
        <v>0.91</v>
      </c>
      <c r="P1256" t="n">
        <v>1</v>
      </c>
      <c r="Q1256" t="n">
        <v>0.12</v>
      </c>
      <c r="R1256" t="n">
        <v>1</v>
      </c>
      <c r="S1256" t="n">
        <v>5159.700000000001</v>
      </c>
      <c r="T1256" t="n">
        <v>6</v>
      </c>
      <c r="U1256" t="n">
        <v>7</v>
      </c>
      <c r="V1256" t="n">
        <v>30</v>
      </c>
      <c r="W1256" t="n">
        <v>4</v>
      </c>
      <c r="X1256" t="n">
        <v>62.79434850863422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11691</v>
      </c>
      <c r="AG1256" t="n">
        <v>63</v>
      </c>
      <c r="AH1256" t="inlineStr">
        <is>
          <t>PT. PARAMA GLOBAL INSPIRA - PPN (PDG)</t>
        </is>
      </c>
      <c r="AI1256" t="n">
        <v>63</v>
      </c>
      <c r="AJ1256" t="inlineStr">
        <is>
          <t>EMINA</t>
        </is>
      </c>
      <c r="AK1256" t="n">
        <v>21</v>
      </c>
      <c r="AL1256" t="inlineStr">
        <is>
          <t>Miss Glam Damar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EMINA</t>
        </is>
      </c>
      <c r="B1257" s="2">
        <f>"8993137731485"</f>
        <v/>
      </c>
      <c r="C1257" t="inlineStr">
        <is>
          <t>EMINA Cheek Lit Pressed Blush Cherry Popsicle 3,5gr</t>
        </is>
      </c>
      <c r="D1257" t="inlineStr">
        <is>
          <t>Miss Glam Damar</t>
        </is>
      </c>
      <c r="E1257" t="n">
        <v>27</v>
      </c>
      <c r="F1257" t="n">
        <v>0.9</v>
      </c>
      <c r="G1257" t="n">
        <v>3</v>
      </c>
      <c r="H1257" t="n">
        <v>2</v>
      </c>
      <c r="I1257" t="n">
        <v>6</v>
      </c>
      <c r="J1257" t="n">
        <v>3</v>
      </c>
      <c r="K1257" t="n">
        <v>0</v>
      </c>
      <c r="L1257" t="n">
        <v>32950</v>
      </c>
      <c r="M1257" t="n">
        <v>40500</v>
      </c>
      <c r="N1257" t="n">
        <v>91</v>
      </c>
      <c r="O1257" t="n">
        <v>0.91</v>
      </c>
      <c r="P1257" t="n">
        <v>0</v>
      </c>
      <c r="Q1257" t="n">
        <v>0.9</v>
      </c>
      <c r="R1257" t="n">
        <v>3</v>
      </c>
      <c r="S1257" t="n">
        <v>36450</v>
      </c>
      <c r="T1257" t="n">
        <v>17</v>
      </c>
      <c r="U1257" t="n">
        <v>19</v>
      </c>
      <c r="V1257" t="n">
        <v>30</v>
      </c>
      <c r="W1257" t="n">
        <v>27</v>
      </c>
      <c r="X1257" t="n">
        <v>30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11691</v>
      </c>
      <c r="AG1257" t="n">
        <v>63</v>
      </c>
      <c r="AH1257" t="inlineStr">
        <is>
          <t>PT. PARAMA GLOBAL INSPIRA - PPN (PDG)</t>
        </is>
      </c>
      <c r="AI1257" t="n">
        <v>63</v>
      </c>
      <c r="AJ1257" t="inlineStr">
        <is>
          <t>EMINA</t>
        </is>
      </c>
      <c r="AK1257" t="n">
        <v>21</v>
      </c>
      <c r="AL1257" t="inlineStr">
        <is>
          <t>Miss Glam Damar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EMINA</t>
        </is>
      </c>
      <c r="B1258" s="2">
        <f>"8993137692007"</f>
        <v/>
      </c>
      <c r="C1258" t="inlineStr">
        <is>
          <t>EMINA Cheek Lit Pressed Blush Marshmallow Lady 3.5gr</t>
        </is>
      </c>
      <c r="D1258" t="inlineStr">
        <is>
          <t>Miss Glam Damar</t>
        </is>
      </c>
      <c r="E1258" t="n">
        <v>5</v>
      </c>
      <c r="F1258" t="n">
        <v>0.1</v>
      </c>
      <c r="G1258" t="n">
        <v>2</v>
      </c>
      <c r="H1258" t="n">
        <v>2</v>
      </c>
      <c r="I1258" t="n">
        <v>6</v>
      </c>
      <c r="J1258" t="n">
        <v>3</v>
      </c>
      <c r="K1258" t="n">
        <v>0</v>
      </c>
      <c r="L1258" t="n">
        <v>32951</v>
      </c>
      <c r="M1258" t="n">
        <v>40500</v>
      </c>
      <c r="N1258" t="n">
        <v>91</v>
      </c>
      <c r="O1258" t="n">
        <v>0.91</v>
      </c>
      <c r="P1258" t="n">
        <v>0</v>
      </c>
      <c r="Q1258" t="n">
        <v>0.1</v>
      </c>
      <c r="R1258" t="n">
        <v>2</v>
      </c>
      <c r="S1258" t="n">
        <v>4050</v>
      </c>
      <c r="T1258" t="n">
        <v>12</v>
      </c>
      <c r="U1258" t="n">
        <v>13</v>
      </c>
      <c r="V1258" t="n">
        <v>30</v>
      </c>
      <c r="W1258" t="n">
        <v>3</v>
      </c>
      <c r="X1258" t="n">
        <v>50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11691</v>
      </c>
      <c r="AG1258" t="n">
        <v>63</v>
      </c>
      <c r="AH1258" t="inlineStr">
        <is>
          <t>PT. PARAMA GLOBAL INSPIRA - PPN (PDG)</t>
        </is>
      </c>
      <c r="AI1258" t="n">
        <v>63</v>
      </c>
      <c r="AJ1258" t="inlineStr">
        <is>
          <t>EMINA</t>
        </is>
      </c>
      <c r="AK1258" t="n">
        <v>21</v>
      </c>
      <c r="AL1258" t="inlineStr">
        <is>
          <t>Miss Glam Damar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EMINA</t>
        </is>
      </c>
      <c r="B1259" s="2">
        <f>"8993137691956"</f>
        <v/>
      </c>
      <c r="C1259" t="inlineStr">
        <is>
          <t>EMINA Cheek Lit Pressed Blush Violet Berry 3.5gr</t>
        </is>
      </c>
      <c r="D1259" t="inlineStr">
        <is>
          <t>Miss Glam Damar</t>
        </is>
      </c>
      <c r="E1259" t="n">
        <v>11</v>
      </c>
      <c r="F1259" t="n">
        <v>0.41</v>
      </c>
      <c r="G1259" t="n">
        <v>3</v>
      </c>
      <c r="H1259" t="n">
        <v>2</v>
      </c>
      <c r="I1259" t="n">
        <v>6</v>
      </c>
      <c r="J1259" t="n">
        <v>3</v>
      </c>
      <c r="K1259" t="n">
        <v>0</v>
      </c>
      <c r="L1259" t="n">
        <v>32950</v>
      </c>
      <c r="M1259" t="n">
        <v>40500</v>
      </c>
      <c r="N1259" t="n">
        <v>91</v>
      </c>
      <c r="O1259" t="n">
        <v>0.91</v>
      </c>
      <c r="P1259" t="n">
        <v>0</v>
      </c>
      <c r="Q1259" t="n">
        <v>0.41</v>
      </c>
      <c r="R1259" t="n">
        <v>3</v>
      </c>
      <c r="S1259" t="n">
        <v>16605</v>
      </c>
      <c r="T1259" t="n">
        <v>18</v>
      </c>
      <c r="U1259" t="n">
        <v>19</v>
      </c>
      <c r="V1259" t="n">
        <v>30</v>
      </c>
      <c r="W1259" t="n">
        <v>13</v>
      </c>
      <c r="X1259" t="n">
        <v>26.82926829268293</v>
      </c>
      <c r="Y1259" t="n">
        <v>1</v>
      </c>
      <c r="Z1259" t="n">
        <v>2</v>
      </c>
      <c r="AA1259" t="n">
        <v>0</v>
      </c>
      <c r="AB1259" t="n">
        <v>2</v>
      </c>
      <c r="AC1259" t="n">
        <v>3</v>
      </c>
      <c r="AD1259" t="n">
        <v>0</v>
      </c>
      <c r="AE1259" t="n">
        <v>98850</v>
      </c>
      <c r="AF1259" t="n">
        <v>11691</v>
      </c>
      <c r="AG1259" t="n">
        <v>63</v>
      </c>
      <c r="AH1259" t="inlineStr">
        <is>
          <t>PT. PARAMA GLOBAL INSPIRA - PPN (PDG)</t>
        </is>
      </c>
      <c r="AI1259" t="n">
        <v>63</v>
      </c>
      <c r="AJ1259" t="inlineStr">
        <is>
          <t>EMINA</t>
        </is>
      </c>
      <c r="AK1259" t="n">
        <v>21</v>
      </c>
      <c r="AL1259" t="inlineStr">
        <is>
          <t>Miss Glam Damar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EMINA</t>
        </is>
      </c>
      <c r="B1260" s="2">
        <f>"8993137691963"</f>
        <v/>
      </c>
      <c r="C1260" t="inlineStr">
        <is>
          <t>EMINA Cheeklit Pressed Blush Cotton Candy 3,5gr</t>
        </is>
      </c>
      <c r="D1260" t="inlineStr">
        <is>
          <t>Miss Glam Damar</t>
        </is>
      </c>
      <c r="E1260" t="n">
        <v>3</v>
      </c>
      <c r="F1260" t="n">
        <v>0.1365</v>
      </c>
      <c r="G1260" t="n">
        <v>1.82</v>
      </c>
      <c r="H1260" t="n">
        <v>2</v>
      </c>
      <c r="I1260" t="n">
        <v>6</v>
      </c>
      <c r="J1260" t="n">
        <v>3</v>
      </c>
      <c r="K1260" t="n">
        <v>0</v>
      </c>
      <c r="L1260" t="n">
        <v>32951</v>
      </c>
      <c r="M1260" t="n">
        <v>40500</v>
      </c>
      <c r="N1260" t="n">
        <v>91</v>
      </c>
      <c r="O1260" t="n">
        <v>0.91</v>
      </c>
      <c r="P1260" t="n">
        <v>1</v>
      </c>
      <c r="Q1260" t="n">
        <v>0.25</v>
      </c>
      <c r="R1260" t="n">
        <v>2</v>
      </c>
      <c r="S1260" t="n">
        <v>5528.25</v>
      </c>
      <c r="T1260" t="n">
        <v>11</v>
      </c>
      <c r="U1260" t="n">
        <v>12</v>
      </c>
      <c r="V1260" t="n">
        <v>30</v>
      </c>
      <c r="W1260" t="n">
        <v>5</v>
      </c>
      <c r="X1260" t="n">
        <v>21.97802197802198</v>
      </c>
      <c r="Y1260" t="n">
        <v>1</v>
      </c>
      <c r="Z1260" t="n">
        <v>2</v>
      </c>
      <c r="AA1260" t="n">
        <v>0</v>
      </c>
      <c r="AB1260" t="n">
        <v>2</v>
      </c>
      <c r="AC1260" t="n">
        <v>3</v>
      </c>
      <c r="AD1260" t="n">
        <v>0</v>
      </c>
      <c r="AE1260" t="n">
        <v>98853</v>
      </c>
      <c r="AF1260" t="n">
        <v>11691</v>
      </c>
      <c r="AG1260" t="n">
        <v>63</v>
      </c>
      <c r="AH1260" t="inlineStr">
        <is>
          <t>PT. PARAMA GLOBAL INSPIRA - PPN (PDG)</t>
        </is>
      </c>
      <c r="AI1260" t="n">
        <v>63</v>
      </c>
      <c r="AJ1260" t="inlineStr">
        <is>
          <t>EMINA</t>
        </is>
      </c>
      <c r="AK1260" t="n">
        <v>21</v>
      </c>
      <c r="AL1260" t="inlineStr">
        <is>
          <t>Miss Glam Damar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EMINA</t>
        </is>
      </c>
      <c r="B1261" s="2">
        <f>"10300515323"</f>
        <v/>
      </c>
      <c r="C1261" t="inlineStr">
        <is>
          <t>EMINA Cica Triacid Acne Clear Water Gel 30gr</t>
        </is>
      </c>
      <c r="D1261" t="inlineStr">
        <is>
          <t>Miss Glam Damar</t>
        </is>
      </c>
      <c r="E1261" t="n">
        <v>3</v>
      </c>
      <c r="F1261" t="n">
        <v>0.04550000000000001</v>
      </c>
      <c r="G1261" t="n">
        <v>0.91</v>
      </c>
      <c r="H1261" t="n">
        <v>2</v>
      </c>
      <c r="I1261" t="n">
        <v>6</v>
      </c>
      <c r="J1261" t="n">
        <v>1</v>
      </c>
      <c r="K1261" t="n">
        <v>0</v>
      </c>
      <c r="L1261" t="n">
        <v>32184</v>
      </c>
      <c r="M1261" t="n">
        <v>39500</v>
      </c>
      <c r="N1261" t="n">
        <v>91</v>
      </c>
      <c r="O1261" t="n">
        <v>0.91</v>
      </c>
      <c r="P1261" t="n">
        <v>1</v>
      </c>
      <c r="Q1261" t="n">
        <v>0.15</v>
      </c>
      <c r="R1261" t="n">
        <v>3</v>
      </c>
      <c r="S1261" t="n">
        <v>1797.25</v>
      </c>
      <c r="T1261" t="n">
        <v>6</v>
      </c>
      <c r="U1261" t="n">
        <v>7</v>
      </c>
      <c r="V1261" t="n">
        <v>30</v>
      </c>
      <c r="W1261" t="n">
        <v>2</v>
      </c>
      <c r="X1261" t="n">
        <v>65.93406593406593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11691</v>
      </c>
      <c r="AG1261" t="n">
        <v>63</v>
      </c>
      <c r="AH1261" t="inlineStr">
        <is>
          <t>PT. PARAMA GLOBAL INSPIRA - PPN (PDG)</t>
        </is>
      </c>
      <c r="AI1261" t="n">
        <v>63</v>
      </c>
      <c r="AJ1261" t="inlineStr">
        <is>
          <t>EMINA</t>
        </is>
      </c>
      <c r="AK1261" t="n">
        <v>21</v>
      </c>
      <c r="AL1261" t="inlineStr">
        <is>
          <t>Miss Glam Damar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EMINA</t>
        </is>
      </c>
      <c r="B1262" s="2">
        <f>"8993137708104"</f>
        <v/>
      </c>
      <c r="C1262" t="inlineStr">
        <is>
          <t>EMINA Clay Mask Soothe &amp; Smooth 60ml</t>
        </is>
      </c>
      <c r="D1262" t="inlineStr">
        <is>
          <t>Miss Glam Damar</t>
        </is>
      </c>
      <c r="E1262" t="n">
        <v>2</v>
      </c>
      <c r="F1262" t="n">
        <v>0.0182</v>
      </c>
      <c r="G1262" t="n">
        <v>0.91</v>
      </c>
      <c r="H1262" t="n">
        <v>2</v>
      </c>
      <c r="I1262" t="n">
        <v>6</v>
      </c>
      <c r="J1262" t="n">
        <v>3</v>
      </c>
      <c r="K1262" t="n">
        <v>0</v>
      </c>
      <c r="L1262" t="n">
        <v>32950</v>
      </c>
      <c r="M1262" t="n">
        <v>40500</v>
      </c>
      <c r="N1262" t="n">
        <v>91</v>
      </c>
      <c r="O1262" t="n">
        <v>0.91</v>
      </c>
      <c r="P1262" t="n">
        <v>1</v>
      </c>
      <c r="Q1262" t="n">
        <v>0.02</v>
      </c>
      <c r="R1262" t="n">
        <v>1</v>
      </c>
      <c r="S1262" t="n">
        <v>737.1</v>
      </c>
      <c r="T1262" t="n">
        <v>6</v>
      </c>
      <c r="U1262" t="n">
        <v>7</v>
      </c>
      <c r="V1262" t="n">
        <v>30</v>
      </c>
      <c r="W1262" t="n">
        <v>1</v>
      </c>
      <c r="X1262" t="n">
        <v>109.8901098901099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11691</v>
      </c>
      <c r="AG1262" t="n">
        <v>63</v>
      </c>
      <c r="AH1262" t="inlineStr">
        <is>
          <t>PT. PARAMA GLOBAL INSPIRA - PPN (PDG)</t>
        </is>
      </c>
      <c r="AI1262" t="n">
        <v>63</v>
      </c>
      <c r="AJ1262" t="inlineStr">
        <is>
          <t>EMINA</t>
        </is>
      </c>
      <c r="AK1262" t="n">
        <v>21</v>
      </c>
      <c r="AL1262" t="inlineStr">
        <is>
          <t>Miss Glam Damar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EMINA</t>
        </is>
      </c>
      <c r="B1263" s="2">
        <f>"8993137694315"</f>
        <v/>
      </c>
      <c r="C1263" t="inlineStr">
        <is>
          <t>EMINA Creamatte 02 Fuzzy Wuzzy 5.5gr</t>
        </is>
      </c>
      <c r="D1263" t="inlineStr">
        <is>
          <t>Miss Glam Damar</t>
        </is>
      </c>
      <c r="E1263" t="n">
        <v>4</v>
      </c>
      <c r="F1263" t="n">
        <v>0.08</v>
      </c>
      <c r="G1263" t="n">
        <v>1</v>
      </c>
      <c r="H1263" t="n">
        <v>2</v>
      </c>
      <c r="I1263" t="n">
        <v>6</v>
      </c>
      <c r="J1263" t="n">
        <v>3</v>
      </c>
      <c r="K1263" t="n">
        <v>0</v>
      </c>
      <c r="L1263" t="n">
        <v>38316</v>
      </c>
      <c r="M1263" t="n">
        <v>47000</v>
      </c>
      <c r="N1263" t="n">
        <v>91</v>
      </c>
      <c r="O1263" t="n">
        <v>0.91</v>
      </c>
      <c r="P1263" t="n">
        <v>0</v>
      </c>
      <c r="Q1263" t="n">
        <v>0.08</v>
      </c>
      <c r="R1263" t="n">
        <v>1</v>
      </c>
      <c r="S1263" t="n">
        <v>3760</v>
      </c>
      <c r="T1263" t="n">
        <v>6</v>
      </c>
      <c r="U1263" t="n">
        <v>7</v>
      </c>
      <c r="V1263" t="n">
        <v>30</v>
      </c>
      <c r="W1263" t="n">
        <v>3</v>
      </c>
      <c r="X1263" t="n">
        <v>50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11691</v>
      </c>
      <c r="AG1263" t="n">
        <v>63</v>
      </c>
      <c r="AH1263" t="inlineStr">
        <is>
          <t>PT. PARAMA GLOBAL INSPIRA - PPN (PDG)</t>
        </is>
      </c>
      <c r="AI1263" t="n">
        <v>63</v>
      </c>
      <c r="AJ1263" t="inlineStr">
        <is>
          <t>EMINA</t>
        </is>
      </c>
      <c r="AK1263" t="n">
        <v>21</v>
      </c>
      <c r="AL1263" t="inlineStr">
        <is>
          <t>Miss Glam Damar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EMINA</t>
        </is>
      </c>
      <c r="B1264" s="2">
        <f>"8993137694322"</f>
        <v/>
      </c>
      <c r="C1264" t="inlineStr">
        <is>
          <t>EMINA Creamatte 03 Mauvelous 5.5gr</t>
        </is>
      </c>
      <c r="D1264" t="inlineStr">
        <is>
          <t>Miss Glam Damar</t>
        </is>
      </c>
      <c r="E1264" t="n">
        <v>5</v>
      </c>
      <c r="F1264" t="n">
        <v>0.0182</v>
      </c>
      <c r="G1264" t="n">
        <v>0.91</v>
      </c>
      <c r="H1264" t="n">
        <v>2</v>
      </c>
      <c r="I1264" t="n">
        <v>6</v>
      </c>
      <c r="J1264" t="n">
        <v>3</v>
      </c>
      <c r="K1264" t="n">
        <v>0</v>
      </c>
      <c r="L1264" t="n">
        <v>38315</v>
      </c>
      <c r="M1264" t="n">
        <v>47000</v>
      </c>
      <c r="N1264" t="n">
        <v>91</v>
      </c>
      <c r="O1264" t="n">
        <v>0.91</v>
      </c>
      <c r="P1264" t="n">
        <v>1</v>
      </c>
      <c r="Q1264" t="n">
        <v>0.15</v>
      </c>
      <c r="R1264" t="n">
        <v>2</v>
      </c>
      <c r="S1264" t="n">
        <v>855.4000000000001</v>
      </c>
      <c r="T1264" t="n">
        <v>6</v>
      </c>
      <c r="U1264" t="n">
        <v>7</v>
      </c>
      <c r="V1264" t="n">
        <v>30</v>
      </c>
      <c r="W1264" t="n">
        <v>1</v>
      </c>
      <c r="X1264" t="n">
        <v>274.7252747252747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11691</v>
      </c>
      <c r="AG1264" t="n">
        <v>63</v>
      </c>
      <c r="AH1264" t="inlineStr">
        <is>
          <t>PT. PARAMA GLOBAL INSPIRA - PPN (PDG)</t>
        </is>
      </c>
      <c r="AI1264" t="n">
        <v>63</v>
      </c>
      <c r="AJ1264" t="inlineStr">
        <is>
          <t>EMINA</t>
        </is>
      </c>
      <c r="AK1264" t="n">
        <v>21</v>
      </c>
      <c r="AL1264" t="inlineStr">
        <is>
          <t>Miss Glam Damar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EMINA</t>
        </is>
      </c>
      <c r="B1265" s="2">
        <f>"8993137700528"</f>
        <v/>
      </c>
      <c r="C1265" t="inlineStr">
        <is>
          <t>EMINA Creamatte 08 Pumpkin Spice 5.5gr</t>
        </is>
      </c>
      <c r="D1265" t="inlineStr">
        <is>
          <t>Miss Glam Damar</t>
        </is>
      </c>
      <c r="E1265" t="n">
        <v>4</v>
      </c>
      <c r="F1265" t="n">
        <v>0.0273</v>
      </c>
      <c r="G1265" t="n">
        <v>0.91</v>
      </c>
      <c r="H1265" t="n">
        <v>2</v>
      </c>
      <c r="I1265" t="n">
        <v>6</v>
      </c>
      <c r="J1265" t="n">
        <v>3</v>
      </c>
      <c r="K1265" t="n">
        <v>0</v>
      </c>
      <c r="L1265" t="n">
        <v>38315</v>
      </c>
      <c r="M1265" t="n">
        <v>47000</v>
      </c>
      <c r="N1265" t="n">
        <v>91</v>
      </c>
      <c r="O1265" t="n">
        <v>0.91</v>
      </c>
      <c r="P1265" t="n">
        <v>1</v>
      </c>
      <c r="Q1265" t="n">
        <v>0.05</v>
      </c>
      <c r="R1265" t="n">
        <v>1</v>
      </c>
      <c r="S1265" t="n">
        <v>1283.1</v>
      </c>
      <c r="T1265" t="n">
        <v>6</v>
      </c>
      <c r="U1265" t="n">
        <v>7</v>
      </c>
      <c r="V1265" t="n">
        <v>30</v>
      </c>
      <c r="W1265" t="n">
        <v>1</v>
      </c>
      <c r="X1265" t="n">
        <v>146.5201465201465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11691</v>
      </c>
      <c r="AG1265" t="n">
        <v>63</v>
      </c>
      <c r="AH1265" t="inlineStr">
        <is>
          <t>PT. PARAMA GLOBAL INSPIRA - PPN (PDG)</t>
        </is>
      </c>
      <c r="AI1265" t="n">
        <v>63</v>
      </c>
      <c r="AJ1265" t="inlineStr">
        <is>
          <t>EMINA</t>
        </is>
      </c>
      <c r="AK1265" t="n">
        <v>21</v>
      </c>
      <c r="AL1265" t="inlineStr">
        <is>
          <t>Miss Glam Damar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EMINA</t>
        </is>
      </c>
      <c r="B1266" s="2">
        <f>"8993137700535"</f>
        <v/>
      </c>
      <c r="C1266" t="inlineStr">
        <is>
          <t>EMINA Creamatte 09 Baby Fox 5.5g</t>
        </is>
      </c>
      <c r="D1266" t="inlineStr">
        <is>
          <t>Miss Glam Damar</t>
        </is>
      </c>
      <c r="E1266" t="n">
        <v>6</v>
      </c>
      <c r="F1266" t="n">
        <v>0.0273</v>
      </c>
      <c r="G1266" t="n">
        <v>0.91</v>
      </c>
      <c r="H1266" t="n">
        <v>2</v>
      </c>
      <c r="I1266" t="n">
        <v>6</v>
      </c>
      <c r="J1266" t="n">
        <v>3</v>
      </c>
      <c r="K1266" t="n">
        <v>0</v>
      </c>
      <c r="L1266" t="n">
        <v>38315</v>
      </c>
      <c r="M1266" t="n">
        <v>47000</v>
      </c>
      <c r="N1266" t="n">
        <v>91</v>
      </c>
      <c r="O1266" t="n">
        <v>0.91</v>
      </c>
      <c r="P1266" t="n">
        <v>1</v>
      </c>
      <c r="Q1266" t="n">
        <v>0.15</v>
      </c>
      <c r="R1266" t="n">
        <v>1</v>
      </c>
      <c r="S1266" t="n">
        <v>1283.1</v>
      </c>
      <c r="T1266" t="n">
        <v>6</v>
      </c>
      <c r="U1266" t="n">
        <v>7</v>
      </c>
      <c r="V1266" t="n">
        <v>30</v>
      </c>
      <c r="W1266" t="n">
        <v>1</v>
      </c>
      <c r="X1266" t="n">
        <v>219.7802197802198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11691</v>
      </c>
      <c r="AG1266" t="n">
        <v>63</v>
      </c>
      <c r="AH1266" t="inlineStr">
        <is>
          <t>PT. PARAMA GLOBAL INSPIRA - PPN (PDG)</t>
        </is>
      </c>
      <c r="AI1266" t="n">
        <v>63</v>
      </c>
      <c r="AJ1266" t="inlineStr">
        <is>
          <t>EMINA</t>
        </is>
      </c>
      <c r="AK1266" t="n">
        <v>21</v>
      </c>
      <c r="AL1266" t="inlineStr">
        <is>
          <t>Miss Glam Damar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EMINA</t>
        </is>
      </c>
      <c r="B1267" s="2">
        <f>"8993137700559"</f>
        <v/>
      </c>
      <c r="C1267" t="inlineStr">
        <is>
          <t>EMINA Creamatte 11 Amazeballs 5.5gr</t>
        </is>
      </c>
      <c r="D1267" t="inlineStr">
        <is>
          <t>Miss Glam Damar</t>
        </is>
      </c>
      <c r="E1267" t="n">
        <v>7</v>
      </c>
      <c r="F1267" t="n">
        <v>0.0728</v>
      </c>
      <c r="G1267" t="n">
        <v>1.82</v>
      </c>
      <c r="H1267" t="n">
        <v>2</v>
      </c>
      <c r="I1267" t="n">
        <v>6</v>
      </c>
      <c r="J1267" t="n">
        <v>3</v>
      </c>
      <c r="K1267" t="n">
        <v>0</v>
      </c>
      <c r="L1267" t="n">
        <v>38315</v>
      </c>
      <c r="M1267" t="n">
        <v>47000</v>
      </c>
      <c r="N1267" t="n">
        <v>91</v>
      </c>
      <c r="O1267" t="n">
        <v>0.91</v>
      </c>
      <c r="P1267" t="n">
        <v>1</v>
      </c>
      <c r="Q1267" t="n">
        <v>0.17</v>
      </c>
      <c r="R1267" t="n">
        <v>2</v>
      </c>
      <c r="S1267" t="n">
        <v>3421.6</v>
      </c>
      <c r="T1267" t="n">
        <v>11</v>
      </c>
      <c r="U1267" t="n">
        <v>12</v>
      </c>
      <c r="V1267" t="n">
        <v>30</v>
      </c>
      <c r="W1267" t="n">
        <v>3</v>
      </c>
      <c r="X1267" t="n">
        <v>96.15384615384615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11691</v>
      </c>
      <c r="AG1267" t="n">
        <v>63</v>
      </c>
      <c r="AH1267" t="inlineStr">
        <is>
          <t>PT. PARAMA GLOBAL INSPIRA - PPN (PDG)</t>
        </is>
      </c>
      <c r="AI1267" t="n">
        <v>63</v>
      </c>
      <c r="AJ1267" t="inlineStr">
        <is>
          <t>EMINA</t>
        </is>
      </c>
      <c r="AK1267" t="n">
        <v>21</v>
      </c>
      <c r="AL1267" t="inlineStr">
        <is>
          <t>Miss Glam Damar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EMINA</t>
        </is>
      </c>
      <c r="B1268" s="2">
        <f>"8993137742504"</f>
        <v/>
      </c>
      <c r="C1268" t="inlineStr">
        <is>
          <t>EMINA Creamatte BR11 Hazel Flutter 5.5gr</t>
        </is>
      </c>
      <c r="D1268" t="inlineStr">
        <is>
          <t>Miss Glam Damar</t>
        </is>
      </c>
      <c r="E1268" t="n">
        <v>6</v>
      </c>
      <c r="F1268" t="n">
        <v>0.02</v>
      </c>
      <c r="G1268" t="n">
        <v>1</v>
      </c>
      <c r="H1268" t="n">
        <v>2</v>
      </c>
      <c r="I1268" t="n">
        <v>6</v>
      </c>
      <c r="J1268" t="n">
        <v>3</v>
      </c>
      <c r="K1268" t="n">
        <v>0</v>
      </c>
      <c r="L1268" t="n">
        <v>38315</v>
      </c>
      <c r="M1268" t="n">
        <v>47000</v>
      </c>
      <c r="N1268" t="n">
        <v>91</v>
      </c>
      <c r="O1268" t="n">
        <v>0.91</v>
      </c>
      <c r="P1268" t="n">
        <v>0</v>
      </c>
      <c r="Q1268" t="n">
        <v>0.02</v>
      </c>
      <c r="R1268" t="n">
        <v>1</v>
      </c>
      <c r="S1268" t="n">
        <v>940</v>
      </c>
      <c r="T1268" t="n">
        <v>6</v>
      </c>
      <c r="U1268" t="n">
        <v>7</v>
      </c>
      <c r="V1268" t="n">
        <v>30</v>
      </c>
      <c r="W1268" t="n">
        <v>1</v>
      </c>
      <c r="X1268" t="n">
        <v>300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11691</v>
      </c>
      <c r="AG1268" t="n">
        <v>63</v>
      </c>
      <c r="AH1268" t="inlineStr">
        <is>
          <t>PT. PARAMA GLOBAL INSPIRA - PPN (PDG)</t>
        </is>
      </c>
      <c r="AI1268" t="n">
        <v>63</v>
      </c>
      <c r="AJ1268" t="inlineStr">
        <is>
          <t>EMINA</t>
        </is>
      </c>
      <c r="AK1268" t="n">
        <v>21</v>
      </c>
      <c r="AL1268" t="inlineStr">
        <is>
          <t>Miss Glam Damar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EMINA</t>
        </is>
      </c>
      <c r="B1269" s="2">
        <f>"8993137742481"</f>
        <v/>
      </c>
      <c r="C1269" t="inlineStr">
        <is>
          <t>EMINA Creamatte BR21 Caramel Drop 5.5gr</t>
        </is>
      </c>
      <c r="D1269" t="inlineStr">
        <is>
          <t>Miss Glam Damar</t>
        </is>
      </c>
      <c r="E1269" t="n">
        <v>4</v>
      </c>
      <c r="F1269" t="n">
        <v>0.0273</v>
      </c>
      <c r="G1269" t="n">
        <v>0.91</v>
      </c>
      <c r="H1269" t="n">
        <v>2</v>
      </c>
      <c r="I1269" t="n">
        <v>6</v>
      </c>
      <c r="J1269" t="n">
        <v>3</v>
      </c>
      <c r="K1269" t="n">
        <v>0</v>
      </c>
      <c r="L1269" t="n">
        <v>38316</v>
      </c>
      <c r="M1269" t="n">
        <v>47000</v>
      </c>
      <c r="N1269" t="n">
        <v>91</v>
      </c>
      <c r="O1269" t="n">
        <v>0.91</v>
      </c>
      <c r="P1269" t="n">
        <v>1</v>
      </c>
      <c r="Q1269" t="n">
        <v>0.05</v>
      </c>
      <c r="R1269" t="n">
        <v>1</v>
      </c>
      <c r="S1269" t="n">
        <v>1283.1</v>
      </c>
      <c r="T1269" t="n">
        <v>6</v>
      </c>
      <c r="U1269" t="n">
        <v>7</v>
      </c>
      <c r="V1269" t="n">
        <v>30</v>
      </c>
      <c r="W1269" t="n">
        <v>1</v>
      </c>
      <c r="X1269" t="n">
        <v>146.5201465201465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11691</v>
      </c>
      <c r="AG1269" t="n">
        <v>63</v>
      </c>
      <c r="AH1269" t="inlineStr">
        <is>
          <t>PT. PARAMA GLOBAL INSPIRA - PPN (PDG)</t>
        </is>
      </c>
      <c r="AI1269" t="n">
        <v>63</v>
      </c>
      <c r="AJ1269" t="inlineStr">
        <is>
          <t>EMINA</t>
        </is>
      </c>
      <c r="AK1269" t="n">
        <v>21</v>
      </c>
      <c r="AL1269" t="inlineStr">
        <is>
          <t>Miss Glam Damar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EMINA</t>
        </is>
      </c>
      <c r="B1270" s="2">
        <f>"8993137742511"</f>
        <v/>
      </c>
      <c r="C1270" t="inlineStr">
        <is>
          <t>EMINA Creamatte BR22 Blushberry 5.5gr</t>
        </is>
      </c>
      <c r="D1270" t="inlineStr">
        <is>
          <t>Miss Glam Damar</t>
        </is>
      </c>
      <c r="E1270" t="n">
        <v>6</v>
      </c>
      <c r="F1270" t="n">
        <v>0.09100000000000001</v>
      </c>
      <c r="G1270" t="n">
        <v>1.82</v>
      </c>
      <c r="H1270" t="n">
        <v>2</v>
      </c>
      <c r="I1270" t="n">
        <v>6</v>
      </c>
      <c r="J1270" t="n">
        <v>3</v>
      </c>
      <c r="K1270" t="n">
        <v>0</v>
      </c>
      <c r="L1270" t="n">
        <v>38315</v>
      </c>
      <c r="M1270" t="n">
        <v>47000</v>
      </c>
      <c r="N1270" t="n">
        <v>91</v>
      </c>
      <c r="O1270" t="n">
        <v>0.91</v>
      </c>
      <c r="P1270" t="n">
        <v>1</v>
      </c>
      <c r="Q1270" t="n">
        <v>0.1</v>
      </c>
      <c r="R1270" t="n">
        <v>1</v>
      </c>
      <c r="S1270" t="n">
        <v>4277.000000000001</v>
      </c>
      <c r="T1270" t="n">
        <v>11</v>
      </c>
      <c r="U1270" t="n">
        <v>12</v>
      </c>
      <c r="V1270" t="n">
        <v>30</v>
      </c>
      <c r="W1270" t="n">
        <v>3</v>
      </c>
      <c r="X1270" t="n">
        <v>65.93406593406593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11691</v>
      </c>
      <c r="AG1270" t="n">
        <v>63</v>
      </c>
      <c r="AH1270" t="inlineStr">
        <is>
          <t>PT. PARAMA GLOBAL INSPIRA - PPN (PDG)</t>
        </is>
      </c>
      <c r="AI1270" t="n">
        <v>63</v>
      </c>
      <c r="AJ1270" t="inlineStr">
        <is>
          <t>EMINA</t>
        </is>
      </c>
      <c r="AK1270" t="n">
        <v>21</v>
      </c>
      <c r="AL1270" t="inlineStr">
        <is>
          <t>Miss Glam Damar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EMINA</t>
        </is>
      </c>
      <c r="B1271" s="2">
        <f>"8993137742528"</f>
        <v/>
      </c>
      <c r="C1271" t="inlineStr">
        <is>
          <t>EMINA Creamatte BR23 Rouge Cocoa 5.5gr</t>
        </is>
      </c>
      <c r="D1271" t="inlineStr">
        <is>
          <t>Miss Glam Damar</t>
        </is>
      </c>
      <c r="E1271" t="n">
        <v>6</v>
      </c>
      <c r="F1271" t="n">
        <v>0.06370000000000001</v>
      </c>
      <c r="G1271" t="n">
        <v>0.91</v>
      </c>
      <c r="H1271" t="n">
        <v>2</v>
      </c>
      <c r="I1271" t="n">
        <v>6</v>
      </c>
      <c r="J1271" t="n">
        <v>3</v>
      </c>
      <c r="K1271" t="n">
        <v>0</v>
      </c>
      <c r="L1271" t="n">
        <v>38315</v>
      </c>
      <c r="M1271" t="n">
        <v>47000</v>
      </c>
      <c r="N1271" t="n">
        <v>91</v>
      </c>
      <c r="O1271" t="n">
        <v>0.91</v>
      </c>
      <c r="P1271" t="n">
        <v>1</v>
      </c>
      <c r="Q1271" t="n">
        <v>0.07000000000000001</v>
      </c>
      <c r="R1271" t="n">
        <v>1</v>
      </c>
      <c r="S1271" t="n">
        <v>2993.9</v>
      </c>
      <c r="T1271" t="n">
        <v>6</v>
      </c>
      <c r="U1271" t="n">
        <v>7</v>
      </c>
      <c r="V1271" t="n">
        <v>30</v>
      </c>
      <c r="W1271" t="n">
        <v>2</v>
      </c>
      <c r="X1271" t="n">
        <v>94.19152276295132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11691</v>
      </c>
      <c r="AG1271" t="n">
        <v>63</v>
      </c>
      <c r="AH1271" t="inlineStr">
        <is>
          <t>PT. PARAMA GLOBAL INSPIRA - PPN (PDG)</t>
        </is>
      </c>
      <c r="AI1271" t="n">
        <v>63</v>
      </c>
      <c r="AJ1271" t="inlineStr">
        <is>
          <t>EMINA</t>
        </is>
      </c>
      <c r="AK1271" t="n">
        <v>21</v>
      </c>
      <c r="AL1271" t="inlineStr">
        <is>
          <t>Miss Glam Damar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EMINA</t>
        </is>
      </c>
      <c r="B1272" s="2">
        <f>"8993137742535"</f>
        <v/>
      </c>
      <c r="C1272" t="inlineStr">
        <is>
          <t>EMINA Creamatte BR24 Brick Chic 5.5gr</t>
        </is>
      </c>
      <c r="D1272" t="inlineStr">
        <is>
          <t>Miss Glam Damar</t>
        </is>
      </c>
      <c r="E1272" t="n">
        <v>5</v>
      </c>
      <c r="F1272" t="n">
        <v>0.0728</v>
      </c>
      <c r="G1272" t="n">
        <v>1.82</v>
      </c>
      <c r="H1272" t="n">
        <v>2</v>
      </c>
      <c r="I1272" t="n">
        <v>6</v>
      </c>
      <c r="J1272" t="n">
        <v>3</v>
      </c>
      <c r="K1272" t="n">
        <v>0</v>
      </c>
      <c r="L1272" t="n">
        <v>38315</v>
      </c>
      <c r="M1272" t="n">
        <v>47000</v>
      </c>
      <c r="N1272" t="n">
        <v>91</v>
      </c>
      <c r="O1272" t="n">
        <v>0.91</v>
      </c>
      <c r="P1272" t="n">
        <v>1</v>
      </c>
      <c r="Q1272" t="n">
        <v>0.03</v>
      </c>
      <c r="R1272" t="n">
        <v>1</v>
      </c>
      <c r="S1272" t="n">
        <v>3421.6</v>
      </c>
      <c r="T1272" t="n">
        <v>11</v>
      </c>
      <c r="U1272" t="n">
        <v>12</v>
      </c>
      <c r="V1272" t="n">
        <v>30</v>
      </c>
      <c r="W1272" t="n">
        <v>3</v>
      </c>
      <c r="X1272" t="n">
        <v>68.68131868131867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11691</v>
      </c>
      <c r="AG1272" t="n">
        <v>63</v>
      </c>
      <c r="AH1272" t="inlineStr">
        <is>
          <t>PT. PARAMA GLOBAL INSPIRA - PPN (PDG)</t>
        </is>
      </c>
      <c r="AI1272" t="n">
        <v>63</v>
      </c>
      <c r="AJ1272" t="inlineStr">
        <is>
          <t>EMINA</t>
        </is>
      </c>
      <c r="AK1272" t="n">
        <v>21</v>
      </c>
      <c r="AL1272" t="inlineStr">
        <is>
          <t>Miss Glam Damar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EMINA</t>
        </is>
      </c>
      <c r="B1273" s="2">
        <f>"8993137742542"</f>
        <v/>
      </c>
      <c r="C1273" t="inlineStr">
        <is>
          <t>EMINA Creamatte Cherry Bomb 5.5gr</t>
        </is>
      </c>
      <c r="D1273" t="inlineStr">
        <is>
          <t>Miss Glam Damar</t>
        </is>
      </c>
      <c r="E1273" t="n">
        <v>12</v>
      </c>
      <c r="F1273" t="n">
        <v>0.2184</v>
      </c>
      <c r="G1273" t="n">
        <v>0.91</v>
      </c>
      <c r="H1273" t="n">
        <v>2</v>
      </c>
      <c r="I1273" t="n">
        <v>6</v>
      </c>
      <c r="J1273" t="n">
        <v>3</v>
      </c>
      <c r="K1273" t="n">
        <v>0</v>
      </c>
      <c r="L1273" t="n">
        <v>38315</v>
      </c>
      <c r="M1273" t="n">
        <v>47000</v>
      </c>
      <c r="N1273" t="n">
        <v>91</v>
      </c>
      <c r="O1273" t="n">
        <v>0.91</v>
      </c>
      <c r="P1273" t="n">
        <v>1</v>
      </c>
      <c r="Q1273" t="n">
        <v>0.31</v>
      </c>
      <c r="R1273" t="n">
        <v>2</v>
      </c>
      <c r="S1273" t="n">
        <v>10264.8</v>
      </c>
      <c r="T1273" t="n">
        <v>6</v>
      </c>
      <c r="U1273" t="n">
        <v>7</v>
      </c>
      <c r="V1273" t="n">
        <v>30</v>
      </c>
      <c r="W1273" t="n">
        <v>7</v>
      </c>
      <c r="X1273" t="n">
        <v>54.94505494505494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11691</v>
      </c>
      <c r="AG1273" t="n">
        <v>63</v>
      </c>
      <c r="AH1273" t="inlineStr">
        <is>
          <t>PT. PARAMA GLOBAL INSPIRA - PPN (PDG)</t>
        </is>
      </c>
      <c r="AI1273" t="n">
        <v>63</v>
      </c>
      <c r="AJ1273" t="inlineStr">
        <is>
          <t>EMINA</t>
        </is>
      </c>
      <c r="AK1273" t="n">
        <v>21</v>
      </c>
      <c r="AL1273" t="inlineStr">
        <is>
          <t>Miss Glam Damar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EMINA</t>
        </is>
      </c>
      <c r="B1274" s="2">
        <f>"8993137742450"</f>
        <v/>
      </c>
      <c r="C1274" t="inlineStr">
        <is>
          <t>EMINA Creamatte OR21 Pomelova 5.5gr</t>
        </is>
      </c>
      <c r="D1274" t="inlineStr">
        <is>
          <t>Miss Glam Damar</t>
        </is>
      </c>
      <c r="E1274" t="n">
        <v>8</v>
      </c>
      <c r="F1274" t="n">
        <v>0.1274</v>
      </c>
      <c r="G1274" t="n">
        <v>1.82</v>
      </c>
      <c r="H1274" t="n">
        <v>2</v>
      </c>
      <c r="I1274" t="n">
        <v>6</v>
      </c>
      <c r="J1274" t="n">
        <v>3</v>
      </c>
      <c r="K1274" t="n">
        <v>0</v>
      </c>
      <c r="L1274" t="n">
        <v>38315</v>
      </c>
      <c r="M1274" t="n">
        <v>47000</v>
      </c>
      <c r="N1274" t="n">
        <v>91</v>
      </c>
      <c r="O1274" t="n">
        <v>0.91</v>
      </c>
      <c r="P1274" t="n">
        <v>1</v>
      </c>
      <c r="Q1274" t="n">
        <v>0.29</v>
      </c>
      <c r="R1274" t="n">
        <v>2</v>
      </c>
      <c r="S1274" t="n">
        <v>5987.8</v>
      </c>
      <c r="T1274" t="n">
        <v>11</v>
      </c>
      <c r="U1274" t="n">
        <v>12</v>
      </c>
      <c r="V1274" t="n">
        <v>30</v>
      </c>
      <c r="W1274" t="n">
        <v>4</v>
      </c>
      <c r="X1274" t="n">
        <v>62.79434850863422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11691</v>
      </c>
      <c r="AG1274" t="n">
        <v>63</v>
      </c>
      <c r="AH1274" t="inlineStr">
        <is>
          <t>PT. PARAMA GLOBAL INSPIRA - PPN (PDG)</t>
        </is>
      </c>
      <c r="AI1274" t="n">
        <v>63</v>
      </c>
      <c r="AJ1274" t="inlineStr">
        <is>
          <t>EMINA</t>
        </is>
      </c>
      <c r="AK1274" t="n">
        <v>21</v>
      </c>
      <c r="AL1274" t="inlineStr">
        <is>
          <t>Miss Glam Damar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EMINA</t>
        </is>
      </c>
      <c r="B1275" s="2">
        <f>"8993137742498"</f>
        <v/>
      </c>
      <c r="C1275" t="inlineStr">
        <is>
          <t>EMINA Creamatte OR22 Sunset Blaze 5.5gr</t>
        </is>
      </c>
      <c r="D1275" t="inlineStr">
        <is>
          <t>Miss Glam Damar</t>
        </is>
      </c>
      <c r="E1275" t="n">
        <v>6</v>
      </c>
      <c r="F1275" t="n">
        <v>0.2457</v>
      </c>
      <c r="G1275" t="n">
        <v>2.73</v>
      </c>
      <c r="H1275" t="n">
        <v>2</v>
      </c>
      <c r="I1275" t="n">
        <v>6</v>
      </c>
      <c r="J1275" t="n">
        <v>3</v>
      </c>
      <c r="K1275" t="n">
        <v>0</v>
      </c>
      <c r="L1275" t="n">
        <v>38315</v>
      </c>
      <c r="M1275" t="n">
        <v>47000</v>
      </c>
      <c r="N1275" t="n">
        <v>91</v>
      </c>
      <c r="O1275" t="n">
        <v>0.91</v>
      </c>
      <c r="P1275" t="n">
        <v>1</v>
      </c>
      <c r="Q1275" t="n">
        <v>0.19</v>
      </c>
      <c r="R1275" t="n">
        <v>2</v>
      </c>
      <c r="S1275" t="n">
        <v>11547.9</v>
      </c>
      <c r="T1275" t="n">
        <v>16</v>
      </c>
      <c r="U1275" t="n">
        <v>17</v>
      </c>
      <c r="V1275" t="n">
        <v>30</v>
      </c>
      <c r="W1275" t="n">
        <v>8</v>
      </c>
      <c r="X1275" t="n">
        <v>24.42002442002442</v>
      </c>
      <c r="Y1275" t="n">
        <v>1</v>
      </c>
      <c r="Z1275" t="n">
        <v>2</v>
      </c>
      <c r="AA1275" t="n">
        <v>0</v>
      </c>
      <c r="AB1275" t="n">
        <v>2</v>
      </c>
      <c r="AC1275" t="n">
        <v>3</v>
      </c>
      <c r="AD1275" t="n">
        <v>0</v>
      </c>
      <c r="AE1275" t="n">
        <v>114945</v>
      </c>
      <c r="AF1275" t="n">
        <v>11691</v>
      </c>
      <c r="AG1275" t="n">
        <v>63</v>
      </c>
      <c r="AH1275" t="inlineStr">
        <is>
          <t>PT. PARAMA GLOBAL INSPIRA - PPN (PDG)</t>
        </is>
      </c>
      <c r="AI1275" t="n">
        <v>63</v>
      </c>
      <c r="AJ1275" t="inlineStr">
        <is>
          <t>EMINA</t>
        </is>
      </c>
      <c r="AK1275" t="n">
        <v>21</v>
      </c>
      <c r="AL1275" t="inlineStr">
        <is>
          <t>Miss Glam Damar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EMINA</t>
        </is>
      </c>
      <c r="B1276" s="2">
        <f>"8993137742467"</f>
        <v/>
      </c>
      <c r="C1276" t="inlineStr">
        <is>
          <t>EMINA Creamatte PC11 Peach-A-Boo  5.5gr</t>
        </is>
      </c>
      <c r="D1276" t="inlineStr">
        <is>
          <t>Miss Glam Damar</t>
        </is>
      </c>
      <c r="E1276" t="n">
        <v>6</v>
      </c>
      <c r="F1276" t="n">
        <v>0.182</v>
      </c>
      <c r="G1276" t="n">
        <v>1.82</v>
      </c>
      <c r="H1276" t="n">
        <v>2</v>
      </c>
      <c r="I1276" t="n">
        <v>6</v>
      </c>
      <c r="J1276" t="n">
        <v>3</v>
      </c>
      <c r="K1276" t="n">
        <v>0</v>
      </c>
      <c r="L1276" t="n">
        <v>38315</v>
      </c>
      <c r="M1276" t="n">
        <v>47000</v>
      </c>
      <c r="N1276" t="n">
        <v>91</v>
      </c>
      <c r="O1276" t="n">
        <v>0.91</v>
      </c>
      <c r="P1276" t="n">
        <v>1</v>
      </c>
      <c r="Q1276" t="n">
        <v>0.14</v>
      </c>
      <c r="R1276" t="n">
        <v>1</v>
      </c>
      <c r="S1276" t="n">
        <v>8554.000000000002</v>
      </c>
      <c r="T1276" t="n">
        <v>11</v>
      </c>
      <c r="U1276" t="n">
        <v>12</v>
      </c>
      <c r="V1276" t="n">
        <v>30</v>
      </c>
      <c r="W1276" t="n">
        <v>6</v>
      </c>
      <c r="X1276" t="n">
        <v>32.96703296703296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11691</v>
      </c>
      <c r="AG1276" t="n">
        <v>63</v>
      </c>
      <c r="AH1276" t="inlineStr">
        <is>
          <t>PT. PARAMA GLOBAL INSPIRA - PPN (PDG)</t>
        </is>
      </c>
      <c r="AI1276" t="n">
        <v>63</v>
      </c>
      <c r="AJ1276" t="inlineStr">
        <is>
          <t>EMINA</t>
        </is>
      </c>
      <c r="AK1276" t="n">
        <v>21</v>
      </c>
      <c r="AL1276" t="inlineStr">
        <is>
          <t>Miss Glam Damar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EMINA</t>
        </is>
      </c>
      <c r="B1277" s="2">
        <f>"8993137742474"</f>
        <v/>
      </c>
      <c r="C1277" t="inlineStr">
        <is>
          <t>EMINA Creamatte PC22 Coral Crush 5.5gr</t>
        </is>
      </c>
      <c r="D1277" t="inlineStr">
        <is>
          <t>Miss Glam Damar</t>
        </is>
      </c>
      <c r="E1277" t="n">
        <v>6</v>
      </c>
      <c r="F1277" t="n">
        <v>0.0728</v>
      </c>
      <c r="G1277" t="n">
        <v>1.82</v>
      </c>
      <c r="H1277" t="n">
        <v>2</v>
      </c>
      <c r="I1277" t="n">
        <v>6</v>
      </c>
      <c r="J1277" t="n">
        <v>3</v>
      </c>
      <c r="K1277" t="n">
        <v>0</v>
      </c>
      <c r="L1277" t="n">
        <v>38315</v>
      </c>
      <c r="M1277" t="n">
        <v>47000</v>
      </c>
      <c r="N1277" t="n">
        <v>91</v>
      </c>
      <c r="O1277" t="n">
        <v>0.91</v>
      </c>
      <c r="P1277" t="n">
        <v>1</v>
      </c>
      <c r="Q1277" t="n">
        <v>0.17</v>
      </c>
      <c r="R1277" t="n">
        <v>1</v>
      </c>
      <c r="S1277" t="n">
        <v>3421.6</v>
      </c>
      <c r="T1277" t="n">
        <v>11</v>
      </c>
      <c r="U1277" t="n">
        <v>12</v>
      </c>
      <c r="V1277" t="n">
        <v>30</v>
      </c>
      <c r="W1277" t="n">
        <v>3</v>
      </c>
      <c r="X1277" t="n">
        <v>82.41758241758241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11691</v>
      </c>
      <c r="AG1277" t="n">
        <v>63</v>
      </c>
      <c r="AH1277" t="inlineStr">
        <is>
          <t>PT. PARAMA GLOBAL INSPIRA - PPN (PDG)</t>
        </is>
      </c>
      <c r="AI1277" t="n">
        <v>63</v>
      </c>
      <c r="AJ1277" t="inlineStr">
        <is>
          <t>EMINA</t>
        </is>
      </c>
      <c r="AK1277" t="n">
        <v>21</v>
      </c>
      <c r="AL1277" t="inlineStr">
        <is>
          <t>Miss Glam Damar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EMINA</t>
        </is>
      </c>
      <c r="B1278" s="2">
        <f>"8993137714112"</f>
        <v/>
      </c>
      <c r="C1278" t="inlineStr">
        <is>
          <t>EMINA Daily Matte BB Cream Spf25 01 Light 16g</t>
        </is>
      </c>
      <c r="D1278" t="inlineStr">
        <is>
          <t>Miss Glam Damar</t>
        </is>
      </c>
      <c r="E1278" t="n">
        <v>11</v>
      </c>
      <c r="F1278" t="n">
        <v>0.2639</v>
      </c>
      <c r="G1278" t="n">
        <v>2.73</v>
      </c>
      <c r="H1278" t="n">
        <v>2</v>
      </c>
      <c r="I1278" t="n">
        <v>6</v>
      </c>
      <c r="J1278" t="n">
        <v>3</v>
      </c>
      <c r="K1278" t="n">
        <v>0</v>
      </c>
      <c r="L1278" t="n">
        <v>24467</v>
      </c>
      <c r="M1278" t="n">
        <v>30000</v>
      </c>
      <c r="N1278" t="n">
        <v>91</v>
      </c>
      <c r="O1278" t="n">
        <v>0.91</v>
      </c>
      <c r="P1278" t="n">
        <v>1</v>
      </c>
      <c r="Q1278" t="n">
        <v>0.1</v>
      </c>
      <c r="R1278" t="n">
        <v>1</v>
      </c>
      <c r="S1278" t="n">
        <v>7916.999999999999</v>
      </c>
      <c r="T1278" t="n">
        <v>16</v>
      </c>
      <c r="U1278" t="n">
        <v>17</v>
      </c>
      <c r="V1278" t="n">
        <v>30</v>
      </c>
      <c r="W1278" t="n">
        <v>8</v>
      </c>
      <c r="X1278" t="n">
        <v>41.68245547555893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11691</v>
      </c>
      <c r="AG1278" t="n">
        <v>63</v>
      </c>
      <c r="AH1278" t="inlineStr">
        <is>
          <t>PT. PARAMA GLOBAL INSPIRA - PPN (PDG)</t>
        </is>
      </c>
      <c r="AI1278" t="n">
        <v>63</v>
      </c>
      <c r="AJ1278" t="inlineStr">
        <is>
          <t>EMINA</t>
        </is>
      </c>
      <c r="AK1278" t="n">
        <v>21</v>
      </c>
      <c r="AL1278" t="inlineStr">
        <is>
          <t>Miss Glam Damar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EMINA</t>
        </is>
      </c>
      <c r="B1279" s="2">
        <f>"8993137714129"</f>
        <v/>
      </c>
      <c r="C1279" t="inlineStr">
        <is>
          <t>EMINA Daily Matte BB Cream Spf25 02 Natural 16gr</t>
        </is>
      </c>
      <c r="D1279" t="inlineStr">
        <is>
          <t>Miss Glam Damar</t>
        </is>
      </c>
      <c r="E1279" t="n">
        <v>10</v>
      </c>
      <c r="F1279" t="n">
        <v>0.7280000000000001</v>
      </c>
      <c r="G1279" t="n">
        <v>3.64</v>
      </c>
      <c r="H1279" t="n">
        <v>2</v>
      </c>
      <c r="I1279" t="n">
        <v>6</v>
      </c>
      <c r="J1279" t="n">
        <v>3</v>
      </c>
      <c r="K1279" t="n">
        <v>0</v>
      </c>
      <c r="L1279" t="n">
        <v>24521</v>
      </c>
      <c r="M1279" t="n">
        <v>30000</v>
      </c>
      <c r="N1279" t="n">
        <v>91</v>
      </c>
      <c r="O1279" t="n">
        <v>0.91</v>
      </c>
      <c r="P1279" t="n">
        <v>1</v>
      </c>
      <c r="Q1279" t="n">
        <v>0.39</v>
      </c>
      <c r="R1279" t="n">
        <v>2</v>
      </c>
      <c r="S1279" t="n">
        <v>21840</v>
      </c>
      <c r="T1279" t="n">
        <v>21</v>
      </c>
      <c r="U1279" t="n">
        <v>23</v>
      </c>
      <c r="V1279" t="n">
        <v>30</v>
      </c>
      <c r="W1279" t="n">
        <v>22</v>
      </c>
      <c r="X1279" t="n">
        <v>13.73626373626374</v>
      </c>
      <c r="Y1279" t="n">
        <v>1</v>
      </c>
      <c r="Z1279" t="n">
        <v>12</v>
      </c>
      <c r="AA1279" t="n">
        <v>0</v>
      </c>
      <c r="AB1279" t="n">
        <v>12</v>
      </c>
      <c r="AC1279" t="n">
        <v>12</v>
      </c>
      <c r="AD1279" t="n">
        <v>0</v>
      </c>
      <c r="AE1279" t="n">
        <v>294252</v>
      </c>
      <c r="AF1279" t="n">
        <v>11691</v>
      </c>
      <c r="AG1279" t="n">
        <v>63</v>
      </c>
      <c r="AH1279" t="inlineStr">
        <is>
          <t>PT. PARAMA GLOBAL INSPIRA - PPN (PDG)</t>
        </is>
      </c>
      <c r="AI1279" t="n">
        <v>63</v>
      </c>
      <c r="AJ1279" t="inlineStr">
        <is>
          <t>EMINA</t>
        </is>
      </c>
      <c r="AK1279" t="n">
        <v>21</v>
      </c>
      <c r="AL1279" t="inlineStr">
        <is>
          <t>Miss Glam Damar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EMINA</t>
        </is>
      </c>
      <c r="B1280" s="2">
        <f>"8993137714136"</f>
        <v/>
      </c>
      <c r="C1280" t="inlineStr">
        <is>
          <t>EMINA Daily Matte BB Cream Spf25 03 Caramel 16g</t>
        </is>
      </c>
      <c r="D1280" t="inlineStr">
        <is>
          <t>Miss Glam Damar</t>
        </is>
      </c>
      <c r="E1280" t="n">
        <v>7</v>
      </c>
      <c r="F1280" t="n">
        <v>0.1</v>
      </c>
      <c r="G1280" t="n">
        <v>1</v>
      </c>
      <c r="H1280" t="n">
        <v>2</v>
      </c>
      <c r="I1280" t="n">
        <v>6</v>
      </c>
      <c r="J1280" t="n">
        <v>3</v>
      </c>
      <c r="K1280" t="n">
        <v>0</v>
      </c>
      <c r="L1280" t="n">
        <v>24371</v>
      </c>
      <c r="M1280" t="n">
        <v>30000</v>
      </c>
      <c r="N1280" t="n">
        <v>91</v>
      </c>
      <c r="O1280" t="n">
        <v>0.91</v>
      </c>
      <c r="P1280" t="n">
        <v>0</v>
      </c>
      <c r="Q1280" t="n">
        <v>0.1</v>
      </c>
      <c r="R1280" t="n">
        <v>1</v>
      </c>
      <c r="S1280" t="n">
        <v>3000</v>
      </c>
      <c r="T1280" t="n">
        <v>6</v>
      </c>
      <c r="U1280" t="n">
        <v>7</v>
      </c>
      <c r="V1280" t="n">
        <v>30</v>
      </c>
      <c r="W1280" t="n">
        <v>3</v>
      </c>
      <c r="X1280" t="n">
        <v>70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11691</v>
      </c>
      <c r="AG1280" t="n">
        <v>63</v>
      </c>
      <c r="AH1280" t="inlineStr">
        <is>
          <t>PT. PARAMA GLOBAL INSPIRA - PPN (PDG)</t>
        </is>
      </c>
      <c r="AI1280" t="n">
        <v>63</v>
      </c>
      <c r="AJ1280" t="inlineStr">
        <is>
          <t>EMINA</t>
        </is>
      </c>
      <c r="AK1280" t="n">
        <v>21</v>
      </c>
      <c r="AL1280" t="inlineStr">
        <is>
          <t>Miss Glam Damar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EMINA</t>
        </is>
      </c>
      <c r="B1281" s="2">
        <f>"8993137714464"</f>
        <v/>
      </c>
      <c r="C1281" t="inlineStr">
        <is>
          <t>EMINA Daily Matte Compact Powder 01 Light 11gr</t>
        </is>
      </c>
      <c r="D1281" t="inlineStr">
        <is>
          <t>Miss Glam Damar</t>
        </is>
      </c>
      <c r="E1281" t="n">
        <v>7</v>
      </c>
      <c r="F1281" t="n">
        <v>0.4459</v>
      </c>
      <c r="G1281" t="n">
        <v>3.64</v>
      </c>
      <c r="H1281" t="n">
        <v>2</v>
      </c>
      <c r="I1281" t="n">
        <v>6</v>
      </c>
      <c r="J1281" t="n">
        <v>3</v>
      </c>
      <c r="K1281" t="n">
        <v>0</v>
      </c>
      <c r="L1281" t="n">
        <v>30651</v>
      </c>
      <c r="M1281" t="n">
        <v>37500</v>
      </c>
      <c r="N1281" t="n">
        <v>91</v>
      </c>
      <c r="O1281" t="n">
        <v>0.91</v>
      </c>
      <c r="P1281" t="n">
        <v>1</v>
      </c>
      <c r="Q1281" t="n">
        <v>0.39</v>
      </c>
      <c r="R1281" t="n">
        <v>3</v>
      </c>
      <c r="S1281" t="n">
        <v>16721.25</v>
      </c>
      <c r="T1281" t="n">
        <v>21</v>
      </c>
      <c r="U1281" t="n">
        <v>22</v>
      </c>
      <c r="V1281" t="n">
        <v>30</v>
      </c>
      <c r="W1281" t="n">
        <v>14</v>
      </c>
      <c r="X1281" t="n">
        <v>15.69858712715856</v>
      </c>
      <c r="Y1281" t="n">
        <v>1</v>
      </c>
      <c r="Z1281" t="n">
        <v>7</v>
      </c>
      <c r="AA1281" t="n">
        <v>0</v>
      </c>
      <c r="AB1281" t="n">
        <v>7</v>
      </c>
      <c r="AC1281" t="n">
        <v>7</v>
      </c>
      <c r="AD1281" t="n">
        <v>0</v>
      </c>
      <c r="AE1281" t="n">
        <v>214557</v>
      </c>
      <c r="AF1281" t="n">
        <v>11691</v>
      </c>
      <c r="AG1281" t="n">
        <v>63</v>
      </c>
      <c r="AH1281" t="inlineStr">
        <is>
          <t>PT. PARAMA GLOBAL INSPIRA - PPN (PDG)</t>
        </is>
      </c>
      <c r="AI1281" t="n">
        <v>63</v>
      </c>
      <c r="AJ1281" t="inlineStr">
        <is>
          <t>EMINA</t>
        </is>
      </c>
      <c r="AK1281" t="n">
        <v>21</v>
      </c>
      <c r="AL1281" t="inlineStr">
        <is>
          <t>Miss Glam Damar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EMINA</t>
        </is>
      </c>
      <c r="B1282" s="2">
        <f>"8993137714471"</f>
        <v/>
      </c>
      <c r="C1282" t="inlineStr">
        <is>
          <t>EMINA Daily Matte Compact Powder 02 Natural 11g</t>
        </is>
      </c>
      <c r="D1282" t="inlineStr">
        <is>
          <t>Miss Glam Damar</t>
        </is>
      </c>
      <c r="E1282" t="n">
        <v>19</v>
      </c>
      <c r="F1282" t="n">
        <v>1.0829</v>
      </c>
      <c r="G1282" t="n">
        <v>3.64</v>
      </c>
      <c r="H1282" t="n">
        <v>2</v>
      </c>
      <c r="I1282" t="n">
        <v>6</v>
      </c>
      <c r="J1282" t="n">
        <v>3</v>
      </c>
      <c r="K1282" t="n">
        <v>0</v>
      </c>
      <c r="L1282" t="n">
        <v>30995</v>
      </c>
      <c r="M1282" t="n">
        <v>37500</v>
      </c>
      <c r="N1282" t="n">
        <v>91</v>
      </c>
      <c r="O1282" t="n">
        <v>0.91</v>
      </c>
      <c r="P1282" t="n">
        <v>1</v>
      </c>
      <c r="Q1282" t="n">
        <v>0.61</v>
      </c>
      <c r="R1282" t="n">
        <v>4</v>
      </c>
      <c r="S1282" t="n">
        <v>40608.75</v>
      </c>
      <c r="T1282" t="n">
        <v>20</v>
      </c>
      <c r="U1282" t="n">
        <v>23</v>
      </c>
      <c r="V1282" t="n">
        <v>30</v>
      </c>
      <c r="W1282" t="n">
        <v>33</v>
      </c>
      <c r="X1282" t="n">
        <v>17.54547973035368</v>
      </c>
      <c r="Y1282" t="n">
        <v>1</v>
      </c>
      <c r="Z1282" t="n">
        <v>14</v>
      </c>
      <c r="AA1282" t="n">
        <v>0</v>
      </c>
      <c r="AB1282" t="n">
        <v>14</v>
      </c>
      <c r="AC1282" t="n">
        <v>14</v>
      </c>
      <c r="AD1282" t="n">
        <v>0</v>
      </c>
      <c r="AE1282" t="n">
        <v>433930</v>
      </c>
      <c r="AF1282" t="n">
        <v>11691</v>
      </c>
      <c r="AG1282" t="n">
        <v>63</v>
      </c>
      <c r="AH1282" t="inlineStr">
        <is>
          <t>PT. PARAMA GLOBAL INSPIRA - PPN (PDG)</t>
        </is>
      </c>
      <c r="AI1282" t="n">
        <v>63</v>
      </c>
      <c r="AJ1282" t="inlineStr">
        <is>
          <t>EMINA</t>
        </is>
      </c>
      <c r="AK1282" t="n">
        <v>21</v>
      </c>
      <c r="AL1282" t="inlineStr">
        <is>
          <t>Miss Glam Damar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EMINA</t>
        </is>
      </c>
      <c r="B1283" s="2">
        <f>"8993137714488"</f>
        <v/>
      </c>
      <c r="C1283" t="inlineStr">
        <is>
          <t>EMINA Daily Matte Compact Powder 03 Caramel 11gr</t>
        </is>
      </c>
      <c r="D1283" t="inlineStr">
        <is>
          <t>Miss Glam Damar</t>
        </is>
      </c>
      <c r="E1283" t="n">
        <v>5</v>
      </c>
      <c r="F1283" t="n">
        <v>0.2</v>
      </c>
      <c r="G1283" t="n">
        <v>2</v>
      </c>
      <c r="H1283" t="n">
        <v>2</v>
      </c>
      <c r="I1283" t="n">
        <v>6</v>
      </c>
      <c r="J1283" t="n">
        <v>3</v>
      </c>
      <c r="K1283" t="n">
        <v>0</v>
      </c>
      <c r="L1283" t="n">
        <v>30652</v>
      </c>
      <c r="M1283" t="n">
        <v>37500</v>
      </c>
      <c r="N1283" t="n">
        <v>91</v>
      </c>
      <c r="O1283" t="n">
        <v>0.91</v>
      </c>
      <c r="P1283" t="n">
        <v>0</v>
      </c>
      <c r="Q1283" t="n">
        <v>0.2</v>
      </c>
      <c r="R1283" t="n">
        <v>2</v>
      </c>
      <c r="S1283" t="n">
        <v>7500</v>
      </c>
      <c r="T1283" t="n">
        <v>12</v>
      </c>
      <c r="U1283" t="n">
        <v>13</v>
      </c>
      <c r="V1283" t="n">
        <v>30</v>
      </c>
      <c r="W1283" t="n">
        <v>6</v>
      </c>
      <c r="X1283" t="n">
        <v>25</v>
      </c>
      <c r="Y1283" t="n">
        <v>1</v>
      </c>
      <c r="Z1283" t="n">
        <v>1</v>
      </c>
      <c r="AA1283" t="n">
        <v>0</v>
      </c>
      <c r="AB1283" t="n">
        <v>1</v>
      </c>
      <c r="AC1283" t="n">
        <v>3</v>
      </c>
      <c r="AD1283" t="n">
        <v>0</v>
      </c>
      <c r="AE1283" t="n">
        <v>91956</v>
      </c>
      <c r="AF1283" t="n">
        <v>11691</v>
      </c>
      <c r="AG1283" t="n">
        <v>63</v>
      </c>
      <c r="AH1283" t="inlineStr">
        <is>
          <t>PT. PARAMA GLOBAL INSPIRA - PPN (PDG)</t>
        </is>
      </c>
      <c r="AI1283" t="n">
        <v>63</v>
      </c>
      <c r="AJ1283" t="inlineStr">
        <is>
          <t>EMINA</t>
        </is>
      </c>
      <c r="AK1283" t="n">
        <v>21</v>
      </c>
      <c r="AL1283" t="inlineStr">
        <is>
          <t>Miss Glam Damar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EMINA</t>
        </is>
      </c>
      <c r="B1284" s="2">
        <f>"8993137714495"</f>
        <v/>
      </c>
      <c r="C1284" t="inlineStr">
        <is>
          <t>EMINA Daily Matte Compact Powder 04 Mocca 11g</t>
        </is>
      </c>
      <c r="D1284" t="inlineStr">
        <is>
          <t>Miss Glam Damar</t>
        </is>
      </c>
      <c r="E1284" t="n">
        <v>4</v>
      </c>
      <c r="F1284" t="n">
        <v>0.14</v>
      </c>
      <c r="G1284" t="n">
        <v>1</v>
      </c>
      <c r="H1284" t="n">
        <v>2</v>
      </c>
      <c r="I1284" t="n">
        <v>6</v>
      </c>
      <c r="J1284" t="n">
        <v>3</v>
      </c>
      <c r="K1284" t="n">
        <v>0</v>
      </c>
      <c r="L1284" t="n">
        <v>30652</v>
      </c>
      <c r="M1284" t="n">
        <v>37500</v>
      </c>
      <c r="N1284" t="n">
        <v>91</v>
      </c>
      <c r="O1284" t="n">
        <v>0.91</v>
      </c>
      <c r="P1284" t="n">
        <v>0</v>
      </c>
      <c r="Q1284" t="n">
        <v>0.14</v>
      </c>
      <c r="R1284" t="n">
        <v>1</v>
      </c>
      <c r="S1284" t="n">
        <v>5250.000000000001</v>
      </c>
      <c r="T1284" t="n">
        <v>6</v>
      </c>
      <c r="U1284" t="n">
        <v>7</v>
      </c>
      <c r="V1284" t="n">
        <v>30</v>
      </c>
      <c r="W1284" t="n">
        <v>5</v>
      </c>
      <c r="X1284" t="n">
        <v>28.57142857142857</v>
      </c>
      <c r="Y1284" t="n">
        <v>1</v>
      </c>
      <c r="Z1284" t="n">
        <v>1</v>
      </c>
      <c r="AA1284" t="n">
        <v>0</v>
      </c>
      <c r="AB1284" t="n">
        <v>1</v>
      </c>
      <c r="AC1284" t="n">
        <v>3</v>
      </c>
      <c r="AD1284" t="n">
        <v>0</v>
      </c>
      <c r="AE1284" t="n">
        <v>91956</v>
      </c>
      <c r="AF1284" t="n">
        <v>11691</v>
      </c>
      <c r="AG1284" t="n">
        <v>63</v>
      </c>
      <c r="AH1284" t="inlineStr">
        <is>
          <t>PT. PARAMA GLOBAL INSPIRA - PPN (PDG)</t>
        </is>
      </c>
      <c r="AI1284" t="n">
        <v>63</v>
      </c>
      <c r="AJ1284" t="inlineStr">
        <is>
          <t>EMINA</t>
        </is>
      </c>
      <c r="AK1284" t="n">
        <v>21</v>
      </c>
      <c r="AL1284" t="inlineStr">
        <is>
          <t>Miss Glam Damar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EMINA</t>
        </is>
      </c>
      <c r="B1285" s="2">
        <f>"8993137729482"</f>
        <v/>
      </c>
      <c r="C1285" t="inlineStr">
        <is>
          <t>EMINA Daily Matte Cushion SPF 25 PA++ N02 Natural 15gr</t>
        </is>
      </c>
      <c r="D1285" t="inlineStr">
        <is>
          <t>Miss Glam Damar</t>
        </is>
      </c>
      <c r="E1285" t="n">
        <v>3</v>
      </c>
      <c r="F1285" t="n">
        <v>0.07000000000000001</v>
      </c>
      <c r="G1285" t="n">
        <v>1</v>
      </c>
      <c r="H1285" t="n">
        <v>2</v>
      </c>
      <c r="I1285" t="n">
        <v>6</v>
      </c>
      <c r="J1285" t="n">
        <v>3</v>
      </c>
      <c r="K1285" t="n">
        <v>0</v>
      </c>
      <c r="L1285" t="n">
        <v>71840</v>
      </c>
      <c r="M1285" t="n">
        <v>88000</v>
      </c>
      <c r="N1285" t="n">
        <v>91</v>
      </c>
      <c r="O1285" t="n">
        <v>0.91</v>
      </c>
      <c r="P1285" t="n">
        <v>0</v>
      </c>
      <c r="Q1285" t="n">
        <v>0.07000000000000001</v>
      </c>
      <c r="R1285" t="n">
        <v>1</v>
      </c>
      <c r="S1285" t="n">
        <v>6160.000000000001</v>
      </c>
      <c r="T1285" t="n">
        <v>6</v>
      </c>
      <c r="U1285" t="n">
        <v>7</v>
      </c>
      <c r="V1285" t="n">
        <v>30</v>
      </c>
      <c r="W1285" t="n">
        <v>3</v>
      </c>
      <c r="X1285" t="n">
        <v>42.85714285714285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11691</v>
      </c>
      <c r="AG1285" t="n">
        <v>63</v>
      </c>
      <c r="AH1285" t="inlineStr">
        <is>
          <t>PT. PARAMA GLOBAL INSPIRA - PPN (PDG)</t>
        </is>
      </c>
      <c r="AI1285" t="n">
        <v>63</v>
      </c>
      <c r="AJ1285" t="inlineStr">
        <is>
          <t>EMINA</t>
        </is>
      </c>
      <c r="AK1285" t="n">
        <v>21</v>
      </c>
      <c r="AL1285" t="inlineStr">
        <is>
          <t>Miss Glam Damar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EMINA</t>
        </is>
      </c>
      <c r="B1286" s="2">
        <f>"8993137729475"</f>
        <v/>
      </c>
      <c r="C1286" t="inlineStr">
        <is>
          <t>EMINA Daily Matte Cushion SPF 25 PA++ W02 Natural 15gr</t>
        </is>
      </c>
      <c r="D1286" t="inlineStr">
        <is>
          <t>Miss Glam Damar</t>
        </is>
      </c>
      <c r="E1286" t="n">
        <v>3</v>
      </c>
      <c r="F1286" t="n">
        <v>0.0273</v>
      </c>
      <c r="G1286" t="n">
        <v>0.91</v>
      </c>
      <c r="H1286" t="n">
        <v>2</v>
      </c>
      <c r="I1286" t="n">
        <v>6</v>
      </c>
      <c r="J1286" t="n">
        <v>3</v>
      </c>
      <c r="K1286" t="n">
        <v>0</v>
      </c>
      <c r="L1286" t="n">
        <v>72032</v>
      </c>
      <c r="M1286" t="n">
        <v>88000</v>
      </c>
      <c r="N1286" t="n">
        <v>91</v>
      </c>
      <c r="O1286" t="n">
        <v>0.91</v>
      </c>
      <c r="P1286" t="n">
        <v>1</v>
      </c>
      <c r="Q1286" t="n">
        <v>0.02</v>
      </c>
      <c r="R1286" t="n">
        <v>1</v>
      </c>
      <c r="S1286" t="n">
        <v>2402.4</v>
      </c>
      <c r="T1286" t="n">
        <v>6</v>
      </c>
      <c r="U1286" t="n">
        <v>7</v>
      </c>
      <c r="V1286" t="n">
        <v>30</v>
      </c>
      <c r="W1286" t="n">
        <v>1</v>
      </c>
      <c r="X1286" t="n">
        <v>109.8901098901099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11691</v>
      </c>
      <c r="AG1286" t="n">
        <v>63</v>
      </c>
      <c r="AH1286" t="inlineStr">
        <is>
          <t>PT. PARAMA GLOBAL INSPIRA - PPN (PDG)</t>
        </is>
      </c>
      <c r="AI1286" t="n">
        <v>63</v>
      </c>
      <c r="AJ1286" t="inlineStr">
        <is>
          <t>EMINA</t>
        </is>
      </c>
      <c r="AK1286" t="n">
        <v>21</v>
      </c>
      <c r="AL1286" t="inlineStr">
        <is>
          <t>Miss Glam Damar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EMINA</t>
        </is>
      </c>
      <c r="B1287" s="2">
        <f>"8993137702010"</f>
        <v/>
      </c>
      <c r="C1287" t="inlineStr">
        <is>
          <t>EMINA Daily Matte Loose Powder 01 Light Beige 20gr</t>
        </is>
      </c>
      <c r="D1287" t="inlineStr">
        <is>
          <t>Miss Glam Damar</t>
        </is>
      </c>
      <c r="E1287" t="n">
        <v>9</v>
      </c>
      <c r="F1287" t="n">
        <v>0.3822</v>
      </c>
      <c r="G1287" t="n">
        <v>2.73</v>
      </c>
      <c r="H1287" t="n">
        <v>2</v>
      </c>
      <c r="I1287" t="n">
        <v>6</v>
      </c>
      <c r="J1287" t="n">
        <v>3</v>
      </c>
      <c r="K1287" t="n">
        <v>0</v>
      </c>
      <c r="L1287" t="n">
        <v>29880</v>
      </c>
      <c r="M1287" t="n">
        <v>36500</v>
      </c>
      <c r="N1287" t="n">
        <v>91</v>
      </c>
      <c r="O1287" t="n">
        <v>0.91</v>
      </c>
      <c r="P1287" t="n">
        <v>1</v>
      </c>
      <c r="Q1287" t="n">
        <v>0.31</v>
      </c>
      <c r="R1287" t="n">
        <v>2</v>
      </c>
      <c r="S1287" t="n">
        <v>13950.3</v>
      </c>
      <c r="T1287" t="n">
        <v>16</v>
      </c>
      <c r="U1287" t="n">
        <v>17</v>
      </c>
      <c r="V1287" t="n">
        <v>30</v>
      </c>
      <c r="W1287" t="n">
        <v>12</v>
      </c>
      <c r="X1287" t="n">
        <v>23.54788069073783</v>
      </c>
      <c r="Y1287" t="n">
        <v>1</v>
      </c>
      <c r="Z1287" t="n">
        <v>3</v>
      </c>
      <c r="AA1287" t="n">
        <v>0</v>
      </c>
      <c r="AB1287" t="n">
        <v>3</v>
      </c>
      <c r="AC1287" t="n">
        <v>3</v>
      </c>
      <c r="AD1287" t="n">
        <v>0</v>
      </c>
      <c r="AE1287" t="n">
        <v>89640</v>
      </c>
      <c r="AF1287" t="n">
        <v>11691</v>
      </c>
      <c r="AG1287" t="n">
        <v>63</v>
      </c>
      <c r="AH1287" t="inlineStr">
        <is>
          <t>PT. PARAMA GLOBAL INSPIRA - PPN (PDG)</t>
        </is>
      </c>
      <c r="AI1287" t="n">
        <v>63</v>
      </c>
      <c r="AJ1287" t="inlineStr">
        <is>
          <t>EMINA</t>
        </is>
      </c>
      <c r="AK1287" t="n">
        <v>21</v>
      </c>
      <c r="AL1287" t="inlineStr">
        <is>
          <t>Miss Glam Damar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EMINA</t>
        </is>
      </c>
      <c r="B1288" s="2">
        <f>"8993137702027"</f>
        <v/>
      </c>
      <c r="C1288" t="inlineStr">
        <is>
          <t>EMINA Daily Matte Loose Powder 02 Natural Beige 20gr</t>
        </is>
      </c>
      <c r="D1288" t="inlineStr">
        <is>
          <t>Miss Glam Damar</t>
        </is>
      </c>
      <c r="E1288" t="n">
        <v>14</v>
      </c>
      <c r="F1288" t="n">
        <v>0.8190000000000001</v>
      </c>
      <c r="G1288" t="n">
        <v>2.73</v>
      </c>
      <c r="H1288" t="n">
        <v>2</v>
      </c>
      <c r="I1288" t="n">
        <v>6</v>
      </c>
      <c r="J1288" t="n">
        <v>3</v>
      </c>
      <c r="K1288" t="n">
        <v>0</v>
      </c>
      <c r="L1288" t="n">
        <v>29886</v>
      </c>
      <c r="M1288" t="n">
        <v>36500</v>
      </c>
      <c r="N1288" t="n">
        <v>91</v>
      </c>
      <c r="O1288" t="n">
        <v>0.91</v>
      </c>
      <c r="P1288" t="n">
        <v>1</v>
      </c>
      <c r="Q1288" t="n">
        <v>0.53</v>
      </c>
      <c r="R1288" t="n">
        <v>3</v>
      </c>
      <c r="S1288" t="n">
        <v>29893.5</v>
      </c>
      <c r="T1288" t="n">
        <v>15</v>
      </c>
      <c r="U1288" t="n">
        <v>17</v>
      </c>
      <c r="V1288" t="n">
        <v>30</v>
      </c>
      <c r="W1288" t="n">
        <v>25</v>
      </c>
      <c r="X1288" t="n">
        <v>17.09401709401709</v>
      </c>
      <c r="Y1288" t="n">
        <v>1</v>
      </c>
      <c r="Z1288" t="n">
        <v>11</v>
      </c>
      <c r="AA1288" t="n">
        <v>0</v>
      </c>
      <c r="AB1288" t="n">
        <v>11</v>
      </c>
      <c r="AC1288" t="n">
        <v>11</v>
      </c>
      <c r="AD1288" t="n">
        <v>0</v>
      </c>
      <c r="AE1288" t="n">
        <v>328746</v>
      </c>
      <c r="AF1288" t="n">
        <v>11691</v>
      </c>
      <c r="AG1288" t="n">
        <v>63</v>
      </c>
      <c r="AH1288" t="inlineStr">
        <is>
          <t>PT. PARAMA GLOBAL INSPIRA - PPN (PDG)</t>
        </is>
      </c>
      <c r="AI1288" t="n">
        <v>63</v>
      </c>
      <c r="AJ1288" t="inlineStr">
        <is>
          <t>EMINA</t>
        </is>
      </c>
      <c r="AK1288" t="n">
        <v>21</v>
      </c>
      <c r="AL1288" t="inlineStr">
        <is>
          <t>Miss Glam Damar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EMINA</t>
        </is>
      </c>
      <c r="B1289" s="2">
        <f>"8993137707503"</f>
        <v/>
      </c>
      <c r="C1289" t="inlineStr">
        <is>
          <t>EMINA Facial wash Acne Prone Skin 100</t>
        </is>
      </c>
      <c r="D1289" t="inlineStr">
        <is>
          <t>Miss Glam Damar</t>
        </is>
      </c>
      <c r="E1289" t="n">
        <v>25</v>
      </c>
      <c r="F1289" t="n">
        <v>1.4651</v>
      </c>
      <c r="G1289" t="n">
        <v>4.55</v>
      </c>
      <c r="H1289" t="n">
        <v>2</v>
      </c>
      <c r="I1289" t="n">
        <v>6</v>
      </c>
      <c r="J1289" t="n">
        <v>3</v>
      </c>
      <c r="K1289" t="n">
        <v>0</v>
      </c>
      <c r="L1289" t="n">
        <v>24905</v>
      </c>
      <c r="M1289" t="n">
        <v>32500</v>
      </c>
      <c r="N1289" t="n">
        <v>91</v>
      </c>
      <c r="O1289" t="n">
        <v>0.91</v>
      </c>
      <c r="P1289" t="n">
        <v>1</v>
      </c>
      <c r="Q1289" t="n">
        <v>0.9</v>
      </c>
      <c r="R1289" t="n">
        <v>4</v>
      </c>
      <c r="S1289" t="n">
        <v>47615.75</v>
      </c>
      <c r="T1289" t="n">
        <v>25</v>
      </c>
      <c r="U1289" t="n">
        <v>28</v>
      </c>
      <c r="V1289" t="n">
        <v>30</v>
      </c>
      <c r="W1289" t="n">
        <v>44</v>
      </c>
      <c r="X1289" t="n">
        <v>17.06368165995495</v>
      </c>
      <c r="Y1289" t="n">
        <v>1</v>
      </c>
      <c r="Z1289" t="n">
        <v>19</v>
      </c>
      <c r="AA1289" t="n">
        <v>0</v>
      </c>
      <c r="AB1289" t="n">
        <v>19</v>
      </c>
      <c r="AC1289" t="n">
        <v>19</v>
      </c>
      <c r="AD1289" t="n">
        <v>0</v>
      </c>
      <c r="AE1289" t="n">
        <v>473195</v>
      </c>
      <c r="AF1289" t="n">
        <v>11691</v>
      </c>
      <c r="AG1289" t="n">
        <v>63</v>
      </c>
      <c r="AH1289" t="inlineStr">
        <is>
          <t>PT. PARAMA GLOBAL INSPIRA - PPN (PDG)</t>
        </is>
      </c>
      <c r="AI1289" t="n">
        <v>63</v>
      </c>
      <c r="AJ1289" t="inlineStr">
        <is>
          <t>EMINA</t>
        </is>
      </c>
      <c r="AK1289" t="n">
        <v>21</v>
      </c>
      <c r="AL1289" t="inlineStr">
        <is>
          <t>Miss Glam Damar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EMINA</t>
        </is>
      </c>
      <c r="B1290" s="2">
        <f>"8993137703888"</f>
        <v/>
      </c>
      <c r="C1290" t="inlineStr">
        <is>
          <t>EMINA Facial Wash Bright Stuff 100ml</t>
        </is>
      </c>
      <c r="D1290" t="inlineStr">
        <is>
          <t>Miss Glam Damar</t>
        </is>
      </c>
      <c r="E1290" t="n">
        <v>53</v>
      </c>
      <c r="F1290" t="n">
        <v>4.9777</v>
      </c>
      <c r="G1290" t="n">
        <v>12.74</v>
      </c>
      <c r="H1290" t="n">
        <v>2</v>
      </c>
      <c r="I1290" t="n">
        <v>6</v>
      </c>
      <c r="J1290" t="n">
        <v>3</v>
      </c>
      <c r="K1290" t="n">
        <v>0</v>
      </c>
      <c r="L1290" t="n">
        <v>23371</v>
      </c>
      <c r="M1290" t="n">
        <v>29000</v>
      </c>
      <c r="N1290" t="n">
        <v>91</v>
      </c>
      <c r="O1290" t="n">
        <v>0.91</v>
      </c>
      <c r="P1290" t="n">
        <v>1</v>
      </c>
      <c r="Q1290" t="n">
        <v>2.68</v>
      </c>
      <c r="R1290" t="n">
        <v>10</v>
      </c>
      <c r="S1290" t="n">
        <v>144353.3</v>
      </c>
      <c r="T1290" t="n">
        <v>67</v>
      </c>
      <c r="U1290" t="n">
        <v>77</v>
      </c>
      <c r="V1290" t="n">
        <v>30</v>
      </c>
      <c r="W1290" t="n">
        <v>150</v>
      </c>
      <c r="X1290" t="n">
        <v>10.64748779556824</v>
      </c>
      <c r="Y1290" t="n">
        <v>1</v>
      </c>
      <c r="Z1290" t="n">
        <v>97</v>
      </c>
      <c r="AA1290" t="n">
        <v>0</v>
      </c>
      <c r="AB1290" t="n">
        <v>97</v>
      </c>
      <c r="AC1290" t="n">
        <v>97</v>
      </c>
      <c r="AD1290" t="n">
        <v>0</v>
      </c>
      <c r="AE1290" t="n">
        <v>2266987</v>
      </c>
      <c r="AF1290" t="n">
        <v>11691</v>
      </c>
      <c r="AG1290" t="n">
        <v>63</v>
      </c>
      <c r="AH1290" t="inlineStr">
        <is>
          <t>PT. PARAMA GLOBAL INSPIRA - PPN (PDG)</t>
        </is>
      </c>
      <c r="AI1290" t="n">
        <v>63</v>
      </c>
      <c r="AJ1290" t="inlineStr">
        <is>
          <t>EMINA</t>
        </is>
      </c>
      <c r="AK1290" t="n">
        <v>21</v>
      </c>
      <c r="AL1290" t="inlineStr">
        <is>
          <t>Miss Glam Damar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EMINA</t>
        </is>
      </c>
      <c r="B1291" s="2">
        <f>"8993137701419"</f>
        <v/>
      </c>
      <c r="C1291" t="inlineStr">
        <is>
          <t>EMINA Facial Wash Bright Stuff 50ml</t>
        </is>
      </c>
      <c r="D1291" t="inlineStr">
        <is>
          <t>Miss Glam Damar</t>
        </is>
      </c>
      <c r="E1291" t="n">
        <v>35</v>
      </c>
      <c r="F1291" t="n">
        <v>2.8574</v>
      </c>
      <c r="G1291" t="n">
        <v>9.1</v>
      </c>
      <c r="H1291" t="n">
        <v>2</v>
      </c>
      <c r="I1291" t="n">
        <v>6</v>
      </c>
      <c r="J1291" t="n">
        <v>3</v>
      </c>
      <c r="K1291" t="n">
        <v>0</v>
      </c>
      <c r="L1291" t="n">
        <v>14560</v>
      </c>
      <c r="M1291" t="n">
        <v>18000</v>
      </c>
      <c r="N1291" t="n">
        <v>91</v>
      </c>
      <c r="O1291" t="n">
        <v>0.91</v>
      </c>
      <c r="P1291" t="n">
        <v>1</v>
      </c>
      <c r="Q1291" t="n">
        <v>1.59</v>
      </c>
      <c r="R1291" t="n">
        <v>5</v>
      </c>
      <c r="S1291" t="n">
        <v>51433.2</v>
      </c>
      <c r="T1291" t="n">
        <v>49</v>
      </c>
      <c r="U1291" t="n">
        <v>55</v>
      </c>
      <c r="V1291" t="n">
        <v>30</v>
      </c>
      <c r="W1291" t="n">
        <v>86</v>
      </c>
      <c r="X1291" t="n">
        <v>12.24889759921607</v>
      </c>
      <c r="Y1291" t="n">
        <v>1</v>
      </c>
      <c r="Z1291" t="n">
        <v>51</v>
      </c>
      <c r="AA1291" t="n">
        <v>0</v>
      </c>
      <c r="AB1291" t="n">
        <v>51</v>
      </c>
      <c r="AC1291" t="n">
        <v>51</v>
      </c>
      <c r="AD1291" t="n">
        <v>0</v>
      </c>
      <c r="AE1291" t="n">
        <v>742560</v>
      </c>
      <c r="AF1291" t="n">
        <v>11691</v>
      </c>
      <c r="AG1291" t="n">
        <v>63</v>
      </c>
      <c r="AH1291" t="inlineStr">
        <is>
          <t>PT. PARAMA GLOBAL INSPIRA - PPN (PDG)</t>
        </is>
      </c>
      <c r="AI1291" t="n">
        <v>63</v>
      </c>
      <c r="AJ1291" t="inlineStr">
        <is>
          <t>EMINA</t>
        </is>
      </c>
      <c r="AK1291" t="n">
        <v>21</v>
      </c>
      <c r="AL1291" t="inlineStr">
        <is>
          <t>Miss Glam Damar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EMINA</t>
        </is>
      </c>
      <c r="B1292" s="2">
        <f>"203003109701"</f>
        <v/>
      </c>
      <c r="C1292" t="inlineStr">
        <is>
          <t>EMINA Glass Tint 01 Glaze 3gr</t>
        </is>
      </c>
      <c r="D1292" t="inlineStr">
        <is>
          <t>Miss Glam Damar</t>
        </is>
      </c>
      <c r="E1292" t="n">
        <v>5</v>
      </c>
      <c r="F1292" t="n">
        <v>0.1547</v>
      </c>
      <c r="G1292" t="n">
        <v>1.82</v>
      </c>
      <c r="H1292" t="n">
        <v>2</v>
      </c>
      <c r="I1292" t="n">
        <v>6</v>
      </c>
      <c r="J1292" t="n">
        <v>1</v>
      </c>
      <c r="K1292" t="n">
        <v>0</v>
      </c>
      <c r="L1292" t="n">
        <v>50576</v>
      </c>
      <c r="M1292" t="n">
        <v>62000</v>
      </c>
      <c r="N1292" t="n">
        <v>91</v>
      </c>
      <c r="O1292" t="n">
        <v>0.91</v>
      </c>
      <c r="P1292" t="n">
        <v>1</v>
      </c>
      <c r="Q1292" t="n">
        <v>0.27</v>
      </c>
      <c r="R1292" t="n">
        <v>2</v>
      </c>
      <c r="S1292" t="n">
        <v>9591.4</v>
      </c>
      <c r="T1292" t="n">
        <v>11</v>
      </c>
      <c r="U1292" t="n">
        <v>12</v>
      </c>
      <c r="V1292" t="n">
        <v>30</v>
      </c>
      <c r="W1292" t="n">
        <v>5</v>
      </c>
      <c r="X1292" t="n">
        <v>32.32062055591467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11691</v>
      </c>
      <c r="AG1292" t="n">
        <v>63</v>
      </c>
      <c r="AH1292" t="inlineStr">
        <is>
          <t>PT. PARAMA GLOBAL INSPIRA - PPN (PDG)</t>
        </is>
      </c>
      <c r="AI1292" t="n">
        <v>63</v>
      </c>
      <c r="AJ1292" t="inlineStr">
        <is>
          <t>EMINA</t>
        </is>
      </c>
      <c r="AK1292" t="n">
        <v>21</v>
      </c>
      <c r="AL1292" t="inlineStr">
        <is>
          <t>Miss Glam Damar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EMINA</t>
        </is>
      </c>
      <c r="B1293" s="2">
        <f>"203003109858"</f>
        <v/>
      </c>
      <c r="C1293" t="inlineStr">
        <is>
          <t>EMINA Glass Tint 02 Burnt 3gr</t>
        </is>
      </c>
      <c r="D1293" t="inlineStr">
        <is>
          <t>Miss Glam Damar</t>
        </is>
      </c>
      <c r="E1293" t="n">
        <v>7</v>
      </c>
      <c r="F1293" t="n">
        <v>0.09100000000000001</v>
      </c>
      <c r="G1293" t="n">
        <v>0.91</v>
      </c>
      <c r="H1293" t="n">
        <v>2</v>
      </c>
      <c r="I1293" t="n">
        <v>6</v>
      </c>
      <c r="J1293" t="n">
        <v>1</v>
      </c>
      <c r="K1293" t="n">
        <v>0</v>
      </c>
      <c r="L1293" t="n">
        <v>50575</v>
      </c>
      <c r="M1293" t="n">
        <v>62000</v>
      </c>
      <c r="N1293" t="n">
        <v>91</v>
      </c>
      <c r="O1293" t="n">
        <v>0.91</v>
      </c>
      <c r="P1293" t="n">
        <v>1</v>
      </c>
      <c r="Q1293" t="n">
        <v>0.14</v>
      </c>
      <c r="R1293" t="n">
        <v>1</v>
      </c>
      <c r="S1293" t="n">
        <v>5642.000000000001</v>
      </c>
      <c r="T1293" t="n">
        <v>6</v>
      </c>
      <c r="U1293" t="n">
        <v>7</v>
      </c>
      <c r="V1293" t="n">
        <v>30</v>
      </c>
      <c r="W1293" t="n">
        <v>3</v>
      </c>
      <c r="X1293" t="n">
        <v>76.92307692307692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11691</v>
      </c>
      <c r="AG1293" t="n">
        <v>63</v>
      </c>
      <c r="AH1293" t="inlineStr">
        <is>
          <t>PT. PARAMA GLOBAL INSPIRA - PPN (PDG)</t>
        </is>
      </c>
      <c r="AI1293" t="n">
        <v>63</v>
      </c>
      <c r="AJ1293" t="inlineStr">
        <is>
          <t>EMINA</t>
        </is>
      </c>
      <c r="AK1293" t="n">
        <v>21</v>
      </c>
      <c r="AL1293" t="inlineStr">
        <is>
          <t>Miss Glam Damar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EMINA</t>
        </is>
      </c>
      <c r="B1294" s="2">
        <f>"203003109937"</f>
        <v/>
      </c>
      <c r="C1294" t="inlineStr">
        <is>
          <t>EMINA Glass Tint 03 Sugar 3gr</t>
        </is>
      </c>
      <c r="D1294" t="inlineStr">
        <is>
          <t>Miss Glam Damar</t>
        </is>
      </c>
      <c r="E1294" t="n">
        <v>8</v>
      </c>
      <c r="F1294" t="n">
        <v>0.06370000000000001</v>
      </c>
      <c r="G1294" t="n">
        <v>0.91</v>
      </c>
      <c r="H1294" t="n">
        <v>2</v>
      </c>
      <c r="I1294" t="n">
        <v>6</v>
      </c>
      <c r="J1294" t="n">
        <v>1</v>
      </c>
      <c r="K1294" t="n">
        <v>0</v>
      </c>
      <c r="L1294" t="n">
        <v>50575</v>
      </c>
      <c r="M1294" t="n">
        <v>62000</v>
      </c>
      <c r="N1294" t="n">
        <v>91</v>
      </c>
      <c r="O1294" t="n">
        <v>0.91</v>
      </c>
      <c r="P1294" t="n">
        <v>1</v>
      </c>
      <c r="Q1294" t="n">
        <v>0.2</v>
      </c>
      <c r="R1294" t="n">
        <v>1</v>
      </c>
      <c r="S1294" t="n">
        <v>3949.400000000001</v>
      </c>
      <c r="T1294" t="n">
        <v>6</v>
      </c>
      <c r="U1294" t="n">
        <v>7</v>
      </c>
      <c r="V1294" t="n">
        <v>30</v>
      </c>
      <c r="W1294" t="n">
        <v>2</v>
      </c>
      <c r="X1294" t="n">
        <v>125.5886970172684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11691</v>
      </c>
      <c r="AG1294" t="n">
        <v>63</v>
      </c>
      <c r="AH1294" t="inlineStr">
        <is>
          <t>PT. PARAMA GLOBAL INSPIRA - PPN (PDG)</t>
        </is>
      </c>
      <c r="AI1294" t="n">
        <v>63</v>
      </c>
      <c r="AJ1294" t="inlineStr">
        <is>
          <t>EMINA</t>
        </is>
      </c>
      <c r="AK1294" t="n">
        <v>21</v>
      </c>
      <c r="AL1294" t="inlineStr">
        <is>
          <t>Miss Glam Damar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EMINA</t>
        </is>
      </c>
      <c r="B1295" s="2">
        <f>"203003110021"</f>
        <v/>
      </c>
      <c r="C1295" t="inlineStr">
        <is>
          <t>EMINA Glass Tint 04 Plum 3gr</t>
        </is>
      </c>
      <c r="D1295" t="inlineStr">
        <is>
          <t>Miss Glam Damar</t>
        </is>
      </c>
      <c r="E1295" t="n">
        <v>4</v>
      </c>
      <c r="F1295" t="n">
        <v>0.1092</v>
      </c>
      <c r="G1295" t="n">
        <v>0.91</v>
      </c>
      <c r="H1295" t="n">
        <v>2</v>
      </c>
      <c r="I1295" t="n">
        <v>6</v>
      </c>
      <c r="J1295" t="n">
        <v>1</v>
      </c>
      <c r="K1295" t="n">
        <v>0</v>
      </c>
      <c r="L1295" t="n">
        <v>50576</v>
      </c>
      <c r="M1295" t="n">
        <v>62000</v>
      </c>
      <c r="N1295" t="n">
        <v>91</v>
      </c>
      <c r="O1295" t="n">
        <v>0.91</v>
      </c>
      <c r="P1295" t="n">
        <v>1</v>
      </c>
      <c r="Q1295" t="n">
        <v>0.14</v>
      </c>
      <c r="R1295" t="n">
        <v>1</v>
      </c>
      <c r="S1295" t="n">
        <v>6770.400000000001</v>
      </c>
      <c r="T1295" t="n">
        <v>6</v>
      </c>
      <c r="U1295" t="n">
        <v>7</v>
      </c>
      <c r="V1295" t="n">
        <v>30</v>
      </c>
      <c r="W1295" t="n">
        <v>4</v>
      </c>
      <c r="X1295" t="n">
        <v>36.63003663003663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11691</v>
      </c>
      <c r="AG1295" t="n">
        <v>63</v>
      </c>
      <c r="AH1295" t="inlineStr">
        <is>
          <t>PT. PARAMA GLOBAL INSPIRA - PPN (PDG)</t>
        </is>
      </c>
      <c r="AI1295" t="n">
        <v>63</v>
      </c>
      <c r="AJ1295" t="inlineStr">
        <is>
          <t>EMINA</t>
        </is>
      </c>
      <c r="AK1295" t="n">
        <v>21</v>
      </c>
      <c r="AL1295" t="inlineStr">
        <is>
          <t>Miss Glam Damar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EMINA</t>
        </is>
      </c>
      <c r="B1296" s="2">
        <f>"203003110238"</f>
        <v/>
      </c>
      <c r="C1296" t="inlineStr">
        <is>
          <t>EMINA Glass Tint 06 Bomb 3gr</t>
        </is>
      </c>
      <c r="D1296" t="inlineStr">
        <is>
          <t>Miss Glam Damar</t>
        </is>
      </c>
      <c r="E1296" t="n">
        <v>10</v>
      </c>
      <c r="F1296" t="n">
        <v>0.1729</v>
      </c>
      <c r="G1296" t="n">
        <v>1.82</v>
      </c>
      <c r="H1296" t="n">
        <v>2</v>
      </c>
      <c r="I1296" t="n">
        <v>6</v>
      </c>
      <c r="J1296" t="n">
        <v>1</v>
      </c>
      <c r="K1296" t="n">
        <v>0</v>
      </c>
      <c r="L1296" t="n">
        <v>50576</v>
      </c>
      <c r="M1296" t="n">
        <v>62000</v>
      </c>
      <c r="N1296" t="n">
        <v>91</v>
      </c>
      <c r="O1296" t="n">
        <v>0.91</v>
      </c>
      <c r="P1296" t="n">
        <v>1</v>
      </c>
      <c r="Q1296" t="n">
        <v>0.44</v>
      </c>
      <c r="R1296" t="n">
        <v>3</v>
      </c>
      <c r="S1296" t="n">
        <v>10719.8</v>
      </c>
      <c r="T1296" t="n">
        <v>11</v>
      </c>
      <c r="U1296" t="n">
        <v>12</v>
      </c>
      <c r="V1296" t="n">
        <v>30</v>
      </c>
      <c r="W1296" t="n">
        <v>6</v>
      </c>
      <c r="X1296" t="n">
        <v>57.8368999421631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11691</v>
      </c>
      <c r="AG1296" t="n">
        <v>63</v>
      </c>
      <c r="AH1296" t="inlineStr">
        <is>
          <t>PT. PARAMA GLOBAL INSPIRA - PPN (PDG)</t>
        </is>
      </c>
      <c r="AI1296" t="n">
        <v>63</v>
      </c>
      <c r="AJ1296" t="inlineStr">
        <is>
          <t>EMINA</t>
        </is>
      </c>
      <c r="AK1296" t="n">
        <v>21</v>
      </c>
      <c r="AL1296" t="inlineStr">
        <is>
          <t>Miss Glam Damar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EMINA</t>
        </is>
      </c>
      <c r="B1297" s="2">
        <f>"8993137005081"</f>
        <v/>
      </c>
      <c r="C1297" t="inlineStr">
        <is>
          <t>EMINA Glo Rad+ 9-Hyalucica Glow Moisture Gel 50ml</t>
        </is>
      </c>
      <c r="D1297" t="inlineStr">
        <is>
          <t>Miss Glam Damar</t>
        </is>
      </c>
      <c r="E1297" t="n">
        <v>3</v>
      </c>
      <c r="F1297" t="n">
        <v>0.06370000000000001</v>
      </c>
      <c r="G1297" t="n">
        <v>0.91</v>
      </c>
      <c r="H1297" t="n">
        <v>2</v>
      </c>
      <c r="I1297" t="n">
        <v>6</v>
      </c>
      <c r="J1297" t="n">
        <v>3</v>
      </c>
      <c r="K1297" t="n">
        <v>0</v>
      </c>
      <c r="L1297" t="n">
        <v>71647</v>
      </c>
      <c r="M1297" t="n">
        <v>87500</v>
      </c>
      <c r="N1297" t="n">
        <v>91</v>
      </c>
      <c r="O1297" t="n">
        <v>0.91</v>
      </c>
      <c r="P1297" t="n">
        <v>1</v>
      </c>
      <c r="Q1297" t="n">
        <v>0.03</v>
      </c>
      <c r="R1297" t="n">
        <v>1</v>
      </c>
      <c r="S1297" t="n">
        <v>5573.750000000001</v>
      </c>
      <c r="T1297" t="n">
        <v>6</v>
      </c>
      <c r="U1297" t="n">
        <v>7</v>
      </c>
      <c r="V1297" t="n">
        <v>30</v>
      </c>
      <c r="W1297" t="n">
        <v>2</v>
      </c>
      <c r="X1297" t="n">
        <v>47.09576138147566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11691</v>
      </c>
      <c r="AG1297" t="n">
        <v>63</v>
      </c>
      <c r="AH1297" t="inlineStr">
        <is>
          <t>PT. PARAMA GLOBAL INSPIRA - PPN (PDG)</t>
        </is>
      </c>
      <c r="AI1297" t="n">
        <v>63</v>
      </c>
      <c r="AJ1297" t="inlineStr">
        <is>
          <t>EMINA</t>
        </is>
      </c>
      <c r="AK1297" t="n">
        <v>21</v>
      </c>
      <c r="AL1297" t="inlineStr">
        <is>
          <t>Miss Glam Damar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EMINA</t>
        </is>
      </c>
      <c r="B1298" s="2">
        <f>"8993137005098"</f>
        <v/>
      </c>
      <c r="C1298" t="inlineStr">
        <is>
          <t>EMINA Glo Rad+ Hassle Free Cleanser Amino Fusion ProCleanser 100ml</t>
        </is>
      </c>
      <c r="D1298" t="inlineStr">
        <is>
          <t>Miss Glam Damar</t>
        </is>
      </c>
      <c r="E1298" t="n">
        <v>4</v>
      </c>
      <c r="F1298" t="n">
        <v>0.0273</v>
      </c>
      <c r="G1298" t="n">
        <v>0.91</v>
      </c>
      <c r="H1298" t="n">
        <v>2</v>
      </c>
      <c r="I1298" t="n">
        <v>6</v>
      </c>
      <c r="J1298" t="n">
        <v>3</v>
      </c>
      <c r="K1298" t="n">
        <v>0</v>
      </c>
      <c r="L1298" t="n">
        <v>47072</v>
      </c>
      <c r="M1298" t="n">
        <v>56500</v>
      </c>
      <c r="N1298" t="n">
        <v>91</v>
      </c>
      <c r="O1298" t="n">
        <v>0.91</v>
      </c>
      <c r="P1298" t="n">
        <v>1</v>
      </c>
      <c r="Q1298" t="n">
        <v>0.02</v>
      </c>
      <c r="R1298" t="n">
        <v>1</v>
      </c>
      <c r="S1298" t="n">
        <v>1542.45</v>
      </c>
      <c r="T1298" t="n">
        <v>6</v>
      </c>
      <c r="U1298" t="n">
        <v>7</v>
      </c>
      <c r="V1298" t="n">
        <v>30</v>
      </c>
      <c r="W1298" t="n">
        <v>1</v>
      </c>
      <c r="X1298" t="n">
        <v>146.5201465201465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11691</v>
      </c>
      <c r="AG1298" t="n">
        <v>63</v>
      </c>
      <c r="AH1298" t="inlineStr">
        <is>
          <t>PT. PARAMA GLOBAL INSPIRA - PPN (PDG)</t>
        </is>
      </c>
      <c r="AI1298" t="n">
        <v>63</v>
      </c>
      <c r="AJ1298" t="inlineStr">
        <is>
          <t>EMINA</t>
        </is>
      </c>
      <c r="AK1298" t="n">
        <v>21</v>
      </c>
      <c r="AL1298" t="inlineStr">
        <is>
          <t>Miss Glam Damar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EMINA</t>
        </is>
      </c>
      <c r="B1299" s="2">
        <f>"8993137005074"</f>
        <v/>
      </c>
      <c r="C1299" t="inlineStr">
        <is>
          <t>EMINA Glo Rad+ High-Res Bright Glow Water-Sphere Serum 20ml</t>
        </is>
      </c>
      <c r="D1299" t="inlineStr">
        <is>
          <t>Miss Glam Damar</t>
        </is>
      </c>
      <c r="E1299" t="n">
        <v>3</v>
      </c>
      <c r="F1299" t="n">
        <v>0.0728</v>
      </c>
      <c r="G1299" t="n">
        <v>0.91</v>
      </c>
      <c r="H1299" t="n">
        <v>2</v>
      </c>
      <c r="I1299" t="n">
        <v>6</v>
      </c>
      <c r="J1299" t="n">
        <v>3</v>
      </c>
      <c r="K1299" t="n">
        <v>0</v>
      </c>
      <c r="L1299" t="n">
        <v>75817</v>
      </c>
      <c r="M1299" t="n">
        <v>90500</v>
      </c>
      <c r="N1299" t="n">
        <v>91</v>
      </c>
      <c r="O1299" t="n">
        <v>0.91</v>
      </c>
      <c r="P1299" t="n">
        <v>1</v>
      </c>
      <c r="Q1299" t="n">
        <v>0.03</v>
      </c>
      <c r="R1299" t="n">
        <v>1</v>
      </c>
      <c r="S1299" t="n">
        <v>6588.400000000001</v>
      </c>
      <c r="T1299" t="n">
        <v>6</v>
      </c>
      <c r="U1299" t="n">
        <v>7</v>
      </c>
      <c r="V1299" t="n">
        <v>30</v>
      </c>
      <c r="W1299" t="n">
        <v>3</v>
      </c>
      <c r="X1299" t="n">
        <v>41.2087912087912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11691</v>
      </c>
      <c r="AG1299" t="n">
        <v>63</v>
      </c>
      <c r="AH1299" t="inlineStr">
        <is>
          <t>PT. PARAMA GLOBAL INSPIRA - PPN (PDG)</t>
        </is>
      </c>
      <c r="AI1299" t="n">
        <v>63</v>
      </c>
      <c r="AJ1299" t="inlineStr">
        <is>
          <t>EMINA</t>
        </is>
      </c>
      <c r="AK1299" t="n">
        <v>21</v>
      </c>
      <c r="AL1299" t="inlineStr">
        <is>
          <t>Miss Glam Damar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EMINA</t>
        </is>
      </c>
      <c r="B1300" s="2">
        <f>"8993137707220"</f>
        <v/>
      </c>
      <c r="C1300" t="inlineStr">
        <is>
          <t>EMINA Glossy Stain 01 Autumn Bell 3gr</t>
        </is>
      </c>
      <c r="D1300" t="inlineStr">
        <is>
          <t>Miss Glam Damar</t>
        </is>
      </c>
      <c r="E1300" t="n">
        <v>9</v>
      </c>
      <c r="F1300" t="n">
        <v>0.4641</v>
      </c>
      <c r="G1300" t="n">
        <v>2.73</v>
      </c>
      <c r="H1300" t="n">
        <v>2</v>
      </c>
      <c r="I1300" t="n">
        <v>6</v>
      </c>
      <c r="J1300" t="n">
        <v>3</v>
      </c>
      <c r="K1300" t="n">
        <v>0</v>
      </c>
      <c r="L1300" t="n">
        <v>39847</v>
      </c>
      <c r="M1300" t="n">
        <v>49000</v>
      </c>
      <c r="N1300" t="n">
        <v>91</v>
      </c>
      <c r="O1300" t="n">
        <v>0.91</v>
      </c>
      <c r="P1300" t="n">
        <v>1</v>
      </c>
      <c r="Q1300" t="n">
        <v>0.5600000000000001</v>
      </c>
      <c r="R1300" t="n">
        <v>3</v>
      </c>
      <c r="S1300" t="n">
        <v>22740.9</v>
      </c>
      <c r="T1300" t="n">
        <v>16</v>
      </c>
      <c r="U1300" t="n">
        <v>17</v>
      </c>
      <c r="V1300" t="n">
        <v>30</v>
      </c>
      <c r="W1300" t="n">
        <v>14</v>
      </c>
      <c r="X1300" t="n">
        <v>19.3923723335488</v>
      </c>
      <c r="Y1300" t="n">
        <v>1</v>
      </c>
      <c r="Z1300" t="n">
        <v>5</v>
      </c>
      <c r="AA1300" t="n">
        <v>0</v>
      </c>
      <c r="AB1300" t="n">
        <v>5</v>
      </c>
      <c r="AC1300" t="n">
        <v>5</v>
      </c>
      <c r="AD1300" t="n">
        <v>0</v>
      </c>
      <c r="AE1300" t="n">
        <v>199235</v>
      </c>
      <c r="AF1300" t="n">
        <v>11691</v>
      </c>
      <c r="AG1300" t="n">
        <v>63</v>
      </c>
      <c r="AH1300" t="inlineStr">
        <is>
          <t>PT. PARAMA GLOBAL INSPIRA - PPN (PDG)</t>
        </is>
      </c>
      <c r="AI1300" t="n">
        <v>63</v>
      </c>
      <c r="AJ1300" t="inlineStr">
        <is>
          <t>EMINA</t>
        </is>
      </c>
      <c r="AK1300" t="n">
        <v>21</v>
      </c>
      <c r="AL1300" t="inlineStr">
        <is>
          <t>Miss Glam Damar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EMINA</t>
        </is>
      </c>
      <c r="B1301" s="2">
        <f>"8993137707244"</f>
        <v/>
      </c>
      <c r="C1301" t="inlineStr">
        <is>
          <t>EMINA Glossy Stain 03 Rainy Hazel Rose 3gr</t>
        </is>
      </c>
      <c r="D1301" t="inlineStr">
        <is>
          <t>Miss Glam Damar</t>
        </is>
      </c>
      <c r="E1301" t="n">
        <v>7</v>
      </c>
      <c r="F1301" t="n">
        <v>0.2002</v>
      </c>
      <c r="G1301" t="n">
        <v>1.82</v>
      </c>
      <c r="H1301" t="n">
        <v>2</v>
      </c>
      <c r="I1301" t="n">
        <v>6</v>
      </c>
      <c r="J1301" t="n">
        <v>3</v>
      </c>
      <c r="K1301" t="n">
        <v>0</v>
      </c>
      <c r="L1301" t="n">
        <v>39847</v>
      </c>
      <c r="M1301" t="n">
        <v>49000</v>
      </c>
      <c r="N1301" t="n">
        <v>91</v>
      </c>
      <c r="O1301" t="n">
        <v>0.91</v>
      </c>
      <c r="P1301" t="n">
        <v>1</v>
      </c>
      <c r="Q1301" t="n">
        <v>0.29</v>
      </c>
      <c r="R1301" t="n">
        <v>2</v>
      </c>
      <c r="S1301" t="n">
        <v>9809.800000000001</v>
      </c>
      <c r="T1301" t="n">
        <v>11</v>
      </c>
      <c r="U1301" t="n">
        <v>12</v>
      </c>
      <c r="V1301" t="n">
        <v>30</v>
      </c>
      <c r="W1301" t="n">
        <v>7</v>
      </c>
      <c r="X1301" t="n">
        <v>34.96503496503496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11691</v>
      </c>
      <c r="AG1301" t="n">
        <v>63</v>
      </c>
      <c r="AH1301" t="inlineStr">
        <is>
          <t>PT. PARAMA GLOBAL INSPIRA - PPN (PDG)</t>
        </is>
      </c>
      <c r="AI1301" t="n">
        <v>63</v>
      </c>
      <c r="AJ1301" t="inlineStr">
        <is>
          <t>EMINA</t>
        </is>
      </c>
      <c r="AK1301" t="n">
        <v>21</v>
      </c>
      <c r="AL1301" t="inlineStr">
        <is>
          <t>Miss Glam Damar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EMINA</t>
        </is>
      </c>
      <c r="B1302" s="2">
        <f>"8993137707251"</f>
        <v/>
      </c>
      <c r="C1302" t="inlineStr">
        <is>
          <t>EMINA Glossy Stain 04 Peach Sprinkless 3gr</t>
        </is>
      </c>
      <c r="D1302" t="inlineStr">
        <is>
          <t>Miss Glam Damar</t>
        </is>
      </c>
      <c r="E1302" t="n">
        <v>5</v>
      </c>
      <c r="F1302" t="n">
        <v>0.17</v>
      </c>
      <c r="G1302" t="n">
        <v>2</v>
      </c>
      <c r="H1302" t="n">
        <v>2</v>
      </c>
      <c r="I1302" t="n">
        <v>6</v>
      </c>
      <c r="J1302" t="n">
        <v>3</v>
      </c>
      <c r="K1302" t="n">
        <v>0</v>
      </c>
      <c r="L1302" t="n">
        <v>39847</v>
      </c>
      <c r="M1302" t="n">
        <v>49000</v>
      </c>
      <c r="N1302" t="n">
        <v>91</v>
      </c>
      <c r="O1302" t="n">
        <v>0.91</v>
      </c>
      <c r="P1302" t="n">
        <v>0</v>
      </c>
      <c r="Q1302" t="n">
        <v>0.17</v>
      </c>
      <c r="R1302" t="n">
        <v>2</v>
      </c>
      <c r="S1302" t="n">
        <v>8330</v>
      </c>
      <c r="T1302" t="n">
        <v>12</v>
      </c>
      <c r="U1302" t="n">
        <v>13</v>
      </c>
      <c r="V1302" t="n">
        <v>30</v>
      </c>
      <c r="W1302" t="n">
        <v>6</v>
      </c>
      <c r="X1302" t="n">
        <v>29.41176470588235</v>
      </c>
      <c r="Y1302" t="n">
        <v>1</v>
      </c>
      <c r="Z1302" t="n">
        <v>1</v>
      </c>
      <c r="AA1302" t="n">
        <v>0</v>
      </c>
      <c r="AB1302" t="n">
        <v>1</v>
      </c>
      <c r="AC1302" t="n">
        <v>3</v>
      </c>
      <c r="AD1302" t="n">
        <v>0</v>
      </c>
      <c r="AE1302" t="n">
        <v>119541</v>
      </c>
      <c r="AF1302" t="n">
        <v>11691</v>
      </c>
      <c r="AG1302" t="n">
        <v>63</v>
      </c>
      <c r="AH1302" t="inlineStr">
        <is>
          <t>PT. PARAMA GLOBAL INSPIRA - PPN (PDG)</t>
        </is>
      </c>
      <c r="AI1302" t="n">
        <v>63</v>
      </c>
      <c r="AJ1302" t="inlineStr">
        <is>
          <t>EMINA</t>
        </is>
      </c>
      <c r="AK1302" t="n">
        <v>21</v>
      </c>
      <c r="AL1302" t="inlineStr">
        <is>
          <t>Miss Glam Damar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EMINA</t>
        </is>
      </c>
      <c r="B1303" s="2">
        <f>"8993137707268"</f>
        <v/>
      </c>
      <c r="C1303" t="inlineStr">
        <is>
          <t>EMINA Glossy Stain 05 Spring Dazzle 3gr</t>
        </is>
      </c>
      <c r="D1303" t="inlineStr">
        <is>
          <t>Miss Glam Damar</t>
        </is>
      </c>
      <c r="E1303" t="n">
        <v>13</v>
      </c>
      <c r="F1303" t="n">
        <v>0.41</v>
      </c>
      <c r="G1303" t="n">
        <v>3</v>
      </c>
      <c r="H1303" t="n">
        <v>2</v>
      </c>
      <c r="I1303" t="n">
        <v>6</v>
      </c>
      <c r="J1303" t="n">
        <v>3</v>
      </c>
      <c r="K1303" t="n">
        <v>0</v>
      </c>
      <c r="L1303" t="n">
        <v>39847</v>
      </c>
      <c r="M1303" t="n">
        <v>49000</v>
      </c>
      <c r="N1303" t="n">
        <v>91</v>
      </c>
      <c r="O1303" t="n">
        <v>0.91</v>
      </c>
      <c r="P1303" t="n">
        <v>0</v>
      </c>
      <c r="Q1303" t="n">
        <v>0.41</v>
      </c>
      <c r="R1303" t="n">
        <v>3</v>
      </c>
      <c r="S1303" t="n">
        <v>20090</v>
      </c>
      <c r="T1303" t="n">
        <v>18</v>
      </c>
      <c r="U1303" t="n">
        <v>19</v>
      </c>
      <c r="V1303" t="n">
        <v>30</v>
      </c>
      <c r="W1303" t="n">
        <v>13</v>
      </c>
      <c r="X1303" t="n">
        <v>31.70731707317074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11691</v>
      </c>
      <c r="AG1303" t="n">
        <v>63</v>
      </c>
      <c r="AH1303" t="inlineStr">
        <is>
          <t>PT. PARAMA GLOBAL INSPIRA - PPN (PDG)</t>
        </is>
      </c>
      <c r="AI1303" t="n">
        <v>63</v>
      </c>
      <c r="AJ1303" t="inlineStr">
        <is>
          <t>EMINA</t>
        </is>
      </c>
      <c r="AK1303" t="n">
        <v>21</v>
      </c>
      <c r="AL1303" t="inlineStr">
        <is>
          <t>Miss Glam Damar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EMINA</t>
        </is>
      </c>
      <c r="B1304" s="2">
        <f>"8993137731935"</f>
        <v/>
      </c>
      <c r="C1304" t="inlineStr">
        <is>
          <t>EMINA Glossy Stain 06 Coffee Drop 3gr</t>
        </is>
      </c>
      <c r="D1304" t="inlineStr">
        <is>
          <t>Miss Glam Damar</t>
        </is>
      </c>
      <c r="E1304" t="n">
        <v>5</v>
      </c>
      <c r="F1304" t="n">
        <v>0.06370000000000001</v>
      </c>
      <c r="G1304" t="n">
        <v>0.91</v>
      </c>
      <c r="H1304" t="n">
        <v>2</v>
      </c>
      <c r="I1304" t="n">
        <v>6</v>
      </c>
      <c r="J1304" t="n">
        <v>3</v>
      </c>
      <c r="K1304" t="n">
        <v>0</v>
      </c>
      <c r="L1304" t="n">
        <v>39847</v>
      </c>
      <c r="M1304" t="n">
        <v>49000</v>
      </c>
      <c r="N1304" t="n">
        <v>91</v>
      </c>
      <c r="O1304" t="n">
        <v>0.91</v>
      </c>
      <c r="P1304" t="n">
        <v>1</v>
      </c>
      <c r="Q1304" t="n">
        <v>0.03</v>
      </c>
      <c r="R1304" t="n">
        <v>1</v>
      </c>
      <c r="S1304" t="n">
        <v>3121.3</v>
      </c>
      <c r="T1304" t="n">
        <v>6</v>
      </c>
      <c r="U1304" t="n">
        <v>7</v>
      </c>
      <c r="V1304" t="n">
        <v>30</v>
      </c>
      <c r="W1304" t="n">
        <v>2</v>
      </c>
      <c r="X1304" t="n">
        <v>78.49293563579278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11691</v>
      </c>
      <c r="AG1304" t="n">
        <v>63</v>
      </c>
      <c r="AH1304" t="inlineStr">
        <is>
          <t>PT. PARAMA GLOBAL INSPIRA - PPN (PDG)</t>
        </is>
      </c>
      <c r="AI1304" t="n">
        <v>63</v>
      </c>
      <c r="AJ1304" t="inlineStr">
        <is>
          <t>EMINA</t>
        </is>
      </c>
      <c r="AK1304" t="n">
        <v>21</v>
      </c>
      <c r="AL1304" t="inlineStr">
        <is>
          <t>Miss Glam Damar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EMINA</t>
        </is>
      </c>
      <c r="B1305" s="2">
        <f>"8993137731942"</f>
        <v/>
      </c>
      <c r="C1305" t="inlineStr">
        <is>
          <t>EMINA Glossy Stain 07 French Vanila 3gr</t>
        </is>
      </c>
      <c r="D1305" t="inlineStr">
        <is>
          <t>Miss Glam Damar</t>
        </is>
      </c>
      <c r="E1305" t="n">
        <v>11</v>
      </c>
      <c r="F1305" t="n">
        <v>0.3094</v>
      </c>
      <c r="G1305" t="n">
        <v>1.82</v>
      </c>
      <c r="H1305" t="n">
        <v>2</v>
      </c>
      <c r="I1305" t="n">
        <v>6</v>
      </c>
      <c r="J1305" t="n">
        <v>3</v>
      </c>
      <c r="K1305" t="n">
        <v>0</v>
      </c>
      <c r="L1305" t="n">
        <v>39847</v>
      </c>
      <c r="M1305" t="n">
        <v>49000</v>
      </c>
      <c r="N1305" t="n">
        <v>91</v>
      </c>
      <c r="O1305" t="n">
        <v>0.91</v>
      </c>
      <c r="P1305" t="n">
        <v>1</v>
      </c>
      <c r="Q1305" t="n">
        <v>0.41</v>
      </c>
      <c r="R1305" t="n">
        <v>2</v>
      </c>
      <c r="S1305" t="n">
        <v>15160.6</v>
      </c>
      <c r="T1305" t="n">
        <v>11</v>
      </c>
      <c r="U1305" t="n">
        <v>12</v>
      </c>
      <c r="V1305" t="n">
        <v>30</v>
      </c>
      <c r="W1305" t="n">
        <v>10</v>
      </c>
      <c r="X1305" t="n">
        <v>35.55268261150614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11691</v>
      </c>
      <c r="AG1305" t="n">
        <v>63</v>
      </c>
      <c r="AH1305" t="inlineStr">
        <is>
          <t>PT. PARAMA GLOBAL INSPIRA - PPN (PDG)</t>
        </is>
      </c>
      <c r="AI1305" t="n">
        <v>63</v>
      </c>
      <c r="AJ1305" t="inlineStr">
        <is>
          <t>EMINA</t>
        </is>
      </c>
      <c r="AK1305" t="n">
        <v>21</v>
      </c>
      <c r="AL1305" t="inlineStr">
        <is>
          <t>Miss Glam Damar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EMINA</t>
        </is>
      </c>
      <c r="B1306" s="2">
        <f>"8993137731959"</f>
        <v/>
      </c>
      <c r="C1306" t="inlineStr">
        <is>
          <t>EMINA Glossy Stain 08 Pouring Tea 3gr</t>
        </is>
      </c>
      <c r="D1306" t="inlineStr">
        <is>
          <t>Miss Glam Damar</t>
        </is>
      </c>
      <c r="E1306" t="n">
        <v>4</v>
      </c>
      <c r="F1306" t="n">
        <v>0.0182</v>
      </c>
      <c r="G1306" t="n">
        <v>0.91</v>
      </c>
      <c r="H1306" t="n">
        <v>2</v>
      </c>
      <c r="I1306" t="n">
        <v>6</v>
      </c>
      <c r="J1306" t="n">
        <v>3</v>
      </c>
      <c r="K1306" t="n">
        <v>0</v>
      </c>
      <c r="L1306" t="n">
        <v>39847</v>
      </c>
      <c r="M1306" t="n">
        <v>49000</v>
      </c>
      <c r="N1306" t="n">
        <v>91</v>
      </c>
      <c r="O1306" t="n">
        <v>0.91</v>
      </c>
      <c r="P1306" t="n">
        <v>1</v>
      </c>
      <c r="Q1306" t="n">
        <v>0.03</v>
      </c>
      <c r="R1306" t="n">
        <v>1</v>
      </c>
      <c r="S1306" t="n">
        <v>891.8000000000001</v>
      </c>
      <c r="T1306" t="n">
        <v>6</v>
      </c>
      <c r="U1306" t="n">
        <v>7</v>
      </c>
      <c r="V1306" t="n">
        <v>30</v>
      </c>
      <c r="W1306" t="n">
        <v>1</v>
      </c>
      <c r="X1306" t="n">
        <v>219.7802197802198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11691</v>
      </c>
      <c r="AG1306" t="n">
        <v>63</v>
      </c>
      <c r="AH1306" t="inlineStr">
        <is>
          <t>PT. PARAMA GLOBAL INSPIRA - PPN (PDG)</t>
        </is>
      </c>
      <c r="AI1306" t="n">
        <v>63</v>
      </c>
      <c r="AJ1306" t="inlineStr">
        <is>
          <t>EMINA</t>
        </is>
      </c>
      <c r="AK1306" t="n">
        <v>21</v>
      </c>
      <c r="AL1306" t="inlineStr">
        <is>
          <t>Miss Glam Damar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EMINA</t>
        </is>
      </c>
      <c r="B1307" s="2">
        <f>"8993137731966"</f>
        <v/>
      </c>
      <c r="C1307" t="inlineStr">
        <is>
          <t>EMINA Glossy Stain 09 Red Bean 9gr</t>
        </is>
      </c>
      <c r="D1307" t="inlineStr">
        <is>
          <t>Miss Glam Damar</t>
        </is>
      </c>
      <c r="E1307" t="n">
        <v>1</v>
      </c>
      <c r="F1307" t="n">
        <v>0.1274</v>
      </c>
      <c r="G1307" t="n">
        <v>1.82</v>
      </c>
      <c r="H1307" t="n">
        <v>2</v>
      </c>
      <c r="I1307" t="n">
        <v>6</v>
      </c>
      <c r="J1307" t="n">
        <v>3</v>
      </c>
      <c r="K1307" t="n">
        <v>0</v>
      </c>
      <c r="L1307" t="n">
        <v>39847</v>
      </c>
      <c r="M1307" t="n">
        <v>49000</v>
      </c>
      <c r="N1307" t="n">
        <v>91</v>
      </c>
      <c r="O1307" t="n">
        <v>0.91</v>
      </c>
      <c r="P1307" t="n">
        <v>1</v>
      </c>
      <c r="Q1307" t="n">
        <v>0.27</v>
      </c>
      <c r="R1307" t="n">
        <v>2</v>
      </c>
      <c r="S1307" t="n">
        <v>6242.6</v>
      </c>
      <c r="T1307" t="n">
        <v>11</v>
      </c>
      <c r="U1307" t="n">
        <v>12</v>
      </c>
      <c r="V1307" t="n">
        <v>30</v>
      </c>
      <c r="W1307" t="n">
        <v>4</v>
      </c>
      <c r="X1307" t="n">
        <v>7.849293563579277</v>
      </c>
      <c r="Y1307" t="n">
        <v>1</v>
      </c>
      <c r="Z1307" t="n">
        <v>3</v>
      </c>
      <c r="AA1307" t="n">
        <v>0</v>
      </c>
      <c r="AB1307" t="n">
        <v>3</v>
      </c>
      <c r="AC1307" t="n">
        <v>3</v>
      </c>
      <c r="AD1307" t="n">
        <v>0</v>
      </c>
      <c r="AE1307" t="n">
        <v>119541</v>
      </c>
      <c r="AF1307" t="n">
        <v>11691</v>
      </c>
      <c r="AG1307" t="n">
        <v>63</v>
      </c>
      <c r="AH1307" t="inlineStr">
        <is>
          <t>PT. PARAMA GLOBAL INSPIRA - PPN (PDG)</t>
        </is>
      </c>
      <c r="AI1307" t="n">
        <v>63</v>
      </c>
      <c r="AJ1307" t="inlineStr">
        <is>
          <t>EMINA</t>
        </is>
      </c>
      <c r="AK1307" t="n">
        <v>21</v>
      </c>
      <c r="AL1307" t="inlineStr">
        <is>
          <t>Miss Glam Damar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EMINA</t>
        </is>
      </c>
      <c r="B1308" s="2">
        <f>"8993137731973"</f>
        <v/>
      </c>
      <c r="C1308" t="inlineStr">
        <is>
          <t>EMINA Glossy Stain 10 Choco Praline 9gr</t>
        </is>
      </c>
      <c r="D1308" t="inlineStr">
        <is>
          <t>Miss Glam Damar</t>
        </is>
      </c>
      <c r="E1308" t="n">
        <v>5</v>
      </c>
      <c r="F1308" t="n">
        <v>0.0728</v>
      </c>
      <c r="G1308" t="n">
        <v>0.91</v>
      </c>
      <c r="H1308" t="n">
        <v>2</v>
      </c>
      <c r="I1308" t="n">
        <v>6</v>
      </c>
      <c r="J1308" t="n">
        <v>3</v>
      </c>
      <c r="K1308" t="n">
        <v>0</v>
      </c>
      <c r="L1308" t="n">
        <v>39847</v>
      </c>
      <c r="M1308" t="n">
        <v>49000</v>
      </c>
      <c r="N1308" t="n">
        <v>91</v>
      </c>
      <c r="O1308" t="n">
        <v>0.91</v>
      </c>
      <c r="P1308" t="n">
        <v>1</v>
      </c>
      <c r="Q1308" t="n">
        <v>0.08</v>
      </c>
      <c r="R1308" t="n">
        <v>1</v>
      </c>
      <c r="S1308" t="n">
        <v>3567.2</v>
      </c>
      <c r="T1308" t="n">
        <v>6</v>
      </c>
      <c r="U1308" t="n">
        <v>7</v>
      </c>
      <c r="V1308" t="n">
        <v>30</v>
      </c>
      <c r="W1308" t="n">
        <v>3</v>
      </c>
      <c r="X1308" t="n">
        <v>68.68131868131867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11691</v>
      </c>
      <c r="AG1308" t="n">
        <v>63</v>
      </c>
      <c r="AH1308" t="inlineStr">
        <is>
          <t>PT. PARAMA GLOBAL INSPIRA - PPN (PDG)</t>
        </is>
      </c>
      <c r="AI1308" t="n">
        <v>63</v>
      </c>
      <c r="AJ1308" t="inlineStr">
        <is>
          <t>EMINA</t>
        </is>
      </c>
      <c r="AK1308" t="n">
        <v>21</v>
      </c>
      <c r="AL1308" t="inlineStr">
        <is>
          <t>Miss Glam Damar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EMINA</t>
        </is>
      </c>
      <c r="B1309" s="2">
        <f>"20300451647"</f>
        <v/>
      </c>
      <c r="C1309" t="inlineStr">
        <is>
          <t>EMINA Glosszilla Lightweight Lip Jelly Vinyl 02 Tangerine Check 3g</t>
        </is>
      </c>
      <c r="D1309" t="inlineStr">
        <is>
          <t>Miss Glam Damar</t>
        </is>
      </c>
      <c r="E1309" t="n">
        <v>11</v>
      </c>
      <c r="F1309" t="n">
        <v>0.0182</v>
      </c>
      <c r="G1309" t="n">
        <v>0</v>
      </c>
      <c r="H1309" t="n">
        <v>2</v>
      </c>
      <c r="I1309" t="n">
        <v>6</v>
      </c>
      <c r="J1309" t="n">
        <v>1</v>
      </c>
      <c r="K1309" t="n">
        <v>0</v>
      </c>
      <c r="L1309" t="n">
        <v>50575</v>
      </c>
      <c r="M1309" t="n">
        <v>62000</v>
      </c>
      <c r="N1309" t="n">
        <v>91</v>
      </c>
      <c r="O1309" t="n">
        <v>0.91</v>
      </c>
      <c r="P1309" t="n">
        <v>1</v>
      </c>
      <c r="Q1309" t="n">
        <v>0.02</v>
      </c>
      <c r="R1309" t="n">
        <v>1</v>
      </c>
      <c r="S1309" t="n">
        <v>1128.4</v>
      </c>
      <c r="T1309" t="n">
        <v>0</v>
      </c>
      <c r="U1309" t="n">
        <v>1</v>
      </c>
      <c r="V1309" t="n">
        <v>30</v>
      </c>
      <c r="W1309" t="n">
        <v>1</v>
      </c>
      <c r="X1309" t="n">
        <v>604.3956043956043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11691</v>
      </c>
      <c r="AG1309" t="n">
        <v>63</v>
      </c>
      <c r="AH1309" t="inlineStr">
        <is>
          <t>PT. PARAMA GLOBAL INSPIRA - PPN (PDG)</t>
        </is>
      </c>
      <c r="AI1309" t="n">
        <v>63</v>
      </c>
      <c r="AJ1309" t="inlineStr">
        <is>
          <t>EMINA</t>
        </is>
      </c>
      <c r="AK1309" t="n">
        <v>21</v>
      </c>
      <c r="AL1309" t="inlineStr">
        <is>
          <t>Miss Glam Damar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EMINA</t>
        </is>
      </c>
      <c r="B1310" s="2">
        <f>"20300451837"</f>
        <v/>
      </c>
      <c r="C1310" t="inlineStr">
        <is>
          <t>EMINA Glosszilla Lightweight Lip Jelly Vinyl 04 Giving Mocca 3g</t>
        </is>
      </c>
      <c r="D1310" t="inlineStr">
        <is>
          <t>Miss Glam Damar</t>
        </is>
      </c>
      <c r="E1310" t="n">
        <v>12</v>
      </c>
      <c r="F1310" t="n">
        <v>0.0273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50575</v>
      </c>
      <c r="M1310" t="n">
        <v>62000</v>
      </c>
      <c r="N1310" t="n">
        <v>91</v>
      </c>
      <c r="O1310" t="n">
        <v>0.91</v>
      </c>
      <c r="P1310" t="n">
        <v>1</v>
      </c>
      <c r="Q1310" t="n">
        <v>0</v>
      </c>
      <c r="R1310" t="n">
        <v>0</v>
      </c>
      <c r="S1310" t="n">
        <v>1692.6</v>
      </c>
      <c r="T1310" t="n">
        <v>0</v>
      </c>
      <c r="U1310" t="n">
        <v>0</v>
      </c>
      <c r="V1310" t="n">
        <v>30</v>
      </c>
      <c r="W1310" t="n">
        <v>1</v>
      </c>
      <c r="X1310" t="n">
        <v>439.5604395604395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11691</v>
      </c>
      <c r="AG1310" t="n">
        <v>63</v>
      </c>
      <c r="AH1310" t="inlineStr">
        <is>
          <t>PT. PARAMA GLOBAL INSPIRA - PPN (PDG)</t>
        </is>
      </c>
      <c r="AI1310" t="n">
        <v>63</v>
      </c>
      <c r="AJ1310" t="inlineStr">
        <is>
          <t>EMINA</t>
        </is>
      </c>
      <c r="AK1310" t="n">
        <v>21</v>
      </c>
      <c r="AL1310" t="inlineStr">
        <is>
          <t>Miss Glam Damar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EMINA</t>
        </is>
      </c>
      <c r="B1311" s="2">
        <f>"20300451930"</f>
        <v/>
      </c>
      <c r="C1311" t="inlineStr">
        <is>
          <t>EMINA Glosszilla Lightweight Lip Jelly Vinyl 05 Demure Petal 3g</t>
        </is>
      </c>
      <c r="D1311" t="inlineStr">
        <is>
          <t>Miss Glam Damar</t>
        </is>
      </c>
      <c r="E1311" t="n">
        <v>12</v>
      </c>
      <c r="F1311" t="n">
        <v>0.0182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50575</v>
      </c>
      <c r="M1311" t="n">
        <v>62000</v>
      </c>
      <c r="N1311" t="n">
        <v>91</v>
      </c>
      <c r="O1311" t="n">
        <v>0.91</v>
      </c>
      <c r="P1311" t="n">
        <v>1</v>
      </c>
      <c r="Q1311" t="n">
        <v>0</v>
      </c>
      <c r="R1311" t="n">
        <v>0</v>
      </c>
      <c r="S1311" t="n">
        <v>1128.4</v>
      </c>
      <c r="T1311" t="n">
        <v>0</v>
      </c>
      <c r="U1311" t="n">
        <v>0</v>
      </c>
      <c r="V1311" t="n">
        <v>30</v>
      </c>
      <c r="W1311" t="n">
        <v>1</v>
      </c>
      <c r="X1311" t="n">
        <v>659.3406593406593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11691</v>
      </c>
      <c r="AG1311" t="n">
        <v>63</v>
      </c>
      <c r="AH1311" t="inlineStr">
        <is>
          <t>PT. PARAMA GLOBAL INSPIRA - PPN (PDG)</t>
        </is>
      </c>
      <c r="AI1311" t="n">
        <v>63</v>
      </c>
      <c r="AJ1311" t="inlineStr">
        <is>
          <t>EMINA</t>
        </is>
      </c>
      <c r="AK1311" t="n">
        <v>21</v>
      </c>
      <c r="AL1311" t="inlineStr">
        <is>
          <t>Miss Glam Damar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EMINA</t>
        </is>
      </c>
      <c r="B1312" s="2">
        <f>"20300452042"</f>
        <v/>
      </c>
      <c r="C1312" t="inlineStr">
        <is>
          <t>EMINA Glosszilla Lightweight Lip Jelly Vinyl 06 Rosy Era 3g</t>
        </is>
      </c>
      <c r="D1312" t="inlineStr">
        <is>
          <t>Miss Glam Damar</t>
        </is>
      </c>
      <c r="E1312" t="n">
        <v>10</v>
      </c>
      <c r="F1312" t="n">
        <v>0.0273</v>
      </c>
      <c r="G1312" t="n">
        <v>0</v>
      </c>
      <c r="H1312" t="n">
        <v>2</v>
      </c>
      <c r="I1312" t="n">
        <v>6</v>
      </c>
      <c r="J1312" t="n">
        <v>1</v>
      </c>
      <c r="K1312" t="n">
        <v>0</v>
      </c>
      <c r="L1312" t="n">
        <v>50575</v>
      </c>
      <c r="M1312" t="n">
        <v>62000</v>
      </c>
      <c r="N1312" t="n">
        <v>91</v>
      </c>
      <c r="O1312" t="n">
        <v>0.91</v>
      </c>
      <c r="P1312" t="n">
        <v>1</v>
      </c>
      <c r="Q1312" t="n">
        <v>0.03</v>
      </c>
      <c r="R1312" t="n">
        <v>1</v>
      </c>
      <c r="S1312" t="n">
        <v>1692.6</v>
      </c>
      <c r="T1312" t="n">
        <v>0</v>
      </c>
      <c r="U1312" t="n">
        <v>1</v>
      </c>
      <c r="V1312" t="n">
        <v>30</v>
      </c>
      <c r="W1312" t="n">
        <v>1</v>
      </c>
      <c r="X1312" t="n">
        <v>366.3003663003663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11691</v>
      </c>
      <c r="AG1312" t="n">
        <v>63</v>
      </c>
      <c r="AH1312" t="inlineStr">
        <is>
          <t>PT. PARAMA GLOBAL INSPIRA - PPN (PDG)</t>
        </is>
      </c>
      <c r="AI1312" t="n">
        <v>63</v>
      </c>
      <c r="AJ1312" t="inlineStr">
        <is>
          <t>EMINA</t>
        </is>
      </c>
      <c r="AK1312" t="n">
        <v>21</v>
      </c>
      <c r="AL1312" t="inlineStr">
        <is>
          <t>Miss Glam Damar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EMINA</t>
        </is>
      </c>
      <c r="B1313" s="2">
        <f>"20100486553"</f>
        <v/>
      </c>
      <c r="C1313" t="inlineStr">
        <is>
          <t>EMINA Glow Vibe Cushion N02 Amber 13gr</t>
        </is>
      </c>
      <c r="D1313" t="inlineStr">
        <is>
          <t>Miss Glam Damar</t>
        </is>
      </c>
      <c r="E1313" t="n">
        <v>5</v>
      </c>
      <c r="F1313" t="n">
        <v>0.04550000000000001</v>
      </c>
      <c r="G1313" t="n">
        <v>1.82</v>
      </c>
      <c r="H1313" t="n">
        <v>2</v>
      </c>
      <c r="I1313" t="n">
        <v>6</v>
      </c>
      <c r="J1313" t="n">
        <v>1</v>
      </c>
      <c r="K1313" t="n">
        <v>0</v>
      </c>
      <c r="L1313" t="n">
        <v>91956</v>
      </c>
      <c r="M1313" t="n">
        <v>120000</v>
      </c>
      <c r="N1313" t="n">
        <v>91</v>
      </c>
      <c r="O1313" t="n">
        <v>0.91</v>
      </c>
      <c r="P1313" t="n">
        <v>1</v>
      </c>
      <c r="Q1313" t="n">
        <v>0.07000000000000001</v>
      </c>
      <c r="R1313" t="n">
        <v>3</v>
      </c>
      <c r="S1313" t="n">
        <v>5460.000000000001</v>
      </c>
      <c r="T1313" t="n">
        <v>11</v>
      </c>
      <c r="U1313" t="n">
        <v>12</v>
      </c>
      <c r="V1313" t="n">
        <v>30</v>
      </c>
      <c r="W1313" t="n">
        <v>2</v>
      </c>
      <c r="X1313" t="n">
        <v>109.8901098901099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11691</v>
      </c>
      <c r="AG1313" t="n">
        <v>63</v>
      </c>
      <c r="AH1313" t="inlineStr">
        <is>
          <t>PT. PARAMA GLOBAL INSPIRA - PPN (PDG)</t>
        </is>
      </c>
      <c r="AI1313" t="n">
        <v>63</v>
      </c>
      <c r="AJ1313" t="inlineStr">
        <is>
          <t>EMINA</t>
        </is>
      </c>
      <c r="AK1313" t="n">
        <v>21</v>
      </c>
      <c r="AL1313" t="inlineStr">
        <is>
          <t>Miss Glam Damar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EMINA</t>
        </is>
      </c>
      <c r="B1314" s="2">
        <f>"20100486719"</f>
        <v/>
      </c>
      <c r="C1314" t="inlineStr">
        <is>
          <t>EMINA Glow Vibe Cushion N03 Creme 13gr</t>
        </is>
      </c>
      <c r="D1314" t="inlineStr">
        <is>
          <t>Miss Glam Damar</t>
        </is>
      </c>
      <c r="E1314" t="n">
        <v>6</v>
      </c>
      <c r="F1314" t="n">
        <v>0.0182</v>
      </c>
      <c r="G1314" t="n">
        <v>0.91</v>
      </c>
      <c r="H1314" t="n">
        <v>2</v>
      </c>
      <c r="I1314" t="n">
        <v>6</v>
      </c>
      <c r="J1314" t="n">
        <v>1</v>
      </c>
      <c r="K1314" t="n">
        <v>0</v>
      </c>
      <c r="L1314" t="n">
        <v>91956</v>
      </c>
      <c r="M1314" t="n">
        <v>120000</v>
      </c>
      <c r="N1314" t="n">
        <v>91</v>
      </c>
      <c r="O1314" t="n">
        <v>0.91</v>
      </c>
      <c r="P1314" t="n">
        <v>1</v>
      </c>
      <c r="Q1314" t="n">
        <v>0.03</v>
      </c>
      <c r="R1314" t="n">
        <v>1</v>
      </c>
      <c r="S1314" t="n">
        <v>2184</v>
      </c>
      <c r="T1314" t="n">
        <v>6</v>
      </c>
      <c r="U1314" t="n">
        <v>7</v>
      </c>
      <c r="V1314" t="n">
        <v>30</v>
      </c>
      <c r="W1314" t="n">
        <v>1</v>
      </c>
      <c r="X1314" t="n">
        <v>329.6703296703296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11691</v>
      </c>
      <c r="AG1314" t="n">
        <v>63</v>
      </c>
      <c r="AH1314" t="inlineStr">
        <is>
          <t>PT. PARAMA GLOBAL INSPIRA - PPN (PDG)</t>
        </is>
      </c>
      <c r="AI1314" t="n">
        <v>63</v>
      </c>
      <c r="AJ1314" t="inlineStr">
        <is>
          <t>EMINA</t>
        </is>
      </c>
      <c r="AK1314" t="n">
        <v>21</v>
      </c>
      <c r="AL1314" t="inlineStr">
        <is>
          <t>Miss Glam Damar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EMINA</t>
        </is>
      </c>
      <c r="B1315" s="2">
        <f>"20100486417"</f>
        <v/>
      </c>
      <c r="C1315" t="inlineStr">
        <is>
          <t>EMINA Glow Vibe Cushion W02 Buff 13gr</t>
        </is>
      </c>
      <c r="D1315" t="inlineStr">
        <is>
          <t>Miss Glam Damar</t>
        </is>
      </c>
      <c r="E1315" t="n">
        <v>4</v>
      </c>
      <c r="F1315" t="n">
        <v>0.0273</v>
      </c>
      <c r="G1315" t="n">
        <v>0.91</v>
      </c>
      <c r="H1315" t="n">
        <v>2</v>
      </c>
      <c r="I1315" t="n">
        <v>6</v>
      </c>
      <c r="J1315" t="n">
        <v>1</v>
      </c>
      <c r="K1315" t="n">
        <v>0</v>
      </c>
      <c r="L1315" t="n">
        <v>91956</v>
      </c>
      <c r="M1315" t="n">
        <v>120000</v>
      </c>
      <c r="N1315" t="n">
        <v>91</v>
      </c>
      <c r="O1315" t="n">
        <v>0.91</v>
      </c>
      <c r="P1315" t="n">
        <v>1</v>
      </c>
      <c r="Q1315" t="n">
        <v>0.1</v>
      </c>
      <c r="R1315" t="n">
        <v>4</v>
      </c>
      <c r="S1315" t="n">
        <v>3276</v>
      </c>
      <c r="T1315" t="n">
        <v>6</v>
      </c>
      <c r="U1315" t="n">
        <v>7</v>
      </c>
      <c r="V1315" t="n">
        <v>30</v>
      </c>
      <c r="W1315" t="n">
        <v>1</v>
      </c>
      <c r="X1315" t="n">
        <v>146.5201465201465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11691</v>
      </c>
      <c r="AG1315" t="n">
        <v>63</v>
      </c>
      <c r="AH1315" t="inlineStr">
        <is>
          <t>PT. PARAMA GLOBAL INSPIRA - PPN (PDG)</t>
        </is>
      </c>
      <c r="AI1315" t="n">
        <v>63</v>
      </c>
      <c r="AJ1315" t="inlineStr">
        <is>
          <t>EMINA</t>
        </is>
      </c>
      <c r="AK1315" t="n">
        <v>21</v>
      </c>
      <c r="AL1315" t="inlineStr">
        <is>
          <t>Miss Glam Damar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EMINA</t>
        </is>
      </c>
      <c r="B1316" s="2">
        <f>"20100486639"</f>
        <v/>
      </c>
      <c r="C1316" t="inlineStr">
        <is>
          <t>EMINA Glow Vibe Cushion W03 Maple 13gr</t>
        </is>
      </c>
      <c r="D1316" t="inlineStr">
        <is>
          <t>Miss Glam Damar</t>
        </is>
      </c>
      <c r="E1316" t="n">
        <v>2</v>
      </c>
      <c r="F1316" t="n">
        <v>0.0273</v>
      </c>
      <c r="G1316" t="n">
        <v>0.91</v>
      </c>
      <c r="H1316" t="n">
        <v>2</v>
      </c>
      <c r="I1316" t="n">
        <v>6</v>
      </c>
      <c r="J1316" t="n">
        <v>1</v>
      </c>
      <c r="K1316" t="n">
        <v>0</v>
      </c>
      <c r="L1316" t="n">
        <v>91956</v>
      </c>
      <c r="M1316" t="n">
        <v>120000</v>
      </c>
      <c r="N1316" t="n">
        <v>91</v>
      </c>
      <c r="O1316" t="n">
        <v>0.91</v>
      </c>
      <c r="P1316" t="n">
        <v>1</v>
      </c>
      <c r="Q1316" t="n">
        <v>0.05</v>
      </c>
      <c r="R1316" t="n">
        <v>1</v>
      </c>
      <c r="S1316" t="n">
        <v>3276</v>
      </c>
      <c r="T1316" t="n">
        <v>6</v>
      </c>
      <c r="U1316" t="n">
        <v>7</v>
      </c>
      <c r="V1316" t="n">
        <v>30</v>
      </c>
      <c r="W1316" t="n">
        <v>1</v>
      </c>
      <c r="X1316" t="n">
        <v>73.26007326007326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11691</v>
      </c>
      <c r="AG1316" t="n">
        <v>63</v>
      </c>
      <c r="AH1316" t="inlineStr">
        <is>
          <t>PT. PARAMA GLOBAL INSPIRA - PPN (PDG)</t>
        </is>
      </c>
      <c r="AI1316" t="n">
        <v>63</v>
      </c>
      <c r="AJ1316" t="inlineStr">
        <is>
          <t>EMINA</t>
        </is>
      </c>
      <c r="AK1316" t="n">
        <v>21</v>
      </c>
      <c r="AL1316" t="inlineStr">
        <is>
          <t>Miss Glam Damar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EMINA</t>
        </is>
      </c>
      <c r="B1317" s="2">
        <f>"8993137701464"</f>
        <v/>
      </c>
      <c r="C1317" t="inlineStr">
        <is>
          <t>EMINA HyaluBright &amp; Smooth Low pH Micellar Water 125ml</t>
        </is>
      </c>
      <c r="D1317" t="inlineStr">
        <is>
          <t>Miss Glam Damar</t>
        </is>
      </c>
      <c r="E1317" t="n">
        <v>10</v>
      </c>
      <c r="F1317" t="n">
        <v>0.3367</v>
      </c>
      <c r="G1317" t="n">
        <v>1.82</v>
      </c>
      <c r="H1317" t="n">
        <v>2</v>
      </c>
      <c r="I1317" t="n">
        <v>6</v>
      </c>
      <c r="J1317" t="n">
        <v>3</v>
      </c>
      <c r="K1317" t="n">
        <v>0</v>
      </c>
      <c r="L1317" t="n">
        <v>25671</v>
      </c>
      <c r="M1317" t="n">
        <v>31500</v>
      </c>
      <c r="N1317" t="n">
        <v>91</v>
      </c>
      <c r="O1317" t="n">
        <v>0.91</v>
      </c>
      <c r="P1317" t="n">
        <v>1</v>
      </c>
      <c r="Q1317" t="n">
        <v>0.27</v>
      </c>
      <c r="R1317" t="n">
        <v>3</v>
      </c>
      <c r="S1317" t="n">
        <v>10606.05</v>
      </c>
      <c r="T1317" t="n">
        <v>11</v>
      </c>
      <c r="U1317" t="n">
        <v>12</v>
      </c>
      <c r="V1317" t="n">
        <v>30</v>
      </c>
      <c r="W1317" t="n">
        <v>11</v>
      </c>
      <c r="X1317" t="n">
        <v>29.7000297000297</v>
      </c>
      <c r="Y1317" t="n">
        <v>1</v>
      </c>
      <c r="Z1317" t="n">
        <v>1</v>
      </c>
      <c r="AA1317" t="n">
        <v>0</v>
      </c>
      <c r="AB1317" t="n">
        <v>1</v>
      </c>
      <c r="AC1317" t="n">
        <v>3</v>
      </c>
      <c r="AD1317" t="n">
        <v>0</v>
      </c>
      <c r="AE1317" t="n">
        <v>77013</v>
      </c>
      <c r="AF1317" t="n">
        <v>11691</v>
      </c>
      <c r="AG1317" t="n">
        <v>63</v>
      </c>
      <c r="AH1317" t="inlineStr">
        <is>
          <t>PT. PARAMA GLOBAL INSPIRA - PPN (PDG)</t>
        </is>
      </c>
      <c r="AI1317" t="n">
        <v>63</v>
      </c>
      <c r="AJ1317" t="inlineStr">
        <is>
          <t>EMINA</t>
        </is>
      </c>
      <c r="AK1317" t="n">
        <v>21</v>
      </c>
      <c r="AL1317" t="inlineStr">
        <is>
          <t>Miss Glam Damar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EMINA</t>
        </is>
      </c>
      <c r="B1318" s="2">
        <f>"8993137013314"</f>
        <v/>
      </c>
      <c r="C1318" t="inlineStr">
        <is>
          <t>EMINA HyaluBright &amp; Smooth Low pH Micellar Water 300ml</t>
        </is>
      </c>
      <c r="D1318" t="inlineStr">
        <is>
          <t>Miss Glam Damar</t>
        </is>
      </c>
      <c r="E1318" t="n">
        <v>13</v>
      </c>
      <c r="F1318" t="n">
        <v>1.0192</v>
      </c>
      <c r="G1318" t="n">
        <v>3.64</v>
      </c>
      <c r="H1318" t="n">
        <v>2</v>
      </c>
      <c r="I1318" t="n">
        <v>6</v>
      </c>
      <c r="J1318" t="n">
        <v>1</v>
      </c>
      <c r="K1318" t="n">
        <v>0</v>
      </c>
      <c r="L1318" t="n">
        <v>40614</v>
      </c>
      <c r="M1318" t="n">
        <v>50000</v>
      </c>
      <c r="N1318" t="n">
        <v>91</v>
      </c>
      <c r="O1318" t="n">
        <v>0.91</v>
      </c>
      <c r="P1318" t="n">
        <v>1</v>
      </c>
      <c r="Q1318" t="n">
        <v>0.68</v>
      </c>
      <c r="R1318" t="n">
        <v>3</v>
      </c>
      <c r="S1318" t="n">
        <v>50960.00000000001</v>
      </c>
      <c r="T1318" t="n">
        <v>20</v>
      </c>
      <c r="U1318" t="n">
        <v>23</v>
      </c>
      <c r="V1318" t="n">
        <v>30</v>
      </c>
      <c r="W1318" t="n">
        <v>31</v>
      </c>
      <c r="X1318" t="n">
        <v>12.75510204081633</v>
      </c>
      <c r="Y1318" t="n">
        <v>1</v>
      </c>
      <c r="Z1318" t="n">
        <v>18</v>
      </c>
      <c r="AA1318" t="n">
        <v>0</v>
      </c>
      <c r="AB1318" t="n">
        <v>18</v>
      </c>
      <c r="AC1318" t="n">
        <v>18</v>
      </c>
      <c r="AD1318" t="n">
        <v>0</v>
      </c>
      <c r="AE1318" t="n">
        <v>731052</v>
      </c>
      <c r="AF1318" t="n">
        <v>11691</v>
      </c>
      <c r="AG1318" t="n">
        <v>63</v>
      </c>
      <c r="AH1318" t="inlineStr">
        <is>
          <t>PT. PARAMA GLOBAL INSPIRA - PPN (PDG)</t>
        </is>
      </c>
      <c r="AI1318" t="n">
        <v>63</v>
      </c>
      <c r="AJ1318" t="inlineStr">
        <is>
          <t>EMINA</t>
        </is>
      </c>
      <c r="AK1318" t="n">
        <v>21</v>
      </c>
      <c r="AL1318" t="inlineStr">
        <is>
          <t>Miss Glam Damar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EMINA</t>
        </is>
      </c>
      <c r="B1319" s="2">
        <f>"10700332742"</f>
        <v/>
      </c>
      <c r="C1319" t="inlineStr">
        <is>
          <t>EMINA Hyalupeptide Color Melt Balm 01 Brick Rizz 1.8gr</t>
        </is>
      </c>
      <c r="D1319" t="inlineStr">
        <is>
          <t>Miss Glam Damar</t>
        </is>
      </c>
      <c r="E1319" t="n">
        <v>4</v>
      </c>
      <c r="F1319" t="n">
        <v>0.0273</v>
      </c>
      <c r="G1319" t="n">
        <v>0.91</v>
      </c>
      <c r="H1319" t="n">
        <v>2</v>
      </c>
      <c r="I1319" t="n">
        <v>6</v>
      </c>
      <c r="J1319" t="n">
        <v>1</v>
      </c>
      <c r="K1319" t="n">
        <v>0</v>
      </c>
      <c r="L1319" t="n">
        <v>47477</v>
      </c>
      <c r="M1319" t="n">
        <v>58000</v>
      </c>
      <c r="N1319" t="n">
        <v>91</v>
      </c>
      <c r="O1319" t="n">
        <v>0.91</v>
      </c>
      <c r="P1319" t="n">
        <v>1</v>
      </c>
      <c r="Q1319" t="n">
        <v>0.14</v>
      </c>
      <c r="R1319" t="n">
        <v>2</v>
      </c>
      <c r="S1319" t="n">
        <v>1583.4</v>
      </c>
      <c r="T1319" t="n">
        <v>6</v>
      </c>
      <c r="U1319" t="n">
        <v>7</v>
      </c>
      <c r="V1319" t="n">
        <v>30</v>
      </c>
      <c r="W1319" t="n">
        <v>1</v>
      </c>
      <c r="X1319" t="n">
        <v>146.5201465201465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11691</v>
      </c>
      <c r="AG1319" t="n">
        <v>63</v>
      </c>
      <c r="AH1319" t="inlineStr">
        <is>
          <t>PT. PARAMA GLOBAL INSPIRA - PPN (PDG)</t>
        </is>
      </c>
      <c r="AI1319" t="n">
        <v>63</v>
      </c>
      <c r="AJ1319" t="inlineStr">
        <is>
          <t>EMINA</t>
        </is>
      </c>
      <c r="AK1319" t="n">
        <v>21</v>
      </c>
      <c r="AL1319" t="inlineStr">
        <is>
          <t>Miss Glam Damar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EMINA</t>
        </is>
      </c>
      <c r="B1320" s="2">
        <f>"10700332840"</f>
        <v/>
      </c>
      <c r="C1320" t="inlineStr">
        <is>
          <t>EMINA Hyalupeptide Color Melt Balm 02 Peach Pop 1.8gr</t>
        </is>
      </c>
      <c r="D1320" t="inlineStr">
        <is>
          <t>Miss Glam Damar</t>
        </is>
      </c>
      <c r="E1320" t="n">
        <v>5</v>
      </c>
      <c r="F1320" t="n">
        <v>0.0273</v>
      </c>
      <c r="G1320" t="n">
        <v>0.91</v>
      </c>
      <c r="H1320" t="n">
        <v>2</v>
      </c>
      <c r="I1320" t="n">
        <v>6</v>
      </c>
      <c r="J1320" t="n">
        <v>1</v>
      </c>
      <c r="K1320" t="n">
        <v>0</v>
      </c>
      <c r="L1320" t="n">
        <v>46659</v>
      </c>
      <c r="M1320" t="n">
        <v>58000</v>
      </c>
      <c r="N1320" t="n">
        <v>91</v>
      </c>
      <c r="O1320" t="n">
        <v>0.91</v>
      </c>
      <c r="P1320" t="n">
        <v>1</v>
      </c>
      <c r="Q1320" t="n">
        <v>0.05</v>
      </c>
      <c r="R1320" t="n">
        <v>1</v>
      </c>
      <c r="S1320" t="n">
        <v>1583.4</v>
      </c>
      <c r="T1320" t="n">
        <v>6</v>
      </c>
      <c r="U1320" t="n">
        <v>7</v>
      </c>
      <c r="V1320" t="n">
        <v>30</v>
      </c>
      <c r="W1320" t="n">
        <v>1</v>
      </c>
      <c r="X1320" t="n">
        <v>183.1501831501832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11691</v>
      </c>
      <c r="AG1320" t="n">
        <v>63</v>
      </c>
      <c r="AH1320" t="inlineStr">
        <is>
          <t>PT. PARAMA GLOBAL INSPIRA - PPN (PDG)</t>
        </is>
      </c>
      <c r="AI1320" t="n">
        <v>63</v>
      </c>
      <c r="AJ1320" t="inlineStr">
        <is>
          <t>EMINA</t>
        </is>
      </c>
      <c r="AK1320" t="n">
        <v>21</v>
      </c>
      <c r="AL1320" t="inlineStr">
        <is>
          <t>Miss Glam Damar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EMINA</t>
        </is>
      </c>
      <c r="B1321" s="2">
        <f>"10700332932"</f>
        <v/>
      </c>
      <c r="C1321" t="inlineStr">
        <is>
          <t>EMINA Hyalupeptide Color Melt Balm 03 Toasted Patootie 1.8gr</t>
        </is>
      </c>
      <c r="D1321" t="inlineStr">
        <is>
          <t>Miss Glam Damar</t>
        </is>
      </c>
      <c r="E1321" t="n">
        <v>1</v>
      </c>
      <c r="F1321" t="n">
        <v>0.02</v>
      </c>
      <c r="G1321" t="n">
        <v>1</v>
      </c>
      <c r="H1321" t="n">
        <v>2</v>
      </c>
      <c r="I1321" t="n">
        <v>6</v>
      </c>
      <c r="J1321" t="n">
        <v>1</v>
      </c>
      <c r="K1321" t="n">
        <v>0</v>
      </c>
      <c r="L1321" t="n">
        <v>47510</v>
      </c>
      <c r="M1321" t="n">
        <v>58000</v>
      </c>
      <c r="N1321" t="n">
        <v>91</v>
      </c>
      <c r="O1321" t="n">
        <v>0.91</v>
      </c>
      <c r="P1321" t="n">
        <v>0</v>
      </c>
      <c r="Q1321" t="n">
        <v>0.02</v>
      </c>
      <c r="R1321" t="n">
        <v>1</v>
      </c>
      <c r="S1321" t="n">
        <v>1160</v>
      </c>
      <c r="T1321" t="n">
        <v>6</v>
      </c>
      <c r="U1321" t="n">
        <v>7</v>
      </c>
      <c r="V1321" t="n">
        <v>30</v>
      </c>
      <c r="W1321" t="n">
        <v>1</v>
      </c>
      <c r="X1321" t="n">
        <v>50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11691</v>
      </c>
      <c r="AG1321" t="n">
        <v>63</v>
      </c>
      <c r="AH1321" t="inlineStr">
        <is>
          <t>PT. PARAMA GLOBAL INSPIRA - PPN (PDG)</t>
        </is>
      </c>
      <c r="AI1321" t="n">
        <v>63</v>
      </c>
      <c r="AJ1321" t="inlineStr">
        <is>
          <t>EMINA</t>
        </is>
      </c>
      <c r="AK1321" t="n">
        <v>21</v>
      </c>
      <c r="AL1321" t="inlineStr">
        <is>
          <t>Miss Glam Damar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EMINA</t>
        </is>
      </c>
      <c r="B1322" s="2">
        <f>"10700333003"</f>
        <v/>
      </c>
      <c r="C1322" t="inlineStr">
        <is>
          <t>EMINA Hyalupeptide Color Melt Balm 04 Never Too Pink 1.8gr</t>
        </is>
      </c>
      <c r="D1322" t="inlineStr">
        <is>
          <t>Miss Glam Damar</t>
        </is>
      </c>
      <c r="E1322" t="n">
        <v>3</v>
      </c>
      <c r="F1322" t="n">
        <v>0.07000000000000001</v>
      </c>
      <c r="G1322" t="n">
        <v>1</v>
      </c>
      <c r="H1322" t="n">
        <v>2</v>
      </c>
      <c r="I1322" t="n">
        <v>6</v>
      </c>
      <c r="J1322" t="n">
        <v>1</v>
      </c>
      <c r="K1322" t="n">
        <v>0</v>
      </c>
      <c r="L1322" t="n">
        <v>47510</v>
      </c>
      <c r="M1322" t="n">
        <v>58000</v>
      </c>
      <c r="N1322" t="n">
        <v>91</v>
      </c>
      <c r="O1322" t="n">
        <v>0.91</v>
      </c>
      <c r="P1322" t="n">
        <v>0</v>
      </c>
      <c r="Q1322" t="n">
        <v>0.07000000000000001</v>
      </c>
      <c r="R1322" t="n">
        <v>1</v>
      </c>
      <c r="S1322" t="n">
        <v>4060</v>
      </c>
      <c r="T1322" t="n">
        <v>6</v>
      </c>
      <c r="U1322" t="n">
        <v>7</v>
      </c>
      <c r="V1322" t="n">
        <v>30</v>
      </c>
      <c r="W1322" t="n">
        <v>3</v>
      </c>
      <c r="X1322" t="n">
        <v>42.85714285714285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11691</v>
      </c>
      <c r="AG1322" t="n">
        <v>63</v>
      </c>
      <c r="AH1322" t="inlineStr">
        <is>
          <t>PT. PARAMA GLOBAL INSPIRA - PPN (PDG)</t>
        </is>
      </c>
      <c r="AI1322" t="n">
        <v>63</v>
      </c>
      <c r="AJ1322" t="inlineStr">
        <is>
          <t>EMINA</t>
        </is>
      </c>
      <c r="AK1322" t="n">
        <v>21</v>
      </c>
      <c r="AL1322" t="inlineStr">
        <is>
          <t>Miss Glam Damar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EMINA</t>
        </is>
      </c>
      <c r="B1323" s="2">
        <f>"10700333134"</f>
        <v/>
      </c>
      <c r="C1323" t="inlineStr">
        <is>
          <t>EMINA Hyalupeptide Color Melt Balm 05 Sunset Mixtape 1.8gr</t>
        </is>
      </c>
      <c r="D1323" t="inlineStr">
        <is>
          <t>Miss Glam Damar</t>
        </is>
      </c>
      <c r="E1323" t="n">
        <v>3</v>
      </c>
      <c r="F1323" t="n">
        <v>0.0273</v>
      </c>
      <c r="G1323" t="n">
        <v>0.91</v>
      </c>
      <c r="H1323" t="n">
        <v>2</v>
      </c>
      <c r="I1323" t="n">
        <v>6</v>
      </c>
      <c r="J1323" t="n">
        <v>1</v>
      </c>
      <c r="K1323" t="n">
        <v>0</v>
      </c>
      <c r="L1323" t="n">
        <v>47510</v>
      </c>
      <c r="M1323" t="n">
        <v>58000</v>
      </c>
      <c r="N1323" t="n">
        <v>91</v>
      </c>
      <c r="O1323" t="n">
        <v>0.91</v>
      </c>
      <c r="P1323" t="n">
        <v>1</v>
      </c>
      <c r="Q1323" t="n">
        <v>0.05</v>
      </c>
      <c r="R1323" t="n">
        <v>1</v>
      </c>
      <c r="S1323" t="n">
        <v>1583.4</v>
      </c>
      <c r="T1323" t="n">
        <v>6</v>
      </c>
      <c r="U1323" t="n">
        <v>7</v>
      </c>
      <c r="V1323" t="n">
        <v>30</v>
      </c>
      <c r="W1323" t="n">
        <v>1</v>
      </c>
      <c r="X1323" t="n">
        <v>109.8901098901099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11691</v>
      </c>
      <c r="AG1323" t="n">
        <v>63</v>
      </c>
      <c r="AH1323" t="inlineStr">
        <is>
          <t>PT. PARAMA GLOBAL INSPIRA - PPN (PDG)</t>
        </is>
      </c>
      <c r="AI1323" t="n">
        <v>63</v>
      </c>
      <c r="AJ1323" t="inlineStr">
        <is>
          <t>EMINA</t>
        </is>
      </c>
      <c r="AK1323" t="n">
        <v>21</v>
      </c>
      <c r="AL1323" t="inlineStr">
        <is>
          <t>Miss Glam Damar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EMINA</t>
        </is>
      </c>
      <c r="B1324" s="2">
        <f>"10700333207"</f>
        <v/>
      </c>
      <c r="C1324" t="inlineStr">
        <is>
          <t>EMINA Hyalupeptide Color Melt Balm 06 Trululu Crimson 1.8gr</t>
        </is>
      </c>
      <c r="D1324" t="inlineStr">
        <is>
          <t>Miss Glam Damar</t>
        </is>
      </c>
      <c r="E1324" t="n">
        <v>4</v>
      </c>
      <c r="F1324" t="n">
        <v>0.14</v>
      </c>
      <c r="G1324" t="n">
        <v>2</v>
      </c>
      <c r="H1324" t="n">
        <v>2</v>
      </c>
      <c r="I1324" t="n">
        <v>6</v>
      </c>
      <c r="J1324" t="n">
        <v>1</v>
      </c>
      <c r="K1324" t="n">
        <v>0</v>
      </c>
      <c r="L1324" t="n">
        <v>47511</v>
      </c>
      <c r="M1324" t="n">
        <v>58000</v>
      </c>
      <c r="N1324" t="n">
        <v>91</v>
      </c>
      <c r="O1324" t="n">
        <v>0.91</v>
      </c>
      <c r="P1324" t="n">
        <v>0</v>
      </c>
      <c r="Q1324" t="n">
        <v>0.14</v>
      </c>
      <c r="R1324" t="n">
        <v>2</v>
      </c>
      <c r="S1324" t="n">
        <v>8120.000000000001</v>
      </c>
      <c r="T1324" t="n">
        <v>12</v>
      </c>
      <c r="U1324" t="n">
        <v>13</v>
      </c>
      <c r="V1324" t="n">
        <v>30</v>
      </c>
      <c r="W1324" t="n">
        <v>5</v>
      </c>
      <c r="X1324" t="n">
        <v>28.57142857142857</v>
      </c>
      <c r="Y1324" t="n">
        <v>1</v>
      </c>
      <c r="Z1324" t="n">
        <v>1</v>
      </c>
      <c r="AA1324" t="n">
        <v>0</v>
      </c>
      <c r="AB1324" t="n">
        <v>1</v>
      </c>
      <c r="AC1324" t="n">
        <v>1</v>
      </c>
      <c r="AD1324" t="n">
        <v>0</v>
      </c>
      <c r="AE1324" t="n">
        <v>47511</v>
      </c>
      <c r="AF1324" t="n">
        <v>11691</v>
      </c>
      <c r="AG1324" t="n">
        <v>63</v>
      </c>
      <c r="AH1324" t="inlineStr">
        <is>
          <t>PT. PARAMA GLOBAL INSPIRA - PPN (PDG)</t>
        </is>
      </c>
      <c r="AI1324" t="n">
        <v>63</v>
      </c>
      <c r="AJ1324" t="inlineStr">
        <is>
          <t>EMINA</t>
        </is>
      </c>
      <c r="AK1324" t="n">
        <v>21</v>
      </c>
      <c r="AL1324" t="inlineStr">
        <is>
          <t>Miss Glam Damar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EMINA</t>
        </is>
      </c>
      <c r="B1325" s="2">
        <f>"203003109354"</f>
        <v/>
      </c>
      <c r="C1325" t="inlineStr">
        <is>
          <t>EMINA Jelly Stain 01 Crimson Berry 3gr</t>
        </is>
      </c>
      <c r="D1325" t="inlineStr">
        <is>
          <t>Miss Glam Damar</t>
        </is>
      </c>
      <c r="E1325" t="n">
        <v>7</v>
      </c>
      <c r="F1325" t="n">
        <v>0.1365</v>
      </c>
      <c r="G1325" t="n">
        <v>0.91</v>
      </c>
      <c r="H1325" t="n">
        <v>2</v>
      </c>
      <c r="I1325" t="n">
        <v>6</v>
      </c>
      <c r="J1325" t="n">
        <v>1</v>
      </c>
      <c r="K1325" t="n">
        <v>0</v>
      </c>
      <c r="L1325" t="n">
        <v>42912</v>
      </c>
      <c r="M1325" t="n">
        <v>52500</v>
      </c>
      <c r="N1325" t="n">
        <v>91</v>
      </c>
      <c r="O1325" t="n">
        <v>0.91</v>
      </c>
      <c r="P1325" t="n">
        <v>1</v>
      </c>
      <c r="Q1325" t="n">
        <v>0.17</v>
      </c>
      <c r="R1325" t="n">
        <v>1</v>
      </c>
      <c r="S1325" t="n">
        <v>7166.250000000001</v>
      </c>
      <c r="T1325" t="n">
        <v>6</v>
      </c>
      <c r="U1325" t="n">
        <v>7</v>
      </c>
      <c r="V1325" t="n">
        <v>30</v>
      </c>
      <c r="W1325" t="n">
        <v>5</v>
      </c>
      <c r="X1325" t="n">
        <v>51.28205128205128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11691</v>
      </c>
      <c r="AG1325" t="n">
        <v>63</v>
      </c>
      <c r="AH1325" t="inlineStr">
        <is>
          <t>PT. PARAMA GLOBAL INSPIRA - PPN (PDG)</t>
        </is>
      </c>
      <c r="AI1325" t="n">
        <v>63</v>
      </c>
      <c r="AJ1325" t="inlineStr">
        <is>
          <t>EMINA</t>
        </is>
      </c>
      <c r="AK1325" t="n">
        <v>21</v>
      </c>
      <c r="AL1325" t="inlineStr">
        <is>
          <t>Miss Glam Damar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EMINA</t>
        </is>
      </c>
      <c r="B1326" s="2">
        <f>"203003109437"</f>
        <v/>
      </c>
      <c r="C1326" t="inlineStr">
        <is>
          <t>EMINA Jelly Stain 02 Tomato Drop 3gr</t>
        </is>
      </c>
      <c r="D1326" t="inlineStr">
        <is>
          <t>Miss Glam Damar</t>
        </is>
      </c>
      <c r="E1326" t="n">
        <v>4</v>
      </c>
      <c r="F1326" t="n">
        <v>0.1729</v>
      </c>
      <c r="G1326" t="n">
        <v>1.82</v>
      </c>
      <c r="H1326" t="n">
        <v>2</v>
      </c>
      <c r="I1326" t="n">
        <v>6</v>
      </c>
      <c r="J1326" t="n">
        <v>1</v>
      </c>
      <c r="K1326" t="n">
        <v>0</v>
      </c>
      <c r="L1326" t="n">
        <v>42913</v>
      </c>
      <c r="M1326" t="n">
        <v>52500</v>
      </c>
      <c r="N1326" t="n">
        <v>91</v>
      </c>
      <c r="O1326" t="n">
        <v>0.91</v>
      </c>
      <c r="P1326" t="n">
        <v>1</v>
      </c>
      <c r="Q1326" t="n">
        <v>0.14</v>
      </c>
      <c r="R1326" t="n">
        <v>1</v>
      </c>
      <c r="S1326" t="n">
        <v>9077.25</v>
      </c>
      <c r="T1326" t="n">
        <v>11</v>
      </c>
      <c r="U1326" t="n">
        <v>12</v>
      </c>
      <c r="V1326" t="n">
        <v>30</v>
      </c>
      <c r="W1326" t="n">
        <v>6</v>
      </c>
      <c r="X1326" t="n">
        <v>23.13475997686524</v>
      </c>
      <c r="Y1326" t="n">
        <v>1</v>
      </c>
      <c r="Z1326" t="n">
        <v>2</v>
      </c>
      <c r="AA1326" t="n">
        <v>0</v>
      </c>
      <c r="AB1326" t="n">
        <v>2</v>
      </c>
      <c r="AC1326" t="n">
        <v>2</v>
      </c>
      <c r="AD1326" t="n">
        <v>0</v>
      </c>
      <c r="AE1326" t="n">
        <v>85826</v>
      </c>
      <c r="AF1326" t="n">
        <v>11691</v>
      </c>
      <c r="AG1326" t="n">
        <v>63</v>
      </c>
      <c r="AH1326" t="inlineStr">
        <is>
          <t>PT. PARAMA GLOBAL INSPIRA - PPN (PDG)</t>
        </is>
      </c>
      <c r="AI1326" t="n">
        <v>63</v>
      </c>
      <c r="AJ1326" t="inlineStr">
        <is>
          <t>EMINA</t>
        </is>
      </c>
      <c r="AK1326" t="n">
        <v>21</v>
      </c>
      <c r="AL1326" t="inlineStr">
        <is>
          <t>Miss Glam Damar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EMINA</t>
        </is>
      </c>
      <c r="B1327" s="2">
        <f>"8993137715508"</f>
        <v/>
      </c>
      <c r="C1327" t="inlineStr">
        <is>
          <t>EMINA Lip Mask Milky Matcha 9gr</t>
        </is>
      </c>
      <c r="D1327" t="inlineStr">
        <is>
          <t>Miss Glam Damar</t>
        </is>
      </c>
      <c r="E1327" t="n">
        <v>4</v>
      </c>
      <c r="F1327" t="n">
        <v>0.1547</v>
      </c>
      <c r="G1327" t="n">
        <v>1.82</v>
      </c>
      <c r="H1327" t="n">
        <v>2</v>
      </c>
      <c r="I1327" t="n">
        <v>6</v>
      </c>
      <c r="J1327" t="n">
        <v>3</v>
      </c>
      <c r="K1327" t="n">
        <v>0</v>
      </c>
      <c r="L1327" t="n">
        <v>33717</v>
      </c>
      <c r="M1327" t="n">
        <v>41500</v>
      </c>
      <c r="N1327" t="n">
        <v>91</v>
      </c>
      <c r="O1327" t="n">
        <v>0.91</v>
      </c>
      <c r="P1327" t="n">
        <v>1</v>
      </c>
      <c r="Q1327" t="n">
        <v>0.15</v>
      </c>
      <c r="R1327" t="n">
        <v>1</v>
      </c>
      <c r="S1327" t="n">
        <v>6420.05</v>
      </c>
      <c r="T1327" t="n">
        <v>11</v>
      </c>
      <c r="U1327" t="n">
        <v>12</v>
      </c>
      <c r="V1327" t="n">
        <v>30</v>
      </c>
      <c r="W1327" t="n">
        <v>5</v>
      </c>
      <c r="X1327" t="n">
        <v>25.85649644473174</v>
      </c>
      <c r="Y1327" t="n">
        <v>1</v>
      </c>
      <c r="Z1327" t="n">
        <v>1</v>
      </c>
      <c r="AA1327" t="n">
        <v>0</v>
      </c>
      <c r="AB1327" t="n">
        <v>1</v>
      </c>
      <c r="AC1327" t="n">
        <v>3</v>
      </c>
      <c r="AD1327" t="n">
        <v>0</v>
      </c>
      <c r="AE1327" t="n">
        <v>101151</v>
      </c>
      <c r="AF1327" t="n">
        <v>11691</v>
      </c>
      <c r="AG1327" t="n">
        <v>63</v>
      </c>
      <c r="AH1327" t="inlineStr">
        <is>
          <t>PT. PARAMA GLOBAL INSPIRA - PPN (PDG)</t>
        </is>
      </c>
      <c r="AI1327" t="n">
        <v>63</v>
      </c>
      <c r="AJ1327" t="inlineStr">
        <is>
          <t>EMINA</t>
        </is>
      </c>
      <c r="AK1327" t="n">
        <v>21</v>
      </c>
      <c r="AL1327" t="inlineStr">
        <is>
          <t>Miss Glam Damar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EMINA</t>
        </is>
      </c>
      <c r="B1328" s="2">
        <f>"8993137715515"</f>
        <v/>
      </c>
      <c r="C1328" t="inlineStr">
        <is>
          <t>EMINA Lip Mask Orange Squash 9gr</t>
        </is>
      </c>
      <c r="D1328" t="inlineStr">
        <is>
          <t>Miss Glam Damar</t>
        </is>
      </c>
      <c r="E1328" t="n">
        <v>6</v>
      </c>
      <c r="F1328" t="n">
        <v>0.04550000000000001</v>
      </c>
      <c r="G1328" t="n">
        <v>0.91</v>
      </c>
      <c r="H1328" t="n">
        <v>2</v>
      </c>
      <c r="I1328" t="n">
        <v>6</v>
      </c>
      <c r="J1328" t="n">
        <v>3</v>
      </c>
      <c r="K1328" t="n">
        <v>0</v>
      </c>
      <c r="L1328" t="n">
        <v>33206</v>
      </c>
      <c r="M1328" t="n">
        <v>41500</v>
      </c>
      <c r="N1328" t="n">
        <v>91</v>
      </c>
      <c r="O1328" t="n">
        <v>0.91</v>
      </c>
      <c r="P1328" t="n">
        <v>1</v>
      </c>
      <c r="Q1328" t="n">
        <v>0.05</v>
      </c>
      <c r="R1328" t="n">
        <v>1</v>
      </c>
      <c r="S1328" t="n">
        <v>1888.25</v>
      </c>
      <c r="T1328" t="n">
        <v>6</v>
      </c>
      <c r="U1328" t="n">
        <v>7</v>
      </c>
      <c r="V1328" t="n">
        <v>30</v>
      </c>
      <c r="W1328" t="n">
        <v>2</v>
      </c>
      <c r="X1328" t="n">
        <v>131.8681318681319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11691</v>
      </c>
      <c r="AG1328" t="n">
        <v>63</v>
      </c>
      <c r="AH1328" t="inlineStr">
        <is>
          <t>PT. PARAMA GLOBAL INSPIRA - PPN (PDG)</t>
        </is>
      </c>
      <c r="AI1328" t="n">
        <v>63</v>
      </c>
      <c r="AJ1328" t="inlineStr">
        <is>
          <t>EMINA</t>
        </is>
      </c>
      <c r="AK1328" t="n">
        <v>21</v>
      </c>
      <c r="AL1328" t="inlineStr">
        <is>
          <t>Miss Glam Damar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EMINA</t>
        </is>
      </c>
      <c r="B1329" s="2">
        <f>"8993137715492"</f>
        <v/>
      </c>
      <c r="C1329" t="inlineStr">
        <is>
          <t>EMINA Lip Mask Vanilla Pretzel 9gr</t>
        </is>
      </c>
      <c r="D1329" t="inlineStr">
        <is>
          <t>Miss Glam Damar</t>
        </is>
      </c>
      <c r="E1329" t="n">
        <v>2</v>
      </c>
      <c r="F1329" t="n">
        <v>0.1365</v>
      </c>
      <c r="G1329" t="n">
        <v>1.82</v>
      </c>
      <c r="H1329" t="n">
        <v>2</v>
      </c>
      <c r="I1329" t="n">
        <v>6</v>
      </c>
      <c r="J1329" t="n">
        <v>3</v>
      </c>
      <c r="K1329" t="n">
        <v>0</v>
      </c>
      <c r="L1329" t="n">
        <v>33717</v>
      </c>
      <c r="M1329" t="n">
        <v>41000</v>
      </c>
      <c r="N1329" t="n">
        <v>91</v>
      </c>
      <c r="O1329" t="n">
        <v>0.91</v>
      </c>
      <c r="P1329" t="n">
        <v>1</v>
      </c>
      <c r="Q1329" t="n">
        <v>0.02</v>
      </c>
      <c r="R1329" t="n">
        <v>1</v>
      </c>
      <c r="S1329" t="n">
        <v>5596.5</v>
      </c>
      <c r="T1329" t="n">
        <v>11</v>
      </c>
      <c r="U1329" t="n">
        <v>12</v>
      </c>
      <c r="V1329" t="n">
        <v>30</v>
      </c>
      <c r="W1329" t="n">
        <v>5</v>
      </c>
      <c r="X1329" t="n">
        <v>14.65201465201465</v>
      </c>
      <c r="Y1329" t="n">
        <v>1</v>
      </c>
      <c r="Z1329" t="n">
        <v>3</v>
      </c>
      <c r="AA1329" t="n">
        <v>0</v>
      </c>
      <c r="AB1329" t="n">
        <v>3</v>
      </c>
      <c r="AC1329" t="n">
        <v>3</v>
      </c>
      <c r="AD1329" t="n">
        <v>0</v>
      </c>
      <c r="AE1329" t="n">
        <v>101151</v>
      </c>
      <c r="AF1329" t="n">
        <v>11691</v>
      </c>
      <c r="AG1329" t="n">
        <v>63</v>
      </c>
      <c r="AH1329" t="inlineStr">
        <is>
          <t>PT. PARAMA GLOBAL INSPIRA - PPN (PDG)</t>
        </is>
      </c>
      <c r="AI1329" t="n">
        <v>63</v>
      </c>
      <c r="AJ1329" t="inlineStr">
        <is>
          <t>EMINA</t>
        </is>
      </c>
      <c r="AK1329" t="n">
        <v>21</v>
      </c>
      <c r="AL1329" t="inlineStr">
        <is>
          <t>Miss Glam Damar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EMINA</t>
        </is>
      </c>
      <c r="B1330" s="2">
        <f>"8993137703048"</f>
        <v/>
      </c>
      <c r="C1330" t="inlineStr">
        <is>
          <t>EMINA Lip Mask Watermelon Sorbet 9gr</t>
        </is>
      </c>
      <c r="D1330" t="inlineStr">
        <is>
          <t>Miss Glam Damar</t>
        </is>
      </c>
      <c r="E1330" t="n">
        <v>17</v>
      </c>
      <c r="F1330" t="n">
        <v>0.6279</v>
      </c>
      <c r="G1330" t="n">
        <v>2.73</v>
      </c>
      <c r="H1330" t="n">
        <v>2</v>
      </c>
      <c r="I1330" t="n">
        <v>6</v>
      </c>
      <c r="J1330" t="n">
        <v>3</v>
      </c>
      <c r="K1330" t="n">
        <v>0</v>
      </c>
      <c r="L1330" t="n">
        <v>33715</v>
      </c>
      <c r="M1330" t="n">
        <v>41500</v>
      </c>
      <c r="N1330" t="n">
        <v>91</v>
      </c>
      <c r="O1330" t="n">
        <v>0.91</v>
      </c>
      <c r="P1330" t="n">
        <v>1</v>
      </c>
      <c r="Q1330" t="n">
        <v>0.85</v>
      </c>
      <c r="R1330" t="n">
        <v>3</v>
      </c>
      <c r="S1330" t="n">
        <v>26057.85</v>
      </c>
      <c r="T1330" t="n">
        <v>16</v>
      </c>
      <c r="U1330" t="n">
        <v>18</v>
      </c>
      <c r="V1330" t="n">
        <v>30</v>
      </c>
      <c r="W1330" t="n">
        <v>19</v>
      </c>
      <c r="X1330" t="n">
        <v>27.07437490046186</v>
      </c>
      <c r="Y1330" t="n">
        <v>1</v>
      </c>
      <c r="Z1330" t="n">
        <v>2</v>
      </c>
      <c r="AA1330" t="n">
        <v>0</v>
      </c>
      <c r="AB1330" t="n">
        <v>2</v>
      </c>
      <c r="AC1330" t="n">
        <v>3</v>
      </c>
      <c r="AD1330" t="n">
        <v>0</v>
      </c>
      <c r="AE1330" t="n">
        <v>101145</v>
      </c>
      <c r="AF1330" t="n">
        <v>11691</v>
      </c>
      <c r="AG1330" t="n">
        <v>63</v>
      </c>
      <c r="AH1330" t="inlineStr">
        <is>
          <t>PT. PARAMA GLOBAL INSPIRA - PPN (PDG)</t>
        </is>
      </c>
      <c r="AI1330" t="n">
        <v>63</v>
      </c>
      <c r="AJ1330" t="inlineStr">
        <is>
          <t>EMINA</t>
        </is>
      </c>
      <c r="AK1330" t="n">
        <v>21</v>
      </c>
      <c r="AL1330" t="inlineStr">
        <is>
          <t>Miss Glam Damar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EMINA</t>
        </is>
      </c>
      <c r="B1331" s="2">
        <f>"8993137013321"</f>
        <v/>
      </c>
      <c r="C1331" t="inlineStr">
        <is>
          <t>EMINA Made-Calm &amp; Purify Low pH Micellar Water 125ml</t>
        </is>
      </c>
      <c r="D1331" t="inlineStr">
        <is>
          <t>Miss Glam Damar</t>
        </is>
      </c>
      <c r="E1331" t="n">
        <v>6</v>
      </c>
      <c r="F1331" t="n">
        <v>0.182</v>
      </c>
      <c r="G1331" t="n">
        <v>0.91</v>
      </c>
      <c r="H1331" t="n">
        <v>2</v>
      </c>
      <c r="I1331" t="n">
        <v>6</v>
      </c>
      <c r="J1331" t="n">
        <v>1</v>
      </c>
      <c r="K1331" t="n">
        <v>0</v>
      </c>
      <c r="L1331" t="n">
        <v>25671</v>
      </c>
      <c r="M1331" t="n">
        <v>31500</v>
      </c>
      <c r="N1331" t="n">
        <v>91</v>
      </c>
      <c r="O1331" t="n">
        <v>0.91</v>
      </c>
      <c r="P1331" t="n">
        <v>1</v>
      </c>
      <c r="Q1331" t="n">
        <v>0.17</v>
      </c>
      <c r="R1331" t="n">
        <v>2</v>
      </c>
      <c r="S1331" t="n">
        <v>5733.000000000001</v>
      </c>
      <c r="T1331" t="n">
        <v>6</v>
      </c>
      <c r="U1331" t="n">
        <v>7</v>
      </c>
      <c r="V1331" t="n">
        <v>30</v>
      </c>
      <c r="W1331" t="n">
        <v>6</v>
      </c>
      <c r="X1331" t="n">
        <v>32.96703296703296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11691</v>
      </c>
      <c r="AG1331" t="n">
        <v>63</v>
      </c>
      <c r="AH1331" t="inlineStr">
        <is>
          <t>PT. PARAMA GLOBAL INSPIRA - PPN (PDG)</t>
        </is>
      </c>
      <c r="AI1331" t="n">
        <v>63</v>
      </c>
      <c r="AJ1331" t="inlineStr">
        <is>
          <t>EMINA</t>
        </is>
      </c>
      <c r="AK1331" t="n">
        <v>21</v>
      </c>
      <c r="AL1331" t="inlineStr">
        <is>
          <t>Miss Glam Damar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EMINA</t>
        </is>
      </c>
      <c r="B1332" s="2">
        <f>"8993137013338"</f>
        <v/>
      </c>
      <c r="C1332" t="inlineStr">
        <is>
          <t>EMINA Made-Calm &amp; Purify Low pH Micellar Water 300ml</t>
        </is>
      </c>
      <c r="D1332" t="inlineStr">
        <is>
          <t>Miss Glam Damar</t>
        </is>
      </c>
      <c r="E1332" t="n">
        <v>8</v>
      </c>
      <c r="F1332" t="n">
        <v>0.3094</v>
      </c>
      <c r="G1332" t="n">
        <v>3.64</v>
      </c>
      <c r="H1332" t="n">
        <v>2</v>
      </c>
      <c r="I1332" t="n">
        <v>6</v>
      </c>
      <c r="J1332" t="n">
        <v>1</v>
      </c>
      <c r="K1332" t="n">
        <v>0</v>
      </c>
      <c r="L1332" t="n">
        <v>40614</v>
      </c>
      <c r="M1332" t="n">
        <v>50000</v>
      </c>
      <c r="N1332" t="n">
        <v>91</v>
      </c>
      <c r="O1332" t="n">
        <v>0.91</v>
      </c>
      <c r="P1332" t="n">
        <v>1</v>
      </c>
      <c r="Q1332" t="n">
        <v>0.31</v>
      </c>
      <c r="R1332" t="n">
        <v>2</v>
      </c>
      <c r="S1332" t="n">
        <v>15470</v>
      </c>
      <c r="T1332" t="n">
        <v>22</v>
      </c>
      <c r="U1332" t="n">
        <v>23</v>
      </c>
      <c r="V1332" t="n">
        <v>30</v>
      </c>
      <c r="W1332" t="n">
        <v>10</v>
      </c>
      <c r="X1332" t="n">
        <v>25.85649644473174</v>
      </c>
      <c r="Y1332" t="n">
        <v>1</v>
      </c>
      <c r="Z1332" t="n">
        <v>2</v>
      </c>
      <c r="AA1332" t="n">
        <v>0</v>
      </c>
      <c r="AB1332" t="n">
        <v>2</v>
      </c>
      <c r="AC1332" t="n">
        <v>2</v>
      </c>
      <c r="AD1332" t="n">
        <v>0</v>
      </c>
      <c r="AE1332" t="n">
        <v>81228</v>
      </c>
      <c r="AF1332" t="n">
        <v>11691</v>
      </c>
      <c r="AG1332" t="n">
        <v>63</v>
      </c>
      <c r="AH1332" t="inlineStr">
        <is>
          <t>PT. PARAMA GLOBAL INSPIRA - PPN (PDG)</t>
        </is>
      </c>
      <c r="AI1332" t="n">
        <v>63</v>
      </c>
      <c r="AJ1332" t="inlineStr">
        <is>
          <t>EMINA</t>
        </is>
      </c>
      <c r="AK1332" t="n">
        <v>21</v>
      </c>
      <c r="AL1332" t="inlineStr">
        <is>
          <t>Miss Glam Damar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EMINA</t>
        </is>
      </c>
      <c r="B1333" s="2">
        <f>"8993137702621"</f>
        <v/>
      </c>
      <c r="C1333" t="inlineStr">
        <is>
          <t>EMINA Masquerade Face Mask Rice 23gr</t>
        </is>
      </c>
      <c r="D1333" t="inlineStr">
        <is>
          <t>Miss Glam Damar</t>
        </is>
      </c>
      <c r="E1333" t="n">
        <v>5</v>
      </c>
      <c r="F1333" t="n">
        <v>0.8</v>
      </c>
      <c r="G1333" t="n">
        <v>4</v>
      </c>
      <c r="H1333" t="n">
        <v>2</v>
      </c>
      <c r="I1333" t="n">
        <v>6</v>
      </c>
      <c r="J1333" t="n">
        <v>3</v>
      </c>
      <c r="K1333" t="n">
        <v>0</v>
      </c>
      <c r="L1333" t="n">
        <v>11494</v>
      </c>
      <c r="M1333" t="n">
        <v>14500</v>
      </c>
      <c r="N1333" t="n">
        <v>91</v>
      </c>
      <c r="O1333" t="n">
        <v>0.91</v>
      </c>
      <c r="P1333" t="n">
        <v>0</v>
      </c>
      <c r="Q1333" t="n">
        <v>0.8</v>
      </c>
      <c r="R1333" t="n">
        <v>4</v>
      </c>
      <c r="S1333" t="n">
        <v>11600</v>
      </c>
      <c r="T1333" t="n">
        <v>23</v>
      </c>
      <c r="U1333" t="n">
        <v>25</v>
      </c>
      <c r="V1333" t="n">
        <v>30</v>
      </c>
      <c r="W1333" t="n">
        <v>24</v>
      </c>
      <c r="X1333" t="n">
        <v>6.25</v>
      </c>
      <c r="Y1333" t="n">
        <v>1</v>
      </c>
      <c r="Z1333" t="n">
        <v>19</v>
      </c>
      <c r="AA1333" t="n">
        <v>0</v>
      </c>
      <c r="AB1333" t="n">
        <v>19</v>
      </c>
      <c r="AC1333" t="n">
        <v>19</v>
      </c>
      <c r="AD1333" t="n">
        <v>0</v>
      </c>
      <c r="AE1333" t="n">
        <v>218386</v>
      </c>
      <c r="AF1333" t="n">
        <v>11691</v>
      </c>
      <c r="AG1333" t="n">
        <v>63</v>
      </c>
      <c r="AH1333" t="inlineStr">
        <is>
          <t>PT. PARAMA GLOBAL INSPIRA - PPN (PDG)</t>
        </is>
      </c>
      <c r="AI1333" t="n">
        <v>63</v>
      </c>
      <c r="AJ1333" t="inlineStr">
        <is>
          <t>EMINA</t>
        </is>
      </c>
      <c r="AK1333" t="n">
        <v>21</v>
      </c>
      <c r="AL1333" t="inlineStr">
        <is>
          <t>Miss Glam Damar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EMINA</t>
        </is>
      </c>
      <c r="B1334" s="2">
        <f>"20100487325"</f>
        <v/>
      </c>
      <c r="C1334" t="inlineStr">
        <is>
          <t>EMINA Matte Core Cushion N02 Amber 13gr</t>
        </is>
      </c>
      <c r="D1334" t="inlineStr">
        <is>
          <t>Miss Glam Damar</t>
        </is>
      </c>
      <c r="E1334" t="n">
        <v>6</v>
      </c>
      <c r="F1334" t="n">
        <v>0.0182</v>
      </c>
      <c r="G1334" t="n">
        <v>0.91</v>
      </c>
      <c r="H1334" t="n">
        <v>2</v>
      </c>
      <c r="I1334" t="n">
        <v>6</v>
      </c>
      <c r="J1334" t="n">
        <v>1</v>
      </c>
      <c r="K1334" t="n">
        <v>0</v>
      </c>
      <c r="L1334" t="n">
        <v>91956</v>
      </c>
      <c r="M1334" t="n">
        <v>120000</v>
      </c>
      <c r="N1334" t="n">
        <v>91</v>
      </c>
      <c r="O1334" t="n">
        <v>0.91</v>
      </c>
      <c r="P1334" t="n">
        <v>1</v>
      </c>
      <c r="Q1334" t="n">
        <v>0.03</v>
      </c>
      <c r="R1334" t="n">
        <v>2</v>
      </c>
      <c r="S1334" t="n">
        <v>2184</v>
      </c>
      <c r="T1334" t="n">
        <v>6</v>
      </c>
      <c r="U1334" t="n">
        <v>7</v>
      </c>
      <c r="V1334" t="n">
        <v>30</v>
      </c>
      <c r="W1334" t="n">
        <v>1</v>
      </c>
      <c r="X1334" t="n">
        <v>329.6703296703296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11691</v>
      </c>
      <c r="AG1334" t="n">
        <v>63</v>
      </c>
      <c r="AH1334" t="inlineStr">
        <is>
          <t>PT. PARAMA GLOBAL INSPIRA - PPN (PDG)</t>
        </is>
      </c>
      <c r="AI1334" t="n">
        <v>63</v>
      </c>
      <c r="AJ1334" t="inlineStr">
        <is>
          <t>EMINA</t>
        </is>
      </c>
      <c r="AK1334" t="n">
        <v>21</v>
      </c>
      <c r="AL1334" t="inlineStr">
        <is>
          <t>Miss Glam Damar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EMINA</t>
        </is>
      </c>
      <c r="B1335" s="2">
        <f>"20100487634"</f>
        <v/>
      </c>
      <c r="C1335" t="inlineStr">
        <is>
          <t>EMINA Matte Core Cushion O03 Chai 13gr</t>
        </is>
      </c>
      <c r="D1335" t="inlineStr">
        <is>
          <t>Miss Glam Damar</t>
        </is>
      </c>
      <c r="E1335" t="n">
        <v>4</v>
      </c>
      <c r="F1335" t="n">
        <v>0.0182</v>
      </c>
      <c r="G1335" t="n">
        <v>0.91</v>
      </c>
      <c r="H1335" t="n">
        <v>2</v>
      </c>
      <c r="I1335" t="n">
        <v>6</v>
      </c>
      <c r="J1335" t="n">
        <v>1</v>
      </c>
      <c r="K1335" t="n">
        <v>0</v>
      </c>
      <c r="L1335" t="n">
        <v>91956</v>
      </c>
      <c r="M1335" t="n">
        <v>120000</v>
      </c>
      <c r="N1335" t="n">
        <v>91</v>
      </c>
      <c r="O1335" t="n">
        <v>0.91</v>
      </c>
      <c r="P1335" t="n">
        <v>1</v>
      </c>
      <c r="Q1335" t="n">
        <v>0.02</v>
      </c>
      <c r="R1335" t="n">
        <v>0</v>
      </c>
      <c r="S1335" t="n">
        <v>2184</v>
      </c>
      <c r="T1335" t="n">
        <v>6</v>
      </c>
      <c r="U1335" t="n">
        <v>7</v>
      </c>
      <c r="V1335" t="n">
        <v>30</v>
      </c>
      <c r="W1335" t="n">
        <v>1</v>
      </c>
      <c r="X1335" t="n">
        <v>219.7802197802198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11691</v>
      </c>
      <c r="AG1335" t="n">
        <v>63</v>
      </c>
      <c r="AH1335" t="inlineStr">
        <is>
          <t>PT. PARAMA GLOBAL INSPIRA - PPN (PDG)</t>
        </is>
      </c>
      <c r="AI1335" t="n">
        <v>63</v>
      </c>
      <c r="AJ1335" t="inlineStr">
        <is>
          <t>EMINA</t>
        </is>
      </c>
      <c r="AK1335" t="n">
        <v>21</v>
      </c>
      <c r="AL1335" t="inlineStr">
        <is>
          <t>Miss Glam Damar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EMINA</t>
        </is>
      </c>
      <c r="B1336" s="2">
        <f>"20100487240"</f>
        <v/>
      </c>
      <c r="C1336" t="inlineStr">
        <is>
          <t>EMINA Matte Core Cushion W02 Buff 13gr</t>
        </is>
      </c>
      <c r="D1336" t="inlineStr">
        <is>
          <t>Miss Glam Damar</t>
        </is>
      </c>
      <c r="E1336" t="n">
        <v>4</v>
      </c>
      <c r="F1336" t="n">
        <v>0.07000000000000001</v>
      </c>
      <c r="G1336" t="n">
        <v>3</v>
      </c>
      <c r="H1336" t="n">
        <v>2</v>
      </c>
      <c r="I1336" t="n">
        <v>6</v>
      </c>
      <c r="J1336" t="n">
        <v>1</v>
      </c>
      <c r="K1336" t="n">
        <v>0</v>
      </c>
      <c r="L1336" t="n">
        <v>91956</v>
      </c>
      <c r="M1336" t="n">
        <v>120000</v>
      </c>
      <c r="N1336" t="n">
        <v>91</v>
      </c>
      <c r="O1336" t="n">
        <v>0.91</v>
      </c>
      <c r="P1336" t="n">
        <v>0</v>
      </c>
      <c r="Q1336" t="n">
        <v>0.07000000000000001</v>
      </c>
      <c r="R1336" t="n">
        <v>3</v>
      </c>
      <c r="S1336" t="n">
        <v>8400</v>
      </c>
      <c r="T1336" t="n">
        <v>18</v>
      </c>
      <c r="U1336" t="n">
        <v>19</v>
      </c>
      <c r="V1336" t="n">
        <v>30</v>
      </c>
      <c r="W1336" t="n">
        <v>3</v>
      </c>
      <c r="X1336" t="n">
        <v>57.14285714285714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11691</v>
      </c>
      <c r="AG1336" t="n">
        <v>63</v>
      </c>
      <c r="AH1336" t="inlineStr">
        <is>
          <t>PT. PARAMA GLOBAL INSPIRA - PPN (PDG)</t>
        </is>
      </c>
      <c r="AI1336" t="n">
        <v>63</v>
      </c>
      <c r="AJ1336" t="inlineStr">
        <is>
          <t>EMINA</t>
        </is>
      </c>
      <c r="AK1336" t="n">
        <v>21</v>
      </c>
      <c r="AL1336" t="inlineStr">
        <is>
          <t>Miss Glam Damar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EMINA</t>
        </is>
      </c>
      <c r="B1337" s="2">
        <f>"20100487414"</f>
        <v/>
      </c>
      <c r="C1337" t="inlineStr">
        <is>
          <t>EMINA Matte Core Cushion W03 Maple 13gr</t>
        </is>
      </c>
      <c r="D1337" t="inlineStr">
        <is>
          <t>Miss Glam Damar</t>
        </is>
      </c>
      <c r="E1337" t="n">
        <v>8</v>
      </c>
      <c r="F1337" t="n">
        <v>0.0273</v>
      </c>
      <c r="G1337" t="n">
        <v>0.91</v>
      </c>
      <c r="H1337" t="n">
        <v>2</v>
      </c>
      <c r="I1337" t="n">
        <v>6</v>
      </c>
      <c r="J1337" t="n">
        <v>1</v>
      </c>
      <c r="K1337" t="n">
        <v>0</v>
      </c>
      <c r="L1337" t="n">
        <v>91956</v>
      </c>
      <c r="M1337" t="n">
        <v>120000</v>
      </c>
      <c r="N1337" t="n">
        <v>91</v>
      </c>
      <c r="O1337" t="n">
        <v>0.91</v>
      </c>
      <c r="P1337" t="n">
        <v>1</v>
      </c>
      <c r="Q1337" t="n">
        <v>0.03</v>
      </c>
      <c r="R1337" t="n">
        <v>1</v>
      </c>
      <c r="S1337" t="n">
        <v>3276</v>
      </c>
      <c r="T1337" t="n">
        <v>6</v>
      </c>
      <c r="U1337" t="n">
        <v>7</v>
      </c>
      <c r="V1337" t="n">
        <v>30</v>
      </c>
      <c r="W1337" t="n">
        <v>1</v>
      </c>
      <c r="X1337" t="n">
        <v>293.040293040293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11691</v>
      </c>
      <c r="AG1337" t="n">
        <v>63</v>
      </c>
      <c r="AH1337" t="inlineStr">
        <is>
          <t>PT. PARAMA GLOBAL INSPIRA - PPN (PDG)</t>
        </is>
      </c>
      <c r="AI1337" t="n">
        <v>63</v>
      </c>
      <c r="AJ1337" t="inlineStr">
        <is>
          <t>EMINA</t>
        </is>
      </c>
      <c r="AK1337" t="n">
        <v>21</v>
      </c>
      <c r="AL1337" t="inlineStr">
        <is>
          <t>Miss Glam Damar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EMINA</t>
        </is>
      </c>
      <c r="B1338" s="2">
        <f>"8993137716482"</f>
        <v/>
      </c>
      <c r="C1338" t="inlineStr">
        <is>
          <t>EMINA Ms. Pimple Acne Solution Face Serum 30ml</t>
        </is>
      </c>
      <c r="D1338" t="inlineStr">
        <is>
          <t>Miss Glam Damar</t>
        </is>
      </c>
      <c r="E1338" t="n">
        <v>5</v>
      </c>
      <c r="F1338" t="n">
        <v>0.0728</v>
      </c>
      <c r="G1338" t="n">
        <v>0.91</v>
      </c>
      <c r="H1338" t="n">
        <v>2</v>
      </c>
      <c r="I1338" t="n">
        <v>6</v>
      </c>
      <c r="J1338" t="n">
        <v>3</v>
      </c>
      <c r="K1338" t="n">
        <v>0</v>
      </c>
      <c r="L1338" t="n">
        <v>44799</v>
      </c>
      <c r="M1338" t="n">
        <v>55000</v>
      </c>
      <c r="N1338" t="n">
        <v>91</v>
      </c>
      <c r="O1338" t="n">
        <v>0.91</v>
      </c>
      <c r="P1338" t="n">
        <v>1</v>
      </c>
      <c r="Q1338" t="n">
        <v>0.08</v>
      </c>
      <c r="R1338" t="n">
        <v>1</v>
      </c>
      <c r="S1338" t="n">
        <v>4004</v>
      </c>
      <c r="T1338" t="n">
        <v>6</v>
      </c>
      <c r="U1338" t="n">
        <v>7</v>
      </c>
      <c r="V1338" t="n">
        <v>30</v>
      </c>
      <c r="W1338" t="n">
        <v>3</v>
      </c>
      <c r="X1338" t="n">
        <v>68.68131868131867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11691</v>
      </c>
      <c r="AG1338" t="n">
        <v>63</v>
      </c>
      <c r="AH1338" t="inlineStr">
        <is>
          <t>PT. PARAMA GLOBAL INSPIRA - PPN (PDG)</t>
        </is>
      </c>
      <c r="AI1338" t="n">
        <v>63</v>
      </c>
      <c r="AJ1338" t="inlineStr">
        <is>
          <t>EMINA</t>
        </is>
      </c>
      <c r="AK1338" t="n">
        <v>21</v>
      </c>
      <c r="AL1338" t="inlineStr">
        <is>
          <t>Miss Glam Damar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EMINA</t>
        </is>
      </c>
      <c r="B1339" s="2">
        <f>"8993137712200"</f>
        <v/>
      </c>
      <c r="C1339" t="inlineStr">
        <is>
          <t>EMINA Ms. Pimple Acne Solution Face Toner 100ml</t>
        </is>
      </c>
      <c r="D1339" t="inlineStr">
        <is>
          <t>Miss Glam Damar</t>
        </is>
      </c>
      <c r="E1339" t="n">
        <v>4</v>
      </c>
      <c r="F1339" t="n">
        <v>0.06370000000000001</v>
      </c>
      <c r="G1339" t="n">
        <v>0.91</v>
      </c>
      <c r="H1339" t="n">
        <v>2</v>
      </c>
      <c r="I1339" t="n">
        <v>6</v>
      </c>
      <c r="J1339" t="n">
        <v>3</v>
      </c>
      <c r="K1339" t="n">
        <v>0</v>
      </c>
      <c r="L1339" t="n">
        <v>25627</v>
      </c>
      <c r="M1339" t="n">
        <v>30500</v>
      </c>
      <c r="N1339" t="n">
        <v>91</v>
      </c>
      <c r="O1339" t="n">
        <v>0.91</v>
      </c>
      <c r="P1339" t="n">
        <v>1</v>
      </c>
      <c r="Q1339" t="n">
        <v>0.08</v>
      </c>
      <c r="R1339" t="n">
        <v>2</v>
      </c>
      <c r="S1339" t="n">
        <v>1942.85</v>
      </c>
      <c r="T1339" t="n">
        <v>6</v>
      </c>
      <c r="U1339" t="n">
        <v>7</v>
      </c>
      <c r="V1339" t="n">
        <v>30</v>
      </c>
      <c r="W1339" t="n">
        <v>2</v>
      </c>
      <c r="X1339" t="n">
        <v>62.79434850863422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11691</v>
      </c>
      <c r="AG1339" t="n">
        <v>63</v>
      </c>
      <c r="AH1339" t="inlineStr">
        <is>
          <t>PT. PARAMA GLOBAL INSPIRA - PPN (PDG)</t>
        </is>
      </c>
      <c r="AI1339" t="n">
        <v>63</v>
      </c>
      <c r="AJ1339" t="inlineStr">
        <is>
          <t>EMINA</t>
        </is>
      </c>
      <c r="AK1339" t="n">
        <v>21</v>
      </c>
      <c r="AL1339" t="inlineStr">
        <is>
          <t>Miss Glam Damar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EMINA</t>
        </is>
      </c>
      <c r="B1340" s="2">
        <f>"8993137713191"</f>
        <v/>
      </c>
      <c r="C1340" t="inlineStr">
        <is>
          <t>EMINA Ms. Pimple Acne Solution Face Toner 50ml</t>
        </is>
      </c>
      <c r="D1340" t="inlineStr">
        <is>
          <t>Miss Glam Damar</t>
        </is>
      </c>
      <c r="E1340" t="n">
        <v>14</v>
      </c>
      <c r="F1340" t="n">
        <v>0.0273</v>
      </c>
      <c r="G1340" t="n">
        <v>0.91</v>
      </c>
      <c r="H1340" t="n">
        <v>2</v>
      </c>
      <c r="I1340" t="n">
        <v>6</v>
      </c>
      <c r="J1340" t="n">
        <v>3</v>
      </c>
      <c r="K1340" t="n">
        <v>0</v>
      </c>
      <c r="L1340" t="n">
        <v>15326</v>
      </c>
      <c r="M1340" t="n">
        <v>19500</v>
      </c>
      <c r="N1340" t="n">
        <v>91</v>
      </c>
      <c r="O1340" t="n">
        <v>0.91</v>
      </c>
      <c r="P1340" t="n">
        <v>1</v>
      </c>
      <c r="Q1340" t="n">
        <v>0.02</v>
      </c>
      <c r="R1340" t="n">
        <v>1</v>
      </c>
      <c r="S1340" t="n">
        <v>532.35</v>
      </c>
      <c r="T1340" t="n">
        <v>6</v>
      </c>
      <c r="U1340" t="n">
        <v>7</v>
      </c>
      <c r="V1340" t="n">
        <v>30</v>
      </c>
      <c r="W1340" t="n">
        <v>1</v>
      </c>
      <c r="X1340" t="n">
        <v>512.8205128205128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11691</v>
      </c>
      <c r="AG1340" t="n">
        <v>63</v>
      </c>
      <c r="AH1340" t="inlineStr">
        <is>
          <t>PT. PARAMA GLOBAL INSPIRA - PPN (PDG)</t>
        </is>
      </c>
      <c r="AI1340" t="n">
        <v>63</v>
      </c>
      <c r="AJ1340" t="inlineStr">
        <is>
          <t>EMINA</t>
        </is>
      </c>
      <c r="AK1340" t="n">
        <v>21</v>
      </c>
      <c r="AL1340" t="inlineStr">
        <is>
          <t>Miss Glam Damar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EMINA</t>
        </is>
      </c>
      <c r="B1341" s="2">
        <f>"8993137701990"</f>
        <v/>
      </c>
      <c r="C1341" t="inlineStr">
        <is>
          <t>EMINA Ms. Pimple Acne Solution Face Wash 50ml</t>
        </is>
      </c>
      <c r="D1341" t="inlineStr">
        <is>
          <t>Miss Glam Damar</t>
        </is>
      </c>
      <c r="E1341" t="n">
        <v>12</v>
      </c>
      <c r="F1341" t="n">
        <v>0.6188</v>
      </c>
      <c r="G1341" t="n">
        <v>2.73</v>
      </c>
      <c r="H1341" t="n">
        <v>2</v>
      </c>
      <c r="I1341" t="n">
        <v>6</v>
      </c>
      <c r="J1341" t="n">
        <v>3</v>
      </c>
      <c r="K1341" t="n">
        <v>0</v>
      </c>
      <c r="L1341" t="n">
        <v>16857</v>
      </c>
      <c r="M1341" t="n">
        <v>21000</v>
      </c>
      <c r="N1341" t="n">
        <v>91</v>
      </c>
      <c r="O1341" t="n">
        <v>0.91</v>
      </c>
      <c r="P1341" t="n">
        <v>1</v>
      </c>
      <c r="Q1341" t="n">
        <v>0.32</v>
      </c>
      <c r="R1341" t="n">
        <v>2</v>
      </c>
      <c r="S1341" t="n">
        <v>12994.8</v>
      </c>
      <c r="T1341" t="n">
        <v>16</v>
      </c>
      <c r="U1341" t="n">
        <v>18</v>
      </c>
      <c r="V1341" t="n">
        <v>30</v>
      </c>
      <c r="W1341" t="n">
        <v>19</v>
      </c>
      <c r="X1341" t="n">
        <v>19.3923723335488</v>
      </c>
      <c r="Y1341" t="n">
        <v>1</v>
      </c>
      <c r="Z1341" t="n">
        <v>7</v>
      </c>
      <c r="AA1341" t="n">
        <v>0</v>
      </c>
      <c r="AB1341" t="n">
        <v>7</v>
      </c>
      <c r="AC1341" t="n">
        <v>7</v>
      </c>
      <c r="AD1341" t="n">
        <v>0</v>
      </c>
      <c r="AE1341" t="n">
        <v>117999</v>
      </c>
      <c r="AF1341" t="n">
        <v>11691</v>
      </c>
      <c r="AG1341" t="n">
        <v>63</v>
      </c>
      <c r="AH1341" t="inlineStr">
        <is>
          <t>PT. PARAMA GLOBAL INSPIRA - PPN (PDG)</t>
        </is>
      </c>
      <c r="AI1341" t="n">
        <v>63</v>
      </c>
      <c r="AJ1341" t="inlineStr">
        <is>
          <t>EMINA</t>
        </is>
      </c>
      <c r="AK1341" t="n">
        <v>21</v>
      </c>
      <c r="AL1341" t="inlineStr">
        <is>
          <t>Miss Glam Damar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EMINA</t>
        </is>
      </c>
      <c r="B1342" s="2">
        <f>"8993137702041"</f>
        <v/>
      </c>
      <c r="C1342" t="inlineStr">
        <is>
          <t>EMINA Ms. Pimple Acne Solution Moisturizing Gel 20ml</t>
        </is>
      </c>
      <c r="D1342" t="inlineStr">
        <is>
          <t>Miss Glam Damar</t>
        </is>
      </c>
      <c r="E1342" t="n">
        <v>6</v>
      </c>
      <c r="F1342" t="n">
        <v>0.2275</v>
      </c>
      <c r="G1342" t="n">
        <v>1.82</v>
      </c>
      <c r="H1342" t="n">
        <v>2</v>
      </c>
      <c r="I1342" t="n">
        <v>6</v>
      </c>
      <c r="J1342" t="n">
        <v>3</v>
      </c>
      <c r="K1342" t="n">
        <v>0</v>
      </c>
      <c r="L1342" t="n">
        <v>21820</v>
      </c>
      <c r="M1342" t="n">
        <v>27000</v>
      </c>
      <c r="N1342" t="n">
        <v>91</v>
      </c>
      <c r="O1342" t="n">
        <v>0.91</v>
      </c>
      <c r="P1342" t="n">
        <v>1</v>
      </c>
      <c r="Q1342" t="n">
        <v>0.08</v>
      </c>
      <c r="R1342" t="n">
        <v>1</v>
      </c>
      <c r="S1342" t="n">
        <v>6142.5</v>
      </c>
      <c r="T1342" t="n">
        <v>11</v>
      </c>
      <c r="U1342" t="n">
        <v>12</v>
      </c>
      <c r="V1342" t="n">
        <v>30</v>
      </c>
      <c r="W1342" t="n">
        <v>7</v>
      </c>
      <c r="X1342" t="n">
        <v>26.37362637362637</v>
      </c>
      <c r="Y1342" t="n">
        <v>1</v>
      </c>
      <c r="Z1342" t="n">
        <v>1</v>
      </c>
      <c r="AA1342" t="n">
        <v>0</v>
      </c>
      <c r="AB1342" t="n">
        <v>1</v>
      </c>
      <c r="AC1342" t="n">
        <v>3</v>
      </c>
      <c r="AD1342" t="n">
        <v>0</v>
      </c>
      <c r="AE1342" t="n">
        <v>65460</v>
      </c>
      <c r="AF1342" t="n">
        <v>11691</v>
      </c>
      <c r="AG1342" t="n">
        <v>63</v>
      </c>
      <c r="AH1342" t="inlineStr">
        <is>
          <t>PT. PARAMA GLOBAL INSPIRA - PPN (PDG)</t>
        </is>
      </c>
      <c r="AI1342" t="n">
        <v>63</v>
      </c>
      <c r="AJ1342" t="inlineStr">
        <is>
          <t>EMINA</t>
        </is>
      </c>
      <c r="AK1342" t="n">
        <v>21</v>
      </c>
      <c r="AL1342" t="inlineStr">
        <is>
          <t>Miss Glam Damar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EMINA</t>
        </is>
      </c>
      <c r="B1343" s="2">
        <f>"8993137697170"</f>
        <v/>
      </c>
      <c r="C1343" t="inlineStr">
        <is>
          <t>EMINA Ms. Pimple Acne Solution Spot Gel 15ml</t>
        </is>
      </c>
      <c r="D1343" t="inlineStr">
        <is>
          <t>Miss Glam Damar</t>
        </is>
      </c>
      <c r="E1343" t="n">
        <v>4</v>
      </c>
      <c r="F1343" t="n">
        <v>0.0728</v>
      </c>
      <c r="G1343" t="n">
        <v>1.82</v>
      </c>
      <c r="H1343" t="n">
        <v>2</v>
      </c>
      <c r="I1343" t="n">
        <v>6</v>
      </c>
      <c r="J1343" t="n">
        <v>3</v>
      </c>
      <c r="K1343" t="n">
        <v>0</v>
      </c>
      <c r="L1343" t="n">
        <v>29095</v>
      </c>
      <c r="M1343" t="n">
        <v>35500</v>
      </c>
      <c r="N1343" t="n">
        <v>91</v>
      </c>
      <c r="O1343" t="n">
        <v>0.91</v>
      </c>
      <c r="P1343" t="n">
        <v>1</v>
      </c>
      <c r="Q1343" t="n">
        <v>0.07000000000000001</v>
      </c>
      <c r="R1343" t="n">
        <v>1</v>
      </c>
      <c r="S1343" t="n">
        <v>2584.4</v>
      </c>
      <c r="T1343" t="n">
        <v>11</v>
      </c>
      <c r="U1343" t="n">
        <v>12</v>
      </c>
      <c r="V1343" t="n">
        <v>30</v>
      </c>
      <c r="W1343" t="n">
        <v>3</v>
      </c>
      <c r="X1343" t="n">
        <v>54.94505494505494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11691</v>
      </c>
      <c r="AG1343" t="n">
        <v>63</v>
      </c>
      <c r="AH1343" t="inlineStr">
        <is>
          <t>PT. PARAMA GLOBAL INSPIRA - PPN (PDG)</t>
        </is>
      </c>
      <c r="AI1343" t="n">
        <v>63</v>
      </c>
      <c r="AJ1343" t="inlineStr">
        <is>
          <t>EMINA</t>
        </is>
      </c>
      <c r="AK1343" t="n">
        <v>21</v>
      </c>
      <c r="AL1343" t="inlineStr">
        <is>
          <t>Miss Glam Damar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EMINA</t>
        </is>
      </c>
      <c r="B1344" s="2">
        <f>"10600213643"</f>
        <v/>
      </c>
      <c r="C1344" t="inlineStr">
        <is>
          <t>EMINA Ms. Pimple S.O.S Acne Patch InvisiClear 12pcs</t>
        </is>
      </c>
      <c r="D1344" t="inlineStr">
        <is>
          <t>Miss Glam Damar</t>
        </is>
      </c>
      <c r="E1344" t="n">
        <v>6</v>
      </c>
      <c r="F1344" t="n">
        <v>0.0728</v>
      </c>
      <c r="G1344" t="n">
        <v>1.82</v>
      </c>
      <c r="H1344" t="n">
        <v>2</v>
      </c>
      <c r="I1344" t="n">
        <v>6</v>
      </c>
      <c r="J1344" t="n">
        <v>1</v>
      </c>
      <c r="K1344" t="n">
        <v>0</v>
      </c>
      <c r="L1344" t="n">
        <v>20690</v>
      </c>
      <c r="M1344" t="n">
        <v>25500</v>
      </c>
      <c r="N1344" t="n">
        <v>91</v>
      </c>
      <c r="O1344" t="n">
        <v>0.91</v>
      </c>
      <c r="P1344" t="n">
        <v>1</v>
      </c>
      <c r="Q1344" t="n">
        <v>0.12</v>
      </c>
      <c r="R1344" t="n">
        <v>2</v>
      </c>
      <c r="S1344" t="n">
        <v>1856.4</v>
      </c>
      <c r="T1344" t="n">
        <v>11</v>
      </c>
      <c r="U1344" t="n">
        <v>12</v>
      </c>
      <c r="V1344" t="n">
        <v>30</v>
      </c>
      <c r="W1344" t="n">
        <v>3</v>
      </c>
      <c r="X1344" t="n">
        <v>82.41758241758241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11691</v>
      </c>
      <c r="AG1344" t="n">
        <v>63</v>
      </c>
      <c r="AH1344" t="inlineStr">
        <is>
          <t>PT. PARAMA GLOBAL INSPIRA - PPN (PDG)</t>
        </is>
      </c>
      <c r="AI1344" t="n">
        <v>63</v>
      </c>
      <c r="AJ1344" t="inlineStr">
        <is>
          <t>EMINA</t>
        </is>
      </c>
      <c r="AK1344" t="n">
        <v>21</v>
      </c>
      <c r="AL1344" t="inlineStr">
        <is>
          <t>Miss Glam Damar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EMINA</t>
        </is>
      </c>
      <c r="B1345" s="2">
        <f>"10600213705"</f>
        <v/>
      </c>
      <c r="C1345" t="inlineStr">
        <is>
          <t>EMINA Ms. Pimple S.O.S Patch Party 15pcs</t>
        </is>
      </c>
      <c r="D1345" t="inlineStr">
        <is>
          <t>Miss Glam Damar</t>
        </is>
      </c>
      <c r="E1345" t="n">
        <v>4</v>
      </c>
      <c r="F1345" t="n">
        <v>0.19</v>
      </c>
      <c r="G1345" t="n">
        <v>1</v>
      </c>
      <c r="H1345" t="n">
        <v>2</v>
      </c>
      <c r="I1345" t="n">
        <v>6</v>
      </c>
      <c r="J1345" t="n">
        <v>1</v>
      </c>
      <c r="K1345" t="n">
        <v>0</v>
      </c>
      <c r="L1345" t="n">
        <v>20690</v>
      </c>
      <c r="M1345" t="n">
        <v>25500</v>
      </c>
      <c r="N1345" t="n">
        <v>91</v>
      </c>
      <c r="O1345" t="n">
        <v>0.91</v>
      </c>
      <c r="P1345" t="n">
        <v>0</v>
      </c>
      <c r="Q1345" t="n">
        <v>0.19</v>
      </c>
      <c r="R1345" t="n">
        <v>1</v>
      </c>
      <c r="S1345" t="n">
        <v>4845</v>
      </c>
      <c r="T1345" t="n">
        <v>6</v>
      </c>
      <c r="U1345" t="n">
        <v>7</v>
      </c>
      <c r="V1345" t="n">
        <v>30</v>
      </c>
      <c r="W1345" t="n">
        <v>6</v>
      </c>
      <c r="X1345" t="n">
        <v>21.05263157894737</v>
      </c>
      <c r="Y1345" t="n">
        <v>1</v>
      </c>
      <c r="Z1345" t="n">
        <v>2</v>
      </c>
      <c r="AA1345" t="n">
        <v>0</v>
      </c>
      <c r="AB1345" t="n">
        <v>2</v>
      </c>
      <c r="AC1345" t="n">
        <v>2</v>
      </c>
      <c r="AD1345" t="n">
        <v>0</v>
      </c>
      <c r="AE1345" t="n">
        <v>41380</v>
      </c>
      <c r="AF1345" t="n">
        <v>11691</v>
      </c>
      <c r="AG1345" t="n">
        <v>63</v>
      </c>
      <c r="AH1345" t="inlineStr">
        <is>
          <t>PT. PARAMA GLOBAL INSPIRA - PPN (PDG)</t>
        </is>
      </c>
      <c r="AI1345" t="n">
        <v>63</v>
      </c>
      <c r="AJ1345" t="inlineStr">
        <is>
          <t>EMINA</t>
        </is>
      </c>
      <c r="AK1345" t="n">
        <v>21</v>
      </c>
      <c r="AL1345" t="inlineStr">
        <is>
          <t>Miss Glam Damar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EMINA</t>
        </is>
      </c>
      <c r="B1346" s="2">
        <f>"8993137716475"</f>
        <v/>
      </c>
      <c r="C1346" t="inlineStr">
        <is>
          <t>EMINA Ms.Pimple Acne Solution Exfoliating Toner 100ml</t>
        </is>
      </c>
      <c r="D1346" t="inlineStr">
        <is>
          <t>Miss Glam Damar</t>
        </is>
      </c>
      <c r="E1346" t="n">
        <v>3</v>
      </c>
      <c r="F1346" t="n">
        <v>0.0182</v>
      </c>
      <c r="G1346" t="n">
        <v>0.91</v>
      </c>
      <c r="H1346" t="n">
        <v>2</v>
      </c>
      <c r="I1346" t="n">
        <v>6</v>
      </c>
      <c r="J1346" t="n">
        <v>3</v>
      </c>
      <c r="K1346" t="n">
        <v>0</v>
      </c>
      <c r="L1346" t="n">
        <v>31226</v>
      </c>
      <c r="M1346" t="n">
        <v>37500</v>
      </c>
      <c r="N1346" t="n">
        <v>91</v>
      </c>
      <c r="O1346" t="n">
        <v>0.91</v>
      </c>
      <c r="P1346" t="n">
        <v>1</v>
      </c>
      <c r="Q1346" t="n">
        <v>0.02</v>
      </c>
      <c r="R1346" t="n">
        <v>1</v>
      </c>
      <c r="S1346" t="n">
        <v>682.5</v>
      </c>
      <c r="T1346" t="n">
        <v>6</v>
      </c>
      <c r="U1346" t="n">
        <v>7</v>
      </c>
      <c r="V1346" t="n">
        <v>30</v>
      </c>
      <c r="W1346" t="n">
        <v>1</v>
      </c>
      <c r="X1346" t="n">
        <v>164.8351648351648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11691</v>
      </c>
      <c r="AG1346" t="n">
        <v>63</v>
      </c>
      <c r="AH1346" t="inlineStr">
        <is>
          <t>PT. PARAMA GLOBAL INSPIRA - PPN (PDG)</t>
        </is>
      </c>
      <c r="AI1346" t="n">
        <v>63</v>
      </c>
      <c r="AJ1346" t="inlineStr">
        <is>
          <t>EMINA</t>
        </is>
      </c>
      <c r="AK1346" t="n">
        <v>21</v>
      </c>
      <c r="AL1346" t="inlineStr">
        <is>
          <t>Miss Glam Damar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EMINA</t>
        </is>
      </c>
      <c r="B1347" s="2">
        <f>"101001115027"</f>
        <v/>
      </c>
      <c r="C1347" t="inlineStr">
        <is>
          <t>EMINA Oat Amino Barrier Low pH Cleanser 70 ml</t>
        </is>
      </c>
      <c r="D1347" t="inlineStr">
        <is>
          <t>Miss Glam Damar</t>
        </is>
      </c>
      <c r="E1347" t="n">
        <v>6</v>
      </c>
      <c r="F1347" t="n">
        <v>0.1001</v>
      </c>
      <c r="G1347" t="n">
        <v>0.91</v>
      </c>
      <c r="H1347" t="n">
        <v>2</v>
      </c>
      <c r="I1347" t="n">
        <v>6</v>
      </c>
      <c r="J1347" t="n">
        <v>1</v>
      </c>
      <c r="K1347" t="n">
        <v>0</v>
      </c>
      <c r="L1347" t="n">
        <v>26054</v>
      </c>
      <c r="M1347" t="n">
        <v>32000</v>
      </c>
      <c r="N1347" t="n">
        <v>91</v>
      </c>
      <c r="O1347" t="n">
        <v>0.91</v>
      </c>
      <c r="P1347" t="n">
        <v>1</v>
      </c>
      <c r="Q1347" t="n">
        <v>0.14</v>
      </c>
      <c r="R1347" t="n">
        <v>1</v>
      </c>
      <c r="S1347" t="n">
        <v>3203.2</v>
      </c>
      <c r="T1347" t="n">
        <v>6</v>
      </c>
      <c r="U1347" t="n">
        <v>7</v>
      </c>
      <c r="V1347" t="n">
        <v>30</v>
      </c>
      <c r="W1347" t="n">
        <v>4</v>
      </c>
      <c r="X1347" t="n">
        <v>59.94005994005993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11691</v>
      </c>
      <c r="AG1347" t="n">
        <v>63</v>
      </c>
      <c r="AH1347" t="inlineStr">
        <is>
          <t>PT. PARAMA GLOBAL INSPIRA - PPN (PDG)</t>
        </is>
      </c>
      <c r="AI1347" t="n">
        <v>63</v>
      </c>
      <c r="AJ1347" t="inlineStr">
        <is>
          <t>EMINA</t>
        </is>
      </c>
      <c r="AK1347" t="n">
        <v>21</v>
      </c>
      <c r="AL1347" t="inlineStr">
        <is>
          <t>Miss Glam Damar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EMINA</t>
        </is>
      </c>
      <c r="B1348" s="2">
        <f>"101001115101"</f>
        <v/>
      </c>
      <c r="C1348" t="inlineStr">
        <is>
          <t>EMINA Oat MadeCica Acne Calm Low pH Cleanser 70 ml</t>
        </is>
      </c>
      <c r="D1348" t="inlineStr">
        <is>
          <t>Miss Glam Damar</t>
        </is>
      </c>
      <c r="E1348" t="n">
        <v>4</v>
      </c>
      <c r="F1348" t="n">
        <v>0.0728</v>
      </c>
      <c r="G1348" t="n">
        <v>0.91</v>
      </c>
      <c r="H1348" t="n">
        <v>2</v>
      </c>
      <c r="I1348" t="n">
        <v>6</v>
      </c>
      <c r="J1348" t="n">
        <v>1</v>
      </c>
      <c r="K1348" t="n">
        <v>0</v>
      </c>
      <c r="L1348" t="n">
        <v>26054</v>
      </c>
      <c r="M1348" t="n">
        <v>32000</v>
      </c>
      <c r="N1348" t="n">
        <v>91</v>
      </c>
      <c r="O1348" t="n">
        <v>0.91</v>
      </c>
      <c r="P1348" t="n">
        <v>1</v>
      </c>
      <c r="Q1348" t="n">
        <v>0.07000000000000001</v>
      </c>
      <c r="R1348" t="n">
        <v>2</v>
      </c>
      <c r="S1348" t="n">
        <v>2329.6</v>
      </c>
      <c r="T1348" t="n">
        <v>6</v>
      </c>
      <c r="U1348" t="n">
        <v>7</v>
      </c>
      <c r="V1348" t="n">
        <v>30</v>
      </c>
      <c r="W1348" t="n">
        <v>3</v>
      </c>
      <c r="X1348" t="n">
        <v>54.94505494505494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11691</v>
      </c>
      <c r="AG1348" t="n">
        <v>63</v>
      </c>
      <c r="AH1348" t="inlineStr">
        <is>
          <t>PT. PARAMA GLOBAL INSPIRA - PPN (PDG)</t>
        </is>
      </c>
      <c r="AI1348" t="n">
        <v>63</v>
      </c>
      <c r="AJ1348" t="inlineStr">
        <is>
          <t>EMINA</t>
        </is>
      </c>
      <c r="AK1348" t="n">
        <v>21</v>
      </c>
      <c r="AL1348" t="inlineStr">
        <is>
          <t>Miss Glam Damar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EMINA</t>
        </is>
      </c>
      <c r="B1349" s="2">
        <f>"8993137702836"</f>
        <v/>
      </c>
      <c r="C1349" t="inlineStr">
        <is>
          <t>EMINA Oh So Kissable Tinted Balm Stick Pink Bonbons 3.4gr</t>
        </is>
      </c>
      <c r="D1349" t="inlineStr">
        <is>
          <t>Miss Glam Damar</t>
        </is>
      </c>
      <c r="E1349" t="n">
        <v>19</v>
      </c>
      <c r="F1349" t="n">
        <v>0.8918</v>
      </c>
      <c r="G1349" t="n">
        <v>6.37</v>
      </c>
      <c r="H1349" t="n">
        <v>2</v>
      </c>
      <c r="I1349" t="n">
        <v>6</v>
      </c>
      <c r="J1349" t="n">
        <v>3</v>
      </c>
      <c r="K1349" t="n">
        <v>0</v>
      </c>
      <c r="L1349" t="n">
        <v>23371</v>
      </c>
      <c r="M1349" t="n">
        <v>29000</v>
      </c>
      <c r="N1349" t="n">
        <v>91</v>
      </c>
      <c r="O1349" t="n">
        <v>0.91</v>
      </c>
      <c r="P1349" t="n">
        <v>1</v>
      </c>
      <c r="Q1349" t="n">
        <v>0.61</v>
      </c>
      <c r="R1349" t="n">
        <v>3</v>
      </c>
      <c r="S1349" t="n">
        <v>25862.2</v>
      </c>
      <c r="T1349" t="n">
        <v>37</v>
      </c>
      <c r="U1349" t="n">
        <v>39</v>
      </c>
      <c r="V1349" t="n">
        <v>30</v>
      </c>
      <c r="W1349" t="n">
        <v>27</v>
      </c>
      <c r="X1349" t="n">
        <v>21.30522538685804</v>
      </c>
      <c r="Y1349" t="n">
        <v>1</v>
      </c>
      <c r="Z1349" t="n">
        <v>8</v>
      </c>
      <c r="AA1349" t="n">
        <v>0</v>
      </c>
      <c r="AB1349" t="n">
        <v>8</v>
      </c>
      <c r="AC1349" t="n">
        <v>8</v>
      </c>
      <c r="AD1349" t="n">
        <v>0</v>
      </c>
      <c r="AE1349" t="n">
        <v>186968</v>
      </c>
      <c r="AF1349" t="n">
        <v>11691</v>
      </c>
      <c r="AG1349" t="n">
        <v>63</v>
      </c>
      <c r="AH1349" t="inlineStr">
        <is>
          <t>PT. PARAMA GLOBAL INSPIRA - PPN (PDG)</t>
        </is>
      </c>
      <c r="AI1349" t="n">
        <v>63</v>
      </c>
      <c r="AJ1349" t="inlineStr">
        <is>
          <t>EMINA</t>
        </is>
      </c>
      <c r="AK1349" t="n">
        <v>21</v>
      </c>
      <c r="AL1349" t="inlineStr">
        <is>
          <t>Miss Glam Damar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EMINA</t>
        </is>
      </c>
      <c r="B1350" s="2">
        <f>"8993137702843"</f>
        <v/>
      </c>
      <c r="C1350" t="inlineStr">
        <is>
          <t>EMINA Oh So Kissable Tinted Balm Stick Plum Candy 3.4gr</t>
        </is>
      </c>
      <c r="D1350" t="inlineStr">
        <is>
          <t>Miss Glam Damar</t>
        </is>
      </c>
      <c r="E1350" t="n">
        <v>7</v>
      </c>
      <c r="F1350" t="n">
        <v>0.3367</v>
      </c>
      <c r="G1350" t="n">
        <v>1.82</v>
      </c>
      <c r="H1350" t="n">
        <v>2</v>
      </c>
      <c r="I1350" t="n">
        <v>6</v>
      </c>
      <c r="J1350" t="n">
        <v>3</v>
      </c>
      <c r="K1350" t="n">
        <v>0</v>
      </c>
      <c r="L1350" t="n">
        <v>23369</v>
      </c>
      <c r="M1350" t="n">
        <v>28500</v>
      </c>
      <c r="N1350" t="n">
        <v>91</v>
      </c>
      <c r="O1350" t="n">
        <v>0.91</v>
      </c>
      <c r="P1350" t="n">
        <v>1</v>
      </c>
      <c r="Q1350" t="n">
        <v>0.31</v>
      </c>
      <c r="R1350" t="n">
        <v>2</v>
      </c>
      <c r="S1350" t="n">
        <v>9595.950000000001</v>
      </c>
      <c r="T1350" t="n">
        <v>11</v>
      </c>
      <c r="U1350" t="n">
        <v>12</v>
      </c>
      <c r="V1350" t="n">
        <v>30</v>
      </c>
      <c r="W1350" t="n">
        <v>11</v>
      </c>
      <c r="X1350" t="n">
        <v>20.79002079002079</v>
      </c>
      <c r="Y1350" t="n">
        <v>1</v>
      </c>
      <c r="Z1350" t="n">
        <v>4</v>
      </c>
      <c r="AA1350" t="n">
        <v>0</v>
      </c>
      <c r="AB1350" t="n">
        <v>4</v>
      </c>
      <c r="AC1350" t="n">
        <v>4</v>
      </c>
      <c r="AD1350" t="n">
        <v>0</v>
      </c>
      <c r="AE1350" t="n">
        <v>93476</v>
      </c>
      <c r="AF1350" t="n">
        <v>11691</v>
      </c>
      <c r="AG1350" t="n">
        <v>63</v>
      </c>
      <c r="AH1350" t="inlineStr">
        <is>
          <t>PT. PARAMA GLOBAL INSPIRA - PPN (PDG)</t>
        </is>
      </c>
      <c r="AI1350" t="n">
        <v>63</v>
      </c>
      <c r="AJ1350" t="inlineStr">
        <is>
          <t>EMINA</t>
        </is>
      </c>
      <c r="AK1350" t="n">
        <v>21</v>
      </c>
      <c r="AL1350" t="inlineStr">
        <is>
          <t>Miss Glam Damar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EMINA</t>
        </is>
      </c>
      <c r="B1351" s="2">
        <f>"8993137696395"</f>
        <v/>
      </c>
      <c r="C1351" t="inlineStr">
        <is>
          <t>EMINA Pop Rouge Pressed Eye Shadow Posh 3.3gr</t>
        </is>
      </c>
      <c r="D1351" t="inlineStr">
        <is>
          <t>Miss Glam Damar</t>
        </is>
      </c>
      <c r="E1351" t="n">
        <v>0</v>
      </c>
      <c r="F1351" t="n">
        <v>0.02</v>
      </c>
      <c r="G1351" t="n">
        <v>1</v>
      </c>
      <c r="H1351" t="n">
        <v>2</v>
      </c>
      <c r="I1351" t="n">
        <v>6</v>
      </c>
      <c r="J1351" t="n">
        <v>3</v>
      </c>
      <c r="K1351" t="n">
        <v>0</v>
      </c>
      <c r="L1351" t="n">
        <v>34866</v>
      </c>
      <c r="M1351" t="n">
        <v>43000</v>
      </c>
      <c r="N1351" t="n">
        <v>91</v>
      </c>
      <c r="O1351" t="n">
        <v>0.91</v>
      </c>
      <c r="P1351" t="n">
        <v>0</v>
      </c>
      <c r="Q1351" t="n">
        <v>0.02</v>
      </c>
      <c r="R1351" t="n">
        <v>1</v>
      </c>
      <c r="S1351" t="n">
        <v>860</v>
      </c>
      <c r="T1351" t="n">
        <v>6</v>
      </c>
      <c r="U1351" t="n">
        <v>7</v>
      </c>
      <c r="V1351" t="n">
        <v>30</v>
      </c>
      <c r="W1351" t="n">
        <v>1</v>
      </c>
      <c r="X1351" t="n">
        <v>0</v>
      </c>
      <c r="Y1351" t="n">
        <v>1</v>
      </c>
      <c r="Z1351" t="n">
        <v>1</v>
      </c>
      <c r="AA1351" t="n">
        <v>1</v>
      </c>
      <c r="AB1351" t="n">
        <v>0</v>
      </c>
      <c r="AC1351" t="n">
        <v>0</v>
      </c>
      <c r="AD1351" t="n">
        <v>34866</v>
      </c>
      <c r="AE1351" t="n">
        <v>0</v>
      </c>
      <c r="AF1351" t="n">
        <v>11691</v>
      </c>
      <c r="AG1351" t="n">
        <v>63</v>
      </c>
      <c r="AH1351" t="inlineStr">
        <is>
          <t>PT. PARAMA GLOBAL INSPIRA - PPN (PDG)</t>
        </is>
      </c>
      <c r="AI1351" t="n">
        <v>63</v>
      </c>
      <c r="AJ1351" t="inlineStr">
        <is>
          <t>EMINA</t>
        </is>
      </c>
      <c r="AK1351" t="n">
        <v>21</v>
      </c>
      <c r="AL1351" t="inlineStr">
        <is>
          <t>Miss Glam Damar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EMINA</t>
        </is>
      </c>
      <c r="B1352" s="2">
        <f>"20100706352"</f>
        <v/>
      </c>
      <c r="C1352" t="inlineStr">
        <is>
          <t>EMINA Pore Ranger Blur Hydraglow Primer 20ml</t>
        </is>
      </c>
      <c r="D1352" t="inlineStr">
        <is>
          <t>Miss Glam Damar</t>
        </is>
      </c>
      <c r="E1352" t="n">
        <v>4</v>
      </c>
      <c r="F1352" t="n">
        <v>0.0728</v>
      </c>
      <c r="G1352" t="n">
        <v>0.91</v>
      </c>
      <c r="H1352" t="n">
        <v>2</v>
      </c>
      <c r="I1352" t="n">
        <v>6</v>
      </c>
      <c r="J1352" t="n">
        <v>3</v>
      </c>
      <c r="K1352" t="n">
        <v>0</v>
      </c>
      <c r="L1352" t="n">
        <v>51451</v>
      </c>
      <c r="M1352" t="n">
        <v>61000</v>
      </c>
      <c r="N1352" t="n">
        <v>91</v>
      </c>
      <c r="O1352" t="n">
        <v>0.91</v>
      </c>
      <c r="P1352" t="n">
        <v>1</v>
      </c>
      <c r="Q1352" t="n">
        <v>0.03</v>
      </c>
      <c r="R1352" t="n">
        <v>1</v>
      </c>
      <c r="S1352" t="n">
        <v>4440.8</v>
      </c>
      <c r="T1352" t="n">
        <v>6</v>
      </c>
      <c r="U1352" t="n">
        <v>7</v>
      </c>
      <c r="V1352" t="n">
        <v>30</v>
      </c>
      <c r="W1352" t="n">
        <v>3</v>
      </c>
      <c r="X1352" t="n">
        <v>54.94505494505494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11691</v>
      </c>
      <c r="AG1352" t="n">
        <v>63</v>
      </c>
      <c r="AH1352" t="inlineStr">
        <is>
          <t>PT. PARAMA GLOBAL INSPIRA - PPN (PDG)</t>
        </is>
      </c>
      <c r="AI1352" t="n">
        <v>63</v>
      </c>
      <c r="AJ1352" t="inlineStr">
        <is>
          <t>EMINA</t>
        </is>
      </c>
      <c r="AK1352" t="n">
        <v>21</v>
      </c>
      <c r="AL1352" t="inlineStr">
        <is>
          <t>Miss Glam Damar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EMINA</t>
        </is>
      </c>
      <c r="B1353" s="2">
        <f>"8993137698542"</f>
        <v/>
      </c>
      <c r="C1353" t="inlineStr">
        <is>
          <t>EMINA Pore Ranger Poreless Matte Primer 20ml</t>
        </is>
      </c>
      <c r="D1353" t="inlineStr">
        <is>
          <t>Miss Glam Damar</t>
        </is>
      </c>
      <c r="E1353" t="n">
        <v>9</v>
      </c>
      <c r="F1353" t="n">
        <v>0.2184</v>
      </c>
      <c r="G1353" t="n">
        <v>1.82</v>
      </c>
      <c r="H1353" t="n">
        <v>2</v>
      </c>
      <c r="I1353" t="n">
        <v>6</v>
      </c>
      <c r="J1353" t="n">
        <v>3</v>
      </c>
      <c r="K1353" t="n">
        <v>0</v>
      </c>
      <c r="L1353" t="n">
        <v>52106</v>
      </c>
      <c r="M1353" t="n">
        <v>63500</v>
      </c>
      <c r="N1353" t="n">
        <v>91</v>
      </c>
      <c r="O1353" t="n">
        <v>0.91</v>
      </c>
      <c r="P1353" t="n">
        <v>1</v>
      </c>
      <c r="Q1353" t="n">
        <v>0.22</v>
      </c>
      <c r="R1353" t="n">
        <v>1</v>
      </c>
      <c r="S1353" t="n">
        <v>13868.4</v>
      </c>
      <c r="T1353" t="n">
        <v>11</v>
      </c>
      <c r="U1353" t="n">
        <v>12</v>
      </c>
      <c r="V1353" t="n">
        <v>30</v>
      </c>
      <c r="W1353" t="n">
        <v>7</v>
      </c>
      <c r="X1353" t="n">
        <v>41.2087912087912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11691</v>
      </c>
      <c r="AG1353" t="n">
        <v>63</v>
      </c>
      <c r="AH1353" t="inlineStr">
        <is>
          <t>PT. PARAMA GLOBAL INSPIRA - PPN (PDG)</t>
        </is>
      </c>
      <c r="AI1353" t="n">
        <v>63</v>
      </c>
      <c r="AJ1353" t="inlineStr">
        <is>
          <t>EMINA</t>
        </is>
      </c>
      <c r="AK1353" t="n">
        <v>21</v>
      </c>
      <c r="AL1353" t="inlineStr">
        <is>
          <t>Miss Glam Damar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EMINA</t>
        </is>
      </c>
      <c r="B1354" s="2">
        <f>"10300515438"</f>
        <v/>
      </c>
      <c r="C1354" t="inlineStr">
        <is>
          <t>EMINA Retinart Water Gel 30gr</t>
        </is>
      </c>
      <c r="D1354" t="inlineStr">
        <is>
          <t>Miss Glam Damar</t>
        </is>
      </c>
      <c r="E1354" t="n">
        <v>2</v>
      </c>
      <c r="F1354" t="n">
        <v>0.09100000000000001</v>
      </c>
      <c r="G1354" t="n">
        <v>1.82</v>
      </c>
      <c r="H1354" t="n">
        <v>2</v>
      </c>
      <c r="I1354" t="n">
        <v>6</v>
      </c>
      <c r="J1354" t="n">
        <v>1</v>
      </c>
      <c r="K1354" t="n">
        <v>0</v>
      </c>
      <c r="L1354" t="n">
        <v>32184</v>
      </c>
      <c r="M1354" t="n">
        <v>39500</v>
      </c>
      <c r="N1354" t="n">
        <v>91</v>
      </c>
      <c r="O1354" t="n">
        <v>0.91</v>
      </c>
      <c r="P1354" t="n">
        <v>1</v>
      </c>
      <c r="Q1354" t="n">
        <v>0.17</v>
      </c>
      <c r="R1354" t="n">
        <v>2</v>
      </c>
      <c r="S1354" t="n">
        <v>3594.5</v>
      </c>
      <c r="T1354" t="n">
        <v>11</v>
      </c>
      <c r="U1354" t="n">
        <v>12</v>
      </c>
      <c r="V1354" t="n">
        <v>30</v>
      </c>
      <c r="W1354" t="n">
        <v>3</v>
      </c>
      <c r="X1354" t="n">
        <v>21.97802197802197</v>
      </c>
      <c r="Y1354" t="n">
        <v>1</v>
      </c>
      <c r="Z1354" t="n">
        <v>1</v>
      </c>
      <c r="AA1354" t="n">
        <v>0</v>
      </c>
      <c r="AB1354" t="n">
        <v>1</v>
      </c>
      <c r="AC1354" t="n">
        <v>1</v>
      </c>
      <c r="AD1354" t="n">
        <v>0</v>
      </c>
      <c r="AE1354" t="n">
        <v>32184</v>
      </c>
      <c r="AF1354" t="n">
        <v>11691</v>
      </c>
      <c r="AG1354" t="n">
        <v>63</v>
      </c>
      <c r="AH1354" t="inlineStr">
        <is>
          <t>PT. PARAMA GLOBAL INSPIRA - PPN (PDG)</t>
        </is>
      </c>
      <c r="AI1354" t="n">
        <v>63</v>
      </c>
      <c r="AJ1354" t="inlineStr">
        <is>
          <t>EMINA</t>
        </is>
      </c>
      <c r="AK1354" t="n">
        <v>21</v>
      </c>
      <c r="AL1354" t="inlineStr">
        <is>
          <t>Miss Glam Damar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EMINA</t>
        </is>
      </c>
      <c r="B1355" s="2">
        <f>"8993137702034"</f>
        <v/>
      </c>
      <c r="C1355" t="inlineStr">
        <is>
          <t>EMINA Sebum Fighter Loose Powder 8gr</t>
        </is>
      </c>
      <c r="D1355" t="inlineStr">
        <is>
          <t>Miss Glam Damar</t>
        </is>
      </c>
      <c r="E1355" t="n">
        <v>6</v>
      </c>
      <c r="F1355" t="n">
        <v>0.06370000000000001</v>
      </c>
      <c r="G1355" t="n">
        <v>0.91</v>
      </c>
      <c r="H1355" t="n">
        <v>2</v>
      </c>
      <c r="I1355" t="n">
        <v>6</v>
      </c>
      <c r="J1355" t="n">
        <v>3</v>
      </c>
      <c r="K1355" t="n">
        <v>0</v>
      </c>
      <c r="L1355" t="n">
        <v>49043</v>
      </c>
      <c r="M1355" t="n">
        <v>59500</v>
      </c>
      <c r="N1355" t="n">
        <v>91</v>
      </c>
      <c r="O1355" t="n">
        <v>0.91</v>
      </c>
      <c r="P1355" t="n">
        <v>1</v>
      </c>
      <c r="Q1355" t="n">
        <v>0.07000000000000001</v>
      </c>
      <c r="R1355" t="n">
        <v>1</v>
      </c>
      <c r="S1355" t="n">
        <v>3790.150000000001</v>
      </c>
      <c r="T1355" t="n">
        <v>6</v>
      </c>
      <c r="U1355" t="n">
        <v>7</v>
      </c>
      <c r="V1355" t="n">
        <v>30</v>
      </c>
      <c r="W1355" t="n">
        <v>2</v>
      </c>
      <c r="X1355" t="n">
        <v>94.19152276295132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11691</v>
      </c>
      <c r="AG1355" t="n">
        <v>63</v>
      </c>
      <c r="AH1355" t="inlineStr">
        <is>
          <t>PT. PARAMA GLOBAL INSPIRA - PPN (PDG)</t>
        </is>
      </c>
      <c r="AI1355" t="n">
        <v>63</v>
      </c>
      <c r="AJ1355" t="inlineStr">
        <is>
          <t>EMINA</t>
        </is>
      </c>
      <c r="AK1355" t="n">
        <v>21</v>
      </c>
      <c r="AL1355" t="inlineStr">
        <is>
          <t>Miss Glam Damar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EMINA</t>
        </is>
      </c>
      <c r="B1356" s="2">
        <f>"8993137693165"</f>
        <v/>
      </c>
      <c r="C1356" t="inlineStr">
        <is>
          <t>EMINA Sugar Rush Lip Scrub 4.2gr</t>
        </is>
      </c>
      <c r="D1356" t="inlineStr">
        <is>
          <t>Miss Glam Damar</t>
        </is>
      </c>
      <c r="E1356" t="n">
        <v>7</v>
      </c>
      <c r="F1356" t="n">
        <v>0.3731</v>
      </c>
      <c r="G1356" t="n">
        <v>1.82</v>
      </c>
      <c r="H1356" t="n">
        <v>2</v>
      </c>
      <c r="I1356" t="n">
        <v>6</v>
      </c>
      <c r="J1356" t="n">
        <v>3</v>
      </c>
      <c r="K1356" t="n">
        <v>0</v>
      </c>
      <c r="L1356" t="n">
        <v>33634</v>
      </c>
      <c r="M1356" t="n">
        <v>41000</v>
      </c>
      <c r="N1356" t="n">
        <v>91</v>
      </c>
      <c r="O1356" t="n">
        <v>0.91</v>
      </c>
      <c r="P1356" t="n">
        <v>1</v>
      </c>
      <c r="Q1356" t="n">
        <v>0.27</v>
      </c>
      <c r="R1356" t="n">
        <v>2</v>
      </c>
      <c r="S1356" t="n">
        <v>15297.1</v>
      </c>
      <c r="T1356" t="n">
        <v>11</v>
      </c>
      <c r="U1356" t="n">
        <v>12</v>
      </c>
      <c r="V1356" t="n">
        <v>30</v>
      </c>
      <c r="W1356" t="n">
        <v>12</v>
      </c>
      <c r="X1356" t="n">
        <v>18.76172607879925</v>
      </c>
      <c r="Y1356" t="n">
        <v>1</v>
      </c>
      <c r="Z1356" t="n">
        <v>5</v>
      </c>
      <c r="AA1356" t="n">
        <v>0</v>
      </c>
      <c r="AB1356" t="n">
        <v>5</v>
      </c>
      <c r="AC1356" t="n">
        <v>5</v>
      </c>
      <c r="AD1356" t="n">
        <v>0</v>
      </c>
      <c r="AE1356" t="n">
        <v>168170</v>
      </c>
      <c r="AF1356" t="n">
        <v>11691</v>
      </c>
      <c r="AG1356" t="n">
        <v>63</v>
      </c>
      <c r="AH1356" t="inlineStr">
        <is>
          <t>PT. PARAMA GLOBAL INSPIRA - PPN (PDG)</t>
        </is>
      </c>
      <c r="AI1356" t="n">
        <v>63</v>
      </c>
      <c r="AJ1356" t="inlineStr">
        <is>
          <t>EMINA</t>
        </is>
      </c>
      <c r="AK1356" t="n">
        <v>21</v>
      </c>
      <c r="AL1356" t="inlineStr">
        <is>
          <t>Miss Glam Damar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EMINA</t>
        </is>
      </c>
      <c r="B1357" s="2">
        <f>"8993137728638"</f>
        <v/>
      </c>
      <c r="C1357" t="inlineStr">
        <is>
          <t>EMINA Sun Battle Bright Glow Honestly Comfy Brighten &amp; Repair Barrier  Protection SPF 35 PA+ 20ml</t>
        </is>
      </c>
      <c r="D1357" t="inlineStr">
        <is>
          <t>Miss Glam Damar</t>
        </is>
      </c>
      <c r="E1357" t="n">
        <v>16</v>
      </c>
      <c r="F1357" t="n">
        <v>1.1375</v>
      </c>
      <c r="G1357" t="n">
        <v>4.55</v>
      </c>
      <c r="H1357" t="n">
        <v>2</v>
      </c>
      <c r="I1357" t="n">
        <v>6</v>
      </c>
      <c r="J1357" t="n">
        <v>3</v>
      </c>
      <c r="K1357" t="n">
        <v>0</v>
      </c>
      <c r="L1357" t="n">
        <v>14176</v>
      </c>
      <c r="M1357" t="n">
        <v>17500</v>
      </c>
      <c r="N1357" t="n">
        <v>91</v>
      </c>
      <c r="O1357" t="n">
        <v>0.91</v>
      </c>
      <c r="P1357" t="n">
        <v>1</v>
      </c>
      <c r="Q1357" t="n">
        <v>0.95</v>
      </c>
      <c r="R1357" t="n">
        <v>4</v>
      </c>
      <c r="S1357" t="n">
        <v>19906.25</v>
      </c>
      <c r="T1357" t="n">
        <v>26</v>
      </c>
      <c r="U1357" t="n">
        <v>29</v>
      </c>
      <c r="V1357" t="n">
        <v>30</v>
      </c>
      <c r="W1357" t="n">
        <v>35</v>
      </c>
      <c r="X1357" t="n">
        <v>14.06593406593407</v>
      </c>
      <c r="Y1357" t="n">
        <v>1</v>
      </c>
      <c r="Z1357" t="n">
        <v>19</v>
      </c>
      <c r="AA1357" t="n">
        <v>0</v>
      </c>
      <c r="AB1357" t="n">
        <v>19</v>
      </c>
      <c r="AC1357" t="n">
        <v>19</v>
      </c>
      <c r="AD1357" t="n">
        <v>0</v>
      </c>
      <c r="AE1357" t="n">
        <v>269344</v>
      </c>
      <c r="AF1357" t="n">
        <v>11691</v>
      </c>
      <c r="AG1357" t="n">
        <v>63</v>
      </c>
      <c r="AH1357" t="inlineStr">
        <is>
          <t>PT. PARAMA GLOBAL INSPIRA - PPN (PDG)</t>
        </is>
      </c>
      <c r="AI1357" t="n">
        <v>63</v>
      </c>
      <c r="AJ1357" t="inlineStr">
        <is>
          <t>EMINA</t>
        </is>
      </c>
      <c r="AK1357" t="n">
        <v>21</v>
      </c>
      <c r="AL1357" t="inlineStr">
        <is>
          <t>Miss Glam Damar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EMINA</t>
        </is>
      </c>
      <c r="B1358" s="2">
        <f>"8993137692762"</f>
        <v/>
      </c>
      <c r="C1358" t="inlineStr">
        <is>
          <t>EMINA Sun Battle Bright Glow Honestly Comfy Brighten &amp; Repair Barrier  Protection SPF 35 PA+ 50ml</t>
        </is>
      </c>
      <c r="D1358" t="inlineStr">
        <is>
          <t>Miss Glam Damar</t>
        </is>
      </c>
      <c r="E1358" t="n">
        <v>84</v>
      </c>
      <c r="F1358" t="n">
        <v>6.5884</v>
      </c>
      <c r="G1358" t="n">
        <v>20.93</v>
      </c>
      <c r="H1358" t="n">
        <v>2</v>
      </c>
      <c r="I1358" t="n">
        <v>6</v>
      </c>
      <c r="J1358" t="n">
        <v>3</v>
      </c>
      <c r="K1358" t="n">
        <v>0</v>
      </c>
      <c r="L1358" t="n">
        <v>24904</v>
      </c>
      <c r="M1358" t="n">
        <v>30500</v>
      </c>
      <c r="N1358" t="n">
        <v>91</v>
      </c>
      <c r="O1358" t="n">
        <v>0.91</v>
      </c>
      <c r="P1358" t="n">
        <v>1</v>
      </c>
      <c r="Q1358" t="n">
        <v>3.69</v>
      </c>
      <c r="R1358" t="n">
        <v>11</v>
      </c>
      <c r="S1358" t="n">
        <v>200946.2</v>
      </c>
      <c r="T1358" t="n">
        <v>113</v>
      </c>
      <c r="U1358" t="n">
        <v>127</v>
      </c>
      <c r="V1358" t="n">
        <v>30</v>
      </c>
      <c r="W1358" t="n">
        <v>198</v>
      </c>
      <c r="X1358" t="n">
        <v>12.74968125796855</v>
      </c>
      <c r="Y1358" t="n">
        <v>1</v>
      </c>
      <c r="Z1358" t="n">
        <v>114</v>
      </c>
      <c r="AA1358" t="n">
        <v>0</v>
      </c>
      <c r="AB1358" t="n">
        <v>114</v>
      </c>
      <c r="AC1358" t="n">
        <v>114</v>
      </c>
      <c r="AD1358" t="n">
        <v>0</v>
      </c>
      <c r="AE1358" t="n">
        <v>2839056</v>
      </c>
      <c r="AF1358" t="n">
        <v>11691</v>
      </c>
      <c r="AG1358" t="n">
        <v>63</v>
      </c>
      <c r="AH1358" t="inlineStr">
        <is>
          <t>PT. PARAMA GLOBAL INSPIRA - PPN (PDG)</t>
        </is>
      </c>
      <c r="AI1358" t="n">
        <v>63</v>
      </c>
      <c r="AJ1358" t="inlineStr">
        <is>
          <t>EMINA</t>
        </is>
      </c>
      <c r="AK1358" t="n">
        <v>21</v>
      </c>
      <c r="AL1358" t="inlineStr">
        <is>
          <t>Miss Glam Damar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EMINA</t>
        </is>
      </c>
      <c r="B1359" s="2">
        <f>"10400614418"</f>
        <v/>
      </c>
      <c r="C1359" t="inlineStr">
        <is>
          <t>EMINA Sun Battle SPF 35 PA +++ Acne Clear Cica + Allantoin Airy Acne Soothing 50ml</t>
        </is>
      </c>
      <c r="D1359" t="inlineStr">
        <is>
          <t>Miss Glam Damar</t>
        </is>
      </c>
      <c r="E1359" t="n">
        <v>26</v>
      </c>
      <c r="F1359" t="n">
        <v>1.2012</v>
      </c>
      <c r="G1359" t="n">
        <v>6.37</v>
      </c>
      <c r="H1359" t="n">
        <v>2</v>
      </c>
      <c r="I1359" t="n">
        <v>6</v>
      </c>
      <c r="J1359" t="n">
        <v>3</v>
      </c>
      <c r="K1359" t="n">
        <v>0</v>
      </c>
      <c r="L1359" t="n">
        <v>24903</v>
      </c>
      <c r="M1359" t="n">
        <v>32500</v>
      </c>
      <c r="N1359" t="n">
        <v>91</v>
      </c>
      <c r="O1359" t="n">
        <v>0.91</v>
      </c>
      <c r="P1359" t="n">
        <v>1</v>
      </c>
      <c r="Q1359" t="n">
        <v>1</v>
      </c>
      <c r="R1359" t="n">
        <v>4</v>
      </c>
      <c r="S1359" t="n">
        <v>39039</v>
      </c>
      <c r="T1359" t="n">
        <v>36</v>
      </c>
      <c r="U1359" t="n">
        <v>39</v>
      </c>
      <c r="V1359" t="n">
        <v>30</v>
      </c>
      <c r="W1359" t="n">
        <v>37</v>
      </c>
      <c r="X1359" t="n">
        <v>21.64502164502164</v>
      </c>
      <c r="Y1359" t="n">
        <v>1</v>
      </c>
      <c r="Z1359" t="n">
        <v>11</v>
      </c>
      <c r="AA1359" t="n">
        <v>0</v>
      </c>
      <c r="AB1359" t="n">
        <v>11</v>
      </c>
      <c r="AC1359" t="n">
        <v>11</v>
      </c>
      <c r="AD1359" t="n">
        <v>0</v>
      </c>
      <c r="AE1359" t="n">
        <v>273933</v>
      </c>
      <c r="AF1359" t="n">
        <v>11691</v>
      </c>
      <c r="AG1359" t="n">
        <v>63</v>
      </c>
      <c r="AH1359" t="inlineStr">
        <is>
          <t>PT. PARAMA GLOBAL INSPIRA - PPN (PDG)</t>
        </is>
      </c>
      <c r="AI1359" t="n">
        <v>63</v>
      </c>
      <c r="AJ1359" t="inlineStr">
        <is>
          <t>EMINA</t>
        </is>
      </c>
      <c r="AK1359" t="n">
        <v>21</v>
      </c>
      <c r="AL1359" t="inlineStr">
        <is>
          <t>Miss Glam Damar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EMINA</t>
        </is>
      </c>
      <c r="B1360" s="2">
        <f>"8993137005111"</f>
        <v/>
      </c>
      <c r="C1360" t="inlineStr">
        <is>
          <t>EMINA Sun Battle SPF 50 PA ++++ Cica Acne Fighter Sunscreen 20ml</t>
        </is>
      </c>
      <c r="D1360" t="inlineStr">
        <is>
          <t>Miss Glam Damar</t>
        </is>
      </c>
      <c r="E1360" t="n">
        <v>7</v>
      </c>
      <c r="F1360" t="n">
        <v>0.1274</v>
      </c>
      <c r="G1360" t="n">
        <v>0.91</v>
      </c>
      <c r="H1360" t="n">
        <v>2</v>
      </c>
      <c r="I1360" t="n">
        <v>6</v>
      </c>
      <c r="J1360" t="n">
        <v>3</v>
      </c>
      <c r="K1360" t="n">
        <v>0</v>
      </c>
      <c r="L1360" t="n">
        <v>21839</v>
      </c>
      <c r="M1360" t="n">
        <v>27000</v>
      </c>
      <c r="N1360" t="n">
        <v>91</v>
      </c>
      <c r="O1360" t="n">
        <v>0.91</v>
      </c>
      <c r="P1360" t="n">
        <v>1</v>
      </c>
      <c r="Q1360" t="n">
        <v>0.1</v>
      </c>
      <c r="R1360" t="n">
        <v>2</v>
      </c>
      <c r="S1360" t="n">
        <v>3439.8</v>
      </c>
      <c r="T1360" t="n">
        <v>6</v>
      </c>
      <c r="U1360" t="n">
        <v>7</v>
      </c>
      <c r="V1360" t="n">
        <v>30</v>
      </c>
      <c r="W1360" t="n">
        <v>4</v>
      </c>
      <c r="X1360" t="n">
        <v>54.94505494505494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11691</v>
      </c>
      <c r="AG1360" t="n">
        <v>63</v>
      </c>
      <c r="AH1360" t="inlineStr">
        <is>
          <t>PT. PARAMA GLOBAL INSPIRA - PPN (PDG)</t>
        </is>
      </c>
      <c r="AI1360" t="n">
        <v>63</v>
      </c>
      <c r="AJ1360" t="inlineStr">
        <is>
          <t>EMINA</t>
        </is>
      </c>
      <c r="AK1360" t="n">
        <v>21</v>
      </c>
      <c r="AL1360" t="inlineStr">
        <is>
          <t>Miss Glam Damar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EMINA</t>
        </is>
      </c>
      <c r="B1361" s="2">
        <f>"8993137738323"</f>
        <v/>
      </c>
      <c r="C1361" t="inlineStr">
        <is>
          <t>EMINA Sun Battle SPF 50 PA++++ Barrier Hydraburst Sunscreen 30 ml</t>
        </is>
      </c>
      <c r="D1361" t="inlineStr">
        <is>
          <t>Miss Glam Damar</t>
        </is>
      </c>
      <c r="E1361" t="n">
        <v>23</v>
      </c>
      <c r="F1361" t="n">
        <v>0.8008000000000001</v>
      </c>
      <c r="G1361" t="n">
        <v>4.55</v>
      </c>
      <c r="H1361" t="n">
        <v>2</v>
      </c>
      <c r="I1361" t="n">
        <v>6</v>
      </c>
      <c r="J1361" t="n">
        <v>3</v>
      </c>
      <c r="K1361" t="n">
        <v>0</v>
      </c>
      <c r="L1361" t="n">
        <v>32169</v>
      </c>
      <c r="M1361" t="n">
        <v>39500</v>
      </c>
      <c r="N1361" t="n">
        <v>91</v>
      </c>
      <c r="O1361" t="n">
        <v>0.91</v>
      </c>
      <c r="P1361" t="n">
        <v>1</v>
      </c>
      <c r="Q1361" t="n">
        <v>1.14</v>
      </c>
      <c r="R1361" t="n">
        <v>5</v>
      </c>
      <c r="S1361" t="n">
        <v>31631.6</v>
      </c>
      <c r="T1361" t="n">
        <v>26</v>
      </c>
      <c r="U1361" t="n">
        <v>28</v>
      </c>
      <c r="V1361" t="n">
        <v>30</v>
      </c>
      <c r="W1361" t="n">
        <v>25</v>
      </c>
      <c r="X1361" t="n">
        <v>28.72127872127872</v>
      </c>
      <c r="Y1361" t="n">
        <v>1</v>
      </c>
      <c r="Z1361" t="n">
        <v>2</v>
      </c>
      <c r="AA1361" t="n">
        <v>0</v>
      </c>
      <c r="AB1361" t="n">
        <v>2</v>
      </c>
      <c r="AC1361" t="n">
        <v>3</v>
      </c>
      <c r="AD1361" t="n">
        <v>0</v>
      </c>
      <c r="AE1361" t="n">
        <v>96507</v>
      </c>
      <c r="AF1361" t="n">
        <v>11691</v>
      </c>
      <c r="AG1361" t="n">
        <v>63</v>
      </c>
      <c r="AH1361" t="inlineStr">
        <is>
          <t>PT. PARAMA GLOBAL INSPIRA - PPN (PDG)</t>
        </is>
      </c>
      <c r="AI1361" t="n">
        <v>63</v>
      </c>
      <c r="AJ1361" t="inlineStr">
        <is>
          <t>EMINA</t>
        </is>
      </c>
      <c r="AK1361" t="n">
        <v>21</v>
      </c>
      <c r="AL1361" t="inlineStr">
        <is>
          <t>Miss Glam Damar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EMINA</t>
        </is>
      </c>
      <c r="B1362" s="2">
        <f>"8993137738293"</f>
        <v/>
      </c>
      <c r="C1362" t="inlineStr">
        <is>
          <t>EMINA Sun Battle SPF50 Cica Acne Fighter 30ml</t>
        </is>
      </c>
      <c r="D1362" t="inlineStr">
        <is>
          <t>Miss Glam Damar</t>
        </is>
      </c>
      <c r="E1362" t="n">
        <v>17</v>
      </c>
      <c r="F1362" t="n">
        <v>0.5733</v>
      </c>
      <c r="G1362" t="n">
        <v>2.73</v>
      </c>
      <c r="H1362" t="n">
        <v>2</v>
      </c>
      <c r="I1362" t="n">
        <v>6</v>
      </c>
      <c r="J1362" t="n">
        <v>3</v>
      </c>
      <c r="K1362" t="n">
        <v>0</v>
      </c>
      <c r="L1362" t="n">
        <v>32159</v>
      </c>
      <c r="M1362" t="n">
        <v>39500</v>
      </c>
      <c r="N1362" t="n">
        <v>91</v>
      </c>
      <c r="O1362" t="n">
        <v>0.91</v>
      </c>
      <c r="P1362" t="n">
        <v>1</v>
      </c>
      <c r="Q1362" t="n">
        <v>0.59</v>
      </c>
      <c r="R1362" t="n">
        <v>2</v>
      </c>
      <c r="S1362" t="n">
        <v>22645.35</v>
      </c>
      <c r="T1362" t="n">
        <v>16</v>
      </c>
      <c r="U1362" t="n">
        <v>18</v>
      </c>
      <c r="V1362" t="n">
        <v>30</v>
      </c>
      <c r="W1362" t="n">
        <v>18</v>
      </c>
      <c r="X1362" t="n">
        <v>29.65288679574394</v>
      </c>
      <c r="Y1362" t="n">
        <v>1</v>
      </c>
      <c r="Z1362" t="n">
        <v>1</v>
      </c>
      <c r="AA1362" t="n">
        <v>0</v>
      </c>
      <c r="AB1362" t="n">
        <v>1</v>
      </c>
      <c r="AC1362" t="n">
        <v>3</v>
      </c>
      <c r="AD1362" t="n">
        <v>0</v>
      </c>
      <c r="AE1362" t="n">
        <v>96477</v>
      </c>
      <c r="AF1362" t="n">
        <v>11691</v>
      </c>
      <c r="AG1362" t="n">
        <v>63</v>
      </c>
      <c r="AH1362" t="inlineStr">
        <is>
          <t>PT. PARAMA GLOBAL INSPIRA - PPN (PDG)</t>
        </is>
      </c>
      <c r="AI1362" t="n">
        <v>63</v>
      </c>
      <c r="AJ1362" t="inlineStr">
        <is>
          <t>EMINA</t>
        </is>
      </c>
      <c r="AK1362" t="n">
        <v>21</v>
      </c>
      <c r="AL1362" t="inlineStr">
        <is>
          <t>Miss Glam Damar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EMINA</t>
        </is>
      </c>
      <c r="B1363" s="2">
        <f>"8993137719094"</f>
        <v/>
      </c>
      <c r="C1363" t="inlineStr">
        <is>
          <t>EMINA Total Eclipse Pen Liner 1ml</t>
        </is>
      </c>
      <c r="D1363" t="inlineStr">
        <is>
          <t>Miss Glam Damar</t>
        </is>
      </c>
      <c r="E1363" t="n">
        <v>4</v>
      </c>
      <c r="F1363" t="n">
        <v>0.0273</v>
      </c>
      <c r="G1363" t="n">
        <v>0.91</v>
      </c>
      <c r="H1363" t="n">
        <v>2</v>
      </c>
      <c r="I1363" t="n">
        <v>6</v>
      </c>
      <c r="J1363" t="n">
        <v>3</v>
      </c>
      <c r="K1363" t="n">
        <v>0</v>
      </c>
      <c r="L1363" t="n">
        <v>42530</v>
      </c>
      <c r="M1363" t="n">
        <v>54000</v>
      </c>
      <c r="N1363" t="n">
        <v>91</v>
      </c>
      <c r="O1363" t="n">
        <v>0.91</v>
      </c>
      <c r="P1363" t="n">
        <v>1</v>
      </c>
      <c r="Q1363" t="n">
        <v>0.02</v>
      </c>
      <c r="R1363" t="n">
        <v>1</v>
      </c>
      <c r="S1363" t="n">
        <v>1474.2</v>
      </c>
      <c r="T1363" t="n">
        <v>6</v>
      </c>
      <c r="U1363" t="n">
        <v>7</v>
      </c>
      <c r="V1363" t="n">
        <v>30</v>
      </c>
      <c r="W1363" t="n">
        <v>1</v>
      </c>
      <c r="X1363" t="n">
        <v>146.5201465201465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11691</v>
      </c>
      <c r="AG1363" t="n">
        <v>63</v>
      </c>
      <c r="AH1363" t="inlineStr">
        <is>
          <t>PT. PARAMA GLOBAL INSPIRA - PPN (PDG)</t>
        </is>
      </c>
      <c r="AI1363" t="n">
        <v>63</v>
      </c>
      <c r="AJ1363" t="inlineStr">
        <is>
          <t>EMINA</t>
        </is>
      </c>
      <c r="AK1363" t="n">
        <v>21</v>
      </c>
      <c r="AL1363" t="inlineStr">
        <is>
          <t>Miss Glam Damar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EMINA</t>
        </is>
      </c>
      <c r="B1364" s="2">
        <f>"10300721237"</f>
        <v/>
      </c>
      <c r="C1364" t="inlineStr">
        <is>
          <t>EMINA Water Barrier Balancing Gel 30gr</t>
        </is>
      </c>
      <c r="D1364" t="inlineStr">
        <is>
          <t>Miss Glam Damar</t>
        </is>
      </c>
      <c r="E1364" t="n">
        <v>17</v>
      </c>
      <c r="F1364" t="n">
        <v>1.4651</v>
      </c>
      <c r="G1364" t="n">
        <v>5.46</v>
      </c>
      <c r="H1364" t="n">
        <v>2</v>
      </c>
      <c r="I1364" t="n">
        <v>6</v>
      </c>
      <c r="J1364" t="n">
        <v>3</v>
      </c>
      <c r="K1364" t="n">
        <v>0</v>
      </c>
      <c r="L1364" t="n">
        <v>32184</v>
      </c>
      <c r="M1364" t="n">
        <v>39500</v>
      </c>
      <c r="N1364" t="n">
        <v>91</v>
      </c>
      <c r="O1364" t="n">
        <v>0.91</v>
      </c>
      <c r="P1364" t="n">
        <v>1</v>
      </c>
      <c r="Q1364" t="n">
        <v>0.95</v>
      </c>
      <c r="R1364" t="n">
        <v>3</v>
      </c>
      <c r="S1364" t="n">
        <v>57871.45</v>
      </c>
      <c r="T1364" t="n">
        <v>30</v>
      </c>
      <c r="U1364" t="n">
        <v>33</v>
      </c>
      <c r="V1364" t="n">
        <v>30</v>
      </c>
      <c r="W1364" t="n">
        <v>44</v>
      </c>
      <c r="X1364" t="n">
        <v>11.60330352876937</v>
      </c>
      <c r="Y1364" t="n">
        <v>1</v>
      </c>
      <c r="Z1364" t="n">
        <v>27</v>
      </c>
      <c r="AA1364" t="n">
        <v>0</v>
      </c>
      <c r="AB1364" t="n">
        <v>27</v>
      </c>
      <c r="AC1364" t="n">
        <v>27</v>
      </c>
      <c r="AD1364" t="n">
        <v>0</v>
      </c>
      <c r="AE1364" t="n">
        <v>868968</v>
      </c>
      <c r="AF1364" t="n">
        <v>11691</v>
      </c>
      <c r="AG1364" t="n">
        <v>63</v>
      </c>
      <c r="AH1364" t="inlineStr">
        <is>
          <t>PT. PARAMA GLOBAL INSPIRA - PPN (PDG)</t>
        </is>
      </c>
      <c r="AI1364" t="n">
        <v>63</v>
      </c>
      <c r="AJ1364" t="inlineStr">
        <is>
          <t>EMINA</t>
        </is>
      </c>
      <c r="AK1364" t="n">
        <v>21</v>
      </c>
      <c r="AL1364" t="inlineStr">
        <is>
          <t>Miss Glam Damar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EMINA</t>
        </is>
      </c>
      <c r="B1365" s="2">
        <f>"10300721153"</f>
        <v/>
      </c>
      <c r="C1365" t="inlineStr">
        <is>
          <t>EMINA Water Bright Glow Gel 30gr</t>
        </is>
      </c>
      <c r="D1365" t="inlineStr">
        <is>
          <t>Miss Glam Damar</t>
        </is>
      </c>
      <c r="E1365" t="n">
        <v>39</v>
      </c>
      <c r="F1365" t="n">
        <v>2.8392</v>
      </c>
      <c r="G1365" t="n">
        <v>10.01</v>
      </c>
      <c r="H1365" t="n">
        <v>2</v>
      </c>
      <c r="I1365" t="n">
        <v>6</v>
      </c>
      <c r="J1365" t="n">
        <v>3</v>
      </c>
      <c r="K1365" t="n">
        <v>0</v>
      </c>
      <c r="L1365" t="n">
        <v>32953</v>
      </c>
      <c r="M1365" t="n">
        <v>39500</v>
      </c>
      <c r="N1365" t="n">
        <v>91</v>
      </c>
      <c r="O1365" t="n">
        <v>0.91</v>
      </c>
      <c r="P1365" t="n">
        <v>1</v>
      </c>
      <c r="Q1365" t="n">
        <v>2.08</v>
      </c>
      <c r="R1365" t="n">
        <v>6</v>
      </c>
      <c r="S1365" t="n">
        <v>112148.4</v>
      </c>
      <c r="T1365" t="n">
        <v>55</v>
      </c>
      <c r="U1365" t="n">
        <v>61</v>
      </c>
      <c r="V1365" t="n">
        <v>30</v>
      </c>
      <c r="W1365" t="n">
        <v>86</v>
      </c>
      <c r="X1365" t="n">
        <v>13.73626373626373</v>
      </c>
      <c r="Y1365" t="n">
        <v>1</v>
      </c>
      <c r="Z1365" t="n">
        <v>47</v>
      </c>
      <c r="AA1365" t="n">
        <v>0</v>
      </c>
      <c r="AB1365" t="n">
        <v>47</v>
      </c>
      <c r="AC1365" t="n">
        <v>47</v>
      </c>
      <c r="AD1365" t="n">
        <v>0</v>
      </c>
      <c r="AE1365" t="n">
        <v>1548791</v>
      </c>
      <c r="AF1365" t="n">
        <v>11691</v>
      </c>
      <c r="AG1365" t="n">
        <v>63</v>
      </c>
      <c r="AH1365" t="inlineStr">
        <is>
          <t>PT. PARAMA GLOBAL INSPIRA - PPN (PDG)</t>
        </is>
      </c>
      <c r="AI1365" t="n">
        <v>63</v>
      </c>
      <c r="AJ1365" t="inlineStr">
        <is>
          <t>EMINA</t>
        </is>
      </c>
      <c r="AK1365" t="n">
        <v>21</v>
      </c>
      <c r="AL1365" t="inlineStr">
        <is>
          <t>Miss Glam Damar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EMINA</t>
        </is>
      </c>
      <c r="B1366" s="2">
        <f>"10300721056"</f>
        <v/>
      </c>
      <c r="C1366" t="inlineStr">
        <is>
          <t>EMINA Water Calming Gel 30gr</t>
        </is>
      </c>
      <c r="D1366" t="inlineStr">
        <is>
          <t>Miss Glam Damar</t>
        </is>
      </c>
      <c r="E1366" t="n">
        <v>15</v>
      </c>
      <c r="F1366" t="n">
        <v>0.8190000000000001</v>
      </c>
      <c r="G1366" t="n">
        <v>3.64</v>
      </c>
      <c r="H1366" t="n">
        <v>2</v>
      </c>
      <c r="I1366" t="n">
        <v>6</v>
      </c>
      <c r="J1366" t="n">
        <v>3</v>
      </c>
      <c r="K1366" t="n">
        <v>0</v>
      </c>
      <c r="L1366" t="n">
        <v>32184</v>
      </c>
      <c r="M1366" t="n">
        <v>39500</v>
      </c>
      <c r="N1366" t="n">
        <v>91</v>
      </c>
      <c r="O1366" t="n">
        <v>0.91</v>
      </c>
      <c r="P1366" t="n">
        <v>1</v>
      </c>
      <c r="Q1366" t="n">
        <v>0.71</v>
      </c>
      <c r="R1366" t="n">
        <v>4</v>
      </c>
      <c r="S1366" t="n">
        <v>32350.5</v>
      </c>
      <c r="T1366" t="n">
        <v>21</v>
      </c>
      <c r="U1366" t="n">
        <v>23</v>
      </c>
      <c r="V1366" t="n">
        <v>30</v>
      </c>
      <c r="W1366" t="n">
        <v>25</v>
      </c>
      <c r="X1366" t="n">
        <v>18.31501831501831</v>
      </c>
      <c r="Y1366" t="n">
        <v>1</v>
      </c>
      <c r="Z1366" t="n">
        <v>10</v>
      </c>
      <c r="AA1366" t="n">
        <v>0</v>
      </c>
      <c r="AB1366" t="n">
        <v>10</v>
      </c>
      <c r="AC1366" t="n">
        <v>10</v>
      </c>
      <c r="AD1366" t="n">
        <v>0</v>
      </c>
      <c r="AE1366" t="n">
        <v>321840</v>
      </c>
      <c r="AF1366" t="n">
        <v>11691</v>
      </c>
      <c r="AG1366" t="n">
        <v>63</v>
      </c>
      <c r="AH1366" t="inlineStr">
        <is>
          <t>PT. PARAMA GLOBAL INSPIRA - PPN (PDG)</t>
        </is>
      </c>
      <c r="AI1366" t="n">
        <v>63</v>
      </c>
      <c r="AJ1366" t="inlineStr">
        <is>
          <t>EMINA</t>
        </is>
      </c>
      <c r="AK1366" t="n">
        <v>21</v>
      </c>
      <c r="AL1366" t="inlineStr">
        <is>
          <t>Miss Glam Damar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EMINA</t>
        </is>
      </c>
      <c r="B1367" s="2">
        <f>"10400310858"</f>
        <v/>
      </c>
      <c r="C1367" t="inlineStr">
        <is>
          <t>EMINA Water UV Gel 25 ml</t>
        </is>
      </c>
      <c r="D1367" t="inlineStr">
        <is>
          <t>Miss Glam Damar</t>
        </is>
      </c>
      <c r="E1367" t="n">
        <v>22</v>
      </c>
      <c r="F1367" t="n">
        <v>0.8190000000000001</v>
      </c>
      <c r="G1367" t="n">
        <v>3.64</v>
      </c>
      <c r="H1367" t="n">
        <v>2</v>
      </c>
      <c r="I1367" t="n">
        <v>6</v>
      </c>
      <c r="J1367" t="n">
        <v>1</v>
      </c>
      <c r="K1367" t="n">
        <v>0</v>
      </c>
      <c r="L1367" t="n">
        <v>27969</v>
      </c>
      <c r="M1367" t="n">
        <v>34500</v>
      </c>
      <c r="N1367" t="n">
        <v>91</v>
      </c>
      <c r="O1367" t="n">
        <v>0.91</v>
      </c>
      <c r="P1367" t="n">
        <v>1</v>
      </c>
      <c r="Q1367" t="n">
        <v>0.49</v>
      </c>
      <c r="R1367" t="n">
        <v>3</v>
      </c>
      <c r="S1367" t="n">
        <v>28255.5</v>
      </c>
      <c r="T1367" t="n">
        <v>21</v>
      </c>
      <c r="U1367" t="n">
        <v>23</v>
      </c>
      <c r="V1367" t="n">
        <v>30</v>
      </c>
      <c r="W1367" t="n">
        <v>25</v>
      </c>
      <c r="X1367" t="n">
        <v>26.86202686202686</v>
      </c>
      <c r="Y1367" t="n">
        <v>1</v>
      </c>
      <c r="Z1367" t="n">
        <v>3</v>
      </c>
      <c r="AA1367" t="n">
        <v>0</v>
      </c>
      <c r="AB1367" t="n">
        <v>3</v>
      </c>
      <c r="AC1367" t="n">
        <v>3</v>
      </c>
      <c r="AD1367" t="n">
        <v>0</v>
      </c>
      <c r="AE1367" t="n">
        <v>83907</v>
      </c>
      <c r="AF1367" t="n">
        <v>11691</v>
      </c>
      <c r="AG1367" t="n">
        <v>63</v>
      </c>
      <c r="AH1367" t="inlineStr">
        <is>
          <t>PT. PARAMA GLOBAL INSPIRA - PPN (PDG)</t>
        </is>
      </c>
      <c r="AI1367" t="n">
        <v>63</v>
      </c>
      <c r="AJ1367" t="inlineStr">
        <is>
          <t>EMINA</t>
        </is>
      </c>
      <c r="AK1367" t="n">
        <v>21</v>
      </c>
      <c r="AL1367" t="inlineStr">
        <is>
          <t>Miss Glam Damar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EMINA</t>
        </is>
      </c>
      <c r="B1368" s="2">
        <f>"8993137716611"</f>
        <v/>
      </c>
      <c r="C1368" t="inlineStr">
        <is>
          <t>EMINA Watercolor Lip Serum 01 Dawn 2gr</t>
        </is>
      </c>
      <c r="D1368" t="inlineStr">
        <is>
          <t>Miss Glam Damar</t>
        </is>
      </c>
      <c r="E1368" t="n">
        <v>10</v>
      </c>
      <c r="F1368" t="n">
        <v>0.3549</v>
      </c>
      <c r="G1368" t="n">
        <v>2.73</v>
      </c>
      <c r="H1368" t="n">
        <v>2</v>
      </c>
      <c r="I1368" t="n">
        <v>6</v>
      </c>
      <c r="J1368" t="n">
        <v>3</v>
      </c>
      <c r="K1368" t="n">
        <v>0</v>
      </c>
      <c r="L1368" t="n">
        <v>30269</v>
      </c>
      <c r="M1368" t="n">
        <v>37000</v>
      </c>
      <c r="N1368" t="n">
        <v>91</v>
      </c>
      <c r="O1368" t="n">
        <v>0.91</v>
      </c>
      <c r="P1368" t="n">
        <v>1</v>
      </c>
      <c r="Q1368" t="n">
        <v>0.41</v>
      </c>
      <c r="R1368" t="n">
        <v>5</v>
      </c>
      <c r="S1368" t="n">
        <v>13131.3</v>
      </c>
      <c r="T1368" t="n">
        <v>16</v>
      </c>
      <c r="U1368" t="n">
        <v>17</v>
      </c>
      <c r="V1368" t="n">
        <v>30</v>
      </c>
      <c r="W1368" t="n">
        <v>11</v>
      </c>
      <c r="X1368" t="n">
        <v>28.17695125387433</v>
      </c>
      <c r="Y1368" t="n">
        <v>1</v>
      </c>
      <c r="Z1368" t="n">
        <v>1</v>
      </c>
      <c r="AA1368" t="n">
        <v>0</v>
      </c>
      <c r="AB1368" t="n">
        <v>1</v>
      </c>
      <c r="AC1368" t="n">
        <v>3</v>
      </c>
      <c r="AD1368" t="n">
        <v>0</v>
      </c>
      <c r="AE1368" t="n">
        <v>90807</v>
      </c>
      <c r="AF1368" t="n">
        <v>11691</v>
      </c>
      <c r="AG1368" t="n">
        <v>63</v>
      </c>
      <c r="AH1368" t="inlineStr">
        <is>
          <t>PT. PARAMA GLOBAL INSPIRA - PPN (PDG)</t>
        </is>
      </c>
      <c r="AI1368" t="n">
        <v>63</v>
      </c>
      <c r="AJ1368" t="inlineStr">
        <is>
          <t>EMINA</t>
        </is>
      </c>
      <c r="AK1368" t="n">
        <v>21</v>
      </c>
      <c r="AL1368" t="inlineStr">
        <is>
          <t>Miss Glam Damar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EMINA</t>
        </is>
      </c>
      <c r="B1369" s="2">
        <f>"8993137716628"</f>
        <v/>
      </c>
      <c r="C1369" t="inlineStr">
        <is>
          <t>EMINA Watercolor Lip Serum 02 Mist 2gr</t>
        </is>
      </c>
      <c r="D1369" t="inlineStr">
        <is>
          <t>Miss Glam Damar</t>
        </is>
      </c>
      <c r="E1369" t="n">
        <v>7</v>
      </c>
      <c r="F1369" t="n">
        <v>0.2</v>
      </c>
      <c r="G1369" t="n">
        <v>3</v>
      </c>
      <c r="H1369" t="n">
        <v>2</v>
      </c>
      <c r="I1369" t="n">
        <v>6</v>
      </c>
      <c r="J1369" t="n">
        <v>3</v>
      </c>
      <c r="K1369" t="n">
        <v>0</v>
      </c>
      <c r="L1369" t="n">
        <v>30241</v>
      </c>
      <c r="M1369" t="n">
        <v>37000</v>
      </c>
      <c r="N1369" t="n">
        <v>91</v>
      </c>
      <c r="O1369" t="n">
        <v>0.91</v>
      </c>
      <c r="P1369" t="n">
        <v>0</v>
      </c>
      <c r="Q1369" t="n">
        <v>0.2</v>
      </c>
      <c r="R1369" t="n">
        <v>3</v>
      </c>
      <c r="S1369" t="n">
        <v>7400</v>
      </c>
      <c r="T1369" t="n">
        <v>18</v>
      </c>
      <c r="U1369" t="n">
        <v>19</v>
      </c>
      <c r="V1369" t="n">
        <v>30</v>
      </c>
      <c r="W1369" t="n">
        <v>6</v>
      </c>
      <c r="X1369" t="n">
        <v>35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11691</v>
      </c>
      <c r="AG1369" t="n">
        <v>63</v>
      </c>
      <c r="AH1369" t="inlineStr">
        <is>
          <t>PT. PARAMA GLOBAL INSPIRA - PPN (PDG)</t>
        </is>
      </c>
      <c r="AI1369" t="n">
        <v>63</v>
      </c>
      <c r="AJ1369" t="inlineStr">
        <is>
          <t>EMINA</t>
        </is>
      </c>
      <c r="AK1369" t="n">
        <v>21</v>
      </c>
      <c r="AL1369" t="inlineStr">
        <is>
          <t>Miss Glam Damar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EMINA</t>
        </is>
      </c>
      <c r="B1370" s="2">
        <f>"8993137716635"</f>
        <v/>
      </c>
      <c r="C1370" t="inlineStr">
        <is>
          <t>EMINA Watercolor Lip Serum 03 Dusk 2gr</t>
        </is>
      </c>
      <c r="D1370" t="inlineStr">
        <is>
          <t>Miss Glam Damar</t>
        </is>
      </c>
      <c r="E1370" t="n">
        <v>17</v>
      </c>
      <c r="F1370" t="n">
        <v>0.1092</v>
      </c>
      <c r="G1370" t="n">
        <v>0.91</v>
      </c>
      <c r="H1370" t="n">
        <v>2</v>
      </c>
      <c r="I1370" t="n">
        <v>6</v>
      </c>
      <c r="J1370" t="n">
        <v>3</v>
      </c>
      <c r="K1370" t="n">
        <v>0</v>
      </c>
      <c r="L1370" t="n">
        <v>29587</v>
      </c>
      <c r="M1370" t="n">
        <v>37000</v>
      </c>
      <c r="N1370" t="n">
        <v>91</v>
      </c>
      <c r="O1370" t="n">
        <v>0.91</v>
      </c>
      <c r="P1370" t="n">
        <v>1</v>
      </c>
      <c r="Q1370" t="n">
        <v>0.05</v>
      </c>
      <c r="R1370" t="n">
        <v>1</v>
      </c>
      <c r="S1370" t="n">
        <v>4040.4</v>
      </c>
      <c r="T1370" t="n">
        <v>6</v>
      </c>
      <c r="U1370" t="n">
        <v>7</v>
      </c>
      <c r="V1370" t="n">
        <v>30</v>
      </c>
      <c r="W1370" t="n">
        <v>4</v>
      </c>
      <c r="X1370" t="n">
        <v>155.6776556776557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11691</v>
      </c>
      <c r="AG1370" t="n">
        <v>63</v>
      </c>
      <c r="AH1370" t="inlineStr">
        <is>
          <t>PT. PARAMA GLOBAL INSPIRA - PPN (PDG)</t>
        </is>
      </c>
      <c r="AI1370" t="n">
        <v>63</v>
      </c>
      <c r="AJ1370" t="inlineStr">
        <is>
          <t>EMINA</t>
        </is>
      </c>
      <c r="AK1370" t="n">
        <v>21</v>
      </c>
      <c r="AL1370" t="inlineStr">
        <is>
          <t>Miss Glam Damar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EMINA</t>
        </is>
      </c>
      <c r="B1371" s="2">
        <f>"8993137716642"</f>
        <v/>
      </c>
      <c r="C1371" t="inlineStr">
        <is>
          <t>EMINA Watercolor Lip Serum 04 Haze 2gr</t>
        </is>
      </c>
      <c r="D1371" t="inlineStr">
        <is>
          <t>Miss Glam Damar</t>
        </is>
      </c>
      <c r="E1371" t="n">
        <v>9</v>
      </c>
      <c r="F1371" t="n">
        <v>0.0273</v>
      </c>
      <c r="G1371" t="n">
        <v>0.91</v>
      </c>
      <c r="H1371" t="n">
        <v>2</v>
      </c>
      <c r="I1371" t="n">
        <v>6</v>
      </c>
      <c r="J1371" t="n">
        <v>3</v>
      </c>
      <c r="K1371" t="n">
        <v>0</v>
      </c>
      <c r="L1371" t="n">
        <v>29687</v>
      </c>
      <c r="M1371" t="n">
        <v>37000</v>
      </c>
      <c r="N1371" t="n">
        <v>91</v>
      </c>
      <c r="O1371" t="n">
        <v>0.91</v>
      </c>
      <c r="P1371" t="n">
        <v>1</v>
      </c>
      <c r="Q1371" t="n">
        <v>0.03</v>
      </c>
      <c r="R1371" t="n">
        <v>1</v>
      </c>
      <c r="S1371" t="n">
        <v>1010.1</v>
      </c>
      <c r="T1371" t="n">
        <v>6</v>
      </c>
      <c r="U1371" t="n">
        <v>7</v>
      </c>
      <c r="V1371" t="n">
        <v>30</v>
      </c>
      <c r="W1371" t="n">
        <v>1</v>
      </c>
      <c r="X1371" t="n">
        <v>329.6703296703296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11691</v>
      </c>
      <c r="AG1371" t="n">
        <v>63</v>
      </c>
      <c r="AH1371" t="inlineStr">
        <is>
          <t>PT. PARAMA GLOBAL INSPIRA - PPN (PDG)</t>
        </is>
      </c>
      <c r="AI1371" t="n">
        <v>63</v>
      </c>
      <c r="AJ1371" t="inlineStr">
        <is>
          <t>EMINA</t>
        </is>
      </c>
      <c r="AK1371" t="n">
        <v>21</v>
      </c>
      <c r="AL1371" t="inlineStr">
        <is>
          <t>Miss Glam Damar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ENCHANTEUR</t>
        </is>
      </c>
      <c r="B1372" s="2">
        <f>"8992856896789"</f>
        <v/>
      </c>
      <c r="C1372" t="inlineStr">
        <is>
          <t>ENCHANTEUR Deo Roll On Alluring 40ml</t>
        </is>
      </c>
      <c r="D1372" t="inlineStr">
        <is>
          <t>Miss Glam Damar</t>
        </is>
      </c>
      <c r="E1372" t="n">
        <v>5</v>
      </c>
      <c r="F1372" t="n">
        <v>0.1729</v>
      </c>
      <c r="G1372" t="n">
        <v>1.82</v>
      </c>
      <c r="H1372" t="n">
        <v>2</v>
      </c>
      <c r="I1372" t="n">
        <v>7</v>
      </c>
      <c r="J1372" t="n">
        <v>3</v>
      </c>
      <c r="K1372" t="n">
        <v>0</v>
      </c>
      <c r="L1372" t="n">
        <v>18078</v>
      </c>
      <c r="M1372" t="n">
        <v>22500</v>
      </c>
      <c r="N1372" t="n">
        <v>91</v>
      </c>
      <c r="O1372" t="n">
        <v>0.91</v>
      </c>
      <c r="P1372" t="n">
        <v>1</v>
      </c>
      <c r="Q1372" t="n">
        <v>0.22</v>
      </c>
      <c r="R1372" t="n">
        <v>2</v>
      </c>
      <c r="S1372" t="n">
        <v>3890.25</v>
      </c>
      <c r="T1372" t="n">
        <v>13</v>
      </c>
      <c r="U1372" t="n">
        <v>14</v>
      </c>
      <c r="V1372" t="n">
        <v>30</v>
      </c>
      <c r="W1372" t="n">
        <v>6</v>
      </c>
      <c r="X1372" t="n">
        <v>28.91844997108155</v>
      </c>
      <c r="Y1372" t="n">
        <v>1</v>
      </c>
      <c r="Z1372" t="n">
        <v>1</v>
      </c>
      <c r="AA1372" t="n">
        <v>0</v>
      </c>
      <c r="AB1372" t="n">
        <v>1</v>
      </c>
      <c r="AC1372" t="n">
        <v>3</v>
      </c>
      <c r="AD1372" t="n">
        <v>0</v>
      </c>
      <c r="AE1372" t="n">
        <v>54234</v>
      </c>
      <c r="AF1372" t="n">
        <v>1781</v>
      </c>
      <c r="AG1372" t="n">
        <v>2044</v>
      </c>
      <c r="AH1372" t="inlineStr">
        <is>
          <t>CV. WINEMERI BERKARYA - PPN (PDG)</t>
        </is>
      </c>
      <c r="AI1372" t="n">
        <v>368</v>
      </c>
      <c r="AJ1372" t="inlineStr">
        <is>
          <t>ENCHANTEUR</t>
        </is>
      </c>
      <c r="AK1372" t="n">
        <v>21</v>
      </c>
      <c r="AL1372" t="inlineStr">
        <is>
          <t>Miss Glam Damar</t>
        </is>
      </c>
      <c r="AM1372" t="n">
        <v>2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ENCHANTEUR</t>
        </is>
      </c>
      <c r="B1373" s="2">
        <f>"8992856896765"</f>
        <v/>
      </c>
      <c r="C1373" t="inlineStr">
        <is>
          <t>ENCHANTEUR Deo Roll On Charming 40ml</t>
        </is>
      </c>
      <c r="D1373" t="inlineStr">
        <is>
          <t>Miss Glam Damar</t>
        </is>
      </c>
      <c r="E1373" t="n">
        <v>5</v>
      </c>
      <c r="F1373" t="n">
        <v>0.2275</v>
      </c>
      <c r="G1373" t="n">
        <v>2.73</v>
      </c>
      <c r="H1373" t="n">
        <v>2</v>
      </c>
      <c r="I1373" t="n">
        <v>7</v>
      </c>
      <c r="J1373" t="n">
        <v>3</v>
      </c>
      <c r="K1373" t="n">
        <v>0</v>
      </c>
      <c r="L1373" t="n">
        <v>18321</v>
      </c>
      <c r="M1373" t="n">
        <v>22500</v>
      </c>
      <c r="N1373" t="n">
        <v>91</v>
      </c>
      <c r="O1373" t="n">
        <v>0.91</v>
      </c>
      <c r="P1373" t="n">
        <v>1</v>
      </c>
      <c r="Q1373" t="n">
        <v>0.22</v>
      </c>
      <c r="R1373" t="n">
        <v>2</v>
      </c>
      <c r="S1373" t="n">
        <v>5118.75</v>
      </c>
      <c r="T1373" t="n">
        <v>19</v>
      </c>
      <c r="U1373" t="n">
        <v>20</v>
      </c>
      <c r="V1373" t="n">
        <v>30</v>
      </c>
      <c r="W1373" t="n">
        <v>7</v>
      </c>
      <c r="X1373" t="n">
        <v>21.97802197802198</v>
      </c>
      <c r="Y1373" t="n">
        <v>1</v>
      </c>
      <c r="Z1373" t="n">
        <v>2</v>
      </c>
      <c r="AA1373" t="n">
        <v>0</v>
      </c>
      <c r="AB1373" t="n">
        <v>2</v>
      </c>
      <c r="AC1373" t="n">
        <v>3</v>
      </c>
      <c r="AD1373" t="n">
        <v>0</v>
      </c>
      <c r="AE1373" t="n">
        <v>54963</v>
      </c>
      <c r="AF1373" t="n">
        <v>1781</v>
      </c>
      <c r="AG1373" t="n">
        <v>2044</v>
      </c>
      <c r="AH1373" t="inlineStr">
        <is>
          <t>CV. WINEMERI BERKARYA - PPN (PDG)</t>
        </is>
      </c>
      <c r="AI1373" t="n">
        <v>368</v>
      </c>
      <c r="AJ1373" t="inlineStr">
        <is>
          <t>ENCHANTEUR</t>
        </is>
      </c>
      <c r="AK1373" t="n">
        <v>21</v>
      </c>
      <c r="AL1373" t="inlineStr">
        <is>
          <t>Miss Glam Damar</t>
        </is>
      </c>
      <c r="AM1373" t="n">
        <v>2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ENCHANTEUR</t>
        </is>
      </c>
      <c r="B1374" s="2">
        <f>"8992856896796"</f>
        <v/>
      </c>
      <c r="C1374" t="inlineStr">
        <is>
          <t>ENCHANTEUR Deo Roll On Radiant White Charming Pore Refine 40ml</t>
        </is>
      </c>
      <c r="D1374" t="inlineStr">
        <is>
          <t>Miss Glam Damar</t>
        </is>
      </c>
      <c r="E1374" t="n">
        <v>4</v>
      </c>
      <c r="F1374" t="n">
        <v>0.2912</v>
      </c>
      <c r="G1374" t="n">
        <v>1.82</v>
      </c>
      <c r="H1374" t="n">
        <v>2</v>
      </c>
      <c r="I1374" t="n">
        <v>7</v>
      </c>
      <c r="J1374" t="n">
        <v>3</v>
      </c>
      <c r="K1374" t="n">
        <v>0</v>
      </c>
      <c r="L1374" t="n">
        <v>20085</v>
      </c>
      <c r="M1374" t="n">
        <v>24000</v>
      </c>
      <c r="N1374" t="n">
        <v>91</v>
      </c>
      <c r="O1374" t="n">
        <v>0.91</v>
      </c>
      <c r="P1374" t="n">
        <v>1</v>
      </c>
      <c r="Q1374" t="n">
        <v>0.25</v>
      </c>
      <c r="R1374" t="n">
        <v>2</v>
      </c>
      <c r="S1374" t="n">
        <v>6988.8</v>
      </c>
      <c r="T1374" t="n">
        <v>13</v>
      </c>
      <c r="U1374" t="n">
        <v>14</v>
      </c>
      <c r="V1374" t="n">
        <v>30</v>
      </c>
      <c r="W1374" t="n">
        <v>9</v>
      </c>
      <c r="X1374" t="n">
        <v>13.73626373626374</v>
      </c>
      <c r="Y1374" t="n">
        <v>1</v>
      </c>
      <c r="Z1374" t="n">
        <v>5</v>
      </c>
      <c r="AA1374" t="n">
        <v>0</v>
      </c>
      <c r="AB1374" t="n">
        <v>5</v>
      </c>
      <c r="AC1374" t="n">
        <v>5</v>
      </c>
      <c r="AD1374" t="n">
        <v>0</v>
      </c>
      <c r="AE1374" t="n">
        <v>100425</v>
      </c>
      <c r="AF1374" t="n">
        <v>1781</v>
      </c>
      <c r="AG1374" t="n">
        <v>2044</v>
      </c>
      <c r="AH1374" t="inlineStr">
        <is>
          <t>CV. WINEMERI BERKARYA - PPN (PDG)</t>
        </is>
      </c>
      <c r="AI1374" t="n">
        <v>368</v>
      </c>
      <c r="AJ1374" t="inlineStr">
        <is>
          <t>ENCHANTEUR</t>
        </is>
      </c>
      <c r="AK1374" t="n">
        <v>21</v>
      </c>
      <c r="AL1374" t="inlineStr">
        <is>
          <t>Miss Glam Damar</t>
        </is>
      </c>
      <c r="AM1374" t="n">
        <v>2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ENCHANTEUR</t>
        </is>
      </c>
      <c r="B1375" s="2">
        <f>"8992856896802"</f>
        <v/>
      </c>
      <c r="C1375" t="inlineStr">
        <is>
          <t>ENCHANTEUR Deo Roll On Radiant White Romantic Pore Refine 40ml</t>
        </is>
      </c>
      <c r="D1375" t="inlineStr">
        <is>
          <t>Miss Glam Damar</t>
        </is>
      </c>
      <c r="E1375" t="n">
        <v>1</v>
      </c>
      <c r="F1375" t="n">
        <v>0.2912</v>
      </c>
      <c r="G1375" t="n">
        <v>1.82</v>
      </c>
      <c r="H1375" t="n">
        <v>2</v>
      </c>
      <c r="I1375" t="n">
        <v>7</v>
      </c>
      <c r="J1375" t="n">
        <v>3</v>
      </c>
      <c r="K1375" t="n">
        <v>0</v>
      </c>
      <c r="L1375" t="n">
        <v>19771</v>
      </c>
      <c r="M1375" t="n">
        <v>24500</v>
      </c>
      <c r="N1375" t="n">
        <v>91</v>
      </c>
      <c r="O1375" t="n">
        <v>0.91</v>
      </c>
      <c r="P1375" t="n">
        <v>1</v>
      </c>
      <c r="Q1375" t="n">
        <v>0.12</v>
      </c>
      <c r="R1375" t="n">
        <v>1</v>
      </c>
      <c r="S1375" t="n">
        <v>7134.400000000001</v>
      </c>
      <c r="T1375" t="n">
        <v>13</v>
      </c>
      <c r="U1375" t="n">
        <v>14</v>
      </c>
      <c r="V1375" t="n">
        <v>30</v>
      </c>
      <c r="W1375" t="n">
        <v>9</v>
      </c>
      <c r="X1375" t="n">
        <v>3.434065934065934</v>
      </c>
      <c r="Y1375" t="n">
        <v>1</v>
      </c>
      <c r="Z1375" t="n">
        <v>8</v>
      </c>
      <c r="AA1375" t="n">
        <v>2</v>
      </c>
      <c r="AB1375" t="n">
        <v>6</v>
      </c>
      <c r="AC1375" t="n">
        <v>6</v>
      </c>
      <c r="AD1375" t="n">
        <v>39542</v>
      </c>
      <c r="AE1375" t="n">
        <v>118626</v>
      </c>
      <c r="AF1375" t="n">
        <v>1781</v>
      </c>
      <c r="AG1375" t="n">
        <v>2044</v>
      </c>
      <c r="AH1375" t="inlineStr">
        <is>
          <t>CV. WINEMERI BERKARYA - PPN (PDG)</t>
        </is>
      </c>
      <c r="AI1375" t="n">
        <v>368</v>
      </c>
      <c r="AJ1375" t="inlineStr">
        <is>
          <t>ENCHANTEUR</t>
        </is>
      </c>
      <c r="AK1375" t="n">
        <v>21</v>
      </c>
      <c r="AL1375" t="inlineStr">
        <is>
          <t>Miss Glam Damar</t>
        </is>
      </c>
      <c r="AM1375" t="n">
        <v>2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ENCHANTEUR</t>
        </is>
      </c>
      <c r="B1376" s="2">
        <f>"8992856896772"</f>
        <v/>
      </c>
      <c r="C1376" t="inlineStr">
        <is>
          <t>ENCHANTEUR Deo Roll On Romantic 40ml</t>
        </is>
      </c>
      <c r="D1376" t="inlineStr">
        <is>
          <t>Miss Glam Damar</t>
        </is>
      </c>
      <c r="E1376" t="n">
        <v>2</v>
      </c>
      <c r="F1376" t="n">
        <v>0.3822</v>
      </c>
      <c r="G1376" t="n">
        <v>2.73</v>
      </c>
      <c r="H1376" t="n">
        <v>2</v>
      </c>
      <c r="I1376" t="n">
        <v>7</v>
      </c>
      <c r="J1376" t="n">
        <v>3</v>
      </c>
      <c r="K1376" t="n">
        <v>0</v>
      </c>
      <c r="L1376" t="n">
        <v>18472</v>
      </c>
      <c r="M1376" t="n">
        <v>22500</v>
      </c>
      <c r="N1376" t="n">
        <v>91</v>
      </c>
      <c r="O1376" t="n">
        <v>0.91</v>
      </c>
      <c r="P1376" t="n">
        <v>1</v>
      </c>
      <c r="Q1376" t="n">
        <v>0.32</v>
      </c>
      <c r="R1376" t="n">
        <v>2</v>
      </c>
      <c r="S1376" t="n">
        <v>8599.5</v>
      </c>
      <c r="T1376" t="n">
        <v>19</v>
      </c>
      <c r="U1376" t="n">
        <v>20</v>
      </c>
      <c r="V1376" t="n">
        <v>30</v>
      </c>
      <c r="W1376" t="n">
        <v>12</v>
      </c>
      <c r="X1376" t="n">
        <v>5.232862375719519</v>
      </c>
      <c r="Y1376" t="n">
        <v>1</v>
      </c>
      <c r="Z1376" t="n">
        <v>10</v>
      </c>
      <c r="AA1376" t="n">
        <v>1</v>
      </c>
      <c r="AB1376" t="n">
        <v>9</v>
      </c>
      <c r="AC1376" t="n">
        <v>9</v>
      </c>
      <c r="AD1376" t="n">
        <v>18472</v>
      </c>
      <c r="AE1376" t="n">
        <v>166248</v>
      </c>
      <c r="AF1376" t="n">
        <v>1781</v>
      </c>
      <c r="AG1376" t="n">
        <v>2044</v>
      </c>
      <c r="AH1376" t="inlineStr">
        <is>
          <t>CV. WINEMERI BERKARYA - PPN (PDG)</t>
        </is>
      </c>
      <c r="AI1376" t="n">
        <v>368</v>
      </c>
      <c r="AJ1376" t="inlineStr">
        <is>
          <t>ENCHANTEUR</t>
        </is>
      </c>
      <c r="AK1376" t="n">
        <v>21</v>
      </c>
      <c r="AL1376" t="inlineStr">
        <is>
          <t>Miss Glam Damar</t>
        </is>
      </c>
      <c r="AM1376" t="n">
        <v>2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ERHA</t>
        </is>
      </c>
      <c r="B1377" s="2">
        <f>"8997017130597"</f>
        <v/>
      </c>
      <c r="C1377" t="inlineStr">
        <is>
          <t>ERHA Acne Act Acne Protection Sunscreen SPF 30 PA+++</t>
        </is>
      </c>
      <c r="D1377" t="inlineStr">
        <is>
          <t>Miss Glam Damar</t>
        </is>
      </c>
      <c r="E1377" t="n">
        <v>1</v>
      </c>
      <c r="F1377" t="n">
        <v>0.0273</v>
      </c>
      <c r="G1377" t="n">
        <v>0.91</v>
      </c>
      <c r="H1377" t="n">
        <v>3</v>
      </c>
      <c r="I1377" t="n">
        <v>6</v>
      </c>
      <c r="J1377" t="n">
        <v>3</v>
      </c>
      <c r="K1377" t="n">
        <v>0</v>
      </c>
      <c r="L1377" t="n">
        <v>80000</v>
      </c>
      <c r="M1377" t="n">
        <v>102000</v>
      </c>
      <c r="N1377" t="n">
        <v>91</v>
      </c>
      <c r="O1377" t="n">
        <v>0.91</v>
      </c>
      <c r="P1377" t="n">
        <v>1</v>
      </c>
      <c r="Q1377" t="n">
        <v>0.03</v>
      </c>
      <c r="R1377" t="n">
        <v>1</v>
      </c>
      <c r="S1377" t="n">
        <v>2784.6</v>
      </c>
      <c r="T1377" t="n">
        <v>6</v>
      </c>
      <c r="U1377" t="n">
        <v>7</v>
      </c>
      <c r="V1377" t="n">
        <v>30</v>
      </c>
      <c r="W1377" t="n">
        <v>1</v>
      </c>
      <c r="X1377" t="n">
        <v>36.63003663003663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1159</v>
      </c>
      <c r="AG1377" t="n">
        <v>112</v>
      </c>
      <c r="AH1377" t="inlineStr">
        <is>
          <t>CV. LOKA WIRA SENTOSA - PPN (PDG)</t>
        </is>
      </c>
      <c r="AI1377" t="n">
        <v>431</v>
      </c>
      <c r="AJ1377" t="inlineStr">
        <is>
          <t>ERHA</t>
        </is>
      </c>
      <c r="AK1377" t="n">
        <v>21</v>
      </c>
      <c r="AL1377" t="inlineStr">
        <is>
          <t>Miss Glam Damar</t>
        </is>
      </c>
      <c r="AM1377" t="n">
        <v>4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ERHA</t>
        </is>
      </c>
      <c r="B1378" s="2">
        <f>"8997017134373"</f>
        <v/>
      </c>
      <c r="C1378" t="inlineStr">
        <is>
          <t>ERHA Acne Act Oil Free Acne Control Facial Cleanser 100ml</t>
        </is>
      </c>
      <c r="D1378" t="inlineStr">
        <is>
          <t>Miss Glam Damar</t>
        </is>
      </c>
      <c r="E1378" t="n">
        <v>0</v>
      </c>
      <c r="F1378" t="n">
        <v>0.07000000000000001</v>
      </c>
      <c r="G1378" t="n">
        <v>1</v>
      </c>
      <c r="H1378" t="n">
        <v>3</v>
      </c>
      <c r="I1378" t="n">
        <v>6</v>
      </c>
      <c r="J1378" t="n">
        <v>3</v>
      </c>
      <c r="K1378" t="n">
        <v>3</v>
      </c>
      <c r="L1378" t="n">
        <v>63226</v>
      </c>
      <c r="M1378" t="n">
        <v>89000</v>
      </c>
      <c r="N1378" t="n">
        <v>91</v>
      </c>
      <c r="O1378" t="n">
        <v>0.91</v>
      </c>
      <c r="P1378" t="n">
        <v>0</v>
      </c>
      <c r="Q1378" t="n">
        <v>0.07000000000000001</v>
      </c>
      <c r="R1378" t="n">
        <v>1</v>
      </c>
      <c r="S1378" t="n">
        <v>6230.000000000001</v>
      </c>
      <c r="T1378" t="n">
        <v>6</v>
      </c>
      <c r="U1378" t="n">
        <v>7</v>
      </c>
      <c r="V1378" t="n">
        <v>30</v>
      </c>
      <c r="W1378" t="n">
        <v>3</v>
      </c>
      <c r="X1378" t="n">
        <v>0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1159</v>
      </c>
      <c r="AG1378" t="n">
        <v>112</v>
      </c>
      <c r="AH1378" t="inlineStr">
        <is>
          <t>CV. LOKA WIRA SENTOSA - PPN (PDG)</t>
        </is>
      </c>
      <c r="AI1378" t="n">
        <v>431</v>
      </c>
      <c r="AJ1378" t="inlineStr">
        <is>
          <t>ERHA</t>
        </is>
      </c>
      <c r="AK1378" t="n">
        <v>21</v>
      </c>
      <c r="AL1378" t="inlineStr">
        <is>
          <t>Miss Glam Damar</t>
        </is>
      </c>
      <c r="AM1378" t="n">
        <v>4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ERHA</t>
        </is>
      </c>
      <c r="B1379" s="2">
        <f>"8997017133123"</f>
        <v/>
      </c>
      <c r="C1379" t="inlineStr">
        <is>
          <t>ERHA AcneAct Anti Acne Serum 30ml</t>
        </is>
      </c>
      <c r="D1379" t="inlineStr">
        <is>
          <t>Miss Glam Damar</t>
        </is>
      </c>
      <c r="E1379" t="n">
        <v>2</v>
      </c>
      <c r="F1379" t="n">
        <v>0.03</v>
      </c>
      <c r="G1379" t="n">
        <v>1</v>
      </c>
      <c r="H1379" t="n">
        <v>3</v>
      </c>
      <c r="I1379" t="n">
        <v>6</v>
      </c>
      <c r="J1379" t="n">
        <v>3</v>
      </c>
      <c r="K1379" t="n">
        <v>0</v>
      </c>
      <c r="L1379" t="n">
        <v>108000</v>
      </c>
      <c r="M1379" t="n">
        <v>131000</v>
      </c>
      <c r="N1379" t="n">
        <v>91</v>
      </c>
      <c r="O1379" t="n">
        <v>0.91</v>
      </c>
      <c r="P1379" t="n">
        <v>0</v>
      </c>
      <c r="Q1379" t="n">
        <v>0.03</v>
      </c>
      <c r="R1379" t="n">
        <v>1</v>
      </c>
      <c r="S1379" t="n">
        <v>3930</v>
      </c>
      <c r="T1379" t="n">
        <v>6</v>
      </c>
      <c r="U1379" t="n">
        <v>7</v>
      </c>
      <c r="V1379" t="n">
        <v>30</v>
      </c>
      <c r="W1379" t="n">
        <v>1</v>
      </c>
      <c r="X1379" t="n">
        <v>66.66666666666667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1159</v>
      </c>
      <c r="AG1379" t="n">
        <v>112</v>
      </c>
      <c r="AH1379" t="inlineStr">
        <is>
          <t>CV. LOKA WIRA SENTOSA - PPN (PDG)</t>
        </is>
      </c>
      <c r="AI1379" t="n">
        <v>431</v>
      </c>
      <c r="AJ1379" t="inlineStr">
        <is>
          <t>ERHA</t>
        </is>
      </c>
      <c r="AK1379" t="n">
        <v>21</v>
      </c>
      <c r="AL1379" t="inlineStr">
        <is>
          <t>Miss Glam Damar</t>
        </is>
      </c>
      <c r="AM1379" t="n">
        <v>4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ERHA</t>
        </is>
      </c>
      <c r="B1380" s="2">
        <f>"8997017133147"</f>
        <v/>
      </c>
      <c r="C1380" t="inlineStr">
        <is>
          <t>ERHA AcneAct Post Acne Spot Serum 30ml</t>
        </is>
      </c>
      <c r="D1380" t="inlineStr">
        <is>
          <t>Miss Glam Damar</t>
        </is>
      </c>
      <c r="E1380" t="n">
        <v>0</v>
      </c>
      <c r="F1380" t="n">
        <v>0.0364</v>
      </c>
      <c r="G1380" t="n">
        <v>0.91</v>
      </c>
      <c r="H1380" t="n">
        <v>3</v>
      </c>
      <c r="I1380" t="n">
        <v>6</v>
      </c>
      <c r="J1380" t="n">
        <v>3</v>
      </c>
      <c r="K1380" t="n">
        <v>3</v>
      </c>
      <c r="L1380" t="n">
        <v>108000</v>
      </c>
      <c r="M1380" t="n">
        <v>154500</v>
      </c>
      <c r="N1380" t="n">
        <v>91</v>
      </c>
      <c r="O1380" t="n">
        <v>0.91</v>
      </c>
      <c r="P1380" t="n">
        <v>1</v>
      </c>
      <c r="Q1380" t="n">
        <v>0.06</v>
      </c>
      <c r="R1380" t="n">
        <v>1</v>
      </c>
      <c r="S1380" t="n">
        <v>5623.8</v>
      </c>
      <c r="T1380" t="n">
        <v>6</v>
      </c>
      <c r="U1380" t="n">
        <v>7</v>
      </c>
      <c r="V1380" t="n">
        <v>30</v>
      </c>
      <c r="W1380" t="n">
        <v>2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1159</v>
      </c>
      <c r="AG1380" t="n">
        <v>112</v>
      </c>
      <c r="AH1380" t="inlineStr">
        <is>
          <t>CV. LOKA WIRA SENTOSA - PPN (PDG)</t>
        </is>
      </c>
      <c r="AI1380" t="n">
        <v>431</v>
      </c>
      <c r="AJ1380" t="inlineStr">
        <is>
          <t>ERHA</t>
        </is>
      </c>
      <c r="AK1380" t="n">
        <v>21</v>
      </c>
      <c r="AL1380" t="inlineStr">
        <is>
          <t>Miss Glam Damar</t>
        </is>
      </c>
      <c r="AM1380" t="n">
        <v>4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ERHA</t>
        </is>
      </c>
      <c r="B1381" s="2">
        <f>"8997017131822"</f>
        <v/>
      </c>
      <c r="C1381" t="inlineStr">
        <is>
          <t>ERHA Age Corrector Peptides &amp; Hyaluronate Day Cream 30gr</t>
        </is>
      </c>
      <c r="D1381" t="inlineStr">
        <is>
          <t>Miss Glam Damar</t>
        </is>
      </c>
      <c r="E1381" t="n">
        <v>1</v>
      </c>
      <c r="F1381" t="n">
        <v>0.03</v>
      </c>
      <c r="G1381" t="n">
        <v>1</v>
      </c>
      <c r="H1381" t="n">
        <v>3</v>
      </c>
      <c r="I1381" t="n">
        <v>6</v>
      </c>
      <c r="J1381" t="n">
        <v>3</v>
      </c>
      <c r="K1381" t="n">
        <v>0</v>
      </c>
      <c r="L1381" t="n">
        <v>144000</v>
      </c>
      <c r="M1381" t="n">
        <v>189000</v>
      </c>
      <c r="N1381" t="n">
        <v>91</v>
      </c>
      <c r="O1381" t="n">
        <v>0.91</v>
      </c>
      <c r="P1381" t="n">
        <v>0</v>
      </c>
      <c r="Q1381" t="n">
        <v>0.03</v>
      </c>
      <c r="R1381" t="n">
        <v>1</v>
      </c>
      <c r="S1381" t="n">
        <v>5670</v>
      </c>
      <c r="T1381" t="n">
        <v>6</v>
      </c>
      <c r="U1381" t="n">
        <v>7</v>
      </c>
      <c r="V1381" t="n">
        <v>30</v>
      </c>
      <c r="W1381" t="n">
        <v>1</v>
      </c>
      <c r="X1381" t="n">
        <v>33.33333333333334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1159</v>
      </c>
      <c r="AG1381" t="n">
        <v>112</v>
      </c>
      <c r="AH1381" t="inlineStr">
        <is>
          <t>CV. LOKA WIRA SENTOSA - PPN (PDG)</t>
        </is>
      </c>
      <c r="AI1381" t="n">
        <v>431</v>
      </c>
      <c r="AJ1381" t="inlineStr">
        <is>
          <t>ERHA</t>
        </is>
      </c>
      <c r="AK1381" t="n">
        <v>21</v>
      </c>
      <c r="AL1381" t="inlineStr">
        <is>
          <t>Miss Glam Damar</t>
        </is>
      </c>
      <c r="AM1381" t="n">
        <v>4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ERHA</t>
        </is>
      </c>
      <c r="B1382" s="2">
        <f>"8997017130856"</f>
        <v/>
      </c>
      <c r="C1382" t="inlineStr">
        <is>
          <t>ERHA Age Corrector Serum 20ml</t>
        </is>
      </c>
      <c r="D1382" t="inlineStr">
        <is>
          <t>Miss Glam Damar</t>
        </is>
      </c>
      <c r="E1382" t="n">
        <v>0</v>
      </c>
      <c r="F1382" t="n">
        <v>0.04</v>
      </c>
      <c r="G1382" t="n">
        <v>1</v>
      </c>
      <c r="H1382" t="n">
        <v>3</v>
      </c>
      <c r="I1382" t="n">
        <v>6</v>
      </c>
      <c r="J1382" t="n">
        <v>3</v>
      </c>
      <c r="K1382" t="n">
        <v>0</v>
      </c>
      <c r="L1382" t="n">
        <v>159200</v>
      </c>
      <c r="M1382" t="n">
        <v>199500</v>
      </c>
      <c r="N1382" t="n">
        <v>91</v>
      </c>
      <c r="O1382" t="n">
        <v>0.91</v>
      </c>
      <c r="P1382" t="n">
        <v>0</v>
      </c>
      <c r="Q1382" t="n">
        <v>0.04</v>
      </c>
      <c r="R1382" t="n">
        <v>1</v>
      </c>
      <c r="S1382" t="n">
        <v>7980</v>
      </c>
      <c r="T1382" t="n">
        <v>6</v>
      </c>
      <c r="U1382" t="n">
        <v>7</v>
      </c>
      <c r="V1382" t="n">
        <v>30</v>
      </c>
      <c r="W1382" t="n">
        <v>2</v>
      </c>
      <c r="X1382" t="n">
        <v>0</v>
      </c>
      <c r="Y1382" t="n">
        <v>1</v>
      </c>
      <c r="Z1382" t="n">
        <v>2</v>
      </c>
      <c r="AA1382" t="n">
        <v>1</v>
      </c>
      <c r="AB1382" t="n">
        <v>1</v>
      </c>
      <c r="AC1382" t="n">
        <v>3</v>
      </c>
      <c r="AD1382" t="n">
        <v>159200</v>
      </c>
      <c r="AE1382" t="n">
        <v>477600</v>
      </c>
      <c r="AF1382" t="n">
        <v>1159</v>
      </c>
      <c r="AG1382" t="n">
        <v>112</v>
      </c>
      <c r="AH1382" t="inlineStr">
        <is>
          <t>CV. LOKA WIRA SENTOSA - PPN (PDG)</t>
        </is>
      </c>
      <c r="AI1382" t="n">
        <v>431</v>
      </c>
      <c r="AJ1382" t="inlineStr">
        <is>
          <t>ERHA</t>
        </is>
      </c>
      <c r="AK1382" t="n">
        <v>21</v>
      </c>
      <c r="AL1382" t="inlineStr">
        <is>
          <t>Miss Glam Damar</t>
        </is>
      </c>
      <c r="AM1382" t="n">
        <v>4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ERHA</t>
        </is>
      </c>
      <c r="B1383" s="2">
        <f>"8997017133598"</f>
        <v/>
      </c>
      <c r="C1383" t="inlineStr">
        <is>
          <t>ERHA Skinsitive Df Ultracalm Face Wash 80gr</t>
        </is>
      </c>
      <c r="D1383" t="inlineStr">
        <is>
          <t>Miss Glam Damar</t>
        </is>
      </c>
      <c r="E1383" t="n">
        <v>0</v>
      </c>
      <c r="F1383" t="n">
        <v>0.06370000000000001</v>
      </c>
      <c r="G1383" t="n">
        <v>0.91</v>
      </c>
      <c r="H1383" t="n">
        <v>3</v>
      </c>
      <c r="I1383" t="n">
        <v>6</v>
      </c>
      <c r="J1383" t="n">
        <v>3</v>
      </c>
      <c r="K1383" t="n">
        <v>3</v>
      </c>
      <c r="L1383" t="n">
        <v>76000</v>
      </c>
      <c r="M1383" t="n">
        <v>95000</v>
      </c>
      <c r="N1383" t="n">
        <v>91</v>
      </c>
      <c r="O1383" t="n">
        <v>0.91</v>
      </c>
      <c r="P1383" t="n">
        <v>1</v>
      </c>
      <c r="Q1383" t="n">
        <v>0.1</v>
      </c>
      <c r="R1383" t="n">
        <v>1</v>
      </c>
      <c r="S1383" t="n">
        <v>6051.500000000001</v>
      </c>
      <c r="T1383" t="n">
        <v>6</v>
      </c>
      <c r="U1383" t="n">
        <v>7</v>
      </c>
      <c r="V1383" t="n">
        <v>30</v>
      </c>
      <c r="W1383" t="n">
        <v>2</v>
      </c>
      <c r="X1383" t="n">
        <v>0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1159</v>
      </c>
      <c r="AG1383" t="n">
        <v>112</v>
      </c>
      <c r="AH1383" t="inlineStr">
        <is>
          <t>CV. LOKA WIRA SENTOSA - PPN (PDG)</t>
        </is>
      </c>
      <c r="AI1383" t="n">
        <v>431</v>
      </c>
      <c r="AJ1383" t="inlineStr">
        <is>
          <t>ERHA</t>
        </is>
      </c>
      <c r="AK1383" t="n">
        <v>21</v>
      </c>
      <c r="AL1383" t="inlineStr">
        <is>
          <t>Miss Glam Damar</t>
        </is>
      </c>
      <c r="AM1383" t="n">
        <v>4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ESENSES</t>
        </is>
      </c>
      <c r="B1384" s="2">
        <f>"8994037835976"</f>
        <v/>
      </c>
      <c r="C1384" t="inlineStr">
        <is>
          <t>ESENSES Colagen Lip Serum 3ml</t>
        </is>
      </c>
      <c r="D1384" t="inlineStr">
        <is>
          <t>Miss Glam Damar</t>
        </is>
      </c>
      <c r="E1384" t="n">
        <v>9</v>
      </c>
      <c r="F1384" t="n">
        <v>0.09100000000000001</v>
      </c>
      <c r="G1384" t="n">
        <v>0.91</v>
      </c>
      <c r="H1384" t="n">
        <v>3</v>
      </c>
      <c r="I1384" t="n">
        <v>11</v>
      </c>
      <c r="J1384" t="n">
        <v>3</v>
      </c>
      <c r="K1384" t="n">
        <v>0</v>
      </c>
      <c r="L1384" t="n">
        <v>23670</v>
      </c>
      <c r="M1384" t="n">
        <v>30000</v>
      </c>
      <c r="N1384" t="n">
        <v>91</v>
      </c>
      <c r="O1384" t="n">
        <v>0.91</v>
      </c>
      <c r="P1384" t="n">
        <v>1</v>
      </c>
      <c r="Q1384" t="n">
        <v>0.05</v>
      </c>
      <c r="R1384" t="n">
        <v>2</v>
      </c>
      <c r="S1384" t="n">
        <v>2730</v>
      </c>
      <c r="T1384" t="n">
        <v>10</v>
      </c>
      <c r="U1384" t="n">
        <v>11</v>
      </c>
      <c r="V1384" t="n">
        <v>30</v>
      </c>
      <c r="W1384" t="n">
        <v>3</v>
      </c>
      <c r="X1384" t="n">
        <v>98.90109890109889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10009</v>
      </c>
      <c r="AG1384" t="n">
        <v>78</v>
      </c>
      <c r="AH1384" t="inlineStr">
        <is>
          <t>PT. GLORIENTA P.H - PPN (PDG)</t>
        </is>
      </c>
      <c r="AI1384" t="n">
        <v>778</v>
      </c>
      <c r="AJ1384" t="inlineStr">
        <is>
          <t>ESENSES</t>
        </is>
      </c>
      <c r="AK1384" t="n">
        <v>21</v>
      </c>
      <c r="AL1384" t="inlineStr">
        <is>
          <t>Miss Glam Damar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ESENSES</t>
        </is>
      </c>
      <c r="B1385" s="2">
        <f>"8994037801339"</f>
        <v/>
      </c>
      <c r="C1385" t="inlineStr">
        <is>
          <t>ESENSES Mascara Volume Waterproff Black</t>
        </is>
      </c>
      <c r="D1385" t="inlineStr">
        <is>
          <t>Miss Glam Damar</t>
        </is>
      </c>
      <c r="E1385" t="n">
        <v>30</v>
      </c>
      <c r="F1385" t="n">
        <v>1.4469</v>
      </c>
      <c r="G1385" t="n">
        <v>7.28</v>
      </c>
      <c r="H1385" t="n">
        <v>3</v>
      </c>
      <c r="I1385" t="n">
        <v>11</v>
      </c>
      <c r="J1385" t="n">
        <v>12</v>
      </c>
      <c r="K1385" t="n">
        <v>0</v>
      </c>
      <c r="L1385" t="n">
        <v>17682</v>
      </c>
      <c r="M1385" t="n">
        <v>24000</v>
      </c>
      <c r="N1385" t="n">
        <v>91</v>
      </c>
      <c r="O1385" t="n">
        <v>0.91</v>
      </c>
      <c r="P1385" t="n">
        <v>1</v>
      </c>
      <c r="Q1385" t="n">
        <v>0.39</v>
      </c>
      <c r="R1385" t="n">
        <v>3</v>
      </c>
      <c r="S1385" t="n">
        <v>34725.6</v>
      </c>
      <c r="T1385" t="n">
        <v>76</v>
      </c>
      <c r="U1385" t="n">
        <v>81</v>
      </c>
      <c r="V1385" t="n">
        <v>30</v>
      </c>
      <c r="W1385" t="n">
        <v>44</v>
      </c>
      <c r="X1385" t="n">
        <v>20.73398299813394</v>
      </c>
      <c r="Y1385" t="n">
        <v>1</v>
      </c>
      <c r="Z1385" t="n">
        <v>14</v>
      </c>
      <c r="AA1385" t="n">
        <v>0</v>
      </c>
      <c r="AB1385" t="n">
        <v>14</v>
      </c>
      <c r="AC1385" t="n">
        <v>14</v>
      </c>
      <c r="AD1385" t="n">
        <v>0</v>
      </c>
      <c r="AE1385" t="n">
        <v>247548</v>
      </c>
      <c r="AF1385" t="n">
        <v>10009</v>
      </c>
      <c r="AG1385" t="n">
        <v>78</v>
      </c>
      <c r="AH1385" t="inlineStr">
        <is>
          <t>PT. GLORIENTA P.H - PPN (PDG)</t>
        </is>
      </c>
      <c r="AI1385" t="n">
        <v>778</v>
      </c>
      <c r="AJ1385" t="inlineStr">
        <is>
          <t>ESENSES</t>
        </is>
      </c>
      <c r="AK1385" t="n">
        <v>21</v>
      </c>
      <c r="AL1385" t="inlineStr">
        <is>
          <t>Miss Glam Damar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ESENSES</t>
        </is>
      </c>
      <c r="B1386" s="2">
        <f>"8994037802527"</f>
        <v/>
      </c>
      <c r="C1386" t="inlineStr">
        <is>
          <t>ESENSES Stay On Eyeliner Black 3.8ml</t>
        </is>
      </c>
      <c r="D1386" t="inlineStr">
        <is>
          <t>Miss Glam Damar</t>
        </is>
      </c>
      <c r="E1386" t="n">
        <v>9</v>
      </c>
      <c r="F1386" t="n">
        <v>0.1547</v>
      </c>
      <c r="G1386" t="n">
        <v>0.91</v>
      </c>
      <c r="H1386" t="n">
        <v>3</v>
      </c>
      <c r="I1386" t="n">
        <v>11</v>
      </c>
      <c r="J1386" t="n">
        <v>3</v>
      </c>
      <c r="K1386" t="n">
        <v>0</v>
      </c>
      <c r="L1386" t="n">
        <v>17730</v>
      </c>
      <c r="M1386" t="n">
        <v>22000</v>
      </c>
      <c r="N1386" t="n">
        <v>91</v>
      </c>
      <c r="O1386" t="n">
        <v>0.91</v>
      </c>
      <c r="P1386" t="n">
        <v>1</v>
      </c>
      <c r="Q1386" t="n">
        <v>0.14</v>
      </c>
      <c r="R1386" t="n">
        <v>1</v>
      </c>
      <c r="S1386" t="n">
        <v>3403.4</v>
      </c>
      <c r="T1386" t="n">
        <v>10</v>
      </c>
      <c r="U1386" t="n">
        <v>11</v>
      </c>
      <c r="V1386" t="n">
        <v>30</v>
      </c>
      <c r="W1386" t="n">
        <v>5</v>
      </c>
      <c r="X1386" t="n">
        <v>58.17711700064641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10009</v>
      </c>
      <c r="AG1386" t="n">
        <v>78</v>
      </c>
      <c r="AH1386" t="inlineStr">
        <is>
          <t>PT. GLORIENTA P.H - PPN (PDG)</t>
        </is>
      </c>
      <c r="AI1386" t="n">
        <v>778</v>
      </c>
      <c r="AJ1386" t="inlineStr">
        <is>
          <t>ESENSES</t>
        </is>
      </c>
      <c r="AK1386" t="n">
        <v>21</v>
      </c>
      <c r="AL1386" t="inlineStr">
        <is>
          <t>Miss Glam Damar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ESQA</t>
        </is>
      </c>
      <c r="B1387" s="2">
        <f>"20100966756"</f>
        <v/>
      </c>
      <c r="C1387" t="inlineStr">
        <is>
          <t>ESQA Bitty Balm Stick Blush - Amore 6gr</t>
        </is>
      </c>
      <c r="D1387" t="inlineStr">
        <is>
          <t>Miss Glam Damar</t>
        </is>
      </c>
      <c r="E1387" t="n">
        <v>9</v>
      </c>
      <c r="F1387" t="n">
        <v>0.0273</v>
      </c>
      <c r="G1387" t="n">
        <v>0.91</v>
      </c>
      <c r="H1387" t="n">
        <v>4</v>
      </c>
      <c r="I1387" t="n">
        <v>21</v>
      </c>
      <c r="J1387" t="n">
        <v>1</v>
      </c>
      <c r="K1387" t="n">
        <v>0</v>
      </c>
      <c r="L1387" t="n">
        <v>89700</v>
      </c>
      <c r="M1387" t="n">
        <v>115000</v>
      </c>
      <c r="N1387" t="n">
        <v>91</v>
      </c>
      <c r="O1387" t="n">
        <v>0.91</v>
      </c>
      <c r="P1387" t="n">
        <v>1</v>
      </c>
      <c r="Q1387" t="n">
        <v>0.05</v>
      </c>
      <c r="R1387" t="n">
        <v>1</v>
      </c>
      <c r="S1387" t="n">
        <v>3139.5</v>
      </c>
      <c r="T1387" t="n">
        <v>20</v>
      </c>
      <c r="U1387" t="n">
        <v>21</v>
      </c>
      <c r="V1387" t="n">
        <v>30</v>
      </c>
      <c r="W1387" t="n">
        <v>1</v>
      </c>
      <c r="X1387" t="n">
        <v>329.6703296703296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4699</v>
      </c>
      <c r="AG1387" t="n">
        <v>1</v>
      </c>
      <c r="AH1387" t="inlineStr">
        <is>
          <t>PT. BERSAMA DISTRIVERSA INDONESIA (DC CIPUTAT)</t>
        </is>
      </c>
      <c r="AI1387" t="n">
        <v>458</v>
      </c>
      <c r="AJ1387" t="inlineStr">
        <is>
          <t>ESQA</t>
        </is>
      </c>
      <c r="AK1387" t="n">
        <v>21</v>
      </c>
      <c r="AL1387" t="inlineStr">
        <is>
          <t>Miss Glam Damar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ESQA</t>
        </is>
      </c>
      <c r="B1388" s="2">
        <f>"20100966817"</f>
        <v/>
      </c>
      <c r="C1388" t="inlineStr">
        <is>
          <t>ESQA Bitty Balm Stick Blush - Coquette 6gr</t>
        </is>
      </c>
      <c r="D1388" t="inlineStr">
        <is>
          <t>Miss Glam Damar</t>
        </is>
      </c>
      <c r="E1388" t="n">
        <v>10</v>
      </c>
      <c r="F1388" t="n">
        <v>0.02</v>
      </c>
      <c r="G1388" t="n">
        <v>1</v>
      </c>
      <c r="H1388" t="n">
        <v>4</v>
      </c>
      <c r="I1388" t="n">
        <v>21</v>
      </c>
      <c r="J1388" t="n">
        <v>1</v>
      </c>
      <c r="K1388" t="n">
        <v>0</v>
      </c>
      <c r="L1388" t="n">
        <v>89700</v>
      </c>
      <c r="M1388" t="n">
        <v>115000</v>
      </c>
      <c r="N1388" t="n">
        <v>91</v>
      </c>
      <c r="O1388" t="n">
        <v>0.91</v>
      </c>
      <c r="P1388" t="n">
        <v>0</v>
      </c>
      <c r="Q1388" t="n">
        <v>0.02</v>
      </c>
      <c r="R1388" t="n">
        <v>1</v>
      </c>
      <c r="S1388" t="n">
        <v>2300</v>
      </c>
      <c r="T1388" t="n">
        <v>21</v>
      </c>
      <c r="U1388" t="n">
        <v>22</v>
      </c>
      <c r="V1388" t="n">
        <v>30</v>
      </c>
      <c r="W1388" t="n">
        <v>1</v>
      </c>
      <c r="X1388" t="n">
        <v>500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4699</v>
      </c>
      <c r="AG1388" t="n">
        <v>1</v>
      </c>
      <c r="AH1388" t="inlineStr">
        <is>
          <t>PT. BERSAMA DISTRIVERSA INDONESIA (DC CIPUTAT)</t>
        </is>
      </c>
      <c r="AI1388" t="n">
        <v>458</v>
      </c>
      <c r="AJ1388" t="inlineStr">
        <is>
          <t>ESQA</t>
        </is>
      </c>
      <c r="AK1388" t="n">
        <v>21</v>
      </c>
      <c r="AL1388" t="inlineStr">
        <is>
          <t>Miss Glam Damar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ESQA</t>
        </is>
      </c>
      <c r="B1389" s="2">
        <f>"20100967024"</f>
        <v/>
      </c>
      <c r="C1389" t="inlineStr">
        <is>
          <t>ESQA Bitty Balm Stick Blush - Serene 6gr</t>
        </is>
      </c>
      <c r="D1389" t="inlineStr">
        <is>
          <t>Miss Glam Damar</t>
        </is>
      </c>
      <c r="E1389" t="n">
        <v>8</v>
      </c>
      <c r="F1389" t="n">
        <v>0.0182</v>
      </c>
      <c r="G1389" t="n">
        <v>0.91</v>
      </c>
      <c r="H1389" t="n">
        <v>4</v>
      </c>
      <c r="I1389" t="n">
        <v>21</v>
      </c>
      <c r="J1389" t="n">
        <v>1</v>
      </c>
      <c r="K1389" t="n">
        <v>0</v>
      </c>
      <c r="L1389" t="n">
        <v>89700</v>
      </c>
      <c r="M1389" t="n">
        <v>115000</v>
      </c>
      <c r="N1389" t="n">
        <v>91</v>
      </c>
      <c r="O1389" t="n">
        <v>0.91</v>
      </c>
      <c r="P1389" t="n">
        <v>1</v>
      </c>
      <c r="Q1389" t="n">
        <v>0.05</v>
      </c>
      <c r="R1389" t="n">
        <v>1</v>
      </c>
      <c r="S1389" t="n">
        <v>2093</v>
      </c>
      <c r="T1389" t="n">
        <v>20</v>
      </c>
      <c r="U1389" t="n">
        <v>21</v>
      </c>
      <c r="V1389" t="n">
        <v>30</v>
      </c>
      <c r="W1389" t="n">
        <v>1</v>
      </c>
      <c r="X1389" t="n">
        <v>439.5604395604395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4699</v>
      </c>
      <c r="AG1389" t="n">
        <v>1</v>
      </c>
      <c r="AH1389" t="inlineStr">
        <is>
          <t>PT. BERSAMA DISTRIVERSA INDONESIA (DC CIPUTAT)</t>
        </is>
      </c>
      <c r="AI1389" t="n">
        <v>458</v>
      </c>
      <c r="AJ1389" t="inlineStr">
        <is>
          <t>ESQA</t>
        </is>
      </c>
      <c r="AK1389" t="n">
        <v>21</v>
      </c>
      <c r="AL1389" t="inlineStr">
        <is>
          <t>Miss Glam Damar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ESQA</t>
        </is>
      </c>
      <c r="B1390" s="2">
        <f>"9999810011911"</f>
        <v/>
      </c>
      <c r="C1390" t="inlineStr">
        <is>
          <t>ESQA Blush Florence</t>
        </is>
      </c>
      <c r="D1390" t="inlineStr">
        <is>
          <t>Miss Glam Damar</t>
        </is>
      </c>
      <c r="E1390" t="n">
        <v>3</v>
      </c>
      <c r="F1390" t="n">
        <v>0.02</v>
      </c>
      <c r="G1390" t="n">
        <v>1</v>
      </c>
      <c r="H1390" t="n">
        <v>4</v>
      </c>
      <c r="I1390" t="n">
        <v>21</v>
      </c>
      <c r="J1390" t="n">
        <v>3</v>
      </c>
      <c r="K1390" t="n">
        <v>0</v>
      </c>
      <c r="L1390" t="n">
        <v>76650</v>
      </c>
      <c r="M1390" t="n">
        <v>105000</v>
      </c>
      <c r="N1390" t="n">
        <v>91</v>
      </c>
      <c r="O1390" t="n">
        <v>0.91</v>
      </c>
      <c r="P1390" t="n">
        <v>0</v>
      </c>
      <c r="Q1390" t="n">
        <v>0.02</v>
      </c>
      <c r="R1390" t="n">
        <v>1</v>
      </c>
      <c r="S1390" t="n">
        <v>2100</v>
      </c>
      <c r="T1390" t="n">
        <v>21</v>
      </c>
      <c r="U1390" t="n">
        <v>22</v>
      </c>
      <c r="V1390" t="n">
        <v>30</v>
      </c>
      <c r="W1390" t="n">
        <v>1</v>
      </c>
      <c r="X1390" t="n">
        <v>150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4699</v>
      </c>
      <c r="AG1390" t="n">
        <v>1</v>
      </c>
      <c r="AH1390" t="inlineStr">
        <is>
          <t>PT. BERSAMA DISTRIVERSA INDONESIA (DC CIPUTAT)</t>
        </is>
      </c>
      <c r="AI1390" t="n">
        <v>458</v>
      </c>
      <c r="AJ1390" t="inlineStr">
        <is>
          <t>ESQA</t>
        </is>
      </c>
      <c r="AK1390" t="n">
        <v>21</v>
      </c>
      <c r="AL1390" t="inlineStr">
        <is>
          <t>Miss Glam Damar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ESQA</t>
        </is>
      </c>
      <c r="B1391" s="2">
        <f>"9999810121252"</f>
        <v/>
      </c>
      <c r="C1391" t="inlineStr">
        <is>
          <t>ESQA Blush Malibu 3.5gr</t>
        </is>
      </c>
      <c r="D1391" t="inlineStr">
        <is>
          <t>Miss Glam Damar</t>
        </is>
      </c>
      <c r="E1391" t="n">
        <v>5</v>
      </c>
      <c r="F1391" t="n">
        <v>0.0273</v>
      </c>
      <c r="G1391" t="n">
        <v>0.91</v>
      </c>
      <c r="H1391" t="n">
        <v>4</v>
      </c>
      <c r="I1391" t="n">
        <v>21</v>
      </c>
      <c r="J1391" t="n">
        <v>3</v>
      </c>
      <c r="K1391" t="n">
        <v>0</v>
      </c>
      <c r="L1391" t="n">
        <v>84357</v>
      </c>
      <c r="M1391" t="n">
        <v>102500</v>
      </c>
      <c r="N1391" t="n">
        <v>91</v>
      </c>
      <c r="O1391" t="n">
        <v>0.91</v>
      </c>
      <c r="P1391" t="n">
        <v>1</v>
      </c>
      <c r="Q1391" t="n">
        <v>0.05</v>
      </c>
      <c r="R1391" t="n">
        <v>1</v>
      </c>
      <c r="S1391" t="n">
        <v>2798.25</v>
      </c>
      <c r="T1391" t="n">
        <v>20</v>
      </c>
      <c r="U1391" t="n">
        <v>21</v>
      </c>
      <c r="V1391" t="n">
        <v>30</v>
      </c>
      <c r="W1391" t="n">
        <v>1</v>
      </c>
      <c r="X1391" t="n">
        <v>183.1501831501832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4699</v>
      </c>
      <c r="AG1391" t="n">
        <v>1</v>
      </c>
      <c r="AH1391" t="inlineStr">
        <is>
          <t>PT. BERSAMA DISTRIVERSA INDONESIA (DC CIPUTAT)</t>
        </is>
      </c>
      <c r="AI1391" t="n">
        <v>458</v>
      </c>
      <c r="AJ1391" t="inlineStr">
        <is>
          <t>ESQA</t>
        </is>
      </c>
      <c r="AK1391" t="n">
        <v>21</v>
      </c>
      <c r="AL1391" t="inlineStr">
        <is>
          <t>Miss Glam Damar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ESQA</t>
        </is>
      </c>
      <c r="B1392" s="2">
        <f>"9999903061243"</f>
        <v/>
      </c>
      <c r="C1392" t="inlineStr">
        <is>
          <t>ESQA Eyeshadow Palette Mauve Goddess 9gr</t>
        </is>
      </c>
      <c r="D1392" t="inlineStr">
        <is>
          <t>Miss Glam Damar</t>
        </is>
      </c>
      <c r="E1392" t="n">
        <v>3</v>
      </c>
      <c r="F1392" t="n">
        <v>0.1</v>
      </c>
      <c r="G1392" t="n">
        <v>2</v>
      </c>
      <c r="H1392" t="n">
        <v>4</v>
      </c>
      <c r="I1392" t="n">
        <v>21</v>
      </c>
      <c r="J1392" t="n">
        <v>3</v>
      </c>
      <c r="K1392" t="n">
        <v>0</v>
      </c>
      <c r="L1392" t="n">
        <v>139409</v>
      </c>
      <c r="M1392" t="n">
        <v>180000</v>
      </c>
      <c r="N1392" t="n">
        <v>91</v>
      </c>
      <c r="O1392" t="n">
        <v>0.91</v>
      </c>
      <c r="P1392" t="n">
        <v>0</v>
      </c>
      <c r="Q1392" t="n">
        <v>0.1</v>
      </c>
      <c r="R1392" t="n">
        <v>2</v>
      </c>
      <c r="S1392" t="n">
        <v>18000</v>
      </c>
      <c r="T1392" t="n">
        <v>42</v>
      </c>
      <c r="U1392" t="n">
        <v>43</v>
      </c>
      <c r="V1392" t="n">
        <v>30</v>
      </c>
      <c r="W1392" t="n">
        <v>3</v>
      </c>
      <c r="X1392" t="n">
        <v>30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4699</v>
      </c>
      <c r="AG1392" t="n">
        <v>1</v>
      </c>
      <c r="AH1392" t="inlineStr">
        <is>
          <t>PT. BERSAMA DISTRIVERSA INDONESIA (DC CIPUTAT)</t>
        </is>
      </c>
      <c r="AI1392" t="n">
        <v>458</v>
      </c>
      <c r="AJ1392" t="inlineStr">
        <is>
          <t>ESQA</t>
        </is>
      </c>
      <c r="AK1392" t="n">
        <v>21</v>
      </c>
      <c r="AL1392" t="inlineStr">
        <is>
          <t>Miss Glam Damar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ESQA</t>
        </is>
      </c>
      <c r="B1393" s="2">
        <f>"9999903031901"</f>
        <v/>
      </c>
      <c r="C1393" t="inlineStr">
        <is>
          <t>ESQA Eyeshadow Palette Peach Goddes 9gr</t>
        </is>
      </c>
      <c r="D1393" t="inlineStr">
        <is>
          <t>Miss Glam Damar</t>
        </is>
      </c>
      <c r="E1393" t="n">
        <v>1</v>
      </c>
      <c r="F1393" t="n">
        <v>0.1092</v>
      </c>
      <c r="G1393" t="n">
        <v>1.82</v>
      </c>
      <c r="H1393" t="n">
        <v>4</v>
      </c>
      <c r="I1393" t="n">
        <v>21</v>
      </c>
      <c r="J1393" t="n">
        <v>3</v>
      </c>
      <c r="K1393" t="n">
        <v>0</v>
      </c>
      <c r="L1393" t="n">
        <v>136500</v>
      </c>
      <c r="M1393" t="n">
        <v>161000</v>
      </c>
      <c r="N1393" t="n">
        <v>91</v>
      </c>
      <c r="O1393" t="n">
        <v>0.91</v>
      </c>
      <c r="P1393" t="n">
        <v>1</v>
      </c>
      <c r="Q1393" t="n">
        <v>0.03</v>
      </c>
      <c r="R1393" t="n">
        <v>1</v>
      </c>
      <c r="S1393" t="n">
        <v>17581.2</v>
      </c>
      <c r="T1393" t="n">
        <v>38</v>
      </c>
      <c r="U1393" t="n">
        <v>39</v>
      </c>
      <c r="V1393" t="n">
        <v>30</v>
      </c>
      <c r="W1393" t="n">
        <v>4</v>
      </c>
      <c r="X1393" t="n">
        <v>9.157509157509157</v>
      </c>
      <c r="Y1393" t="n">
        <v>1</v>
      </c>
      <c r="Z1393" t="n">
        <v>3</v>
      </c>
      <c r="AA1393" t="n">
        <v>2</v>
      </c>
      <c r="AB1393" t="n">
        <v>1</v>
      </c>
      <c r="AC1393" t="n">
        <v>3</v>
      </c>
      <c r="AD1393" t="n">
        <v>273000</v>
      </c>
      <c r="AE1393" t="n">
        <v>409500</v>
      </c>
      <c r="AF1393" t="n">
        <v>4699</v>
      </c>
      <c r="AG1393" t="n">
        <v>1</v>
      </c>
      <c r="AH1393" t="inlineStr">
        <is>
          <t>PT. BERSAMA DISTRIVERSA INDONESIA (DC CIPUTAT)</t>
        </is>
      </c>
      <c r="AI1393" t="n">
        <v>458</v>
      </c>
      <c r="AJ1393" t="inlineStr">
        <is>
          <t>ESQA</t>
        </is>
      </c>
      <c r="AK1393" t="n">
        <v>21</v>
      </c>
      <c r="AL1393" t="inlineStr">
        <is>
          <t>Miss Glam Damar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ESQA</t>
        </is>
      </c>
      <c r="B1394" s="2">
        <f>"9999903030195"</f>
        <v/>
      </c>
      <c r="C1394" t="inlineStr">
        <is>
          <t>ESQA Eyeshadow Palette Pink Goddes 9gr</t>
        </is>
      </c>
      <c r="D1394" t="inlineStr">
        <is>
          <t>Miss Glam Damar</t>
        </is>
      </c>
      <c r="E1394" t="n">
        <v>2</v>
      </c>
      <c r="F1394" t="n">
        <v>0.0182</v>
      </c>
      <c r="G1394" t="n">
        <v>0.91</v>
      </c>
      <c r="H1394" t="n">
        <v>4</v>
      </c>
      <c r="I1394" t="n">
        <v>21</v>
      </c>
      <c r="J1394" t="n">
        <v>3</v>
      </c>
      <c r="K1394" t="n">
        <v>0</v>
      </c>
      <c r="L1394" t="n">
        <v>136500</v>
      </c>
      <c r="M1394" t="n">
        <v>161000</v>
      </c>
      <c r="N1394" t="n">
        <v>91</v>
      </c>
      <c r="O1394" t="n">
        <v>0.91</v>
      </c>
      <c r="P1394" t="n">
        <v>1</v>
      </c>
      <c r="Q1394" t="n">
        <v>0.02</v>
      </c>
      <c r="R1394" t="n">
        <v>1</v>
      </c>
      <c r="S1394" t="n">
        <v>2930.2</v>
      </c>
      <c r="T1394" t="n">
        <v>20</v>
      </c>
      <c r="U1394" t="n">
        <v>21</v>
      </c>
      <c r="V1394" t="n">
        <v>30</v>
      </c>
      <c r="W1394" t="n">
        <v>1</v>
      </c>
      <c r="X1394" t="n">
        <v>109.8901098901099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4699</v>
      </c>
      <c r="AG1394" t="n">
        <v>1</v>
      </c>
      <c r="AH1394" t="inlineStr">
        <is>
          <t>PT. BERSAMA DISTRIVERSA INDONESIA (DC CIPUTAT)</t>
        </is>
      </c>
      <c r="AI1394" t="n">
        <v>458</v>
      </c>
      <c r="AJ1394" t="inlineStr">
        <is>
          <t>ESQA</t>
        </is>
      </c>
      <c r="AK1394" t="n">
        <v>21</v>
      </c>
      <c r="AL1394" t="inlineStr">
        <is>
          <t>Miss Glam Damar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ESQA</t>
        </is>
      </c>
      <c r="B1395" s="2">
        <f>"20100483753"</f>
        <v/>
      </c>
      <c r="C1395" t="inlineStr">
        <is>
          <t>ESQA Flawess Cushion Serum Velvet Matte SPF 50+ PA++++ 15gr</t>
        </is>
      </c>
      <c r="D1395" t="inlineStr">
        <is>
          <t>Miss Glam Damar</t>
        </is>
      </c>
      <c r="E1395" t="n">
        <v>3</v>
      </c>
      <c r="F1395" t="n">
        <v>0.02</v>
      </c>
      <c r="G1395" t="n">
        <v>1</v>
      </c>
      <c r="H1395" t="n">
        <v>4</v>
      </c>
      <c r="I1395" t="n">
        <v>21</v>
      </c>
      <c r="J1395" t="n">
        <v>1</v>
      </c>
      <c r="K1395" t="n">
        <v>0</v>
      </c>
      <c r="L1395" t="n">
        <v>145600</v>
      </c>
      <c r="M1395" t="n">
        <v>181000</v>
      </c>
      <c r="N1395" t="n">
        <v>91</v>
      </c>
      <c r="O1395" t="n">
        <v>0.91</v>
      </c>
      <c r="P1395" t="n">
        <v>0</v>
      </c>
      <c r="Q1395" t="n">
        <v>0.02</v>
      </c>
      <c r="R1395" t="n">
        <v>1</v>
      </c>
      <c r="S1395" t="n">
        <v>3620</v>
      </c>
      <c r="T1395" t="n">
        <v>21</v>
      </c>
      <c r="U1395" t="n">
        <v>22</v>
      </c>
      <c r="V1395" t="n">
        <v>30</v>
      </c>
      <c r="W1395" t="n">
        <v>1</v>
      </c>
      <c r="X1395" t="n">
        <v>150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4699</v>
      </c>
      <c r="AG1395" t="n">
        <v>1</v>
      </c>
      <c r="AH1395" t="inlineStr">
        <is>
          <t>PT. BERSAMA DISTRIVERSA INDONESIA (DC CIPUTAT)</t>
        </is>
      </c>
      <c r="AI1395" t="n">
        <v>458</v>
      </c>
      <c r="AJ1395" t="inlineStr">
        <is>
          <t>ESQA</t>
        </is>
      </c>
      <c r="AK1395" t="n">
        <v>21</v>
      </c>
      <c r="AL1395" t="inlineStr">
        <is>
          <t>Miss Glam Damar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ESQA</t>
        </is>
      </c>
      <c r="B1396" s="2">
        <f>"9999908272002"</f>
        <v/>
      </c>
      <c r="C1396" t="inlineStr">
        <is>
          <t>ESQA Flawless Cushion Serum SPF 50+ PA+++ Vanilla 15gr</t>
        </is>
      </c>
      <c r="D1396" t="inlineStr">
        <is>
          <t>Miss Glam Damar</t>
        </is>
      </c>
      <c r="E1396" t="n">
        <v>2</v>
      </c>
      <c r="F1396" t="n">
        <v>0.0182</v>
      </c>
      <c r="G1396" t="n">
        <v>0.91</v>
      </c>
      <c r="H1396" t="n">
        <v>4</v>
      </c>
      <c r="I1396" t="n">
        <v>21</v>
      </c>
      <c r="J1396" t="n">
        <v>3</v>
      </c>
      <c r="K1396" t="n">
        <v>0</v>
      </c>
      <c r="L1396" t="n">
        <v>145600</v>
      </c>
      <c r="M1396" t="n">
        <v>182000</v>
      </c>
      <c r="N1396" t="n">
        <v>91</v>
      </c>
      <c r="O1396" t="n">
        <v>0.91</v>
      </c>
      <c r="P1396" t="n">
        <v>1</v>
      </c>
      <c r="Q1396" t="n">
        <v>0.05</v>
      </c>
      <c r="R1396" t="n">
        <v>1</v>
      </c>
      <c r="S1396" t="n">
        <v>3312.4</v>
      </c>
      <c r="T1396" t="n">
        <v>20</v>
      </c>
      <c r="U1396" t="n">
        <v>21</v>
      </c>
      <c r="V1396" t="n">
        <v>30</v>
      </c>
      <c r="W1396" t="n">
        <v>1</v>
      </c>
      <c r="X1396" t="n">
        <v>109.8901098901099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4699</v>
      </c>
      <c r="AG1396" t="n">
        <v>1</v>
      </c>
      <c r="AH1396" t="inlineStr">
        <is>
          <t>PT. BERSAMA DISTRIVERSA INDONESIA (DC CIPUTAT)</t>
        </is>
      </c>
      <c r="AI1396" t="n">
        <v>458</v>
      </c>
      <c r="AJ1396" t="inlineStr">
        <is>
          <t>ESQA</t>
        </is>
      </c>
      <c r="AK1396" t="n">
        <v>21</v>
      </c>
      <c r="AL1396" t="inlineStr">
        <is>
          <t>Miss Glam Damar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ESQA</t>
        </is>
      </c>
      <c r="B1397" s="2">
        <f>"9999908120525"</f>
        <v/>
      </c>
      <c r="C1397" t="inlineStr">
        <is>
          <t>ESQA Flawless Liquid Concealer Caramel 1.5gr</t>
        </is>
      </c>
      <c r="D1397" t="inlineStr">
        <is>
          <t>Miss Glam Damar</t>
        </is>
      </c>
      <c r="E1397" t="n">
        <v>5</v>
      </c>
      <c r="F1397" t="n">
        <v>0.02</v>
      </c>
      <c r="G1397" t="n">
        <v>1</v>
      </c>
      <c r="H1397" t="n">
        <v>4</v>
      </c>
      <c r="I1397" t="n">
        <v>21</v>
      </c>
      <c r="J1397" t="n">
        <v>3</v>
      </c>
      <c r="K1397" t="n">
        <v>0</v>
      </c>
      <c r="L1397" t="n">
        <v>39200</v>
      </c>
      <c r="M1397" t="n">
        <v>49500</v>
      </c>
      <c r="N1397" t="n">
        <v>91</v>
      </c>
      <c r="O1397" t="n">
        <v>0.91</v>
      </c>
      <c r="P1397" t="n">
        <v>0</v>
      </c>
      <c r="Q1397" t="n">
        <v>0.02</v>
      </c>
      <c r="R1397" t="n">
        <v>1</v>
      </c>
      <c r="S1397" t="n">
        <v>990</v>
      </c>
      <c r="T1397" t="n">
        <v>21</v>
      </c>
      <c r="U1397" t="n">
        <v>22</v>
      </c>
      <c r="V1397" t="n">
        <v>30</v>
      </c>
      <c r="W1397" t="n">
        <v>1</v>
      </c>
      <c r="X1397" t="n">
        <v>250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4699</v>
      </c>
      <c r="AG1397" t="n">
        <v>1</v>
      </c>
      <c r="AH1397" t="inlineStr">
        <is>
          <t>PT. BERSAMA DISTRIVERSA INDONESIA (DC CIPUTAT)</t>
        </is>
      </c>
      <c r="AI1397" t="n">
        <v>458</v>
      </c>
      <c r="AJ1397" t="inlineStr">
        <is>
          <t>ESQA</t>
        </is>
      </c>
      <c r="AK1397" t="n">
        <v>21</v>
      </c>
      <c r="AL1397" t="inlineStr">
        <is>
          <t>Miss Glam Damar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ESQA</t>
        </is>
      </c>
      <c r="B1398" s="2">
        <f>"9999908080652"</f>
        <v/>
      </c>
      <c r="C1398" t="inlineStr">
        <is>
          <t>ESQA Flawless Liquid Concealer Custard 1.5gr</t>
        </is>
      </c>
      <c r="D1398" t="inlineStr">
        <is>
          <t>Miss Glam Damar</t>
        </is>
      </c>
      <c r="E1398" t="n">
        <v>4</v>
      </c>
      <c r="F1398" t="n">
        <v>0.0182</v>
      </c>
      <c r="G1398" t="n">
        <v>0.91</v>
      </c>
      <c r="H1398" t="n">
        <v>4</v>
      </c>
      <c r="I1398" t="n">
        <v>21</v>
      </c>
      <c r="J1398" t="n">
        <v>3</v>
      </c>
      <c r="K1398" t="n">
        <v>0</v>
      </c>
      <c r="L1398" t="n">
        <v>39668</v>
      </c>
      <c r="M1398" t="n">
        <v>49000</v>
      </c>
      <c r="N1398" t="n">
        <v>91</v>
      </c>
      <c r="O1398" t="n">
        <v>0.91</v>
      </c>
      <c r="P1398" t="n">
        <v>1</v>
      </c>
      <c r="Q1398" t="n">
        <v>0.03</v>
      </c>
      <c r="R1398" t="n">
        <v>1</v>
      </c>
      <c r="S1398" t="n">
        <v>891.8000000000001</v>
      </c>
      <c r="T1398" t="n">
        <v>20</v>
      </c>
      <c r="U1398" t="n">
        <v>21</v>
      </c>
      <c r="V1398" t="n">
        <v>30</v>
      </c>
      <c r="W1398" t="n">
        <v>1</v>
      </c>
      <c r="X1398" t="n">
        <v>219.7802197802198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4699</v>
      </c>
      <c r="AG1398" t="n">
        <v>1</v>
      </c>
      <c r="AH1398" t="inlineStr">
        <is>
          <t>PT. BERSAMA DISTRIVERSA INDONESIA (DC CIPUTAT)</t>
        </is>
      </c>
      <c r="AI1398" t="n">
        <v>458</v>
      </c>
      <c r="AJ1398" t="inlineStr">
        <is>
          <t>ESQA</t>
        </is>
      </c>
      <c r="AK1398" t="n">
        <v>21</v>
      </c>
      <c r="AL1398" t="inlineStr">
        <is>
          <t>Miss Glam Damar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ESQA</t>
        </is>
      </c>
      <c r="B1399" s="2">
        <f>"9999908080669"</f>
        <v/>
      </c>
      <c r="C1399" t="inlineStr">
        <is>
          <t>ESQA Flawless Liquid Concealer Milkshake 1.5gr</t>
        </is>
      </c>
      <c r="D1399" t="inlineStr">
        <is>
          <t>Miss Glam Damar</t>
        </is>
      </c>
      <c r="E1399" t="n">
        <v>0</v>
      </c>
      <c r="F1399" t="n">
        <v>0.07000000000000001</v>
      </c>
      <c r="G1399" t="n">
        <v>2</v>
      </c>
      <c r="H1399" t="n">
        <v>4</v>
      </c>
      <c r="I1399" t="n">
        <v>21</v>
      </c>
      <c r="J1399" t="n">
        <v>3</v>
      </c>
      <c r="K1399" t="n">
        <v>0</v>
      </c>
      <c r="L1399" t="n">
        <v>39200</v>
      </c>
      <c r="M1399" t="n">
        <v>49000</v>
      </c>
      <c r="N1399" t="n">
        <v>91</v>
      </c>
      <c r="O1399" t="n">
        <v>0.91</v>
      </c>
      <c r="P1399" t="n">
        <v>0</v>
      </c>
      <c r="Q1399" t="n">
        <v>0.07000000000000001</v>
      </c>
      <c r="R1399" t="n">
        <v>2</v>
      </c>
      <c r="S1399" t="n">
        <v>3430</v>
      </c>
      <c r="T1399" t="n">
        <v>42</v>
      </c>
      <c r="U1399" t="n">
        <v>43</v>
      </c>
      <c r="V1399" t="n">
        <v>30</v>
      </c>
      <c r="W1399" t="n">
        <v>3</v>
      </c>
      <c r="X1399" t="n">
        <v>0</v>
      </c>
      <c r="Y1399" t="n">
        <v>1</v>
      </c>
      <c r="Z1399" t="n">
        <v>3</v>
      </c>
      <c r="AA1399" t="n">
        <v>2</v>
      </c>
      <c r="AB1399" t="n">
        <v>1</v>
      </c>
      <c r="AC1399" t="n">
        <v>3</v>
      </c>
      <c r="AD1399" t="n">
        <v>78400</v>
      </c>
      <c r="AE1399" t="n">
        <v>117600</v>
      </c>
      <c r="AF1399" t="n">
        <v>4699</v>
      </c>
      <c r="AG1399" t="n">
        <v>1</v>
      </c>
      <c r="AH1399" t="inlineStr">
        <is>
          <t>PT. BERSAMA DISTRIVERSA INDONESIA (DC CIPUTAT)</t>
        </is>
      </c>
      <c r="AI1399" t="n">
        <v>458</v>
      </c>
      <c r="AJ1399" t="inlineStr">
        <is>
          <t>ESQA</t>
        </is>
      </c>
      <c r="AK1399" t="n">
        <v>21</v>
      </c>
      <c r="AL1399" t="inlineStr">
        <is>
          <t>Miss Glam Damar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ESQA</t>
        </is>
      </c>
      <c r="B1400" s="2">
        <f>"9999908230903"</f>
        <v/>
      </c>
      <c r="C1400" t="inlineStr">
        <is>
          <t>ESQA Flawless Liquid Concealer Milkshake 5gr</t>
        </is>
      </c>
      <c r="D1400" t="inlineStr">
        <is>
          <t>Miss Glam Damar</t>
        </is>
      </c>
      <c r="E1400" t="n">
        <v>3</v>
      </c>
      <c r="F1400" t="n">
        <v>0.02</v>
      </c>
      <c r="G1400" t="n">
        <v>1</v>
      </c>
      <c r="H1400" t="n">
        <v>4</v>
      </c>
      <c r="I1400" t="n">
        <v>21</v>
      </c>
      <c r="J1400" t="n">
        <v>3</v>
      </c>
      <c r="K1400" t="n">
        <v>0</v>
      </c>
      <c r="L1400" t="n">
        <v>93601</v>
      </c>
      <c r="M1400" t="n">
        <v>119000</v>
      </c>
      <c r="N1400" t="n">
        <v>91</v>
      </c>
      <c r="O1400" t="n">
        <v>0.91</v>
      </c>
      <c r="P1400" t="n">
        <v>0</v>
      </c>
      <c r="Q1400" t="n">
        <v>0.02</v>
      </c>
      <c r="R1400" t="n">
        <v>1</v>
      </c>
      <c r="S1400" t="n">
        <v>2380</v>
      </c>
      <c r="T1400" t="n">
        <v>21</v>
      </c>
      <c r="U1400" t="n">
        <v>22</v>
      </c>
      <c r="V1400" t="n">
        <v>30</v>
      </c>
      <c r="W1400" t="n">
        <v>1</v>
      </c>
      <c r="X1400" t="n">
        <v>150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4699</v>
      </c>
      <c r="AG1400" t="n">
        <v>1</v>
      </c>
      <c r="AH1400" t="inlineStr">
        <is>
          <t>PT. BERSAMA DISTRIVERSA INDONESIA (DC CIPUTAT)</t>
        </is>
      </c>
      <c r="AI1400" t="n">
        <v>458</v>
      </c>
      <c r="AJ1400" t="inlineStr">
        <is>
          <t>ESQA</t>
        </is>
      </c>
      <c r="AK1400" t="n">
        <v>21</v>
      </c>
      <c r="AL1400" t="inlineStr">
        <is>
          <t>Miss Glam Damar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ESQA</t>
        </is>
      </c>
      <c r="B1401" s="2">
        <f>"9999908080676"</f>
        <v/>
      </c>
      <c r="C1401" t="inlineStr">
        <is>
          <t>ESQA Flawless Liquid Concealer Vanilla 1.5gr</t>
        </is>
      </c>
      <c r="D1401" t="inlineStr">
        <is>
          <t>Miss Glam Damar</t>
        </is>
      </c>
      <c r="E1401" t="n">
        <v>1</v>
      </c>
      <c r="F1401" t="n">
        <v>0.04550000000000001</v>
      </c>
      <c r="G1401" t="n">
        <v>0.91</v>
      </c>
      <c r="H1401" t="n">
        <v>4</v>
      </c>
      <c r="I1401" t="n">
        <v>21</v>
      </c>
      <c r="J1401" t="n">
        <v>3</v>
      </c>
      <c r="K1401" t="n">
        <v>0</v>
      </c>
      <c r="L1401" t="n">
        <v>39200</v>
      </c>
      <c r="M1401" t="n">
        <v>49000</v>
      </c>
      <c r="N1401" t="n">
        <v>91</v>
      </c>
      <c r="O1401" t="n">
        <v>0.91</v>
      </c>
      <c r="P1401" t="n">
        <v>1</v>
      </c>
      <c r="Q1401" t="n">
        <v>0.02</v>
      </c>
      <c r="R1401" t="n">
        <v>1</v>
      </c>
      <c r="S1401" t="n">
        <v>2229.5</v>
      </c>
      <c r="T1401" t="n">
        <v>19</v>
      </c>
      <c r="U1401" t="n">
        <v>20</v>
      </c>
      <c r="V1401" t="n">
        <v>30</v>
      </c>
      <c r="W1401" t="n">
        <v>2</v>
      </c>
      <c r="X1401" t="n">
        <v>21.97802197802197</v>
      </c>
      <c r="Y1401" t="n">
        <v>1</v>
      </c>
      <c r="Z1401" t="n">
        <v>1</v>
      </c>
      <c r="AA1401" t="n">
        <v>0</v>
      </c>
      <c r="AB1401" t="n">
        <v>1</v>
      </c>
      <c r="AC1401" t="n">
        <v>3</v>
      </c>
      <c r="AD1401" t="n">
        <v>0</v>
      </c>
      <c r="AE1401" t="n">
        <v>117600</v>
      </c>
      <c r="AF1401" t="n">
        <v>4699</v>
      </c>
      <c r="AG1401" t="n">
        <v>1</v>
      </c>
      <c r="AH1401" t="inlineStr">
        <is>
          <t>PT. BERSAMA DISTRIVERSA INDONESIA (DC CIPUTAT)</t>
        </is>
      </c>
      <c r="AI1401" t="n">
        <v>458</v>
      </c>
      <c r="AJ1401" t="inlineStr">
        <is>
          <t>ESQA</t>
        </is>
      </c>
      <c r="AK1401" t="n">
        <v>21</v>
      </c>
      <c r="AL1401" t="inlineStr">
        <is>
          <t>Miss Glam Damar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ESQA</t>
        </is>
      </c>
      <c r="B1402" s="2">
        <f>"9999908230910"</f>
        <v/>
      </c>
      <c r="C1402" t="inlineStr">
        <is>
          <t>ESQA Flawless Liquid Concealer Vanilla 5gr</t>
        </is>
      </c>
      <c r="D1402" t="inlineStr">
        <is>
          <t>Miss Glam Damar</t>
        </is>
      </c>
      <c r="E1402" t="n">
        <v>3</v>
      </c>
      <c r="F1402" t="n">
        <v>0.05</v>
      </c>
      <c r="G1402" t="n">
        <v>1</v>
      </c>
      <c r="H1402" t="n">
        <v>4</v>
      </c>
      <c r="I1402" t="n">
        <v>21</v>
      </c>
      <c r="J1402" t="n">
        <v>3</v>
      </c>
      <c r="K1402" t="n">
        <v>0</v>
      </c>
      <c r="L1402" t="n">
        <v>94717</v>
      </c>
      <c r="M1402" t="n">
        <v>120000</v>
      </c>
      <c r="N1402" t="n">
        <v>91</v>
      </c>
      <c r="O1402" t="n">
        <v>0.91</v>
      </c>
      <c r="P1402" t="n">
        <v>0</v>
      </c>
      <c r="Q1402" t="n">
        <v>0.05</v>
      </c>
      <c r="R1402" t="n">
        <v>1</v>
      </c>
      <c r="S1402" t="n">
        <v>6000</v>
      </c>
      <c r="T1402" t="n">
        <v>21</v>
      </c>
      <c r="U1402" t="n">
        <v>22</v>
      </c>
      <c r="V1402" t="n">
        <v>30</v>
      </c>
      <c r="W1402" t="n">
        <v>2</v>
      </c>
      <c r="X1402" t="n">
        <v>60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4699</v>
      </c>
      <c r="AG1402" t="n">
        <v>1</v>
      </c>
      <c r="AH1402" t="inlineStr">
        <is>
          <t>PT. BERSAMA DISTRIVERSA INDONESIA (DC CIPUTAT)</t>
        </is>
      </c>
      <c r="AI1402" t="n">
        <v>458</v>
      </c>
      <c r="AJ1402" t="inlineStr">
        <is>
          <t>ESQA</t>
        </is>
      </c>
      <c r="AK1402" t="n">
        <v>21</v>
      </c>
      <c r="AL1402" t="inlineStr">
        <is>
          <t>Miss Glam Damar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ESQA</t>
        </is>
      </c>
      <c r="B1403" s="2">
        <f>"9999905072490"</f>
        <v/>
      </c>
      <c r="C1403" t="inlineStr">
        <is>
          <t>ESQA Flawless Micro Seting Powder Custard 12g</t>
        </is>
      </c>
      <c r="D1403" t="inlineStr">
        <is>
          <t>Miss Glam Damar</t>
        </is>
      </c>
      <c r="E1403" t="n">
        <v>1</v>
      </c>
      <c r="F1403" t="n">
        <v>0.0273</v>
      </c>
      <c r="G1403" t="n">
        <v>0.91</v>
      </c>
      <c r="H1403" t="n">
        <v>4</v>
      </c>
      <c r="I1403" t="n">
        <v>21</v>
      </c>
      <c r="J1403" t="n">
        <v>3</v>
      </c>
      <c r="K1403" t="n">
        <v>0</v>
      </c>
      <c r="L1403" t="n">
        <v>94500</v>
      </c>
      <c r="M1403" t="n">
        <v>126000</v>
      </c>
      <c r="N1403" t="n">
        <v>91</v>
      </c>
      <c r="O1403" t="n">
        <v>0.91</v>
      </c>
      <c r="P1403" t="n">
        <v>1</v>
      </c>
      <c r="Q1403" t="n">
        <v>0.02</v>
      </c>
      <c r="R1403" t="n">
        <v>1</v>
      </c>
      <c r="S1403" t="n">
        <v>3439.8</v>
      </c>
      <c r="T1403" t="n">
        <v>20</v>
      </c>
      <c r="U1403" t="n">
        <v>21</v>
      </c>
      <c r="V1403" t="n">
        <v>30</v>
      </c>
      <c r="W1403" t="n">
        <v>1</v>
      </c>
      <c r="X1403" t="n">
        <v>36.63003663003663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4699</v>
      </c>
      <c r="AG1403" t="n">
        <v>1</v>
      </c>
      <c r="AH1403" t="inlineStr">
        <is>
          <t>PT. BERSAMA DISTRIVERSA INDONESIA (DC CIPUTAT)</t>
        </is>
      </c>
      <c r="AI1403" t="n">
        <v>458</v>
      </c>
      <c r="AJ1403" t="inlineStr">
        <is>
          <t>ESQA</t>
        </is>
      </c>
      <c r="AK1403" t="n">
        <v>21</v>
      </c>
      <c r="AL1403" t="inlineStr">
        <is>
          <t>Miss Glam Damar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ESQA</t>
        </is>
      </c>
      <c r="B1404" s="2">
        <f>"9999905061005"</f>
        <v/>
      </c>
      <c r="C1404" t="inlineStr">
        <is>
          <t>ESQA Flawless Powder Foundation Granola 6.5g</t>
        </is>
      </c>
      <c r="D1404" t="inlineStr">
        <is>
          <t>Miss Glam Damar</t>
        </is>
      </c>
      <c r="E1404" t="n">
        <v>3</v>
      </c>
      <c r="F1404" t="n">
        <v>0.05</v>
      </c>
      <c r="G1404" t="n">
        <v>1</v>
      </c>
      <c r="H1404" t="n">
        <v>4</v>
      </c>
      <c r="I1404" t="n">
        <v>21</v>
      </c>
      <c r="J1404" t="n">
        <v>3</v>
      </c>
      <c r="K1404" t="n">
        <v>0</v>
      </c>
      <c r="L1404" t="n">
        <v>104288</v>
      </c>
      <c r="M1404" t="n">
        <v>123000</v>
      </c>
      <c r="N1404" t="n">
        <v>91</v>
      </c>
      <c r="O1404" t="n">
        <v>0.91</v>
      </c>
      <c r="P1404" t="n">
        <v>0</v>
      </c>
      <c r="Q1404" t="n">
        <v>0.05</v>
      </c>
      <c r="R1404" t="n">
        <v>1</v>
      </c>
      <c r="S1404" t="n">
        <v>6150</v>
      </c>
      <c r="T1404" t="n">
        <v>21</v>
      </c>
      <c r="U1404" t="n">
        <v>22</v>
      </c>
      <c r="V1404" t="n">
        <v>30</v>
      </c>
      <c r="W1404" t="n">
        <v>2</v>
      </c>
      <c r="X1404" t="n">
        <v>60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4699</v>
      </c>
      <c r="AG1404" t="n">
        <v>1</v>
      </c>
      <c r="AH1404" t="inlineStr">
        <is>
          <t>PT. BERSAMA DISTRIVERSA INDONESIA (DC CIPUTAT)</t>
        </is>
      </c>
      <c r="AI1404" t="n">
        <v>458</v>
      </c>
      <c r="AJ1404" t="inlineStr">
        <is>
          <t>ESQA</t>
        </is>
      </c>
      <c r="AK1404" t="n">
        <v>21</v>
      </c>
      <c r="AL1404" t="inlineStr">
        <is>
          <t>Miss Glam Damar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ESQA</t>
        </is>
      </c>
      <c r="B1405" s="2">
        <f>"9999905290702"</f>
        <v/>
      </c>
      <c r="C1405" t="inlineStr">
        <is>
          <t>ESQA Flawless Setting Powder Translucent 12gr</t>
        </is>
      </c>
      <c r="D1405" t="inlineStr">
        <is>
          <t>Miss Glam Damar</t>
        </is>
      </c>
      <c r="E1405" t="n">
        <v>7</v>
      </c>
      <c r="F1405" t="n">
        <v>0.05</v>
      </c>
      <c r="G1405" t="n">
        <v>1</v>
      </c>
      <c r="H1405" t="n">
        <v>4</v>
      </c>
      <c r="I1405" t="n">
        <v>21</v>
      </c>
      <c r="J1405" t="n">
        <v>3</v>
      </c>
      <c r="K1405" t="n">
        <v>0</v>
      </c>
      <c r="L1405" t="n">
        <v>100575</v>
      </c>
      <c r="M1405" t="n">
        <v>126000</v>
      </c>
      <c r="N1405" t="n">
        <v>91</v>
      </c>
      <c r="O1405" t="n">
        <v>0.91</v>
      </c>
      <c r="P1405" t="n">
        <v>0</v>
      </c>
      <c r="Q1405" t="n">
        <v>0.05</v>
      </c>
      <c r="R1405" t="n">
        <v>1</v>
      </c>
      <c r="S1405" t="n">
        <v>6300</v>
      </c>
      <c r="T1405" t="n">
        <v>21</v>
      </c>
      <c r="U1405" t="n">
        <v>22</v>
      </c>
      <c r="V1405" t="n">
        <v>30</v>
      </c>
      <c r="W1405" t="n">
        <v>2</v>
      </c>
      <c r="X1405" t="n">
        <v>140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4699</v>
      </c>
      <c r="AG1405" t="n">
        <v>1</v>
      </c>
      <c r="AH1405" t="inlineStr">
        <is>
          <t>PT. BERSAMA DISTRIVERSA INDONESIA (DC CIPUTAT)</t>
        </is>
      </c>
      <c r="AI1405" t="n">
        <v>458</v>
      </c>
      <c r="AJ1405" t="inlineStr">
        <is>
          <t>ESQA</t>
        </is>
      </c>
      <c r="AK1405" t="n">
        <v>21</v>
      </c>
      <c r="AL1405" t="inlineStr">
        <is>
          <t>Miss Glam Damar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ESQA</t>
        </is>
      </c>
      <c r="B1406" s="2">
        <f>"9999905240714"</f>
        <v/>
      </c>
      <c r="C1406" t="inlineStr">
        <is>
          <t>ESQA Flawless Setting Powder Vanilla 12gr</t>
        </is>
      </c>
      <c r="D1406" t="inlineStr">
        <is>
          <t>Miss Glam Damar</t>
        </is>
      </c>
      <c r="E1406" t="n">
        <v>2</v>
      </c>
      <c r="F1406" t="n">
        <v>0.07000000000000001</v>
      </c>
      <c r="G1406" t="n">
        <v>1</v>
      </c>
      <c r="H1406" t="n">
        <v>4</v>
      </c>
      <c r="I1406" t="n">
        <v>21</v>
      </c>
      <c r="J1406" t="n">
        <v>3</v>
      </c>
      <c r="K1406" t="n">
        <v>0</v>
      </c>
      <c r="L1406" t="n">
        <v>102458</v>
      </c>
      <c r="M1406" t="n">
        <v>126000</v>
      </c>
      <c r="N1406" t="n">
        <v>91</v>
      </c>
      <c r="O1406" t="n">
        <v>0.91</v>
      </c>
      <c r="P1406" t="n">
        <v>0</v>
      </c>
      <c r="Q1406" t="n">
        <v>0.07000000000000001</v>
      </c>
      <c r="R1406" t="n">
        <v>1</v>
      </c>
      <c r="S1406" t="n">
        <v>8820</v>
      </c>
      <c r="T1406" t="n">
        <v>21</v>
      </c>
      <c r="U1406" t="n">
        <v>22</v>
      </c>
      <c r="V1406" t="n">
        <v>30</v>
      </c>
      <c r="W1406" t="n">
        <v>3</v>
      </c>
      <c r="X1406" t="n">
        <v>28.57142857142857</v>
      </c>
      <c r="Y1406" t="n">
        <v>1</v>
      </c>
      <c r="Z1406" t="n">
        <v>1</v>
      </c>
      <c r="AA1406" t="n">
        <v>0</v>
      </c>
      <c r="AB1406" t="n">
        <v>1</v>
      </c>
      <c r="AC1406" t="n">
        <v>3</v>
      </c>
      <c r="AD1406" t="n">
        <v>0</v>
      </c>
      <c r="AE1406" t="n">
        <v>307374</v>
      </c>
      <c r="AF1406" t="n">
        <v>4699</v>
      </c>
      <c r="AG1406" t="n">
        <v>1</v>
      </c>
      <c r="AH1406" t="inlineStr">
        <is>
          <t>PT. BERSAMA DISTRIVERSA INDONESIA (DC CIPUTAT)</t>
        </is>
      </c>
      <c r="AI1406" t="n">
        <v>458</v>
      </c>
      <c r="AJ1406" t="inlineStr">
        <is>
          <t>ESQA</t>
        </is>
      </c>
      <c r="AK1406" t="n">
        <v>21</v>
      </c>
      <c r="AL1406" t="inlineStr">
        <is>
          <t>Miss Glam Damar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ESQA</t>
        </is>
      </c>
      <c r="B1407" s="2">
        <f>"9999903100829"</f>
        <v/>
      </c>
      <c r="C1407" t="inlineStr">
        <is>
          <t>ESQA Glaze Eyeshadow Trio Day Dreaming 4.5gr</t>
        </is>
      </c>
      <c r="D1407" t="inlineStr">
        <is>
          <t>Miss Glam Damar</t>
        </is>
      </c>
      <c r="E1407" t="n">
        <v>1</v>
      </c>
      <c r="F1407" t="n">
        <v>0.07000000000000001</v>
      </c>
      <c r="G1407" t="n">
        <v>1</v>
      </c>
      <c r="H1407" t="n">
        <v>4</v>
      </c>
      <c r="I1407" t="n">
        <v>21</v>
      </c>
      <c r="J1407" t="n">
        <v>3</v>
      </c>
      <c r="K1407" t="n">
        <v>0</v>
      </c>
      <c r="L1407" t="n">
        <v>63007</v>
      </c>
      <c r="M1407" t="n">
        <v>74500</v>
      </c>
      <c r="N1407" t="n">
        <v>91</v>
      </c>
      <c r="O1407" t="n">
        <v>0.91</v>
      </c>
      <c r="P1407" t="n">
        <v>0</v>
      </c>
      <c r="Q1407" t="n">
        <v>0.07000000000000001</v>
      </c>
      <c r="R1407" t="n">
        <v>1</v>
      </c>
      <c r="S1407" t="n">
        <v>5215.000000000001</v>
      </c>
      <c r="T1407" t="n">
        <v>21</v>
      </c>
      <c r="U1407" t="n">
        <v>22</v>
      </c>
      <c r="V1407" t="n">
        <v>30</v>
      </c>
      <c r="W1407" t="n">
        <v>3</v>
      </c>
      <c r="X1407" t="n">
        <v>14.28571428571428</v>
      </c>
      <c r="Y1407" t="n">
        <v>1</v>
      </c>
      <c r="Z1407" t="n">
        <v>2</v>
      </c>
      <c r="AA1407" t="n">
        <v>1</v>
      </c>
      <c r="AB1407" t="n">
        <v>1</v>
      </c>
      <c r="AC1407" t="n">
        <v>3</v>
      </c>
      <c r="AD1407" t="n">
        <v>63007</v>
      </c>
      <c r="AE1407" t="n">
        <v>189021</v>
      </c>
      <c r="AF1407" t="n">
        <v>4699</v>
      </c>
      <c r="AG1407" t="n">
        <v>1</v>
      </c>
      <c r="AH1407" t="inlineStr">
        <is>
          <t>PT. BERSAMA DISTRIVERSA INDONESIA (DC CIPUTAT)</t>
        </is>
      </c>
      <c r="AI1407" t="n">
        <v>458</v>
      </c>
      <c r="AJ1407" t="inlineStr">
        <is>
          <t>ESQA</t>
        </is>
      </c>
      <c r="AK1407" t="n">
        <v>21</v>
      </c>
      <c r="AL1407" t="inlineStr">
        <is>
          <t>Miss Glam Damar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ESQA</t>
        </is>
      </c>
      <c r="B1408" s="2">
        <f>"9999903100836"</f>
        <v/>
      </c>
      <c r="C1408" t="inlineStr">
        <is>
          <t>ESQA Glaze Eyeshadow Trio Moment For Life 4.5gr</t>
        </is>
      </c>
      <c r="D1408" t="inlineStr">
        <is>
          <t>Miss Glam Damar</t>
        </is>
      </c>
      <c r="E1408" t="n">
        <v>2</v>
      </c>
      <c r="F1408" t="n">
        <v>0.05</v>
      </c>
      <c r="G1408" t="n">
        <v>1</v>
      </c>
      <c r="H1408" t="n">
        <v>4</v>
      </c>
      <c r="I1408" t="n">
        <v>21</v>
      </c>
      <c r="J1408" t="n">
        <v>3</v>
      </c>
      <c r="K1408" t="n">
        <v>0</v>
      </c>
      <c r="L1408" t="n">
        <v>63008</v>
      </c>
      <c r="M1408" t="n">
        <v>74500</v>
      </c>
      <c r="N1408" t="n">
        <v>91</v>
      </c>
      <c r="O1408" t="n">
        <v>0.91</v>
      </c>
      <c r="P1408" t="n">
        <v>0</v>
      </c>
      <c r="Q1408" t="n">
        <v>0.05</v>
      </c>
      <c r="R1408" t="n">
        <v>1</v>
      </c>
      <c r="S1408" t="n">
        <v>3725</v>
      </c>
      <c r="T1408" t="n">
        <v>21</v>
      </c>
      <c r="U1408" t="n">
        <v>22</v>
      </c>
      <c r="V1408" t="n">
        <v>30</v>
      </c>
      <c r="W1408" t="n">
        <v>2</v>
      </c>
      <c r="X1408" t="n">
        <v>40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4699</v>
      </c>
      <c r="AG1408" t="n">
        <v>1</v>
      </c>
      <c r="AH1408" t="inlineStr">
        <is>
          <t>PT. BERSAMA DISTRIVERSA INDONESIA (DC CIPUTAT)</t>
        </is>
      </c>
      <c r="AI1408" t="n">
        <v>458</v>
      </c>
      <c r="AJ1408" t="inlineStr">
        <is>
          <t>ESQA</t>
        </is>
      </c>
      <c r="AK1408" t="n">
        <v>21</v>
      </c>
      <c r="AL1408" t="inlineStr">
        <is>
          <t>Miss Glam Damar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ESQA</t>
        </is>
      </c>
      <c r="B1409" s="2">
        <f>"9999903100812"</f>
        <v/>
      </c>
      <c r="C1409" t="inlineStr">
        <is>
          <t>ESQA Glaze Eyeshadow Trio Shooting Stars 4,5gr</t>
        </is>
      </c>
      <c r="D1409" t="inlineStr">
        <is>
          <t>Miss Glam Damar</t>
        </is>
      </c>
      <c r="E1409" t="n">
        <v>4</v>
      </c>
      <c r="F1409" t="n">
        <v>0.0728</v>
      </c>
      <c r="G1409" t="n">
        <v>1.82</v>
      </c>
      <c r="H1409" t="n">
        <v>4</v>
      </c>
      <c r="I1409" t="n">
        <v>21</v>
      </c>
      <c r="J1409" t="n">
        <v>3</v>
      </c>
      <c r="K1409" t="n">
        <v>0</v>
      </c>
      <c r="L1409" t="n">
        <v>63358</v>
      </c>
      <c r="M1409" t="n">
        <v>74500</v>
      </c>
      <c r="N1409" t="n">
        <v>91</v>
      </c>
      <c r="O1409" t="n">
        <v>0.91</v>
      </c>
      <c r="P1409" t="n">
        <v>1</v>
      </c>
      <c r="Q1409" t="n">
        <v>0.1</v>
      </c>
      <c r="R1409" t="n">
        <v>1</v>
      </c>
      <c r="S1409" t="n">
        <v>5423.6</v>
      </c>
      <c r="T1409" t="n">
        <v>38</v>
      </c>
      <c r="U1409" t="n">
        <v>39</v>
      </c>
      <c r="V1409" t="n">
        <v>30</v>
      </c>
      <c r="W1409" t="n">
        <v>3</v>
      </c>
      <c r="X1409" t="n">
        <v>54.94505494505494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4699</v>
      </c>
      <c r="AG1409" t="n">
        <v>1</v>
      </c>
      <c r="AH1409" t="inlineStr">
        <is>
          <t>PT. BERSAMA DISTRIVERSA INDONESIA (DC CIPUTAT)</t>
        </is>
      </c>
      <c r="AI1409" t="n">
        <v>458</v>
      </c>
      <c r="AJ1409" t="inlineStr">
        <is>
          <t>ESQA</t>
        </is>
      </c>
      <c r="AK1409" t="n">
        <v>21</v>
      </c>
      <c r="AL1409" t="inlineStr">
        <is>
          <t>Miss Glam Damar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ESQA</t>
        </is>
      </c>
      <c r="B1410" s="2">
        <f>"9999903100805"</f>
        <v/>
      </c>
      <c r="C1410" t="inlineStr">
        <is>
          <t>ESQA Glaze Eyeshadow Trio Starry Nights</t>
        </is>
      </c>
      <c r="D1410" t="inlineStr">
        <is>
          <t>Miss Glam Damar</t>
        </is>
      </c>
      <c r="E1410" t="n">
        <v>2</v>
      </c>
      <c r="F1410" t="n">
        <v>0.08</v>
      </c>
      <c r="G1410" t="n">
        <v>1</v>
      </c>
      <c r="H1410" t="n">
        <v>4</v>
      </c>
      <c r="I1410" t="n">
        <v>21</v>
      </c>
      <c r="J1410" t="n">
        <v>3</v>
      </c>
      <c r="K1410" t="n">
        <v>0</v>
      </c>
      <c r="L1410" t="n">
        <v>61028</v>
      </c>
      <c r="M1410" t="n">
        <v>74500</v>
      </c>
      <c r="N1410" t="n">
        <v>91</v>
      </c>
      <c r="O1410" t="n">
        <v>0.91</v>
      </c>
      <c r="P1410" t="n">
        <v>0</v>
      </c>
      <c r="Q1410" t="n">
        <v>0.08</v>
      </c>
      <c r="R1410" t="n">
        <v>1</v>
      </c>
      <c r="S1410" t="n">
        <v>5960</v>
      </c>
      <c r="T1410" t="n">
        <v>21</v>
      </c>
      <c r="U1410" t="n">
        <v>22</v>
      </c>
      <c r="V1410" t="n">
        <v>30</v>
      </c>
      <c r="W1410" t="n">
        <v>3</v>
      </c>
      <c r="X1410" t="n">
        <v>25</v>
      </c>
      <c r="Y1410" t="n">
        <v>1</v>
      </c>
      <c r="Z1410" t="n">
        <v>1</v>
      </c>
      <c r="AA1410" t="n">
        <v>0</v>
      </c>
      <c r="AB1410" t="n">
        <v>1</v>
      </c>
      <c r="AC1410" t="n">
        <v>3</v>
      </c>
      <c r="AD1410" t="n">
        <v>0</v>
      </c>
      <c r="AE1410" t="n">
        <v>183084</v>
      </c>
      <c r="AF1410" t="n">
        <v>4699</v>
      </c>
      <c r="AG1410" t="n">
        <v>1</v>
      </c>
      <c r="AH1410" t="inlineStr">
        <is>
          <t>PT. BERSAMA DISTRIVERSA INDONESIA (DC CIPUTAT)</t>
        </is>
      </c>
      <c r="AI1410" t="n">
        <v>458</v>
      </c>
      <c r="AJ1410" t="inlineStr">
        <is>
          <t>ESQA</t>
        </is>
      </c>
      <c r="AK1410" t="n">
        <v>21</v>
      </c>
      <c r="AL1410" t="inlineStr">
        <is>
          <t>Miss Glam Damar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ESQA</t>
        </is>
      </c>
      <c r="B1411" s="2">
        <f>"9999903100843"</f>
        <v/>
      </c>
      <c r="C1411" t="inlineStr">
        <is>
          <t>ESQA Glaze Eyeshadow Trio Straight Fire 4.5gr</t>
        </is>
      </c>
      <c r="D1411" t="inlineStr">
        <is>
          <t>Miss Glam Damar</t>
        </is>
      </c>
      <c r="E1411" t="n">
        <v>4</v>
      </c>
      <c r="F1411" t="n">
        <v>0.06370000000000001</v>
      </c>
      <c r="G1411" t="n">
        <v>0.91</v>
      </c>
      <c r="H1411" t="n">
        <v>4</v>
      </c>
      <c r="I1411" t="n">
        <v>21</v>
      </c>
      <c r="J1411" t="n">
        <v>3</v>
      </c>
      <c r="K1411" t="n">
        <v>0</v>
      </c>
      <c r="L1411" t="n">
        <v>61621</v>
      </c>
      <c r="M1411" t="n">
        <v>74500</v>
      </c>
      <c r="N1411" t="n">
        <v>91</v>
      </c>
      <c r="O1411" t="n">
        <v>0.91</v>
      </c>
      <c r="P1411" t="n">
        <v>1</v>
      </c>
      <c r="Q1411" t="n">
        <v>0.03</v>
      </c>
      <c r="R1411" t="n">
        <v>1</v>
      </c>
      <c r="S1411" t="n">
        <v>4745.650000000001</v>
      </c>
      <c r="T1411" t="n">
        <v>19</v>
      </c>
      <c r="U1411" t="n">
        <v>20</v>
      </c>
      <c r="V1411" t="n">
        <v>30</v>
      </c>
      <c r="W1411" t="n">
        <v>2</v>
      </c>
      <c r="X1411" t="n">
        <v>62.79434850863422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4699</v>
      </c>
      <c r="AG1411" t="n">
        <v>1</v>
      </c>
      <c r="AH1411" t="inlineStr">
        <is>
          <t>PT. BERSAMA DISTRIVERSA INDONESIA (DC CIPUTAT)</t>
        </is>
      </c>
      <c r="AI1411" t="n">
        <v>458</v>
      </c>
      <c r="AJ1411" t="inlineStr">
        <is>
          <t>ESQA</t>
        </is>
      </c>
      <c r="AK1411" t="n">
        <v>21</v>
      </c>
      <c r="AL1411" t="inlineStr">
        <is>
          <t>Miss Glam Damar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ESQA</t>
        </is>
      </c>
      <c r="B1412" s="2">
        <f>"10700333433"</f>
        <v/>
      </c>
      <c r="C1412" t="inlineStr">
        <is>
          <t>ESQA Glow Pop Serum Lip Balm - On Point 3gr</t>
        </is>
      </c>
      <c r="D1412" t="inlineStr">
        <is>
          <t>Miss Glam Damar</t>
        </is>
      </c>
      <c r="E1412" t="n">
        <v>5</v>
      </c>
      <c r="F1412" t="n">
        <v>0</v>
      </c>
      <c r="G1412" t="n">
        <v>0</v>
      </c>
      <c r="H1412" t="n">
        <v>4</v>
      </c>
      <c r="I1412" t="n">
        <v>21</v>
      </c>
      <c r="J1412" t="n">
        <v>1</v>
      </c>
      <c r="K1412" t="n">
        <v>0</v>
      </c>
      <c r="L1412" t="n">
        <v>81750</v>
      </c>
      <c r="M1412" t="n">
        <v>109000</v>
      </c>
      <c r="N1412" t="n">
        <v>91</v>
      </c>
      <c r="O1412" t="n">
        <v>0.91</v>
      </c>
      <c r="P1412" t="n">
        <v>1</v>
      </c>
      <c r="Q1412" t="n">
        <v>0.02</v>
      </c>
      <c r="R1412" t="n">
        <v>0</v>
      </c>
      <c r="S1412" t="n">
        <v>0</v>
      </c>
      <c r="T1412" t="n">
        <v>0</v>
      </c>
      <c r="U1412" t="n">
        <v>0</v>
      </c>
      <c r="V1412" t="n">
        <v>30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4699</v>
      </c>
      <c r="AG1412" t="n">
        <v>1</v>
      </c>
      <c r="AH1412" t="inlineStr">
        <is>
          <t>PT. BERSAMA DISTRIVERSA INDONESIA (DC CIPUTAT)</t>
        </is>
      </c>
      <c r="AI1412" t="n">
        <v>458</v>
      </c>
      <c r="AJ1412" t="inlineStr">
        <is>
          <t>ESQA</t>
        </is>
      </c>
      <c r="AK1412" t="n">
        <v>21</v>
      </c>
      <c r="AL1412" t="inlineStr">
        <is>
          <t>Miss Glam Damar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ESQA</t>
        </is>
      </c>
      <c r="B1413" s="2">
        <f>"20101113114"</f>
        <v/>
      </c>
      <c r="C1413" t="inlineStr">
        <is>
          <t>ESQA Highlighter - Budapest 3gr</t>
        </is>
      </c>
      <c r="D1413" t="inlineStr">
        <is>
          <t>Miss Glam Damar</t>
        </is>
      </c>
      <c r="E1413" t="n">
        <v>5</v>
      </c>
      <c r="F1413" t="n">
        <v>0.0182</v>
      </c>
      <c r="G1413" t="n">
        <v>0.91</v>
      </c>
      <c r="H1413" t="n">
        <v>4</v>
      </c>
      <c r="I1413" t="n">
        <v>21</v>
      </c>
      <c r="J1413" t="n">
        <v>1</v>
      </c>
      <c r="K1413" t="n">
        <v>0</v>
      </c>
      <c r="L1413" t="n">
        <v>66500</v>
      </c>
      <c r="M1413" t="n">
        <v>89000</v>
      </c>
      <c r="N1413" t="n">
        <v>91</v>
      </c>
      <c r="O1413" t="n">
        <v>0.91</v>
      </c>
      <c r="P1413" t="n">
        <v>1</v>
      </c>
      <c r="Q1413" t="n">
        <v>0.02</v>
      </c>
      <c r="R1413" t="n">
        <v>1</v>
      </c>
      <c r="S1413" t="n">
        <v>1619.8</v>
      </c>
      <c r="T1413" t="n">
        <v>20</v>
      </c>
      <c r="U1413" t="n">
        <v>21</v>
      </c>
      <c r="V1413" t="n">
        <v>30</v>
      </c>
      <c r="W1413" t="n">
        <v>1</v>
      </c>
      <c r="X1413" t="n">
        <v>274.7252747252747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4699</v>
      </c>
      <c r="AG1413" t="n">
        <v>1</v>
      </c>
      <c r="AH1413" t="inlineStr">
        <is>
          <t>PT. BERSAMA DISTRIVERSA INDONESIA (DC CIPUTAT)</t>
        </is>
      </c>
      <c r="AI1413" t="n">
        <v>458</v>
      </c>
      <c r="AJ1413" t="inlineStr">
        <is>
          <t>ESQA</t>
        </is>
      </c>
      <c r="AK1413" t="n">
        <v>21</v>
      </c>
      <c r="AL1413" t="inlineStr">
        <is>
          <t>Miss Glam Damar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ESQA</t>
        </is>
      </c>
      <c r="B1414" s="2">
        <f>"20100173520"</f>
        <v/>
      </c>
      <c r="C1414" t="inlineStr">
        <is>
          <t>ESQA Minimalist Blurring Serum Skin Tint SPF 35 PA++ - Custard 35ml</t>
        </is>
      </c>
      <c r="D1414" t="inlineStr">
        <is>
          <t>Miss Glam Damar</t>
        </is>
      </c>
      <c r="E1414" t="n">
        <v>0</v>
      </c>
      <c r="F1414" t="n">
        <v>0.06370000000000001</v>
      </c>
      <c r="G1414" t="n">
        <v>0.91</v>
      </c>
      <c r="H1414" t="n">
        <v>4</v>
      </c>
      <c r="I1414" t="n">
        <v>21</v>
      </c>
      <c r="J1414" t="n">
        <v>1</v>
      </c>
      <c r="K1414" t="n">
        <v>0</v>
      </c>
      <c r="L1414" t="n">
        <v>113146</v>
      </c>
      <c r="M1414" t="n">
        <v>135500</v>
      </c>
      <c r="N1414" t="n">
        <v>91</v>
      </c>
      <c r="O1414" t="n">
        <v>0.91</v>
      </c>
      <c r="P1414" t="n">
        <v>1</v>
      </c>
      <c r="Q1414" t="n">
        <v>0.17</v>
      </c>
      <c r="R1414" t="n">
        <v>2</v>
      </c>
      <c r="S1414" t="n">
        <v>8631.35</v>
      </c>
      <c r="T1414" t="n">
        <v>19</v>
      </c>
      <c r="U1414" t="n">
        <v>20</v>
      </c>
      <c r="V1414" t="n">
        <v>30</v>
      </c>
      <c r="W1414" t="n">
        <v>2</v>
      </c>
      <c r="X1414" t="n">
        <v>0</v>
      </c>
      <c r="Y1414" t="n">
        <v>1</v>
      </c>
      <c r="Z1414" t="n">
        <v>2</v>
      </c>
      <c r="AA1414" t="n">
        <v>2</v>
      </c>
      <c r="AB1414" t="n">
        <v>0</v>
      </c>
      <c r="AC1414" t="n">
        <v>0</v>
      </c>
      <c r="AD1414" t="n">
        <v>226292</v>
      </c>
      <c r="AE1414" t="n">
        <v>0</v>
      </c>
      <c r="AF1414" t="n">
        <v>4699</v>
      </c>
      <c r="AG1414" t="n">
        <v>1</v>
      </c>
      <c r="AH1414" t="inlineStr">
        <is>
          <t>PT. BERSAMA DISTRIVERSA INDONESIA (DC CIPUTAT)</t>
        </is>
      </c>
      <c r="AI1414" t="n">
        <v>458</v>
      </c>
      <c r="AJ1414" t="inlineStr">
        <is>
          <t>ESQA</t>
        </is>
      </c>
      <c r="AK1414" t="n">
        <v>21</v>
      </c>
      <c r="AL1414" t="inlineStr">
        <is>
          <t>Miss Glam Damar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ESQA</t>
        </is>
      </c>
      <c r="B1415" s="2">
        <f>"20100173722"</f>
        <v/>
      </c>
      <c r="C1415" t="inlineStr">
        <is>
          <t>ESQA Minimalist Blurring Serum Skin Tint SPF 35 PA++ - Vanilla 35ml</t>
        </is>
      </c>
      <c r="D1415" t="inlineStr">
        <is>
          <t>Miss Glam Damar</t>
        </is>
      </c>
      <c r="E1415" t="n">
        <v>1</v>
      </c>
      <c r="F1415" t="n">
        <v>0.1365</v>
      </c>
      <c r="G1415" t="n">
        <v>1.82</v>
      </c>
      <c r="H1415" t="n">
        <v>4</v>
      </c>
      <c r="I1415" t="n">
        <v>21</v>
      </c>
      <c r="J1415" t="n">
        <v>1</v>
      </c>
      <c r="K1415" t="n">
        <v>0</v>
      </c>
      <c r="L1415" t="n">
        <v>111161</v>
      </c>
      <c r="M1415" t="n">
        <v>135500</v>
      </c>
      <c r="N1415" t="n">
        <v>91</v>
      </c>
      <c r="O1415" t="n">
        <v>0.91</v>
      </c>
      <c r="P1415" t="n">
        <v>1</v>
      </c>
      <c r="Q1415" t="n">
        <v>0.08</v>
      </c>
      <c r="R1415" t="n">
        <v>2</v>
      </c>
      <c r="S1415" t="n">
        <v>18495.75</v>
      </c>
      <c r="T1415" t="n">
        <v>38</v>
      </c>
      <c r="U1415" t="n">
        <v>39</v>
      </c>
      <c r="V1415" t="n">
        <v>30</v>
      </c>
      <c r="W1415" t="n">
        <v>5</v>
      </c>
      <c r="X1415" t="n">
        <v>7.326007326007326</v>
      </c>
      <c r="Y1415" t="n">
        <v>1</v>
      </c>
      <c r="Z1415" t="n">
        <v>4</v>
      </c>
      <c r="AA1415" t="n">
        <v>2</v>
      </c>
      <c r="AB1415" t="n">
        <v>2</v>
      </c>
      <c r="AC1415" t="n">
        <v>2</v>
      </c>
      <c r="AD1415" t="n">
        <v>222322</v>
      </c>
      <c r="AE1415" t="n">
        <v>222322</v>
      </c>
      <c r="AF1415" t="n">
        <v>4699</v>
      </c>
      <c r="AG1415" t="n">
        <v>1</v>
      </c>
      <c r="AH1415" t="inlineStr">
        <is>
          <t>PT. BERSAMA DISTRIVERSA INDONESIA (DC CIPUTAT)</t>
        </is>
      </c>
      <c r="AI1415" t="n">
        <v>458</v>
      </c>
      <c r="AJ1415" t="inlineStr">
        <is>
          <t>ESQA</t>
        </is>
      </c>
      <c r="AK1415" t="n">
        <v>21</v>
      </c>
      <c r="AL1415" t="inlineStr">
        <is>
          <t>Miss Glam Damar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ESQA</t>
        </is>
      </c>
      <c r="B1416" s="2">
        <f>"9999908160118"</f>
        <v/>
      </c>
      <c r="C1416" t="inlineStr">
        <is>
          <t>ESQA Minimalist Serum Concelear Vanilla 2gr</t>
        </is>
      </c>
      <c r="D1416" t="inlineStr">
        <is>
          <t>Miss Glam Damar</t>
        </is>
      </c>
      <c r="E1416" t="n">
        <v>2</v>
      </c>
      <c r="F1416" t="n">
        <v>0.03</v>
      </c>
      <c r="G1416" t="n">
        <v>1</v>
      </c>
      <c r="H1416" t="n">
        <v>4</v>
      </c>
      <c r="I1416" t="n">
        <v>21</v>
      </c>
      <c r="J1416" t="n">
        <v>3</v>
      </c>
      <c r="K1416" t="n">
        <v>0</v>
      </c>
      <c r="L1416" t="n">
        <v>44525</v>
      </c>
      <c r="M1416" t="n">
        <v>55000</v>
      </c>
      <c r="N1416" t="n">
        <v>91</v>
      </c>
      <c r="O1416" t="n">
        <v>0.91</v>
      </c>
      <c r="P1416" t="n">
        <v>0</v>
      </c>
      <c r="Q1416" t="n">
        <v>0.03</v>
      </c>
      <c r="R1416" t="n">
        <v>1</v>
      </c>
      <c r="S1416" t="n">
        <v>1650</v>
      </c>
      <c r="T1416" t="n">
        <v>21</v>
      </c>
      <c r="U1416" t="n">
        <v>22</v>
      </c>
      <c r="V1416" t="n">
        <v>30</v>
      </c>
      <c r="W1416" t="n">
        <v>1</v>
      </c>
      <c r="X1416" t="n">
        <v>66.66666666666667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4699</v>
      </c>
      <c r="AG1416" t="n">
        <v>1</v>
      </c>
      <c r="AH1416" t="inlineStr">
        <is>
          <t>PT. BERSAMA DISTRIVERSA INDONESIA (DC CIPUTAT)</t>
        </is>
      </c>
      <c r="AI1416" t="n">
        <v>458</v>
      </c>
      <c r="AJ1416" t="inlineStr">
        <is>
          <t>ESQA</t>
        </is>
      </c>
      <c r="AK1416" t="n">
        <v>21</v>
      </c>
      <c r="AL1416" t="inlineStr">
        <is>
          <t>Miss Glam Damar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ESQA</t>
        </is>
      </c>
      <c r="B1417" s="2">
        <f>"9999910031222"</f>
        <v/>
      </c>
      <c r="C1417" t="inlineStr">
        <is>
          <t>ESQA Mist Universe Setting Spray 100ml</t>
        </is>
      </c>
      <c r="D1417" t="inlineStr">
        <is>
          <t>Miss Glam Damar</t>
        </is>
      </c>
      <c r="E1417" t="n">
        <v>1</v>
      </c>
      <c r="F1417" t="n">
        <v>0.02</v>
      </c>
      <c r="G1417" t="n">
        <v>1</v>
      </c>
      <c r="H1417" t="n">
        <v>4</v>
      </c>
      <c r="I1417" t="n">
        <v>21</v>
      </c>
      <c r="J1417" t="n">
        <v>3</v>
      </c>
      <c r="K1417" t="n">
        <v>0</v>
      </c>
      <c r="L1417" t="n">
        <v>101500</v>
      </c>
      <c r="M1417" t="n">
        <v>135500</v>
      </c>
      <c r="N1417" t="n">
        <v>91</v>
      </c>
      <c r="O1417" t="n">
        <v>0.91</v>
      </c>
      <c r="P1417" t="n">
        <v>0</v>
      </c>
      <c r="Q1417" t="n">
        <v>0.02</v>
      </c>
      <c r="R1417" t="n">
        <v>1</v>
      </c>
      <c r="S1417" t="n">
        <v>2710</v>
      </c>
      <c r="T1417" t="n">
        <v>21</v>
      </c>
      <c r="U1417" t="n">
        <v>22</v>
      </c>
      <c r="V1417" t="n">
        <v>30</v>
      </c>
      <c r="W1417" t="n">
        <v>1</v>
      </c>
      <c r="X1417" t="n">
        <v>50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4699</v>
      </c>
      <c r="AG1417" t="n">
        <v>1</v>
      </c>
      <c r="AH1417" t="inlineStr">
        <is>
          <t>PT. BERSAMA DISTRIVERSA INDONESIA (DC CIPUTAT)</t>
        </is>
      </c>
      <c r="AI1417" t="n">
        <v>458</v>
      </c>
      <c r="AJ1417" t="inlineStr">
        <is>
          <t>ESQA</t>
        </is>
      </c>
      <c r="AK1417" t="n">
        <v>21</v>
      </c>
      <c r="AL1417" t="inlineStr">
        <is>
          <t>Miss Glam Damar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ESQA</t>
        </is>
      </c>
      <c r="B1418" s="2">
        <f>"9999919222485"</f>
        <v/>
      </c>
      <c r="C1418" t="inlineStr">
        <is>
          <t>ESQA Slick Drip Serum Lip Tint Cashmere Nude 2,5ml</t>
        </is>
      </c>
      <c r="D1418" t="inlineStr">
        <is>
          <t>Miss Glam Damar</t>
        </is>
      </c>
      <c r="E1418" t="n">
        <v>2</v>
      </c>
      <c r="F1418" t="n">
        <v>0.02</v>
      </c>
      <c r="G1418" t="n">
        <v>1</v>
      </c>
      <c r="H1418" t="n">
        <v>4</v>
      </c>
      <c r="I1418" t="n">
        <v>21</v>
      </c>
      <c r="J1418" t="n">
        <v>3</v>
      </c>
      <c r="K1418" t="n">
        <v>0</v>
      </c>
      <c r="L1418" t="n">
        <v>59250</v>
      </c>
      <c r="M1418" t="n">
        <v>75000</v>
      </c>
      <c r="N1418" t="n">
        <v>91</v>
      </c>
      <c r="O1418" t="n">
        <v>0.91</v>
      </c>
      <c r="P1418" t="n">
        <v>0</v>
      </c>
      <c r="Q1418" t="n">
        <v>0.02</v>
      </c>
      <c r="R1418" t="n">
        <v>1</v>
      </c>
      <c r="S1418" t="n">
        <v>1500</v>
      </c>
      <c r="T1418" t="n">
        <v>21</v>
      </c>
      <c r="U1418" t="n">
        <v>22</v>
      </c>
      <c r="V1418" t="n">
        <v>30</v>
      </c>
      <c r="W1418" t="n">
        <v>1</v>
      </c>
      <c r="X1418" t="n">
        <v>100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4699</v>
      </c>
      <c r="AG1418" t="n">
        <v>1</v>
      </c>
      <c r="AH1418" t="inlineStr">
        <is>
          <t>PT. BERSAMA DISTRIVERSA INDONESIA (DC CIPUTAT)</t>
        </is>
      </c>
      <c r="AI1418" t="n">
        <v>458</v>
      </c>
      <c r="AJ1418" t="inlineStr">
        <is>
          <t>ESQA</t>
        </is>
      </c>
      <c r="AK1418" t="n">
        <v>21</v>
      </c>
      <c r="AL1418" t="inlineStr">
        <is>
          <t>Miss Glam Damar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ESQA</t>
        </is>
      </c>
      <c r="B1419" s="2">
        <f>"9999890332517"</f>
        <v/>
      </c>
      <c r="C1419" t="inlineStr">
        <is>
          <t>ESQA Trio Goodess Cheek Palette Athena 9gr</t>
        </is>
      </c>
      <c r="D1419" t="inlineStr">
        <is>
          <t>Miss Glam Damar</t>
        </is>
      </c>
      <c r="E1419" t="n">
        <v>3</v>
      </c>
      <c r="F1419" t="n">
        <v>0.0182</v>
      </c>
      <c r="G1419" t="n">
        <v>0.91</v>
      </c>
      <c r="H1419" t="n">
        <v>4</v>
      </c>
      <c r="I1419" t="n">
        <v>21</v>
      </c>
      <c r="J1419" t="n">
        <v>3</v>
      </c>
      <c r="K1419" t="n">
        <v>0</v>
      </c>
      <c r="L1419" t="n">
        <v>146250</v>
      </c>
      <c r="M1419" t="n">
        <v>218000</v>
      </c>
      <c r="N1419" t="n">
        <v>91</v>
      </c>
      <c r="O1419" t="n">
        <v>0.91</v>
      </c>
      <c r="P1419" t="n">
        <v>1</v>
      </c>
      <c r="Q1419" t="n">
        <v>0.02</v>
      </c>
      <c r="R1419" t="n">
        <v>1</v>
      </c>
      <c r="S1419" t="n">
        <v>3967.6</v>
      </c>
      <c r="T1419" t="n">
        <v>20</v>
      </c>
      <c r="U1419" t="n">
        <v>21</v>
      </c>
      <c r="V1419" t="n">
        <v>30</v>
      </c>
      <c r="W1419" t="n">
        <v>1</v>
      </c>
      <c r="X1419" t="n">
        <v>164.8351648351648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4699</v>
      </c>
      <c r="AG1419" t="n">
        <v>1</v>
      </c>
      <c r="AH1419" t="inlineStr">
        <is>
          <t>PT. BERSAMA DISTRIVERSA INDONESIA (DC CIPUTAT)</t>
        </is>
      </c>
      <c r="AI1419" t="n">
        <v>458</v>
      </c>
      <c r="AJ1419" t="inlineStr">
        <is>
          <t>ESQA</t>
        </is>
      </c>
      <c r="AK1419" t="n">
        <v>21</v>
      </c>
      <c r="AL1419" t="inlineStr">
        <is>
          <t>Miss Glam Damar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ESQA</t>
        </is>
      </c>
      <c r="B1420" s="2">
        <f>"20100469245"</f>
        <v/>
      </c>
      <c r="C1420" t="inlineStr">
        <is>
          <t>ESQA Velvet Matte Cushion Serum SPF 50+ PA+++ - Vanilla 15gr</t>
        </is>
      </c>
      <c r="D1420" t="inlineStr">
        <is>
          <t>Miss Glam Damar</t>
        </is>
      </c>
      <c r="E1420" t="n">
        <v>9</v>
      </c>
      <c r="F1420" t="n">
        <v>0.1092</v>
      </c>
      <c r="G1420" t="n">
        <v>0.91</v>
      </c>
      <c r="H1420" t="n">
        <v>4</v>
      </c>
      <c r="I1420" t="n">
        <v>21</v>
      </c>
      <c r="J1420" t="n">
        <v>1</v>
      </c>
      <c r="K1420" t="n">
        <v>0</v>
      </c>
      <c r="L1420" t="n">
        <v>145600</v>
      </c>
      <c r="M1420" t="n">
        <v>181000</v>
      </c>
      <c r="N1420" t="n">
        <v>91</v>
      </c>
      <c r="O1420" t="n">
        <v>0.91</v>
      </c>
      <c r="P1420" t="n">
        <v>1</v>
      </c>
      <c r="Q1420" t="n">
        <v>0.08</v>
      </c>
      <c r="R1420" t="n">
        <v>1</v>
      </c>
      <c r="S1420" t="n">
        <v>19765.2</v>
      </c>
      <c r="T1420" t="n">
        <v>19</v>
      </c>
      <c r="U1420" t="n">
        <v>20</v>
      </c>
      <c r="V1420" t="n">
        <v>30</v>
      </c>
      <c r="W1420" t="n">
        <v>4</v>
      </c>
      <c r="X1420" t="n">
        <v>82.41758241758241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4699</v>
      </c>
      <c r="AG1420" t="n">
        <v>1</v>
      </c>
      <c r="AH1420" t="inlineStr">
        <is>
          <t>PT. BERSAMA DISTRIVERSA INDONESIA (DC CIPUTAT)</t>
        </is>
      </c>
      <c r="AI1420" t="n">
        <v>458</v>
      </c>
      <c r="AJ1420" t="inlineStr">
        <is>
          <t>ESQA</t>
        </is>
      </c>
      <c r="AK1420" t="n">
        <v>21</v>
      </c>
      <c r="AL1420" t="inlineStr">
        <is>
          <t>Miss Glam Damar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ESQA</t>
        </is>
      </c>
      <c r="B1421" s="2">
        <f>"9999921202185"</f>
        <v/>
      </c>
      <c r="C1421" t="inlineStr">
        <is>
          <t>ESQA Wonder Crush Serum Liquid Blush 6ml Cheeky Wink</t>
        </is>
      </c>
      <c r="D1421" t="inlineStr">
        <is>
          <t>Miss Glam Damar</t>
        </is>
      </c>
      <c r="E1421" t="n">
        <v>2</v>
      </c>
      <c r="F1421" t="n">
        <v>0.02</v>
      </c>
      <c r="G1421" t="n">
        <v>1</v>
      </c>
      <c r="H1421" t="n">
        <v>4</v>
      </c>
      <c r="I1421" t="n">
        <v>21</v>
      </c>
      <c r="J1421" t="n">
        <v>3</v>
      </c>
      <c r="K1421" t="n">
        <v>0</v>
      </c>
      <c r="L1421" t="n">
        <v>85020</v>
      </c>
      <c r="M1421" t="n">
        <v>109000</v>
      </c>
      <c r="N1421" t="n">
        <v>91</v>
      </c>
      <c r="O1421" t="n">
        <v>0.91</v>
      </c>
      <c r="P1421" t="n">
        <v>0</v>
      </c>
      <c r="Q1421" t="n">
        <v>0.02</v>
      </c>
      <c r="R1421" t="n">
        <v>1</v>
      </c>
      <c r="S1421" t="n">
        <v>2180</v>
      </c>
      <c r="T1421" t="n">
        <v>21</v>
      </c>
      <c r="U1421" t="n">
        <v>22</v>
      </c>
      <c r="V1421" t="n">
        <v>30</v>
      </c>
      <c r="W1421" t="n">
        <v>1</v>
      </c>
      <c r="X1421" t="n">
        <v>100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4699</v>
      </c>
      <c r="AG1421" t="n">
        <v>1</v>
      </c>
      <c r="AH1421" t="inlineStr">
        <is>
          <t>PT. BERSAMA DISTRIVERSA INDONESIA (DC CIPUTAT)</t>
        </is>
      </c>
      <c r="AI1421" t="n">
        <v>458</v>
      </c>
      <c r="AJ1421" t="inlineStr">
        <is>
          <t>ESQA</t>
        </is>
      </c>
      <c r="AK1421" t="n">
        <v>21</v>
      </c>
      <c r="AL1421" t="inlineStr">
        <is>
          <t>Miss Glam Damar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EVANGELINE</t>
        </is>
      </c>
      <c r="B1422" s="2">
        <f>"8997017641017"</f>
        <v/>
      </c>
      <c r="C1422" t="inlineStr">
        <is>
          <t>EVANGELINE Eau De Parfum Angel 60ml</t>
        </is>
      </c>
      <c r="D1422" t="inlineStr">
        <is>
          <t>Miss Glam Damar</t>
        </is>
      </c>
      <c r="E1422" t="n">
        <v>12</v>
      </c>
      <c r="F1422" t="n">
        <v>0.2002</v>
      </c>
      <c r="G1422" t="n">
        <v>1.82</v>
      </c>
      <c r="H1422" t="n">
        <v>3</v>
      </c>
      <c r="I1422" t="n">
        <v>11</v>
      </c>
      <c r="J1422" t="n">
        <v>3</v>
      </c>
      <c r="K1422" t="n">
        <v>0</v>
      </c>
      <c r="L1422" t="n">
        <v>21250</v>
      </c>
      <c r="M1422" t="n">
        <v>28000</v>
      </c>
      <c r="N1422" t="n">
        <v>91</v>
      </c>
      <c r="O1422" t="n">
        <v>0.91</v>
      </c>
      <c r="P1422" t="n">
        <v>1</v>
      </c>
      <c r="Q1422" t="n">
        <v>0.24</v>
      </c>
      <c r="R1422" t="n">
        <v>4</v>
      </c>
      <c r="S1422" t="n">
        <v>5605.6</v>
      </c>
      <c r="T1422" t="n">
        <v>20</v>
      </c>
      <c r="U1422" t="n">
        <v>21</v>
      </c>
      <c r="V1422" t="n">
        <v>30</v>
      </c>
      <c r="W1422" t="n">
        <v>7</v>
      </c>
      <c r="X1422" t="n">
        <v>59.94005994005993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12810</v>
      </c>
      <c r="AG1422" t="n">
        <v>2122</v>
      </c>
      <c r="AH1422" t="inlineStr">
        <is>
          <t>PT. SINAR PADANG LESTARI - PPN (PDG)</t>
        </is>
      </c>
      <c r="AI1422" t="n">
        <v>65</v>
      </c>
      <c r="AJ1422" t="inlineStr">
        <is>
          <t>EVANGELINE</t>
        </is>
      </c>
      <c r="AK1422" t="n">
        <v>21</v>
      </c>
      <c r="AL1422" t="inlineStr">
        <is>
          <t>Miss Glam Damar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EVANGELINE</t>
        </is>
      </c>
      <c r="B1423" s="2">
        <f>"8997017641987"</f>
        <v/>
      </c>
      <c r="C1423" t="inlineStr">
        <is>
          <t>EVANGELINE Eau De Parfum Aries 50ml</t>
        </is>
      </c>
      <c r="D1423" t="inlineStr">
        <is>
          <t>Miss Glam Damar</t>
        </is>
      </c>
      <c r="E1423" t="n">
        <v>2</v>
      </c>
      <c r="F1423" t="n">
        <v>0.04550000000000001</v>
      </c>
      <c r="G1423" t="n">
        <v>0.91</v>
      </c>
      <c r="H1423" t="n">
        <v>3</v>
      </c>
      <c r="I1423" t="n">
        <v>11</v>
      </c>
      <c r="J1423" t="n">
        <v>3</v>
      </c>
      <c r="K1423" t="n">
        <v>0</v>
      </c>
      <c r="L1423" t="n">
        <v>19665</v>
      </c>
      <c r="M1423" t="n">
        <v>26000</v>
      </c>
      <c r="N1423" t="n">
        <v>91</v>
      </c>
      <c r="O1423" t="n">
        <v>0.91</v>
      </c>
      <c r="P1423" t="n">
        <v>1</v>
      </c>
      <c r="Q1423" t="n">
        <v>0.03</v>
      </c>
      <c r="R1423" t="n">
        <v>1</v>
      </c>
      <c r="S1423" t="n">
        <v>1183</v>
      </c>
      <c r="T1423" t="n">
        <v>10</v>
      </c>
      <c r="U1423" t="n">
        <v>11</v>
      </c>
      <c r="V1423" t="n">
        <v>30</v>
      </c>
      <c r="W1423" t="n">
        <v>2</v>
      </c>
      <c r="X1423" t="n">
        <v>43.95604395604395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12810</v>
      </c>
      <c r="AG1423" t="n">
        <v>2122</v>
      </c>
      <c r="AH1423" t="inlineStr">
        <is>
          <t>PT. SINAR PADANG LESTARI - PPN (PDG)</t>
        </is>
      </c>
      <c r="AI1423" t="n">
        <v>65</v>
      </c>
      <c r="AJ1423" t="inlineStr">
        <is>
          <t>EVANGELINE</t>
        </is>
      </c>
      <c r="AK1423" t="n">
        <v>21</v>
      </c>
      <c r="AL1423" t="inlineStr">
        <is>
          <t>Miss Glam Damar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EVANGELINE</t>
        </is>
      </c>
      <c r="B1424" s="2">
        <f>"8997017641802"</f>
        <v/>
      </c>
      <c r="C1424" t="inlineStr">
        <is>
          <t>EVANGELINE Eau de Parfum Black Sakura 100ml</t>
        </is>
      </c>
      <c r="D1424" t="inlineStr">
        <is>
          <t>Miss Glam Damar</t>
        </is>
      </c>
      <c r="E1424" t="n">
        <v>26</v>
      </c>
      <c r="F1424" t="n">
        <v>1.9292</v>
      </c>
      <c r="G1424" t="n">
        <v>4.55</v>
      </c>
      <c r="H1424" t="n">
        <v>3</v>
      </c>
      <c r="I1424" t="n">
        <v>11</v>
      </c>
      <c r="J1424" t="n">
        <v>3</v>
      </c>
      <c r="K1424" t="n">
        <v>0</v>
      </c>
      <c r="L1424" t="n">
        <v>28052</v>
      </c>
      <c r="M1424" t="n">
        <v>36000</v>
      </c>
      <c r="N1424" t="n">
        <v>91</v>
      </c>
      <c r="O1424" t="n">
        <v>0.91</v>
      </c>
      <c r="P1424" t="n">
        <v>1</v>
      </c>
      <c r="Q1424" t="n">
        <v>1.51</v>
      </c>
      <c r="R1424" t="n">
        <v>7</v>
      </c>
      <c r="S1424" t="n">
        <v>69451.20000000001</v>
      </c>
      <c r="T1424" t="n">
        <v>45</v>
      </c>
      <c r="U1424" t="n">
        <v>51</v>
      </c>
      <c r="V1424" t="n">
        <v>30</v>
      </c>
      <c r="W1424" t="n">
        <v>58</v>
      </c>
      <c r="X1424" t="n">
        <v>13.47708894878706</v>
      </c>
      <c r="Y1424" t="n">
        <v>1</v>
      </c>
      <c r="Z1424" t="n">
        <v>32</v>
      </c>
      <c r="AA1424" t="n">
        <v>0</v>
      </c>
      <c r="AB1424" t="n">
        <v>32</v>
      </c>
      <c r="AC1424" t="n">
        <v>32</v>
      </c>
      <c r="AD1424" t="n">
        <v>0</v>
      </c>
      <c r="AE1424" t="n">
        <v>897664</v>
      </c>
      <c r="AF1424" t="n">
        <v>12810</v>
      </c>
      <c r="AG1424" t="n">
        <v>2122</v>
      </c>
      <c r="AH1424" t="inlineStr">
        <is>
          <t>PT. SINAR PADANG LESTARI - PPN (PDG)</t>
        </is>
      </c>
      <c r="AI1424" t="n">
        <v>65</v>
      </c>
      <c r="AJ1424" t="inlineStr">
        <is>
          <t>EVANGELINE</t>
        </is>
      </c>
      <c r="AK1424" t="n">
        <v>21</v>
      </c>
      <c r="AL1424" t="inlineStr">
        <is>
          <t>Miss Glam Damar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EVANGELINE</t>
        </is>
      </c>
      <c r="B1425" s="2">
        <f>"8997017642014"</f>
        <v/>
      </c>
      <c r="C1425" t="inlineStr">
        <is>
          <t>EVANGELINE Eau De Parfum Cancer  50ml</t>
        </is>
      </c>
      <c r="D1425" t="inlineStr">
        <is>
          <t>Miss Glam Damar</t>
        </is>
      </c>
      <c r="E1425" t="n">
        <v>6</v>
      </c>
      <c r="F1425" t="n">
        <v>0.2275</v>
      </c>
      <c r="G1425" t="n">
        <v>1.82</v>
      </c>
      <c r="H1425" t="n">
        <v>3</v>
      </c>
      <c r="I1425" t="n">
        <v>11</v>
      </c>
      <c r="J1425" t="n">
        <v>3</v>
      </c>
      <c r="K1425" t="n">
        <v>0</v>
      </c>
      <c r="L1425" t="n">
        <v>19572</v>
      </c>
      <c r="M1425" t="n">
        <v>26000</v>
      </c>
      <c r="N1425" t="n">
        <v>91</v>
      </c>
      <c r="O1425" t="n">
        <v>0.91</v>
      </c>
      <c r="P1425" t="n">
        <v>1</v>
      </c>
      <c r="Q1425" t="n">
        <v>0.12</v>
      </c>
      <c r="R1425" t="n">
        <v>1</v>
      </c>
      <c r="S1425" t="n">
        <v>5915</v>
      </c>
      <c r="T1425" t="n">
        <v>20</v>
      </c>
      <c r="U1425" t="n">
        <v>21</v>
      </c>
      <c r="V1425" t="n">
        <v>30</v>
      </c>
      <c r="W1425" t="n">
        <v>7</v>
      </c>
      <c r="X1425" t="n">
        <v>26.37362637362637</v>
      </c>
      <c r="Y1425" t="n">
        <v>1</v>
      </c>
      <c r="Z1425" t="n">
        <v>1</v>
      </c>
      <c r="AA1425" t="n">
        <v>0</v>
      </c>
      <c r="AB1425" t="n">
        <v>1</v>
      </c>
      <c r="AC1425" t="n">
        <v>3</v>
      </c>
      <c r="AD1425" t="n">
        <v>0</v>
      </c>
      <c r="AE1425" t="n">
        <v>58716</v>
      </c>
      <c r="AF1425" t="n">
        <v>12810</v>
      </c>
      <c r="AG1425" t="n">
        <v>2122</v>
      </c>
      <c r="AH1425" t="inlineStr">
        <is>
          <t>PT. SINAR PADANG LESTARI - PPN (PDG)</t>
        </is>
      </c>
      <c r="AI1425" t="n">
        <v>65</v>
      </c>
      <c r="AJ1425" t="inlineStr">
        <is>
          <t>EVANGELINE</t>
        </is>
      </c>
      <c r="AK1425" t="n">
        <v>21</v>
      </c>
      <c r="AL1425" t="inlineStr">
        <is>
          <t>Miss Glam Damar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EVANGELINE</t>
        </is>
      </c>
      <c r="B1426" s="2">
        <f>"8997017642076"</f>
        <v/>
      </c>
      <c r="C1426" t="inlineStr">
        <is>
          <t>EVANGELINE Eau De Parfum Capricon 50ml</t>
        </is>
      </c>
      <c r="D1426" t="inlineStr">
        <is>
          <t>Miss Glam Damar</t>
        </is>
      </c>
      <c r="E1426" t="n">
        <v>9</v>
      </c>
      <c r="F1426" t="n">
        <v>0.6006</v>
      </c>
      <c r="G1426" t="n">
        <v>2.73</v>
      </c>
      <c r="H1426" t="n">
        <v>3</v>
      </c>
      <c r="I1426" t="n">
        <v>11</v>
      </c>
      <c r="J1426" t="n">
        <v>3</v>
      </c>
      <c r="K1426" t="n">
        <v>0</v>
      </c>
      <c r="L1426" t="n">
        <v>19552</v>
      </c>
      <c r="M1426" t="n">
        <v>26000</v>
      </c>
      <c r="N1426" t="n">
        <v>91</v>
      </c>
      <c r="O1426" t="n">
        <v>0.91</v>
      </c>
      <c r="P1426" t="n">
        <v>1</v>
      </c>
      <c r="Q1426" t="n">
        <v>0.29</v>
      </c>
      <c r="R1426" t="n">
        <v>2</v>
      </c>
      <c r="S1426" t="n">
        <v>15615.6</v>
      </c>
      <c r="T1426" t="n">
        <v>29</v>
      </c>
      <c r="U1426" t="n">
        <v>31</v>
      </c>
      <c r="V1426" t="n">
        <v>30</v>
      </c>
      <c r="W1426" t="n">
        <v>19</v>
      </c>
      <c r="X1426" t="n">
        <v>14.98501498501498</v>
      </c>
      <c r="Y1426" t="n">
        <v>1</v>
      </c>
      <c r="Z1426" t="n">
        <v>10</v>
      </c>
      <c r="AA1426" t="n">
        <v>0</v>
      </c>
      <c r="AB1426" t="n">
        <v>10</v>
      </c>
      <c r="AC1426" t="n">
        <v>10</v>
      </c>
      <c r="AD1426" t="n">
        <v>0</v>
      </c>
      <c r="AE1426" t="n">
        <v>195520</v>
      </c>
      <c r="AF1426" t="n">
        <v>12810</v>
      </c>
      <c r="AG1426" t="n">
        <v>2122</v>
      </c>
      <c r="AH1426" t="inlineStr">
        <is>
          <t>PT. SINAR PADANG LESTARI - PPN (PDG)</t>
        </is>
      </c>
      <c r="AI1426" t="n">
        <v>65</v>
      </c>
      <c r="AJ1426" t="inlineStr">
        <is>
          <t>EVANGELINE</t>
        </is>
      </c>
      <c r="AK1426" t="n">
        <v>21</v>
      </c>
      <c r="AL1426" t="inlineStr">
        <is>
          <t>Miss Glam Damar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EVANGELINE</t>
        </is>
      </c>
      <c r="B1427" s="2">
        <f>"8997017641048"</f>
        <v/>
      </c>
      <c r="C1427" t="inlineStr">
        <is>
          <t>EVANGELINE Eau De Parfum Desire 60ML</t>
        </is>
      </c>
      <c r="D1427" t="inlineStr">
        <is>
          <t>Miss Glam Damar</t>
        </is>
      </c>
      <c r="E1427" t="n">
        <v>0</v>
      </c>
      <c r="F1427" t="n">
        <v>0.05</v>
      </c>
      <c r="G1427" t="n">
        <v>1</v>
      </c>
      <c r="H1427" t="n">
        <v>3</v>
      </c>
      <c r="I1427" t="n">
        <v>11</v>
      </c>
      <c r="J1427" t="n">
        <v>3</v>
      </c>
      <c r="K1427" t="n">
        <v>0</v>
      </c>
      <c r="L1427" t="n">
        <v>22500</v>
      </c>
      <c r="M1427" t="n">
        <v>28300</v>
      </c>
      <c r="N1427" t="n">
        <v>91</v>
      </c>
      <c r="O1427" t="n">
        <v>0.91</v>
      </c>
      <c r="P1427" t="n">
        <v>0</v>
      </c>
      <c r="Q1427" t="n">
        <v>0.05</v>
      </c>
      <c r="R1427" t="n">
        <v>1</v>
      </c>
      <c r="S1427" t="n">
        <v>1415</v>
      </c>
      <c r="T1427" t="n">
        <v>11</v>
      </c>
      <c r="U1427" t="n">
        <v>12</v>
      </c>
      <c r="V1427" t="n">
        <v>30</v>
      </c>
      <c r="W1427" t="n">
        <v>2</v>
      </c>
      <c r="X1427" t="n">
        <v>0</v>
      </c>
      <c r="Y1427" t="n">
        <v>1</v>
      </c>
      <c r="Z1427" t="n">
        <v>2</v>
      </c>
      <c r="AA1427" t="n">
        <v>1</v>
      </c>
      <c r="AB1427" t="n">
        <v>1</v>
      </c>
      <c r="AC1427" t="n">
        <v>3</v>
      </c>
      <c r="AD1427" t="n">
        <v>22500</v>
      </c>
      <c r="AE1427" t="n">
        <v>67500</v>
      </c>
      <c r="AF1427" t="n">
        <v>12810</v>
      </c>
      <c r="AG1427" t="n">
        <v>2122</v>
      </c>
      <c r="AH1427" t="inlineStr">
        <is>
          <t>PT. SINAR PADANG LESTARI - PPN (PDG)</t>
        </is>
      </c>
      <c r="AI1427" t="n">
        <v>65</v>
      </c>
      <c r="AJ1427" t="inlineStr">
        <is>
          <t>EVANGELINE</t>
        </is>
      </c>
      <c r="AK1427" t="n">
        <v>21</v>
      </c>
      <c r="AL1427" t="inlineStr">
        <is>
          <t>Miss Glam Damar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EVANGELINE</t>
        </is>
      </c>
      <c r="B1428" s="2">
        <f>"8997017642007"</f>
        <v/>
      </c>
      <c r="C1428" t="inlineStr">
        <is>
          <t>EVANGELINE Eau De Parfum Gemini 50ml</t>
        </is>
      </c>
      <c r="D1428" t="inlineStr">
        <is>
          <t>Miss Glam Damar</t>
        </is>
      </c>
      <c r="E1428" t="n">
        <v>7</v>
      </c>
      <c r="F1428" t="n">
        <v>0.0546</v>
      </c>
      <c r="G1428" t="n">
        <v>0.91</v>
      </c>
      <c r="H1428" t="n">
        <v>3</v>
      </c>
      <c r="I1428" t="n">
        <v>11</v>
      </c>
      <c r="J1428" t="n">
        <v>3</v>
      </c>
      <c r="K1428" t="n">
        <v>0</v>
      </c>
      <c r="L1428" t="n">
        <v>20700</v>
      </c>
      <c r="M1428" t="n">
        <v>26000</v>
      </c>
      <c r="N1428" t="n">
        <v>91</v>
      </c>
      <c r="O1428" t="n">
        <v>0.91</v>
      </c>
      <c r="P1428" t="n">
        <v>1</v>
      </c>
      <c r="Q1428" t="n">
        <v>0.03</v>
      </c>
      <c r="R1428" t="n">
        <v>0</v>
      </c>
      <c r="S1428" t="n">
        <v>1419.6</v>
      </c>
      <c r="T1428" t="n">
        <v>10</v>
      </c>
      <c r="U1428" t="n">
        <v>11</v>
      </c>
      <c r="V1428" t="n">
        <v>30</v>
      </c>
      <c r="W1428" t="n">
        <v>2</v>
      </c>
      <c r="X1428" t="n">
        <v>128.2051282051282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12810</v>
      </c>
      <c r="AG1428" t="n">
        <v>2122</v>
      </c>
      <c r="AH1428" t="inlineStr">
        <is>
          <t>PT. SINAR PADANG LESTARI - PPN (PDG)</t>
        </is>
      </c>
      <c r="AI1428" t="n">
        <v>65</v>
      </c>
      <c r="AJ1428" t="inlineStr">
        <is>
          <t>EVANGELINE</t>
        </is>
      </c>
      <c r="AK1428" t="n">
        <v>21</v>
      </c>
      <c r="AL1428" t="inlineStr">
        <is>
          <t>Miss Glam Damar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EVANGELINE</t>
        </is>
      </c>
      <c r="B1429" s="2">
        <f>"8997017641673"</f>
        <v/>
      </c>
      <c r="C1429" t="inlineStr">
        <is>
          <t>EVANGELINE Eau De Parfum Holy 60ml</t>
        </is>
      </c>
      <c r="D1429" t="inlineStr">
        <is>
          <t>Miss Glam Damar</t>
        </is>
      </c>
      <c r="E1429" t="n">
        <v>4</v>
      </c>
      <c r="F1429" t="n">
        <v>0.1</v>
      </c>
      <c r="G1429" t="n">
        <v>1</v>
      </c>
      <c r="H1429" t="n">
        <v>3</v>
      </c>
      <c r="I1429" t="n">
        <v>11</v>
      </c>
      <c r="J1429" t="n">
        <v>3</v>
      </c>
      <c r="K1429" t="n">
        <v>0</v>
      </c>
      <c r="L1429" t="n">
        <v>21250</v>
      </c>
      <c r="M1429" t="n">
        <v>28000</v>
      </c>
      <c r="N1429" t="n">
        <v>91</v>
      </c>
      <c r="O1429" t="n">
        <v>0.91</v>
      </c>
      <c r="P1429" t="n">
        <v>0</v>
      </c>
      <c r="Q1429" t="n">
        <v>0.1</v>
      </c>
      <c r="R1429" t="n">
        <v>1</v>
      </c>
      <c r="S1429" t="n">
        <v>2800</v>
      </c>
      <c r="T1429" t="n">
        <v>11</v>
      </c>
      <c r="U1429" t="n">
        <v>12</v>
      </c>
      <c r="V1429" t="n">
        <v>30</v>
      </c>
      <c r="W1429" t="n">
        <v>3</v>
      </c>
      <c r="X1429" t="n">
        <v>40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12810</v>
      </c>
      <c r="AG1429" t="n">
        <v>2122</v>
      </c>
      <c r="AH1429" t="inlineStr">
        <is>
          <t>PT. SINAR PADANG LESTARI - PPN (PDG)</t>
        </is>
      </c>
      <c r="AI1429" t="n">
        <v>65</v>
      </c>
      <c r="AJ1429" t="inlineStr">
        <is>
          <t>EVANGELINE</t>
        </is>
      </c>
      <c r="AK1429" t="n">
        <v>21</v>
      </c>
      <c r="AL1429" t="inlineStr">
        <is>
          <t>Miss Glam Damar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EVANGELINE</t>
        </is>
      </c>
      <c r="B1430" s="2">
        <f>"8997017642021"</f>
        <v/>
      </c>
      <c r="C1430" t="inlineStr">
        <is>
          <t>EVANGELINE Eau De Parfum Leo 50ML</t>
        </is>
      </c>
      <c r="D1430" t="inlineStr">
        <is>
          <t>Miss Glam Damar</t>
        </is>
      </c>
      <c r="E1430" t="n">
        <v>6</v>
      </c>
      <c r="F1430" t="n">
        <v>0.6188</v>
      </c>
      <c r="G1430" t="n">
        <v>2.73</v>
      </c>
      <c r="H1430" t="n">
        <v>3</v>
      </c>
      <c r="I1430" t="n">
        <v>11</v>
      </c>
      <c r="J1430" t="n">
        <v>3</v>
      </c>
      <c r="K1430" t="n">
        <v>0</v>
      </c>
      <c r="L1430" t="n">
        <v>19634</v>
      </c>
      <c r="M1430" t="n">
        <v>26000</v>
      </c>
      <c r="N1430" t="n">
        <v>91</v>
      </c>
      <c r="O1430" t="n">
        <v>0.91</v>
      </c>
      <c r="P1430" t="n">
        <v>1</v>
      </c>
      <c r="Q1430" t="n">
        <v>0.12</v>
      </c>
      <c r="R1430" t="n">
        <v>1</v>
      </c>
      <c r="S1430" t="n">
        <v>16088.8</v>
      </c>
      <c r="T1430" t="n">
        <v>29</v>
      </c>
      <c r="U1430" t="n">
        <v>31</v>
      </c>
      <c r="V1430" t="n">
        <v>30</v>
      </c>
      <c r="W1430" t="n">
        <v>19</v>
      </c>
      <c r="X1430" t="n">
        <v>9.696186166774401</v>
      </c>
      <c r="Y1430" t="n">
        <v>1</v>
      </c>
      <c r="Z1430" t="n">
        <v>13</v>
      </c>
      <c r="AA1430" t="n">
        <v>1</v>
      </c>
      <c r="AB1430" t="n">
        <v>12</v>
      </c>
      <c r="AC1430" t="n">
        <v>12</v>
      </c>
      <c r="AD1430" t="n">
        <v>19634</v>
      </c>
      <c r="AE1430" t="n">
        <v>235608</v>
      </c>
      <c r="AF1430" t="n">
        <v>12810</v>
      </c>
      <c r="AG1430" t="n">
        <v>2122</v>
      </c>
      <c r="AH1430" t="inlineStr">
        <is>
          <t>PT. SINAR PADANG LESTARI - PPN (PDG)</t>
        </is>
      </c>
      <c r="AI1430" t="n">
        <v>65</v>
      </c>
      <c r="AJ1430" t="inlineStr">
        <is>
          <t>EVANGELINE</t>
        </is>
      </c>
      <c r="AK1430" t="n">
        <v>21</v>
      </c>
      <c r="AL1430" t="inlineStr">
        <is>
          <t>Miss Glam Damar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EVANGELINE</t>
        </is>
      </c>
      <c r="B1431" s="2">
        <f>"8997017641833"</f>
        <v/>
      </c>
      <c r="C1431" t="inlineStr">
        <is>
          <t>EVANGELINE Eau De Parfum Pink Sakura 100ml</t>
        </is>
      </c>
      <c r="D1431" t="inlineStr">
        <is>
          <t>Miss Glam Damar</t>
        </is>
      </c>
      <c r="E1431" t="n">
        <v>9</v>
      </c>
      <c r="F1431" t="n">
        <v>0.2002</v>
      </c>
      <c r="G1431" t="n">
        <v>1.82</v>
      </c>
      <c r="H1431" t="n">
        <v>3</v>
      </c>
      <c r="I1431" t="n">
        <v>11</v>
      </c>
      <c r="J1431" t="n">
        <v>3</v>
      </c>
      <c r="K1431" t="n">
        <v>0</v>
      </c>
      <c r="L1431" t="n">
        <v>28050</v>
      </c>
      <c r="M1431" t="n">
        <v>36000</v>
      </c>
      <c r="N1431" t="n">
        <v>91</v>
      </c>
      <c r="O1431" t="n">
        <v>0.91</v>
      </c>
      <c r="P1431" t="n">
        <v>1</v>
      </c>
      <c r="Q1431" t="n">
        <v>0.2</v>
      </c>
      <c r="R1431" t="n">
        <v>1</v>
      </c>
      <c r="S1431" t="n">
        <v>7207.200000000001</v>
      </c>
      <c r="T1431" t="n">
        <v>20</v>
      </c>
      <c r="U1431" t="n">
        <v>21</v>
      </c>
      <c r="V1431" t="n">
        <v>30</v>
      </c>
      <c r="W1431" t="n">
        <v>7</v>
      </c>
      <c r="X1431" t="n">
        <v>44.95504495504495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12810</v>
      </c>
      <c r="AG1431" t="n">
        <v>2122</v>
      </c>
      <c r="AH1431" t="inlineStr">
        <is>
          <t>PT. SINAR PADANG LESTARI - PPN (PDG)</t>
        </is>
      </c>
      <c r="AI1431" t="n">
        <v>65</v>
      </c>
      <c r="AJ1431" t="inlineStr">
        <is>
          <t>EVANGELINE</t>
        </is>
      </c>
      <c r="AK1431" t="n">
        <v>21</v>
      </c>
      <c r="AL1431" t="inlineStr">
        <is>
          <t>Miss Glam Damar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EVANGELINE</t>
        </is>
      </c>
      <c r="B1432" s="2">
        <f>"8997017641840"</f>
        <v/>
      </c>
      <c r="C1432" t="inlineStr">
        <is>
          <t>EVANGELINE Eau De Parfum Purple Sakura 100ml</t>
        </is>
      </c>
      <c r="D1432" t="inlineStr">
        <is>
          <t>Miss Glam Damar</t>
        </is>
      </c>
      <c r="E1432" t="n">
        <v>4</v>
      </c>
      <c r="F1432" t="n">
        <v>0.1547</v>
      </c>
      <c r="G1432" t="n">
        <v>0.91</v>
      </c>
      <c r="H1432" t="n">
        <v>3</v>
      </c>
      <c r="I1432" t="n">
        <v>11</v>
      </c>
      <c r="J1432" t="n">
        <v>3</v>
      </c>
      <c r="K1432" t="n">
        <v>0</v>
      </c>
      <c r="L1432" t="n">
        <v>28145</v>
      </c>
      <c r="M1432" t="n">
        <v>35500</v>
      </c>
      <c r="N1432" t="n">
        <v>91</v>
      </c>
      <c r="O1432" t="n">
        <v>0.91</v>
      </c>
      <c r="P1432" t="n">
        <v>1</v>
      </c>
      <c r="Q1432" t="n">
        <v>0.05</v>
      </c>
      <c r="R1432" t="n">
        <v>1</v>
      </c>
      <c r="S1432" t="n">
        <v>5491.85</v>
      </c>
      <c r="T1432" t="n">
        <v>10</v>
      </c>
      <c r="U1432" t="n">
        <v>11</v>
      </c>
      <c r="V1432" t="n">
        <v>30</v>
      </c>
      <c r="W1432" t="n">
        <v>5</v>
      </c>
      <c r="X1432" t="n">
        <v>25.85649644473174</v>
      </c>
      <c r="Y1432" t="n">
        <v>1</v>
      </c>
      <c r="Z1432" t="n">
        <v>1</v>
      </c>
      <c r="AA1432" t="n">
        <v>0</v>
      </c>
      <c r="AB1432" t="n">
        <v>1</v>
      </c>
      <c r="AC1432" t="n">
        <v>3</v>
      </c>
      <c r="AD1432" t="n">
        <v>0</v>
      </c>
      <c r="AE1432" t="n">
        <v>84435</v>
      </c>
      <c r="AF1432" t="n">
        <v>12810</v>
      </c>
      <c r="AG1432" t="n">
        <v>2122</v>
      </c>
      <c r="AH1432" t="inlineStr">
        <is>
          <t>PT. SINAR PADANG LESTARI - PPN (PDG)</t>
        </is>
      </c>
      <c r="AI1432" t="n">
        <v>65</v>
      </c>
      <c r="AJ1432" t="inlineStr">
        <is>
          <t>EVANGELINE</t>
        </is>
      </c>
      <c r="AK1432" t="n">
        <v>21</v>
      </c>
      <c r="AL1432" t="inlineStr">
        <is>
          <t>Miss Glam Damar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EVANGELINE</t>
        </is>
      </c>
      <c r="B1433" s="2">
        <f>"8997017642908"</f>
        <v/>
      </c>
      <c r="C1433" t="inlineStr">
        <is>
          <t>EVANGELINE Eau De Parfum Red Musk 100ml</t>
        </is>
      </c>
      <c r="D1433" t="inlineStr">
        <is>
          <t>Miss Glam Damar</t>
        </is>
      </c>
      <c r="E1433" t="n">
        <v>5</v>
      </c>
      <c r="F1433" t="n">
        <v>0.06370000000000001</v>
      </c>
      <c r="G1433" t="n">
        <v>0.91</v>
      </c>
      <c r="H1433" t="n">
        <v>3</v>
      </c>
      <c r="I1433" t="n">
        <v>11</v>
      </c>
      <c r="J1433" t="n">
        <v>3</v>
      </c>
      <c r="K1433" t="n">
        <v>0</v>
      </c>
      <c r="L1433" t="n">
        <v>28215</v>
      </c>
      <c r="M1433" t="n">
        <v>35500</v>
      </c>
      <c r="N1433" t="n">
        <v>91</v>
      </c>
      <c r="O1433" t="n">
        <v>0.91</v>
      </c>
      <c r="P1433" t="n">
        <v>1</v>
      </c>
      <c r="Q1433" t="n">
        <v>0.07000000000000001</v>
      </c>
      <c r="R1433" t="n">
        <v>1</v>
      </c>
      <c r="S1433" t="n">
        <v>2261.35</v>
      </c>
      <c r="T1433" t="n">
        <v>10</v>
      </c>
      <c r="U1433" t="n">
        <v>11</v>
      </c>
      <c r="V1433" t="n">
        <v>30</v>
      </c>
      <c r="W1433" t="n">
        <v>2</v>
      </c>
      <c r="X1433" t="n">
        <v>78.49293563579278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12810</v>
      </c>
      <c r="AG1433" t="n">
        <v>2122</v>
      </c>
      <c r="AH1433" t="inlineStr">
        <is>
          <t>PT. SINAR PADANG LESTARI - PPN (PDG)</t>
        </is>
      </c>
      <c r="AI1433" t="n">
        <v>65</v>
      </c>
      <c r="AJ1433" t="inlineStr">
        <is>
          <t>EVANGELINE</t>
        </is>
      </c>
      <c r="AK1433" t="n">
        <v>21</v>
      </c>
      <c r="AL1433" t="inlineStr">
        <is>
          <t>Miss Glam Damar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EVANGELINE</t>
        </is>
      </c>
      <c r="B1434" s="2">
        <f>"8997017641826"</f>
        <v/>
      </c>
      <c r="C1434" t="inlineStr">
        <is>
          <t>EVANGELINE Eau De Parfum Red Sakura 100ml</t>
        </is>
      </c>
      <c r="D1434" t="inlineStr">
        <is>
          <t>Miss Glam Damar</t>
        </is>
      </c>
      <c r="E1434" t="n">
        <v>9</v>
      </c>
      <c r="F1434" t="n">
        <v>0.4641</v>
      </c>
      <c r="G1434" t="n">
        <v>2.73</v>
      </c>
      <c r="H1434" t="n">
        <v>3</v>
      </c>
      <c r="I1434" t="n">
        <v>11</v>
      </c>
      <c r="J1434" t="n">
        <v>3</v>
      </c>
      <c r="K1434" t="n">
        <v>0</v>
      </c>
      <c r="L1434" t="n">
        <v>28052</v>
      </c>
      <c r="M1434" t="n">
        <v>36000</v>
      </c>
      <c r="N1434" t="n">
        <v>91</v>
      </c>
      <c r="O1434" t="n">
        <v>0.91</v>
      </c>
      <c r="P1434" t="n">
        <v>1</v>
      </c>
      <c r="Q1434" t="n">
        <v>0.39</v>
      </c>
      <c r="R1434" t="n">
        <v>2</v>
      </c>
      <c r="S1434" t="n">
        <v>16707.6</v>
      </c>
      <c r="T1434" t="n">
        <v>29</v>
      </c>
      <c r="U1434" t="n">
        <v>31</v>
      </c>
      <c r="V1434" t="n">
        <v>30</v>
      </c>
      <c r="W1434" t="n">
        <v>14</v>
      </c>
      <c r="X1434" t="n">
        <v>19.3923723335488</v>
      </c>
      <c r="Y1434" t="n">
        <v>1</v>
      </c>
      <c r="Z1434" t="n">
        <v>5</v>
      </c>
      <c r="AA1434" t="n">
        <v>0</v>
      </c>
      <c r="AB1434" t="n">
        <v>5</v>
      </c>
      <c r="AC1434" t="n">
        <v>5</v>
      </c>
      <c r="AD1434" t="n">
        <v>0</v>
      </c>
      <c r="AE1434" t="n">
        <v>140260</v>
      </c>
      <c r="AF1434" t="n">
        <v>12810</v>
      </c>
      <c r="AG1434" t="n">
        <v>2122</v>
      </c>
      <c r="AH1434" t="inlineStr">
        <is>
          <t>PT. SINAR PADANG LESTARI - PPN (PDG)</t>
        </is>
      </c>
      <c r="AI1434" t="n">
        <v>65</v>
      </c>
      <c r="AJ1434" t="inlineStr">
        <is>
          <t>EVANGELINE</t>
        </is>
      </c>
      <c r="AK1434" t="n">
        <v>21</v>
      </c>
      <c r="AL1434" t="inlineStr">
        <is>
          <t>Miss Glam Damar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EVANGELINE</t>
        </is>
      </c>
      <c r="B1435" s="2">
        <f>"8997017642069"</f>
        <v/>
      </c>
      <c r="C1435" t="inlineStr">
        <is>
          <t>EVANGELINE Eau De Parfum Sagitarius 50ml</t>
        </is>
      </c>
      <c r="D1435" t="inlineStr">
        <is>
          <t>Miss Glam Damar</t>
        </is>
      </c>
      <c r="E1435" t="n">
        <v>1</v>
      </c>
      <c r="F1435" t="n">
        <v>0.02</v>
      </c>
      <c r="G1435" t="n">
        <v>1</v>
      </c>
      <c r="H1435" t="n">
        <v>3</v>
      </c>
      <c r="I1435" t="n">
        <v>11</v>
      </c>
      <c r="J1435" t="n">
        <v>3</v>
      </c>
      <c r="K1435" t="n">
        <v>0</v>
      </c>
      <c r="L1435" t="n">
        <v>20700</v>
      </c>
      <c r="M1435" t="n">
        <v>26000</v>
      </c>
      <c r="N1435" t="n">
        <v>91</v>
      </c>
      <c r="O1435" t="n">
        <v>0.91</v>
      </c>
      <c r="P1435" t="n">
        <v>0</v>
      </c>
      <c r="Q1435" t="n">
        <v>0.02</v>
      </c>
      <c r="R1435" t="n">
        <v>1</v>
      </c>
      <c r="S1435" t="n">
        <v>520</v>
      </c>
      <c r="T1435" t="n">
        <v>11</v>
      </c>
      <c r="U1435" t="n">
        <v>12</v>
      </c>
      <c r="V1435" t="n">
        <v>30</v>
      </c>
      <c r="W1435" t="n">
        <v>1</v>
      </c>
      <c r="X1435" t="n">
        <v>50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12810</v>
      </c>
      <c r="AG1435" t="n">
        <v>2122</v>
      </c>
      <c r="AH1435" t="inlineStr">
        <is>
          <t>PT. SINAR PADANG LESTARI - PPN (PDG)</t>
        </is>
      </c>
      <c r="AI1435" t="n">
        <v>65</v>
      </c>
      <c r="AJ1435" t="inlineStr">
        <is>
          <t>EVANGELINE</t>
        </is>
      </c>
      <c r="AK1435" t="n">
        <v>21</v>
      </c>
      <c r="AL1435" t="inlineStr">
        <is>
          <t>Miss Glam Damar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EVANGELINE</t>
        </is>
      </c>
      <c r="B1436" s="2">
        <f>"8997017642052"</f>
        <v/>
      </c>
      <c r="C1436" t="inlineStr">
        <is>
          <t>EVANGELINE Eau De Parfum Scorpio  50 ml</t>
        </is>
      </c>
      <c r="D1436" t="inlineStr">
        <is>
          <t>Miss Glam Damar</t>
        </is>
      </c>
      <c r="E1436" t="n">
        <v>3</v>
      </c>
      <c r="F1436" t="n">
        <v>0.06370000000000001</v>
      </c>
      <c r="G1436" t="n">
        <v>1.82</v>
      </c>
      <c r="H1436" t="n">
        <v>3</v>
      </c>
      <c r="I1436" t="n">
        <v>11</v>
      </c>
      <c r="J1436" t="n">
        <v>3</v>
      </c>
      <c r="K1436" t="n">
        <v>0</v>
      </c>
      <c r="L1436" t="n">
        <v>19953</v>
      </c>
      <c r="M1436" t="n">
        <v>26000</v>
      </c>
      <c r="N1436" t="n">
        <v>91</v>
      </c>
      <c r="O1436" t="n">
        <v>0.91</v>
      </c>
      <c r="P1436" t="n">
        <v>1</v>
      </c>
      <c r="Q1436" t="n">
        <v>0.03</v>
      </c>
      <c r="R1436" t="n">
        <v>1</v>
      </c>
      <c r="S1436" t="n">
        <v>1656.2</v>
      </c>
      <c r="T1436" t="n">
        <v>20</v>
      </c>
      <c r="U1436" t="n">
        <v>21</v>
      </c>
      <c r="V1436" t="n">
        <v>30</v>
      </c>
      <c r="W1436" t="n">
        <v>2</v>
      </c>
      <c r="X1436" t="n">
        <v>47.09576138147566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12810</v>
      </c>
      <c r="AG1436" t="n">
        <v>2122</v>
      </c>
      <c r="AH1436" t="inlineStr">
        <is>
          <t>PT. SINAR PADANG LESTARI - PPN (PDG)</t>
        </is>
      </c>
      <c r="AI1436" t="n">
        <v>65</v>
      </c>
      <c r="AJ1436" t="inlineStr">
        <is>
          <t>EVANGELINE</t>
        </is>
      </c>
      <c r="AK1436" t="n">
        <v>21</v>
      </c>
      <c r="AL1436" t="inlineStr">
        <is>
          <t>Miss Glam Damar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EVANGELINE</t>
        </is>
      </c>
      <c r="B1437" s="2">
        <f>"8997017641994"</f>
        <v/>
      </c>
      <c r="C1437" t="inlineStr">
        <is>
          <t>EVANGELINE Eau De Parfum Taurus 50ml</t>
        </is>
      </c>
      <c r="D1437" t="inlineStr">
        <is>
          <t>Miss Glam Damar</t>
        </is>
      </c>
      <c r="E1437" t="n">
        <v>4</v>
      </c>
      <c r="F1437" t="n">
        <v>0.03</v>
      </c>
      <c r="G1437" t="n">
        <v>1</v>
      </c>
      <c r="H1437" t="n">
        <v>3</v>
      </c>
      <c r="I1437" t="n">
        <v>11</v>
      </c>
      <c r="J1437" t="n">
        <v>3</v>
      </c>
      <c r="K1437" t="n">
        <v>0</v>
      </c>
      <c r="L1437" t="n">
        <v>20700</v>
      </c>
      <c r="M1437" t="n">
        <v>26000</v>
      </c>
      <c r="N1437" t="n">
        <v>91</v>
      </c>
      <c r="O1437" t="n">
        <v>0.91</v>
      </c>
      <c r="P1437" t="n">
        <v>0</v>
      </c>
      <c r="Q1437" t="n">
        <v>0.03</v>
      </c>
      <c r="R1437" t="n">
        <v>1</v>
      </c>
      <c r="S1437" t="n">
        <v>780</v>
      </c>
      <c r="T1437" t="n">
        <v>11</v>
      </c>
      <c r="U1437" t="n">
        <v>12</v>
      </c>
      <c r="V1437" t="n">
        <v>30</v>
      </c>
      <c r="W1437" t="n">
        <v>1</v>
      </c>
      <c r="X1437" t="n">
        <v>133.3333333333333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12810</v>
      </c>
      <c r="AG1437" t="n">
        <v>2122</v>
      </c>
      <c r="AH1437" t="inlineStr">
        <is>
          <t>PT. SINAR PADANG LESTARI - PPN (PDG)</t>
        </is>
      </c>
      <c r="AI1437" t="n">
        <v>65</v>
      </c>
      <c r="AJ1437" t="inlineStr">
        <is>
          <t>EVANGELINE</t>
        </is>
      </c>
      <c r="AK1437" t="n">
        <v>21</v>
      </c>
      <c r="AL1437" t="inlineStr">
        <is>
          <t>Miss Glam Damar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EVANGELINE</t>
        </is>
      </c>
      <c r="B1438" s="2">
        <f>"30400257252"</f>
        <v/>
      </c>
      <c r="C1438" t="inlineStr">
        <is>
          <t>EVANGELINE Eau De Parfum Vanilla Candy 50ml</t>
        </is>
      </c>
      <c r="D1438" t="inlineStr">
        <is>
          <t>Miss Glam Damar</t>
        </is>
      </c>
      <c r="E1438" t="n">
        <v>18</v>
      </c>
      <c r="F1438" t="n">
        <v>0.0273</v>
      </c>
      <c r="G1438" t="n">
        <v>0.91</v>
      </c>
      <c r="H1438" t="n">
        <v>3</v>
      </c>
      <c r="I1438" t="n">
        <v>11</v>
      </c>
      <c r="J1438" t="n">
        <v>1</v>
      </c>
      <c r="K1438" t="n">
        <v>0</v>
      </c>
      <c r="L1438" t="n">
        <v>21250</v>
      </c>
      <c r="M1438" t="n">
        <v>28000</v>
      </c>
      <c r="N1438" t="n">
        <v>91</v>
      </c>
      <c r="O1438" t="n">
        <v>0.91</v>
      </c>
      <c r="P1438" t="n">
        <v>1</v>
      </c>
      <c r="Q1438" t="n">
        <v>0.37</v>
      </c>
      <c r="R1438" t="n">
        <v>4</v>
      </c>
      <c r="S1438" t="n">
        <v>764.4000000000001</v>
      </c>
      <c r="T1438" t="n">
        <v>10</v>
      </c>
      <c r="U1438" t="n">
        <v>11</v>
      </c>
      <c r="V1438" t="n">
        <v>30</v>
      </c>
      <c r="W1438" t="n">
        <v>1</v>
      </c>
      <c r="X1438" t="n">
        <v>659.3406593406593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12810</v>
      </c>
      <c r="AG1438" t="n">
        <v>2122</v>
      </c>
      <c r="AH1438" t="inlineStr">
        <is>
          <t>PT. SINAR PADANG LESTARI - PPN (PDG)</t>
        </is>
      </c>
      <c r="AI1438" t="n">
        <v>65</v>
      </c>
      <c r="AJ1438" t="inlineStr">
        <is>
          <t>EVANGELINE</t>
        </is>
      </c>
      <c r="AK1438" t="n">
        <v>21</v>
      </c>
      <c r="AL1438" t="inlineStr">
        <is>
          <t>Miss Glam Damar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EVANGELINE</t>
        </is>
      </c>
      <c r="B1439" s="2">
        <f>"30400256923"</f>
        <v/>
      </c>
      <c r="C1439" t="inlineStr">
        <is>
          <t>EVANGELINE Eau De Parfum Vanilla Powder 50ml</t>
        </is>
      </c>
      <c r="D1439" t="inlineStr">
        <is>
          <t>Miss Glam Damar</t>
        </is>
      </c>
      <c r="E1439" t="n">
        <v>7</v>
      </c>
      <c r="F1439" t="n">
        <v>0.06370000000000001</v>
      </c>
      <c r="G1439" t="n">
        <v>0.91</v>
      </c>
      <c r="H1439" t="n">
        <v>3</v>
      </c>
      <c r="I1439" t="n">
        <v>11</v>
      </c>
      <c r="J1439" t="n">
        <v>1</v>
      </c>
      <c r="K1439" t="n">
        <v>0</v>
      </c>
      <c r="L1439" t="n">
        <v>21280</v>
      </c>
      <c r="M1439" t="n">
        <v>28000</v>
      </c>
      <c r="N1439" t="n">
        <v>91</v>
      </c>
      <c r="O1439" t="n">
        <v>0.91</v>
      </c>
      <c r="P1439" t="n">
        <v>1</v>
      </c>
      <c r="Q1439" t="n">
        <v>0.1</v>
      </c>
      <c r="R1439" t="n">
        <v>1</v>
      </c>
      <c r="S1439" t="n">
        <v>1783.6</v>
      </c>
      <c r="T1439" t="n">
        <v>10</v>
      </c>
      <c r="U1439" t="n">
        <v>11</v>
      </c>
      <c r="V1439" t="n">
        <v>30</v>
      </c>
      <c r="W1439" t="n">
        <v>2</v>
      </c>
      <c r="X1439" t="n">
        <v>109.8901098901099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12810</v>
      </c>
      <c r="AG1439" t="n">
        <v>2122</v>
      </c>
      <c r="AH1439" t="inlineStr">
        <is>
          <t>PT. SINAR PADANG LESTARI - PPN (PDG)</t>
        </is>
      </c>
      <c r="AI1439" t="n">
        <v>65</v>
      </c>
      <c r="AJ1439" t="inlineStr">
        <is>
          <t>EVANGELINE</t>
        </is>
      </c>
      <c r="AK1439" t="n">
        <v>21</v>
      </c>
      <c r="AL1439" t="inlineStr">
        <is>
          <t>Miss Glam Damar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EVANGELINE</t>
        </is>
      </c>
      <c r="B1440" s="2">
        <f>"8997017642915"</f>
        <v/>
      </c>
      <c r="C1440" t="inlineStr">
        <is>
          <t>EVANGELINE Eau De Parfum Violet Musk 100ml</t>
        </is>
      </c>
      <c r="D1440" t="inlineStr">
        <is>
          <t>Miss Glam Damar</t>
        </is>
      </c>
      <c r="E1440" t="n">
        <v>5</v>
      </c>
      <c r="F1440" t="n">
        <v>0.0273</v>
      </c>
      <c r="G1440" t="n">
        <v>0.91</v>
      </c>
      <c r="H1440" t="n">
        <v>3</v>
      </c>
      <c r="I1440" t="n">
        <v>11</v>
      </c>
      <c r="J1440" t="n">
        <v>3</v>
      </c>
      <c r="K1440" t="n">
        <v>0</v>
      </c>
      <c r="L1440" t="n">
        <v>29700</v>
      </c>
      <c r="M1440" t="n">
        <v>34100</v>
      </c>
      <c r="N1440" t="n">
        <v>91</v>
      </c>
      <c r="O1440" t="n">
        <v>0.91</v>
      </c>
      <c r="P1440" t="n">
        <v>1</v>
      </c>
      <c r="Q1440" t="n">
        <v>0.02</v>
      </c>
      <c r="R1440" t="n">
        <v>1</v>
      </c>
      <c r="S1440" t="n">
        <v>930.9300000000001</v>
      </c>
      <c r="T1440" t="n">
        <v>10</v>
      </c>
      <c r="U1440" t="n">
        <v>11</v>
      </c>
      <c r="V1440" t="n">
        <v>30</v>
      </c>
      <c r="W1440" t="n">
        <v>1</v>
      </c>
      <c r="X1440" t="n">
        <v>183.1501831501832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12810</v>
      </c>
      <c r="AG1440" t="n">
        <v>2122</v>
      </c>
      <c r="AH1440" t="inlineStr">
        <is>
          <t>PT. SINAR PADANG LESTARI - PPN (PDG)</t>
        </is>
      </c>
      <c r="AI1440" t="n">
        <v>65</v>
      </c>
      <c r="AJ1440" t="inlineStr">
        <is>
          <t>EVANGELINE</t>
        </is>
      </c>
      <c r="AK1440" t="n">
        <v>21</v>
      </c>
      <c r="AL1440" t="inlineStr">
        <is>
          <t>Miss Glam Damar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EVANGELINE</t>
        </is>
      </c>
      <c r="B1441" s="2">
        <f>"8997017642038"</f>
        <v/>
      </c>
      <c r="C1441" t="inlineStr">
        <is>
          <t>EVANGELINE Eau De Parfum Virgo 50ml</t>
        </is>
      </c>
      <c r="D1441" t="inlineStr">
        <is>
          <t>Miss Glam Damar</t>
        </is>
      </c>
      <c r="E1441" t="n">
        <v>3</v>
      </c>
      <c r="F1441" t="n">
        <v>0.2457</v>
      </c>
      <c r="G1441" t="n">
        <v>1.82</v>
      </c>
      <c r="H1441" t="n">
        <v>3</v>
      </c>
      <c r="I1441" t="n">
        <v>11</v>
      </c>
      <c r="J1441" t="n">
        <v>3</v>
      </c>
      <c r="K1441" t="n">
        <v>0</v>
      </c>
      <c r="L1441" t="n">
        <v>19557</v>
      </c>
      <c r="M1441" t="n">
        <v>26000</v>
      </c>
      <c r="N1441" t="n">
        <v>91</v>
      </c>
      <c r="O1441" t="n">
        <v>0.91</v>
      </c>
      <c r="P1441" t="n">
        <v>1</v>
      </c>
      <c r="Q1441" t="n">
        <v>0.15</v>
      </c>
      <c r="R1441" t="n">
        <v>2</v>
      </c>
      <c r="S1441" t="n">
        <v>6388.200000000001</v>
      </c>
      <c r="T1441" t="n">
        <v>20</v>
      </c>
      <c r="U1441" t="n">
        <v>21</v>
      </c>
      <c r="V1441" t="n">
        <v>30</v>
      </c>
      <c r="W1441" t="n">
        <v>8</v>
      </c>
      <c r="X1441" t="n">
        <v>12.21001221001221</v>
      </c>
      <c r="Y1441" t="n">
        <v>1</v>
      </c>
      <c r="Z1441" t="n">
        <v>5</v>
      </c>
      <c r="AA1441" t="n">
        <v>0</v>
      </c>
      <c r="AB1441" t="n">
        <v>5</v>
      </c>
      <c r="AC1441" t="n">
        <v>5</v>
      </c>
      <c r="AD1441" t="n">
        <v>0</v>
      </c>
      <c r="AE1441" t="n">
        <v>97785</v>
      </c>
      <c r="AF1441" t="n">
        <v>12810</v>
      </c>
      <c r="AG1441" t="n">
        <v>2122</v>
      </c>
      <c r="AH1441" t="inlineStr">
        <is>
          <t>PT. SINAR PADANG LESTARI - PPN (PDG)</t>
        </is>
      </c>
      <c r="AI1441" t="n">
        <v>65</v>
      </c>
      <c r="AJ1441" t="inlineStr">
        <is>
          <t>EVANGELINE</t>
        </is>
      </c>
      <c r="AK1441" t="n">
        <v>21</v>
      </c>
      <c r="AL1441" t="inlineStr">
        <is>
          <t>Miss Glam Damar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EVANGELINE</t>
        </is>
      </c>
      <c r="B1442" s="2">
        <f>"8997017642878"</f>
        <v/>
      </c>
      <c r="C1442" t="inlineStr">
        <is>
          <t>EVANGELINE Edc Black Musk 100ml</t>
        </is>
      </c>
      <c r="D1442" t="inlineStr">
        <is>
          <t>Miss Glam Damar</t>
        </is>
      </c>
      <c r="E1442" t="n">
        <v>14</v>
      </c>
      <c r="F1442" t="n">
        <v>0.4277</v>
      </c>
      <c r="G1442" t="n">
        <v>1.82</v>
      </c>
      <c r="H1442" t="n">
        <v>3</v>
      </c>
      <c r="I1442" t="n">
        <v>11</v>
      </c>
      <c r="J1442" t="n">
        <v>3</v>
      </c>
      <c r="K1442" t="n">
        <v>0</v>
      </c>
      <c r="L1442" t="n">
        <v>28052</v>
      </c>
      <c r="M1442" t="n">
        <v>36000</v>
      </c>
      <c r="N1442" t="n">
        <v>91</v>
      </c>
      <c r="O1442" t="n">
        <v>0.91</v>
      </c>
      <c r="P1442" t="n">
        <v>1</v>
      </c>
      <c r="Q1442" t="n">
        <v>0.36</v>
      </c>
      <c r="R1442" t="n">
        <v>2</v>
      </c>
      <c r="S1442" t="n">
        <v>15397.2</v>
      </c>
      <c r="T1442" t="n">
        <v>19</v>
      </c>
      <c r="U1442" t="n">
        <v>21</v>
      </c>
      <c r="V1442" t="n">
        <v>30</v>
      </c>
      <c r="W1442" t="n">
        <v>13</v>
      </c>
      <c r="X1442" t="n">
        <v>32.73322422258592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12810</v>
      </c>
      <c r="AG1442" t="n">
        <v>2122</v>
      </c>
      <c r="AH1442" t="inlineStr">
        <is>
          <t>PT. SINAR PADANG LESTARI - PPN (PDG)</t>
        </is>
      </c>
      <c r="AI1442" t="n">
        <v>65</v>
      </c>
      <c r="AJ1442" t="inlineStr">
        <is>
          <t>EVANGELINE</t>
        </is>
      </c>
      <c r="AK1442" t="n">
        <v>21</v>
      </c>
      <c r="AL1442" t="inlineStr">
        <is>
          <t>Miss Glam Damar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EVANGELINE</t>
        </is>
      </c>
      <c r="B1443" s="2">
        <f>"8997017642212"</f>
        <v/>
      </c>
      <c r="C1443" t="inlineStr">
        <is>
          <t>EVANGELINE Edc Bloom Series Lavie 100ml</t>
        </is>
      </c>
      <c r="D1443" t="inlineStr">
        <is>
          <t>Miss Glam Damar</t>
        </is>
      </c>
      <c r="E1443" t="n">
        <v>11</v>
      </c>
      <c r="F1443" t="n">
        <v>0.4004</v>
      </c>
      <c r="G1443" t="n">
        <v>3.64</v>
      </c>
      <c r="H1443" t="n">
        <v>3</v>
      </c>
      <c r="I1443" t="n">
        <v>11</v>
      </c>
      <c r="J1443" t="n">
        <v>3</v>
      </c>
      <c r="K1443" t="n">
        <v>0</v>
      </c>
      <c r="L1443" t="n">
        <v>14027</v>
      </c>
      <c r="M1443" t="n">
        <v>19100</v>
      </c>
      <c r="N1443" t="n">
        <v>91</v>
      </c>
      <c r="O1443" t="n">
        <v>0.91</v>
      </c>
      <c r="P1443" t="n">
        <v>1</v>
      </c>
      <c r="Q1443" t="n">
        <v>0.36</v>
      </c>
      <c r="R1443" t="n">
        <v>3</v>
      </c>
      <c r="S1443" t="n">
        <v>7647.64</v>
      </c>
      <c r="T1443" t="n">
        <v>39</v>
      </c>
      <c r="U1443" t="n">
        <v>41</v>
      </c>
      <c r="V1443" t="n">
        <v>30</v>
      </c>
      <c r="W1443" t="n">
        <v>13</v>
      </c>
      <c r="X1443" t="n">
        <v>27.47252747252747</v>
      </c>
      <c r="Y1443" t="n">
        <v>1</v>
      </c>
      <c r="Z1443" t="n">
        <v>2</v>
      </c>
      <c r="AA1443" t="n">
        <v>0</v>
      </c>
      <c r="AB1443" t="n">
        <v>2</v>
      </c>
      <c r="AC1443" t="n">
        <v>3</v>
      </c>
      <c r="AD1443" t="n">
        <v>0</v>
      </c>
      <c r="AE1443" t="n">
        <v>42081</v>
      </c>
      <c r="AF1443" t="n">
        <v>12810</v>
      </c>
      <c r="AG1443" t="n">
        <v>2122</v>
      </c>
      <c r="AH1443" t="inlineStr">
        <is>
          <t>PT. SINAR PADANG LESTARI - PPN (PDG)</t>
        </is>
      </c>
      <c r="AI1443" t="n">
        <v>65</v>
      </c>
      <c r="AJ1443" t="inlineStr">
        <is>
          <t>EVANGELINE</t>
        </is>
      </c>
      <c r="AK1443" t="n">
        <v>21</v>
      </c>
      <c r="AL1443" t="inlineStr">
        <is>
          <t>Miss Glam Damar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EVANGELINE</t>
        </is>
      </c>
      <c r="B1444" s="2">
        <f>"8997017642922"</f>
        <v/>
      </c>
      <c r="C1444" t="inlineStr">
        <is>
          <t>EVANGELINE Edp White Musk 100ml</t>
        </is>
      </c>
      <c r="D1444" t="inlineStr">
        <is>
          <t>Miss Glam Damar</t>
        </is>
      </c>
      <c r="E1444" t="n">
        <v>1</v>
      </c>
      <c r="F1444" t="n">
        <v>0.2457</v>
      </c>
      <c r="G1444" t="n">
        <v>0.91</v>
      </c>
      <c r="H1444" t="n">
        <v>3</v>
      </c>
      <c r="I1444" t="n">
        <v>11</v>
      </c>
      <c r="J1444" t="n">
        <v>3</v>
      </c>
      <c r="K1444" t="n">
        <v>0</v>
      </c>
      <c r="L1444" t="n">
        <v>28095</v>
      </c>
      <c r="M1444" t="n">
        <v>36000</v>
      </c>
      <c r="N1444" t="n">
        <v>91</v>
      </c>
      <c r="O1444" t="n">
        <v>0.91</v>
      </c>
      <c r="P1444" t="n">
        <v>1</v>
      </c>
      <c r="Q1444" t="n">
        <v>0.12</v>
      </c>
      <c r="R1444" t="n">
        <v>2</v>
      </c>
      <c r="S1444" t="n">
        <v>8845.200000000001</v>
      </c>
      <c r="T1444" t="n">
        <v>10</v>
      </c>
      <c r="U1444" t="n">
        <v>11</v>
      </c>
      <c r="V1444" t="n">
        <v>30</v>
      </c>
      <c r="W1444" t="n">
        <v>8</v>
      </c>
      <c r="X1444" t="n">
        <v>4.070004070004069</v>
      </c>
      <c r="Y1444" t="n">
        <v>1</v>
      </c>
      <c r="Z1444" t="n">
        <v>7</v>
      </c>
      <c r="AA1444" t="n">
        <v>2</v>
      </c>
      <c r="AB1444" t="n">
        <v>5</v>
      </c>
      <c r="AC1444" t="n">
        <v>5</v>
      </c>
      <c r="AD1444" t="n">
        <v>56190</v>
      </c>
      <c r="AE1444" t="n">
        <v>140475</v>
      </c>
      <c r="AF1444" t="n">
        <v>12810</v>
      </c>
      <c r="AG1444" t="n">
        <v>2122</v>
      </c>
      <c r="AH1444" t="inlineStr">
        <is>
          <t>PT. SINAR PADANG LESTARI - PPN (PDG)</t>
        </is>
      </c>
      <c r="AI1444" t="n">
        <v>65</v>
      </c>
      <c r="AJ1444" t="inlineStr">
        <is>
          <t>EVANGELINE</t>
        </is>
      </c>
      <c r="AK1444" t="n">
        <v>21</v>
      </c>
      <c r="AL1444" t="inlineStr">
        <is>
          <t>Miss Glam Damar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EVANGELINE</t>
        </is>
      </c>
      <c r="B1445" s="2">
        <f>"8997017641796"</f>
        <v/>
      </c>
      <c r="C1445" t="inlineStr">
        <is>
          <t>EVANGELINE Edp White Sakura 100ml</t>
        </is>
      </c>
      <c r="D1445" t="inlineStr">
        <is>
          <t>Miss Glam Damar</t>
        </is>
      </c>
      <c r="E1445" t="n">
        <v>4</v>
      </c>
      <c r="F1445" t="n">
        <v>0.1729</v>
      </c>
      <c r="G1445" t="n">
        <v>2.73</v>
      </c>
      <c r="H1445" t="n">
        <v>3</v>
      </c>
      <c r="I1445" t="n">
        <v>11</v>
      </c>
      <c r="J1445" t="n">
        <v>3</v>
      </c>
      <c r="K1445" t="n">
        <v>0</v>
      </c>
      <c r="L1445" t="n">
        <v>28065</v>
      </c>
      <c r="M1445" t="n">
        <v>35500</v>
      </c>
      <c r="N1445" t="n">
        <v>91</v>
      </c>
      <c r="O1445" t="n">
        <v>0.91</v>
      </c>
      <c r="P1445" t="n">
        <v>1</v>
      </c>
      <c r="Q1445" t="n">
        <v>0.32</v>
      </c>
      <c r="R1445" t="n">
        <v>3</v>
      </c>
      <c r="S1445" t="n">
        <v>6137.95</v>
      </c>
      <c r="T1445" t="n">
        <v>30</v>
      </c>
      <c r="U1445" t="n">
        <v>31</v>
      </c>
      <c r="V1445" t="n">
        <v>30</v>
      </c>
      <c r="W1445" t="n">
        <v>6</v>
      </c>
      <c r="X1445" t="n">
        <v>23.13475997686524</v>
      </c>
      <c r="Y1445" t="n">
        <v>1</v>
      </c>
      <c r="Z1445" t="n">
        <v>2</v>
      </c>
      <c r="AA1445" t="n">
        <v>0</v>
      </c>
      <c r="AB1445" t="n">
        <v>2</v>
      </c>
      <c r="AC1445" t="n">
        <v>3</v>
      </c>
      <c r="AD1445" t="n">
        <v>0</v>
      </c>
      <c r="AE1445" t="n">
        <v>84195</v>
      </c>
      <c r="AF1445" t="n">
        <v>12810</v>
      </c>
      <c r="AG1445" t="n">
        <v>2122</v>
      </c>
      <c r="AH1445" t="inlineStr">
        <is>
          <t>PT. SINAR PADANG LESTARI - PPN (PDG)</t>
        </is>
      </c>
      <c r="AI1445" t="n">
        <v>65</v>
      </c>
      <c r="AJ1445" t="inlineStr">
        <is>
          <t>EVANGELINE</t>
        </is>
      </c>
      <c r="AK1445" t="n">
        <v>21</v>
      </c>
      <c r="AL1445" t="inlineStr">
        <is>
          <t>Miss Glam Damar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EVANGELINE</t>
        </is>
      </c>
      <c r="B1446" s="2">
        <f>"30400362128"</f>
        <v/>
      </c>
      <c r="C1446" t="inlineStr">
        <is>
          <t>EVANGELINE Fine Fragrance Mist Warm Vanilla 250ml</t>
        </is>
      </c>
      <c r="D1446" t="inlineStr">
        <is>
          <t>Miss Glam Damar</t>
        </is>
      </c>
      <c r="E1446" t="n">
        <v>14</v>
      </c>
      <c r="F1446" t="n">
        <v>0.47</v>
      </c>
      <c r="G1446" t="n">
        <v>4</v>
      </c>
      <c r="H1446" t="n">
        <v>3</v>
      </c>
      <c r="I1446" t="n">
        <v>11</v>
      </c>
      <c r="J1446" t="n">
        <v>1</v>
      </c>
      <c r="K1446" t="n">
        <v>0</v>
      </c>
      <c r="L1446" t="n">
        <v>34000</v>
      </c>
      <c r="M1446" t="n">
        <v>45000</v>
      </c>
      <c r="N1446" t="n">
        <v>91</v>
      </c>
      <c r="O1446" t="n">
        <v>0.91</v>
      </c>
      <c r="P1446" t="n">
        <v>0</v>
      </c>
      <c r="Q1446" t="n">
        <v>0.47</v>
      </c>
      <c r="R1446" t="n">
        <v>4</v>
      </c>
      <c r="S1446" t="n">
        <v>21150</v>
      </c>
      <c r="T1446" t="n">
        <v>43</v>
      </c>
      <c r="U1446" t="n">
        <v>45</v>
      </c>
      <c r="V1446" t="n">
        <v>30</v>
      </c>
      <c r="W1446" t="n">
        <v>15</v>
      </c>
      <c r="X1446" t="n">
        <v>29.78723404255319</v>
      </c>
      <c r="Y1446" t="n">
        <v>1</v>
      </c>
      <c r="Z1446" t="n">
        <v>1</v>
      </c>
      <c r="AA1446" t="n">
        <v>0</v>
      </c>
      <c r="AB1446" t="n">
        <v>1</v>
      </c>
      <c r="AC1446" t="n">
        <v>1</v>
      </c>
      <c r="AD1446" t="n">
        <v>0</v>
      </c>
      <c r="AE1446" t="n">
        <v>34000</v>
      </c>
      <c r="AF1446" t="n">
        <v>12810</v>
      </c>
      <c r="AG1446" t="n">
        <v>2122</v>
      </c>
      <c r="AH1446" t="inlineStr">
        <is>
          <t>PT. SINAR PADANG LESTARI - PPN (PDG)</t>
        </is>
      </c>
      <c r="AI1446" t="n">
        <v>65</v>
      </c>
      <c r="AJ1446" t="inlineStr">
        <is>
          <t>EVANGELINE</t>
        </is>
      </c>
      <c r="AK1446" t="n">
        <v>21</v>
      </c>
      <c r="AL1446" t="inlineStr">
        <is>
          <t>Miss Glam Damar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EVANGELINE</t>
        </is>
      </c>
      <c r="B1447" s="2">
        <f>"8997017643196"</f>
        <v/>
      </c>
      <c r="C1447" t="inlineStr">
        <is>
          <t>EVANGELINE Lana Roll On 50ml</t>
        </is>
      </c>
      <c r="D1447" t="inlineStr">
        <is>
          <t>Miss Glam Damar</t>
        </is>
      </c>
      <c r="E1447" t="n">
        <v>11</v>
      </c>
      <c r="F1447" t="n">
        <v>0.2275</v>
      </c>
      <c r="G1447" t="n">
        <v>2.73</v>
      </c>
      <c r="H1447" t="n">
        <v>3</v>
      </c>
      <c r="I1447" t="n">
        <v>11</v>
      </c>
      <c r="J1447" t="n">
        <v>3</v>
      </c>
      <c r="K1447" t="n">
        <v>0</v>
      </c>
      <c r="L1447" t="n">
        <v>10771</v>
      </c>
      <c r="M1447" t="n">
        <v>15000</v>
      </c>
      <c r="N1447" t="n">
        <v>91</v>
      </c>
      <c r="O1447" t="n">
        <v>0.91</v>
      </c>
      <c r="P1447" t="n">
        <v>1</v>
      </c>
      <c r="Q1447" t="n">
        <v>0.2</v>
      </c>
      <c r="R1447" t="n">
        <v>2</v>
      </c>
      <c r="S1447" t="n">
        <v>3412.5</v>
      </c>
      <c r="T1447" t="n">
        <v>30</v>
      </c>
      <c r="U1447" t="n">
        <v>31</v>
      </c>
      <c r="V1447" t="n">
        <v>30</v>
      </c>
      <c r="W1447" t="n">
        <v>7</v>
      </c>
      <c r="X1447" t="n">
        <v>48.35164835164835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12810</v>
      </c>
      <c r="AG1447" t="n">
        <v>2122</v>
      </c>
      <c r="AH1447" t="inlineStr">
        <is>
          <t>PT. SINAR PADANG LESTARI - PPN (PDG)</t>
        </is>
      </c>
      <c r="AI1447" t="n">
        <v>65</v>
      </c>
      <c r="AJ1447" t="inlineStr">
        <is>
          <t>EVANGELINE</t>
        </is>
      </c>
      <c r="AK1447" t="n">
        <v>21</v>
      </c>
      <c r="AL1447" t="inlineStr">
        <is>
          <t>Miss Glam Damar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EVANGELINE</t>
        </is>
      </c>
      <c r="B1448" s="2">
        <f>"8997017643202"</f>
        <v/>
      </c>
      <c r="C1448" t="inlineStr">
        <is>
          <t>EVANGELINE Miya Roll On 50ml</t>
        </is>
      </c>
      <c r="D1448" t="inlineStr">
        <is>
          <t>Miss Glam Damar</t>
        </is>
      </c>
      <c r="E1448" t="n">
        <v>4</v>
      </c>
      <c r="F1448" t="n">
        <v>0.3094</v>
      </c>
      <c r="G1448" t="n">
        <v>3.64</v>
      </c>
      <c r="H1448" t="n">
        <v>3</v>
      </c>
      <c r="I1448" t="n">
        <v>11</v>
      </c>
      <c r="J1448" t="n">
        <v>3</v>
      </c>
      <c r="K1448" t="n">
        <v>0</v>
      </c>
      <c r="L1448" t="n">
        <v>10767</v>
      </c>
      <c r="M1448" t="n">
        <v>15100</v>
      </c>
      <c r="N1448" t="n">
        <v>91</v>
      </c>
      <c r="O1448" t="n">
        <v>0.91</v>
      </c>
      <c r="P1448" t="n">
        <v>1</v>
      </c>
      <c r="Q1448" t="n">
        <v>0.14</v>
      </c>
      <c r="R1448" t="n">
        <v>1</v>
      </c>
      <c r="S1448" t="n">
        <v>4671.940000000001</v>
      </c>
      <c r="T1448" t="n">
        <v>40</v>
      </c>
      <c r="U1448" t="n">
        <v>41</v>
      </c>
      <c r="V1448" t="n">
        <v>30</v>
      </c>
      <c r="W1448" t="n">
        <v>10</v>
      </c>
      <c r="X1448" t="n">
        <v>12.92824822236587</v>
      </c>
      <c r="Y1448" t="n">
        <v>1</v>
      </c>
      <c r="Z1448" t="n">
        <v>6</v>
      </c>
      <c r="AA1448" t="n">
        <v>0</v>
      </c>
      <c r="AB1448" t="n">
        <v>6</v>
      </c>
      <c r="AC1448" t="n">
        <v>6</v>
      </c>
      <c r="AD1448" t="n">
        <v>0</v>
      </c>
      <c r="AE1448" t="n">
        <v>64602</v>
      </c>
      <c r="AF1448" t="n">
        <v>12810</v>
      </c>
      <c r="AG1448" t="n">
        <v>2122</v>
      </c>
      <c r="AH1448" t="inlineStr">
        <is>
          <t>PT. SINAR PADANG LESTARI - PPN (PDG)</t>
        </is>
      </c>
      <c r="AI1448" t="n">
        <v>65</v>
      </c>
      <c r="AJ1448" t="inlineStr">
        <is>
          <t>EVANGELINE</t>
        </is>
      </c>
      <c r="AK1448" t="n">
        <v>21</v>
      </c>
      <c r="AL1448" t="inlineStr">
        <is>
          <t>Miss Glam Damar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EVANGELINE</t>
        </is>
      </c>
      <c r="B1449" s="2">
        <f>"8997017643219"</f>
        <v/>
      </c>
      <c r="C1449" t="inlineStr">
        <is>
          <t>EVANGELINE Mori Roll On 50ml</t>
        </is>
      </c>
      <c r="D1449" t="inlineStr">
        <is>
          <t>Miss Glam Damar</t>
        </is>
      </c>
      <c r="E1449" t="n">
        <v>10</v>
      </c>
      <c r="F1449" t="n">
        <v>0.4277</v>
      </c>
      <c r="G1449" t="n">
        <v>2.73</v>
      </c>
      <c r="H1449" t="n">
        <v>3</v>
      </c>
      <c r="I1449" t="n">
        <v>11</v>
      </c>
      <c r="J1449" t="n">
        <v>3</v>
      </c>
      <c r="K1449" t="n">
        <v>0</v>
      </c>
      <c r="L1449" t="n">
        <v>10772</v>
      </c>
      <c r="M1449" t="n">
        <v>15100</v>
      </c>
      <c r="N1449" t="n">
        <v>91</v>
      </c>
      <c r="O1449" t="n">
        <v>0.91</v>
      </c>
      <c r="P1449" t="n">
        <v>1</v>
      </c>
      <c r="Q1449" t="n">
        <v>0.22</v>
      </c>
      <c r="R1449" t="n">
        <v>2</v>
      </c>
      <c r="S1449" t="n">
        <v>6458.27</v>
      </c>
      <c r="T1449" t="n">
        <v>29</v>
      </c>
      <c r="U1449" t="n">
        <v>31</v>
      </c>
      <c r="V1449" t="n">
        <v>30</v>
      </c>
      <c r="W1449" t="n">
        <v>13</v>
      </c>
      <c r="X1449" t="n">
        <v>23.38087444470423</v>
      </c>
      <c r="Y1449" t="n">
        <v>1</v>
      </c>
      <c r="Z1449" t="n">
        <v>3</v>
      </c>
      <c r="AA1449" t="n">
        <v>0</v>
      </c>
      <c r="AB1449" t="n">
        <v>3</v>
      </c>
      <c r="AC1449" t="n">
        <v>3</v>
      </c>
      <c r="AD1449" t="n">
        <v>0</v>
      </c>
      <c r="AE1449" t="n">
        <v>32316</v>
      </c>
      <c r="AF1449" t="n">
        <v>12810</v>
      </c>
      <c r="AG1449" t="n">
        <v>2122</v>
      </c>
      <c r="AH1449" t="inlineStr">
        <is>
          <t>PT. SINAR PADANG LESTARI - PPN (PDG)</t>
        </is>
      </c>
      <c r="AI1449" t="n">
        <v>65</v>
      </c>
      <c r="AJ1449" t="inlineStr">
        <is>
          <t>EVANGELINE</t>
        </is>
      </c>
      <c r="AK1449" t="n">
        <v>21</v>
      </c>
      <c r="AL1449" t="inlineStr">
        <is>
          <t>Miss Glam Damar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EVANGELINE</t>
        </is>
      </c>
      <c r="B1450" s="2">
        <f>"8997017641062"</f>
        <v/>
      </c>
      <c r="C1450" t="inlineStr">
        <is>
          <t>EVANGELINE Parfum Wanita EDP Fancy  60 ml</t>
        </is>
      </c>
      <c r="D1450" t="inlineStr">
        <is>
          <t>Miss Glam Damar</t>
        </is>
      </c>
      <c r="E1450" t="n">
        <v>0</v>
      </c>
      <c r="F1450" t="n">
        <v>0.05</v>
      </c>
      <c r="G1450" t="n">
        <v>1</v>
      </c>
      <c r="H1450" t="n">
        <v>3</v>
      </c>
      <c r="I1450" t="n">
        <v>11</v>
      </c>
      <c r="J1450" t="n">
        <v>3</v>
      </c>
      <c r="K1450" t="n">
        <v>0</v>
      </c>
      <c r="L1450" t="n">
        <v>22500</v>
      </c>
      <c r="M1450" t="n">
        <v>28200</v>
      </c>
      <c r="N1450" t="n">
        <v>91</v>
      </c>
      <c r="O1450" t="n">
        <v>0.91</v>
      </c>
      <c r="P1450" t="n">
        <v>0</v>
      </c>
      <c r="Q1450" t="n">
        <v>0.05</v>
      </c>
      <c r="R1450" t="n">
        <v>1</v>
      </c>
      <c r="S1450" t="n">
        <v>1410</v>
      </c>
      <c r="T1450" t="n">
        <v>11</v>
      </c>
      <c r="U1450" t="n">
        <v>12</v>
      </c>
      <c r="V1450" t="n">
        <v>30</v>
      </c>
      <c r="W1450" t="n">
        <v>2</v>
      </c>
      <c r="X1450" t="n">
        <v>0</v>
      </c>
      <c r="Y1450" t="n">
        <v>1</v>
      </c>
      <c r="Z1450" t="n">
        <v>2</v>
      </c>
      <c r="AA1450" t="n">
        <v>1</v>
      </c>
      <c r="AB1450" t="n">
        <v>1</v>
      </c>
      <c r="AC1450" t="n">
        <v>3</v>
      </c>
      <c r="AD1450" t="n">
        <v>22500</v>
      </c>
      <c r="AE1450" t="n">
        <v>67500</v>
      </c>
      <c r="AF1450" t="n">
        <v>12810</v>
      </c>
      <c r="AG1450" t="n">
        <v>2122</v>
      </c>
      <c r="AH1450" t="inlineStr">
        <is>
          <t>PT. SINAR PADANG LESTARI - PPN (PDG)</t>
        </is>
      </c>
      <c r="AI1450" t="n">
        <v>65</v>
      </c>
      <c r="AJ1450" t="inlineStr">
        <is>
          <t>EVANGELINE</t>
        </is>
      </c>
      <c r="AK1450" t="n">
        <v>21</v>
      </c>
      <c r="AL1450" t="inlineStr">
        <is>
          <t>Miss Glam Damar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EVANGELINE</t>
        </is>
      </c>
      <c r="B1451" s="2">
        <f>"8997017643332"</f>
        <v/>
      </c>
      <c r="C1451" t="inlineStr">
        <is>
          <t>EVANGELINE Premium Baccarat 100ml</t>
        </is>
      </c>
      <c r="D1451" t="inlineStr">
        <is>
          <t>Miss Glam Damar</t>
        </is>
      </c>
      <c r="E1451" t="n">
        <v>7</v>
      </c>
      <c r="F1451" t="n">
        <v>0.1729</v>
      </c>
      <c r="G1451" t="n">
        <v>1.82</v>
      </c>
      <c r="H1451" t="n">
        <v>3</v>
      </c>
      <c r="I1451" t="n">
        <v>11</v>
      </c>
      <c r="J1451" t="n">
        <v>3</v>
      </c>
      <c r="K1451" t="n">
        <v>0</v>
      </c>
      <c r="L1451" t="n">
        <v>28051</v>
      </c>
      <c r="M1451" t="n">
        <v>36000</v>
      </c>
      <c r="N1451" t="n">
        <v>91</v>
      </c>
      <c r="O1451" t="n">
        <v>0.91</v>
      </c>
      <c r="P1451" t="n">
        <v>1</v>
      </c>
      <c r="Q1451" t="n">
        <v>0.17</v>
      </c>
      <c r="R1451" t="n">
        <v>3</v>
      </c>
      <c r="S1451" t="n">
        <v>6224.4</v>
      </c>
      <c r="T1451" t="n">
        <v>20</v>
      </c>
      <c r="U1451" t="n">
        <v>21</v>
      </c>
      <c r="V1451" t="n">
        <v>30</v>
      </c>
      <c r="W1451" t="n">
        <v>6</v>
      </c>
      <c r="X1451" t="n">
        <v>40.48582995951417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12810</v>
      </c>
      <c r="AG1451" t="n">
        <v>2122</v>
      </c>
      <c r="AH1451" t="inlineStr">
        <is>
          <t>PT. SINAR PADANG LESTARI - PPN (PDG)</t>
        </is>
      </c>
      <c r="AI1451" t="n">
        <v>65</v>
      </c>
      <c r="AJ1451" t="inlineStr">
        <is>
          <t>EVANGELINE</t>
        </is>
      </c>
      <c r="AK1451" t="n">
        <v>21</v>
      </c>
      <c r="AL1451" t="inlineStr">
        <is>
          <t>Miss Glam Damar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EVANGELINE</t>
        </is>
      </c>
      <c r="B1452" s="2">
        <f>"8997017643394"</f>
        <v/>
      </c>
      <c r="C1452" t="inlineStr">
        <is>
          <t>EVANGELINE Premium Candy World 100ml</t>
        </is>
      </c>
      <c r="D1452" t="inlineStr">
        <is>
          <t>Miss Glam Damar</t>
        </is>
      </c>
      <c r="E1452" t="n">
        <v>23</v>
      </c>
      <c r="F1452" t="n">
        <v>0.7371000000000001</v>
      </c>
      <c r="G1452" t="n">
        <v>3.64</v>
      </c>
      <c r="H1452" t="n">
        <v>3</v>
      </c>
      <c r="I1452" t="n">
        <v>11</v>
      </c>
      <c r="J1452" t="n">
        <v>3</v>
      </c>
      <c r="K1452" t="n">
        <v>0</v>
      </c>
      <c r="L1452" t="n">
        <v>28050</v>
      </c>
      <c r="M1452" t="n">
        <v>36000</v>
      </c>
      <c r="N1452" t="n">
        <v>91</v>
      </c>
      <c r="O1452" t="n">
        <v>0.91</v>
      </c>
      <c r="P1452" t="n">
        <v>1</v>
      </c>
      <c r="Q1452" t="n">
        <v>0.66</v>
      </c>
      <c r="R1452" t="n">
        <v>4</v>
      </c>
      <c r="S1452" t="n">
        <v>26535.6</v>
      </c>
      <c r="T1452" t="n">
        <v>38</v>
      </c>
      <c r="U1452" t="n">
        <v>41</v>
      </c>
      <c r="V1452" t="n">
        <v>30</v>
      </c>
      <c r="W1452" t="n">
        <v>23</v>
      </c>
      <c r="X1452" t="n">
        <v>31.20336453669787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12810</v>
      </c>
      <c r="AG1452" t="n">
        <v>2122</v>
      </c>
      <c r="AH1452" t="inlineStr">
        <is>
          <t>PT. SINAR PADANG LESTARI - PPN (PDG)</t>
        </is>
      </c>
      <c r="AI1452" t="n">
        <v>65</v>
      </c>
      <c r="AJ1452" t="inlineStr">
        <is>
          <t>EVANGELINE</t>
        </is>
      </c>
      <c r="AK1452" t="n">
        <v>21</v>
      </c>
      <c r="AL1452" t="inlineStr">
        <is>
          <t>Miss Glam Damar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EVANGELINE</t>
        </is>
      </c>
      <c r="B1453" s="2">
        <f>"8997017643431"</f>
        <v/>
      </c>
      <c r="C1453" t="inlineStr">
        <is>
          <t>EVANGELINE Premium Caramel Popcorn 100ml</t>
        </is>
      </c>
      <c r="D1453" t="inlineStr">
        <is>
          <t>Miss Glam Damar</t>
        </is>
      </c>
      <c r="E1453" t="n">
        <v>10</v>
      </c>
      <c r="F1453" t="n">
        <v>0.09100000000000001</v>
      </c>
      <c r="G1453" t="n">
        <v>0.91</v>
      </c>
      <c r="H1453" t="n">
        <v>3</v>
      </c>
      <c r="I1453" t="n">
        <v>11</v>
      </c>
      <c r="J1453" t="n">
        <v>3</v>
      </c>
      <c r="K1453" t="n">
        <v>0</v>
      </c>
      <c r="L1453" t="n">
        <v>28050</v>
      </c>
      <c r="M1453" t="n">
        <v>36000</v>
      </c>
      <c r="N1453" t="n">
        <v>91</v>
      </c>
      <c r="O1453" t="n">
        <v>0.91</v>
      </c>
      <c r="P1453" t="n">
        <v>1</v>
      </c>
      <c r="Q1453" t="n">
        <v>0.17</v>
      </c>
      <c r="R1453" t="n">
        <v>2</v>
      </c>
      <c r="S1453" t="n">
        <v>3276</v>
      </c>
      <c r="T1453" t="n">
        <v>10</v>
      </c>
      <c r="U1453" t="n">
        <v>11</v>
      </c>
      <c r="V1453" t="n">
        <v>30</v>
      </c>
      <c r="W1453" t="n">
        <v>3</v>
      </c>
      <c r="X1453" t="n">
        <v>109.8901098901099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12810</v>
      </c>
      <c r="AG1453" t="n">
        <v>2122</v>
      </c>
      <c r="AH1453" t="inlineStr">
        <is>
          <t>PT. SINAR PADANG LESTARI - PPN (PDG)</t>
        </is>
      </c>
      <c r="AI1453" t="n">
        <v>65</v>
      </c>
      <c r="AJ1453" t="inlineStr">
        <is>
          <t>EVANGELINE</t>
        </is>
      </c>
      <c r="AK1453" t="n">
        <v>21</v>
      </c>
      <c r="AL1453" t="inlineStr">
        <is>
          <t>Miss Glam Damar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EVANGELINE</t>
        </is>
      </c>
      <c r="B1454" s="2">
        <f>"8997017643325"</f>
        <v/>
      </c>
      <c r="C1454" t="inlineStr">
        <is>
          <t>EVANGELINE Premium Eau De Parfum Baby Powder 100ml</t>
        </is>
      </c>
      <c r="D1454" t="inlineStr">
        <is>
          <t>Miss Glam Damar</t>
        </is>
      </c>
      <c r="E1454" t="n">
        <v>49</v>
      </c>
      <c r="F1454" t="n">
        <v>2.1021</v>
      </c>
      <c r="G1454" t="n">
        <v>7.28</v>
      </c>
      <c r="H1454" t="n">
        <v>3</v>
      </c>
      <c r="I1454" t="n">
        <v>11</v>
      </c>
      <c r="J1454" t="n">
        <v>3</v>
      </c>
      <c r="K1454" t="n">
        <v>0</v>
      </c>
      <c r="L1454" t="n">
        <v>28051</v>
      </c>
      <c r="M1454" t="n">
        <v>36000</v>
      </c>
      <c r="N1454" t="n">
        <v>91</v>
      </c>
      <c r="O1454" t="n">
        <v>0.91</v>
      </c>
      <c r="P1454" t="n">
        <v>1</v>
      </c>
      <c r="Q1454" t="n">
        <v>1.97</v>
      </c>
      <c r="R1454" t="n">
        <v>7</v>
      </c>
      <c r="S1454" t="n">
        <v>75675.60000000001</v>
      </c>
      <c r="T1454" t="n">
        <v>74</v>
      </c>
      <c r="U1454" t="n">
        <v>81</v>
      </c>
      <c r="V1454" t="n">
        <v>30</v>
      </c>
      <c r="W1454" t="n">
        <v>64</v>
      </c>
      <c r="X1454" t="n">
        <v>23.31002331002331</v>
      </c>
      <c r="Y1454" t="n">
        <v>1</v>
      </c>
      <c r="Z1454" t="n">
        <v>15</v>
      </c>
      <c r="AA1454" t="n">
        <v>0</v>
      </c>
      <c r="AB1454" t="n">
        <v>15</v>
      </c>
      <c r="AC1454" t="n">
        <v>15</v>
      </c>
      <c r="AD1454" t="n">
        <v>0</v>
      </c>
      <c r="AE1454" t="n">
        <v>420765</v>
      </c>
      <c r="AF1454" t="n">
        <v>12810</v>
      </c>
      <c r="AG1454" t="n">
        <v>2122</v>
      </c>
      <c r="AH1454" t="inlineStr">
        <is>
          <t>PT. SINAR PADANG LESTARI - PPN (PDG)</t>
        </is>
      </c>
      <c r="AI1454" t="n">
        <v>65</v>
      </c>
      <c r="AJ1454" t="inlineStr">
        <is>
          <t>EVANGELINE</t>
        </is>
      </c>
      <c r="AK1454" t="n">
        <v>21</v>
      </c>
      <c r="AL1454" t="inlineStr">
        <is>
          <t>Miss Glam Damar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EVANGELINE</t>
        </is>
      </c>
      <c r="B1455" s="2">
        <f>"8997017643349"</f>
        <v/>
      </c>
      <c r="C1455" t="inlineStr">
        <is>
          <t>EVANGELINE Premium Eau De Parfum Black Opium 100ml</t>
        </is>
      </c>
      <c r="D1455" t="inlineStr">
        <is>
          <t>Miss Glam Damar</t>
        </is>
      </c>
      <c r="E1455" t="n">
        <v>9</v>
      </c>
      <c r="F1455" t="n">
        <v>0.4004</v>
      </c>
      <c r="G1455" t="n">
        <v>2.73</v>
      </c>
      <c r="H1455" t="n">
        <v>3</v>
      </c>
      <c r="I1455" t="n">
        <v>11</v>
      </c>
      <c r="J1455" t="n">
        <v>3</v>
      </c>
      <c r="K1455" t="n">
        <v>0</v>
      </c>
      <c r="L1455" t="n">
        <v>28052</v>
      </c>
      <c r="M1455" t="n">
        <v>36000</v>
      </c>
      <c r="N1455" t="n">
        <v>91</v>
      </c>
      <c r="O1455" t="n">
        <v>0.91</v>
      </c>
      <c r="P1455" t="n">
        <v>1</v>
      </c>
      <c r="Q1455" t="n">
        <v>0.39</v>
      </c>
      <c r="R1455" t="n">
        <v>2</v>
      </c>
      <c r="S1455" t="n">
        <v>14414.4</v>
      </c>
      <c r="T1455" t="n">
        <v>29</v>
      </c>
      <c r="U1455" t="n">
        <v>31</v>
      </c>
      <c r="V1455" t="n">
        <v>30</v>
      </c>
      <c r="W1455" t="n">
        <v>13</v>
      </c>
      <c r="X1455" t="n">
        <v>22.47752247752248</v>
      </c>
      <c r="Y1455" t="n">
        <v>1</v>
      </c>
      <c r="Z1455" t="n">
        <v>4</v>
      </c>
      <c r="AA1455" t="n">
        <v>0</v>
      </c>
      <c r="AB1455" t="n">
        <v>4</v>
      </c>
      <c r="AC1455" t="n">
        <v>4</v>
      </c>
      <c r="AD1455" t="n">
        <v>0</v>
      </c>
      <c r="AE1455" t="n">
        <v>112208</v>
      </c>
      <c r="AF1455" t="n">
        <v>12810</v>
      </c>
      <c r="AG1455" t="n">
        <v>2122</v>
      </c>
      <c r="AH1455" t="inlineStr">
        <is>
          <t>PT. SINAR PADANG LESTARI - PPN (PDG)</t>
        </is>
      </c>
      <c r="AI1455" t="n">
        <v>65</v>
      </c>
      <c r="AJ1455" t="inlineStr">
        <is>
          <t>EVANGELINE</t>
        </is>
      </c>
      <c r="AK1455" t="n">
        <v>21</v>
      </c>
      <c r="AL1455" t="inlineStr">
        <is>
          <t>Miss Glam Damar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EVANGELINE</t>
        </is>
      </c>
      <c r="B1456" s="2">
        <f>"8997017643417"</f>
        <v/>
      </c>
      <c r="C1456" t="inlineStr">
        <is>
          <t>EVANGELINE Premium Flora Gardenia 100ml</t>
        </is>
      </c>
      <c r="D1456" t="inlineStr">
        <is>
          <t>Miss Glam Damar</t>
        </is>
      </c>
      <c r="E1456" t="n">
        <v>8</v>
      </c>
      <c r="F1456" t="n">
        <v>0.2002</v>
      </c>
      <c r="G1456" t="n">
        <v>1.82</v>
      </c>
      <c r="H1456" t="n">
        <v>3</v>
      </c>
      <c r="I1456" t="n">
        <v>11</v>
      </c>
      <c r="J1456" t="n">
        <v>3</v>
      </c>
      <c r="K1456" t="n">
        <v>0</v>
      </c>
      <c r="L1456" t="n">
        <v>28116</v>
      </c>
      <c r="M1456" t="n">
        <v>34000</v>
      </c>
      <c r="N1456" t="n">
        <v>91</v>
      </c>
      <c r="O1456" t="n">
        <v>0.91</v>
      </c>
      <c r="P1456" t="n">
        <v>1</v>
      </c>
      <c r="Q1456" t="n">
        <v>0.22</v>
      </c>
      <c r="R1456" t="n">
        <v>3</v>
      </c>
      <c r="S1456" t="n">
        <v>6806.8</v>
      </c>
      <c r="T1456" t="n">
        <v>20</v>
      </c>
      <c r="U1456" t="n">
        <v>21</v>
      </c>
      <c r="V1456" t="n">
        <v>30</v>
      </c>
      <c r="W1456" t="n">
        <v>7</v>
      </c>
      <c r="X1456" t="n">
        <v>39.96003996003996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12810</v>
      </c>
      <c r="AG1456" t="n">
        <v>2122</v>
      </c>
      <c r="AH1456" t="inlineStr">
        <is>
          <t>PT. SINAR PADANG LESTARI - PPN (PDG)</t>
        </is>
      </c>
      <c r="AI1456" t="n">
        <v>65</v>
      </c>
      <c r="AJ1456" t="inlineStr">
        <is>
          <t>EVANGELINE</t>
        </is>
      </c>
      <c r="AK1456" t="n">
        <v>21</v>
      </c>
      <c r="AL1456" t="inlineStr">
        <is>
          <t>Miss Glam Damar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EVANGELINE</t>
        </is>
      </c>
      <c r="B1457" s="2">
        <f>"8997017643400"</f>
        <v/>
      </c>
      <c r="C1457" t="inlineStr">
        <is>
          <t>EVANGELINE Premium Oud Satin 100ml</t>
        </is>
      </c>
      <c r="D1457" t="inlineStr">
        <is>
          <t>Miss Glam Damar</t>
        </is>
      </c>
      <c r="E1457" t="n">
        <v>10</v>
      </c>
      <c r="F1457" t="n">
        <v>0.02</v>
      </c>
      <c r="G1457" t="n">
        <v>1</v>
      </c>
      <c r="H1457" t="n">
        <v>3</v>
      </c>
      <c r="I1457" t="n">
        <v>11</v>
      </c>
      <c r="J1457" t="n">
        <v>3</v>
      </c>
      <c r="K1457" t="n">
        <v>0</v>
      </c>
      <c r="L1457" t="n">
        <v>29700</v>
      </c>
      <c r="M1457" t="n">
        <v>37000</v>
      </c>
      <c r="N1457" t="n">
        <v>91</v>
      </c>
      <c r="O1457" t="n">
        <v>0.91</v>
      </c>
      <c r="P1457" t="n">
        <v>0</v>
      </c>
      <c r="Q1457" t="n">
        <v>0.02</v>
      </c>
      <c r="R1457" t="n">
        <v>1</v>
      </c>
      <c r="S1457" t="n">
        <v>740</v>
      </c>
      <c r="T1457" t="n">
        <v>11</v>
      </c>
      <c r="U1457" t="n">
        <v>12</v>
      </c>
      <c r="V1457" t="n">
        <v>30</v>
      </c>
      <c r="W1457" t="n">
        <v>1</v>
      </c>
      <c r="X1457" t="n">
        <v>500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12810</v>
      </c>
      <c r="AG1457" t="n">
        <v>2122</v>
      </c>
      <c r="AH1457" t="inlineStr">
        <is>
          <t>PT. SINAR PADANG LESTARI - PPN (PDG)</t>
        </is>
      </c>
      <c r="AI1457" t="n">
        <v>65</v>
      </c>
      <c r="AJ1457" t="inlineStr">
        <is>
          <t>EVANGELINE</t>
        </is>
      </c>
      <c r="AK1457" t="n">
        <v>21</v>
      </c>
      <c r="AL1457" t="inlineStr">
        <is>
          <t>Miss Glam Damar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EVANGELINE</t>
        </is>
      </c>
      <c r="B1458" s="2">
        <f>"8997017643424"</f>
        <v/>
      </c>
      <c r="C1458" t="inlineStr">
        <is>
          <t>EVANGELINE Premium Party Cake 100ml</t>
        </is>
      </c>
      <c r="D1458" t="inlineStr">
        <is>
          <t>Miss Glam Damar</t>
        </is>
      </c>
      <c r="E1458" t="n">
        <v>5</v>
      </c>
      <c r="F1458" t="n">
        <v>0.04550000000000001</v>
      </c>
      <c r="G1458" t="n">
        <v>0.91</v>
      </c>
      <c r="H1458" t="n">
        <v>3</v>
      </c>
      <c r="I1458" t="n">
        <v>11</v>
      </c>
      <c r="J1458" t="n">
        <v>3</v>
      </c>
      <c r="K1458" t="n">
        <v>0</v>
      </c>
      <c r="L1458" t="n">
        <v>28116</v>
      </c>
      <c r="M1458" t="n">
        <v>37000</v>
      </c>
      <c r="N1458" t="n">
        <v>91</v>
      </c>
      <c r="O1458" t="n">
        <v>0.91</v>
      </c>
      <c r="P1458" t="n">
        <v>1</v>
      </c>
      <c r="Q1458" t="n">
        <v>0.05</v>
      </c>
      <c r="R1458" t="n">
        <v>1</v>
      </c>
      <c r="S1458" t="n">
        <v>1683.5</v>
      </c>
      <c r="T1458" t="n">
        <v>10</v>
      </c>
      <c r="U1458" t="n">
        <v>11</v>
      </c>
      <c r="V1458" t="n">
        <v>30</v>
      </c>
      <c r="W1458" t="n">
        <v>2</v>
      </c>
      <c r="X1458" t="n">
        <v>109.8901098901099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12810</v>
      </c>
      <c r="AG1458" t="n">
        <v>2122</v>
      </c>
      <c r="AH1458" t="inlineStr">
        <is>
          <t>PT. SINAR PADANG LESTARI - PPN (PDG)</t>
        </is>
      </c>
      <c r="AI1458" t="n">
        <v>65</v>
      </c>
      <c r="AJ1458" t="inlineStr">
        <is>
          <t>EVANGELINE</t>
        </is>
      </c>
      <c r="AK1458" t="n">
        <v>21</v>
      </c>
      <c r="AL1458" t="inlineStr">
        <is>
          <t>Miss Glam Damar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EVANGELINE</t>
        </is>
      </c>
      <c r="B1459" s="2">
        <f>"8997017642939"</f>
        <v/>
      </c>
      <c r="C1459" t="inlineStr">
        <is>
          <t>EVANGELINE Selection Black Vanilla 100ml</t>
        </is>
      </c>
      <c r="D1459" t="inlineStr">
        <is>
          <t>Miss Glam Damar</t>
        </is>
      </c>
      <c r="E1459" t="n">
        <v>7</v>
      </c>
      <c r="F1459" t="n">
        <v>0.3822</v>
      </c>
      <c r="G1459" t="n">
        <v>2.73</v>
      </c>
      <c r="H1459" t="n">
        <v>3</v>
      </c>
      <c r="I1459" t="n">
        <v>11</v>
      </c>
      <c r="J1459" t="n">
        <v>3</v>
      </c>
      <c r="K1459" t="n">
        <v>0</v>
      </c>
      <c r="L1459" t="n">
        <v>28050</v>
      </c>
      <c r="M1459" t="n">
        <v>36000</v>
      </c>
      <c r="N1459" t="n">
        <v>91</v>
      </c>
      <c r="O1459" t="n">
        <v>0.91</v>
      </c>
      <c r="P1459" t="n">
        <v>1</v>
      </c>
      <c r="Q1459" t="n">
        <v>0.42</v>
      </c>
      <c r="R1459" t="n">
        <v>2</v>
      </c>
      <c r="S1459" t="n">
        <v>13759.2</v>
      </c>
      <c r="T1459" t="n">
        <v>29</v>
      </c>
      <c r="U1459" t="n">
        <v>31</v>
      </c>
      <c r="V1459" t="n">
        <v>30</v>
      </c>
      <c r="W1459" t="n">
        <v>12</v>
      </c>
      <c r="X1459" t="n">
        <v>18.31501831501832</v>
      </c>
      <c r="Y1459" t="n">
        <v>1</v>
      </c>
      <c r="Z1459" t="n">
        <v>5</v>
      </c>
      <c r="AA1459" t="n">
        <v>0</v>
      </c>
      <c r="AB1459" t="n">
        <v>5</v>
      </c>
      <c r="AC1459" t="n">
        <v>5</v>
      </c>
      <c r="AD1459" t="n">
        <v>0</v>
      </c>
      <c r="AE1459" t="n">
        <v>140250</v>
      </c>
      <c r="AF1459" t="n">
        <v>12810</v>
      </c>
      <c r="AG1459" t="n">
        <v>2122</v>
      </c>
      <c r="AH1459" t="inlineStr">
        <is>
          <t>PT. SINAR PADANG LESTARI - PPN (PDG)</t>
        </is>
      </c>
      <c r="AI1459" t="n">
        <v>65</v>
      </c>
      <c r="AJ1459" t="inlineStr">
        <is>
          <t>EVANGELINE</t>
        </is>
      </c>
      <c r="AK1459" t="n">
        <v>21</v>
      </c>
      <c r="AL1459" t="inlineStr">
        <is>
          <t>Miss Glam Damar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EVANGELINE</t>
        </is>
      </c>
      <c r="B1460" s="2">
        <f>"8997017642946"</f>
        <v/>
      </c>
      <c r="C1460" t="inlineStr">
        <is>
          <t>EVANGELINE Selection Cherry Blossom 100ml</t>
        </is>
      </c>
      <c r="D1460" t="inlineStr">
        <is>
          <t>Miss Glam Damar</t>
        </is>
      </c>
      <c r="E1460" t="n">
        <v>6</v>
      </c>
      <c r="F1460" t="n">
        <v>0.1547</v>
      </c>
      <c r="G1460" t="n">
        <v>0.91</v>
      </c>
      <c r="H1460" t="n">
        <v>3</v>
      </c>
      <c r="I1460" t="n">
        <v>11</v>
      </c>
      <c r="J1460" t="n">
        <v>3</v>
      </c>
      <c r="K1460" t="n">
        <v>0</v>
      </c>
      <c r="L1460" t="n">
        <v>28108</v>
      </c>
      <c r="M1460" t="n">
        <v>36000</v>
      </c>
      <c r="N1460" t="n">
        <v>91</v>
      </c>
      <c r="O1460" t="n">
        <v>0.91</v>
      </c>
      <c r="P1460" t="n">
        <v>1</v>
      </c>
      <c r="Q1460" t="n">
        <v>0.07000000000000001</v>
      </c>
      <c r="R1460" t="n">
        <v>1</v>
      </c>
      <c r="S1460" t="n">
        <v>5569.2</v>
      </c>
      <c r="T1460" t="n">
        <v>10</v>
      </c>
      <c r="U1460" t="n">
        <v>11</v>
      </c>
      <c r="V1460" t="n">
        <v>30</v>
      </c>
      <c r="W1460" t="n">
        <v>5</v>
      </c>
      <c r="X1460" t="n">
        <v>38.78474466709761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12810</v>
      </c>
      <c r="AG1460" t="n">
        <v>2122</v>
      </c>
      <c r="AH1460" t="inlineStr">
        <is>
          <t>PT. SINAR PADANG LESTARI - PPN (PDG)</t>
        </is>
      </c>
      <c r="AI1460" t="n">
        <v>65</v>
      </c>
      <c r="AJ1460" t="inlineStr">
        <is>
          <t>EVANGELINE</t>
        </is>
      </c>
      <c r="AK1460" t="n">
        <v>21</v>
      </c>
      <c r="AL1460" t="inlineStr">
        <is>
          <t>Miss Glam Damar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EVANGELINE</t>
        </is>
      </c>
      <c r="B1461" s="2">
        <f>"8997017642953"</f>
        <v/>
      </c>
      <c r="C1461" t="inlineStr">
        <is>
          <t>EVANGELINE Selection Coconut Fantasy 100ml</t>
        </is>
      </c>
      <c r="D1461" t="inlineStr">
        <is>
          <t>Miss Glam Damar</t>
        </is>
      </c>
      <c r="E1461" t="n">
        <v>1</v>
      </c>
      <c r="F1461" t="n">
        <v>0.0273</v>
      </c>
      <c r="G1461" t="n">
        <v>0.91</v>
      </c>
      <c r="H1461" t="n">
        <v>3</v>
      </c>
      <c r="I1461" t="n">
        <v>11</v>
      </c>
      <c r="J1461" t="n">
        <v>3</v>
      </c>
      <c r="K1461" t="n">
        <v>0</v>
      </c>
      <c r="L1461" t="n">
        <v>28710</v>
      </c>
      <c r="M1461" t="n">
        <v>35000</v>
      </c>
      <c r="N1461" t="n">
        <v>91</v>
      </c>
      <c r="O1461" t="n">
        <v>0.91</v>
      </c>
      <c r="P1461" t="n">
        <v>1</v>
      </c>
      <c r="Q1461" t="n">
        <v>0.03</v>
      </c>
      <c r="R1461" t="n">
        <v>1</v>
      </c>
      <c r="S1461" t="n">
        <v>955.5</v>
      </c>
      <c r="T1461" t="n">
        <v>10</v>
      </c>
      <c r="U1461" t="n">
        <v>11</v>
      </c>
      <c r="V1461" t="n">
        <v>30</v>
      </c>
      <c r="W1461" t="n">
        <v>1</v>
      </c>
      <c r="X1461" t="n">
        <v>36.63003663003663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12810</v>
      </c>
      <c r="AG1461" t="n">
        <v>2122</v>
      </c>
      <c r="AH1461" t="inlineStr">
        <is>
          <t>PT. SINAR PADANG LESTARI - PPN (PDG)</t>
        </is>
      </c>
      <c r="AI1461" t="n">
        <v>65</v>
      </c>
      <c r="AJ1461" t="inlineStr">
        <is>
          <t>EVANGELINE</t>
        </is>
      </c>
      <c r="AK1461" t="n">
        <v>21</v>
      </c>
      <c r="AL1461" t="inlineStr">
        <is>
          <t>Miss Glam Damar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EVANGELINE</t>
        </is>
      </c>
      <c r="B1462" s="2">
        <f>"8997017642960"</f>
        <v/>
      </c>
      <c r="C1462" t="inlineStr">
        <is>
          <t>EVANGELINE Selection Green Tea 100ml</t>
        </is>
      </c>
      <c r="D1462" t="inlineStr">
        <is>
          <t>Miss Glam Damar</t>
        </is>
      </c>
      <c r="E1462" t="n">
        <v>8</v>
      </c>
      <c r="F1462" t="n">
        <v>0.0273</v>
      </c>
      <c r="G1462" t="n">
        <v>0.91</v>
      </c>
      <c r="H1462" t="n">
        <v>3</v>
      </c>
      <c r="I1462" t="n">
        <v>11</v>
      </c>
      <c r="J1462" t="n">
        <v>3</v>
      </c>
      <c r="K1462" t="n">
        <v>0</v>
      </c>
      <c r="L1462" t="n">
        <v>28050</v>
      </c>
      <c r="M1462" t="n">
        <v>36000</v>
      </c>
      <c r="N1462" t="n">
        <v>91</v>
      </c>
      <c r="O1462" t="n">
        <v>0.91</v>
      </c>
      <c r="P1462" t="n">
        <v>1</v>
      </c>
      <c r="Q1462" t="n">
        <v>0.07000000000000001</v>
      </c>
      <c r="R1462" t="n">
        <v>1</v>
      </c>
      <c r="S1462" t="n">
        <v>982.8000000000001</v>
      </c>
      <c r="T1462" t="n">
        <v>10</v>
      </c>
      <c r="U1462" t="n">
        <v>11</v>
      </c>
      <c r="V1462" t="n">
        <v>30</v>
      </c>
      <c r="W1462" t="n">
        <v>1</v>
      </c>
      <c r="X1462" t="n">
        <v>293.040293040293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12810</v>
      </c>
      <c r="AG1462" t="n">
        <v>2122</v>
      </c>
      <c r="AH1462" t="inlineStr">
        <is>
          <t>PT. SINAR PADANG LESTARI - PPN (PDG)</t>
        </is>
      </c>
      <c r="AI1462" t="n">
        <v>65</v>
      </c>
      <c r="AJ1462" t="inlineStr">
        <is>
          <t>EVANGELINE</t>
        </is>
      </c>
      <c r="AK1462" t="n">
        <v>21</v>
      </c>
      <c r="AL1462" t="inlineStr">
        <is>
          <t>Miss Glam Damar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EVANGELINE</t>
        </is>
      </c>
      <c r="B1463" s="2">
        <f>"8997017642977"</f>
        <v/>
      </c>
      <c r="C1463" t="inlineStr">
        <is>
          <t>EVANGELINE Selection Juicy Pear 100ml</t>
        </is>
      </c>
      <c r="D1463" t="inlineStr">
        <is>
          <t>Miss Glam Damar</t>
        </is>
      </c>
      <c r="E1463" t="n">
        <v>10</v>
      </c>
      <c r="F1463" t="n">
        <v>0.1365</v>
      </c>
      <c r="G1463" t="n">
        <v>1.82</v>
      </c>
      <c r="H1463" t="n">
        <v>3</v>
      </c>
      <c r="I1463" t="n">
        <v>11</v>
      </c>
      <c r="J1463" t="n">
        <v>3</v>
      </c>
      <c r="K1463" t="n">
        <v>0</v>
      </c>
      <c r="L1463" t="n">
        <v>28050</v>
      </c>
      <c r="M1463" t="n">
        <v>36000</v>
      </c>
      <c r="N1463" t="n">
        <v>91</v>
      </c>
      <c r="O1463" t="n">
        <v>0.91</v>
      </c>
      <c r="P1463" t="n">
        <v>1</v>
      </c>
      <c r="Q1463" t="n">
        <v>0.1</v>
      </c>
      <c r="R1463" t="n">
        <v>1</v>
      </c>
      <c r="S1463" t="n">
        <v>4914</v>
      </c>
      <c r="T1463" t="n">
        <v>20</v>
      </c>
      <c r="U1463" t="n">
        <v>21</v>
      </c>
      <c r="V1463" t="n">
        <v>30</v>
      </c>
      <c r="W1463" t="n">
        <v>5</v>
      </c>
      <c r="X1463" t="n">
        <v>73.26007326007326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12810</v>
      </c>
      <c r="AG1463" t="n">
        <v>2122</v>
      </c>
      <c r="AH1463" t="inlineStr">
        <is>
          <t>PT. SINAR PADANG LESTARI - PPN (PDG)</t>
        </is>
      </c>
      <c r="AI1463" t="n">
        <v>65</v>
      </c>
      <c r="AJ1463" t="inlineStr">
        <is>
          <t>EVANGELINE</t>
        </is>
      </c>
      <c r="AK1463" t="n">
        <v>21</v>
      </c>
      <c r="AL1463" t="inlineStr">
        <is>
          <t>Miss Glam Damar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EVANGELINE</t>
        </is>
      </c>
      <c r="B1464" s="2">
        <f>"8997017643004"</f>
        <v/>
      </c>
      <c r="C1464" t="inlineStr">
        <is>
          <t>EVANGELINE Selection Raw Almond 100ml</t>
        </is>
      </c>
      <c r="D1464" t="inlineStr">
        <is>
          <t>Miss Glam Damar</t>
        </is>
      </c>
      <c r="E1464" t="n">
        <v>7</v>
      </c>
      <c r="F1464" t="n">
        <v>0.3094</v>
      </c>
      <c r="G1464" t="n">
        <v>2.73</v>
      </c>
      <c r="H1464" t="n">
        <v>3</v>
      </c>
      <c r="I1464" t="n">
        <v>11</v>
      </c>
      <c r="J1464" t="n">
        <v>3</v>
      </c>
      <c r="K1464" t="n">
        <v>0</v>
      </c>
      <c r="L1464" t="n">
        <v>28059</v>
      </c>
      <c r="M1464" t="n">
        <v>36000</v>
      </c>
      <c r="N1464" t="n">
        <v>91</v>
      </c>
      <c r="O1464" t="n">
        <v>0.91</v>
      </c>
      <c r="P1464" t="n">
        <v>1</v>
      </c>
      <c r="Q1464" t="n">
        <v>0.22</v>
      </c>
      <c r="R1464" t="n">
        <v>2</v>
      </c>
      <c r="S1464" t="n">
        <v>11138.4</v>
      </c>
      <c r="T1464" t="n">
        <v>30</v>
      </c>
      <c r="U1464" t="n">
        <v>31</v>
      </c>
      <c r="V1464" t="n">
        <v>30</v>
      </c>
      <c r="W1464" t="n">
        <v>10</v>
      </c>
      <c r="X1464" t="n">
        <v>22.62443438914027</v>
      </c>
      <c r="Y1464" t="n">
        <v>1</v>
      </c>
      <c r="Z1464" t="n">
        <v>3</v>
      </c>
      <c r="AA1464" t="n">
        <v>0</v>
      </c>
      <c r="AB1464" t="n">
        <v>3</v>
      </c>
      <c r="AC1464" t="n">
        <v>3</v>
      </c>
      <c r="AD1464" t="n">
        <v>0</v>
      </c>
      <c r="AE1464" t="n">
        <v>84177</v>
      </c>
      <c r="AF1464" t="n">
        <v>12810</v>
      </c>
      <c r="AG1464" t="n">
        <v>2122</v>
      </c>
      <c r="AH1464" t="inlineStr">
        <is>
          <t>PT. SINAR PADANG LESTARI - PPN (PDG)</t>
        </is>
      </c>
      <c r="AI1464" t="n">
        <v>65</v>
      </c>
      <c r="AJ1464" t="inlineStr">
        <is>
          <t>EVANGELINE</t>
        </is>
      </c>
      <c r="AK1464" t="n">
        <v>21</v>
      </c>
      <c r="AL1464" t="inlineStr">
        <is>
          <t>Miss Glam Damar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EVANGELINE</t>
        </is>
      </c>
      <c r="B1465" s="2">
        <f>"8997017643011"</f>
        <v/>
      </c>
      <c r="C1465" t="inlineStr">
        <is>
          <t>EVANGELINE Selection Royal Lavender 100 ml</t>
        </is>
      </c>
      <c r="D1465" t="inlineStr">
        <is>
          <t>Miss Glam Damar</t>
        </is>
      </c>
      <c r="E1465" t="n">
        <v>2</v>
      </c>
      <c r="F1465" t="n">
        <v>0.0182</v>
      </c>
      <c r="G1465" t="n">
        <v>0.91</v>
      </c>
      <c r="H1465" t="n">
        <v>3</v>
      </c>
      <c r="I1465" t="n">
        <v>11</v>
      </c>
      <c r="J1465" t="n">
        <v>3</v>
      </c>
      <c r="K1465" t="n">
        <v>0</v>
      </c>
      <c r="L1465" t="n">
        <v>27630</v>
      </c>
      <c r="M1465" t="n">
        <v>34000</v>
      </c>
      <c r="N1465" t="n">
        <v>91</v>
      </c>
      <c r="O1465" t="n">
        <v>0.91</v>
      </c>
      <c r="P1465" t="n">
        <v>1</v>
      </c>
      <c r="Q1465" t="n">
        <v>0.05</v>
      </c>
      <c r="R1465" t="n">
        <v>1</v>
      </c>
      <c r="S1465" t="n">
        <v>618.8000000000001</v>
      </c>
      <c r="T1465" t="n">
        <v>10</v>
      </c>
      <c r="U1465" t="n">
        <v>11</v>
      </c>
      <c r="V1465" t="n">
        <v>30</v>
      </c>
      <c r="W1465" t="n">
        <v>1</v>
      </c>
      <c r="X1465" t="n">
        <v>109.8901098901099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12810</v>
      </c>
      <c r="AG1465" t="n">
        <v>2122</v>
      </c>
      <c r="AH1465" t="inlineStr">
        <is>
          <t>PT. SINAR PADANG LESTARI - PPN (PDG)</t>
        </is>
      </c>
      <c r="AI1465" t="n">
        <v>65</v>
      </c>
      <c r="AJ1465" t="inlineStr">
        <is>
          <t>EVANGELINE</t>
        </is>
      </c>
      <c r="AK1465" t="n">
        <v>21</v>
      </c>
      <c r="AL1465" t="inlineStr">
        <is>
          <t>Miss Glam Damar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EVANGELINE</t>
        </is>
      </c>
      <c r="B1466" s="2">
        <f>"8997017643097"</f>
        <v/>
      </c>
      <c r="C1466" t="inlineStr">
        <is>
          <t>EVANGELINE Selection summer peach 100ml</t>
        </is>
      </c>
      <c r="D1466" t="inlineStr">
        <is>
          <t>Miss Glam Damar</t>
        </is>
      </c>
      <c r="E1466" t="n">
        <v>0</v>
      </c>
      <c r="F1466" t="n">
        <v>0.0273</v>
      </c>
      <c r="G1466" t="n">
        <v>0.91</v>
      </c>
      <c r="H1466" t="n">
        <v>3</v>
      </c>
      <c r="I1466" t="n">
        <v>11</v>
      </c>
      <c r="J1466" t="n">
        <v>3</v>
      </c>
      <c r="K1466" t="n">
        <v>0</v>
      </c>
      <c r="L1466" t="n">
        <v>30360</v>
      </c>
      <c r="M1466" t="n">
        <v>37000</v>
      </c>
      <c r="N1466" t="n">
        <v>91</v>
      </c>
      <c r="O1466" t="n">
        <v>0.91</v>
      </c>
      <c r="P1466" t="n">
        <v>1</v>
      </c>
      <c r="Q1466" t="n">
        <v>0.04</v>
      </c>
      <c r="R1466" t="n">
        <v>1</v>
      </c>
      <c r="S1466" t="n">
        <v>1010.1</v>
      </c>
      <c r="T1466" t="n">
        <v>10</v>
      </c>
      <c r="U1466" t="n">
        <v>11</v>
      </c>
      <c r="V1466" t="n">
        <v>30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n">
        <v>0</v>
      </c>
      <c r="AC1466" t="n">
        <v>0</v>
      </c>
      <c r="AD1466" t="n">
        <v>30360</v>
      </c>
      <c r="AE1466" t="n">
        <v>0</v>
      </c>
      <c r="AF1466" t="n">
        <v>12810</v>
      </c>
      <c r="AG1466" t="n">
        <v>2122</v>
      </c>
      <c r="AH1466" t="inlineStr">
        <is>
          <t>PT. SINAR PADANG LESTARI - PPN (PDG)</t>
        </is>
      </c>
      <c r="AI1466" t="n">
        <v>65</v>
      </c>
      <c r="AJ1466" t="inlineStr">
        <is>
          <t>EVANGELINE</t>
        </is>
      </c>
      <c r="AK1466" t="n">
        <v>21</v>
      </c>
      <c r="AL1466" t="inlineStr">
        <is>
          <t>Miss Glam Damar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EVANGELINE</t>
        </is>
      </c>
      <c r="B1467" s="2">
        <f>"8997017643103"</f>
        <v/>
      </c>
      <c r="C1467" t="inlineStr">
        <is>
          <t>EVANGELINE Selection Sweet Strawberry 100ml</t>
        </is>
      </c>
      <c r="D1467" t="inlineStr">
        <is>
          <t>Miss Glam Damar</t>
        </is>
      </c>
      <c r="E1467" t="n">
        <v>4</v>
      </c>
      <c r="F1467" t="n">
        <v>0.2457</v>
      </c>
      <c r="G1467" t="n">
        <v>1.82</v>
      </c>
      <c r="H1467" t="n">
        <v>3</v>
      </c>
      <c r="I1467" t="n">
        <v>11</v>
      </c>
      <c r="J1467" t="n">
        <v>3</v>
      </c>
      <c r="K1467" t="n">
        <v>0</v>
      </c>
      <c r="L1467" t="n">
        <v>28091</v>
      </c>
      <c r="M1467" t="n">
        <v>36000</v>
      </c>
      <c r="N1467" t="n">
        <v>91</v>
      </c>
      <c r="O1467" t="n">
        <v>0.91</v>
      </c>
      <c r="P1467" t="n">
        <v>1</v>
      </c>
      <c r="Q1467" t="n">
        <v>0.14</v>
      </c>
      <c r="R1467" t="n">
        <v>1</v>
      </c>
      <c r="S1467" t="n">
        <v>8845.200000000001</v>
      </c>
      <c r="T1467" t="n">
        <v>20</v>
      </c>
      <c r="U1467" t="n">
        <v>21</v>
      </c>
      <c r="V1467" t="n">
        <v>30</v>
      </c>
      <c r="W1467" t="n">
        <v>8</v>
      </c>
      <c r="X1467" t="n">
        <v>16.28001628001628</v>
      </c>
      <c r="Y1467" t="n">
        <v>1</v>
      </c>
      <c r="Z1467" t="n">
        <v>4</v>
      </c>
      <c r="AA1467" t="n">
        <v>0</v>
      </c>
      <c r="AB1467" t="n">
        <v>4</v>
      </c>
      <c r="AC1467" t="n">
        <v>4</v>
      </c>
      <c r="AD1467" t="n">
        <v>0</v>
      </c>
      <c r="AE1467" t="n">
        <v>112364</v>
      </c>
      <c r="AF1467" t="n">
        <v>12810</v>
      </c>
      <c r="AG1467" t="n">
        <v>2122</v>
      </c>
      <c r="AH1467" t="inlineStr">
        <is>
          <t>PT. SINAR PADANG LESTARI - PPN (PDG)</t>
        </is>
      </c>
      <c r="AI1467" t="n">
        <v>65</v>
      </c>
      <c r="AJ1467" t="inlineStr">
        <is>
          <t>EVANGELINE</t>
        </is>
      </c>
      <c r="AK1467" t="n">
        <v>21</v>
      </c>
      <c r="AL1467" t="inlineStr">
        <is>
          <t>Miss Glam Damar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EVANGELINE</t>
        </is>
      </c>
      <c r="B1468" s="2">
        <f>"8997017643028"</f>
        <v/>
      </c>
      <c r="C1468" t="inlineStr">
        <is>
          <t>EVANGELINE Sugar Biscuit Blosom 100ml</t>
        </is>
      </c>
      <c r="D1468" t="inlineStr">
        <is>
          <t>Miss Glam Damar</t>
        </is>
      </c>
      <c r="E1468" t="n">
        <v>7</v>
      </c>
      <c r="F1468" t="n">
        <v>0.05</v>
      </c>
      <c r="G1468" t="n">
        <v>1</v>
      </c>
      <c r="H1468" t="n">
        <v>3</v>
      </c>
      <c r="I1468" t="n">
        <v>11</v>
      </c>
      <c r="J1468" t="n">
        <v>3</v>
      </c>
      <c r="K1468" t="n">
        <v>0</v>
      </c>
      <c r="L1468" t="n">
        <v>28522</v>
      </c>
      <c r="M1468" t="n">
        <v>35500</v>
      </c>
      <c r="N1468" t="n">
        <v>91</v>
      </c>
      <c r="O1468" t="n">
        <v>0.91</v>
      </c>
      <c r="P1468" t="n">
        <v>0</v>
      </c>
      <c r="Q1468" t="n">
        <v>0.05</v>
      </c>
      <c r="R1468" t="n">
        <v>1</v>
      </c>
      <c r="S1468" t="n">
        <v>1775</v>
      </c>
      <c r="T1468" t="n">
        <v>11</v>
      </c>
      <c r="U1468" t="n">
        <v>12</v>
      </c>
      <c r="V1468" t="n">
        <v>30</v>
      </c>
      <c r="W1468" t="n">
        <v>2</v>
      </c>
      <c r="X1468" t="n">
        <v>140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12810</v>
      </c>
      <c r="AG1468" t="n">
        <v>2122</v>
      </c>
      <c r="AH1468" t="inlineStr">
        <is>
          <t>PT. SINAR PADANG LESTARI - PPN (PDG)</t>
        </is>
      </c>
      <c r="AI1468" t="n">
        <v>65</v>
      </c>
      <c r="AJ1468" t="inlineStr">
        <is>
          <t>EVANGELINE</t>
        </is>
      </c>
      <c r="AK1468" t="n">
        <v>21</v>
      </c>
      <c r="AL1468" t="inlineStr">
        <is>
          <t>Miss Glam Damar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EVANGELINE</t>
        </is>
      </c>
      <c r="B1469" s="2">
        <f>"30400266003"</f>
        <v/>
      </c>
      <c r="C1469" t="inlineStr">
        <is>
          <t>EVANGELINE Wonder Bombshell Extrait de Parfum Long Lasting Fragrance 100ml</t>
        </is>
      </c>
      <c r="D1469" t="inlineStr">
        <is>
          <t>Miss Glam Damar</t>
        </is>
      </c>
      <c r="E1469" t="n">
        <v>6</v>
      </c>
      <c r="F1469" t="n">
        <v>0.2002</v>
      </c>
      <c r="G1469" t="n">
        <v>2.73</v>
      </c>
      <c r="H1469" t="n">
        <v>3</v>
      </c>
      <c r="I1469" t="n">
        <v>11</v>
      </c>
      <c r="J1469" t="n">
        <v>1</v>
      </c>
      <c r="K1469" t="n">
        <v>0</v>
      </c>
      <c r="L1469" t="n">
        <v>70250</v>
      </c>
      <c r="M1469" t="n">
        <v>83000</v>
      </c>
      <c r="N1469" t="n">
        <v>91</v>
      </c>
      <c r="O1469" t="n">
        <v>0.91</v>
      </c>
      <c r="P1469" t="n">
        <v>1</v>
      </c>
      <c r="Q1469" t="n">
        <v>0.1</v>
      </c>
      <c r="R1469" t="n">
        <v>1</v>
      </c>
      <c r="S1469" t="n">
        <v>16616.6</v>
      </c>
      <c r="T1469" t="n">
        <v>30</v>
      </c>
      <c r="U1469" t="n">
        <v>31</v>
      </c>
      <c r="V1469" t="n">
        <v>30</v>
      </c>
      <c r="W1469" t="n">
        <v>7</v>
      </c>
      <c r="X1469" t="n">
        <v>29.97002997002997</v>
      </c>
      <c r="Y1469" t="n">
        <v>1</v>
      </c>
      <c r="Z1469" t="n">
        <v>1</v>
      </c>
      <c r="AA1469" t="n">
        <v>0</v>
      </c>
      <c r="AB1469" t="n">
        <v>1</v>
      </c>
      <c r="AC1469" t="n">
        <v>1</v>
      </c>
      <c r="AD1469" t="n">
        <v>0</v>
      </c>
      <c r="AE1469" t="n">
        <v>70250</v>
      </c>
      <c r="AF1469" t="n">
        <v>12810</v>
      </c>
      <c r="AG1469" t="n">
        <v>2122</v>
      </c>
      <c r="AH1469" t="inlineStr">
        <is>
          <t>PT. SINAR PADANG LESTARI - PPN (PDG)</t>
        </is>
      </c>
      <c r="AI1469" t="n">
        <v>65</v>
      </c>
      <c r="AJ1469" t="inlineStr">
        <is>
          <t>EVANGELINE</t>
        </is>
      </c>
      <c r="AK1469" t="n">
        <v>21</v>
      </c>
      <c r="AL1469" t="inlineStr">
        <is>
          <t>Miss Glam Damar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EVANGELINE</t>
        </is>
      </c>
      <c r="B1470" s="2">
        <f>"30400265832"</f>
        <v/>
      </c>
      <c r="C1470" t="inlineStr">
        <is>
          <t>EVANGELINE Wonder Cozy Baby Extrait de Parfum Long Lasting Fragrance 100ml</t>
        </is>
      </c>
      <c r="D1470" t="inlineStr">
        <is>
          <t>Miss Glam Damar</t>
        </is>
      </c>
      <c r="E1470" t="n">
        <v>6</v>
      </c>
      <c r="F1470" t="n">
        <v>0.1365</v>
      </c>
      <c r="G1470" t="n">
        <v>2.73</v>
      </c>
      <c r="H1470" t="n">
        <v>3</v>
      </c>
      <c r="I1470" t="n">
        <v>11</v>
      </c>
      <c r="J1470" t="n">
        <v>1</v>
      </c>
      <c r="K1470" t="n">
        <v>0</v>
      </c>
      <c r="L1470" t="n">
        <v>70250</v>
      </c>
      <c r="M1470" t="n">
        <v>83000</v>
      </c>
      <c r="N1470" t="n">
        <v>91</v>
      </c>
      <c r="O1470" t="n">
        <v>0.91</v>
      </c>
      <c r="P1470" t="n">
        <v>1</v>
      </c>
      <c r="Q1470" t="n">
        <v>0.1</v>
      </c>
      <c r="R1470" t="n">
        <v>2</v>
      </c>
      <c r="S1470" t="n">
        <v>11329.5</v>
      </c>
      <c r="T1470" t="n">
        <v>30</v>
      </c>
      <c r="U1470" t="n">
        <v>31</v>
      </c>
      <c r="V1470" t="n">
        <v>30</v>
      </c>
      <c r="W1470" t="n">
        <v>5</v>
      </c>
      <c r="X1470" t="n">
        <v>43.95604395604396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12810</v>
      </c>
      <c r="AG1470" t="n">
        <v>2122</v>
      </c>
      <c r="AH1470" t="inlineStr">
        <is>
          <t>PT. SINAR PADANG LESTARI - PPN (PDG)</t>
        </is>
      </c>
      <c r="AI1470" t="n">
        <v>65</v>
      </c>
      <c r="AJ1470" t="inlineStr">
        <is>
          <t>EVANGELINE</t>
        </is>
      </c>
      <c r="AK1470" t="n">
        <v>21</v>
      </c>
      <c r="AL1470" t="inlineStr">
        <is>
          <t>Miss Glam Damar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EVANGELINE</t>
        </is>
      </c>
      <c r="B1471" s="2">
        <f>"30400265921"</f>
        <v/>
      </c>
      <c r="C1471" t="inlineStr">
        <is>
          <t>EVANGELINE Wonder Sweet Lychee Extrait de Parfum Long Lasting Fragrance 100ml</t>
        </is>
      </c>
      <c r="D1471" t="inlineStr">
        <is>
          <t>Miss Glam Damar</t>
        </is>
      </c>
      <c r="E1471" t="n">
        <v>9</v>
      </c>
      <c r="F1471" t="n">
        <v>0.1092</v>
      </c>
      <c r="G1471" t="n">
        <v>1.82</v>
      </c>
      <c r="H1471" t="n">
        <v>3</v>
      </c>
      <c r="I1471" t="n">
        <v>11</v>
      </c>
      <c r="J1471" t="n">
        <v>1</v>
      </c>
      <c r="K1471" t="n">
        <v>0</v>
      </c>
      <c r="L1471" t="n">
        <v>70250</v>
      </c>
      <c r="M1471" t="n">
        <v>83000</v>
      </c>
      <c r="N1471" t="n">
        <v>91</v>
      </c>
      <c r="O1471" t="n">
        <v>0.91</v>
      </c>
      <c r="P1471" t="n">
        <v>1</v>
      </c>
      <c r="Q1471" t="n">
        <v>0.05</v>
      </c>
      <c r="R1471" t="n">
        <v>1</v>
      </c>
      <c r="S1471" t="n">
        <v>9063.6</v>
      </c>
      <c r="T1471" t="n">
        <v>20</v>
      </c>
      <c r="U1471" t="n">
        <v>21</v>
      </c>
      <c r="V1471" t="n">
        <v>30</v>
      </c>
      <c r="W1471" t="n">
        <v>4</v>
      </c>
      <c r="X1471" t="n">
        <v>82.41758241758241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12810</v>
      </c>
      <c r="AG1471" t="n">
        <v>2122</v>
      </c>
      <c r="AH1471" t="inlineStr">
        <is>
          <t>PT. SINAR PADANG LESTARI - PPN (PDG)</t>
        </is>
      </c>
      <c r="AI1471" t="n">
        <v>65</v>
      </c>
      <c r="AJ1471" t="inlineStr">
        <is>
          <t>EVANGELINE</t>
        </is>
      </c>
      <c r="AK1471" t="n">
        <v>21</v>
      </c>
      <c r="AL1471" t="inlineStr">
        <is>
          <t>Miss Glam Damar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EVANGELINE</t>
        </is>
      </c>
      <c r="B1472" s="2">
        <f>"8997017643226"</f>
        <v/>
      </c>
      <c r="C1472" t="inlineStr">
        <is>
          <t>EVANGELINE Yura Roll On 50ml</t>
        </is>
      </c>
      <c r="D1472" t="inlineStr">
        <is>
          <t>Miss Glam Damar</t>
        </is>
      </c>
      <c r="E1472" t="n">
        <v>7</v>
      </c>
      <c r="F1472" t="n">
        <v>0.4186</v>
      </c>
      <c r="G1472" t="n">
        <v>2.73</v>
      </c>
      <c r="H1472" t="n">
        <v>3</v>
      </c>
      <c r="I1472" t="n">
        <v>11</v>
      </c>
      <c r="J1472" t="n">
        <v>3</v>
      </c>
      <c r="K1472" t="n">
        <v>0</v>
      </c>
      <c r="L1472" t="n">
        <v>10767</v>
      </c>
      <c r="M1472" t="n">
        <v>15100</v>
      </c>
      <c r="N1472" t="n">
        <v>91</v>
      </c>
      <c r="O1472" t="n">
        <v>0.91</v>
      </c>
      <c r="P1472" t="n">
        <v>1</v>
      </c>
      <c r="Q1472" t="n">
        <v>0.29</v>
      </c>
      <c r="R1472" t="n">
        <v>3</v>
      </c>
      <c r="S1472" t="n">
        <v>6320.860000000001</v>
      </c>
      <c r="T1472" t="n">
        <v>29</v>
      </c>
      <c r="U1472" t="n">
        <v>31</v>
      </c>
      <c r="V1472" t="n">
        <v>30</v>
      </c>
      <c r="W1472" t="n">
        <v>13</v>
      </c>
      <c r="X1472" t="n">
        <v>16.72240802675585</v>
      </c>
      <c r="Y1472" t="n">
        <v>1</v>
      </c>
      <c r="Z1472" t="n">
        <v>6</v>
      </c>
      <c r="AA1472" t="n">
        <v>0</v>
      </c>
      <c r="AB1472" t="n">
        <v>6</v>
      </c>
      <c r="AC1472" t="n">
        <v>6</v>
      </c>
      <c r="AD1472" t="n">
        <v>0</v>
      </c>
      <c r="AE1472" t="n">
        <v>64602</v>
      </c>
      <c r="AF1472" t="n">
        <v>12810</v>
      </c>
      <c r="AG1472" t="n">
        <v>2122</v>
      </c>
      <c r="AH1472" t="inlineStr">
        <is>
          <t>PT. SINAR PADANG LESTARI - PPN (PDG)</t>
        </is>
      </c>
      <c r="AI1472" t="n">
        <v>65</v>
      </c>
      <c r="AJ1472" t="inlineStr">
        <is>
          <t>EVANGELINE</t>
        </is>
      </c>
      <c r="AK1472" t="n">
        <v>21</v>
      </c>
      <c r="AL1472" t="inlineStr">
        <is>
          <t>Miss Glam Damar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FACETOLOGY</t>
        </is>
      </c>
      <c r="B1473" s="2">
        <f>"8994460550101"</f>
        <v/>
      </c>
      <c r="C1473" t="inlineStr">
        <is>
          <t>FACETOLOGY Acne Calm Micellar Water Salicylic Acid 300ml</t>
        </is>
      </c>
      <c r="D1473" t="inlineStr">
        <is>
          <t>Miss Glam Damar</t>
        </is>
      </c>
      <c r="E1473" t="n">
        <v>61</v>
      </c>
      <c r="F1473" t="n">
        <v>4.4863</v>
      </c>
      <c r="G1473" t="n">
        <v>10.01</v>
      </c>
      <c r="H1473" t="n">
        <v>3</v>
      </c>
      <c r="I1473" t="n">
        <v>11</v>
      </c>
      <c r="J1473" t="n">
        <v>3</v>
      </c>
      <c r="K1473" t="n">
        <v>0</v>
      </c>
      <c r="L1473" t="n">
        <v>39200</v>
      </c>
      <c r="M1473" t="n">
        <v>46000</v>
      </c>
      <c r="N1473" t="n">
        <v>91</v>
      </c>
      <c r="O1473" t="n">
        <v>0.91</v>
      </c>
      <c r="P1473" t="n">
        <v>1</v>
      </c>
      <c r="Q1473" t="n">
        <v>3.03</v>
      </c>
      <c r="R1473" t="n">
        <v>8</v>
      </c>
      <c r="S1473" t="n">
        <v>206369.8</v>
      </c>
      <c r="T1473" t="n">
        <v>97</v>
      </c>
      <c r="U1473" t="n">
        <v>111</v>
      </c>
      <c r="V1473" t="n">
        <v>30</v>
      </c>
      <c r="W1473" t="n">
        <v>135</v>
      </c>
      <c r="X1473" t="n">
        <v>13.59695071662617</v>
      </c>
      <c r="Y1473" t="n">
        <v>1</v>
      </c>
      <c r="Z1473" t="n">
        <v>74</v>
      </c>
      <c r="AA1473" t="n">
        <v>0</v>
      </c>
      <c r="AB1473" t="n">
        <v>74</v>
      </c>
      <c r="AC1473" t="n">
        <v>74</v>
      </c>
      <c r="AD1473" t="n">
        <v>0</v>
      </c>
      <c r="AE1473" t="n">
        <v>2900800</v>
      </c>
      <c r="AF1473" t="n">
        <v>12817</v>
      </c>
      <c r="AG1473" t="n">
        <v>2122</v>
      </c>
      <c r="AH1473" t="inlineStr">
        <is>
          <t>PT. SINAR PADANG LESTARI - PPN (PDG)</t>
        </is>
      </c>
      <c r="AI1473" t="n">
        <v>1459</v>
      </c>
      <c r="AJ1473" t="inlineStr">
        <is>
          <t>FACETOLOGY</t>
        </is>
      </c>
      <c r="AK1473" t="n">
        <v>21</v>
      </c>
      <c r="AL1473" t="inlineStr">
        <is>
          <t>Miss Glam Damar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FACETOLOGY</t>
        </is>
      </c>
      <c r="B1474" s="2">
        <f>"101001110219"</f>
        <v/>
      </c>
      <c r="C1474" t="inlineStr">
        <is>
          <t>FACETOLOGY Acne Care Triple Care Acne Calm Cleanser 100ml</t>
        </is>
      </c>
      <c r="D1474" t="inlineStr">
        <is>
          <t>Miss Glam Damar</t>
        </is>
      </c>
      <c r="E1474" t="n">
        <v>32</v>
      </c>
      <c r="F1474" t="n">
        <v>1.1921</v>
      </c>
      <c r="G1474" t="n">
        <v>4.55</v>
      </c>
      <c r="H1474" t="n">
        <v>3</v>
      </c>
      <c r="I1474" t="n">
        <v>11</v>
      </c>
      <c r="J1474" t="n">
        <v>1</v>
      </c>
      <c r="K1474" t="n">
        <v>0</v>
      </c>
      <c r="L1474" t="n">
        <v>46390</v>
      </c>
      <c r="M1474" t="n">
        <v>58000</v>
      </c>
      <c r="N1474" t="n">
        <v>91</v>
      </c>
      <c r="O1474" t="n">
        <v>0.91</v>
      </c>
      <c r="P1474" t="n">
        <v>1</v>
      </c>
      <c r="Q1474" t="n">
        <v>1.19</v>
      </c>
      <c r="R1474" t="n">
        <v>4</v>
      </c>
      <c r="S1474" t="n">
        <v>69141.8</v>
      </c>
      <c r="T1474" t="n">
        <v>47</v>
      </c>
      <c r="U1474" t="n">
        <v>51</v>
      </c>
      <c r="V1474" t="n">
        <v>30</v>
      </c>
      <c r="W1474" t="n">
        <v>36</v>
      </c>
      <c r="X1474" t="n">
        <v>26.84338562201157</v>
      </c>
      <c r="Y1474" t="n">
        <v>1</v>
      </c>
      <c r="Z1474" t="n">
        <v>4</v>
      </c>
      <c r="AA1474" t="n">
        <v>0</v>
      </c>
      <c r="AB1474" t="n">
        <v>4</v>
      </c>
      <c r="AC1474" t="n">
        <v>4</v>
      </c>
      <c r="AD1474" t="n">
        <v>0</v>
      </c>
      <c r="AE1474" t="n">
        <v>185560</v>
      </c>
      <c r="AF1474" t="n">
        <v>12817</v>
      </c>
      <c r="AG1474" t="n">
        <v>2122</v>
      </c>
      <c r="AH1474" t="inlineStr">
        <is>
          <t>PT. SINAR PADANG LESTARI - PPN (PDG)</t>
        </is>
      </c>
      <c r="AI1474" t="n">
        <v>1459</v>
      </c>
      <c r="AJ1474" t="inlineStr">
        <is>
          <t>FACETOLOGY</t>
        </is>
      </c>
      <c r="AK1474" t="n">
        <v>21</v>
      </c>
      <c r="AL1474" t="inlineStr">
        <is>
          <t>Miss Glam Damar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FACETOLOGY</t>
        </is>
      </c>
      <c r="B1475" s="2">
        <f>"10300318907"</f>
        <v/>
      </c>
      <c r="C1475" t="inlineStr">
        <is>
          <t>FACETOLOGY Aqua Solution Mist with Hypochlorous Acid 100ml</t>
        </is>
      </c>
      <c r="D1475" t="inlineStr">
        <is>
          <t>Miss Glam Damar</t>
        </is>
      </c>
      <c r="E1475" t="n">
        <v>51</v>
      </c>
      <c r="F1475" t="n">
        <v>0.2821</v>
      </c>
      <c r="G1475" t="n">
        <v>1.82</v>
      </c>
      <c r="H1475" t="n">
        <v>3</v>
      </c>
      <c r="I1475" t="n">
        <v>11</v>
      </c>
      <c r="J1475" t="n">
        <v>1</v>
      </c>
      <c r="K1475" t="n">
        <v>0</v>
      </c>
      <c r="L1475" t="n">
        <v>34320</v>
      </c>
      <c r="M1475" t="n">
        <v>42900</v>
      </c>
      <c r="N1475" t="n">
        <v>91</v>
      </c>
      <c r="O1475" t="n">
        <v>0.91</v>
      </c>
      <c r="P1475" t="n">
        <v>1</v>
      </c>
      <c r="Q1475" t="n">
        <v>0.14</v>
      </c>
      <c r="R1475" t="n">
        <v>2</v>
      </c>
      <c r="S1475" t="n">
        <v>12102.09</v>
      </c>
      <c r="T1475" t="n">
        <v>20</v>
      </c>
      <c r="U1475" t="n">
        <v>21</v>
      </c>
      <c r="V1475" t="n">
        <v>30</v>
      </c>
      <c r="W1475" t="n">
        <v>9</v>
      </c>
      <c r="X1475" t="n">
        <v>180.7869549805034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12817</v>
      </c>
      <c r="AG1475" t="n">
        <v>2122</v>
      </c>
      <c r="AH1475" t="inlineStr">
        <is>
          <t>PT. SINAR PADANG LESTARI - PPN (PDG)</t>
        </is>
      </c>
      <c r="AI1475" t="n">
        <v>1459</v>
      </c>
      <c r="AJ1475" t="inlineStr">
        <is>
          <t>FACETOLOGY</t>
        </is>
      </c>
      <c r="AK1475" t="n">
        <v>21</v>
      </c>
      <c r="AL1475" t="inlineStr">
        <is>
          <t>Miss Glam Damar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FACETOLOGY</t>
        </is>
      </c>
      <c r="B1476" s="2">
        <f>"10100195438"</f>
        <v/>
      </c>
      <c r="C1476" t="inlineStr">
        <is>
          <t>FACETOLOGY Oat Facial Cleanser 100ml</t>
        </is>
      </c>
      <c r="D1476" t="inlineStr">
        <is>
          <t>Miss Glam Damar</t>
        </is>
      </c>
      <c r="E1476" t="n">
        <v>16</v>
      </c>
      <c r="F1476" t="n">
        <v>0.5369</v>
      </c>
      <c r="G1476" t="n">
        <v>4.55</v>
      </c>
      <c r="H1476" t="n">
        <v>3</v>
      </c>
      <c r="I1476" t="n">
        <v>11</v>
      </c>
      <c r="J1476" t="n">
        <v>3</v>
      </c>
      <c r="K1476" t="n">
        <v>0</v>
      </c>
      <c r="L1476" t="n">
        <v>46400</v>
      </c>
      <c r="M1476" t="n">
        <v>55000</v>
      </c>
      <c r="N1476" t="n">
        <v>91</v>
      </c>
      <c r="O1476" t="n">
        <v>0.91</v>
      </c>
      <c r="P1476" t="n">
        <v>1</v>
      </c>
      <c r="Q1476" t="n">
        <v>0.44</v>
      </c>
      <c r="R1476" t="n">
        <v>5</v>
      </c>
      <c r="S1476" t="n">
        <v>29529.5</v>
      </c>
      <c r="T1476" t="n">
        <v>49</v>
      </c>
      <c r="U1476" t="n">
        <v>51</v>
      </c>
      <c r="V1476" t="n">
        <v>30</v>
      </c>
      <c r="W1476" t="n">
        <v>17</v>
      </c>
      <c r="X1476" t="n">
        <v>29.80070776680946</v>
      </c>
      <c r="Y1476" t="n">
        <v>1</v>
      </c>
      <c r="Z1476" t="n">
        <v>1</v>
      </c>
      <c r="AA1476" t="n">
        <v>0</v>
      </c>
      <c r="AB1476" t="n">
        <v>1</v>
      </c>
      <c r="AC1476" t="n">
        <v>3</v>
      </c>
      <c r="AD1476" t="n">
        <v>0</v>
      </c>
      <c r="AE1476" t="n">
        <v>139200</v>
      </c>
      <c r="AF1476" t="n">
        <v>12817</v>
      </c>
      <c r="AG1476" t="n">
        <v>2122</v>
      </c>
      <c r="AH1476" t="inlineStr">
        <is>
          <t>PT. SINAR PADANG LESTARI - PPN (PDG)</t>
        </is>
      </c>
      <c r="AI1476" t="n">
        <v>1459</v>
      </c>
      <c r="AJ1476" t="inlineStr">
        <is>
          <t>FACETOLOGY</t>
        </is>
      </c>
      <c r="AK1476" t="n">
        <v>21</v>
      </c>
      <c r="AL1476" t="inlineStr">
        <is>
          <t>Miss Glam Damar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FACETOLOGY</t>
        </is>
      </c>
      <c r="B1477" s="2">
        <f>"8994460550026"</f>
        <v/>
      </c>
      <c r="C1477" t="inlineStr">
        <is>
          <t>FACETOLOGY Sunscreen SPF40 PA+++ 100ml</t>
        </is>
      </c>
      <c r="D1477" t="inlineStr">
        <is>
          <t>Miss Glam Damar</t>
        </is>
      </c>
      <c r="E1477" t="n">
        <v>26</v>
      </c>
      <c r="F1477" t="n">
        <v>0.2639</v>
      </c>
      <c r="G1477" t="n">
        <v>2.73</v>
      </c>
      <c r="H1477" t="n">
        <v>3</v>
      </c>
      <c r="I1477" t="n">
        <v>11</v>
      </c>
      <c r="J1477" t="n">
        <v>50</v>
      </c>
      <c r="K1477" t="n">
        <v>0</v>
      </c>
      <c r="L1477" t="n">
        <v>124657</v>
      </c>
      <c r="M1477" t="n">
        <v>139000</v>
      </c>
      <c r="N1477" t="n">
        <v>91</v>
      </c>
      <c r="O1477" t="n">
        <v>0.91</v>
      </c>
      <c r="P1477" t="n">
        <v>1</v>
      </c>
      <c r="Q1477" t="n">
        <v>1.17</v>
      </c>
      <c r="R1477" t="n">
        <v>5</v>
      </c>
      <c r="S1477" t="n">
        <v>36682.1</v>
      </c>
      <c r="T1477" t="n">
        <v>30</v>
      </c>
      <c r="U1477" t="n">
        <v>31</v>
      </c>
      <c r="V1477" t="n">
        <v>30</v>
      </c>
      <c r="W1477" t="n">
        <v>8</v>
      </c>
      <c r="X1477" t="n">
        <v>98.52216748768474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12817</v>
      </c>
      <c r="AG1477" t="n">
        <v>2122</v>
      </c>
      <c r="AH1477" t="inlineStr">
        <is>
          <t>PT. SINAR PADANG LESTARI - PPN (PDG)</t>
        </is>
      </c>
      <c r="AI1477" t="n">
        <v>1459</v>
      </c>
      <c r="AJ1477" t="inlineStr">
        <is>
          <t>FACETOLOGY</t>
        </is>
      </c>
      <c r="AK1477" t="n">
        <v>21</v>
      </c>
      <c r="AL1477" t="inlineStr">
        <is>
          <t>Miss Glam Damar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FACETOLOGY</t>
        </is>
      </c>
      <c r="B1478" s="2">
        <f>"10400309317"</f>
        <v/>
      </c>
      <c r="C1478" t="inlineStr">
        <is>
          <t>FACETOLOGY Sunscreen Tinted 40ml</t>
        </is>
      </c>
      <c r="D1478" t="inlineStr">
        <is>
          <t>Miss Glam Damar</t>
        </is>
      </c>
      <c r="E1478" t="n">
        <v>52</v>
      </c>
      <c r="F1478" t="n">
        <v>3.3579</v>
      </c>
      <c r="G1478" t="n">
        <v>9.1</v>
      </c>
      <c r="H1478" t="n">
        <v>3</v>
      </c>
      <c r="I1478" t="n">
        <v>11</v>
      </c>
      <c r="J1478" t="n">
        <v>3</v>
      </c>
      <c r="K1478" t="n">
        <v>0</v>
      </c>
      <c r="L1478" t="n">
        <v>71920</v>
      </c>
      <c r="M1478" t="n">
        <v>79900</v>
      </c>
      <c r="N1478" t="n">
        <v>91</v>
      </c>
      <c r="O1478" t="n">
        <v>0.91</v>
      </c>
      <c r="P1478" t="n">
        <v>1</v>
      </c>
      <c r="Q1478" t="n">
        <v>3.81</v>
      </c>
      <c r="R1478" t="n">
        <v>9</v>
      </c>
      <c r="S1478" t="n">
        <v>268296.21</v>
      </c>
      <c r="T1478" t="n">
        <v>91</v>
      </c>
      <c r="U1478" t="n">
        <v>102</v>
      </c>
      <c r="V1478" t="n">
        <v>30</v>
      </c>
      <c r="W1478" t="n">
        <v>101</v>
      </c>
      <c r="X1478" t="n">
        <v>15.48586914440573</v>
      </c>
      <c r="Y1478" t="n">
        <v>1</v>
      </c>
      <c r="Z1478" t="n">
        <v>49</v>
      </c>
      <c r="AA1478" t="n">
        <v>0</v>
      </c>
      <c r="AB1478" t="n">
        <v>49</v>
      </c>
      <c r="AC1478" t="n">
        <v>49</v>
      </c>
      <c r="AD1478" t="n">
        <v>0</v>
      </c>
      <c r="AE1478" t="n">
        <v>3524080</v>
      </c>
      <c r="AF1478" t="n">
        <v>12817</v>
      </c>
      <c r="AG1478" t="n">
        <v>2122</v>
      </c>
      <c r="AH1478" t="inlineStr">
        <is>
          <t>PT. SINAR PADANG LESTARI - PPN (PDG)</t>
        </is>
      </c>
      <c r="AI1478" t="n">
        <v>1459</v>
      </c>
      <c r="AJ1478" t="inlineStr">
        <is>
          <t>FACETOLOGY</t>
        </is>
      </c>
      <c r="AK1478" t="n">
        <v>21</v>
      </c>
      <c r="AL1478" t="inlineStr">
        <is>
          <t>Miss Glam Damar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FACETOLOGY</t>
        </is>
      </c>
      <c r="B1479" s="2">
        <f>"10300515248"</f>
        <v/>
      </c>
      <c r="C1479" t="inlineStr">
        <is>
          <t>FACETOLOGY Triple care 10% Panthenol Barrier Boost Gel 40gr</t>
        </is>
      </c>
      <c r="D1479" t="inlineStr">
        <is>
          <t>Miss Glam Damar</t>
        </is>
      </c>
      <c r="E1479" t="n">
        <v>39</v>
      </c>
      <c r="F1479" t="n">
        <v>0.7826</v>
      </c>
      <c r="G1479" t="n">
        <v>4.55</v>
      </c>
      <c r="H1479" t="n">
        <v>3</v>
      </c>
      <c r="I1479" t="n">
        <v>11</v>
      </c>
      <c r="J1479" t="n">
        <v>1</v>
      </c>
      <c r="K1479" t="n">
        <v>0</v>
      </c>
      <c r="L1479" t="n">
        <v>42000</v>
      </c>
      <c r="M1479" t="n">
        <v>48500</v>
      </c>
      <c r="N1479" t="n">
        <v>91</v>
      </c>
      <c r="O1479" t="n">
        <v>0.91</v>
      </c>
      <c r="P1479" t="n">
        <v>1</v>
      </c>
      <c r="Q1479" t="n">
        <v>0.34</v>
      </c>
      <c r="R1479" t="n">
        <v>3</v>
      </c>
      <c r="S1479" t="n">
        <v>37956.1</v>
      </c>
      <c r="T1479" t="n">
        <v>48</v>
      </c>
      <c r="U1479" t="n">
        <v>51</v>
      </c>
      <c r="V1479" t="n">
        <v>30</v>
      </c>
      <c r="W1479" t="n">
        <v>24</v>
      </c>
      <c r="X1479" t="n">
        <v>49.83388704318937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12817</v>
      </c>
      <c r="AG1479" t="n">
        <v>2122</v>
      </c>
      <c r="AH1479" t="inlineStr">
        <is>
          <t>PT. SINAR PADANG LESTARI - PPN (PDG)</t>
        </is>
      </c>
      <c r="AI1479" t="n">
        <v>1459</v>
      </c>
      <c r="AJ1479" t="inlineStr">
        <is>
          <t>FACETOLOGY</t>
        </is>
      </c>
      <c r="AK1479" t="n">
        <v>21</v>
      </c>
      <c r="AL1479" t="inlineStr">
        <is>
          <t>Miss Glam Damar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FACETOLOGY</t>
        </is>
      </c>
      <c r="B1480" s="2">
        <f>"8994460550347"</f>
        <v/>
      </c>
      <c r="C1480" t="inlineStr">
        <is>
          <t>FACETOLOGY Triple Care 13.5% Total Acids Purple Ranger Peeling Treatment</t>
        </is>
      </c>
      <c r="D1480" t="inlineStr">
        <is>
          <t>Miss Glam Damar</t>
        </is>
      </c>
      <c r="E1480" t="n">
        <v>27</v>
      </c>
      <c r="F1480" t="n">
        <v>0.4277</v>
      </c>
      <c r="G1480" t="n">
        <v>1.82</v>
      </c>
      <c r="H1480" t="n">
        <v>3</v>
      </c>
      <c r="I1480" t="n">
        <v>11</v>
      </c>
      <c r="J1480" t="n">
        <v>3</v>
      </c>
      <c r="K1480" t="n">
        <v>0</v>
      </c>
      <c r="L1480" t="n">
        <v>66800</v>
      </c>
      <c r="M1480" t="n">
        <v>83500</v>
      </c>
      <c r="N1480" t="n">
        <v>91</v>
      </c>
      <c r="O1480" t="n">
        <v>0.91</v>
      </c>
      <c r="P1480" t="n">
        <v>1</v>
      </c>
      <c r="Q1480" t="n">
        <v>0.29</v>
      </c>
      <c r="R1480" t="n">
        <v>2</v>
      </c>
      <c r="S1480" t="n">
        <v>35712.95</v>
      </c>
      <c r="T1480" t="n">
        <v>19</v>
      </c>
      <c r="U1480" t="n">
        <v>21</v>
      </c>
      <c r="V1480" t="n">
        <v>30</v>
      </c>
      <c r="W1480" t="n">
        <v>13</v>
      </c>
      <c r="X1480" t="n">
        <v>63.12836100070143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12817</v>
      </c>
      <c r="AG1480" t="n">
        <v>2122</v>
      </c>
      <c r="AH1480" t="inlineStr">
        <is>
          <t>PT. SINAR PADANG LESTARI - PPN (PDG)</t>
        </is>
      </c>
      <c r="AI1480" t="n">
        <v>1459</v>
      </c>
      <c r="AJ1480" t="inlineStr">
        <is>
          <t>FACETOLOGY</t>
        </is>
      </c>
      <c r="AK1480" t="n">
        <v>21</v>
      </c>
      <c r="AL1480" t="inlineStr">
        <is>
          <t>Miss Glam Damar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FACETOLOGY</t>
        </is>
      </c>
      <c r="B1481" s="2">
        <f>"10300515143"</f>
        <v/>
      </c>
      <c r="C1481" t="inlineStr">
        <is>
          <t>FACETOLOGY Triple care 5% Panthenol Barrier Boost Gel 40gr</t>
        </is>
      </c>
      <c r="D1481" t="inlineStr">
        <is>
          <t>Miss Glam Damar</t>
        </is>
      </c>
      <c r="E1481" t="n">
        <v>15</v>
      </c>
      <c r="F1481" t="n">
        <v>1.3104</v>
      </c>
      <c r="G1481" t="n">
        <v>6.37</v>
      </c>
      <c r="H1481" t="n">
        <v>3</v>
      </c>
      <c r="I1481" t="n">
        <v>11</v>
      </c>
      <c r="J1481" t="n">
        <v>1</v>
      </c>
      <c r="K1481" t="n">
        <v>0</v>
      </c>
      <c r="L1481" t="n">
        <v>38000</v>
      </c>
      <c r="M1481" t="n">
        <v>38500</v>
      </c>
      <c r="N1481" t="n">
        <v>91</v>
      </c>
      <c r="O1481" t="n">
        <v>0.91</v>
      </c>
      <c r="P1481" t="n">
        <v>1</v>
      </c>
      <c r="Q1481" t="n">
        <v>0.73</v>
      </c>
      <c r="R1481" t="n">
        <v>5</v>
      </c>
      <c r="S1481" t="n">
        <v>50450.4</v>
      </c>
      <c r="T1481" t="n">
        <v>67</v>
      </c>
      <c r="U1481" t="n">
        <v>71</v>
      </c>
      <c r="V1481" t="n">
        <v>30</v>
      </c>
      <c r="W1481" t="n">
        <v>40</v>
      </c>
      <c r="X1481" t="n">
        <v>11.44688644688645</v>
      </c>
      <c r="Y1481" t="n">
        <v>1</v>
      </c>
      <c r="Z1481" t="n">
        <v>25</v>
      </c>
      <c r="AA1481" t="n">
        <v>0</v>
      </c>
      <c r="AB1481" t="n">
        <v>25</v>
      </c>
      <c r="AC1481" t="n">
        <v>25</v>
      </c>
      <c r="AD1481" t="n">
        <v>0</v>
      </c>
      <c r="AE1481" t="n">
        <v>950000</v>
      </c>
      <c r="AF1481" t="n">
        <v>12817</v>
      </c>
      <c r="AG1481" t="n">
        <v>2122</v>
      </c>
      <c r="AH1481" t="inlineStr">
        <is>
          <t>PT. SINAR PADANG LESTARI - PPN (PDG)</t>
        </is>
      </c>
      <c r="AI1481" t="n">
        <v>1459</v>
      </c>
      <c r="AJ1481" t="inlineStr">
        <is>
          <t>FACETOLOGY</t>
        </is>
      </c>
      <c r="AK1481" t="n">
        <v>21</v>
      </c>
      <c r="AL1481" t="inlineStr">
        <is>
          <t>Miss Glam Damar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FACETOLOGY</t>
        </is>
      </c>
      <c r="B1482" s="2">
        <f>"10300611607"</f>
        <v/>
      </c>
      <c r="C1482" t="inlineStr">
        <is>
          <t>FACETOLOGY Triple Care Acne Calm Moisturizer 35gr</t>
        </is>
      </c>
      <c r="D1482" t="inlineStr">
        <is>
          <t>Miss Glam Damar</t>
        </is>
      </c>
      <c r="E1482" t="n">
        <v>24</v>
      </c>
      <c r="F1482" t="n">
        <v>0.5551</v>
      </c>
      <c r="G1482" t="n">
        <v>2.73</v>
      </c>
      <c r="H1482" t="n">
        <v>3</v>
      </c>
      <c r="I1482" t="n">
        <v>11</v>
      </c>
      <c r="J1482" t="n">
        <v>1</v>
      </c>
      <c r="K1482" t="n">
        <v>0</v>
      </c>
      <c r="L1482" t="n">
        <v>55887</v>
      </c>
      <c r="M1482" t="n">
        <v>79000</v>
      </c>
      <c r="N1482" t="n">
        <v>91</v>
      </c>
      <c r="O1482" t="n">
        <v>0.91</v>
      </c>
      <c r="P1482" t="n">
        <v>1</v>
      </c>
      <c r="Q1482" t="n">
        <v>0.29</v>
      </c>
      <c r="R1482" t="n">
        <v>2</v>
      </c>
      <c r="S1482" t="n">
        <v>43852.9</v>
      </c>
      <c r="T1482" t="n">
        <v>29</v>
      </c>
      <c r="U1482" t="n">
        <v>31</v>
      </c>
      <c r="V1482" t="n">
        <v>30</v>
      </c>
      <c r="W1482" t="n">
        <v>17</v>
      </c>
      <c r="X1482" t="n">
        <v>43.23545307151864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12817</v>
      </c>
      <c r="AG1482" t="n">
        <v>2122</v>
      </c>
      <c r="AH1482" t="inlineStr">
        <is>
          <t>PT. SINAR PADANG LESTARI - PPN (PDG)</t>
        </is>
      </c>
      <c r="AI1482" t="n">
        <v>1459</v>
      </c>
      <c r="AJ1482" t="inlineStr">
        <is>
          <t>FACETOLOGY</t>
        </is>
      </c>
      <c r="AK1482" t="n">
        <v>21</v>
      </c>
      <c r="AL1482" t="inlineStr">
        <is>
          <t>Miss Glam Damar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FACETOLOGY</t>
        </is>
      </c>
      <c r="B1483" s="2">
        <f>"8994460550125"</f>
        <v/>
      </c>
      <c r="C1483" t="inlineStr">
        <is>
          <t>FACETOLOGY Triple Care Acne+ Cleanser Micellar Water 100ml</t>
        </is>
      </c>
      <c r="D1483" t="inlineStr">
        <is>
          <t>Miss Glam Damar</t>
        </is>
      </c>
      <c r="E1483" t="n">
        <v>34</v>
      </c>
      <c r="F1483" t="n">
        <v>1.9747</v>
      </c>
      <c r="G1483" t="n">
        <v>6.37</v>
      </c>
      <c r="H1483" t="n">
        <v>3</v>
      </c>
      <c r="I1483" t="n">
        <v>11</v>
      </c>
      <c r="J1483" t="n">
        <v>3</v>
      </c>
      <c r="K1483" t="n">
        <v>0</v>
      </c>
      <c r="L1483" t="n">
        <v>22787</v>
      </c>
      <c r="M1483" t="n">
        <v>27500</v>
      </c>
      <c r="N1483" t="n">
        <v>91</v>
      </c>
      <c r="O1483" t="n">
        <v>0.91</v>
      </c>
      <c r="P1483" t="n">
        <v>1</v>
      </c>
      <c r="Q1483" t="n">
        <v>2.12</v>
      </c>
      <c r="R1483" t="n">
        <v>7</v>
      </c>
      <c r="S1483" t="n">
        <v>54304.25</v>
      </c>
      <c r="T1483" t="n">
        <v>65</v>
      </c>
      <c r="U1483" t="n">
        <v>71</v>
      </c>
      <c r="V1483" t="n">
        <v>30</v>
      </c>
      <c r="W1483" t="n">
        <v>60</v>
      </c>
      <c r="X1483" t="n">
        <v>17.21780523623842</v>
      </c>
      <c r="Y1483" t="n">
        <v>1</v>
      </c>
      <c r="Z1483" t="n">
        <v>26</v>
      </c>
      <c r="AA1483" t="n">
        <v>0</v>
      </c>
      <c r="AB1483" t="n">
        <v>26</v>
      </c>
      <c r="AC1483" t="n">
        <v>26</v>
      </c>
      <c r="AD1483" t="n">
        <v>0</v>
      </c>
      <c r="AE1483" t="n">
        <v>592462</v>
      </c>
      <c r="AF1483" t="n">
        <v>12817</v>
      </c>
      <c r="AG1483" t="n">
        <v>2122</v>
      </c>
      <c r="AH1483" t="inlineStr">
        <is>
          <t>PT. SINAR PADANG LESTARI - PPN (PDG)</t>
        </is>
      </c>
      <c r="AI1483" t="n">
        <v>1459</v>
      </c>
      <c r="AJ1483" t="inlineStr">
        <is>
          <t>FACETOLOGY</t>
        </is>
      </c>
      <c r="AK1483" t="n">
        <v>21</v>
      </c>
      <c r="AL1483" t="inlineStr">
        <is>
          <t>Miss Glam Damar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FACETOLOGY</t>
        </is>
      </c>
      <c r="B1484" s="2">
        <f>"8994460550071"</f>
        <v/>
      </c>
      <c r="C1484" t="inlineStr">
        <is>
          <t>FACETOLOGY Triple Care Hydra Cleanse Micellar Water Calendula 300ml</t>
        </is>
      </c>
      <c r="D1484" t="inlineStr">
        <is>
          <t>Miss Glam Damar</t>
        </is>
      </c>
      <c r="E1484" t="n">
        <v>42</v>
      </c>
      <c r="F1484" t="n">
        <v>3.6127</v>
      </c>
      <c r="G1484" t="n">
        <v>7.28</v>
      </c>
      <c r="H1484" t="n">
        <v>3</v>
      </c>
      <c r="I1484" t="n">
        <v>11</v>
      </c>
      <c r="J1484" t="n">
        <v>3</v>
      </c>
      <c r="K1484" t="n">
        <v>0</v>
      </c>
      <c r="L1484" t="n">
        <v>39200</v>
      </c>
      <c r="M1484" t="n">
        <v>46500</v>
      </c>
      <c r="N1484" t="n">
        <v>91</v>
      </c>
      <c r="O1484" t="n">
        <v>0.91</v>
      </c>
      <c r="P1484" t="n">
        <v>1</v>
      </c>
      <c r="Q1484" t="n">
        <v>2.22</v>
      </c>
      <c r="R1484" t="n">
        <v>6</v>
      </c>
      <c r="S1484" t="n">
        <v>167990.55</v>
      </c>
      <c r="T1484" t="n">
        <v>70</v>
      </c>
      <c r="U1484" t="n">
        <v>81</v>
      </c>
      <c r="V1484" t="n">
        <v>30</v>
      </c>
      <c r="W1484" t="n">
        <v>109</v>
      </c>
      <c r="X1484" t="n">
        <v>11.6256539430343</v>
      </c>
      <c r="Y1484" t="n">
        <v>1</v>
      </c>
      <c r="Z1484" t="n">
        <v>67</v>
      </c>
      <c r="AA1484" t="n">
        <v>0</v>
      </c>
      <c r="AB1484" t="n">
        <v>67</v>
      </c>
      <c r="AC1484" t="n">
        <v>67</v>
      </c>
      <c r="AD1484" t="n">
        <v>0</v>
      </c>
      <c r="AE1484" t="n">
        <v>2626400</v>
      </c>
      <c r="AF1484" t="n">
        <v>12817</v>
      </c>
      <c r="AG1484" t="n">
        <v>2122</v>
      </c>
      <c r="AH1484" t="inlineStr">
        <is>
          <t>PT. SINAR PADANG LESTARI - PPN (PDG)</t>
        </is>
      </c>
      <c r="AI1484" t="n">
        <v>1459</v>
      </c>
      <c r="AJ1484" t="inlineStr">
        <is>
          <t>FACETOLOGY</t>
        </is>
      </c>
      <c r="AK1484" t="n">
        <v>21</v>
      </c>
      <c r="AL1484" t="inlineStr">
        <is>
          <t>Miss Glam Damar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FACETOLOGY</t>
        </is>
      </c>
      <c r="B1485" s="2">
        <f>"10100716252"</f>
        <v/>
      </c>
      <c r="C1485" t="inlineStr">
        <is>
          <t>FACETOLOGY Triple Care Hydra Cleanse Micellar Water With Calendula 100ml</t>
        </is>
      </c>
      <c r="D1485" t="inlineStr">
        <is>
          <t>Miss Glam Damar</t>
        </is>
      </c>
      <c r="E1485" t="n">
        <v>27</v>
      </c>
      <c r="F1485" t="n">
        <v>1.1375</v>
      </c>
      <c r="G1485" t="n">
        <v>3.64</v>
      </c>
      <c r="H1485" t="n">
        <v>3</v>
      </c>
      <c r="I1485" t="n">
        <v>11</v>
      </c>
      <c r="J1485" t="n">
        <v>3</v>
      </c>
      <c r="K1485" t="n">
        <v>0</v>
      </c>
      <c r="L1485" t="n">
        <v>22786</v>
      </c>
      <c r="M1485" t="n">
        <v>27500</v>
      </c>
      <c r="N1485" t="n">
        <v>91</v>
      </c>
      <c r="O1485" t="n">
        <v>0.91</v>
      </c>
      <c r="P1485" t="n">
        <v>1</v>
      </c>
      <c r="Q1485" t="n">
        <v>1.19</v>
      </c>
      <c r="R1485" t="n">
        <v>4</v>
      </c>
      <c r="S1485" t="n">
        <v>31281.25</v>
      </c>
      <c r="T1485" t="n">
        <v>37</v>
      </c>
      <c r="U1485" t="n">
        <v>41</v>
      </c>
      <c r="V1485" t="n">
        <v>30</v>
      </c>
      <c r="W1485" t="n">
        <v>35</v>
      </c>
      <c r="X1485" t="n">
        <v>23.73626373626374</v>
      </c>
      <c r="Y1485" t="n">
        <v>1</v>
      </c>
      <c r="Z1485" t="n">
        <v>8</v>
      </c>
      <c r="AA1485" t="n">
        <v>0</v>
      </c>
      <c r="AB1485" t="n">
        <v>8</v>
      </c>
      <c r="AC1485" t="n">
        <v>8</v>
      </c>
      <c r="AD1485" t="n">
        <v>0</v>
      </c>
      <c r="AE1485" t="n">
        <v>182288</v>
      </c>
      <c r="AF1485" t="n">
        <v>12817</v>
      </c>
      <c r="AG1485" t="n">
        <v>2122</v>
      </c>
      <c r="AH1485" t="inlineStr">
        <is>
          <t>PT. SINAR PADANG LESTARI - PPN (PDG)</t>
        </is>
      </c>
      <c r="AI1485" t="n">
        <v>1459</v>
      </c>
      <c r="AJ1485" t="inlineStr">
        <is>
          <t>FACETOLOGY</t>
        </is>
      </c>
      <c r="AK1485" t="n">
        <v>21</v>
      </c>
      <c r="AL1485" t="inlineStr">
        <is>
          <t>Miss Glam Damar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FACETOLOGY</t>
        </is>
      </c>
      <c r="B1486" s="2">
        <f>"8994460550163"</f>
        <v/>
      </c>
      <c r="C1486" t="inlineStr">
        <is>
          <t>FACETOLOGY Triple Care Lip Protect Sunscreen Flavoured 5ml</t>
        </is>
      </c>
      <c r="D1486" t="inlineStr">
        <is>
          <t>Miss Glam Damar</t>
        </is>
      </c>
      <c r="E1486" t="n">
        <v>12</v>
      </c>
      <c r="F1486" t="n">
        <v>1.3286</v>
      </c>
      <c r="G1486" t="n">
        <v>5.46</v>
      </c>
      <c r="H1486" t="n">
        <v>3</v>
      </c>
      <c r="I1486" t="n">
        <v>11</v>
      </c>
      <c r="J1486" t="n">
        <v>3</v>
      </c>
      <c r="K1486" t="n">
        <v>0</v>
      </c>
      <c r="L1486" t="n">
        <v>45520</v>
      </c>
      <c r="M1486" t="n">
        <v>56000</v>
      </c>
      <c r="N1486" t="n">
        <v>91</v>
      </c>
      <c r="O1486" t="n">
        <v>0.91</v>
      </c>
      <c r="P1486" t="n">
        <v>1</v>
      </c>
      <c r="Q1486" t="n">
        <v>0.34</v>
      </c>
      <c r="R1486" t="n">
        <v>2</v>
      </c>
      <c r="S1486" t="n">
        <v>74401.60000000001</v>
      </c>
      <c r="T1486" t="n">
        <v>57</v>
      </c>
      <c r="U1486" t="n">
        <v>61</v>
      </c>
      <c r="V1486" t="n">
        <v>30</v>
      </c>
      <c r="W1486" t="n">
        <v>40</v>
      </c>
      <c r="X1486" t="n">
        <v>9.032063826584375</v>
      </c>
      <c r="Y1486" t="n">
        <v>1</v>
      </c>
      <c r="Z1486" t="n">
        <v>28</v>
      </c>
      <c r="AA1486" t="n">
        <v>3</v>
      </c>
      <c r="AB1486" t="n">
        <v>25</v>
      </c>
      <c r="AC1486" t="n">
        <v>25</v>
      </c>
      <c r="AD1486" t="n">
        <v>136560</v>
      </c>
      <c r="AE1486" t="n">
        <v>1138000</v>
      </c>
      <c r="AF1486" t="n">
        <v>12817</v>
      </c>
      <c r="AG1486" t="n">
        <v>2122</v>
      </c>
      <c r="AH1486" t="inlineStr">
        <is>
          <t>PT. SINAR PADANG LESTARI - PPN (PDG)</t>
        </is>
      </c>
      <c r="AI1486" t="n">
        <v>1459</v>
      </c>
      <c r="AJ1486" t="inlineStr">
        <is>
          <t>FACETOLOGY</t>
        </is>
      </c>
      <c r="AK1486" t="n">
        <v>21</v>
      </c>
      <c r="AL1486" t="inlineStr">
        <is>
          <t>Miss Glam Damar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FACETOLOGY</t>
        </is>
      </c>
      <c r="B1487" s="2">
        <f>"10700320343"</f>
        <v/>
      </c>
      <c r="C1487" t="inlineStr">
        <is>
          <t>FACETOLOGY Triple Care Lip Protect Sunscreen Non Flavoured 5ml</t>
        </is>
      </c>
      <c r="D1487" t="inlineStr">
        <is>
          <t>Miss Glam Damar</t>
        </is>
      </c>
      <c r="E1487" t="n">
        <v>26</v>
      </c>
      <c r="F1487" t="n">
        <v>0.0182</v>
      </c>
      <c r="G1487" t="n">
        <v>0.91</v>
      </c>
      <c r="H1487" t="n">
        <v>3</v>
      </c>
      <c r="I1487" t="n">
        <v>11</v>
      </c>
      <c r="J1487" t="n">
        <v>3</v>
      </c>
      <c r="K1487" t="n">
        <v>0</v>
      </c>
      <c r="L1487" t="n">
        <v>45476</v>
      </c>
      <c r="M1487" t="n">
        <v>56500</v>
      </c>
      <c r="N1487" t="n">
        <v>91</v>
      </c>
      <c r="O1487" t="n">
        <v>0.91</v>
      </c>
      <c r="P1487" t="n">
        <v>1</v>
      </c>
      <c r="Q1487" t="n">
        <v>0.98</v>
      </c>
      <c r="R1487" t="n">
        <v>4</v>
      </c>
      <c r="S1487" t="n">
        <v>1028.3</v>
      </c>
      <c r="T1487" t="n">
        <v>10</v>
      </c>
      <c r="U1487" t="n">
        <v>11</v>
      </c>
      <c r="V1487" t="n">
        <v>30</v>
      </c>
      <c r="W1487" t="n">
        <v>1</v>
      </c>
      <c r="X1487" t="n">
        <v>1428.571428571428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12817</v>
      </c>
      <c r="AG1487" t="n">
        <v>2122</v>
      </c>
      <c r="AH1487" t="inlineStr">
        <is>
          <t>PT. SINAR PADANG LESTARI - PPN (PDG)</t>
        </is>
      </c>
      <c r="AI1487" t="n">
        <v>1459</v>
      </c>
      <c r="AJ1487" t="inlineStr">
        <is>
          <t>FACETOLOGY</t>
        </is>
      </c>
      <c r="AK1487" t="n">
        <v>21</v>
      </c>
      <c r="AL1487" t="inlineStr">
        <is>
          <t>Miss Glam Damar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FACETOLOGY</t>
        </is>
      </c>
      <c r="B1488" s="2">
        <f>"10400103323"</f>
        <v/>
      </c>
      <c r="C1488" t="inlineStr">
        <is>
          <t>FACETOLOGY Triple Care Sunscreen 40ml</t>
        </is>
      </c>
      <c r="D1488" t="inlineStr">
        <is>
          <t>Miss Glam Damar</t>
        </is>
      </c>
      <c r="E1488" t="n">
        <v>159</v>
      </c>
      <c r="F1488" t="n">
        <v>11.2567</v>
      </c>
      <c r="G1488" t="n">
        <v>29.12</v>
      </c>
      <c r="H1488" t="n">
        <v>3</v>
      </c>
      <c r="I1488" t="n">
        <v>11</v>
      </c>
      <c r="J1488" t="n">
        <v>40</v>
      </c>
      <c r="K1488" t="n">
        <v>0</v>
      </c>
      <c r="L1488" t="n">
        <v>63917</v>
      </c>
      <c r="M1488" t="n">
        <v>72000</v>
      </c>
      <c r="N1488" t="n">
        <v>91</v>
      </c>
      <c r="O1488" t="n">
        <v>0.91</v>
      </c>
      <c r="P1488" t="n">
        <v>1</v>
      </c>
      <c r="Q1488" t="n">
        <v>9.02</v>
      </c>
      <c r="R1488" t="n">
        <v>21</v>
      </c>
      <c r="S1488" t="n">
        <v>810482.4</v>
      </c>
      <c r="T1488" t="n">
        <v>287</v>
      </c>
      <c r="U1488" t="n">
        <v>321</v>
      </c>
      <c r="V1488" t="n">
        <v>30</v>
      </c>
      <c r="W1488" t="n">
        <v>338</v>
      </c>
      <c r="X1488" t="n">
        <v>14.12492115806586</v>
      </c>
      <c r="Y1488" t="n">
        <v>1</v>
      </c>
      <c r="Z1488" t="n">
        <v>179</v>
      </c>
      <c r="AA1488" t="n">
        <v>0</v>
      </c>
      <c r="AB1488" t="n">
        <v>179</v>
      </c>
      <c r="AC1488" t="n">
        <v>179</v>
      </c>
      <c r="AD1488" t="n">
        <v>0</v>
      </c>
      <c r="AE1488" t="n">
        <v>11441143</v>
      </c>
      <c r="AF1488" t="n">
        <v>12817</v>
      </c>
      <c r="AG1488" t="n">
        <v>2122</v>
      </c>
      <c r="AH1488" t="inlineStr">
        <is>
          <t>PT. SINAR PADANG LESTARI - PPN (PDG)</t>
        </is>
      </c>
      <c r="AI1488" t="n">
        <v>1459</v>
      </c>
      <c r="AJ1488" t="inlineStr">
        <is>
          <t>FACETOLOGY</t>
        </is>
      </c>
      <c r="AK1488" t="n">
        <v>21</v>
      </c>
      <c r="AL1488" t="inlineStr">
        <is>
          <t>Miss Glam Damar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FACETOLOGY</t>
        </is>
      </c>
      <c r="B1489" s="2">
        <f>"10400614339"</f>
        <v/>
      </c>
      <c r="C1489" t="inlineStr">
        <is>
          <t>FACETOLOGY Triple Care Sunscreen For Oily Skin 40ml</t>
        </is>
      </c>
      <c r="D1489" t="inlineStr">
        <is>
          <t>Miss Glam Damar</t>
        </is>
      </c>
      <c r="E1489" t="n">
        <v>63</v>
      </c>
      <c r="F1489" t="n">
        <v>6.479200000000001</v>
      </c>
      <c r="G1489" t="n">
        <v>15.47</v>
      </c>
      <c r="H1489" t="n">
        <v>3</v>
      </c>
      <c r="I1489" t="n">
        <v>11</v>
      </c>
      <c r="J1489" t="n">
        <v>40</v>
      </c>
      <c r="K1489" t="n">
        <v>0</v>
      </c>
      <c r="L1489" t="n">
        <v>63793</v>
      </c>
      <c r="M1489" t="n">
        <v>72000</v>
      </c>
      <c r="N1489" t="n">
        <v>91</v>
      </c>
      <c r="O1489" t="n">
        <v>0.91</v>
      </c>
      <c r="P1489" t="n">
        <v>1</v>
      </c>
      <c r="Q1489" t="n">
        <v>4.02</v>
      </c>
      <c r="R1489" t="n">
        <v>13</v>
      </c>
      <c r="S1489" t="n">
        <v>466502.4</v>
      </c>
      <c r="T1489" t="n">
        <v>151</v>
      </c>
      <c r="U1489" t="n">
        <v>171</v>
      </c>
      <c r="V1489" t="n">
        <v>30</v>
      </c>
      <c r="W1489" t="n">
        <v>195</v>
      </c>
      <c r="X1489" t="n">
        <v>9.723422644770958</v>
      </c>
      <c r="Y1489" t="n">
        <v>1</v>
      </c>
      <c r="Z1489" t="n">
        <v>132</v>
      </c>
      <c r="AA1489" t="n">
        <v>9</v>
      </c>
      <c r="AB1489" t="n">
        <v>123</v>
      </c>
      <c r="AC1489" t="n">
        <v>123</v>
      </c>
      <c r="AD1489" t="n">
        <v>574137</v>
      </c>
      <c r="AE1489" t="n">
        <v>7846539</v>
      </c>
      <c r="AF1489" t="n">
        <v>12817</v>
      </c>
      <c r="AG1489" t="n">
        <v>2122</v>
      </c>
      <c r="AH1489" t="inlineStr">
        <is>
          <t>PT. SINAR PADANG LESTARI - PPN (PDG)</t>
        </is>
      </c>
      <c r="AI1489" t="n">
        <v>1459</v>
      </c>
      <c r="AJ1489" t="inlineStr">
        <is>
          <t>FACETOLOGY</t>
        </is>
      </c>
      <c r="AK1489" t="n">
        <v>21</v>
      </c>
      <c r="AL1489" t="inlineStr">
        <is>
          <t>Miss Glam Damar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FACETOLOGY</t>
        </is>
      </c>
      <c r="B1490" s="2">
        <f>"10400516524"</f>
        <v/>
      </c>
      <c r="C1490" t="inlineStr">
        <is>
          <t>FACETOLOGY Triple Care Sunscreen For Oily Skin SPF 40 PA+++ 100ml</t>
        </is>
      </c>
      <c r="D1490" t="inlineStr">
        <is>
          <t>Miss Glam Damar</t>
        </is>
      </c>
      <c r="E1490" t="n">
        <v>8</v>
      </c>
      <c r="F1490" t="n">
        <v>0.9828000000000001</v>
      </c>
      <c r="G1490" t="n">
        <v>4.55</v>
      </c>
      <c r="H1490" t="n">
        <v>3</v>
      </c>
      <c r="I1490" t="n">
        <v>11</v>
      </c>
      <c r="J1490" t="n">
        <v>1</v>
      </c>
      <c r="K1490" t="n">
        <v>0</v>
      </c>
      <c r="L1490" t="n">
        <v>124588</v>
      </c>
      <c r="M1490" t="n">
        <v>152000</v>
      </c>
      <c r="N1490" t="n">
        <v>91</v>
      </c>
      <c r="O1490" t="n">
        <v>0.91</v>
      </c>
      <c r="P1490" t="n">
        <v>1</v>
      </c>
      <c r="Q1490" t="n">
        <v>0.44</v>
      </c>
      <c r="R1490" t="n">
        <v>2</v>
      </c>
      <c r="S1490" t="n">
        <v>149385.6</v>
      </c>
      <c r="T1490" t="n">
        <v>48</v>
      </c>
      <c r="U1490" t="n">
        <v>51</v>
      </c>
      <c r="V1490" t="n">
        <v>30</v>
      </c>
      <c r="W1490" t="n">
        <v>30</v>
      </c>
      <c r="X1490" t="n">
        <v>8.140008140008138</v>
      </c>
      <c r="Y1490" t="n">
        <v>1</v>
      </c>
      <c r="Z1490" t="n">
        <v>22</v>
      </c>
      <c r="AA1490" t="n">
        <v>3</v>
      </c>
      <c r="AB1490" t="n">
        <v>19</v>
      </c>
      <c r="AC1490" t="n">
        <v>19</v>
      </c>
      <c r="AD1490" t="n">
        <v>373764</v>
      </c>
      <c r="AE1490" t="n">
        <v>2367172</v>
      </c>
      <c r="AF1490" t="n">
        <v>12817</v>
      </c>
      <c r="AG1490" t="n">
        <v>2122</v>
      </c>
      <c r="AH1490" t="inlineStr">
        <is>
          <t>PT. SINAR PADANG LESTARI - PPN (PDG)</t>
        </is>
      </c>
      <c r="AI1490" t="n">
        <v>1459</v>
      </c>
      <c r="AJ1490" t="inlineStr">
        <is>
          <t>FACETOLOGY</t>
        </is>
      </c>
      <c r="AK1490" t="n">
        <v>21</v>
      </c>
      <c r="AL1490" t="inlineStr">
        <is>
          <t>Miss Glam Damar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FACETOLOGY</t>
        </is>
      </c>
      <c r="B1491" s="2">
        <f>"10400619213"</f>
        <v/>
      </c>
      <c r="C1491" t="inlineStr">
        <is>
          <t>FACETOLOGY Triple Care Sunscreen SPF30 30ml</t>
        </is>
      </c>
      <c r="D1491" t="inlineStr">
        <is>
          <t>Miss Glam Damar</t>
        </is>
      </c>
      <c r="E1491" t="n">
        <v>83</v>
      </c>
      <c r="F1491" t="n">
        <v>5.0778</v>
      </c>
      <c r="G1491" t="n">
        <v>12.74</v>
      </c>
      <c r="H1491" t="n">
        <v>3</v>
      </c>
      <c r="I1491" t="n">
        <v>11</v>
      </c>
      <c r="J1491" t="n">
        <v>1</v>
      </c>
      <c r="K1491" t="n">
        <v>0</v>
      </c>
      <c r="L1491" t="n">
        <v>33520</v>
      </c>
      <c r="M1491" t="n">
        <v>41900</v>
      </c>
      <c r="N1491" t="n">
        <v>91</v>
      </c>
      <c r="O1491" t="n">
        <v>0.91</v>
      </c>
      <c r="P1491" t="n">
        <v>1</v>
      </c>
      <c r="Q1491" t="n">
        <v>3.92</v>
      </c>
      <c r="R1491" t="n">
        <v>11</v>
      </c>
      <c r="S1491" t="n">
        <v>212759.82</v>
      </c>
      <c r="T1491" t="n">
        <v>125</v>
      </c>
      <c r="U1491" t="n">
        <v>141</v>
      </c>
      <c r="V1491" t="n">
        <v>30</v>
      </c>
      <c r="W1491" t="n">
        <v>153</v>
      </c>
      <c r="X1491" t="n">
        <v>16.34566150695183</v>
      </c>
      <c r="Y1491" t="n">
        <v>1</v>
      </c>
      <c r="Z1491" t="n">
        <v>70</v>
      </c>
      <c r="AA1491" t="n">
        <v>0</v>
      </c>
      <c r="AB1491" t="n">
        <v>70</v>
      </c>
      <c r="AC1491" t="n">
        <v>70</v>
      </c>
      <c r="AD1491" t="n">
        <v>0</v>
      </c>
      <c r="AE1491" t="n">
        <v>2346400</v>
      </c>
      <c r="AF1491" t="n">
        <v>12817</v>
      </c>
      <c r="AG1491" t="n">
        <v>2122</v>
      </c>
      <c r="AH1491" t="inlineStr">
        <is>
          <t>PT. SINAR PADANG LESTARI - PPN (PDG)</t>
        </is>
      </c>
      <c r="AI1491" t="n">
        <v>1459</v>
      </c>
      <c r="AJ1491" t="inlineStr">
        <is>
          <t>FACETOLOGY</t>
        </is>
      </c>
      <c r="AK1491" t="n">
        <v>21</v>
      </c>
      <c r="AL1491" t="inlineStr">
        <is>
          <t>Miss Glam Damar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FAIR &amp; LOVELY</t>
        </is>
      </c>
      <c r="B1492" s="2">
        <f>"8999999055776"</f>
        <v/>
      </c>
      <c r="C1492" t="inlineStr">
        <is>
          <t>FAIR &amp; LOVELY Facial Foam 100gr</t>
        </is>
      </c>
      <c r="D1492" t="inlineStr">
        <is>
          <t>Miss Glam Damar</t>
        </is>
      </c>
      <c r="E1492" t="n">
        <v>24</v>
      </c>
      <c r="F1492" t="n">
        <v>0.91</v>
      </c>
      <c r="G1492" t="n">
        <v>4.55</v>
      </c>
      <c r="H1492" t="n">
        <v>3</v>
      </c>
      <c r="I1492" t="n">
        <v>5</v>
      </c>
      <c r="J1492" t="n">
        <v>3</v>
      </c>
      <c r="K1492" t="n">
        <v>0</v>
      </c>
      <c r="L1492" t="n">
        <v>26417</v>
      </c>
      <c r="M1492" t="n">
        <v>31500</v>
      </c>
      <c r="N1492" t="n">
        <v>91</v>
      </c>
      <c r="O1492" t="n">
        <v>0.91</v>
      </c>
      <c r="P1492" t="n">
        <v>1</v>
      </c>
      <c r="Q1492" t="n">
        <v>0.83</v>
      </c>
      <c r="R1492" t="n">
        <v>3</v>
      </c>
      <c r="S1492" t="n">
        <v>28665</v>
      </c>
      <c r="T1492" t="n">
        <v>21</v>
      </c>
      <c r="U1492" t="n">
        <v>24</v>
      </c>
      <c r="V1492" t="n">
        <v>30</v>
      </c>
      <c r="W1492" t="n">
        <v>28</v>
      </c>
      <c r="X1492" t="n">
        <v>26.37362637362637</v>
      </c>
      <c r="Y1492" t="n">
        <v>1</v>
      </c>
      <c r="Z1492" t="n">
        <v>4</v>
      </c>
      <c r="AA1492" t="n">
        <v>0</v>
      </c>
      <c r="AB1492" t="n">
        <v>4</v>
      </c>
      <c r="AC1492" t="n">
        <v>4</v>
      </c>
      <c r="AD1492" t="n">
        <v>0</v>
      </c>
      <c r="AE1492" t="n">
        <v>105668</v>
      </c>
      <c r="AF1492" t="n">
        <v>1539</v>
      </c>
      <c r="AG1492" t="n">
        <v>361</v>
      </c>
      <c r="AH1492" t="inlineStr">
        <is>
          <t>CV. SERBA SERBI - PPN (PDG)</t>
        </is>
      </c>
      <c r="AI1492" t="n">
        <v>391</v>
      </c>
      <c r="AJ1492" t="inlineStr">
        <is>
          <t>FAIR &amp; LOVELY</t>
        </is>
      </c>
      <c r="AK1492" t="n">
        <v>21</v>
      </c>
      <c r="AL1492" t="inlineStr">
        <is>
          <t>Miss Glam Damar</t>
        </is>
      </c>
      <c r="AM1492" t="n">
        <v>2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FAIR &amp; LOVELY</t>
        </is>
      </c>
      <c r="B1493" s="2">
        <f>"8999999566647"</f>
        <v/>
      </c>
      <c r="C1493" t="inlineStr">
        <is>
          <t>FAIR &amp; LOVELY Glow Bright C Facial Foam 50gr</t>
        </is>
      </c>
      <c r="D1493" t="inlineStr">
        <is>
          <t>Miss Glam Damar</t>
        </is>
      </c>
      <c r="E1493" t="n">
        <v>17</v>
      </c>
      <c r="F1493" t="n">
        <v>0.6188</v>
      </c>
      <c r="G1493" t="n">
        <v>3.64</v>
      </c>
      <c r="H1493" t="n">
        <v>3</v>
      </c>
      <c r="I1493" t="n">
        <v>5</v>
      </c>
      <c r="J1493" t="n">
        <v>3</v>
      </c>
      <c r="K1493" t="n">
        <v>0</v>
      </c>
      <c r="L1493" t="n">
        <v>15563</v>
      </c>
      <c r="M1493" t="n">
        <v>19000</v>
      </c>
      <c r="N1493" t="n">
        <v>91</v>
      </c>
      <c r="O1493" t="n">
        <v>0.91</v>
      </c>
      <c r="P1493" t="n">
        <v>1</v>
      </c>
      <c r="Q1493" t="n">
        <v>0.47</v>
      </c>
      <c r="R1493" t="n">
        <v>3</v>
      </c>
      <c r="S1493" t="n">
        <v>11757.2</v>
      </c>
      <c r="T1493" t="n">
        <v>17</v>
      </c>
      <c r="U1493" t="n">
        <v>19</v>
      </c>
      <c r="V1493" t="n">
        <v>30</v>
      </c>
      <c r="W1493" t="n">
        <v>19</v>
      </c>
      <c r="X1493" t="n">
        <v>27.47252747252747</v>
      </c>
      <c r="Y1493" t="n">
        <v>1</v>
      </c>
      <c r="Z1493" t="n">
        <v>2</v>
      </c>
      <c r="AA1493" t="n">
        <v>0</v>
      </c>
      <c r="AB1493" t="n">
        <v>2</v>
      </c>
      <c r="AC1493" t="n">
        <v>3</v>
      </c>
      <c r="AD1493" t="n">
        <v>0</v>
      </c>
      <c r="AE1493" t="n">
        <v>46689</v>
      </c>
      <c r="AF1493" t="n">
        <v>1539</v>
      </c>
      <c r="AG1493" t="n">
        <v>361</v>
      </c>
      <c r="AH1493" t="inlineStr">
        <is>
          <t>CV. SERBA SERBI - PPN (PDG)</t>
        </is>
      </c>
      <c r="AI1493" t="n">
        <v>391</v>
      </c>
      <c r="AJ1493" t="inlineStr">
        <is>
          <t>FAIR &amp; LOVELY</t>
        </is>
      </c>
      <c r="AK1493" t="n">
        <v>21</v>
      </c>
      <c r="AL1493" t="inlineStr">
        <is>
          <t>Miss Glam Damar</t>
        </is>
      </c>
      <c r="AM1493" t="n">
        <v>2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FAIR &amp; LOVELY</t>
        </is>
      </c>
      <c r="B1494" s="2">
        <f>"8999999007782"</f>
        <v/>
      </c>
      <c r="C1494" t="inlineStr">
        <is>
          <t>FAIR &amp; LOVELY Multi Vitamin Cream 25gr</t>
        </is>
      </c>
      <c r="D1494" t="inlineStr">
        <is>
          <t>Miss Glam Damar</t>
        </is>
      </c>
      <c r="E1494" t="n">
        <v>9</v>
      </c>
      <c r="F1494" t="n">
        <v>0.4277</v>
      </c>
      <c r="G1494" t="n">
        <v>2.73</v>
      </c>
      <c r="H1494" t="n">
        <v>3</v>
      </c>
      <c r="I1494" t="n">
        <v>5</v>
      </c>
      <c r="J1494" t="n">
        <v>3</v>
      </c>
      <c r="K1494" t="n">
        <v>0</v>
      </c>
      <c r="L1494" t="n">
        <v>18377</v>
      </c>
      <c r="M1494" t="n">
        <v>22000</v>
      </c>
      <c r="N1494" t="n">
        <v>91</v>
      </c>
      <c r="O1494" t="n">
        <v>0.91</v>
      </c>
      <c r="P1494" t="n">
        <v>1</v>
      </c>
      <c r="Q1494" t="n">
        <v>0.32</v>
      </c>
      <c r="R1494" t="n">
        <v>2</v>
      </c>
      <c r="S1494" t="n">
        <v>9409.4</v>
      </c>
      <c r="T1494" t="n">
        <v>13</v>
      </c>
      <c r="U1494" t="n">
        <v>15</v>
      </c>
      <c r="V1494" t="n">
        <v>30</v>
      </c>
      <c r="W1494" t="n">
        <v>13</v>
      </c>
      <c r="X1494" t="n">
        <v>21.04278700023381</v>
      </c>
      <c r="Y1494" t="n">
        <v>1</v>
      </c>
      <c r="Z1494" t="n">
        <v>4</v>
      </c>
      <c r="AA1494" t="n">
        <v>0</v>
      </c>
      <c r="AB1494" t="n">
        <v>4</v>
      </c>
      <c r="AC1494" t="n">
        <v>4</v>
      </c>
      <c r="AD1494" t="n">
        <v>0</v>
      </c>
      <c r="AE1494" t="n">
        <v>73508</v>
      </c>
      <c r="AF1494" t="n">
        <v>1539</v>
      </c>
      <c r="AG1494" t="n">
        <v>361</v>
      </c>
      <c r="AH1494" t="inlineStr">
        <is>
          <t>CV. SERBA SERBI - PPN (PDG)</t>
        </is>
      </c>
      <c r="AI1494" t="n">
        <v>391</v>
      </c>
      <c r="AJ1494" t="inlineStr">
        <is>
          <t>FAIR &amp; LOVELY</t>
        </is>
      </c>
      <c r="AK1494" t="n">
        <v>21</v>
      </c>
      <c r="AL1494" t="inlineStr">
        <is>
          <t>Miss Glam Damar</t>
        </is>
      </c>
      <c r="AM1494" t="n">
        <v>2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FAIR &amp; LOVELY</t>
        </is>
      </c>
      <c r="B1495" s="2">
        <f>"8999999520892"</f>
        <v/>
      </c>
      <c r="C1495" t="inlineStr">
        <is>
          <t>FAIR &amp; LOVELY Powder Cream 20gr</t>
        </is>
      </c>
      <c r="D1495" t="inlineStr">
        <is>
          <t>Miss Glam Damar</t>
        </is>
      </c>
      <c r="E1495" t="n">
        <v>5</v>
      </c>
      <c r="F1495" t="n">
        <v>0.5096000000000001</v>
      </c>
      <c r="G1495" t="n">
        <v>3.64</v>
      </c>
      <c r="H1495" t="n">
        <v>3</v>
      </c>
      <c r="I1495" t="n">
        <v>5</v>
      </c>
      <c r="J1495" t="n">
        <v>3</v>
      </c>
      <c r="K1495" t="n">
        <v>0</v>
      </c>
      <c r="L1495" t="n">
        <v>22807</v>
      </c>
      <c r="M1495" t="n">
        <v>30000</v>
      </c>
      <c r="N1495" t="n">
        <v>91</v>
      </c>
      <c r="O1495" t="n">
        <v>0.91</v>
      </c>
      <c r="P1495" t="n">
        <v>1</v>
      </c>
      <c r="Q1495" t="n">
        <v>0.12</v>
      </c>
      <c r="R1495" t="n">
        <v>2</v>
      </c>
      <c r="S1495" t="n">
        <v>15288</v>
      </c>
      <c r="T1495" t="n">
        <v>17</v>
      </c>
      <c r="U1495" t="n">
        <v>19</v>
      </c>
      <c r="V1495" t="n">
        <v>30</v>
      </c>
      <c r="W1495" t="n">
        <v>16</v>
      </c>
      <c r="X1495" t="n">
        <v>9.811616954474097</v>
      </c>
      <c r="Y1495" t="n">
        <v>1</v>
      </c>
      <c r="Z1495" t="n">
        <v>11</v>
      </c>
      <c r="AA1495" t="n">
        <v>0</v>
      </c>
      <c r="AB1495" t="n">
        <v>11</v>
      </c>
      <c r="AC1495" t="n">
        <v>11</v>
      </c>
      <c r="AD1495" t="n">
        <v>0</v>
      </c>
      <c r="AE1495" t="n">
        <v>250877</v>
      </c>
      <c r="AF1495" t="n">
        <v>1539</v>
      </c>
      <c r="AG1495" t="n">
        <v>361</v>
      </c>
      <c r="AH1495" t="inlineStr">
        <is>
          <t>CV. SERBA SERBI - PPN (PDG)</t>
        </is>
      </c>
      <c r="AI1495" t="n">
        <v>391</v>
      </c>
      <c r="AJ1495" t="inlineStr">
        <is>
          <t>FAIR &amp; LOVELY</t>
        </is>
      </c>
      <c r="AK1495" t="n">
        <v>21</v>
      </c>
      <c r="AL1495" t="inlineStr">
        <is>
          <t>Miss Glam Damar</t>
        </is>
      </c>
      <c r="AM1495" t="n">
        <v>2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FAIR &amp; LOVELY</t>
        </is>
      </c>
      <c r="B1496" s="2">
        <f>"8999999523787"</f>
        <v/>
      </c>
      <c r="C1496" t="inlineStr">
        <is>
          <t>FAIR &amp; LOVELY Powder Cream 50gr</t>
        </is>
      </c>
      <c r="D1496" t="inlineStr">
        <is>
          <t>Miss Glam Damar</t>
        </is>
      </c>
      <c r="E1496" t="n">
        <v>5</v>
      </c>
      <c r="F1496" t="n">
        <v>0.2275</v>
      </c>
      <c r="G1496" t="n">
        <v>0.91</v>
      </c>
      <c r="H1496" t="n">
        <v>3</v>
      </c>
      <c r="I1496" t="n">
        <v>5</v>
      </c>
      <c r="J1496" t="n">
        <v>3</v>
      </c>
      <c r="K1496" t="n">
        <v>0</v>
      </c>
      <c r="L1496" t="n">
        <v>42408</v>
      </c>
      <c r="M1496" t="n">
        <v>50500</v>
      </c>
      <c r="N1496" t="n">
        <v>91</v>
      </c>
      <c r="O1496" t="n">
        <v>0.91</v>
      </c>
      <c r="P1496" t="n">
        <v>1</v>
      </c>
      <c r="Q1496" t="n">
        <v>0.12</v>
      </c>
      <c r="R1496" t="n">
        <v>2</v>
      </c>
      <c r="S1496" t="n">
        <v>11488.75</v>
      </c>
      <c r="T1496" t="n">
        <v>4</v>
      </c>
      <c r="U1496" t="n">
        <v>5</v>
      </c>
      <c r="V1496" t="n">
        <v>30</v>
      </c>
      <c r="W1496" t="n">
        <v>7</v>
      </c>
      <c r="X1496" t="n">
        <v>21.97802197802198</v>
      </c>
      <c r="Y1496" t="n">
        <v>1</v>
      </c>
      <c r="Z1496" t="n">
        <v>2</v>
      </c>
      <c r="AA1496" t="n">
        <v>0</v>
      </c>
      <c r="AB1496" t="n">
        <v>2</v>
      </c>
      <c r="AC1496" t="n">
        <v>3</v>
      </c>
      <c r="AD1496" t="n">
        <v>0</v>
      </c>
      <c r="AE1496" t="n">
        <v>127224</v>
      </c>
      <c r="AF1496" t="n">
        <v>1539</v>
      </c>
      <c r="AG1496" t="n">
        <v>361</v>
      </c>
      <c r="AH1496" t="inlineStr">
        <is>
          <t>CV. SERBA SERBI - PPN (PDG)</t>
        </is>
      </c>
      <c r="AI1496" t="n">
        <v>391</v>
      </c>
      <c r="AJ1496" t="inlineStr">
        <is>
          <t>FAIR &amp; LOVELY</t>
        </is>
      </c>
      <c r="AK1496" t="n">
        <v>21</v>
      </c>
      <c r="AL1496" t="inlineStr">
        <is>
          <t>Miss Glam Damar</t>
        </is>
      </c>
      <c r="AM1496" t="n">
        <v>2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FAIR &amp; LOVELY</t>
        </is>
      </c>
      <c r="B1497" s="2">
        <f>"8999999552442"</f>
        <v/>
      </c>
      <c r="C1497" t="inlineStr">
        <is>
          <t>FAIR &amp; LOVELY Vita Glow Serum Sheet Mask 20gr</t>
        </is>
      </c>
      <c r="D1497" t="inlineStr">
        <is>
          <t>Miss Glam Damar</t>
        </is>
      </c>
      <c r="E1497" t="n">
        <v>20</v>
      </c>
      <c r="F1497" t="n">
        <v>0.9282</v>
      </c>
      <c r="G1497" t="n">
        <v>4.55</v>
      </c>
      <c r="H1497" t="n">
        <v>3</v>
      </c>
      <c r="I1497" t="n">
        <v>5</v>
      </c>
      <c r="J1497" t="n">
        <v>3</v>
      </c>
      <c r="K1497" t="n">
        <v>0</v>
      </c>
      <c r="L1497" t="n">
        <v>7450</v>
      </c>
      <c r="M1497" t="n">
        <v>11000</v>
      </c>
      <c r="N1497" t="n">
        <v>91</v>
      </c>
      <c r="O1497" t="n">
        <v>0.91</v>
      </c>
      <c r="P1497" t="n">
        <v>1</v>
      </c>
      <c r="Q1497" t="n">
        <v>1.66</v>
      </c>
      <c r="R1497" t="n">
        <v>6</v>
      </c>
      <c r="S1497" t="n">
        <v>10210.2</v>
      </c>
      <c r="T1497" t="n">
        <v>20</v>
      </c>
      <c r="U1497" t="n">
        <v>23</v>
      </c>
      <c r="V1497" t="n">
        <v>30</v>
      </c>
      <c r="W1497" t="n">
        <v>28</v>
      </c>
      <c r="X1497" t="n">
        <v>21.54708037060978</v>
      </c>
      <c r="Y1497" t="n">
        <v>1</v>
      </c>
      <c r="Z1497" t="n">
        <v>8</v>
      </c>
      <c r="AA1497" t="n">
        <v>0</v>
      </c>
      <c r="AB1497" t="n">
        <v>8</v>
      </c>
      <c r="AC1497" t="n">
        <v>8</v>
      </c>
      <c r="AD1497" t="n">
        <v>0</v>
      </c>
      <c r="AE1497" t="n">
        <v>59600</v>
      </c>
      <c r="AF1497" t="n">
        <v>1539</v>
      </c>
      <c r="AG1497" t="n">
        <v>361</v>
      </c>
      <c r="AH1497" t="inlineStr">
        <is>
          <t>CV. SERBA SERBI - PPN (PDG)</t>
        </is>
      </c>
      <c r="AI1497" t="n">
        <v>391</v>
      </c>
      <c r="AJ1497" t="inlineStr">
        <is>
          <t>FAIR &amp; LOVELY</t>
        </is>
      </c>
      <c r="AK1497" t="n">
        <v>21</v>
      </c>
      <c r="AL1497" t="inlineStr">
        <is>
          <t>Miss Glam Damar</t>
        </is>
      </c>
      <c r="AM1497" t="n">
        <v>2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FAIR &amp; LOVELY</t>
        </is>
      </c>
      <c r="B1498" s="2">
        <f>"8999999589400"</f>
        <v/>
      </c>
      <c r="C1498" t="inlineStr">
        <is>
          <t>FAIR&amp;LOVELY Ultimate UV Duo Krim Vit C Serum Sunscreen Spf 35 PA+++ 20gr</t>
        </is>
      </c>
      <c r="D1498" t="inlineStr">
        <is>
          <t>Miss Glam Damar</t>
        </is>
      </c>
      <c r="E1498" t="n">
        <v>13</v>
      </c>
      <c r="F1498" t="n">
        <v>0.4186</v>
      </c>
      <c r="G1498" t="n">
        <v>1.82</v>
      </c>
      <c r="H1498" t="n">
        <v>3</v>
      </c>
      <c r="I1498" t="n">
        <v>5</v>
      </c>
      <c r="J1498" t="n">
        <v>3</v>
      </c>
      <c r="K1498" t="n">
        <v>0</v>
      </c>
      <c r="L1498" t="n">
        <v>16299</v>
      </c>
      <c r="M1498" t="n">
        <v>21000</v>
      </c>
      <c r="N1498" t="n">
        <v>91</v>
      </c>
      <c r="O1498" t="n">
        <v>0.91</v>
      </c>
      <c r="P1498" t="n">
        <v>1</v>
      </c>
      <c r="Q1498" t="n">
        <v>0.25</v>
      </c>
      <c r="R1498" t="n">
        <v>3</v>
      </c>
      <c r="S1498" t="n">
        <v>8790.6</v>
      </c>
      <c r="T1498" t="n">
        <v>8</v>
      </c>
      <c r="U1498" t="n">
        <v>10</v>
      </c>
      <c r="V1498" t="n">
        <v>30</v>
      </c>
      <c r="W1498" t="n">
        <v>13</v>
      </c>
      <c r="X1498" t="n">
        <v>31.05590062111801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1539</v>
      </c>
      <c r="AG1498" t="n">
        <v>361</v>
      </c>
      <c r="AH1498" t="inlineStr">
        <is>
          <t>CV. SERBA SERBI - PPN (PDG)</t>
        </is>
      </c>
      <c r="AI1498" t="n">
        <v>391</v>
      </c>
      <c r="AJ1498" t="inlineStr">
        <is>
          <t>FAIR &amp; LOVELY</t>
        </is>
      </c>
      <c r="AK1498" t="n">
        <v>21</v>
      </c>
      <c r="AL1498" t="inlineStr">
        <is>
          <t>Miss Glam Damar</t>
        </is>
      </c>
      <c r="AM1498" t="n">
        <v>2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FANBO</t>
        </is>
      </c>
      <c r="B1499" s="2">
        <f>"20100178629"</f>
        <v/>
      </c>
      <c r="C1499" t="inlineStr">
        <is>
          <t>FANBO  By By Shine Powder Foundation 03 14gr</t>
        </is>
      </c>
      <c r="D1499" t="inlineStr">
        <is>
          <t>Miss Glam Damar</t>
        </is>
      </c>
      <c r="E1499" t="n">
        <v>6</v>
      </c>
      <c r="F1499" t="n">
        <v>0.0182</v>
      </c>
      <c r="G1499" t="n">
        <v>0.91</v>
      </c>
      <c r="H1499" t="n">
        <v>3</v>
      </c>
      <c r="I1499" t="n">
        <v>11</v>
      </c>
      <c r="J1499" t="n">
        <v>1</v>
      </c>
      <c r="K1499" t="n">
        <v>0</v>
      </c>
      <c r="L1499" t="n">
        <v>38316</v>
      </c>
      <c r="M1499" t="n">
        <v>45500</v>
      </c>
      <c r="N1499" t="n">
        <v>91</v>
      </c>
      <c r="O1499" t="n">
        <v>0.91</v>
      </c>
      <c r="P1499" t="n">
        <v>1</v>
      </c>
      <c r="Q1499" t="n">
        <v>0.1</v>
      </c>
      <c r="R1499" t="n">
        <v>3</v>
      </c>
      <c r="S1499" t="n">
        <v>828.1</v>
      </c>
      <c r="T1499" t="n">
        <v>10</v>
      </c>
      <c r="U1499" t="n">
        <v>11</v>
      </c>
      <c r="V1499" t="n">
        <v>30</v>
      </c>
      <c r="W1499" t="n">
        <v>1</v>
      </c>
      <c r="X1499" t="n">
        <v>329.6703296703296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10018</v>
      </c>
      <c r="AG1499" t="n">
        <v>78</v>
      </c>
      <c r="AH1499" t="inlineStr">
        <is>
          <t>PT. GLORIENTA P.H - PPN (PDG)</t>
        </is>
      </c>
      <c r="AI1499" t="n">
        <v>70</v>
      </c>
      <c r="AJ1499" t="inlineStr">
        <is>
          <t>FANBO</t>
        </is>
      </c>
      <c r="AK1499" t="n">
        <v>21</v>
      </c>
      <c r="AL1499" t="inlineStr">
        <is>
          <t>Miss Glam Damar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FANBO</t>
        </is>
      </c>
      <c r="B1500" s="2">
        <f>"8993102697617"</f>
        <v/>
      </c>
      <c r="C1500" t="inlineStr">
        <is>
          <t>FANBO Acne Solution Acne Gel 20gr</t>
        </is>
      </c>
      <c r="D1500" t="inlineStr">
        <is>
          <t>Miss Glam Damar</t>
        </is>
      </c>
      <c r="E1500" t="n">
        <v>0</v>
      </c>
      <c r="F1500" t="n">
        <v>0.02</v>
      </c>
      <c r="G1500" t="n">
        <v>1</v>
      </c>
      <c r="H1500" t="n">
        <v>3</v>
      </c>
      <c r="I1500" t="n">
        <v>11</v>
      </c>
      <c r="J1500" t="n">
        <v>3</v>
      </c>
      <c r="K1500" t="n">
        <v>0</v>
      </c>
      <c r="L1500" t="n">
        <v>28130</v>
      </c>
      <c r="M1500" t="n">
        <v>37000</v>
      </c>
      <c r="N1500" t="n">
        <v>91</v>
      </c>
      <c r="O1500" t="n">
        <v>0.91</v>
      </c>
      <c r="P1500" t="n">
        <v>0</v>
      </c>
      <c r="Q1500" t="n">
        <v>0.02</v>
      </c>
      <c r="R1500" t="n">
        <v>1</v>
      </c>
      <c r="S1500" t="n">
        <v>740</v>
      </c>
      <c r="T1500" t="n">
        <v>11</v>
      </c>
      <c r="U1500" t="n">
        <v>12</v>
      </c>
      <c r="V1500" t="n">
        <v>30</v>
      </c>
      <c r="W1500" t="n">
        <v>1</v>
      </c>
      <c r="X1500" t="n">
        <v>0</v>
      </c>
      <c r="Y1500" t="n">
        <v>1</v>
      </c>
      <c r="Z1500" t="n">
        <v>1</v>
      </c>
      <c r="AA1500" t="n">
        <v>1</v>
      </c>
      <c r="AB1500" t="n">
        <v>0</v>
      </c>
      <c r="AC1500" t="n">
        <v>0</v>
      </c>
      <c r="AD1500" t="n">
        <v>28130</v>
      </c>
      <c r="AE1500" t="n">
        <v>0</v>
      </c>
      <c r="AF1500" t="n">
        <v>10018</v>
      </c>
      <c r="AG1500" t="n">
        <v>78</v>
      </c>
      <c r="AH1500" t="inlineStr">
        <is>
          <t>PT. GLORIENTA P.H - PPN (PDG)</t>
        </is>
      </c>
      <c r="AI1500" t="n">
        <v>70</v>
      </c>
      <c r="AJ1500" t="inlineStr">
        <is>
          <t>FANBO</t>
        </is>
      </c>
      <c r="AK1500" t="n">
        <v>21</v>
      </c>
      <c r="AL1500" t="inlineStr">
        <is>
          <t>Miss Glam Damar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FANBO</t>
        </is>
      </c>
      <c r="B1501" s="2">
        <f>"8993102697594"</f>
        <v/>
      </c>
      <c r="C1501" t="inlineStr">
        <is>
          <t>FANBO Acne Solution Facial Foam 100ml</t>
        </is>
      </c>
      <c r="D1501" t="inlineStr">
        <is>
          <t>Miss Glam Damar</t>
        </is>
      </c>
      <c r="E1501" t="n">
        <v>7</v>
      </c>
      <c r="F1501" t="n">
        <v>0.0728</v>
      </c>
      <c r="G1501" t="n">
        <v>4.55</v>
      </c>
      <c r="H1501" t="n">
        <v>3</v>
      </c>
      <c r="I1501" t="n">
        <v>11</v>
      </c>
      <c r="J1501" t="n">
        <v>3</v>
      </c>
      <c r="K1501" t="n">
        <v>0</v>
      </c>
      <c r="L1501" t="n">
        <v>29003</v>
      </c>
      <c r="M1501" t="n">
        <v>35000</v>
      </c>
      <c r="N1501" t="n">
        <v>91</v>
      </c>
      <c r="O1501" t="n">
        <v>0.91</v>
      </c>
      <c r="P1501" t="n">
        <v>1</v>
      </c>
      <c r="Q1501" t="n">
        <v>0.02</v>
      </c>
      <c r="R1501" t="n">
        <v>2</v>
      </c>
      <c r="S1501" t="n">
        <v>2548</v>
      </c>
      <c r="T1501" t="n">
        <v>50</v>
      </c>
      <c r="U1501" t="n">
        <v>51</v>
      </c>
      <c r="V1501" t="n">
        <v>30</v>
      </c>
      <c r="W1501" t="n">
        <v>3</v>
      </c>
      <c r="X1501" t="n">
        <v>96.15384615384615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10018</v>
      </c>
      <c r="AG1501" t="n">
        <v>78</v>
      </c>
      <c r="AH1501" t="inlineStr">
        <is>
          <t>PT. GLORIENTA P.H - PPN (PDG)</t>
        </is>
      </c>
      <c r="AI1501" t="n">
        <v>70</v>
      </c>
      <c r="AJ1501" t="inlineStr">
        <is>
          <t>FANBO</t>
        </is>
      </c>
      <c r="AK1501" t="n">
        <v>21</v>
      </c>
      <c r="AL1501" t="inlineStr">
        <is>
          <t>Miss Glam Damar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FANBO</t>
        </is>
      </c>
      <c r="B1502" s="2">
        <f>"8993102697785"</f>
        <v/>
      </c>
      <c r="C1502" t="inlineStr">
        <is>
          <t>FANBO Acne Solution Loose Powder 01 Oriental Yellow 20gr</t>
        </is>
      </c>
      <c r="D1502" t="inlineStr">
        <is>
          <t>Miss Glam Damar</t>
        </is>
      </c>
      <c r="E1502" t="n">
        <v>6</v>
      </c>
      <c r="F1502" t="n">
        <v>0.0182</v>
      </c>
      <c r="G1502" t="n">
        <v>0.91</v>
      </c>
      <c r="H1502" t="n">
        <v>3</v>
      </c>
      <c r="I1502" t="n">
        <v>11</v>
      </c>
      <c r="J1502" t="n">
        <v>3</v>
      </c>
      <c r="K1502" t="n">
        <v>0</v>
      </c>
      <c r="L1502" t="n">
        <v>35696</v>
      </c>
      <c r="M1502" t="n">
        <v>42500</v>
      </c>
      <c r="N1502" t="n">
        <v>91</v>
      </c>
      <c r="O1502" t="n">
        <v>0.91</v>
      </c>
      <c r="P1502" t="n">
        <v>1</v>
      </c>
      <c r="Q1502" t="n">
        <v>0.02</v>
      </c>
      <c r="R1502" t="n">
        <v>1</v>
      </c>
      <c r="S1502" t="n">
        <v>773.5</v>
      </c>
      <c r="T1502" t="n">
        <v>10</v>
      </c>
      <c r="U1502" t="n">
        <v>11</v>
      </c>
      <c r="V1502" t="n">
        <v>30</v>
      </c>
      <c r="W1502" t="n">
        <v>1</v>
      </c>
      <c r="X1502" t="n">
        <v>329.6703296703296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10018</v>
      </c>
      <c r="AG1502" t="n">
        <v>78</v>
      </c>
      <c r="AH1502" t="inlineStr">
        <is>
          <t>PT. GLORIENTA P.H - PPN (PDG)</t>
        </is>
      </c>
      <c r="AI1502" t="n">
        <v>70</v>
      </c>
      <c r="AJ1502" t="inlineStr">
        <is>
          <t>FANBO</t>
        </is>
      </c>
      <c r="AK1502" t="n">
        <v>21</v>
      </c>
      <c r="AL1502" t="inlineStr">
        <is>
          <t>Miss Glam Damar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FANBO</t>
        </is>
      </c>
      <c r="B1503" s="2">
        <f>"8993102697877"</f>
        <v/>
      </c>
      <c r="C1503" t="inlineStr">
        <is>
          <t>FANBO Acne Solution Loose Powder 02 Translucent 20gr</t>
        </is>
      </c>
      <c r="D1503" t="inlineStr">
        <is>
          <t>Miss Glam Damar</t>
        </is>
      </c>
      <c r="E1503" t="n">
        <v>1</v>
      </c>
      <c r="F1503" t="n">
        <v>0.0182</v>
      </c>
      <c r="G1503" t="n">
        <v>0.91</v>
      </c>
      <c r="H1503" t="n">
        <v>3</v>
      </c>
      <c r="I1503" t="n">
        <v>11</v>
      </c>
      <c r="J1503" t="n">
        <v>3</v>
      </c>
      <c r="K1503" t="n">
        <v>0</v>
      </c>
      <c r="L1503" t="n">
        <v>35696</v>
      </c>
      <c r="M1503" t="n">
        <v>42500</v>
      </c>
      <c r="N1503" t="n">
        <v>91</v>
      </c>
      <c r="O1503" t="n">
        <v>0.91</v>
      </c>
      <c r="P1503" t="n">
        <v>1</v>
      </c>
      <c r="Q1503" t="n">
        <v>0.05</v>
      </c>
      <c r="R1503" t="n">
        <v>1</v>
      </c>
      <c r="S1503" t="n">
        <v>773.5</v>
      </c>
      <c r="T1503" t="n">
        <v>10</v>
      </c>
      <c r="U1503" t="n">
        <v>11</v>
      </c>
      <c r="V1503" t="n">
        <v>30</v>
      </c>
      <c r="W1503" t="n">
        <v>1</v>
      </c>
      <c r="X1503" t="n">
        <v>54.94505494505494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10018</v>
      </c>
      <c r="AG1503" t="n">
        <v>78</v>
      </c>
      <c r="AH1503" t="inlineStr">
        <is>
          <t>PT. GLORIENTA P.H - PPN (PDG)</t>
        </is>
      </c>
      <c r="AI1503" t="n">
        <v>70</v>
      </c>
      <c r="AJ1503" t="inlineStr">
        <is>
          <t>FANBO</t>
        </is>
      </c>
      <c r="AK1503" t="n">
        <v>21</v>
      </c>
      <c r="AL1503" t="inlineStr">
        <is>
          <t>Miss Glam Damar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FANBO</t>
        </is>
      </c>
      <c r="B1504" s="2">
        <f>"8993102705114"</f>
        <v/>
      </c>
      <c r="C1504" t="inlineStr">
        <is>
          <t>FANBO Acne Solution Moisturizer Gel 40ml</t>
        </is>
      </c>
      <c r="D1504" t="inlineStr">
        <is>
          <t>Miss Glam Damar</t>
        </is>
      </c>
      <c r="E1504" t="n">
        <v>0</v>
      </c>
      <c r="F1504" t="n">
        <v>0.05</v>
      </c>
      <c r="G1504" t="n">
        <v>1</v>
      </c>
      <c r="H1504" t="n">
        <v>3</v>
      </c>
      <c r="I1504" t="n">
        <v>11</v>
      </c>
      <c r="J1504" t="n">
        <v>3</v>
      </c>
      <c r="K1504" t="n">
        <v>0</v>
      </c>
      <c r="L1504" t="n">
        <v>24735</v>
      </c>
      <c r="M1504" t="n">
        <v>32000</v>
      </c>
      <c r="N1504" t="n">
        <v>91</v>
      </c>
      <c r="O1504" t="n">
        <v>0.91</v>
      </c>
      <c r="P1504" t="n">
        <v>0</v>
      </c>
      <c r="Q1504" t="n">
        <v>0.05</v>
      </c>
      <c r="R1504" t="n">
        <v>1</v>
      </c>
      <c r="S1504" t="n">
        <v>1600</v>
      </c>
      <c r="T1504" t="n">
        <v>11</v>
      </c>
      <c r="U1504" t="n">
        <v>12</v>
      </c>
      <c r="V1504" t="n">
        <v>30</v>
      </c>
      <c r="W1504" t="n">
        <v>2</v>
      </c>
      <c r="X1504" t="n">
        <v>0</v>
      </c>
      <c r="Y1504" t="n">
        <v>1</v>
      </c>
      <c r="Z1504" t="n">
        <v>2</v>
      </c>
      <c r="AA1504" t="n">
        <v>1</v>
      </c>
      <c r="AB1504" t="n">
        <v>1</v>
      </c>
      <c r="AC1504" t="n">
        <v>3</v>
      </c>
      <c r="AD1504" t="n">
        <v>24735</v>
      </c>
      <c r="AE1504" t="n">
        <v>74205</v>
      </c>
      <c r="AF1504" t="n">
        <v>10018</v>
      </c>
      <c r="AG1504" t="n">
        <v>78</v>
      </c>
      <c r="AH1504" t="inlineStr">
        <is>
          <t>PT. GLORIENTA P.H - PPN (PDG)</t>
        </is>
      </c>
      <c r="AI1504" t="n">
        <v>70</v>
      </c>
      <c r="AJ1504" t="inlineStr">
        <is>
          <t>FANBO</t>
        </is>
      </c>
      <c r="AK1504" t="n">
        <v>21</v>
      </c>
      <c r="AL1504" t="inlineStr">
        <is>
          <t>Miss Glam Damar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FANBO</t>
        </is>
      </c>
      <c r="B1505" s="2">
        <f>"8993102705121"</f>
        <v/>
      </c>
      <c r="C1505" t="inlineStr">
        <is>
          <t>FANBO All In One Balm Lemon 30gr</t>
        </is>
      </c>
      <c r="D1505" t="inlineStr">
        <is>
          <t>Miss Glam Damar</t>
        </is>
      </c>
      <c r="E1505" t="n">
        <v>5</v>
      </c>
      <c r="F1505" t="n">
        <v>0.0273</v>
      </c>
      <c r="G1505" t="n">
        <v>0.91</v>
      </c>
      <c r="H1505" t="n">
        <v>3</v>
      </c>
      <c r="I1505" t="n">
        <v>11</v>
      </c>
      <c r="J1505" t="n">
        <v>3</v>
      </c>
      <c r="K1505" t="n">
        <v>0</v>
      </c>
      <c r="L1505" t="n">
        <v>49470</v>
      </c>
      <c r="M1505" t="n">
        <v>62000</v>
      </c>
      <c r="N1505" t="n">
        <v>91</v>
      </c>
      <c r="O1505" t="n">
        <v>0.91</v>
      </c>
      <c r="P1505" t="n">
        <v>1</v>
      </c>
      <c r="Q1505" t="n">
        <v>0.03</v>
      </c>
      <c r="R1505" t="n">
        <v>1</v>
      </c>
      <c r="S1505" t="n">
        <v>1692.6</v>
      </c>
      <c r="T1505" t="n">
        <v>10</v>
      </c>
      <c r="U1505" t="n">
        <v>11</v>
      </c>
      <c r="V1505" t="n">
        <v>30</v>
      </c>
      <c r="W1505" t="n">
        <v>1</v>
      </c>
      <c r="X1505" t="n">
        <v>183.1501831501832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10018</v>
      </c>
      <c r="AG1505" t="n">
        <v>78</v>
      </c>
      <c r="AH1505" t="inlineStr">
        <is>
          <t>PT. GLORIENTA P.H - PPN (PDG)</t>
        </is>
      </c>
      <c r="AI1505" t="n">
        <v>70</v>
      </c>
      <c r="AJ1505" t="inlineStr">
        <is>
          <t>FANBO</t>
        </is>
      </c>
      <c r="AK1505" t="n">
        <v>21</v>
      </c>
      <c r="AL1505" t="inlineStr">
        <is>
          <t>Miss Glam Damar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FANBO</t>
        </is>
      </c>
      <c r="B1506" s="2">
        <f>"8993102707842"</f>
        <v/>
      </c>
      <c r="C1506" t="inlineStr">
        <is>
          <t>FANBO Aqua Fresh Tint NO.02 5gr</t>
        </is>
      </c>
      <c r="D1506" t="inlineStr">
        <is>
          <t>Miss Glam Damar</t>
        </is>
      </c>
      <c r="E1506" t="n">
        <v>4</v>
      </c>
      <c r="F1506" t="n">
        <v>0.02</v>
      </c>
      <c r="G1506" t="n">
        <v>1</v>
      </c>
      <c r="H1506" t="n">
        <v>3</v>
      </c>
      <c r="I1506" t="n">
        <v>11</v>
      </c>
      <c r="J1506" t="n">
        <v>3</v>
      </c>
      <c r="K1506" t="n">
        <v>0</v>
      </c>
      <c r="L1506" t="n">
        <v>32980</v>
      </c>
      <c r="M1506" t="n">
        <v>43000</v>
      </c>
      <c r="N1506" t="n">
        <v>91</v>
      </c>
      <c r="O1506" t="n">
        <v>0.91</v>
      </c>
      <c r="P1506" t="n">
        <v>0</v>
      </c>
      <c r="Q1506" t="n">
        <v>0.02</v>
      </c>
      <c r="R1506" t="n">
        <v>1</v>
      </c>
      <c r="S1506" t="n">
        <v>860</v>
      </c>
      <c r="T1506" t="n">
        <v>11</v>
      </c>
      <c r="U1506" t="n">
        <v>12</v>
      </c>
      <c r="V1506" t="n">
        <v>30</v>
      </c>
      <c r="W1506" t="n">
        <v>1</v>
      </c>
      <c r="X1506" t="n">
        <v>200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10018</v>
      </c>
      <c r="AG1506" t="n">
        <v>78</v>
      </c>
      <c r="AH1506" t="inlineStr">
        <is>
          <t>PT. GLORIENTA P.H - PPN (PDG)</t>
        </is>
      </c>
      <c r="AI1506" t="n">
        <v>70</v>
      </c>
      <c r="AJ1506" t="inlineStr">
        <is>
          <t>FANBO</t>
        </is>
      </c>
      <c r="AK1506" t="n">
        <v>21</v>
      </c>
      <c r="AL1506" t="inlineStr">
        <is>
          <t>Miss Glam Damar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FANBO</t>
        </is>
      </c>
      <c r="B1507" s="2">
        <f>"8993102698546"</f>
        <v/>
      </c>
      <c r="C1507" t="inlineStr">
        <is>
          <t>FANBO Choco Rush Lip Cream 02 Rouge in Minute 5gr</t>
        </is>
      </c>
      <c r="D1507" t="inlineStr">
        <is>
          <t>Miss Glam Damar</t>
        </is>
      </c>
      <c r="E1507" t="n">
        <v>4</v>
      </c>
      <c r="F1507" t="n">
        <v>0.02</v>
      </c>
      <c r="G1507" t="n">
        <v>1</v>
      </c>
      <c r="H1507" t="n">
        <v>3</v>
      </c>
      <c r="I1507" t="n">
        <v>11</v>
      </c>
      <c r="J1507" t="n">
        <v>3</v>
      </c>
      <c r="K1507" t="n">
        <v>0</v>
      </c>
      <c r="L1507" t="n">
        <v>42098</v>
      </c>
      <c r="M1507" t="n">
        <v>52500</v>
      </c>
      <c r="N1507" t="n">
        <v>91</v>
      </c>
      <c r="O1507" t="n">
        <v>0.91</v>
      </c>
      <c r="P1507" t="n">
        <v>0</v>
      </c>
      <c r="Q1507" t="n">
        <v>0.02</v>
      </c>
      <c r="R1507" t="n">
        <v>1</v>
      </c>
      <c r="S1507" t="n">
        <v>1050</v>
      </c>
      <c r="T1507" t="n">
        <v>11</v>
      </c>
      <c r="U1507" t="n">
        <v>12</v>
      </c>
      <c r="V1507" t="n">
        <v>30</v>
      </c>
      <c r="W1507" t="n">
        <v>1</v>
      </c>
      <c r="X1507" t="n">
        <v>200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10018</v>
      </c>
      <c r="AG1507" t="n">
        <v>78</v>
      </c>
      <c r="AH1507" t="inlineStr">
        <is>
          <t>PT. GLORIENTA P.H - PPN (PDG)</t>
        </is>
      </c>
      <c r="AI1507" t="n">
        <v>70</v>
      </c>
      <c r="AJ1507" t="inlineStr">
        <is>
          <t>FANBO</t>
        </is>
      </c>
      <c r="AK1507" t="n">
        <v>21</v>
      </c>
      <c r="AL1507" t="inlineStr">
        <is>
          <t>Miss Glam Damar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FANBO</t>
        </is>
      </c>
      <c r="B1508" s="2">
        <f>"8993102181987"</f>
        <v/>
      </c>
      <c r="C1508" t="inlineStr">
        <is>
          <t>FANBO Classic Hoitong Powder Kuning Langsat 52gr</t>
        </is>
      </c>
      <c r="D1508" t="inlineStr">
        <is>
          <t>Miss Glam Damar</t>
        </is>
      </c>
      <c r="E1508" t="n">
        <v>2</v>
      </c>
      <c r="F1508" t="n">
        <v>0.0273</v>
      </c>
      <c r="G1508" t="n">
        <v>0.91</v>
      </c>
      <c r="H1508" t="n">
        <v>3</v>
      </c>
      <c r="I1508" t="n">
        <v>11</v>
      </c>
      <c r="J1508" t="n">
        <v>3</v>
      </c>
      <c r="K1508" t="n">
        <v>0</v>
      </c>
      <c r="L1508" t="n">
        <v>10864</v>
      </c>
      <c r="M1508" t="n">
        <v>13000</v>
      </c>
      <c r="N1508" t="n">
        <v>91</v>
      </c>
      <c r="O1508" t="n">
        <v>0.91</v>
      </c>
      <c r="P1508" t="n">
        <v>1</v>
      </c>
      <c r="Q1508" t="n">
        <v>0.02</v>
      </c>
      <c r="R1508" t="n">
        <v>1</v>
      </c>
      <c r="S1508" t="n">
        <v>354.9</v>
      </c>
      <c r="T1508" t="n">
        <v>10</v>
      </c>
      <c r="U1508" t="n">
        <v>11</v>
      </c>
      <c r="V1508" t="n">
        <v>30</v>
      </c>
      <c r="W1508" t="n">
        <v>1</v>
      </c>
      <c r="X1508" t="n">
        <v>73.26007326007326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10018</v>
      </c>
      <c r="AG1508" t="n">
        <v>78</v>
      </c>
      <c r="AH1508" t="inlineStr">
        <is>
          <t>PT. GLORIENTA P.H - PPN (PDG)</t>
        </is>
      </c>
      <c r="AI1508" t="n">
        <v>70</v>
      </c>
      <c r="AJ1508" t="inlineStr">
        <is>
          <t>FANBO</t>
        </is>
      </c>
      <c r="AK1508" t="n">
        <v>21</v>
      </c>
      <c r="AL1508" t="inlineStr">
        <is>
          <t>Miss Glam Damar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FANBO</t>
        </is>
      </c>
      <c r="B1509" s="2">
        <f>"8993102684235"</f>
        <v/>
      </c>
      <c r="C1509" t="inlineStr">
        <is>
          <t>FANBO Fanbo Fantastic Eyebrow Black</t>
        </is>
      </c>
      <c r="D1509" t="inlineStr">
        <is>
          <t>Miss Glam Damar</t>
        </is>
      </c>
      <c r="E1509" t="n">
        <v>5</v>
      </c>
      <c r="F1509" t="n">
        <v>0.1729</v>
      </c>
      <c r="G1509" t="n">
        <v>0.91</v>
      </c>
      <c r="H1509" t="n">
        <v>3</v>
      </c>
      <c r="I1509" t="n">
        <v>11</v>
      </c>
      <c r="J1509" t="n">
        <v>3</v>
      </c>
      <c r="K1509" t="n">
        <v>0</v>
      </c>
      <c r="L1509" t="n">
        <v>30070</v>
      </c>
      <c r="M1509" t="n">
        <v>38000</v>
      </c>
      <c r="N1509" t="n">
        <v>91</v>
      </c>
      <c r="O1509" t="n">
        <v>0.91</v>
      </c>
      <c r="P1509" t="n">
        <v>1</v>
      </c>
      <c r="Q1509" t="n">
        <v>0.19</v>
      </c>
      <c r="R1509" t="n">
        <v>2</v>
      </c>
      <c r="S1509" t="n">
        <v>6570.2</v>
      </c>
      <c r="T1509" t="n">
        <v>10</v>
      </c>
      <c r="U1509" t="n">
        <v>11</v>
      </c>
      <c r="V1509" t="n">
        <v>30</v>
      </c>
      <c r="W1509" t="n">
        <v>6</v>
      </c>
      <c r="X1509" t="n">
        <v>28.91844997108155</v>
      </c>
      <c r="Y1509" t="n">
        <v>1</v>
      </c>
      <c r="Z1509" t="n">
        <v>1</v>
      </c>
      <c r="AA1509" t="n">
        <v>0</v>
      </c>
      <c r="AB1509" t="n">
        <v>1</v>
      </c>
      <c r="AC1509" t="n">
        <v>3</v>
      </c>
      <c r="AD1509" t="n">
        <v>0</v>
      </c>
      <c r="AE1509" t="n">
        <v>90210</v>
      </c>
      <c r="AF1509" t="n">
        <v>10018</v>
      </c>
      <c r="AG1509" t="n">
        <v>78</v>
      </c>
      <c r="AH1509" t="inlineStr">
        <is>
          <t>PT. GLORIENTA P.H - PPN (PDG)</t>
        </is>
      </c>
      <c r="AI1509" t="n">
        <v>70</v>
      </c>
      <c r="AJ1509" t="inlineStr">
        <is>
          <t>FANBO</t>
        </is>
      </c>
      <c r="AK1509" t="n">
        <v>21</v>
      </c>
      <c r="AL1509" t="inlineStr">
        <is>
          <t>Miss Glam Damar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FANBO</t>
        </is>
      </c>
      <c r="B1510" s="2">
        <f>"20200220512"</f>
        <v/>
      </c>
      <c r="C1510" t="inlineStr">
        <is>
          <t>FANBO Fixit Browcara Medium Taute 5ml</t>
        </is>
      </c>
      <c r="D1510" t="inlineStr">
        <is>
          <t>Miss Glam Damar</t>
        </is>
      </c>
      <c r="E1510" t="n">
        <v>0</v>
      </c>
      <c r="F1510" t="n">
        <v>0.3094</v>
      </c>
      <c r="G1510" t="n">
        <v>2.73</v>
      </c>
      <c r="H1510" t="n">
        <v>3</v>
      </c>
      <c r="I1510" t="n">
        <v>11</v>
      </c>
      <c r="J1510" t="n">
        <v>1</v>
      </c>
      <c r="K1510" t="n">
        <v>0</v>
      </c>
      <c r="L1510" t="n">
        <v>43650</v>
      </c>
      <c r="M1510" t="n">
        <v>51500</v>
      </c>
      <c r="N1510" t="n">
        <v>91</v>
      </c>
      <c r="O1510" t="n">
        <v>0.91</v>
      </c>
      <c r="P1510" t="n">
        <v>1</v>
      </c>
      <c r="Q1510" t="n">
        <v>0.42</v>
      </c>
      <c r="R1510" t="n">
        <v>3</v>
      </c>
      <c r="S1510" t="n">
        <v>15934.1</v>
      </c>
      <c r="T1510" t="n">
        <v>30</v>
      </c>
      <c r="U1510" t="n">
        <v>31</v>
      </c>
      <c r="V1510" t="n">
        <v>30</v>
      </c>
      <c r="W1510" t="n">
        <v>10</v>
      </c>
      <c r="X1510" t="n">
        <v>0</v>
      </c>
      <c r="Y1510" t="n">
        <v>1</v>
      </c>
      <c r="Z1510" t="n">
        <v>10</v>
      </c>
      <c r="AA1510" t="n">
        <v>4</v>
      </c>
      <c r="AB1510" t="n">
        <v>6</v>
      </c>
      <c r="AC1510" t="n">
        <v>6</v>
      </c>
      <c r="AD1510" t="n">
        <v>174600</v>
      </c>
      <c r="AE1510" t="n">
        <v>261900</v>
      </c>
      <c r="AF1510" t="n">
        <v>10018</v>
      </c>
      <c r="AG1510" t="n">
        <v>78</v>
      </c>
      <c r="AH1510" t="inlineStr">
        <is>
          <t>PT. GLORIENTA P.H - PPN (PDG)</t>
        </is>
      </c>
      <c r="AI1510" t="n">
        <v>70</v>
      </c>
      <c r="AJ1510" t="inlineStr">
        <is>
          <t>FANBO</t>
        </is>
      </c>
      <c r="AK1510" t="n">
        <v>21</v>
      </c>
      <c r="AL1510" t="inlineStr">
        <is>
          <t>Miss Glam Damar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FANBO</t>
        </is>
      </c>
      <c r="B1511" s="2">
        <f>"20200220437"</f>
        <v/>
      </c>
      <c r="C1511" t="inlineStr">
        <is>
          <t>FANBO Fixit Browcara Natural Glonde 5ml</t>
        </is>
      </c>
      <c r="D1511" t="inlineStr">
        <is>
          <t>Miss Glam Damar</t>
        </is>
      </c>
      <c r="E1511" t="n">
        <v>4</v>
      </c>
      <c r="F1511" t="n">
        <v>0.1365</v>
      </c>
      <c r="G1511" t="n">
        <v>0.91</v>
      </c>
      <c r="H1511" t="n">
        <v>3</v>
      </c>
      <c r="I1511" t="n">
        <v>11</v>
      </c>
      <c r="J1511" t="n">
        <v>1</v>
      </c>
      <c r="K1511" t="n">
        <v>0</v>
      </c>
      <c r="L1511" t="n">
        <v>43650</v>
      </c>
      <c r="M1511" t="n">
        <v>51500</v>
      </c>
      <c r="N1511" t="n">
        <v>91</v>
      </c>
      <c r="O1511" t="n">
        <v>0.91</v>
      </c>
      <c r="P1511" t="n">
        <v>1</v>
      </c>
      <c r="Q1511" t="n">
        <v>0.47</v>
      </c>
      <c r="R1511" t="n">
        <v>4</v>
      </c>
      <c r="S1511" t="n">
        <v>7029.750000000001</v>
      </c>
      <c r="T1511" t="n">
        <v>10</v>
      </c>
      <c r="U1511" t="n">
        <v>11</v>
      </c>
      <c r="V1511" t="n">
        <v>30</v>
      </c>
      <c r="W1511" t="n">
        <v>5</v>
      </c>
      <c r="X1511" t="n">
        <v>29.3040293040293</v>
      </c>
      <c r="Y1511" t="n">
        <v>1</v>
      </c>
      <c r="Z1511" t="n">
        <v>1</v>
      </c>
      <c r="AA1511" t="n">
        <v>0</v>
      </c>
      <c r="AB1511" t="n">
        <v>1</v>
      </c>
      <c r="AC1511" t="n">
        <v>1</v>
      </c>
      <c r="AD1511" t="n">
        <v>0</v>
      </c>
      <c r="AE1511" t="n">
        <v>43650</v>
      </c>
      <c r="AF1511" t="n">
        <v>10018</v>
      </c>
      <c r="AG1511" t="n">
        <v>78</v>
      </c>
      <c r="AH1511" t="inlineStr">
        <is>
          <t>PT. GLORIENTA P.H - PPN (PDG)</t>
        </is>
      </c>
      <c r="AI1511" t="n">
        <v>70</v>
      </c>
      <c r="AJ1511" t="inlineStr">
        <is>
          <t>FANBO</t>
        </is>
      </c>
      <c r="AK1511" t="n">
        <v>21</v>
      </c>
      <c r="AL1511" t="inlineStr">
        <is>
          <t>Miss Glam Damar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FANBO</t>
        </is>
      </c>
      <c r="B1512" s="2">
        <f>"8993102705305"</f>
        <v/>
      </c>
      <c r="C1512" t="inlineStr">
        <is>
          <t>FANBO Fruity Punch Lip Balm 3gr</t>
        </is>
      </c>
      <c r="D1512" t="inlineStr">
        <is>
          <t>Miss Glam Damar</t>
        </is>
      </c>
      <c r="E1512" t="n">
        <v>10</v>
      </c>
      <c r="F1512" t="n">
        <v>0.2457</v>
      </c>
      <c r="G1512" t="n">
        <v>2.73</v>
      </c>
      <c r="H1512" t="n">
        <v>3</v>
      </c>
      <c r="I1512" t="n">
        <v>11</v>
      </c>
      <c r="J1512" t="n">
        <v>3</v>
      </c>
      <c r="K1512" t="n">
        <v>0</v>
      </c>
      <c r="L1512" t="n">
        <v>27645</v>
      </c>
      <c r="M1512" t="n">
        <v>36000</v>
      </c>
      <c r="N1512" t="n">
        <v>91</v>
      </c>
      <c r="O1512" t="n">
        <v>0.91</v>
      </c>
      <c r="P1512" t="n">
        <v>1</v>
      </c>
      <c r="Q1512" t="n">
        <v>0.1</v>
      </c>
      <c r="R1512" t="n">
        <v>2</v>
      </c>
      <c r="S1512" t="n">
        <v>8845.200000000001</v>
      </c>
      <c r="T1512" t="n">
        <v>30</v>
      </c>
      <c r="U1512" t="n">
        <v>31</v>
      </c>
      <c r="V1512" t="n">
        <v>30</v>
      </c>
      <c r="W1512" t="n">
        <v>8</v>
      </c>
      <c r="X1512" t="n">
        <v>40.7000407000407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10018</v>
      </c>
      <c r="AG1512" t="n">
        <v>78</v>
      </c>
      <c r="AH1512" t="inlineStr">
        <is>
          <t>PT. GLORIENTA P.H - PPN (PDG)</t>
        </is>
      </c>
      <c r="AI1512" t="n">
        <v>70</v>
      </c>
      <c r="AJ1512" t="inlineStr">
        <is>
          <t>FANBO</t>
        </is>
      </c>
      <c r="AK1512" t="n">
        <v>21</v>
      </c>
      <c r="AL1512" t="inlineStr">
        <is>
          <t>Miss Glam Damar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FANBO</t>
        </is>
      </c>
      <c r="B1513" s="2">
        <f>"8993102705329"</f>
        <v/>
      </c>
      <c r="C1513" t="inlineStr">
        <is>
          <t>FANBO Fruity Punch Lip Balm Orange 3gr</t>
        </is>
      </c>
      <c r="D1513" t="inlineStr">
        <is>
          <t>Miss Glam Damar</t>
        </is>
      </c>
      <c r="E1513" t="n">
        <v>2</v>
      </c>
      <c r="F1513" t="n">
        <v>0.0273</v>
      </c>
      <c r="G1513" t="n">
        <v>0.91</v>
      </c>
      <c r="H1513" t="n">
        <v>3</v>
      </c>
      <c r="I1513" t="n">
        <v>11</v>
      </c>
      <c r="J1513" t="n">
        <v>3</v>
      </c>
      <c r="K1513" t="n">
        <v>0</v>
      </c>
      <c r="L1513" t="n">
        <v>27645</v>
      </c>
      <c r="M1513" t="n">
        <v>33500</v>
      </c>
      <c r="N1513" t="n">
        <v>91</v>
      </c>
      <c r="O1513" t="n">
        <v>0.91</v>
      </c>
      <c r="P1513" t="n">
        <v>1</v>
      </c>
      <c r="Q1513" t="n">
        <v>0.1</v>
      </c>
      <c r="R1513" t="n">
        <v>1</v>
      </c>
      <c r="S1513" t="n">
        <v>914.5500000000001</v>
      </c>
      <c r="T1513" t="n">
        <v>10</v>
      </c>
      <c r="U1513" t="n">
        <v>11</v>
      </c>
      <c r="V1513" t="n">
        <v>30</v>
      </c>
      <c r="W1513" t="n">
        <v>1</v>
      </c>
      <c r="X1513" t="n">
        <v>73.26007326007326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10018</v>
      </c>
      <c r="AG1513" t="n">
        <v>78</v>
      </c>
      <c r="AH1513" t="inlineStr">
        <is>
          <t>PT. GLORIENTA P.H - PPN (PDG)</t>
        </is>
      </c>
      <c r="AI1513" t="n">
        <v>70</v>
      </c>
      <c r="AJ1513" t="inlineStr">
        <is>
          <t>FANBO</t>
        </is>
      </c>
      <c r="AK1513" t="n">
        <v>21</v>
      </c>
      <c r="AL1513" t="inlineStr">
        <is>
          <t>Miss Glam Damar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FANBO</t>
        </is>
      </c>
      <c r="B1514" s="2">
        <f>"8993102709280"</f>
        <v/>
      </c>
      <c r="C1514" t="inlineStr">
        <is>
          <t>FANBO Glossy Tint 03 3.5gr</t>
        </is>
      </c>
      <c r="D1514" t="inlineStr">
        <is>
          <t>Miss Glam Damar</t>
        </is>
      </c>
      <c r="E1514" t="n">
        <v>0</v>
      </c>
      <c r="F1514" t="n">
        <v>0.0273</v>
      </c>
      <c r="G1514" t="n">
        <v>0.91</v>
      </c>
      <c r="H1514" t="n">
        <v>3</v>
      </c>
      <c r="I1514" t="n">
        <v>11</v>
      </c>
      <c r="J1514" t="n">
        <v>3</v>
      </c>
      <c r="K1514" t="n">
        <v>0</v>
      </c>
      <c r="L1514" t="n">
        <v>38315</v>
      </c>
      <c r="M1514" t="n">
        <v>50000</v>
      </c>
      <c r="N1514" t="n">
        <v>91</v>
      </c>
      <c r="O1514" t="n">
        <v>0.91</v>
      </c>
      <c r="P1514" t="n">
        <v>1</v>
      </c>
      <c r="Q1514" t="n">
        <v>0.04</v>
      </c>
      <c r="R1514" t="n">
        <v>1</v>
      </c>
      <c r="S1514" t="n">
        <v>1365</v>
      </c>
      <c r="T1514" t="n">
        <v>10</v>
      </c>
      <c r="U1514" t="n">
        <v>11</v>
      </c>
      <c r="V1514" t="n">
        <v>30</v>
      </c>
      <c r="W1514" t="n">
        <v>1</v>
      </c>
      <c r="X1514" t="n">
        <v>0</v>
      </c>
      <c r="Y1514" t="n">
        <v>1</v>
      </c>
      <c r="Z1514" t="n">
        <v>1</v>
      </c>
      <c r="AA1514" t="n">
        <v>1</v>
      </c>
      <c r="AB1514" t="n">
        <v>0</v>
      </c>
      <c r="AC1514" t="n">
        <v>0</v>
      </c>
      <c r="AD1514" t="n">
        <v>38315</v>
      </c>
      <c r="AE1514" t="n">
        <v>0</v>
      </c>
      <c r="AF1514" t="n">
        <v>10018</v>
      </c>
      <c r="AG1514" t="n">
        <v>78</v>
      </c>
      <c r="AH1514" t="inlineStr">
        <is>
          <t>PT. GLORIENTA P.H - PPN (PDG)</t>
        </is>
      </c>
      <c r="AI1514" t="n">
        <v>70</v>
      </c>
      <c r="AJ1514" t="inlineStr">
        <is>
          <t>FANBO</t>
        </is>
      </c>
      <c r="AK1514" t="n">
        <v>21</v>
      </c>
      <c r="AL1514" t="inlineStr">
        <is>
          <t>Miss Glam Damar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FANBO</t>
        </is>
      </c>
      <c r="B1515" s="2">
        <f>"8993102709297"</f>
        <v/>
      </c>
      <c r="C1515" t="inlineStr">
        <is>
          <t>FANBO Glossy Tint 04 3.5gr</t>
        </is>
      </c>
      <c r="D1515" t="inlineStr">
        <is>
          <t>Miss Glam Damar</t>
        </is>
      </c>
      <c r="E1515" t="n">
        <v>6</v>
      </c>
      <c r="F1515" t="n">
        <v>0.0182</v>
      </c>
      <c r="G1515" t="n">
        <v>0.91</v>
      </c>
      <c r="H1515" t="n">
        <v>3</v>
      </c>
      <c r="I1515" t="n">
        <v>11</v>
      </c>
      <c r="J1515" t="n">
        <v>3</v>
      </c>
      <c r="K1515" t="n">
        <v>0</v>
      </c>
      <c r="L1515" t="n">
        <v>38315</v>
      </c>
      <c r="M1515" t="n">
        <v>50000</v>
      </c>
      <c r="N1515" t="n">
        <v>91</v>
      </c>
      <c r="O1515" t="n">
        <v>0.91</v>
      </c>
      <c r="P1515" t="n">
        <v>1</v>
      </c>
      <c r="Q1515" t="n">
        <v>0.05</v>
      </c>
      <c r="R1515" t="n">
        <v>1</v>
      </c>
      <c r="S1515" t="n">
        <v>910</v>
      </c>
      <c r="T1515" t="n">
        <v>10</v>
      </c>
      <c r="U1515" t="n">
        <v>11</v>
      </c>
      <c r="V1515" t="n">
        <v>30</v>
      </c>
      <c r="W1515" t="n">
        <v>1</v>
      </c>
      <c r="X1515" t="n">
        <v>329.6703296703296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10018</v>
      </c>
      <c r="AG1515" t="n">
        <v>78</v>
      </c>
      <c r="AH1515" t="inlineStr">
        <is>
          <t>PT. GLORIENTA P.H - PPN (PDG)</t>
        </is>
      </c>
      <c r="AI1515" t="n">
        <v>70</v>
      </c>
      <c r="AJ1515" t="inlineStr">
        <is>
          <t>FANBO</t>
        </is>
      </c>
      <c r="AK1515" t="n">
        <v>21</v>
      </c>
      <c r="AL1515" t="inlineStr">
        <is>
          <t>Miss Glam Damar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FANBO</t>
        </is>
      </c>
      <c r="B1516" s="2">
        <f>"8993102709303"</f>
        <v/>
      </c>
      <c r="C1516" t="inlineStr">
        <is>
          <t>FANBO Glossy Tint 05 3.5gr</t>
        </is>
      </c>
      <c r="D1516" t="inlineStr">
        <is>
          <t>Miss Glam Damar</t>
        </is>
      </c>
      <c r="E1516" t="n">
        <v>4</v>
      </c>
      <c r="F1516" t="n">
        <v>0.0182</v>
      </c>
      <c r="G1516" t="n">
        <v>0.91</v>
      </c>
      <c r="H1516" t="n">
        <v>3</v>
      </c>
      <c r="I1516" t="n">
        <v>11</v>
      </c>
      <c r="J1516" t="n">
        <v>3</v>
      </c>
      <c r="K1516" t="n">
        <v>0</v>
      </c>
      <c r="L1516" t="n">
        <v>38315</v>
      </c>
      <c r="M1516" t="n">
        <v>50000</v>
      </c>
      <c r="N1516" t="n">
        <v>91</v>
      </c>
      <c r="O1516" t="n">
        <v>0.91</v>
      </c>
      <c r="P1516" t="n">
        <v>1</v>
      </c>
      <c r="Q1516" t="n">
        <v>0.03</v>
      </c>
      <c r="R1516" t="n">
        <v>1</v>
      </c>
      <c r="S1516" t="n">
        <v>910</v>
      </c>
      <c r="T1516" t="n">
        <v>10</v>
      </c>
      <c r="U1516" t="n">
        <v>11</v>
      </c>
      <c r="V1516" t="n">
        <v>30</v>
      </c>
      <c r="W1516" t="n">
        <v>1</v>
      </c>
      <c r="X1516" t="n">
        <v>219.7802197802198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10018</v>
      </c>
      <c r="AG1516" t="n">
        <v>78</v>
      </c>
      <c r="AH1516" t="inlineStr">
        <is>
          <t>PT. GLORIENTA P.H - PPN (PDG)</t>
        </is>
      </c>
      <c r="AI1516" t="n">
        <v>70</v>
      </c>
      <c r="AJ1516" t="inlineStr">
        <is>
          <t>FANBO</t>
        </is>
      </c>
      <c r="AK1516" t="n">
        <v>21</v>
      </c>
      <c r="AL1516" t="inlineStr">
        <is>
          <t>Miss Glam Damar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FANBO</t>
        </is>
      </c>
      <c r="B1517" s="2">
        <f>"8993102683856"</f>
        <v/>
      </c>
      <c r="C1517" t="inlineStr">
        <is>
          <t>FANBO Gold Eyebrow Black 1,6gr</t>
        </is>
      </c>
      <c r="D1517" t="inlineStr">
        <is>
          <t>Miss Glam Damar</t>
        </is>
      </c>
      <c r="E1517" t="n">
        <v>11</v>
      </c>
      <c r="F1517" t="n">
        <v>0.04550000000000001</v>
      </c>
      <c r="G1517" t="n">
        <v>0.91</v>
      </c>
      <c r="H1517" t="n">
        <v>3</v>
      </c>
      <c r="I1517" t="n">
        <v>11</v>
      </c>
      <c r="J1517" t="n">
        <v>3</v>
      </c>
      <c r="K1517" t="n">
        <v>0</v>
      </c>
      <c r="L1517" t="n">
        <v>29093</v>
      </c>
      <c r="M1517" t="n">
        <v>34500</v>
      </c>
      <c r="N1517" t="n">
        <v>91</v>
      </c>
      <c r="O1517" t="n">
        <v>0.91</v>
      </c>
      <c r="P1517" t="n">
        <v>1</v>
      </c>
      <c r="Q1517" t="n">
        <v>0.19</v>
      </c>
      <c r="R1517" t="n">
        <v>2</v>
      </c>
      <c r="S1517" t="n">
        <v>1569.75</v>
      </c>
      <c r="T1517" t="n">
        <v>10</v>
      </c>
      <c r="U1517" t="n">
        <v>11</v>
      </c>
      <c r="V1517" t="n">
        <v>30</v>
      </c>
      <c r="W1517" t="n">
        <v>2</v>
      </c>
      <c r="X1517" t="n">
        <v>241.7582417582417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10018</v>
      </c>
      <c r="AG1517" t="n">
        <v>78</v>
      </c>
      <c r="AH1517" t="inlineStr">
        <is>
          <t>PT. GLORIENTA P.H - PPN (PDG)</t>
        </is>
      </c>
      <c r="AI1517" t="n">
        <v>70</v>
      </c>
      <c r="AJ1517" t="inlineStr">
        <is>
          <t>FANBO</t>
        </is>
      </c>
      <c r="AK1517" t="n">
        <v>21</v>
      </c>
      <c r="AL1517" t="inlineStr">
        <is>
          <t>Miss Glam Damar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FANBO</t>
        </is>
      </c>
      <c r="B1518" s="2">
        <f>"10700340606"</f>
        <v/>
      </c>
      <c r="C1518" t="inlineStr">
        <is>
          <t>FANBO Lip Jelly Tin Balm 01 1,6gr</t>
        </is>
      </c>
      <c r="D1518" t="inlineStr">
        <is>
          <t>Miss Glam Damar</t>
        </is>
      </c>
      <c r="E1518" t="n">
        <v>7</v>
      </c>
      <c r="F1518" t="n">
        <v>0.02</v>
      </c>
      <c r="G1518" t="n">
        <v>1</v>
      </c>
      <c r="H1518" t="n">
        <v>3</v>
      </c>
      <c r="I1518" t="n">
        <v>11</v>
      </c>
      <c r="J1518" t="n">
        <v>1</v>
      </c>
      <c r="K1518" t="n">
        <v>0</v>
      </c>
      <c r="L1518" t="n">
        <v>33951</v>
      </c>
      <c r="M1518" t="n">
        <v>40000</v>
      </c>
      <c r="N1518" t="n">
        <v>91</v>
      </c>
      <c r="O1518" t="n">
        <v>0.91</v>
      </c>
      <c r="P1518" t="n">
        <v>0</v>
      </c>
      <c r="Q1518" t="n">
        <v>0.02</v>
      </c>
      <c r="R1518" t="n">
        <v>1</v>
      </c>
      <c r="S1518" t="n">
        <v>800</v>
      </c>
      <c r="T1518" t="n">
        <v>11</v>
      </c>
      <c r="U1518" t="n">
        <v>12</v>
      </c>
      <c r="V1518" t="n">
        <v>30</v>
      </c>
      <c r="W1518" t="n">
        <v>1</v>
      </c>
      <c r="X1518" t="n">
        <v>350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10018</v>
      </c>
      <c r="AG1518" t="n">
        <v>78</v>
      </c>
      <c r="AH1518" t="inlineStr">
        <is>
          <t>PT. GLORIENTA P.H - PPN (PDG)</t>
        </is>
      </c>
      <c r="AI1518" t="n">
        <v>70</v>
      </c>
      <c r="AJ1518" t="inlineStr">
        <is>
          <t>FANBO</t>
        </is>
      </c>
      <c r="AK1518" t="n">
        <v>21</v>
      </c>
      <c r="AL1518" t="inlineStr">
        <is>
          <t>Miss Glam Damar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FANBO</t>
        </is>
      </c>
      <c r="B1519" s="2">
        <f>"10700340745"</f>
        <v/>
      </c>
      <c r="C1519" t="inlineStr">
        <is>
          <t>FANBO Lip Jelly Tin Balm 02 1,6gr</t>
        </is>
      </c>
      <c r="D1519" t="inlineStr">
        <is>
          <t>Miss Glam Damar</t>
        </is>
      </c>
      <c r="E1519" t="n">
        <v>7</v>
      </c>
      <c r="F1519" t="n">
        <v>0.02</v>
      </c>
      <c r="G1519" t="n">
        <v>1</v>
      </c>
      <c r="H1519" t="n">
        <v>3</v>
      </c>
      <c r="I1519" t="n">
        <v>11</v>
      </c>
      <c r="J1519" t="n">
        <v>1</v>
      </c>
      <c r="K1519" t="n">
        <v>0</v>
      </c>
      <c r="L1519" t="n">
        <v>33951</v>
      </c>
      <c r="M1519" t="n">
        <v>40000</v>
      </c>
      <c r="N1519" t="n">
        <v>91</v>
      </c>
      <c r="O1519" t="n">
        <v>0.91</v>
      </c>
      <c r="P1519" t="n">
        <v>0</v>
      </c>
      <c r="Q1519" t="n">
        <v>0.02</v>
      </c>
      <c r="R1519" t="n">
        <v>1</v>
      </c>
      <c r="S1519" t="n">
        <v>800</v>
      </c>
      <c r="T1519" t="n">
        <v>11</v>
      </c>
      <c r="U1519" t="n">
        <v>12</v>
      </c>
      <c r="V1519" t="n">
        <v>30</v>
      </c>
      <c r="W1519" t="n">
        <v>1</v>
      </c>
      <c r="X1519" t="n">
        <v>350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10018</v>
      </c>
      <c r="AG1519" t="n">
        <v>78</v>
      </c>
      <c r="AH1519" t="inlineStr">
        <is>
          <t>PT. GLORIENTA P.H - PPN (PDG)</t>
        </is>
      </c>
      <c r="AI1519" t="n">
        <v>70</v>
      </c>
      <c r="AJ1519" t="inlineStr">
        <is>
          <t>FANBO</t>
        </is>
      </c>
      <c r="AK1519" t="n">
        <v>21</v>
      </c>
      <c r="AL1519" t="inlineStr">
        <is>
          <t>Miss Glam Damar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FANBO</t>
        </is>
      </c>
      <c r="B1520" s="2">
        <f>"10700340826"</f>
        <v/>
      </c>
      <c r="C1520" t="inlineStr">
        <is>
          <t>FANBO Lip Jelly Tin Balm 03 1,6gr</t>
        </is>
      </c>
      <c r="D1520" t="inlineStr">
        <is>
          <t>Miss Glam Damar</t>
        </is>
      </c>
      <c r="E1520" t="n">
        <v>4</v>
      </c>
      <c r="F1520" t="n">
        <v>0.07000000000000001</v>
      </c>
      <c r="G1520" t="n">
        <v>2</v>
      </c>
      <c r="H1520" t="n">
        <v>3</v>
      </c>
      <c r="I1520" t="n">
        <v>11</v>
      </c>
      <c r="J1520" t="n">
        <v>1</v>
      </c>
      <c r="K1520" t="n">
        <v>0</v>
      </c>
      <c r="L1520" t="n">
        <v>33951</v>
      </c>
      <c r="M1520" t="n">
        <v>40000</v>
      </c>
      <c r="N1520" t="n">
        <v>91</v>
      </c>
      <c r="O1520" t="n">
        <v>0.91</v>
      </c>
      <c r="P1520" t="n">
        <v>0</v>
      </c>
      <c r="Q1520" t="n">
        <v>0.07000000000000001</v>
      </c>
      <c r="R1520" t="n">
        <v>2</v>
      </c>
      <c r="S1520" t="n">
        <v>2800</v>
      </c>
      <c r="T1520" t="n">
        <v>22</v>
      </c>
      <c r="U1520" t="n">
        <v>23</v>
      </c>
      <c r="V1520" t="n">
        <v>30</v>
      </c>
      <c r="W1520" t="n">
        <v>3</v>
      </c>
      <c r="X1520" t="n">
        <v>57.14285714285714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10018</v>
      </c>
      <c r="AG1520" t="n">
        <v>78</v>
      </c>
      <c r="AH1520" t="inlineStr">
        <is>
          <t>PT. GLORIENTA P.H - PPN (PDG)</t>
        </is>
      </c>
      <c r="AI1520" t="n">
        <v>70</v>
      </c>
      <c r="AJ1520" t="inlineStr">
        <is>
          <t>FANBO</t>
        </is>
      </c>
      <c r="AK1520" t="n">
        <v>21</v>
      </c>
      <c r="AL1520" t="inlineStr">
        <is>
          <t>Miss Glam Damar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FANBO</t>
        </is>
      </c>
      <c r="B1521" s="2">
        <f>"10700341029"</f>
        <v/>
      </c>
      <c r="C1521" t="inlineStr">
        <is>
          <t>FANBO Lip Jelly Tin Balm 05 1,6gr</t>
        </is>
      </c>
      <c r="D1521" t="inlineStr">
        <is>
          <t>Miss Glam Damar</t>
        </is>
      </c>
      <c r="E1521" t="n">
        <v>5</v>
      </c>
      <c r="F1521" t="n">
        <v>0.0182</v>
      </c>
      <c r="G1521" t="n">
        <v>0.91</v>
      </c>
      <c r="H1521" t="n">
        <v>3</v>
      </c>
      <c r="I1521" t="n">
        <v>11</v>
      </c>
      <c r="J1521" t="n">
        <v>1</v>
      </c>
      <c r="K1521" t="n">
        <v>0</v>
      </c>
      <c r="L1521" t="n">
        <v>33951</v>
      </c>
      <c r="M1521" t="n">
        <v>40000</v>
      </c>
      <c r="N1521" t="n">
        <v>91</v>
      </c>
      <c r="O1521" t="n">
        <v>0.91</v>
      </c>
      <c r="P1521" t="n">
        <v>1</v>
      </c>
      <c r="Q1521" t="n">
        <v>0.05</v>
      </c>
      <c r="R1521" t="n">
        <v>1</v>
      </c>
      <c r="S1521" t="n">
        <v>728</v>
      </c>
      <c r="T1521" t="n">
        <v>10</v>
      </c>
      <c r="U1521" t="n">
        <v>11</v>
      </c>
      <c r="V1521" t="n">
        <v>30</v>
      </c>
      <c r="W1521" t="n">
        <v>1</v>
      </c>
      <c r="X1521" t="n">
        <v>274.7252747252747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10018</v>
      </c>
      <c r="AG1521" t="n">
        <v>78</v>
      </c>
      <c r="AH1521" t="inlineStr">
        <is>
          <t>PT. GLORIENTA P.H - PPN (PDG)</t>
        </is>
      </c>
      <c r="AI1521" t="n">
        <v>70</v>
      </c>
      <c r="AJ1521" t="inlineStr">
        <is>
          <t>FANBO</t>
        </is>
      </c>
      <c r="AK1521" t="n">
        <v>21</v>
      </c>
      <c r="AL1521" t="inlineStr">
        <is>
          <t>Miss Glam Damar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FANBO</t>
        </is>
      </c>
      <c r="B1522" s="2">
        <f>"20200570541"</f>
        <v/>
      </c>
      <c r="C1522" t="inlineStr">
        <is>
          <t>FANBO Love Letter 01 9ml</t>
        </is>
      </c>
      <c r="D1522" t="inlineStr">
        <is>
          <t>Miss Glam Damar</t>
        </is>
      </c>
      <c r="E1522" t="n">
        <v>12</v>
      </c>
      <c r="F1522" t="n">
        <v>0.2912</v>
      </c>
      <c r="G1522" t="n">
        <v>3.64</v>
      </c>
      <c r="H1522" t="n">
        <v>3</v>
      </c>
      <c r="I1522" t="n">
        <v>11</v>
      </c>
      <c r="J1522" t="n">
        <v>1</v>
      </c>
      <c r="K1522" t="n">
        <v>0</v>
      </c>
      <c r="L1522" t="n">
        <v>43650</v>
      </c>
      <c r="M1522" t="n">
        <v>51500</v>
      </c>
      <c r="N1522" t="n">
        <v>91</v>
      </c>
      <c r="O1522" t="n">
        <v>0.91</v>
      </c>
      <c r="P1522" t="n">
        <v>1</v>
      </c>
      <c r="Q1522" t="n">
        <v>0.27</v>
      </c>
      <c r="R1522" t="n">
        <v>2</v>
      </c>
      <c r="S1522" t="n">
        <v>14996.8</v>
      </c>
      <c r="T1522" t="n">
        <v>40</v>
      </c>
      <c r="U1522" t="n">
        <v>41</v>
      </c>
      <c r="V1522" t="n">
        <v>30</v>
      </c>
      <c r="W1522" t="n">
        <v>9</v>
      </c>
      <c r="X1522" t="n">
        <v>41.2087912087912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10018</v>
      </c>
      <c r="AG1522" t="n">
        <v>78</v>
      </c>
      <c r="AH1522" t="inlineStr">
        <is>
          <t>PT. GLORIENTA P.H - PPN (PDG)</t>
        </is>
      </c>
      <c r="AI1522" t="n">
        <v>70</v>
      </c>
      <c r="AJ1522" t="inlineStr">
        <is>
          <t>FANBO</t>
        </is>
      </c>
      <c r="AK1522" t="n">
        <v>21</v>
      </c>
      <c r="AL1522" t="inlineStr">
        <is>
          <t>Miss Glam Damar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FANBO</t>
        </is>
      </c>
      <c r="B1523" s="2">
        <f>"20200570616"</f>
        <v/>
      </c>
      <c r="C1523" t="inlineStr">
        <is>
          <t>FANBO Love Letter 02 9ml</t>
        </is>
      </c>
      <c r="D1523" t="inlineStr">
        <is>
          <t>Miss Glam Damar</t>
        </is>
      </c>
      <c r="E1523" t="n">
        <v>4</v>
      </c>
      <c r="F1523" t="n">
        <v>0.0728</v>
      </c>
      <c r="G1523" t="n">
        <v>0.91</v>
      </c>
      <c r="H1523" t="n">
        <v>3</v>
      </c>
      <c r="I1523" t="n">
        <v>11</v>
      </c>
      <c r="J1523" t="n">
        <v>1</v>
      </c>
      <c r="K1523" t="n">
        <v>0</v>
      </c>
      <c r="L1523" t="n">
        <v>43650</v>
      </c>
      <c r="M1523" t="n">
        <v>51500</v>
      </c>
      <c r="N1523" t="n">
        <v>91</v>
      </c>
      <c r="O1523" t="n">
        <v>0.91</v>
      </c>
      <c r="P1523" t="n">
        <v>1</v>
      </c>
      <c r="Q1523" t="n">
        <v>0.03</v>
      </c>
      <c r="R1523" t="n">
        <v>1</v>
      </c>
      <c r="S1523" t="n">
        <v>3749.2</v>
      </c>
      <c r="T1523" t="n">
        <v>10</v>
      </c>
      <c r="U1523" t="n">
        <v>11</v>
      </c>
      <c r="V1523" t="n">
        <v>30</v>
      </c>
      <c r="W1523" t="n">
        <v>3</v>
      </c>
      <c r="X1523" t="n">
        <v>54.94505494505494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10018</v>
      </c>
      <c r="AG1523" t="n">
        <v>78</v>
      </c>
      <c r="AH1523" t="inlineStr">
        <is>
          <t>PT. GLORIENTA P.H - PPN (PDG)</t>
        </is>
      </c>
      <c r="AI1523" t="n">
        <v>70</v>
      </c>
      <c r="AJ1523" t="inlineStr">
        <is>
          <t>FANBO</t>
        </is>
      </c>
      <c r="AK1523" t="n">
        <v>21</v>
      </c>
      <c r="AL1523" t="inlineStr">
        <is>
          <t>Miss Glam Damar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FANBO</t>
        </is>
      </c>
      <c r="B1524" s="2">
        <f>"20200468855"</f>
        <v/>
      </c>
      <c r="C1524" t="inlineStr">
        <is>
          <t>FANBO Micro Definer Browtitute Cholate 0,1gr</t>
        </is>
      </c>
      <c r="D1524" t="inlineStr">
        <is>
          <t>Miss Glam Damar</t>
        </is>
      </c>
      <c r="E1524" t="n">
        <v>10</v>
      </c>
      <c r="F1524" t="n">
        <v>0.1092</v>
      </c>
      <c r="G1524" t="n">
        <v>0.91</v>
      </c>
      <c r="H1524" t="n">
        <v>3</v>
      </c>
      <c r="I1524" t="n">
        <v>11</v>
      </c>
      <c r="J1524" t="n">
        <v>1</v>
      </c>
      <c r="K1524" t="n">
        <v>0</v>
      </c>
      <c r="L1524" t="n">
        <v>31040</v>
      </c>
      <c r="M1524" t="n">
        <v>37000</v>
      </c>
      <c r="N1524" t="n">
        <v>91</v>
      </c>
      <c r="O1524" t="n">
        <v>0.91</v>
      </c>
      <c r="P1524" t="n">
        <v>1</v>
      </c>
      <c r="Q1524" t="n">
        <v>0.29</v>
      </c>
      <c r="R1524" t="n">
        <v>2</v>
      </c>
      <c r="S1524" t="n">
        <v>4040.4</v>
      </c>
      <c r="T1524" t="n">
        <v>10</v>
      </c>
      <c r="U1524" t="n">
        <v>11</v>
      </c>
      <c r="V1524" t="n">
        <v>30</v>
      </c>
      <c r="W1524" t="n">
        <v>4</v>
      </c>
      <c r="X1524" t="n">
        <v>91.57509157509158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10018</v>
      </c>
      <c r="AG1524" t="n">
        <v>78</v>
      </c>
      <c r="AH1524" t="inlineStr">
        <is>
          <t>PT. GLORIENTA P.H - PPN (PDG)</t>
        </is>
      </c>
      <c r="AI1524" t="n">
        <v>70</v>
      </c>
      <c r="AJ1524" t="inlineStr">
        <is>
          <t>FANBO</t>
        </is>
      </c>
      <c r="AK1524" t="n">
        <v>21</v>
      </c>
      <c r="AL1524" t="inlineStr">
        <is>
          <t>Miss Glam Damar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FANBO</t>
        </is>
      </c>
      <c r="B1525" s="2">
        <f>"20200468937"</f>
        <v/>
      </c>
      <c r="C1525" t="inlineStr">
        <is>
          <t>FANBO Micro Definer Browtitute Coolblack 0,1gr</t>
        </is>
      </c>
      <c r="D1525" t="inlineStr">
        <is>
          <t>Miss Glam Damar</t>
        </is>
      </c>
      <c r="E1525" t="n">
        <v>10</v>
      </c>
      <c r="F1525" t="n">
        <v>0.09100000000000001</v>
      </c>
      <c r="G1525" t="n">
        <v>2.73</v>
      </c>
      <c r="H1525" t="n">
        <v>3</v>
      </c>
      <c r="I1525" t="n">
        <v>11</v>
      </c>
      <c r="J1525" t="n">
        <v>1</v>
      </c>
      <c r="K1525" t="n">
        <v>0</v>
      </c>
      <c r="L1525" t="n">
        <v>31040</v>
      </c>
      <c r="M1525" t="n">
        <v>37000</v>
      </c>
      <c r="N1525" t="n">
        <v>91</v>
      </c>
      <c r="O1525" t="n">
        <v>0.91</v>
      </c>
      <c r="P1525" t="n">
        <v>1</v>
      </c>
      <c r="Q1525" t="n">
        <v>0.05</v>
      </c>
      <c r="R1525" t="n">
        <v>1</v>
      </c>
      <c r="S1525" t="n">
        <v>3367</v>
      </c>
      <c r="T1525" t="n">
        <v>30</v>
      </c>
      <c r="U1525" t="n">
        <v>31</v>
      </c>
      <c r="V1525" t="n">
        <v>30</v>
      </c>
      <c r="W1525" t="n">
        <v>3</v>
      </c>
      <c r="X1525" t="n">
        <v>109.8901098901099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10018</v>
      </c>
      <c r="AG1525" t="n">
        <v>78</v>
      </c>
      <c r="AH1525" t="inlineStr">
        <is>
          <t>PT. GLORIENTA P.H - PPN (PDG)</t>
        </is>
      </c>
      <c r="AI1525" t="n">
        <v>70</v>
      </c>
      <c r="AJ1525" t="inlineStr">
        <is>
          <t>FANBO</t>
        </is>
      </c>
      <c r="AK1525" t="n">
        <v>21</v>
      </c>
      <c r="AL1525" t="inlineStr">
        <is>
          <t>Miss Glam Damar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FANBO</t>
        </is>
      </c>
      <c r="B1526" s="2">
        <f>"8993102697914"</f>
        <v/>
      </c>
      <c r="C1526" t="inlineStr">
        <is>
          <t>FANBO Precious White Eyeliner Pen 1ml</t>
        </is>
      </c>
      <c r="D1526" t="inlineStr">
        <is>
          <t>Miss Glam Damar</t>
        </is>
      </c>
      <c r="E1526" t="n">
        <v>2</v>
      </c>
      <c r="F1526" t="n">
        <v>0.02</v>
      </c>
      <c r="G1526" t="n">
        <v>1</v>
      </c>
      <c r="H1526" t="n">
        <v>3</v>
      </c>
      <c r="I1526" t="n">
        <v>11</v>
      </c>
      <c r="J1526" t="n">
        <v>3</v>
      </c>
      <c r="K1526" t="n">
        <v>0</v>
      </c>
      <c r="L1526" t="n">
        <v>51410</v>
      </c>
      <c r="M1526" t="n">
        <v>69000</v>
      </c>
      <c r="N1526" t="n">
        <v>91</v>
      </c>
      <c r="O1526" t="n">
        <v>0.91</v>
      </c>
      <c r="P1526" t="n">
        <v>0</v>
      </c>
      <c r="Q1526" t="n">
        <v>0.02</v>
      </c>
      <c r="R1526" t="n">
        <v>1</v>
      </c>
      <c r="S1526" t="n">
        <v>1380</v>
      </c>
      <c r="T1526" t="n">
        <v>11</v>
      </c>
      <c r="U1526" t="n">
        <v>12</v>
      </c>
      <c r="V1526" t="n">
        <v>30</v>
      </c>
      <c r="W1526" t="n">
        <v>1</v>
      </c>
      <c r="X1526" t="n">
        <v>100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10018</v>
      </c>
      <c r="AG1526" t="n">
        <v>78</v>
      </c>
      <c r="AH1526" t="inlineStr">
        <is>
          <t>PT. GLORIENTA P.H - PPN (PDG)</t>
        </is>
      </c>
      <c r="AI1526" t="n">
        <v>70</v>
      </c>
      <c r="AJ1526" t="inlineStr">
        <is>
          <t>FANBO</t>
        </is>
      </c>
      <c r="AK1526" t="n">
        <v>21</v>
      </c>
      <c r="AL1526" t="inlineStr">
        <is>
          <t>Miss Glam Damar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FANBO</t>
        </is>
      </c>
      <c r="B1527" s="2">
        <f>"8993102679569"</f>
        <v/>
      </c>
      <c r="C1527" t="inlineStr">
        <is>
          <t>FANBO Precious White Perfect Lash Mascara 5gr</t>
        </is>
      </c>
      <c r="D1527" t="inlineStr">
        <is>
          <t>Miss Glam Damar</t>
        </is>
      </c>
      <c r="E1527" t="n">
        <v>1</v>
      </c>
      <c r="F1527" t="n">
        <v>0.02</v>
      </c>
      <c r="G1527" t="n">
        <v>1</v>
      </c>
      <c r="H1527" t="n">
        <v>3</v>
      </c>
      <c r="I1527" t="n">
        <v>11</v>
      </c>
      <c r="J1527" t="n">
        <v>3</v>
      </c>
      <c r="K1527" t="n">
        <v>0</v>
      </c>
      <c r="L1527" t="n">
        <v>50925</v>
      </c>
      <c r="M1527" t="n">
        <v>60000</v>
      </c>
      <c r="N1527" t="n">
        <v>91</v>
      </c>
      <c r="O1527" t="n">
        <v>0.91</v>
      </c>
      <c r="P1527" t="n">
        <v>0</v>
      </c>
      <c r="Q1527" t="n">
        <v>0.02</v>
      </c>
      <c r="R1527" t="n">
        <v>1</v>
      </c>
      <c r="S1527" t="n">
        <v>1200</v>
      </c>
      <c r="T1527" t="n">
        <v>11</v>
      </c>
      <c r="U1527" t="n">
        <v>12</v>
      </c>
      <c r="V1527" t="n">
        <v>30</v>
      </c>
      <c r="W1527" t="n">
        <v>1</v>
      </c>
      <c r="X1527" t="n">
        <v>50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10018</v>
      </c>
      <c r="AG1527" t="n">
        <v>78</v>
      </c>
      <c r="AH1527" t="inlineStr">
        <is>
          <t>PT. GLORIENTA P.H - PPN (PDG)</t>
        </is>
      </c>
      <c r="AI1527" t="n">
        <v>70</v>
      </c>
      <c r="AJ1527" t="inlineStr">
        <is>
          <t>FANBO</t>
        </is>
      </c>
      <c r="AK1527" t="n">
        <v>21</v>
      </c>
      <c r="AL1527" t="inlineStr">
        <is>
          <t>Miss Glam Damar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FANBO</t>
        </is>
      </c>
      <c r="B1528" s="2">
        <f>"8993102116835"</f>
        <v/>
      </c>
      <c r="C1528" t="inlineStr">
        <is>
          <t>FANBO Rose Compact Powder 04 Ochre 300gr</t>
        </is>
      </c>
      <c r="D1528" t="inlineStr">
        <is>
          <t>Miss Glam Damar</t>
        </is>
      </c>
      <c r="E1528" t="n">
        <v>2</v>
      </c>
      <c r="F1528" t="n">
        <v>0.02</v>
      </c>
      <c r="G1528" t="n">
        <v>1</v>
      </c>
      <c r="H1528" t="n">
        <v>3</v>
      </c>
      <c r="I1528" t="n">
        <v>11</v>
      </c>
      <c r="J1528" t="n">
        <v>3</v>
      </c>
      <c r="K1528" t="n">
        <v>0</v>
      </c>
      <c r="L1528" t="n">
        <v>16781</v>
      </c>
      <c r="M1528" t="n">
        <v>20000</v>
      </c>
      <c r="N1528" t="n">
        <v>91</v>
      </c>
      <c r="O1528" t="n">
        <v>0.91</v>
      </c>
      <c r="P1528" t="n">
        <v>0</v>
      </c>
      <c r="Q1528" t="n">
        <v>0.02</v>
      </c>
      <c r="R1528" t="n">
        <v>1</v>
      </c>
      <c r="S1528" t="n">
        <v>400</v>
      </c>
      <c r="T1528" t="n">
        <v>11</v>
      </c>
      <c r="U1528" t="n">
        <v>12</v>
      </c>
      <c r="V1528" t="n">
        <v>30</v>
      </c>
      <c r="W1528" t="n">
        <v>1</v>
      </c>
      <c r="X1528" t="n">
        <v>100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10018</v>
      </c>
      <c r="AG1528" t="n">
        <v>78</v>
      </c>
      <c r="AH1528" t="inlineStr">
        <is>
          <t>PT. GLORIENTA P.H - PPN (PDG)</t>
        </is>
      </c>
      <c r="AI1528" t="n">
        <v>70</v>
      </c>
      <c r="AJ1528" t="inlineStr">
        <is>
          <t>FANBO</t>
        </is>
      </c>
      <c r="AK1528" t="n">
        <v>21</v>
      </c>
      <c r="AL1528" t="inlineStr">
        <is>
          <t>Miss Glam Damar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FANBO</t>
        </is>
      </c>
      <c r="B1529" s="2">
        <f>"8993102704322"</f>
        <v/>
      </c>
      <c r="C1529" t="inlineStr">
        <is>
          <t>FANBO Wonder Skin Suncreen +Serum SPF50 30gr</t>
        </is>
      </c>
      <c r="D1529" t="inlineStr">
        <is>
          <t>Miss Glam Damar</t>
        </is>
      </c>
      <c r="E1529" t="n">
        <v>0</v>
      </c>
      <c r="F1529" t="n">
        <v>0.1092</v>
      </c>
      <c r="G1529" t="n">
        <v>0.91</v>
      </c>
      <c r="H1529" t="n">
        <v>3</v>
      </c>
      <c r="I1529" t="n">
        <v>11</v>
      </c>
      <c r="J1529" t="n">
        <v>3</v>
      </c>
      <c r="K1529" t="n">
        <v>0</v>
      </c>
      <c r="L1529" t="n">
        <v>42389</v>
      </c>
      <c r="M1529" t="n">
        <v>52500</v>
      </c>
      <c r="N1529" t="n">
        <v>91</v>
      </c>
      <c r="O1529" t="n">
        <v>0.91</v>
      </c>
      <c r="P1529" t="n">
        <v>1</v>
      </c>
      <c r="Q1529" t="n">
        <v>0.04</v>
      </c>
      <c r="R1529" t="n">
        <v>1</v>
      </c>
      <c r="S1529" t="n">
        <v>5733</v>
      </c>
      <c r="T1529" t="n">
        <v>10</v>
      </c>
      <c r="U1529" t="n">
        <v>11</v>
      </c>
      <c r="V1529" t="n">
        <v>30</v>
      </c>
      <c r="W1529" t="n">
        <v>4</v>
      </c>
      <c r="X1529" t="n">
        <v>0</v>
      </c>
      <c r="Y1529" t="n">
        <v>1</v>
      </c>
      <c r="Z1529" t="n">
        <v>4</v>
      </c>
      <c r="AA1529" t="n">
        <v>2</v>
      </c>
      <c r="AB1529" t="n">
        <v>2</v>
      </c>
      <c r="AC1529" t="n">
        <v>3</v>
      </c>
      <c r="AD1529" t="n">
        <v>84778</v>
      </c>
      <c r="AE1529" t="n">
        <v>127167</v>
      </c>
      <c r="AF1529" t="n">
        <v>10018</v>
      </c>
      <c r="AG1529" t="n">
        <v>78</v>
      </c>
      <c r="AH1529" t="inlineStr">
        <is>
          <t>PT. GLORIENTA P.H - PPN (PDG)</t>
        </is>
      </c>
      <c r="AI1529" t="n">
        <v>70</v>
      </c>
      <c r="AJ1529" t="inlineStr">
        <is>
          <t>FANBO</t>
        </is>
      </c>
      <c r="AK1529" t="n">
        <v>21</v>
      </c>
      <c r="AL1529" t="inlineStr">
        <is>
          <t>Miss Glam Damar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FAV BEAUTY</t>
        </is>
      </c>
      <c r="B1530" s="2">
        <f>"10500637603"</f>
        <v/>
      </c>
      <c r="C1530" t="inlineStr">
        <is>
          <t>FAV BEAUTY Yogurt Acne Care Peel Off Mask Cica + Tea Tree 100gr</t>
        </is>
      </c>
      <c r="D1530" t="inlineStr">
        <is>
          <t>Miss Glam Damar</t>
        </is>
      </c>
      <c r="E1530" t="n">
        <v>14</v>
      </c>
      <c r="F1530" t="n">
        <v>0.5733</v>
      </c>
      <c r="G1530" t="n">
        <v>3.64</v>
      </c>
      <c r="H1530" t="n">
        <v>3</v>
      </c>
      <c r="I1530" t="n">
        <v>11</v>
      </c>
      <c r="J1530" t="n">
        <v>1</v>
      </c>
      <c r="K1530" t="n">
        <v>0</v>
      </c>
      <c r="L1530" t="n">
        <v>33660</v>
      </c>
      <c r="M1530" t="n">
        <v>45000</v>
      </c>
      <c r="N1530" t="n">
        <v>91</v>
      </c>
      <c r="O1530" t="n">
        <v>0.91</v>
      </c>
      <c r="P1530" t="n">
        <v>1</v>
      </c>
      <c r="Q1530" t="n">
        <v>0.39</v>
      </c>
      <c r="R1530" t="n">
        <v>3</v>
      </c>
      <c r="S1530" t="n">
        <v>25798.5</v>
      </c>
      <c r="T1530" t="n">
        <v>39</v>
      </c>
      <c r="U1530" t="n">
        <v>41</v>
      </c>
      <c r="V1530" t="n">
        <v>30</v>
      </c>
      <c r="W1530" t="n">
        <v>18</v>
      </c>
      <c r="X1530" t="n">
        <v>24.42002442002442</v>
      </c>
      <c r="Y1530" t="n">
        <v>1</v>
      </c>
      <c r="Z1530" t="n">
        <v>4</v>
      </c>
      <c r="AA1530" t="n">
        <v>0</v>
      </c>
      <c r="AB1530" t="n">
        <v>4</v>
      </c>
      <c r="AC1530" t="n">
        <v>4</v>
      </c>
      <c r="AD1530" t="n">
        <v>0</v>
      </c>
      <c r="AE1530" t="n">
        <v>134640</v>
      </c>
      <c r="AF1530" t="n">
        <v>12824</v>
      </c>
      <c r="AG1530" t="n">
        <v>2122</v>
      </c>
      <c r="AH1530" t="inlineStr">
        <is>
          <t>PT. SINAR PADANG LESTARI - PPN (PDG)</t>
        </is>
      </c>
      <c r="AI1530" t="n">
        <v>2261</v>
      </c>
      <c r="AJ1530" t="inlineStr">
        <is>
          <t>FAV BEAUTY</t>
        </is>
      </c>
      <c r="AK1530" t="n">
        <v>21</v>
      </c>
      <c r="AL1530" t="inlineStr">
        <is>
          <t>Miss Glam Damar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FAV BEAUTY</t>
        </is>
      </c>
      <c r="B1531" s="2">
        <f>"10500637314"</f>
        <v/>
      </c>
      <c r="C1531" t="inlineStr">
        <is>
          <t>FAV BEAUTY Yogurt Brightening Peel Off Mask Alpha Arbutin 100gr</t>
        </is>
      </c>
      <c r="D1531" t="inlineStr">
        <is>
          <t>Miss Glam Damar</t>
        </is>
      </c>
      <c r="E1531" t="n">
        <v>14</v>
      </c>
      <c r="F1531" t="n">
        <v>2.6663</v>
      </c>
      <c r="G1531" t="n">
        <v>10.92</v>
      </c>
      <c r="H1531" t="n">
        <v>3</v>
      </c>
      <c r="I1531" t="n">
        <v>11</v>
      </c>
      <c r="J1531" t="n">
        <v>1</v>
      </c>
      <c r="K1531" t="n">
        <v>0</v>
      </c>
      <c r="L1531" t="n">
        <v>33660</v>
      </c>
      <c r="M1531" t="n">
        <v>42500</v>
      </c>
      <c r="N1531" t="n">
        <v>91</v>
      </c>
      <c r="O1531" t="n">
        <v>0.91</v>
      </c>
      <c r="P1531" t="n">
        <v>1</v>
      </c>
      <c r="Q1531" t="n">
        <v>2.27</v>
      </c>
      <c r="R1531" t="n">
        <v>6</v>
      </c>
      <c r="S1531" t="n">
        <v>113317.75</v>
      </c>
      <c r="T1531" t="n">
        <v>113</v>
      </c>
      <c r="U1531" t="n">
        <v>121</v>
      </c>
      <c r="V1531" t="n">
        <v>30</v>
      </c>
      <c r="W1531" t="n">
        <v>80</v>
      </c>
      <c r="X1531" t="n">
        <v>5.250721974271462</v>
      </c>
      <c r="Y1531" t="n">
        <v>1</v>
      </c>
      <c r="Z1531" t="n">
        <v>66</v>
      </c>
      <c r="AA1531" t="n">
        <v>16</v>
      </c>
      <c r="AB1531" t="n">
        <v>50</v>
      </c>
      <c r="AC1531" t="n">
        <v>50</v>
      </c>
      <c r="AD1531" t="n">
        <v>538560</v>
      </c>
      <c r="AE1531" t="n">
        <v>1683000</v>
      </c>
      <c r="AF1531" t="n">
        <v>12824</v>
      </c>
      <c r="AG1531" t="n">
        <v>2122</v>
      </c>
      <c r="AH1531" t="inlineStr">
        <is>
          <t>PT. SINAR PADANG LESTARI - PPN (PDG)</t>
        </is>
      </c>
      <c r="AI1531" t="n">
        <v>2261</v>
      </c>
      <c r="AJ1531" t="inlineStr">
        <is>
          <t>FAV BEAUTY</t>
        </is>
      </c>
      <c r="AK1531" t="n">
        <v>21</v>
      </c>
      <c r="AL1531" t="inlineStr">
        <is>
          <t>Miss Glam Damar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FAV BEAUTY</t>
        </is>
      </c>
      <c r="B1532" s="2">
        <f>"10500637508"</f>
        <v/>
      </c>
      <c r="C1532" t="inlineStr">
        <is>
          <t>FAV BEAUTY Yogurt Firming Peel Off Mask 24K Gold + Retinol 100gr</t>
        </is>
      </c>
      <c r="D1532" t="inlineStr">
        <is>
          <t>Miss Glam Damar</t>
        </is>
      </c>
      <c r="E1532" t="n">
        <v>12</v>
      </c>
      <c r="F1532" t="n">
        <v>0.2639</v>
      </c>
      <c r="G1532" t="n">
        <v>1.82</v>
      </c>
      <c r="H1532" t="n">
        <v>3</v>
      </c>
      <c r="I1532" t="n">
        <v>11</v>
      </c>
      <c r="J1532" t="n">
        <v>1</v>
      </c>
      <c r="K1532" t="n">
        <v>0</v>
      </c>
      <c r="L1532" t="n">
        <v>33660</v>
      </c>
      <c r="M1532" t="n">
        <v>45000</v>
      </c>
      <c r="N1532" t="n">
        <v>91</v>
      </c>
      <c r="O1532" t="n">
        <v>0.91</v>
      </c>
      <c r="P1532" t="n">
        <v>1</v>
      </c>
      <c r="Q1532" t="n">
        <v>0.19</v>
      </c>
      <c r="R1532" t="n">
        <v>5</v>
      </c>
      <c r="S1532" t="n">
        <v>11875.5</v>
      </c>
      <c r="T1532" t="n">
        <v>20</v>
      </c>
      <c r="U1532" t="n">
        <v>21</v>
      </c>
      <c r="V1532" t="n">
        <v>30</v>
      </c>
      <c r="W1532" t="n">
        <v>8</v>
      </c>
      <c r="X1532" t="n">
        <v>45.47176960970065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12824</v>
      </c>
      <c r="AG1532" t="n">
        <v>2122</v>
      </c>
      <c r="AH1532" t="inlineStr">
        <is>
          <t>PT. SINAR PADANG LESTARI - PPN (PDG)</t>
        </is>
      </c>
      <c r="AI1532" t="n">
        <v>2261</v>
      </c>
      <c r="AJ1532" t="inlineStr">
        <is>
          <t>FAV BEAUTY</t>
        </is>
      </c>
      <c r="AK1532" t="n">
        <v>21</v>
      </c>
      <c r="AL1532" t="inlineStr">
        <is>
          <t>Miss Glam Damar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FAV BEAUTY</t>
        </is>
      </c>
      <c r="B1533" s="2">
        <f>"10500637413"</f>
        <v/>
      </c>
      <c r="C1533" t="inlineStr">
        <is>
          <t>FAV BEAUTY Yogurt Skin Barrier Peel Off Mask Collagen + 7x Ceramide 100gr</t>
        </is>
      </c>
      <c r="D1533" t="inlineStr">
        <is>
          <t>Miss Glam Damar</t>
        </is>
      </c>
      <c r="E1533" t="n">
        <v>12</v>
      </c>
      <c r="F1533" t="n">
        <v>0.8463000000000001</v>
      </c>
      <c r="G1533" t="n">
        <v>5.46</v>
      </c>
      <c r="H1533" t="n">
        <v>3</v>
      </c>
      <c r="I1533" t="n">
        <v>11</v>
      </c>
      <c r="J1533" t="n">
        <v>1</v>
      </c>
      <c r="K1533" t="n">
        <v>0</v>
      </c>
      <c r="L1533" t="n">
        <v>33660</v>
      </c>
      <c r="M1533" t="n">
        <v>45000</v>
      </c>
      <c r="N1533" t="n">
        <v>91</v>
      </c>
      <c r="O1533" t="n">
        <v>0.91</v>
      </c>
      <c r="P1533" t="n">
        <v>1</v>
      </c>
      <c r="Q1533" t="n">
        <v>0.8</v>
      </c>
      <c r="R1533" t="n">
        <v>6</v>
      </c>
      <c r="S1533" t="n">
        <v>38083.5</v>
      </c>
      <c r="T1533" t="n">
        <v>58</v>
      </c>
      <c r="U1533" t="n">
        <v>61</v>
      </c>
      <c r="V1533" t="n">
        <v>30</v>
      </c>
      <c r="W1533" t="n">
        <v>26</v>
      </c>
      <c r="X1533" t="n">
        <v>14.1793690180787</v>
      </c>
      <c r="Y1533" t="n">
        <v>1</v>
      </c>
      <c r="Z1533" t="n">
        <v>14</v>
      </c>
      <c r="AA1533" t="n">
        <v>0</v>
      </c>
      <c r="AB1533" t="n">
        <v>14</v>
      </c>
      <c r="AC1533" t="n">
        <v>14</v>
      </c>
      <c r="AD1533" t="n">
        <v>0</v>
      </c>
      <c r="AE1533" t="n">
        <v>471240</v>
      </c>
      <c r="AF1533" t="n">
        <v>12824</v>
      </c>
      <c r="AG1533" t="n">
        <v>2122</v>
      </c>
      <c r="AH1533" t="inlineStr">
        <is>
          <t>PT. SINAR PADANG LESTARI - PPN (PDG)</t>
        </is>
      </c>
      <c r="AI1533" t="n">
        <v>2261</v>
      </c>
      <c r="AJ1533" t="inlineStr">
        <is>
          <t>FAV BEAUTY</t>
        </is>
      </c>
      <c r="AK1533" t="n">
        <v>21</v>
      </c>
      <c r="AL1533" t="inlineStr">
        <is>
          <t>Miss Glam Damar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FINALLY FOUND YOU</t>
        </is>
      </c>
      <c r="B1534" s="2">
        <f>"10200156036"</f>
        <v/>
      </c>
      <c r="C1534" t="inlineStr">
        <is>
          <t>FINALLY FOUND YOU  Hyd-Rice-Ing &amp; Brightening Essence Toner 100ml</t>
        </is>
      </c>
      <c r="D1534" t="inlineStr">
        <is>
          <t>Miss Glam Damar</t>
        </is>
      </c>
      <c r="E1534" t="n">
        <v>2</v>
      </c>
      <c r="F1534" t="n">
        <v>0.5277999999999999</v>
      </c>
      <c r="G1534" t="n">
        <v>1.82</v>
      </c>
      <c r="H1534" t="n">
        <v>4</v>
      </c>
      <c r="I1534" t="n">
        <v>21</v>
      </c>
      <c r="J1534" t="n">
        <v>3</v>
      </c>
      <c r="K1534" t="n">
        <v>12</v>
      </c>
      <c r="L1534" t="n">
        <v>111200</v>
      </c>
      <c r="M1534" t="n">
        <v>159000</v>
      </c>
      <c r="N1534" t="n">
        <v>91</v>
      </c>
      <c r="O1534" t="n">
        <v>0.91</v>
      </c>
      <c r="P1534" t="n">
        <v>1</v>
      </c>
      <c r="Q1534" t="n">
        <v>0.44</v>
      </c>
      <c r="R1534" t="n">
        <v>3</v>
      </c>
      <c r="S1534" t="n">
        <v>83920.19999999998</v>
      </c>
      <c r="T1534" t="n">
        <v>37</v>
      </c>
      <c r="U1534" t="n">
        <v>40</v>
      </c>
      <c r="V1534" t="n">
        <v>30</v>
      </c>
      <c r="W1534" t="n">
        <v>16</v>
      </c>
      <c r="X1534" t="n">
        <v>3.789314134141721</v>
      </c>
      <c r="Y1534" t="n">
        <v>1</v>
      </c>
      <c r="Z1534" t="n">
        <v>2</v>
      </c>
      <c r="AA1534" t="n">
        <v>9</v>
      </c>
      <c r="AB1534" t="n">
        <v>0</v>
      </c>
      <c r="AC1534" t="n">
        <v>0</v>
      </c>
      <c r="AD1534" t="n">
        <v>1000800</v>
      </c>
      <c r="AE1534" t="n">
        <v>0</v>
      </c>
      <c r="AF1534" t="n">
        <v>4890</v>
      </c>
      <c r="AG1534" t="n">
        <v>1</v>
      </c>
      <c r="AH1534" t="inlineStr">
        <is>
          <t>PT. BERSAMA DISTRIVERSA INDONESIA (DC CIPUTAT)</t>
        </is>
      </c>
      <c r="AI1534" t="n">
        <v>1707</v>
      </c>
      <c r="AJ1534" t="inlineStr">
        <is>
          <t>FINALLY FOUND YOU</t>
        </is>
      </c>
      <c r="AK1534" t="n">
        <v>21</v>
      </c>
      <c r="AL1534" t="inlineStr">
        <is>
          <t>Miss Glam Damar</t>
        </is>
      </c>
      <c r="AM1534" t="n">
        <v>3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FINALLY FOUND YOU</t>
        </is>
      </c>
      <c r="B1535" s="2">
        <f>"102002102429"</f>
        <v/>
      </c>
      <c r="C1535" t="inlineStr">
        <is>
          <t>FINALLY FOUND YOU Berry Deep Exfoliating Serum 20ml</t>
        </is>
      </c>
      <c r="D1535" t="inlineStr">
        <is>
          <t>Miss Glam Damar</t>
        </is>
      </c>
      <c r="E1535" t="n">
        <v>16</v>
      </c>
      <c r="F1535" t="n">
        <v>0.04550000000000001</v>
      </c>
      <c r="G1535" t="n">
        <v>0.91</v>
      </c>
      <c r="H1535" t="n">
        <v>4</v>
      </c>
      <c r="I1535" t="n">
        <v>21</v>
      </c>
      <c r="J1535" t="n">
        <v>3</v>
      </c>
      <c r="K1535" t="n">
        <v>0</v>
      </c>
      <c r="L1535" t="n">
        <v>97565</v>
      </c>
      <c r="M1535" t="n">
        <v>139000</v>
      </c>
      <c r="N1535" t="n">
        <v>91</v>
      </c>
      <c r="O1535" t="n">
        <v>0.91</v>
      </c>
      <c r="P1535" t="n">
        <v>1</v>
      </c>
      <c r="Q1535" t="n">
        <v>0.08</v>
      </c>
      <c r="R1535" t="n">
        <v>1</v>
      </c>
      <c r="S1535" t="n">
        <v>6324.500000000001</v>
      </c>
      <c r="T1535" t="n">
        <v>19</v>
      </c>
      <c r="U1535" t="n">
        <v>20</v>
      </c>
      <c r="V1535" t="n">
        <v>30</v>
      </c>
      <c r="W1535" t="n">
        <v>2</v>
      </c>
      <c r="X1535" t="n">
        <v>351.6483516483516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4890</v>
      </c>
      <c r="AG1535" t="n">
        <v>1</v>
      </c>
      <c r="AH1535" t="inlineStr">
        <is>
          <t>PT. BERSAMA DISTRIVERSA INDONESIA (DC CIPUTAT)</t>
        </is>
      </c>
      <c r="AI1535" t="n">
        <v>1707</v>
      </c>
      <c r="AJ1535" t="inlineStr">
        <is>
          <t>FINALLY FOUND YOU</t>
        </is>
      </c>
      <c r="AK1535" t="n">
        <v>21</v>
      </c>
      <c r="AL1535" t="inlineStr">
        <is>
          <t>Miss Glam Damar</t>
        </is>
      </c>
      <c r="AM1535" t="n">
        <v>3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FINALLY FOUND YOU</t>
        </is>
      </c>
      <c r="B1536" s="2">
        <f>"10700513238"</f>
        <v/>
      </c>
      <c r="C1536" t="inlineStr">
        <is>
          <t>FINALLY FOUND YOU C+U Honey Lip Serum 5ml</t>
        </is>
      </c>
      <c r="D1536" t="inlineStr">
        <is>
          <t>Miss Glam Damar</t>
        </is>
      </c>
      <c r="E1536" t="n">
        <v>8</v>
      </c>
      <c r="F1536" t="n">
        <v>0.09100000000000001</v>
      </c>
      <c r="G1536" t="n">
        <v>0.91</v>
      </c>
      <c r="H1536" t="n">
        <v>4</v>
      </c>
      <c r="I1536" t="n">
        <v>21</v>
      </c>
      <c r="J1536" t="n">
        <v>3</v>
      </c>
      <c r="K1536" t="n">
        <v>0</v>
      </c>
      <c r="L1536" t="n">
        <v>69238</v>
      </c>
      <c r="M1536" t="n">
        <v>99000</v>
      </c>
      <c r="N1536" t="n">
        <v>91</v>
      </c>
      <c r="O1536" t="n">
        <v>0.91</v>
      </c>
      <c r="P1536" t="n">
        <v>1</v>
      </c>
      <c r="Q1536" t="n">
        <v>0.32</v>
      </c>
      <c r="R1536" t="n">
        <v>3</v>
      </c>
      <c r="S1536" t="n">
        <v>9009.000000000002</v>
      </c>
      <c r="T1536" t="n">
        <v>19</v>
      </c>
      <c r="U1536" t="n">
        <v>20</v>
      </c>
      <c r="V1536" t="n">
        <v>30</v>
      </c>
      <c r="W1536" t="n">
        <v>3</v>
      </c>
      <c r="X1536" t="n">
        <v>87.9120879120879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4890</v>
      </c>
      <c r="AG1536" t="n">
        <v>1</v>
      </c>
      <c r="AH1536" t="inlineStr">
        <is>
          <t>PT. BERSAMA DISTRIVERSA INDONESIA (DC CIPUTAT)</t>
        </is>
      </c>
      <c r="AI1536" t="n">
        <v>1707</v>
      </c>
      <c r="AJ1536" t="inlineStr">
        <is>
          <t>FINALLY FOUND YOU</t>
        </is>
      </c>
      <c r="AK1536" t="n">
        <v>21</v>
      </c>
      <c r="AL1536" t="inlineStr">
        <is>
          <t>Miss Glam Damar</t>
        </is>
      </c>
      <c r="AM1536" t="n">
        <v>3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FINALLY FOUND YOU</t>
        </is>
      </c>
      <c r="B1537" s="2">
        <f>"10300319148"</f>
        <v/>
      </c>
      <c r="C1537" t="inlineStr">
        <is>
          <t>FINALLY FOUND YOU Calm-Dula Blemish Care Hocl Essence Mist 100ml</t>
        </is>
      </c>
      <c r="D1537" t="inlineStr">
        <is>
          <t>Miss Glam Damar</t>
        </is>
      </c>
      <c r="E1537" t="n">
        <v>21</v>
      </c>
      <c r="F1537" t="n">
        <v>0.0182</v>
      </c>
      <c r="G1537" t="n">
        <v>0</v>
      </c>
      <c r="H1537" t="n">
        <v>4</v>
      </c>
      <c r="I1537" t="n">
        <v>21</v>
      </c>
      <c r="J1537" t="n">
        <v>1</v>
      </c>
      <c r="K1537" t="n">
        <v>0</v>
      </c>
      <c r="L1537" t="n">
        <v>104206</v>
      </c>
      <c r="M1537" t="n">
        <v>149000</v>
      </c>
      <c r="N1537" t="n">
        <v>91</v>
      </c>
      <c r="O1537" t="n">
        <v>0.91</v>
      </c>
      <c r="P1537" t="n">
        <v>1</v>
      </c>
      <c r="Q1537" t="n">
        <v>0.05</v>
      </c>
      <c r="R1537" t="n">
        <v>1</v>
      </c>
      <c r="S1537" t="n">
        <v>2711.8</v>
      </c>
      <c r="T1537" t="n">
        <v>0</v>
      </c>
      <c r="U1537" t="n">
        <v>1</v>
      </c>
      <c r="V1537" t="n">
        <v>30</v>
      </c>
      <c r="W1537" t="n">
        <v>1</v>
      </c>
      <c r="X1537" t="n">
        <v>1153.846153846154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4890</v>
      </c>
      <c r="AG1537" t="n">
        <v>1</v>
      </c>
      <c r="AH1537" t="inlineStr">
        <is>
          <t>PT. BERSAMA DISTRIVERSA INDONESIA (DC CIPUTAT)</t>
        </is>
      </c>
      <c r="AI1537" t="n">
        <v>1707</v>
      </c>
      <c r="AJ1537" t="inlineStr">
        <is>
          <t>FINALLY FOUND YOU</t>
        </is>
      </c>
      <c r="AK1537" t="n">
        <v>21</v>
      </c>
      <c r="AL1537" t="inlineStr">
        <is>
          <t>Miss Glam Damar</t>
        </is>
      </c>
      <c r="AM1537" t="n">
        <v>3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FINALLY FOUND YOU</t>
        </is>
      </c>
      <c r="B1538" s="2">
        <f>"10100725314"</f>
        <v/>
      </c>
      <c r="C1538" t="inlineStr">
        <is>
          <t>FINALLY FOUND YOU Calm-Dula Blemish Care Hocl Micellar Water 100ml</t>
        </is>
      </c>
      <c r="D1538" t="inlineStr">
        <is>
          <t>Miss Glam Damar</t>
        </is>
      </c>
      <c r="E1538" t="n">
        <v>22</v>
      </c>
      <c r="F1538" t="n">
        <v>0.0273</v>
      </c>
      <c r="G1538" t="n">
        <v>0.91</v>
      </c>
      <c r="H1538" t="n">
        <v>4</v>
      </c>
      <c r="I1538" t="n">
        <v>21</v>
      </c>
      <c r="J1538" t="n">
        <v>1</v>
      </c>
      <c r="K1538" t="n">
        <v>0</v>
      </c>
      <c r="L1538" t="n">
        <v>62244</v>
      </c>
      <c r="M1538" t="n">
        <v>89000</v>
      </c>
      <c r="N1538" t="n">
        <v>91</v>
      </c>
      <c r="O1538" t="n">
        <v>0.91</v>
      </c>
      <c r="P1538" t="n">
        <v>1</v>
      </c>
      <c r="Q1538" t="n">
        <v>0.03</v>
      </c>
      <c r="R1538" t="n">
        <v>1</v>
      </c>
      <c r="S1538" t="n">
        <v>2429.7</v>
      </c>
      <c r="T1538" t="n">
        <v>20</v>
      </c>
      <c r="U1538" t="n">
        <v>21</v>
      </c>
      <c r="V1538" t="n">
        <v>30</v>
      </c>
      <c r="W1538" t="n">
        <v>1</v>
      </c>
      <c r="X1538" t="n">
        <v>805.8608058608058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4890</v>
      </c>
      <c r="AG1538" t="n">
        <v>1</v>
      </c>
      <c r="AH1538" t="inlineStr">
        <is>
          <t>PT. BERSAMA DISTRIVERSA INDONESIA (DC CIPUTAT)</t>
        </is>
      </c>
      <c r="AI1538" t="n">
        <v>1707</v>
      </c>
      <c r="AJ1538" t="inlineStr">
        <is>
          <t>FINALLY FOUND YOU</t>
        </is>
      </c>
      <c r="AK1538" t="n">
        <v>21</v>
      </c>
      <c r="AL1538" t="inlineStr">
        <is>
          <t>Miss Glam Damar</t>
        </is>
      </c>
      <c r="AM1538" t="n">
        <v>3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FINALLY FOUND YOU</t>
        </is>
      </c>
      <c r="B1539" s="2">
        <f>"10100194215"</f>
        <v/>
      </c>
      <c r="C1539" t="inlineStr">
        <is>
          <t>FINALLY FOUND YOU Gentle Face Cleanser 100ml</t>
        </is>
      </c>
      <c r="D1539" t="inlineStr">
        <is>
          <t>Miss Glam Damar</t>
        </is>
      </c>
      <c r="E1539" t="n">
        <v>11</v>
      </c>
      <c r="F1539" t="n">
        <v>0.182</v>
      </c>
      <c r="G1539" t="n">
        <v>1.82</v>
      </c>
      <c r="H1539" t="n">
        <v>4</v>
      </c>
      <c r="I1539" t="n">
        <v>21</v>
      </c>
      <c r="J1539" t="n">
        <v>3</v>
      </c>
      <c r="K1539" t="n">
        <v>0</v>
      </c>
      <c r="L1539" t="n">
        <v>91437</v>
      </c>
      <c r="M1539" t="n">
        <v>128000</v>
      </c>
      <c r="N1539" t="n">
        <v>91</v>
      </c>
      <c r="O1539" t="n">
        <v>0.91</v>
      </c>
      <c r="P1539" t="n">
        <v>1</v>
      </c>
      <c r="Q1539" t="n">
        <v>0.29</v>
      </c>
      <c r="R1539" t="n">
        <v>2</v>
      </c>
      <c r="S1539" t="n">
        <v>23296</v>
      </c>
      <c r="T1539" t="n">
        <v>38</v>
      </c>
      <c r="U1539" t="n">
        <v>39</v>
      </c>
      <c r="V1539" t="n">
        <v>30</v>
      </c>
      <c r="W1539" t="n">
        <v>6</v>
      </c>
      <c r="X1539" t="n">
        <v>60.43956043956043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4890</v>
      </c>
      <c r="AG1539" t="n">
        <v>1</v>
      </c>
      <c r="AH1539" t="inlineStr">
        <is>
          <t>PT. BERSAMA DISTRIVERSA INDONESIA (DC CIPUTAT)</t>
        </is>
      </c>
      <c r="AI1539" t="n">
        <v>1707</v>
      </c>
      <c r="AJ1539" t="inlineStr">
        <is>
          <t>FINALLY FOUND YOU</t>
        </is>
      </c>
      <c r="AK1539" t="n">
        <v>21</v>
      </c>
      <c r="AL1539" t="inlineStr">
        <is>
          <t>Miss Glam Damar</t>
        </is>
      </c>
      <c r="AM1539" t="n">
        <v>3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FINALLY FOUND YOU</t>
        </is>
      </c>
      <c r="B1540" s="2">
        <f>"10800504735"</f>
        <v/>
      </c>
      <c r="C1540" t="inlineStr">
        <is>
          <t>FINALLY FOUND YOU Oat Standing Retinal Eye &amp; Face Serum 20ml</t>
        </is>
      </c>
      <c r="D1540" t="inlineStr">
        <is>
          <t>Miss Glam Damar</t>
        </is>
      </c>
      <c r="E1540" t="n">
        <v>15</v>
      </c>
      <c r="F1540" t="n">
        <v>0.09100000000000001</v>
      </c>
      <c r="G1540" t="n">
        <v>1.82</v>
      </c>
      <c r="H1540" t="n">
        <v>4</v>
      </c>
      <c r="I1540" t="n">
        <v>21</v>
      </c>
      <c r="J1540" t="n">
        <v>3</v>
      </c>
      <c r="K1540" t="n">
        <v>0</v>
      </c>
      <c r="L1540" t="n">
        <v>111200</v>
      </c>
      <c r="M1540" t="n">
        <v>149000</v>
      </c>
      <c r="N1540" t="n">
        <v>91</v>
      </c>
      <c r="O1540" t="n">
        <v>0.91</v>
      </c>
      <c r="P1540" t="n">
        <v>1</v>
      </c>
      <c r="Q1540" t="n">
        <v>0.17</v>
      </c>
      <c r="R1540" t="n">
        <v>2</v>
      </c>
      <c r="S1540" t="n">
        <v>13559</v>
      </c>
      <c r="T1540" t="n">
        <v>38</v>
      </c>
      <c r="U1540" t="n">
        <v>39</v>
      </c>
      <c r="V1540" t="n">
        <v>30</v>
      </c>
      <c r="W1540" t="n">
        <v>3</v>
      </c>
      <c r="X1540" t="n">
        <v>164.8351648351648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4890</v>
      </c>
      <c r="AG1540" t="n">
        <v>1</v>
      </c>
      <c r="AH1540" t="inlineStr">
        <is>
          <t>PT. BERSAMA DISTRIVERSA INDONESIA (DC CIPUTAT)</t>
        </is>
      </c>
      <c r="AI1540" t="n">
        <v>1707</v>
      </c>
      <c r="AJ1540" t="inlineStr">
        <is>
          <t>FINALLY FOUND YOU</t>
        </is>
      </c>
      <c r="AK1540" t="n">
        <v>21</v>
      </c>
      <c r="AL1540" t="inlineStr">
        <is>
          <t>Miss Glam Damar</t>
        </is>
      </c>
      <c r="AM1540" t="n">
        <v>3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FINALLY FOUND YOU</t>
        </is>
      </c>
      <c r="B1541" s="2">
        <f>"8997219895256"</f>
        <v/>
      </c>
      <c r="C1541" t="inlineStr">
        <is>
          <t>FINALLY FOUND YOU Oatstanding BHA+LHA Acne Serum 20ml</t>
        </is>
      </c>
      <c r="D1541" t="inlineStr">
        <is>
          <t>Miss Glam Damar</t>
        </is>
      </c>
      <c r="E1541" t="n">
        <v>16</v>
      </c>
      <c r="F1541" t="n">
        <v>0.1092</v>
      </c>
      <c r="G1541" t="n">
        <v>0.91</v>
      </c>
      <c r="H1541" t="n">
        <v>4</v>
      </c>
      <c r="I1541" t="n">
        <v>21</v>
      </c>
      <c r="J1541" t="n">
        <v>3</v>
      </c>
      <c r="K1541" t="n">
        <v>0</v>
      </c>
      <c r="L1541" t="n">
        <v>97903</v>
      </c>
      <c r="M1541" t="n">
        <v>139000</v>
      </c>
      <c r="N1541" t="n">
        <v>91</v>
      </c>
      <c r="O1541" t="n">
        <v>0.91</v>
      </c>
      <c r="P1541" t="n">
        <v>1</v>
      </c>
      <c r="Q1541" t="n">
        <v>0.12</v>
      </c>
      <c r="R1541" t="n">
        <v>2</v>
      </c>
      <c r="S1541" t="n">
        <v>15178.8</v>
      </c>
      <c r="T1541" t="n">
        <v>19</v>
      </c>
      <c r="U1541" t="n">
        <v>20</v>
      </c>
      <c r="V1541" t="n">
        <v>30</v>
      </c>
      <c r="W1541" t="n">
        <v>4</v>
      </c>
      <c r="X1541" t="n">
        <v>146.5201465201465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4890</v>
      </c>
      <c r="AG1541" t="n">
        <v>1</v>
      </c>
      <c r="AH1541" t="inlineStr">
        <is>
          <t>PT. BERSAMA DISTRIVERSA INDONESIA (DC CIPUTAT)</t>
        </is>
      </c>
      <c r="AI1541" t="n">
        <v>1707</v>
      </c>
      <c r="AJ1541" t="inlineStr">
        <is>
          <t>FINALLY FOUND YOU</t>
        </is>
      </c>
      <c r="AK1541" t="n">
        <v>21</v>
      </c>
      <c r="AL1541" t="inlineStr">
        <is>
          <t>Miss Glam Damar</t>
        </is>
      </c>
      <c r="AM1541" t="n">
        <v>3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FINALLY FOUND YOU</t>
        </is>
      </c>
      <c r="B1542" s="2">
        <f>"10300319016"</f>
        <v/>
      </c>
      <c r="C1542" t="inlineStr">
        <is>
          <t>FINALLY FOUND YOU Ocean Blue Pea Dual-Phase Essence Mist 100ml</t>
        </is>
      </c>
      <c r="D1542" t="inlineStr">
        <is>
          <t>Miss Glam Damar</t>
        </is>
      </c>
      <c r="E1542" t="n">
        <v>21</v>
      </c>
      <c r="F1542" t="n">
        <v>0.0273</v>
      </c>
      <c r="G1542" t="n">
        <v>0.91</v>
      </c>
      <c r="H1542" t="n">
        <v>4</v>
      </c>
      <c r="I1542" t="n">
        <v>21</v>
      </c>
      <c r="J1542" t="n">
        <v>1</v>
      </c>
      <c r="K1542" t="n">
        <v>0</v>
      </c>
      <c r="L1542" t="n">
        <v>104206</v>
      </c>
      <c r="M1542" t="n">
        <v>149000</v>
      </c>
      <c r="N1542" t="n">
        <v>91</v>
      </c>
      <c r="O1542" t="n">
        <v>0.91</v>
      </c>
      <c r="P1542" t="n">
        <v>1</v>
      </c>
      <c r="Q1542" t="n">
        <v>0.05</v>
      </c>
      <c r="R1542" t="n">
        <v>1</v>
      </c>
      <c r="S1542" t="n">
        <v>4067.7</v>
      </c>
      <c r="T1542" t="n">
        <v>20</v>
      </c>
      <c r="U1542" t="n">
        <v>21</v>
      </c>
      <c r="V1542" t="n">
        <v>30</v>
      </c>
      <c r="W1542" t="n">
        <v>1</v>
      </c>
      <c r="X1542" t="n">
        <v>769.2307692307692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4890</v>
      </c>
      <c r="AG1542" t="n">
        <v>1</v>
      </c>
      <c r="AH1542" t="inlineStr">
        <is>
          <t>PT. BERSAMA DISTRIVERSA INDONESIA (DC CIPUTAT)</t>
        </is>
      </c>
      <c r="AI1542" t="n">
        <v>1707</v>
      </c>
      <c r="AJ1542" t="inlineStr">
        <is>
          <t>FINALLY FOUND YOU</t>
        </is>
      </c>
      <c r="AK1542" t="n">
        <v>21</v>
      </c>
      <c r="AL1542" t="inlineStr">
        <is>
          <t>Miss Glam Damar</t>
        </is>
      </c>
      <c r="AM1542" t="n">
        <v>3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FINALLY FOUND YOU</t>
        </is>
      </c>
      <c r="B1543" s="2">
        <f>"10300318842"</f>
        <v/>
      </c>
      <c r="C1543" t="inlineStr">
        <is>
          <t>FINALLY FOUND YOU Ocean Blue Pea Dual-Phase Micellar Water 100ml</t>
        </is>
      </c>
      <c r="D1543" t="inlineStr">
        <is>
          <t>Miss Glam Damar</t>
        </is>
      </c>
      <c r="E1543" t="n">
        <v>18</v>
      </c>
      <c r="F1543" t="n">
        <v>0.09100000000000001</v>
      </c>
      <c r="G1543" t="n">
        <v>0.91</v>
      </c>
      <c r="H1543" t="n">
        <v>4</v>
      </c>
      <c r="I1543" t="n">
        <v>21</v>
      </c>
      <c r="J1543" t="n">
        <v>1</v>
      </c>
      <c r="K1543" t="n">
        <v>0</v>
      </c>
      <c r="L1543" t="n">
        <v>62345</v>
      </c>
      <c r="M1543" t="n">
        <v>78000</v>
      </c>
      <c r="N1543" t="n">
        <v>91</v>
      </c>
      <c r="O1543" t="n">
        <v>0.91</v>
      </c>
      <c r="P1543" t="n">
        <v>1</v>
      </c>
      <c r="Q1543" t="n">
        <v>0.12</v>
      </c>
      <c r="R1543" t="n">
        <v>1</v>
      </c>
      <c r="S1543" t="n">
        <v>7098.000000000001</v>
      </c>
      <c r="T1543" t="n">
        <v>19</v>
      </c>
      <c r="U1543" t="n">
        <v>20</v>
      </c>
      <c r="V1543" t="n">
        <v>30</v>
      </c>
      <c r="W1543" t="n">
        <v>3</v>
      </c>
      <c r="X1543" t="n">
        <v>197.8021978021978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4890</v>
      </c>
      <c r="AG1543" t="n">
        <v>1</v>
      </c>
      <c r="AH1543" t="inlineStr">
        <is>
          <t>PT. BERSAMA DISTRIVERSA INDONESIA (DC CIPUTAT)</t>
        </is>
      </c>
      <c r="AI1543" t="n">
        <v>1707</v>
      </c>
      <c r="AJ1543" t="inlineStr">
        <is>
          <t>FINALLY FOUND YOU</t>
        </is>
      </c>
      <c r="AK1543" t="n">
        <v>21</v>
      </c>
      <c r="AL1543" t="inlineStr">
        <is>
          <t>Miss Glam Damar</t>
        </is>
      </c>
      <c r="AM1543" t="n">
        <v>3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FINALLY FOUND YOU</t>
        </is>
      </c>
      <c r="B1544" s="2">
        <f>"10100724102"</f>
        <v/>
      </c>
      <c r="C1544" t="inlineStr">
        <is>
          <t>FINALLY FOUND YOU Ocean Blue Pea Dual-Phase Micellar Water 300ml</t>
        </is>
      </c>
      <c r="D1544" t="inlineStr">
        <is>
          <t>Miss Glam Damar</t>
        </is>
      </c>
      <c r="E1544" t="n">
        <v>16</v>
      </c>
      <c r="F1544" t="n">
        <v>0.0273</v>
      </c>
      <c r="G1544" t="n">
        <v>0.91</v>
      </c>
      <c r="H1544" t="n">
        <v>4</v>
      </c>
      <c r="I1544" t="n">
        <v>21</v>
      </c>
      <c r="J1544" t="n">
        <v>1</v>
      </c>
      <c r="K1544" t="n">
        <v>0</v>
      </c>
      <c r="L1544" t="n">
        <v>104424</v>
      </c>
      <c r="M1544" t="n">
        <v>131000</v>
      </c>
      <c r="N1544" t="n">
        <v>91</v>
      </c>
      <c r="O1544" t="n">
        <v>0.91</v>
      </c>
      <c r="P1544" t="n">
        <v>1</v>
      </c>
      <c r="Q1544" t="n">
        <v>0.05</v>
      </c>
      <c r="R1544" t="n">
        <v>2</v>
      </c>
      <c r="S1544" t="n">
        <v>3576.3</v>
      </c>
      <c r="T1544" t="n">
        <v>20</v>
      </c>
      <c r="U1544" t="n">
        <v>21</v>
      </c>
      <c r="V1544" t="n">
        <v>30</v>
      </c>
      <c r="W1544" t="n">
        <v>1</v>
      </c>
      <c r="X1544" t="n">
        <v>586.080586080586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4890</v>
      </c>
      <c r="AG1544" t="n">
        <v>1</v>
      </c>
      <c r="AH1544" t="inlineStr">
        <is>
          <t>PT. BERSAMA DISTRIVERSA INDONESIA (DC CIPUTAT)</t>
        </is>
      </c>
      <c r="AI1544" t="n">
        <v>1707</v>
      </c>
      <c r="AJ1544" t="inlineStr">
        <is>
          <t>FINALLY FOUND YOU</t>
        </is>
      </c>
      <c r="AK1544" t="n">
        <v>21</v>
      </c>
      <c r="AL1544" t="inlineStr">
        <is>
          <t>Miss Glam Damar</t>
        </is>
      </c>
      <c r="AM1544" t="n">
        <v>3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FINALLY FOUND YOU</t>
        </is>
      </c>
      <c r="B1545" s="2">
        <f>"11200148252"</f>
        <v/>
      </c>
      <c r="C1545" t="inlineStr">
        <is>
          <t>FINALLY FOUND YOU Peach + Vitamin B12 Serum 20ml</t>
        </is>
      </c>
      <c r="D1545" t="inlineStr">
        <is>
          <t>Miss Glam Damar</t>
        </is>
      </c>
      <c r="E1545" t="n">
        <v>17</v>
      </c>
      <c r="F1545" t="n">
        <v>0.06370000000000001</v>
      </c>
      <c r="G1545" t="n">
        <v>0.91</v>
      </c>
      <c r="H1545" t="n">
        <v>4</v>
      </c>
      <c r="I1545" t="n">
        <v>21</v>
      </c>
      <c r="J1545" t="n">
        <v>1</v>
      </c>
      <c r="K1545" t="n">
        <v>0</v>
      </c>
      <c r="L1545" t="n">
        <v>104619</v>
      </c>
      <c r="M1545" t="n">
        <v>149000</v>
      </c>
      <c r="N1545" t="n">
        <v>91</v>
      </c>
      <c r="O1545" t="n">
        <v>0.91</v>
      </c>
      <c r="P1545" t="n">
        <v>1</v>
      </c>
      <c r="Q1545" t="n">
        <v>0.1</v>
      </c>
      <c r="R1545" t="n">
        <v>2</v>
      </c>
      <c r="S1545" t="n">
        <v>9491.300000000001</v>
      </c>
      <c r="T1545" t="n">
        <v>19</v>
      </c>
      <c r="U1545" t="n">
        <v>20</v>
      </c>
      <c r="V1545" t="n">
        <v>30</v>
      </c>
      <c r="W1545" t="n">
        <v>2</v>
      </c>
      <c r="X1545" t="n">
        <v>266.8759811616954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4890</v>
      </c>
      <c r="AG1545" t="n">
        <v>1</v>
      </c>
      <c r="AH1545" t="inlineStr">
        <is>
          <t>PT. BERSAMA DISTRIVERSA INDONESIA (DC CIPUTAT)</t>
        </is>
      </c>
      <c r="AI1545" t="n">
        <v>1707</v>
      </c>
      <c r="AJ1545" t="inlineStr">
        <is>
          <t>FINALLY FOUND YOU</t>
        </is>
      </c>
      <c r="AK1545" t="n">
        <v>21</v>
      </c>
      <c r="AL1545" t="inlineStr">
        <is>
          <t>Miss Glam Damar</t>
        </is>
      </c>
      <c r="AM1545" t="n">
        <v>3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FINALLY FOUND YOU</t>
        </is>
      </c>
      <c r="B1546" s="2">
        <f>"10500585419"</f>
        <v/>
      </c>
      <c r="C1546" t="inlineStr">
        <is>
          <t>FINALLY FOUND YOU Rice + Mandelic + Niacinamide Brightening Powder Mask 50gr</t>
        </is>
      </c>
      <c r="D1546" t="inlineStr">
        <is>
          <t>Miss Glam Damar</t>
        </is>
      </c>
      <c r="E1546" t="n">
        <v>12</v>
      </c>
      <c r="F1546" t="n">
        <v>0.07000000000000001</v>
      </c>
      <c r="G1546" t="n">
        <v>1</v>
      </c>
      <c r="H1546" t="n">
        <v>4</v>
      </c>
      <c r="I1546" t="n">
        <v>21</v>
      </c>
      <c r="J1546" t="n">
        <v>1</v>
      </c>
      <c r="K1546" t="n">
        <v>0</v>
      </c>
      <c r="L1546" t="n">
        <v>104206</v>
      </c>
      <c r="M1546" t="n">
        <v>149000</v>
      </c>
      <c r="N1546" t="n">
        <v>91</v>
      </c>
      <c r="O1546" t="n">
        <v>0.91</v>
      </c>
      <c r="P1546" t="n">
        <v>0</v>
      </c>
      <c r="Q1546" t="n">
        <v>0.07000000000000001</v>
      </c>
      <c r="R1546" t="n">
        <v>1</v>
      </c>
      <c r="S1546" t="n">
        <v>10430</v>
      </c>
      <c r="T1546" t="n">
        <v>21</v>
      </c>
      <c r="U1546" t="n">
        <v>22</v>
      </c>
      <c r="V1546" t="n">
        <v>30</v>
      </c>
      <c r="W1546" t="n">
        <v>3</v>
      </c>
      <c r="X1546" t="n">
        <v>171.4285714285714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4890</v>
      </c>
      <c r="AG1546" t="n">
        <v>1</v>
      </c>
      <c r="AH1546" t="inlineStr">
        <is>
          <t>PT. BERSAMA DISTRIVERSA INDONESIA (DC CIPUTAT)</t>
        </is>
      </c>
      <c r="AI1546" t="n">
        <v>1707</v>
      </c>
      <c r="AJ1546" t="inlineStr">
        <is>
          <t>FINALLY FOUND YOU</t>
        </is>
      </c>
      <c r="AK1546" t="n">
        <v>21</v>
      </c>
      <c r="AL1546" t="inlineStr">
        <is>
          <t>Miss Glam Damar</t>
        </is>
      </c>
      <c r="AM1546" t="n">
        <v>3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FINALLY FOUND YOU</t>
        </is>
      </c>
      <c r="B1547" s="2">
        <f>"10500331702"</f>
        <v/>
      </c>
      <c r="C1547" t="inlineStr">
        <is>
          <t>FINALLY FOUND YOU Rice UP! Bright &amp; Smooth Peel Off Mask 50g</t>
        </is>
      </c>
      <c r="D1547" t="inlineStr">
        <is>
          <t>Miss Glam Damar</t>
        </is>
      </c>
      <c r="E1547" t="n">
        <v>7</v>
      </c>
      <c r="F1547" t="n">
        <v>0.04550000000000001</v>
      </c>
      <c r="G1547" t="n">
        <v>0.91</v>
      </c>
      <c r="H1547" t="n">
        <v>4</v>
      </c>
      <c r="I1547" t="n">
        <v>21</v>
      </c>
      <c r="J1547" t="n">
        <v>1</v>
      </c>
      <c r="K1547" t="n">
        <v>0</v>
      </c>
      <c r="L1547" t="n">
        <v>77075</v>
      </c>
      <c r="M1547" t="n">
        <v>109000</v>
      </c>
      <c r="N1547" t="n">
        <v>91</v>
      </c>
      <c r="O1547" t="n">
        <v>0.91</v>
      </c>
      <c r="P1547" t="n">
        <v>1</v>
      </c>
      <c r="Q1547" t="n">
        <v>0.22</v>
      </c>
      <c r="R1547" t="n">
        <v>2</v>
      </c>
      <c r="S1547" t="n">
        <v>4959.500000000001</v>
      </c>
      <c r="T1547" t="n">
        <v>19</v>
      </c>
      <c r="U1547" t="n">
        <v>20</v>
      </c>
      <c r="V1547" t="n">
        <v>30</v>
      </c>
      <c r="W1547" t="n">
        <v>2</v>
      </c>
      <c r="X1547" t="n">
        <v>153.8461538461538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4890</v>
      </c>
      <c r="AG1547" t="n">
        <v>1</v>
      </c>
      <c r="AH1547" t="inlineStr">
        <is>
          <t>PT. BERSAMA DISTRIVERSA INDONESIA (DC CIPUTAT)</t>
        </is>
      </c>
      <c r="AI1547" t="n">
        <v>1707</v>
      </c>
      <c r="AJ1547" t="inlineStr">
        <is>
          <t>FINALLY FOUND YOU</t>
        </is>
      </c>
      <c r="AK1547" t="n">
        <v>21</v>
      </c>
      <c r="AL1547" t="inlineStr">
        <is>
          <t>Miss Glam Damar</t>
        </is>
      </c>
      <c r="AM1547" t="n">
        <v>3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FINALLY FOUND YOU</t>
        </is>
      </c>
      <c r="B1548" s="2">
        <f>"11200152433"</f>
        <v/>
      </c>
      <c r="C1548" t="inlineStr">
        <is>
          <t>FINALLY FOUND YOU Rice+ Bright &amp; Glow Serum 20ml</t>
        </is>
      </c>
      <c r="D1548" t="inlineStr">
        <is>
          <t>Miss Glam Damar</t>
        </is>
      </c>
      <c r="E1548" t="n">
        <v>12</v>
      </c>
      <c r="F1548" t="n">
        <v>0.1274</v>
      </c>
      <c r="G1548" t="n">
        <v>1.82</v>
      </c>
      <c r="H1548" t="n">
        <v>4</v>
      </c>
      <c r="I1548" t="n">
        <v>21</v>
      </c>
      <c r="J1548" t="n">
        <v>1</v>
      </c>
      <c r="K1548" t="n">
        <v>0</v>
      </c>
      <c r="L1548" t="n">
        <v>104206</v>
      </c>
      <c r="M1548" t="n">
        <v>149000</v>
      </c>
      <c r="N1548" t="n">
        <v>91</v>
      </c>
      <c r="O1548" t="n">
        <v>0.91</v>
      </c>
      <c r="P1548" t="n">
        <v>1</v>
      </c>
      <c r="Q1548" t="n">
        <v>0.14</v>
      </c>
      <c r="R1548" t="n">
        <v>2</v>
      </c>
      <c r="S1548" t="n">
        <v>18982.6</v>
      </c>
      <c r="T1548" t="n">
        <v>38</v>
      </c>
      <c r="U1548" t="n">
        <v>39</v>
      </c>
      <c r="V1548" t="n">
        <v>30</v>
      </c>
      <c r="W1548" t="n">
        <v>4</v>
      </c>
      <c r="X1548" t="n">
        <v>94.19152276295132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4890</v>
      </c>
      <c r="AG1548" t="n">
        <v>1</v>
      </c>
      <c r="AH1548" t="inlineStr">
        <is>
          <t>PT. BERSAMA DISTRIVERSA INDONESIA (DC CIPUTAT)</t>
        </is>
      </c>
      <c r="AI1548" t="n">
        <v>1707</v>
      </c>
      <c r="AJ1548" t="inlineStr">
        <is>
          <t>FINALLY FOUND YOU</t>
        </is>
      </c>
      <c r="AK1548" t="n">
        <v>21</v>
      </c>
      <c r="AL1548" t="inlineStr">
        <is>
          <t>Miss Glam Damar</t>
        </is>
      </c>
      <c r="AM1548" t="n">
        <v>3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FINALLY FOUND YOU</t>
        </is>
      </c>
      <c r="B1549" s="2">
        <f>"10300710422"</f>
        <v/>
      </c>
      <c r="C1549" t="inlineStr">
        <is>
          <t>FINALLY FOUND YOU Soy Bright Moisturizer 30gr</t>
        </is>
      </c>
      <c r="D1549" t="inlineStr">
        <is>
          <t>Miss Glam Damar</t>
        </is>
      </c>
      <c r="E1549" t="n">
        <v>11</v>
      </c>
      <c r="F1549" t="n">
        <v>0.6916</v>
      </c>
      <c r="G1549" t="n">
        <v>2.73</v>
      </c>
      <c r="H1549" t="n">
        <v>4</v>
      </c>
      <c r="I1549" t="n">
        <v>21</v>
      </c>
      <c r="J1549" t="n">
        <v>3</v>
      </c>
      <c r="K1549" t="n">
        <v>0</v>
      </c>
      <c r="L1549" t="n">
        <v>97222</v>
      </c>
      <c r="M1549" t="n">
        <v>124000</v>
      </c>
      <c r="N1549" t="n">
        <v>91</v>
      </c>
      <c r="O1549" t="n">
        <v>0.91</v>
      </c>
      <c r="P1549" t="n">
        <v>1</v>
      </c>
      <c r="Q1549" t="n">
        <v>0.95</v>
      </c>
      <c r="R1549" t="n">
        <v>6</v>
      </c>
      <c r="S1549" t="n">
        <v>85758.39999999999</v>
      </c>
      <c r="T1549" t="n">
        <v>55</v>
      </c>
      <c r="U1549" t="n">
        <v>58</v>
      </c>
      <c r="V1549" t="n">
        <v>30</v>
      </c>
      <c r="W1549" t="n">
        <v>21</v>
      </c>
      <c r="X1549" t="n">
        <v>15.90514748409485</v>
      </c>
      <c r="Y1549" t="n">
        <v>1</v>
      </c>
      <c r="Z1549" t="n">
        <v>10</v>
      </c>
      <c r="AA1549" t="n">
        <v>4</v>
      </c>
      <c r="AB1549" t="n">
        <v>6</v>
      </c>
      <c r="AC1549" t="n">
        <v>6</v>
      </c>
      <c r="AD1549" t="n">
        <v>388888</v>
      </c>
      <c r="AE1549" t="n">
        <v>583332</v>
      </c>
      <c r="AF1549" t="n">
        <v>4890</v>
      </c>
      <c r="AG1549" t="n">
        <v>1</v>
      </c>
      <c r="AH1549" t="inlineStr">
        <is>
          <t>PT. BERSAMA DISTRIVERSA INDONESIA (DC CIPUTAT)</t>
        </is>
      </c>
      <c r="AI1549" t="n">
        <v>1707</v>
      </c>
      <c r="AJ1549" t="inlineStr">
        <is>
          <t>FINALLY FOUND YOU</t>
        </is>
      </c>
      <c r="AK1549" t="n">
        <v>21</v>
      </c>
      <c r="AL1549" t="inlineStr">
        <is>
          <t>Miss Glam Damar</t>
        </is>
      </c>
      <c r="AM1549" t="n">
        <v>3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FINALLY FOUND YOU</t>
        </is>
      </c>
      <c r="B1550" s="2">
        <f>"10300723529"</f>
        <v/>
      </c>
      <c r="C1550" t="inlineStr">
        <is>
          <t>FINALLY FOUND YOU Soy Bright Moisturizer 80gr</t>
        </is>
      </c>
      <c r="D1550" t="inlineStr">
        <is>
          <t>Miss Glam Damar</t>
        </is>
      </c>
      <c r="E1550" t="n">
        <v>16</v>
      </c>
      <c r="F1550" t="n">
        <v>0.09100000000000001</v>
      </c>
      <c r="G1550" t="n">
        <v>0.91</v>
      </c>
      <c r="H1550" t="n">
        <v>4</v>
      </c>
      <c r="I1550" t="n">
        <v>21</v>
      </c>
      <c r="J1550" t="n">
        <v>1</v>
      </c>
      <c r="K1550" t="n">
        <v>0</v>
      </c>
      <c r="L1550" t="n">
        <v>199732</v>
      </c>
      <c r="M1550" t="n">
        <v>269000</v>
      </c>
      <c r="N1550" t="n">
        <v>91</v>
      </c>
      <c r="O1550" t="n">
        <v>0.91</v>
      </c>
      <c r="P1550" t="n">
        <v>1</v>
      </c>
      <c r="Q1550" t="n">
        <v>0.2</v>
      </c>
      <c r="R1550" t="n">
        <v>3</v>
      </c>
      <c r="S1550" t="n">
        <v>24479</v>
      </c>
      <c r="T1550" t="n">
        <v>19</v>
      </c>
      <c r="U1550" t="n">
        <v>20</v>
      </c>
      <c r="V1550" t="n">
        <v>30</v>
      </c>
      <c r="W1550" t="n">
        <v>3</v>
      </c>
      <c r="X1550" t="n">
        <v>175.8241758241758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4890</v>
      </c>
      <c r="AG1550" t="n">
        <v>1</v>
      </c>
      <c r="AH1550" t="inlineStr">
        <is>
          <t>PT. BERSAMA DISTRIVERSA INDONESIA (DC CIPUTAT)</t>
        </is>
      </c>
      <c r="AI1550" t="n">
        <v>1707</v>
      </c>
      <c r="AJ1550" t="inlineStr">
        <is>
          <t>FINALLY FOUND YOU</t>
        </is>
      </c>
      <c r="AK1550" t="n">
        <v>21</v>
      </c>
      <c r="AL1550" t="inlineStr">
        <is>
          <t>Miss Glam Damar</t>
        </is>
      </c>
      <c r="AM1550" t="n">
        <v>3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FINALLY FOUND YOU</t>
        </is>
      </c>
      <c r="B1551" s="2">
        <f>"10200299319"</f>
        <v/>
      </c>
      <c r="C1551" t="inlineStr">
        <is>
          <t>FINALLY FOUND YOU Soy Clear Dark Spot Serum 20ml</t>
        </is>
      </c>
      <c r="D1551" t="inlineStr">
        <is>
          <t>Miss Glam Damar</t>
        </is>
      </c>
      <c r="E1551" t="n">
        <v>13</v>
      </c>
      <c r="F1551" t="n">
        <v>0.2275</v>
      </c>
      <c r="G1551" t="n">
        <v>2.73</v>
      </c>
      <c r="H1551" t="n">
        <v>4</v>
      </c>
      <c r="I1551" t="n">
        <v>21</v>
      </c>
      <c r="J1551" t="n">
        <v>3</v>
      </c>
      <c r="K1551" t="n">
        <v>0</v>
      </c>
      <c r="L1551" t="n">
        <v>118194</v>
      </c>
      <c r="M1551" t="n">
        <v>169000</v>
      </c>
      <c r="N1551" t="n">
        <v>91</v>
      </c>
      <c r="O1551" t="n">
        <v>0.91</v>
      </c>
      <c r="P1551" t="n">
        <v>1</v>
      </c>
      <c r="Q1551" t="n">
        <v>0.53</v>
      </c>
      <c r="R1551" t="n">
        <v>3</v>
      </c>
      <c r="S1551" t="n">
        <v>38447.5</v>
      </c>
      <c r="T1551" t="n">
        <v>57</v>
      </c>
      <c r="U1551" t="n">
        <v>58</v>
      </c>
      <c r="V1551" t="n">
        <v>30</v>
      </c>
      <c r="W1551" t="n">
        <v>7</v>
      </c>
      <c r="X1551" t="n">
        <v>57.14285714285714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4890</v>
      </c>
      <c r="AG1551" t="n">
        <v>1</v>
      </c>
      <c r="AH1551" t="inlineStr">
        <is>
          <t>PT. BERSAMA DISTRIVERSA INDONESIA (DC CIPUTAT)</t>
        </is>
      </c>
      <c r="AI1551" t="n">
        <v>1707</v>
      </c>
      <c r="AJ1551" t="inlineStr">
        <is>
          <t>FINALLY FOUND YOU</t>
        </is>
      </c>
      <c r="AK1551" t="n">
        <v>21</v>
      </c>
      <c r="AL1551" t="inlineStr">
        <is>
          <t>Miss Glam Damar</t>
        </is>
      </c>
      <c r="AM1551" t="n">
        <v>3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FINALLY FOUND YOU</t>
        </is>
      </c>
      <c r="B1552" s="2">
        <f>"10400515730"</f>
        <v/>
      </c>
      <c r="C1552" t="inlineStr">
        <is>
          <t>FINALLY FOUND YOU Sun Rice All Day Invisible UV Shield SPF 50 PA++++ 50gr</t>
        </is>
      </c>
      <c r="D1552" t="inlineStr">
        <is>
          <t>Miss Glam Damar</t>
        </is>
      </c>
      <c r="E1552" t="n">
        <v>2</v>
      </c>
      <c r="F1552" t="n">
        <v>0.182</v>
      </c>
      <c r="G1552" t="n">
        <v>1.82</v>
      </c>
      <c r="H1552" t="n">
        <v>4</v>
      </c>
      <c r="I1552" t="n">
        <v>21</v>
      </c>
      <c r="J1552" t="n">
        <v>1</v>
      </c>
      <c r="K1552" t="n">
        <v>0</v>
      </c>
      <c r="L1552" t="n">
        <v>104206</v>
      </c>
      <c r="M1552" t="n">
        <v>149000</v>
      </c>
      <c r="N1552" t="n">
        <v>91</v>
      </c>
      <c r="O1552" t="n">
        <v>0.91</v>
      </c>
      <c r="P1552" t="n">
        <v>1</v>
      </c>
      <c r="Q1552" t="n">
        <v>0.27</v>
      </c>
      <c r="R1552" t="n">
        <v>2</v>
      </c>
      <c r="S1552" t="n">
        <v>27118</v>
      </c>
      <c r="T1552" t="n">
        <v>38</v>
      </c>
      <c r="U1552" t="n">
        <v>39</v>
      </c>
      <c r="V1552" t="n">
        <v>30</v>
      </c>
      <c r="W1552" t="n">
        <v>6</v>
      </c>
      <c r="X1552" t="n">
        <v>10.98901098901099</v>
      </c>
      <c r="Y1552" t="n">
        <v>1</v>
      </c>
      <c r="Z1552" t="n">
        <v>4</v>
      </c>
      <c r="AA1552" t="n">
        <v>2</v>
      </c>
      <c r="AB1552" t="n">
        <v>2</v>
      </c>
      <c r="AC1552" t="n">
        <v>2</v>
      </c>
      <c r="AD1552" t="n">
        <v>208412</v>
      </c>
      <c r="AE1552" t="n">
        <v>208412</v>
      </c>
      <c r="AF1552" t="n">
        <v>4890</v>
      </c>
      <c r="AG1552" t="n">
        <v>1</v>
      </c>
      <c r="AH1552" t="inlineStr">
        <is>
          <t>PT. BERSAMA DISTRIVERSA INDONESIA (DC CIPUTAT)</t>
        </is>
      </c>
      <c r="AI1552" t="n">
        <v>1707</v>
      </c>
      <c r="AJ1552" t="inlineStr">
        <is>
          <t>FINALLY FOUND YOU</t>
        </is>
      </c>
      <c r="AK1552" t="n">
        <v>21</v>
      </c>
      <c r="AL1552" t="inlineStr">
        <is>
          <t>Miss Glam Damar</t>
        </is>
      </c>
      <c r="AM1552" t="n">
        <v>3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FINALLY FOUND YOU</t>
        </is>
      </c>
      <c r="B1553" s="2">
        <f>"10200163031"</f>
        <v/>
      </c>
      <c r="C1553" t="inlineStr">
        <is>
          <t>FINALLY FOUND YOU Triple Vitamin B-Arrier + Peach + Snail Mucin Intensive Soothing Essence Toner 100</t>
        </is>
      </c>
      <c r="D1553" t="inlineStr">
        <is>
          <t>Miss Glam Damar</t>
        </is>
      </c>
      <c r="E1553" t="n">
        <v>22</v>
      </c>
      <c r="F1553" t="n">
        <v>0.03</v>
      </c>
      <c r="G1553" t="n">
        <v>1</v>
      </c>
      <c r="H1553" t="n">
        <v>4</v>
      </c>
      <c r="I1553" t="n">
        <v>21</v>
      </c>
      <c r="J1553" t="n">
        <v>1</v>
      </c>
      <c r="K1553" t="n">
        <v>0</v>
      </c>
      <c r="L1553" t="n">
        <v>111200</v>
      </c>
      <c r="M1553" t="n">
        <v>159000</v>
      </c>
      <c r="N1553" t="n">
        <v>91</v>
      </c>
      <c r="O1553" t="n">
        <v>0.91</v>
      </c>
      <c r="P1553" t="n">
        <v>0</v>
      </c>
      <c r="Q1553" t="n">
        <v>0.03</v>
      </c>
      <c r="R1553" t="n">
        <v>1</v>
      </c>
      <c r="S1553" t="n">
        <v>4770</v>
      </c>
      <c r="T1553" t="n">
        <v>21</v>
      </c>
      <c r="U1553" t="n">
        <v>22</v>
      </c>
      <c r="V1553" t="n">
        <v>30</v>
      </c>
      <c r="W1553" t="n">
        <v>1</v>
      </c>
      <c r="X1553" t="n">
        <v>733.3333333333334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4890</v>
      </c>
      <c r="AG1553" t="n">
        <v>1</v>
      </c>
      <c r="AH1553" t="inlineStr">
        <is>
          <t>PT. BERSAMA DISTRIVERSA INDONESIA (DC CIPUTAT)</t>
        </is>
      </c>
      <c r="AI1553" t="n">
        <v>1707</v>
      </c>
      <c r="AJ1553" t="inlineStr">
        <is>
          <t>FINALLY FOUND YOU</t>
        </is>
      </c>
      <c r="AK1553" t="n">
        <v>21</v>
      </c>
      <c r="AL1553" t="inlineStr">
        <is>
          <t>Miss Glam Damar</t>
        </is>
      </c>
      <c r="AM1553" t="n">
        <v>3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FINALLY FOUND YOU</t>
        </is>
      </c>
      <c r="B1554" s="2">
        <f>"10300612940"</f>
        <v/>
      </c>
      <c r="C1554" t="inlineStr">
        <is>
          <t>FINALLY FOUND YOU Triple Vitamin B-Arrier Peach + Snail Mucin Moisturizer Cream 50gr</t>
        </is>
      </c>
      <c r="D1554" t="inlineStr">
        <is>
          <t>Miss Glam Damar</t>
        </is>
      </c>
      <c r="E1554" t="n">
        <v>8</v>
      </c>
      <c r="F1554" t="n">
        <v>0.0728</v>
      </c>
      <c r="G1554" t="n">
        <v>1.82</v>
      </c>
      <c r="H1554" t="n">
        <v>4</v>
      </c>
      <c r="I1554" t="n">
        <v>21</v>
      </c>
      <c r="J1554" t="n">
        <v>1</v>
      </c>
      <c r="K1554" t="n">
        <v>0</v>
      </c>
      <c r="L1554" t="n">
        <v>104349</v>
      </c>
      <c r="M1554" t="n">
        <v>149000</v>
      </c>
      <c r="N1554" t="n">
        <v>91</v>
      </c>
      <c r="O1554" t="n">
        <v>0.91</v>
      </c>
      <c r="P1554" t="n">
        <v>1</v>
      </c>
      <c r="Q1554" t="n">
        <v>0.22</v>
      </c>
      <c r="R1554" t="n">
        <v>1</v>
      </c>
      <c r="S1554" t="n">
        <v>10847.2</v>
      </c>
      <c r="T1554" t="n">
        <v>38</v>
      </c>
      <c r="U1554" t="n">
        <v>39</v>
      </c>
      <c r="V1554" t="n">
        <v>30</v>
      </c>
      <c r="W1554" t="n">
        <v>3</v>
      </c>
      <c r="X1554" t="n">
        <v>109.8901098901099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4890</v>
      </c>
      <c r="AG1554" t="n">
        <v>1</v>
      </c>
      <c r="AH1554" t="inlineStr">
        <is>
          <t>PT. BERSAMA DISTRIVERSA INDONESIA (DC CIPUTAT)</t>
        </is>
      </c>
      <c r="AI1554" t="n">
        <v>1707</v>
      </c>
      <c r="AJ1554" t="inlineStr">
        <is>
          <t>FINALLY FOUND YOU</t>
        </is>
      </c>
      <c r="AK1554" t="n">
        <v>21</v>
      </c>
      <c r="AL1554" t="inlineStr">
        <is>
          <t>Miss Glam Damar</t>
        </is>
      </c>
      <c r="AM1554" t="n">
        <v>3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FLIMEAL</t>
        </is>
      </c>
      <c r="B1555" s="2">
        <f>"8997236236858"</f>
        <v/>
      </c>
      <c r="C1555" t="inlineStr">
        <is>
          <t>FLIMEAL Serbuk Minuman Sereal Rasa Cokelat Susu Sachet 50gr</t>
        </is>
      </c>
      <c r="D1555" t="inlineStr">
        <is>
          <t>Miss Glam Damar</t>
        </is>
      </c>
      <c r="E1555" t="n">
        <v>0</v>
      </c>
      <c r="F1555" t="n">
        <v>0.03</v>
      </c>
      <c r="G1555" t="n">
        <v>1</v>
      </c>
      <c r="H1555" t="n">
        <v>4</v>
      </c>
      <c r="I1555" t="n">
        <v>21</v>
      </c>
      <c r="J1555" t="n">
        <v>3</v>
      </c>
      <c r="K1555" t="n">
        <v>0</v>
      </c>
      <c r="L1555" t="n">
        <v>15916</v>
      </c>
      <c r="M1555" t="n">
        <v>20000</v>
      </c>
      <c r="N1555" t="n">
        <v>91</v>
      </c>
      <c r="O1555" t="n">
        <v>0.91</v>
      </c>
      <c r="P1555" t="n">
        <v>0</v>
      </c>
      <c r="Q1555" t="n">
        <v>0.03</v>
      </c>
      <c r="R1555" t="n">
        <v>1</v>
      </c>
      <c r="S1555" t="n">
        <v>600</v>
      </c>
      <c r="T1555" t="n">
        <v>21</v>
      </c>
      <c r="U1555" t="n">
        <v>22</v>
      </c>
      <c r="V1555" t="n">
        <v>30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n">
        <v>0</v>
      </c>
      <c r="AC1555" t="n">
        <v>0</v>
      </c>
      <c r="AD1555" t="n">
        <v>15916</v>
      </c>
      <c r="AE1555" t="n">
        <v>0</v>
      </c>
      <c r="AF1555" t="n">
        <v>4923</v>
      </c>
      <c r="AG1555" t="n">
        <v>1</v>
      </c>
      <c r="AH1555" t="inlineStr">
        <is>
          <t>PT. BERSAMA DISTRIVERSA INDONESIA (DC CIPUTAT)</t>
        </is>
      </c>
      <c r="AI1555" t="n">
        <v>929</v>
      </c>
      <c r="AJ1555" t="inlineStr">
        <is>
          <t>FLIMEAL</t>
        </is>
      </c>
      <c r="AK1555" t="n">
        <v>21</v>
      </c>
      <c r="AL1555" t="inlineStr">
        <is>
          <t>Miss Glam Damar</t>
        </is>
      </c>
      <c r="AM1555" t="n">
        <v>3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FLIMEAL</t>
        </is>
      </c>
      <c r="B1556" s="2">
        <f>"8997236237404"</f>
        <v/>
      </c>
      <c r="C1556" t="inlineStr">
        <is>
          <t>FLIMEAL Serbuk Minuman Sereal Rasa Vanilla Sachet 50gr</t>
        </is>
      </c>
      <c r="D1556" t="inlineStr">
        <is>
          <t>Miss Glam Damar</t>
        </is>
      </c>
      <c r="E1556" t="n">
        <v>3</v>
      </c>
      <c r="F1556" t="n">
        <v>0.03</v>
      </c>
      <c r="G1556" t="n">
        <v>1</v>
      </c>
      <c r="H1556" t="n">
        <v>4</v>
      </c>
      <c r="I1556" t="n">
        <v>21</v>
      </c>
      <c r="J1556" t="n">
        <v>3</v>
      </c>
      <c r="K1556" t="n">
        <v>0</v>
      </c>
      <c r="L1556" t="n">
        <v>15934</v>
      </c>
      <c r="M1556" t="n">
        <v>25000</v>
      </c>
      <c r="N1556" t="n">
        <v>91</v>
      </c>
      <c r="O1556" t="n">
        <v>0.91</v>
      </c>
      <c r="P1556" t="n">
        <v>0</v>
      </c>
      <c r="Q1556" t="n">
        <v>0.03</v>
      </c>
      <c r="R1556" t="n">
        <v>1</v>
      </c>
      <c r="S1556" t="n">
        <v>750</v>
      </c>
      <c r="T1556" t="n">
        <v>21</v>
      </c>
      <c r="U1556" t="n">
        <v>22</v>
      </c>
      <c r="V1556" t="n">
        <v>30</v>
      </c>
      <c r="W1556" t="n">
        <v>1</v>
      </c>
      <c r="X1556" t="n">
        <v>100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4923</v>
      </c>
      <c r="AG1556" t="n">
        <v>1</v>
      </c>
      <c r="AH1556" t="inlineStr">
        <is>
          <t>PT. BERSAMA DISTRIVERSA INDONESIA (DC CIPUTAT)</t>
        </is>
      </c>
      <c r="AI1556" t="n">
        <v>929</v>
      </c>
      <c r="AJ1556" t="inlineStr">
        <is>
          <t>FLIMEAL</t>
        </is>
      </c>
      <c r="AK1556" t="n">
        <v>21</v>
      </c>
      <c r="AL1556" t="inlineStr">
        <is>
          <t>Miss Glam Damar</t>
        </is>
      </c>
      <c r="AM1556" t="n">
        <v>3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FOCALLURE</t>
        </is>
      </c>
      <c r="B1557" s="2">
        <f>"6941845807680"</f>
        <v/>
      </c>
      <c r="C1557" t="inlineStr">
        <is>
          <t>FOCALLURE Acne Pimple Patch 2x Repair Night</t>
        </is>
      </c>
      <c r="D1557" t="inlineStr">
        <is>
          <t>Miss Glam Damar</t>
        </is>
      </c>
      <c r="E1557" t="n">
        <v>46</v>
      </c>
      <c r="F1557" t="n">
        <v>1.092</v>
      </c>
      <c r="G1557" t="n">
        <v>3.64</v>
      </c>
      <c r="H1557" t="n">
        <v>2</v>
      </c>
      <c r="I1557" t="n">
        <v>5</v>
      </c>
      <c r="J1557" t="n">
        <v>12</v>
      </c>
      <c r="K1557" t="n">
        <v>0</v>
      </c>
      <c r="L1557" t="n">
        <v>12008</v>
      </c>
      <c r="M1557" t="n">
        <v>15000</v>
      </c>
      <c r="N1557" t="n">
        <v>91</v>
      </c>
      <c r="O1557" t="n">
        <v>0.91</v>
      </c>
      <c r="P1557" t="n">
        <v>1</v>
      </c>
      <c r="Q1557" t="n">
        <v>1.83</v>
      </c>
      <c r="R1557" t="n">
        <v>8</v>
      </c>
      <c r="S1557" t="n">
        <v>16380</v>
      </c>
      <c r="T1557" t="n">
        <v>17</v>
      </c>
      <c r="U1557" t="n">
        <v>20</v>
      </c>
      <c r="V1557" t="n">
        <v>30</v>
      </c>
      <c r="W1557" t="n">
        <v>33</v>
      </c>
      <c r="X1557" t="n">
        <v>42.12454212454212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12504</v>
      </c>
      <c r="AG1557" t="n">
        <v>3501</v>
      </c>
      <c r="AH1557" t="inlineStr">
        <is>
          <t>PT. SAI - PPN - PF/FC (PDG)</t>
        </is>
      </c>
      <c r="AI1557" t="n">
        <v>437</v>
      </c>
      <c r="AJ1557" t="inlineStr">
        <is>
          <t>FOCALLURE</t>
        </is>
      </c>
      <c r="AK1557" t="n">
        <v>21</v>
      </c>
      <c r="AL1557" t="inlineStr">
        <is>
          <t>Miss Glam Damar</t>
        </is>
      </c>
      <c r="AM1557" t="n">
        <v>2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FOCALLURE</t>
        </is>
      </c>
      <c r="B1558" s="2">
        <f>"6941845807673"</f>
        <v/>
      </c>
      <c r="C1558" t="inlineStr">
        <is>
          <t>FOCALLURE Acne Pimple Patch Invisible Acne Day 0.1mm</t>
        </is>
      </c>
      <c r="D1558" t="inlineStr">
        <is>
          <t>Miss Glam Damar</t>
        </is>
      </c>
      <c r="E1558" t="n">
        <v>58</v>
      </c>
      <c r="F1558" t="n">
        <v>2.1476</v>
      </c>
      <c r="G1558" t="n">
        <v>6.37</v>
      </c>
      <c r="H1558" t="n">
        <v>2</v>
      </c>
      <c r="I1558" t="n">
        <v>5</v>
      </c>
      <c r="J1558" t="n">
        <v>3</v>
      </c>
      <c r="K1558" t="n">
        <v>0</v>
      </c>
      <c r="L1558" t="n">
        <v>12275</v>
      </c>
      <c r="M1558" t="n">
        <v>15000</v>
      </c>
      <c r="N1558" t="n">
        <v>91</v>
      </c>
      <c r="O1558" t="n">
        <v>0.91</v>
      </c>
      <c r="P1558" t="n">
        <v>1</v>
      </c>
      <c r="Q1558" t="n">
        <v>1.42</v>
      </c>
      <c r="R1558" t="n">
        <v>6</v>
      </c>
      <c r="S1558" t="n">
        <v>32214</v>
      </c>
      <c r="T1558" t="n">
        <v>28</v>
      </c>
      <c r="U1558" t="n">
        <v>33</v>
      </c>
      <c r="V1558" t="n">
        <v>30</v>
      </c>
      <c r="W1558" t="n">
        <v>65</v>
      </c>
      <c r="X1558" t="n">
        <v>27.00689141367107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12504</v>
      </c>
      <c r="AG1558" t="n">
        <v>3501</v>
      </c>
      <c r="AH1558" t="inlineStr">
        <is>
          <t>PT. SAI - PPN - PF/FC (PDG)</t>
        </is>
      </c>
      <c r="AI1558" t="n">
        <v>437</v>
      </c>
      <c r="AJ1558" t="inlineStr">
        <is>
          <t>FOCALLURE</t>
        </is>
      </c>
      <c r="AK1558" t="n">
        <v>21</v>
      </c>
      <c r="AL1558" t="inlineStr">
        <is>
          <t>Miss Glam Damar</t>
        </is>
      </c>
      <c r="AM1558" t="n">
        <v>2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FOCALLURE</t>
        </is>
      </c>
      <c r="B1559" s="2">
        <f>"6974908117907"</f>
        <v/>
      </c>
      <c r="C1559" t="inlineStr">
        <is>
          <t>FOCALLURE Air Fit Matte Liquid Lipstick 301 2.2gr</t>
        </is>
      </c>
      <c r="D1559" t="inlineStr">
        <is>
          <t>Miss Glam Damar</t>
        </is>
      </c>
      <c r="E1559" t="n">
        <v>5</v>
      </c>
      <c r="F1559" t="n">
        <v>0.0182</v>
      </c>
      <c r="G1559" t="n">
        <v>0.91</v>
      </c>
      <c r="H1559" t="n">
        <v>2</v>
      </c>
      <c r="I1559" t="n">
        <v>5</v>
      </c>
      <c r="J1559" t="n">
        <v>3</v>
      </c>
      <c r="K1559" t="n">
        <v>0</v>
      </c>
      <c r="L1559" t="n">
        <v>34773</v>
      </c>
      <c r="M1559" t="n">
        <v>41500</v>
      </c>
      <c r="N1559" t="n">
        <v>91</v>
      </c>
      <c r="O1559" t="n">
        <v>0.91</v>
      </c>
      <c r="P1559" t="n">
        <v>1</v>
      </c>
      <c r="Q1559" t="n">
        <v>0.07000000000000001</v>
      </c>
      <c r="R1559" t="n">
        <v>2</v>
      </c>
      <c r="S1559" t="n">
        <v>755.3000000000001</v>
      </c>
      <c r="T1559" t="n">
        <v>5</v>
      </c>
      <c r="U1559" t="n">
        <v>6</v>
      </c>
      <c r="V1559" t="n">
        <v>30</v>
      </c>
      <c r="W1559" t="n">
        <v>1</v>
      </c>
      <c r="X1559" t="n">
        <v>274.7252747252747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12504</v>
      </c>
      <c r="AG1559" t="n">
        <v>3501</v>
      </c>
      <c r="AH1559" t="inlineStr">
        <is>
          <t>PT. SAI - PPN - PF/FC (PDG)</t>
        </is>
      </c>
      <c r="AI1559" t="n">
        <v>437</v>
      </c>
      <c r="AJ1559" t="inlineStr">
        <is>
          <t>FOCALLURE</t>
        </is>
      </c>
      <c r="AK1559" t="n">
        <v>21</v>
      </c>
      <c r="AL1559" t="inlineStr">
        <is>
          <t>Miss Glam Damar</t>
        </is>
      </c>
      <c r="AM1559" t="n">
        <v>2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FOCALLURE</t>
        </is>
      </c>
      <c r="B1560" s="2">
        <f>"6974908117891"</f>
        <v/>
      </c>
      <c r="C1560" t="inlineStr">
        <is>
          <t>FOCALLURE Air Fit Matte Liquid Lipstick FA417- 202 2,2gr</t>
        </is>
      </c>
      <c r="D1560" t="inlineStr">
        <is>
          <t>Miss Glam Damar</t>
        </is>
      </c>
      <c r="E1560" t="n">
        <v>6</v>
      </c>
      <c r="F1560" t="n">
        <v>0.09100000000000001</v>
      </c>
      <c r="G1560" t="n">
        <v>0.91</v>
      </c>
      <c r="H1560" t="n">
        <v>2</v>
      </c>
      <c r="I1560" t="n">
        <v>5</v>
      </c>
      <c r="J1560" t="n">
        <v>3</v>
      </c>
      <c r="K1560" t="n">
        <v>0</v>
      </c>
      <c r="L1560" t="n">
        <v>34773</v>
      </c>
      <c r="M1560" t="n">
        <v>41500</v>
      </c>
      <c r="N1560" t="n">
        <v>91</v>
      </c>
      <c r="O1560" t="n">
        <v>0.91</v>
      </c>
      <c r="P1560" t="n">
        <v>1</v>
      </c>
      <c r="Q1560" t="n">
        <v>0.12</v>
      </c>
      <c r="R1560" t="n">
        <v>1</v>
      </c>
      <c r="S1560" t="n">
        <v>3776.5</v>
      </c>
      <c r="T1560" t="n">
        <v>5</v>
      </c>
      <c r="U1560" t="n">
        <v>6</v>
      </c>
      <c r="V1560" t="n">
        <v>30</v>
      </c>
      <c r="W1560" t="n">
        <v>3</v>
      </c>
      <c r="X1560" t="n">
        <v>65.93406593406593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12504</v>
      </c>
      <c r="AG1560" t="n">
        <v>3501</v>
      </c>
      <c r="AH1560" t="inlineStr">
        <is>
          <t>PT. SAI - PPN - PF/FC (PDG)</t>
        </is>
      </c>
      <c r="AI1560" t="n">
        <v>437</v>
      </c>
      <c r="AJ1560" t="inlineStr">
        <is>
          <t>FOCALLURE</t>
        </is>
      </c>
      <c r="AK1560" t="n">
        <v>21</v>
      </c>
      <c r="AL1560" t="inlineStr">
        <is>
          <t>Miss Glam Damar</t>
        </is>
      </c>
      <c r="AM1560" t="n">
        <v>2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FOCALLURE</t>
        </is>
      </c>
      <c r="B1561" s="2">
        <f>"6941845806256"</f>
        <v/>
      </c>
      <c r="C1561" t="inlineStr">
        <is>
          <t>FOCALLURE Auto Brows Pen 02</t>
        </is>
      </c>
      <c r="D1561" t="inlineStr">
        <is>
          <t>Miss Glam Damar</t>
        </is>
      </c>
      <c r="E1561" t="n">
        <v>7</v>
      </c>
      <c r="F1561" t="n">
        <v>0.03</v>
      </c>
      <c r="G1561" t="n">
        <v>1</v>
      </c>
      <c r="H1561" t="n">
        <v>2</v>
      </c>
      <c r="I1561" t="n">
        <v>5</v>
      </c>
      <c r="J1561" t="n">
        <v>3</v>
      </c>
      <c r="K1561" t="n">
        <v>0</v>
      </c>
      <c r="L1561" t="n">
        <v>24335</v>
      </c>
      <c r="M1561" t="n">
        <v>29000</v>
      </c>
      <c r="N1561" t="n">
        <v>91</v>
      </c>
      <c r="O1561" t="n">
        <v>0.91</v>
      </c>
      <c r="P1561" t="n">
        <v>0</v>
      </c>
      <c r="Q1561" t="n">
        <v>0.03</v>
      </c>
      <c r="R1561" t="n">
        <v>1</v>
      </c>
      <c r="S1561" t="n">
        <v>870</v>
      </c>
      <c r="T1561" t="n">
        <v>5</v>
      </c>
      <c r="U1561" t="n">
        <v>6</v>
      </c>
      <c r="V1561" t="n">
        <v>30</v>
      </c>
      <c r="W1561" t="n">
        <v>1</v>
      </c>
      <c r="X1561" t="n">
        <v>233.3333333333333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12504</v>
      </c>
      <c r="AG1561" t="n">
        <v>3501</v>
      </c>
      <c r="AH1561" t="inlineStr">
        <is>
          <t>PT. SAI - PPN - PF/FC (PDG)</t>
        </is>
      </c>
      <c r="AI1561" t="n">
        <v>437</v>
      </c>
      <c r="AJ1561" t="inlineStr">
        <is>
          <t>FOCALLURE</t>
        </is>
      </c>
      <c r="AK1561" t="n">
        <v>21</v>
      </c>
      <c r="AL1561" t="inlineStr">
        <is>
          <t>Miss Glam Damar</t>
        </is>
      </c>
      <c r="AM1561" t="n">
        <v>2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FOCALLURE</t>
        </is>
      </c>
      <c r="B1562" s="2">
        <f>"6941845806188"</f>
        <v/>
      </c>
      <c r="C1562" t="inlineStr">
        <is>
          <t>FOCALLURE Blush &amp; Highlighter Palette FA26-02 10.5gr</t>
        </is>
      </c>
      <c r="D1562" t="inlineStr">
        <is>
          <t>Miss Glam Damar</t>
        </is>
      </c>
      <c r="E1562" t="n">
        <v>4</v>
      </c>
      <c r="F1562" t="n">
        <v>0.182</v>
      </c>
      <c r="G1562" t="n">
        <v>1.82</v>
      </c>
      <c r="H1562" t="n">
        <v>2</v>
      </c>
      <c r="I1562" t="n">
        <v>5</v>
      </c>
      <c r="J1562" t="n">
        <v>3</v>
      </c>
      <c r="K1562" t="n">
        <v>0</v>
      </c>
      <c r="L1562" t="n">
        <v>41608</v>
      </c>
      <c r="M1562" t="n">
        <v>50000</v>
      </c>
      <c r="N1562" t="n">
        <v>91</v>
      </c>
      <c r="O1562" t="n">
        <v>0.91</v>
      </c>
      <c r="P1562" t="n">
        <v>1</v>
      </c>
      <c r="Q1562" t="n">
        <v>0.17</v>
      </c>
      <c r="R1562" t="n">
        <v>2</v>
      </c>
      <c r="S1562" t="n">
        <v>9100.000000000002</v>
      </c>
      <c r="T1562" t="n">
        <v>9</v>
      </c>
      <c r="U1562" t="n">
        <v>10</v>
      </c>
      <c r="V1562" t="n">
        <v>30</v>
      </c>
      <c r="W1562" t="n">
        <v>6</v>
      </c>
      <c r="X1562" t="n">
        <v>21.97802197802197</v>
      </c>
      <c r="Y1562" t="n">
        <v>1</v>
      </c>
      <c r="Z1562" t="n">
        <v>2</v>
      </c>
      <c r="AA1562" t="n">
        <v>0</v>
      </c>
      <c r="AB1562" t="n">
        <v>2</v>
      </c>
      <c r="AC1562" t="n">
        <v>3</v>
      </c>
      <c r="AD1562" t="n">
        <v>0</v>
      </c>
      <c r="AE1562" t="n">
        <v>124824</v>
      </c>
      <c r="AF1562" t="n">
        <v>12504</v>
      </c>
      <c r="AG1562" t="n">
        <v>3501</v>
      </c>
      <c r="AH1562" t="inlineStr">
        <is>
          <t>PT. SAI - PPN - PF/FC (PDG)</t>
        </is>
      </c>
      <c r="AI1562" t="n">
        <v>437</v>
      </c>
      <c r="AJ1562" t="inlineStr">
        <is>
          <t>FOCALLURE</t>
        </is>
      </c>
      <c r="AK1562" t="n">
        <v>21</v>
      </c>
      <c r="AL1562" t="inlineStr">
        <is>
          <t>Miss Glam Damar</t>
        </is>
      </c>
      <c r="AM1562" t="n">
        <v>2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FOCALLURE</t>
        </is>
      </c>
      <c r="B1563" s="2">
        <f>"6927545992574"</f>
        <v/>
      </c>
      <c r="C1563" t="inlineStr">
        <is>
          <t>FOCALLURE Brows Gel Cream 02 Chocolate 4gr</t>
        </is>
      </c>
      <c r="D1563" t="inlineStr">
        <is>
          <t>Miss Glam Damar</t>
        </is>
      </c>
      <c r="E1563" t="n">
        <v>8</v>
      </c>
      <c r="F1563" t="n">
        <v>0.3731</v>
      </c>
      <c r="G1563" t="n">
        <v>3.64</v>
      </c>
      <c r="H1563" t="n">
        <v>2</v>
      </c>
      <c r="I1563" t="n">
        <v>5</v>
      </c>
      <c r="J1563" t="n">
        <v>3</v>
      </c>
      <c r="K1563" t="n">
        <v>0</v>
      </c>
      <c r="L1563" t="n">
        <v>23867</v>
      </c>
      <c r="M1563" t="n">
        <v>28500</v>
      </c>
      <c r="N1563" t="n">
        <v>91</v>
      </c>
      <c r="O1563" t="n">
        <v>0.91</v>
      </c>
      <c r="P1563" t="n">
        <v>1</v>
      </c>
      <c r="Q1563" t="n">
        <v>0.68</v>
      </c>
      <c r="R1563" t="n">
        <v>3</v>
      </c>
      <c r="S1563" t="n">
        <v>10633.35</v>
      </c>
      <c r="T1563" t="n">
        <v>18</v>
      </c>
      <c r="U1563" t="n">
        <v>19</v>
      </c>
      <c r="V1563" t="n">
        <v>30</v>
      </c>
      <c r="W1563" t="n">
        <v>12</v>
      </c>
      <c r="X1563" t="n">
        <v>21.44197266148486</v>
      </c>
      <c r="Y1563" t="n">
        <v>1</v>
      </c>
      <c r="Z1563" t="n">
        <v>4</v>
      </c>
      <c r="AA1563" t="n">
        <v>0</v>
      </c>
      <c r="AB1563" t="n">
        <v>4</v>
      </c>
      <c r="AC1563" t="n">
        <v>4</v>
      </c>
      <c r="AD1563" t="n">
        <v>0</v>
      </c>
      <c r="AE1563" t="n">
        <v>95468</v>
      </c>
      <c r="AF1563" t="n">
        <v>12504</v>
      </c>
      <c r="AG1563" t="n">
        <v>3501</v>
      </c>
      <c r="AH1563" t="inlineStr">
        <is>
          <t>PT. SAI - PPN - PF/FC (PDG)</t>
        </is>
      </c>
      <c r="AI1563" t="n">
        <v>437</v>
      </c>
      <c r="AJ1563" t="inlineStr">
        <is>
          <t>FOCALLURE</t>
        </is>
      </c>
      <c r="AK1563" t="n">
        <v>21</v>
      </c>
      <c r="AL1563" t="inlineStr">
        <is>
          <t>Miss Glam Damar</t>
        </is>
      </c>
      <c r="AM1563" t="n">
        <v>2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FOCALLURE</t>
        </is>
      </c>
      <c r="B1564" s="2">
        <f>"6927545993144"</f>
        <v/>
      </c>
      <c r="C1564" t="inlineStr">
        <is>
          <t>FOCALLURE Brows Gel Cream 03 Dark Brown 4gr</t>
        </is>
      </c>
      <c r="D1564" t="inlineStr">
        <is>
          <t>Miss Glam Damar</t>
        </is>
      </c>
      <c r="E1564" t="n">
        <v>27</v>
      </c>
      <c r="F1564" t="n">
        <v>1.22</v>
      </c>
      <c r="G1564" t="n">
        <v>5</v>
      </c>
      <c r="H1564" t="n">
        <v>2</v>
      </c>
      <c r="I1564" t="n">
        <v>5</v>
      </c>
      <c r="J1564" t="n">
        <v>3</v>
      </c>
      <c r="K1564" t="n">
        <v>0</v>
      </c>
      <c r="L1564" t="n">
        <v>23867</v>
      </c>
      <c r="M1564" t="n">
        <v>33000</v>
      </c>
      <c r="N1564" t="n">
        <v>91</v>
      </c>
      <c r="O1564" t="n">
        <v>0.91</v>
      </c>
      <c r="P1564" t="n">
        <v>0</v>
      </c>
      <c r="Q1564" t="n">
        <v>1.22</v>
      </c>
      <c r="R1564" t="n">
        <v>5</v>
      </c>
      <c r="S1564" t="n">
        <v>40260</v>
      </c>
      <c r="T1564" t="n">
        <v>23</v>
      </c>
      <c r="U1564" t="n">
        <v>26</v>
      </c>
      <c r="V1564" t="n">
        <v>30</v>
      </c>
      <c r="W1564" t="n">
        <v>37</v>
      </c>
      <c r="X1564" t="n">
        <v>22.13114754098361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12504</v>
      </c>
      <c r="AG1564" t="n">
        <v>3501</v>
      </c>
      <c r="AH1564" t="inlineStr">
        <is>
          <t>PT. SAI - PPN - PF/FC (PDG)</t>
        </is>
      </c>
      <c r="AI1564" t="n">
        <v>437</v>
      </c>
      <c r="AJ1564" t="inlineStr">
        <is>
          <t>FOCALLURE</t>
        </is>
      </c>
      <c r="AK1564" t="n">
        <v>21</v>
      </c>
      <c r="AL1564" t="inlineStr">
        <is>
          <t>Miss Glam Damar</t>
        </is>
      </c>
      <c r="AM1564" t="n">
        <v>2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FOCALLURE</t>
        </is>
      </c>
      <c r="B1565" s="2">
        <f>"6941845806201"</f>
        <v/>
      </c>
      <c r="C1565" t="inlineStr">
        <is>
          <t>FOCALLURE Brows Gel Cream 04 Ash Brown 4gr</t>
        </is>
      </c>
      <c r="D1565" t="inlineStr">
        <is>
          <t>Miss Glam Damar</t>
        </is>
      </c>
      <c r="E1565" t="n">
        <v>46</v>
      </c>
      <c r="F1565" t="n">
        <v>4.2588</v>
      </c>
      <c r="G1565" t="n">
        <v>8.19</v>
      </c>
      <c r="H1565" t="n">
        <v>2</v>
      </c>
      <c r="I1565" t="n">
        <v>5</v>
      </c>
      <c r="J1565" t="n">
        <v>3</v>
      </c>
      <c r="K1565" t="n">
        <v>0</v>
      </c>
      <c r="L1565" t="n">
        <v>23867</v>
      </c>
      <c r="M1565" t="n">
        <v>27500</v>
      </c>
      <c r="N1565" t="n">
        <v>91</v>
      </c>
      <c r="O1565" t="n">
        <v>0.91</v>
      </c>
      <c r="P1565" t="n">
        <v>1</v>
      </c>
      <c r="Q1565" t="n">
        <v>2.71</v>
      </c>
      <c r="R1565" t="n">
        <v>10</v>
      </c>
      <c r="S1565" t="n">
        <v>117117</v>
      </c>
      <c r="T1565" t="n">
        <v>33</v>
      </c>
      <c r="U1565" t="n">
        <v>42</v>
      </c>
      <c r="V1565" t="n">
        <v>30</v>
      </c>
      <c r="W1565" t="n">
        <v>128</v>
      </c>
      <c r="X1565" t="n">
        <v>10.80116464731849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12504</v>
      </c>
      <c r="AG1565" t="n">
        <v>3501</v>
      </c>
      <c r="AH1565" t="inlineStr">
        <is>
          <t>PT. SAI - PPN - PF/FC (PDG)</t>
        </is>
      </c>
      <c r="AI1565" t="n">
        <v>437</v>
      </c>
      <c r="AJ1565" t="inlineStr">
        <is>
          <t>FOCALLURE</t>
        </is>
      </c>
      <c r="AK1565" t="n">
        <v>21</v>
      </c>
      <c r="AL1565" t="inlineStr">
        <is>
          <t>Miss Glam Damar</t>
        </is>
      </c>
      <c r="AM1565" t="n">
        <v>2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FOCALLURE</t>
        </is>
      </c>
      <c r="B1566" s="2">
        <f>"6941845806232"</f>
        <v/>
      </c>
      <c r="C1566" t="inlineStr">
        <is>
          <t>FOCALLURE Brows Gel Cream FA23-01 Auburn 4gr</t>
        </is>
      </c>
      <c r="D1566" t="inlineStr">
        <is>
          <t>Miss Glam Damar</t>
        </is>
      </c>
      <c r="E1566" t="n">
        <v>6</v>
      </c>
      <c r="F1566" t="n">
        <v>0.14</v>
      </c>
      <c r="G1566" t="n">
        <v>1</v>
      </c>
      <c r="H1566" t="n">
        <v>2</v>
      </c>
      <c r="I1566" t="n">
        <v>5</v>
      </c>
      <c r="J1566" t="n">
        <v>3</v>
      </c>
      <c r="K1566" t="n">
        <v>0</v>
      </c>
      <c r="L1566" t="n">
        <v>22483</v>
      </c>
      <c r="M1566" t="n">
        <v>28500</v>
      </c>
      <c r="N1566" t="n">
        <v>91</v>
      </c>
      <c r="O1566" t="n">
        <v>0.91</v>
      </c>
      <c r="P1566" t="n">
        <v>0</v>
      </c>
      <c r="Q1566" t="n">
        <v>0.14</v>
      </c>
      <c r="R1566" t="n">
        <v>1</v>
      </c>
      <c r="S1566" t="n">
        <v>3990</v>
      </c>
      <c r="T1566" t="n">
        <v>5</v>
      </c>
      <c r="U1566" t="n">
        <v>6</v>
      </c>
      <c r="V1566" t="n">
        <v>30</v>
      </c>
      <c r="W1566" t="n">
        <v>5</v>
      </c>
      <c r="X1566" t="n">
        <v>42.85714285714285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12504</v>
      </c>
      <c r="AG1566" t="n">
        <v>3501</v>
      </c>
      <c r="AH1566" t="inlineStr">
        <is>
          <t>PT. SAI - PPN - PF/FC (PDG)</t>
        </is>
      </c>
      <c r="AI1566" t="n">
        <v>437</v>
      </c>
      <c r="AJ1566" t="inlineStr">
        <is>
          <t>FOCALLURE</t>
        </is>
      </c>
      <c r="AK1566" t="n">
        <v>21</v>
      </c>
      <c r="AL1566" t="inlineStr">
        <is>
          <t>Miss Glam Damar</t>
        </is>
      </c>
      <c r="AM1566" t="n">
        <v>2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FOCALLURE</t>
        </is>
      </c>
      <c r="B1567" s="2">
        <f>"6941845806195"</f>
        <v/>
      </c>
      <c r="C1567" t="inlineStr">
        <is>
          <t>FOCALLURE Brows Gel Cream FA23-05 Ebony</t>
        </is>
      </c>
      <c r="D1567" t="inlineStr">
        <is>
          <t>Miss Glam Damar</t>
        </is>
      </c>
      <c r="E1567" t="n">
        <v>30</v>
      </c>
      <c r="F1567" t="n">
        <v>1.0465</v>
      </c>
      <c r="G1567" t="n">
        <v>7.28</v>
      </c>
      <c r="H1567" t="n">
        <v>2</v>
      </c>
      <c r="I1567" t="n">
        <v>5</v>
      </c>
      <c r="J1567" t="n">
        <v>3</v>
      </c>
      <c r="K1567" t="n">
        <v>0</v>
      </c>
      <c r="L1567" t="n">
        <v>23867</v>
      </c>
      <c r="M1567" t="n">
        <v>28500</v>
      </c>
      <c r="N1567" t="n">
        <v>91</v>
      </c>
      <c r="O1567" t="n">
        <v>0.91</v>
      </c>
      <c r="P1567" t="n">
        <v>1</v>
      </c>
      <c r="Q1567" t="n">
        <v>1.2</v>
      </c>
      <c r="R1567" t="n">
        <v>5</v>
      </c>
      <c r="S1567" t="n">
        <v>29825.25</v>
      </c>
      <c r="T1567" t="n">
        <v>35</v>
      </c>
      <c r="U1567" t="n">
        <v>38</v>
      </c>
      <c r="V1567" t="n">
        <v>30</v>
      </c>
      <c r="W1567" t="n">
        <v>32</v>
      </c>
      <c r="X1567" t="n">
        <v>28.66698518872432</v>
      </c>
      <c r="Y1567" t="n">
        <v>1</v>
      </c>
      <c r="Z1567" t="n">
        <v>2</v>
      </c>
      <c r="AA1567" t="n">
        <v>0</v>
      </c>
      <c r="AB1567" t="n">
        <v>2</v>
      </c>
      <c r="AC1567" t="n">
        <v>3</v>
      </c>
      <c r="AD1567" t="n">
        <v>0</v>
      </c>
      <c r="AE1567" t="n">
        <v>71601</v>
      </c>
      <c r="AF1567" t="n">
        <v>12504</v>
      </c>
      <c r="AG1567" t="n">
        <v>3501</v>
      </c>
      <c r="AH1567" t="inlineStr">
        <is>
          <t>PT. SAI - PPN - PF/FC (PDG)</t>
        </is>
      </c>
      <c r="AI1567" t="n">
        <v>437</v>
      </c>
      <c r="AJ1567" t="inlineStr">
        <is>
          <t>FOCALLURE</t>
        </is>
      </c>
      <c r="AK1567" t="n">
        <v>21</v>
      </c>
      <c r="AL1567" t="inlineStr">
        <is>
          <t>Miss Glam Damar</t>
        </is>
      </c>
      <c r="AM1567" t="n">
        <v>2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FOCALLURE</t>
        </is>
      </c>
      <c r="B1568" s="2">
        <f>"20200465453"</f>
        <v/>
      </c>
      <c r="C1568" t="inlineStr">
        <is>
          <t>FOCALLURE Eyebrow Pomade #BR03 Coffee Brown 1.4gr</t>
        </is>
      </c>
      <c r="D1568" t="inlineStr">
        <is>
          <t>Miss Glam Damar</t>
        </is>
      </c>
      <c r="E1568" t="n">
        <v>6</v>
      </c>
      <c r="F1568" t="n">
        <v>0.0273</v>
      </c>
      <c r="G1568" t="n">
        <v>1.82</v>
      </c>
      <c r="H1568" t="n">
        <v>2</v>
      </c>
      <c r="I1568" t="n">
        <v>5</v>
      </c>
      <c r="J1568" t="n">
        <v>1</v>
      </c>
      <c r="K1568" t="n">
        <v>0</v>
      </c>
      <c r="L1568" t="n">
        <v>33683</v>
      </c>
      <c r="M1568" t="n">
        <v>40500</v>
      </c>
      <c r="N1568" t="n">
        <v>91</v>
      </c>
      <c r="O1568" t="n">
        <v>0.91</v>
      </c>
      <c r="P1568" t="n">
        <v>1</v>
      </c>
      <c r="Q1568" t="n">
        <v>0.03</v>
      </c>
      <c r="R1568" t="n">
        <v>1</v>
      </c>
      <c r="S1568" t="n">
        <v>1105.65</v>
      </c>
      <c r="T1568" t="n">
        <v>10</v>
      </c>
      <c r="U1568" t="n">
        <v>11</v>
      </c>
      <c r="V1568" t="n">
        <v>30</v>
      </c>
      <c r="W1568" t="n">
        <v>1</v>
      </c>
      <c r="X1568" t="n">
        <v>219.7802197802198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12504</v>
      </c>
      <c r="AG1568" t="n">
        <v>3501</v>
      </c>
      <c r="AH1568" t="inlineStr">
        <is>
          <t>PT. SAI - PPN - PF/FC (PDG)</t>
        </is>
      </c>
      <c r="AI1568" t="n">
        <v>437</v>
      </c>
      <c r="AJ1568" t="inlineStr">
        <is>
          <t>FOCALLURE</t>
        </is>
      </c>
      <c r="AK1568" t="n">
        <v>21</v>
      </c>
      <c r="AL1568" t="inlineStr">
        <is>
          <t>Miss Glam Damar</t>
        </is>
      </c>
      <c r="AM1568" t="n">
        <v>2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FOCALLURE</t>
        </is>
      </c>
      <c r="B1569" s="2">
        <f>"6941845806317"</f>
        <v/>
      </c>
      <c r="C1569" t="inlineStr">
        <is>
          <t>FOCALLURE Highlighter Countur Multi Stick FA01 02</t>
        </is>
      </c>
      <c r="D1569" t="inlineStr">
        <is>
          <t>Miss Glam Damar</t>
        </is>
      </c>
      <c r="E1569" t="n">
        <v>6</v>
      </c>
      <c r="F1569" t="n">
        <v>0.04550000000000001</v>
      </c>
      <c r="G1569" t="n">
        <v>0.91</v>
      </c>
      <c r="H1569" t="n">
        <v>2</v>
      </c>
      <c r="I1569" t="n">
        <v>5</v>
      </c>
      <c r="J1569" t="n">
        <v>3</v>
      </c>
      <c r="K1569" t="n">
        <v>0</v>
      </c>
      <c r="L1569" t="n">
        <v>27739</v>
      </c>
      <c r="M1569" t="n">
        <v>33500</v>
      </c>
      <c r="N1569" t="n">
        <v>91</v>
      </c>
      <c r="O1569" t="n">
        <v>0.91</v>
      </c>
      <c r="P1569" t="n">
        <v>1</v>
      </c>
      <c r="Q1569" t="n">
        <v>0.03</v>
      </c>
      <c r="R1569" t="n">
        <v>1</v>
      </c>
      <c r="S1569" t="n">
        <v>1524.25</v>
      </c>
      <c r="T1569" t="n">
        <v>5</v>
      </c>
      <c r="U1569" t="n">
        <v>6</v>
      </c>
      <c r="V1569" t="n">
        <v>30</v>
      </c>
      <c r="W1569" t="n">
        <v>2</v>
      </c>
      <c r="X1569" t="n">
        <v>131.8681318681319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12504</v>
      </c>
      <c r="AG1569" t="n">
        <v>3501</v>
      </c>
      <c r="AH1569" t="inlineStr">
        <is>
          <t>PT. SAI - PPN - PF/FC (PDG)</t>
        </is>
      </c>
      <c r="AI1569" t="n">
        <v>437</v>
      </c>
      <c r="AJ1569" t="inlineStr">
        <is>
          <t>FOCALLURE</t>
        </is>
      </c>
      <c r="AK1569" t="n">
        <v>21</v>
      </c>
      <c r="AL1569" t="inlineStr">
        <is>
          <t>Miss Glam Damar</t>
        </is>
      </c>
      <c r="AM1569" t="n">
        <v>2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FOCALLURE</t>
        </is>
      </c>
      <c r="B1570" s="2">
        <f>"20100468249"</f>
        <v/>
      </c>
      <c r="C1570" t="inlineStr">
        <is>
          <t>FOCALLURE Kuromi Multi Effect Cushion NE03 12gr</t>
        </is>
      </c>
      <c r="D1570" t="inlineStr">
        <is>
          <t>Miss Glam Damar</t>
        </is>
      </c>
      <c r="E1570" t="n">
        <v>1</v>
      </c>
      <c r="F1570" t="n">
        <v>0.0182</v>
      </c>
      <c r="G1570" t="n">
        <v>0.91</v>
      </c>
      <c r="H1570" t="n">
        <v>2</v>
      </c>
      <c r="I1570" t="n">
        <v>5</v>
      </c>
      <c r="J1570" t="n">
        <v>1</v>
      </c>
      <c r="K1570" t="n">
        <v>0</v>
      </c>
      <c r="L1570" t="n">
        <v>72882</v>
      </c>
      <c r="M1570" t="n">
        <v>86000</v>
      </c>
      <c r="N1570" t="n">
        <v>91</v>
      </c>
      <c r="O1570" t="n">
        <v>0.91</v>
      </c>
      <c r="P1570" t="n">
        <v>1</v>
      </c>
      <c r="Q1570" t="n">
        <v>0.02</v>
      </c>
      <c r="R1570" t="n">
        <v>1</v>
      </c>
      <c r="S1570" t="n">
        <v>1565.2</v>
      </c>
      <c r="T1570" t="n">
        <v>5</v>
      </c>
      <c r="U1570" t="n">
        <v>6</v>
      </c>
      <c r="V1570" t="n">
        <v>30</v>
      </c>
      <c r="W1570" t="n">
        <v>1</v>
      </c>
      <c r="X1570" t="n">
        <v>54.94505494505494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12504</v>
      </c>
      <c r="AG1570" t="n">
        <v>3501</v>
      </c>
      <c r="AH1570" t="inlineStr">
        <is>
          <t>PT. SAI - PPN - PF/FC (PDG)</t>
        </is>
      </c>
      <c r="AI1570" t="n">
        <v>437</v>
      </c>
      <c r="AJ1570" t="inlineStr">
        <is>
          <t>FOCALLURE</t>
        </is>
      </c>
      <c r="AK1570" t="n">
        <v>21</v>
      </c>
      <c r="AL1570" t="inlineStr">
        <is>
          <t>Miss Glam Damar</t>
        </is>
      </c>
      <c r="AM1570" t="n">
        <v>2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FOCALLURE</t>
        </is>
      </c>
      <c r="B1571" s="2">
        <f>"20100468316"</f>
        <v/>
      </c>
      <c r="C1571" t="inlineStr">
        <is>
          <t>FOCALLURE Kuromi Multi Effect Cushion YL02 12gr</t>
        </is>
      </c>
      <c r="D1571" t="inlineStr">
        <is>
          <t>Miss Glam Damar</t>
        </is>
      </c>
      <c r="E1571" t="n">
        <v>3</v>
      </c>
      <c r="F1571" t="n">
        <v>0.06370000000000001</v>
      </c>
      <c r="G1571" t="n">
        <v>1.82</v>
      </c>
      <c r="H1571" t="n">
        <v>2</v>
      </c>
      <c r="I1571" t="n">
        <v>5</v>
      </c>
      <c r="J1571" t="n">
        <v>1</v>
      </c>
      <c r="K1571" t="n">
        <v>0</v>
      </c>
      <c r="L1571" t="n">
        <v>72882</v>
      </c>
      <c r="M1571" t="n">
        <v>86000</v>
      </c>
      <c r="N1571" t="n">
        <v>91</v>
      </c>
      <c r="O1571" t="n">
        <v>0.91</v>
      </c>
      <c r="P1571" t="n">
        <v>1</v>
      </c>
      <c r="Q1571" t="n">
        <v>0.02</v>
      </c>
      <c r="R1571" t="n">
        <v>1</v>
      </c>
      <c r="S1571" t="n">
        <v>5478.200000000001</v>
      </c>
      <c r="T1571" t="n">
        <v>9</v>
      </c>
      <c r="U1571" t="n">
        <v>10</v>
      </c>
      <c r="V1571" t="n">
        <v>30</v>
      </c>
      <c r="W1571" t="n">
        <v>2</v>
      </c>
      <c r="X1571" t="n">
        <v>47.09576138147566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12504</v>
      </c>
      <c r="AG1571" t="n">
        <v>3501</v>
      </c>
      <c r="AH1571" t="inlineStr">
        <is>
          <t>PT. SAI - PPN - PF/FC (PDG)</t>
        </is>
      </c>
      <c r="AI1571" t="n">
        <v>437</v>
      </c>
      <c r="AJ1571" t="inlineStr">
        <is>
          <t>FOCALLURE</t>
        </is>
      </c>
      <c r="AK1571" t="n">
        <v>21</v>
      </c>
      <c r="AL1571" t="inlineStr">
        <is>
          <t>Miss Glam Damar</t>
        </is>
      </c>
      <c r="AM1571" t="n">
        <v>2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FOCALLURE</t>
        </is>
      </c>
      <c r="B1572" s="2">
        <f>"6941845824298"</f>
        <v/>
      </c>
      <c r="C1572" t="inlineStr">
        <is>
          <t>FOCALLURE Lasting Waterproof Brow Pomade BR01 1.4gr</t>
        </is>
      </c>
      <c r="D1572" t="inlineStr">
        <is>
          <t>Miss Glam Damar</t>
        </is>
      </c>
      <c r="E1572" t="n">
        <v>7</v>
      </c>
      <c r="F1572" t="n">
        <v>0.1092</v>
      </c>
      <c r="G1572" t="n">
        <v>0.91</v>
      </c>
      <c r="H1572" t="n">
        <v>2</v>
      </c>
      <c r="I1572" t="n">
        <v>5</v>
      </c>
      <c r="J1572" t="n">
        <v>3</v>
      </c>
      <c r="K1572" t="n">
        <v>0</v>
      </c>
      <c r="L1572" t="n">
        <v>33683</v>
      </c>
      <c r="M1572" t="n">
        <v>40500</v>
      </c>
      <c r="N1572" t="n">
        <v>91</v>
      </c>
      <c r="O1572" t="n">
        <v>0.91</v>
      </c>
      <c r="P1572" t="n">
        <v>1</v>
      </c>
      <c r="Q1572" t="n">
        <v>0.12</v>
      </c>
      <c r="R1572" t="n">
        <v>2</v>
      </c>
      <c r="S1572" t="n">
        <v>4422.6</v>
      </c>
      <c r="T1572" t="n">
        <v>5</v>
      </c>
      <c r="U1572" t="n">
        <v>6</v>
      </c>
      <c r="V1572" t="n">
        <v>30</v>
      </c>
      <c r="W1572" t="n">
        <v>4</v>
      </c>
      <c r="X1572" t="n">
        <v>64.1025641025641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12504</v>
      </c>
      <c r="AG1572" t="n">
        <v>3501</v>
      </c>
      <c r="AH1572" t="inlineStr">
        <is>
          <t>PT. SAI - PPN - PF/FC (PDG)</t>
        </is>
      </c>
      <c r="AI1572" t="n">
        <v>437</v>
      </c>
      <c r="AJ1572" t="inlineStr">
        <is>
          <t>FOCALLURE</t>
        </is>
      </c>
      <c r="AK1572" t="n">
        <v>21</v>
      </c>
      <c r="AL1572" t="inlineStr">
        <is>
          <t>Miss Glam Damar</t>
        </is>
      </c>
      <c r="AM1572" t="n">
        <v>2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FOCALLURE</t>
        </is>
      </c>
      <c r="B1573" s="2">
        <f>"6941845824304"</f>
        <v/>
      </c>
      <c r="C1573" t="inlineStr">
        <is>
          <t>FOCALLURE Lasting Waterproof Brow Pomade BR02 1.4gr</t>
        </is>
      </c>
      <c r="D1573" t="inlineStr">
        <is>
          <t>Miss Glam Damar</t>
        </is>
      </c>
      <c r="E1573" t="n">
        <v>6</v>
      </c>
      <c r="F1573" t="n">
        <v>0.1547</v>
      </c>
      <c r="G1573" t="n">
        <v>0.91</v>
      </c>
      <c r="H1573" t="n">
        <v>2</v>
      </c>
      <c r="I1573" t="n">
        <v>5</v>
      </c>
      <c r="J1573" t="n">
        <v>3</v>
      </c>
      <c r="K1573" t="n">
        <v>0</v>
      </c>
      <c r="L1573" t="n">
        <v>33683</v>
      </c>
      <c r="M1573" t="n">
        <v>40500</v>
      </c>
      <c r="N1573" t="n">
        <v>91</v>
      </c>
      <c r="O1573" t="n">
        <v>0.91</v>
      </c>
      <c r="P1573" t="n">
        <v>1</v>
      </c>
      <c r="Q1573" t="n">
        <v>0.08</v>
      </c>
      <c r="R1573" t="n">
        <v>1</v>
      </c>
      <c r="S1573" t="n">
        <v>6265.35</v>
      </c>
      <c r="T1573" t="n">
        <v>5</v>
      </c>
      <c r="U1573" t="n">
        <v>6</v>
      </c>
      <c r="V1573" t="n">
        <v>30</v>
      </c>
      <c r="W1573" t="n">
        <v>5</v>
      </c>
      <c r="X1573" t="n">
        <v>38.78474466709761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12504</v>
      </c>
      <c r="AG1573" t="n">
        <v>3501</v>
      </c>
      <c r="AH1573" t="inlineStr">
        <is>
          <t>PT. SAI - PPN - PF/FC (PDG)</t>
        </is>
      </c>
      <c r="AI1573" t="n">
        <v>437</v>
      </c>
      <c r="AJ1573" t="inlineStr">
        <is>
          <t>FOCALLURE</t>
        </is>
      </c>
      <c r="AK1573" t="n">
        <v>21</v>
      </c>
      <c r="AL1573" t="inlineStr">
        <is>
          <t>Miss Glam Damar</t>
        </is>
      </c>
      <c r="AM1573" t="n">
        <v>2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FOCALLURE</t>
        </is>
      </c>
      <c r="B1574" s="2">
        <f>"20200219327"</f>
        <v/>
      </c>
      <c r="C1574" t="inlineStr">
        <is>
          <t>FOCALLURE Lifting Mascara 3gr</t>
        </is>
      </c>
      <c r="D1574" t="inlineStr">
        <is>
          <t>Miss Glam Damar</t>
        </is>
      </c>
      <c r="E1574" t="n">
        <v>8</v>
      </c>
      <c r="F1574" t="n">
        <v>0.4641</v>
      </c>
      <c r="G1574" t="n">
        <v>2.73</v>
      </c>
      <c r="H1574" t="n">
        <v>2</v>
      </c>
      <c r="I1574" t="n">
        <v>5</v>
      </c>
      <c r="J1574" t="n">
        <v>1</v>
      </c>
      <c r="K1574" t="n">
        <v>0</v>
      </c>
      <c r="L1574" t="n">
        <v>43050</v>
      </c>
      <c r="M1574" t="n">
        <v>54000</v>
      </c>
      <c r="N1574" t="n">
        <v>91</v>
      </c>
      <c r="O1574" t="n">
        <v>0.91</v>
      </c>
      <c r="P1574" t="n">
        <v>1</v>
      </c>
      <c r="Q1574" t="n">
        <v>0.27</v>
      </c>
      <c r="R1574" t="n">
        <v>2</v>
      </c>
      <c r="S1574" t="n">
        <v>25061.4</v>
      </c>
      <c r="T1574" t="n">
        <v>13</v>
      </c>
      <c r="U1574" t="n">
        <v>14</v>
      </c>
      <c r="V1574" t="n">
        <v>30</v>
      </c>
      <c r="W1574" t="n">
        <v>14</v>
      </c>
      <c r="X1574" t="n">
        <v>17.23766429648783</v>
      </c>
      <c r="Y1574" t="n">
        <v>1</v>
      </c>
      <c r="Z1574" t="n">
        <v>6</v>
      </c>
      <c r="AA1574" t="n">
        <v>0</v>
      </c>
      <c r="AB1574" t="n">
        <v>6</v>
      </c>
      <c r="AC1574" t="n">
        <v>6</v>
      </c>
      <c r="AD1574" t="n">
        <v>0</v>
      </c>
      <c r="AE1574" t="n">
        <v>258300</v>
      </c>
      <c r="AF1574" t="n">
        <v>12504</v>
      </c>
      <c r="AG1574" t="n">
        <v>3501</v>
      </c>
      <c r="AH1574" t="inlineStr">
        <is>
          <t>PT. SAI - PPN - PF/FC (PDG)</t>
        </is>
      </c>
      <c r="AI1574" t="n">
        <v>437</v>
      </c>
      <c r="AJ1574" t="inlineStr">
        <is>
          <t>FOCALLURE</t>
        </is>
      </c>
      <c r="AK1574" t="n">
        <v>21</v>
      </c>
      <c r="AL1574" t="inlineStr">
        <is>
          <t>Miss Glam Damar</t>
        </is>
      </c>
      <c r="AM1574" t="n">
        <v>2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FOCALLURE</t>
        </is>
      </c>
      <c r="B1575" s="2">
        <f>"20100958834"</f>
        <v/>
      </c>
      <c r="C1575" t="inlineStr">
        <is>
          <t>FOCALLURE My Melody All In One Make Up Palette PC03 1.5gr*2</t>
        </is>
      </c>
      <c r="D1575" t="inlineStr">
        <is>
          <t>Miss Glam Damar</t>
        </is>
      </c>
      <c r="E1575" t="n">
        <v>2</v>
      </c>
      <c r="F1575" t="n">
        <v>0.02</v>
      </c>
      <c r="G1575" t="n">
        <v>0</v>
      </c>
      <c r="H1575" t="n">
        <v>2</v>
      </c>
      <c r="I1575" t="n">
        <v>5</v>
      </c>
      <c r="J1575" t="n">
        <v>1</v>
      </c>
      <c r="K1575" t="n">
        <v>0</v>
      </c>
      <c r="L1575" t="n">
        <v>59181</v>
      </c>
      <c r="M1575" t="n">
        <v>70000</v>
      </c>
      <c r="N1575" t="n">
        <v>91</v>
      </c>
      <c r="O1575" t="n">
        <v>0.91</v>
      </c>
      <c r="P1575" t="n">
        <v>0</v>
      </c>
      <c r="Q1575" t="n">
        <v>0.02</v>
      </c>
      <c r="R1575" t="n">
        <v>0</v>
      </c>
      <c r="S1575" t="n">
        <v>1400</v>
      </c>
      <c r="T1575" t="n">
        <v>0</v>
      </c>
      <c r="U1575" t="n">
        <v>1</v>
      </c>
      <c r="V1575" t="n">
        <v>30</v>
      </c>
      <c r="W1575" t="n">
        <v>1</v>
      </c>
      <c r="X1575" t="n">
        <v>100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12504</v>
      </c>
      <c r="AG1575" t="n">
        <v>3501</v>
      </c>
      <c r="AH1575" t="inlineStr">
        <is>
          <t>PT. SAI - PPN - PF/FC (PDG)</t>
        </is>
      </c>
      <c r="AI1575" t="n">
        <v>437</v>
      </c>
      <c r="AJ1575" t="inlineStr">
        <is>
          <t>FOCALLURE</t>
        </is>
      </c>
      <c r="AK1575" t="n">
        <v>21</v>
      </c>
      <c r="AL1575" t="inlineStr">
        <is>
          <t>Miss Glam Damar</t>
        </is>
      </c>
      <c r="AM1575" t="n">
        <v>2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FOCALLURE</t>
        </is>
      </c>
      <c r="B1576" s="2">
        <f>"20100573332"</f>
        <v/>
      </c>
      <c r="C1576" t="inlineStr">
        <is>
          <t>FOCALLURE My Melody Focallure Blur Matte Powder Foundation CL01 9gr</t>
        </is>
      </c>
      <c r="D1576" t="inlineStr">
        <is>
          <t>Miss Glam Damar</t>
        </is>
      </c>
      <c r="E1576" t="n">
        <v>3</v>
      </c>
      <c r="F1576" t="n">
        <v>0.0273</v>
      </c>
      <c r="G1576" t="n">
        <v>0.91</v>
      </c>
      <c r="H1576" t="n">
        <v>2</v>
      </c>
      <c r="I1576" t="n">
        <v>5</v>
      </c>
      <c r="J1576" t="n">
        <v>1</v>
      </c>
      <c r="K1576" t="n">
        <v>0</v>
      </c>
      <c r="L1576" t="n">
        <v>51756</v>
      </c>
      <c r="M1576" t="n">
        <v>61000</v>
      </c>
      <c r="N1576" t="n">
        <v>91</v>
      </c>
      <c r="O1576" t="n">
        <v>0.91</v>
      </c>
      <c r="P1576" t="n">
        <v>1</v>
      </c>
      <c r="Q1576" t="n">
        <v>0.02</v>
      </c>
      <c r="R1576" t="n">
        <v>1</v>
      </c>
      <c r="S1576" t="n">
        <v>1665.3</v>
      </c>
      <c r="T1576" t="n">
        <v>5</v>
      </c>
      <c r="U1576" t="n">
        <v>6</v>
      </c>
      <c r="V1576" t="n">
        <v>30</v>
      </c>
      <c r="W1576" t="n">
        <v>1</v>
      </c>
      <c r="X1576" t="n">
        <v>109.8901098901099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12504</v>
      </c>
      <c r="AG1576" t="n">
        <v>3501</v>
      </c>
      <c r="AH1576" t="inlineStr">
        <is>
          <t>PT. SAI - PPN - PF/FC (PDG)</t>
        </is>
      </c>
      <c r="AI1576" t="n">
        <v>437</v>
      </c>
      <c r="AJ1576" t="inlineStr">
        <is>
          <t>FOCALLURE</t>
        </is>
      </c>
      <c r="AK1576" t="n">
        <v>21</v>
      </c>
      <c r="AL1576" t="inlineStr">
        <is>
          <t>Miss Glam Damar</t>
        </is>
      </c>
      <c r="AM1576" t="n">
        <v>2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FOCALLURE</t>
        </is>
      </c>
      <c r="B1577" s="2">
        <f>"20100573057"</f>
        <v/>
      </c>
      <c r="C1577" t="inlineStr">
        <is>
          <t>FOCALLURE My Melody Focallure Blur Matte Powder Foundation YL01 9gr</t>
        </is>
      </c>
      <c r="D1577" t="inlineStr">
        <is>
          <t>Miss Glam Damar</t>
        </is>
      </c>
      <c r="E1577" t="n">
        <v>0</v>
      </c>
      <c r="F1577" t="n">
        <v>0.0364</v>
      </c>
      <c r="G1577" t="n">
        <v>0.91</v>
      </c>
      <c r="H1577" t="n">
        <v>2</v>
      </c>
      <c r="I1577" t="n">
        <v>5</v>
      </c>
      <c r="J1577" t="n">
        <v>1</v>
      </c>
      <c r="K1577" t="n">
        <v>0</v>
      </c>
      <c r="L1577" t="n">
        <v>51756</v>
      </c>
      <c r="M1577" t="n">
        <v>61000</v>
      </c>
      <c r="N1577" t="n">
        <v>91</v>
      </c>
      <c r="O1577" t="n">
        <v>0.91</v>
      </c>
      <c r="P1577" t="n">
        <v>1</v>
      </c>
      <c r="Q1577" t="n">
        <v>0.06</v>
      </c>
      <c r="R1577" t="n">
        <v>1</v>
      </c>
      <c r="S1577" t="n">
        <v>2220.4</v>
      </c>
      <c r="T1577" t="n">
        <v>5</v>
      </c>
      <c r="U1577" t="n">
        <v>6</v>
      </c>
      <c r="V1577" t="n">
        <v>30</v>
      </c>
      <c r="W1577" t="n">
        <v>2</v>
      </c>
      <c r="X1577" t="n">
        <v>0</v>
      </c>
      <c r="Y1577" t="n">
        <v>1</v>
      </c>
      <c r="Z1577" t="n">
        <v>2</v>
      </c>
      <c r="AA1577" t="n">
        <v>1</v>
      </c>
      <c r="AB1577" t="n">
        <v>1</v>
      </c>
      <c r="AC1577" t="n">
        <v>1</v>
      </c>
      <c r="AD1577" t="n">
        <v>51756</v>
      </c>
      <c r="AE1577" t="n">
        <v>51756</v>
      </c>
      <c r="AF1577" t="n">
        <v>12504</v>
      </c>
      <c r="AG1577" t="n">
        <v>3501</v>
      </c>
      <c r="AH1577" t="inlineStr">
        <is>
          <t>PT. SAI - PPN - PF/FC (PDG)</t>
        </is>
      </c>
      <c r="AI1577" t="n">
        <v>437</v>
      </c>
      <c r="AJ1577" t="inlineStr">
        <is>
          <t>FOCALLURE</t>
        </is>
      </c>
      <c r="AK1577" t="n">
        <v>21</v>
      </c>
      <c r="AL1577" t="inlineStr">
        <is>
          <t>Miss Glam Damar</t>
        </is>
      </c>
      <c r="AM1577" t="n">
        <v>2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FOCALLURE</t>
        </is>
      </c>
      <c r="B1578" s="2">
        <f>"6941845807758"</f>
        <v/>
      </c>
      <c r="C1578" t="inlineStr">
        <is>
          <t>FOCALLURE Pressed Powder FA16-01</t>
        </is>
      </c>
      <c r="D1578" t="inlineStr">
        <is>
          <t>Miss Glam Damar</t>
        </is>
      </c>
      <c r="E1578" t="n">
        <v>12</v>
      </c>
      <c r="F1578" t="n">
        <v>0.1</v>
      </c>
      <c r="G1578" t="n">
        <v>2</v>
      </c>
      <c r="H1578" t="n">
        <v>2</v>
      </c>
      <c r="I1578" t="n">
        <v>5</v>
      </c>
      <c r="J1578" t="n">
        <v>3</v>
      </c>
      <c r="K1578" t="n">
        <v>0</v>
      </c>
      <c r="L1578" t="n">
        <v>30685</v>
      </c>
      <c r="M1578" t="n">
        <v>37000</v>
      </c>
      <c r="N1578" t="n">
        <v>91</v>
      </c>
      <c r="O1578" t="n">
        <v>0.91</v>
      </c>
      <c r="P1578" t="n">
        <v>0</v>
      </c>
      <c r="Q1578" t="n">
        <v>0.1</v>
      </c>
      <c r="R1578" t="n">
        <v>2</v>
      </c>
      <c r="S1578" t="n">
        <v>3700</v>
      </c>
      <c r="T1578" t="n">
        <v>10</v>
      </c>
      <c r="U1578" t="n">
        <v>11</v>
      </c>
      <c r="V1578" t="n">
        <v>30</v>
      </c>
      <c r="W1578" t="n">
        <v>3</v>
      </c>
      <c r="X1578" t="n">
        <v>120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12504</v>
      </c>
      <c r="AG1578" t="n">
        <v>3501</v>
      </c>
      <c r="AH1578" t="inlineStr">
        <is>
          <t>PT. SAI - PPN - PF/FC (PDG)</t>
        </is>
      </c>
      <c r="AI1578" t="n">
        <v>437</v>
      </c>
      <c r="AJ1578" t="inlineStr">
        <is>
          <t>FOCALLURE</t>
        </is>
      </c>
      <c r="AK1578" t="n">
        <v>21</v>
      </c>
      <c r="AL1578" t="inlineStr">
        <is>
          <t>Miss Glam Damar</t>
        </is>
      </c>
      <c r="AM1578" t="n">
        <v>2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FOCALLURE</t>
        </is>
      </c>
      <c r="B1579" s="2">
        <f>"6941845807765"</f>
        <v/>
      </c>
      <c r="C1579" t="inlineStr">
        <is>
          <t>FOCALLURE Pressed Powder FA16-02</t>
        </is>
      </c>
      <c r="D1579" t="inlineStr">
        <is>
          <t>Miss Glam Damar</t>
        </is>
      </c>
      <c r="E1579" t="n">
        <v>6</v>
      </c>
      <c r="F1579" t="n">
        <v>0.3276</v>
      </c>
      <c r="G1579" t="n">
        <v>2.73</v>
      </c>
      <c r="H1579" t="n">
        <v>2</v>
      </c>
      <c r="I1579" t="n">
        <v>5</v>
      </c>
      <c r="J1579" t="n">
        <v>3</v>
      </c>
      <c r="K1579" t="n">
        <v>0</v>
      </c>
      <c r="L1579" t="n">
        <v>30685</v>
      </c>
      <c r="M1579" t="n">
        <v>37000</v>
      </c>
      <c r="N1579" t="n">
        <v>91</v>
      </c>
      <c r="O1579" t="n">
        <v>0.91</v>
      </c>
      <c r="P1579" t="n">
        <v>1</v>
      </c>
      <c r="Q1579" t="n">
        <v>0.41</v>
      </c>
      <c r="R1579" t="n">
        <v>2</v>
      </c>
      <c r="S1579" t="n">
        <v>12121.2</v>
      </c>
      <c r="T1579" t="n">
        <v>13</v>
      </c>
      <c r="U1579" t="n">
        <v>14</v>
      </c>
      <c r="V1579" t="n">
        <v>30</v>
      </c>
      <c r="W1579" t="n">
        <v>10</v>
      </c>
      <c r="X1579" t="n">
        <v>18.31501831501831</v>
      </c>
      <c r="Y1579" t="n">
        <v>1</v>
      </c>
      <c r="Z1579" t="n">
        <v>4</v>
      </c>
      <c r="AA1579" t="n">
        <v>0</v>
      </c>
      <c r="AB1579" t="n">
        <v>4</v>
      </c>
      <c r="AC1579" t="n">
        <v>4</v>
      </c>
      <c r="AD1579" t="n">
        <v>0</v>
      </c>
      <c r="AE1579" t="n">
        <v>122740</v>
      </c>
      <c r="AF1579" t="n">
        <v>12504</v>
      </c>
      <c r="AG1579" t="n">
        <v>3501</v>
      </c>
      <c r="AH1579" t="inlineStr">
        <is>
          <t>PT. SAI - PPN - PF/FC (PDG)</t>
        </is>
      </c>
      <c r="AI1579" t="n">
        <v>437</v>
      </c>
      <c r="AJ1579" t="inlineStr">
        <is>
          <t>FOCALLURE</t>
        </is>
      </c>
      <c r="AK1579" t="n">
        <v>21</v>
      </c>
      <c r="AL1579" t="inlineStr">
        <is>
          <t>Miss Glam Damar</t>
        </is>
      </c>
      <c r="AM1579" t="n">
        <v>2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FOCALLURE</t>
        </is>
      </c>
      <c r="B1580" s="2">
        <f>"6941845807789"</f>
        <v/>
      </c>
      <c r="C1580" t="inlineStr">
        <is>
          <t>FOCALLURE Setting Powder FA15-01 7gr</t>
        </is>
      </c>
      <c r="D1580" t="inlineStr">
        <is>
          <t>Miss Glam Damar</t>
        </is>
      </c>
      <c r="E1580" t="n">
        <v>9</v>
      </c>
      <c r="F1580" t="n">
        <v>0.182</v>
      </c>
      <c r="G1580" t="n">
        <v>1.82</v>
      </c>
      <c r="H1580" t="n">
        <v>2</v>
      </c>
      <c r="I1580" t="n">
        <v>5</v>
      </c>
      <c r="J1580" t="n">
        <v>3</v>
      </c>
      <c r="K1580" t="n">
        <v>0</v>
      </c>
      <c r="L1580" t="n">
        <v>27244</v>
      </c>
      <c r="M1580" t="n">
        <v>32500</v>
      </c>
      <c r="N1580" t="n">
        <v>91</v>
      </c>
      <c r="O1580" t="n">
        <v>0.91</v>
      </c>
      <c r="P1580" t="n">
        <v>1</v>
      </c>
      <c r="Q1580" t="n">
        <v>0.24</v>
      </c>
      <c r="R1580" t="n">
        <v>3</v>
      </c>
      <c r="S1580" t="n">
        <v>5915.000000000001</v>
      </c>
      <c r="T1580" t="n">
        <v>9</v>
      </c>
      <c r="U1580" t="n">
        <v>10</v>
      </c>
      <c r="V1580" t="n">
        <v>30</v>
      </c>
      <c r="W1580" t="n">
        <v>6</v>
      </c>
      <c r="X1580" t="n">
        <v>49.45054945054945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12504</v>
      </c>
      <c r="AG1580" t="n">
        <v>3501</v>
      </c>
      <c r="AH1580" t="inlineStr">
        <is>
          <t>PT. SAI - PPN - PF/FC (PDG)</t>
        </is>
      </c>
      <c r="AI1580" t="n">
        <v>437</v>
      </c>
      <c r="AJ1580" t="inlineStr">
        <is>
          <t>FOCALLURE</t>
        </is>
      </c>
      <c r="AK1580" t="n">
        <v>21</v>
      </c>
      <c r="AL1580" t="inlineStr">
        <is>
          <t>Miss Glam Damar</t>
        </is>
      </c>
      <c r="AM1580" t="n">
        <v>2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FOCALLURE</t>
        </is>
      </c>
      <c r="B1581" s="2">
        <f>"6941845807796"</f>
        <v/>
      </c>
      <c r="C1581" t="inlineStr">
        <is>
          <t>FOCALLURE Setting Powder FA15-02 7gr</t>
        </is>
      </c>
      <c r="D1581" t="inlineStr">
        <is>
          <t>Miss Glam Damar</t>
        </is>
      </c>
      <c r="E1581" t="n">
        <v>26</v>
      </c>
      <c r="F1581" t="n">
        <v>1.0192</v>
      </c>
      <c r="G1581" t="n">
        <v>6.37</v>
      </c>
      <c r="H1581" t="n">
        <v>2</v>
      </c>
      <c r="I1581" t="n">
        <v>5</v>
      </c>
      <c r="J1581" t="n">
        <v>3</v>
      </c>
      <c r="K1581" t="n">
        <v>0</v>
      </c>
      <c r="L1581" t="n">
        <v>27244</v>
      </c>
      <c r="M1581" t="n">
        <v>32500</v>
      </c>
      <c r="N1581" t="n">
        <v>91</v>
      </c>
      <c r="O1581" t="n">
        <v>0.91</v>
      </c>
      <c r="P1581" t="n">
        <v>1</v>
      </c>
      <c r="Q1581" t="n">
        <v>0.68</v>
      </c>
      <c r="R1581" t="n">
        <v>3</v>
      </c>
      <c r="S1581" t="n">
        <v>33124</v>
      </c>
      <c r="T1581" t="n">
        <v>30</v>
      </c>
      <c r="U1581" t="n">
        <v>33</v>
      </c>
      <c r="V1581" t="n">
        <v>30</v>
      </c>
      <c r="W1581" t="n">
        <v>31</v>
      </c>
      <c r="X1581" t="n">
        <v>25.51020408163265</v>
      </c>
      <c r="Y1581" t="n">
        <v>1</v>
      </c>
      <c r="Z1581" t="n">
        <v>5</v>
      </c>
      <c r="AA1581" t="n">
        <v>0</v>
      </c>
      <c r="AB1581" t="n">
        <v>5</v>
      </c>
      <c r="AC1581" t="n">
        <v>5</v>
      </c>
      <c r="AD1581" t="n">
        <v>0</v>
      </c>
      <c r="AE1581" t="n">
        <v>136220</v>
      </c>
      <c r="AF1581" t="n">
        <v>12504</v>
      </c>
      <c r="AG1581" t="n">
        <v>3501</v>
      </c>
      <c r="AH1581" t="inlineStr">
        <is>
          <t>PT. SAI - PPN - PF/FC (PDG)</t>
        </is>
      </c>
      <c r="AI1581" t="n">
        <v>437</v>
      </c>
      <c r="AJ1581" t="inlineStr">
        <is>
          <t>FOCALLURE</t>
        </is>
      </c>
      <c r="AK1581" t="n">
        <v>21</v>
      </c>
      <c r="AL1581" t="inlineStr">
        <is>
          <t>Miss Glam Damar</t>
        </is>
      </c>
      <c r="AM1581" t="n">
        <v>2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FOCALLURE</t>
        </is>
      </c>
      <c r="B1582" s="2">
        <f>"6941845807802"</f>
        <v/>
      </c>
      <c r="C1582" t="inlineStr">
        <is>
          <t>FOCALLURE Setting Powder FA15-03 7gr</t>
        </is>
      </c>
      <c r="D1582" t="inlineStr">
        <is>
          <t>Miss Glam Damar</t>
        </is>
      </c>
      <c r="E1582" t="n">
        <v>9</v>
      </c>
      <c r="F1582" t="n">
        <v>0.06370000000000001</v>
      </c>
      <c r="G1582" t="n">
        <v>0.91</v>
      </c>
      <c r="H1582" t="n">
        <v>2</v>
      </c>
      <c r="I1582" t="n">
        <v>5</v>
      </c>
      <c r="J1582" t="n">
        <v>3</v>
      </c>
      <c r="K1582" t="n">
        <v>0</v>
      </c>
      <c r="L1582" t="n">
        <v>27244</v>
      </c>
      <c r="M1582" t="n">
        <v>32500</v>
      </c>
      <c r="N1582" t="n">
        <v>91</v>
      </c>
      <c r="O1582" t="n">
        <v>0.91</v>
      </c>
      <c r="P1582" t="n">
        <v>1</v>
      </c>
      <c r="Q1582" t="n">
        <v>0.17</v>
      </c>
      <c r="R1582" t="n">
        <v>2</v>
      </c>
      <c r="S1582" t="n">
        <v>2070.25</v>
      </c>
      <c r="T1582" t="n">
        <v>5</v>
      </c>
      <c r="U1582" t="n">
        <v>6</v>
      </c>
      <c r="V1582" t="n">
        <v>30</v>
      </c>
      <c r="W1582" t="n">
        <v>2</v>
      </c>
      <c r="X1582" t="n">
        <v>141.287284144427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12504</v>
      </c>
      <c r="AG1582" t="n">
        <v>3501</v>
      </c>
      <c r="AH1582" t="inlineStr">
        <is>
          <t>PT. SAI - PPN - PF/FC (PDG)</t>
        </is>
      </c>
      <c r="AI1582" t="n">
        <v>437</v>
      </c>
      <c r="AJ1582" t="inlineStr">
        <is>
          <t>FOCALLURE</t>
        </is>
      </c>
      <c r="AK1582" t="n">
        <v>21</v>
      </c>
      <c r="AL1582" t="inlineStr">
        <is>
          <t>Miss Glam Damar</t>
        </is>
      </c>
      <c r="AM1582" t="n">
        <v>2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FOCALLURE</t>
        </is>
      </c>
      <c r="B1583" s="2">
        <f>"10700330026"</f>
        <v/>
      </c>
      <c r="C1583" t="inlineStr">
        <is>
          <t>FOCALLURE Watery Lip Balm #NU01 1.6gr</t>
        </is>
      </c>
      <c r="D1583" t="inlineStr">
        <is>
          <t>Miss Glam Damar</t>
        </is>
      </c>
      <c r="E1583" t="n">
        <v>1</v>
      </c>
      <c r="F1583" t="n">
        <v>0.04550000000000001</v>
      </c>
      <c r="G1583" t="n">
        <v>0.91</v>
      </c>
      <c r="H1583" t="n">
        <v>2</v>
      </c>
      <c r="I1583" t="n">
        <v>5</v>
      </c>
      <c r="J1583" t="n">
        <v>1</v>
      </c>
      <c r="K1583" t="n">
        <v>0</v>
      </c>
      <c r="L1583" t="n">
        <v>43301</v>
      </c>
      <c r="M1583" t="n">
        <v>55000</v>
      </c>
      <c r="N1583" t="n">
        <v>91</v>
      </c>
      <c r="O1583" t="n">
        <v>0.91</v>
      </c>
      <c r="P1583" t="n">
        <v>1</v>
      </c>
      <c r="Q1583" t="n">
        <v>0.03</v>
      </c>
      <c r="R1583" t="n">
        <v>1</v>
      </c>
      <c r="S1583" t="n">
        <v>2502.5</v>
      </c>
      <c r="T1583" t="n">
        <v>5</v>
      </c>
      <c r="U1583" t="n">
        <v>6</v>
      </c>
      <c r="V1583" t="n">
        <v>30</v>
      </c>
      <c r="W1583" t="n">
        <v>2</v>
      </c>
      <c r="X1583" t="n">
        <v>21.97802197802197</v>
      </c>
      <c r="Y1583" t="n">
        <v>1</v>
      </c>
      <c r="Z1583" t="n">
        <v>1</v>
      </c>
      <c r="AA1583" t="n">
        <v>0</v>
      </c>
      <c r="AB1583" t="n">
        <v>1</v>
      </c>
      <c r="AC1583" t="n">
        <v>1</v>
      </c>
      <c r="AD1583" t="n">
        <v>0</v>
      </c>
      <c r="AE1583" t="n">
        <v>43301</v>
      </c>
      <c r="AF1583" t="n">
        <v>12504</v>
      </c>
      <c r="AG1583" t="n">
        <v>3501</v>
      </c>
      <c r="AH1583" t="inlineStr">
        <is>
          <t>PT. SAI - PPN - PF/FC (PDG)</t>
        </is>
      </c>
      <c r="AI1583" t="n">
        <v>437</v>
      </c>
      <c r="AJ1583" t="inlineStr">
        <is>
          <t>FOCALLURE</t>
        </is>
      </c>
      <c r="AK1583" t="n">
        <v>21</v>
      </c>
      <c r="AL1583" t="inlineStr">
        <is>
          <t>Miss Glam Damar</t>
        </is>
      </c>
      <c r="AM1583" t="n">
        <v>2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FOCALLURE</t>
        </is>
      </c>
      <c r="B1584" s="2">
        <f>"10700330152"</f>
        <v/>
      </c>
      <c r="C1584" t="inlineStr">
        <is>
          <t>FOCALLURE Watery Lip Balm #NU02 1.6gr</t>
        </is>
      </c>
      <c r="D1584" t="inlineStr">
        <is>
          <t>Miss Glam Damar</t>
        </is>
      </c>
      <c r="E1584" t="n">
        <v>4</v>
      </c>
      <c r="F1584" t="n">
        <v>0.0182</v>
      </c>
      <c r="G1584" t="n">
        <v>0.91</v>
      </c>
      <c r="H1584" t="n">
        <v>2</v>
      </c>
      <c r="I1584" t="n">
        <v>5</v>
      </c>
      <c r="J1584" t="n">
        <v>1</v>
      </c>
      <c r="K1584" t="n">
        <v>0</v>
      </c>
      <c r="L1584" t="n">
        <v>42929</v>
      </c>
      <c r="M1584" t="n">
        <v>55000</v>
      </c>
      <c r="N1584" t="n">
        <v>91</v>
      </c>
      <c r="O1584" t="n">
        <v>0.91</v>
      </c>
      <c r="P1584" t="n">
        <v>1</v>
      </c>
      <c r="Q1584" t="n">
        <v>0.02</v>
      </c>
      <c r="R1584" t="n">
        <v>1</v>
      </c>
      <c r="S1584" t="n">
        <v>1001</v>
      </c>
      <c r="T1584" t="n">
        <v>5</v>
      </c>
      <c r="U1584" t="n">
        <v>6</v>
      </c>
      <c r="V1584" t="n">
        <v>30</v>
      </c>
      <c r="W1584" t="n">
        <v>1</v>
      </c>
      <c r="X1584" t="n">
        <v>219.7802197802198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12504</v>
      </c>
      <c r="AG1584" t="n">
        <v>3501</v>
      </c>
      <c r="AH1584" t="inlineStr">
        <is>
          <t>PT. SAI - PPN - PF/FC (PDG)</t>
        </is>
      </c>
      <c r="AI1584" t="n">
        <v>437</v>
      </c>
      <c r="AJ1584" t="inlineStr">
        <is>
          <t>FOCALLURE</t>
        </is>
      </c>
      <c r="AK1584" t="n">
        <v>21</v>
      </c>
      <c r="AL1584" t="inlineStr">
        <is>
          <t>Miss Glam Damar</t>
        </is>
      </c>
      <c r="AM1584" t="n">
        <v>2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FOCALLURE</t>
        </is>
      </c>
      <c r="B1585" s="2">
        <f>"10700330225"</f>
        <v/>
      </c>
      <c r="C1585" t="inlineStr">
        <is>
          <t>FOCALLURE Watery Lip Balm #NU03 1.6gr</t>
        </is>
      </c>
      <c r="D1585" t="inlineStr">
        <is>
          <t>Miss Glam Damar</t>
        </is>
      </c>
      <c r="E1585" t="n">
        <v>3</v>
      </c>
      <c r="F1585" t="n">
        <v>0.0273</v>
      </c>
      <c r="G1585" t="n">
        <v>0.91</v>
      </c>
      <c r="H1585" t="n">
        <v>2</v>
      </c>
      <c r="I1585" t="n">
        <v>5</v>
      </c>
      <c r="J1585" t="n">
        <v>1</v>
      </c>
      <c r="K1585" t="n">
        <v>0</v>
      </c>
      <c r="L1585" t="n">
        <v>42929</v>
      </c>
      <c r="M1585" t="n">
        <v>55000</v>
      </c>
      <c r="N1585" t="n">
        <v>91</v>
      </c>
      <c r="O1585" t="n">
        <v>0.91</v>
      </c>
      <c r="P1585" t="n">
        <v>1</v>
      </c>
      <c r="Q1585" t="n">
        <v>0.03</v>
      </c>
      <c r="R1585" t="n">
        <v>1</v>
      </c>
      <c r="S1585" t="n">
        <v>1501.5</v>
      </c>
      <c r="T1585" t="n">
        <v>5</v>
      </c>
      <c r="U1585" t="n">
        <v>6</v>
      </c>
      <c r="V1585" t="n">
        <v>30</v>
      </c>
      <c r="W1585" t="n">
        <v>1</v>
      </c>
      <c r="X1585" t="n">
        <v>109.8901098901099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12504</v>
      </c>
      <c r="AG1585" t="n">
        <v>3501</v>
      </c>
      <c r="AH1585" t="inlineStr">
        <is>
          <t>PT. SAI - PPN - PF/FC (PDG)</t>
        </is>
      </c>
      <c r="AI1585" t="n">
        <v>437</v>
      </c>
      <c r="AJ1585" t="inlineStr">
        <is>
          <t>FOCALLURE</t>
        </is>
      </c>
      <c r="AK1585" t="n">
        <v>21</v>
      </c>
      <c r="AL1585" t="inlineStr">
        <is>
          <t>Miss Glam Damar</t>
        </is>
      </c>
      <c r="AM1585" t="n">
        <v>2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FOCALLURE</t>
        </is>
      </c>
      <c r="B1586" s="2">
        <f>"10700330422"</f>
        <v/>
      </c>
      <c r="C1586" t="inlineStr">
        <is>
          <t>FOCALLURE Watery Lip Balm #PK01 1.6gr</t>
        </is>
      </c>
      <c r="D1586" t="inlineStr">
        <is>
          <t>Miss Glam Damar</t>
        </is>
      </c>
      <c r="E1586" t="n">
        <v>5</v>
      </c>
      <c r="F1586" t="n">
        <v>0.0182</v>
      </c>
      <c r="G1586" t="n">
        <v>0.91</v>
      </c>
      <c r="H1586" t="n">
        <v>2</v>
      </c>
      <c r="I1586" t="n">
        <v>5</v>
      </c>
      <c r="J1586" t="n">
        <v>1</v>
      </c>
      <c r="K1586" t="n">
        <v>0</v>
      </c>
      <c r="L1586" t="n">
        <v>42929</v>
      </c>
      <c r="M1586" t="n">
        <v>55000</v>
      </c>
      <c r="N1586" t="n">
        <v>91</v>
      </c>
      <c r="O1586" t="n">
        <v>0.91</v>
      </c>
      <c r="P1586" t="n">
        <v>1</v>
      </c>
      <c r="Q1586" t="n">
        <v>0.07000000000000001</v>
      </c>
      <c r="R1586" t="n">
        <v>1</v>
      </c>
      <c r="S1586" t="n">
        <v>1001</v>
      </c>
      <c r="T1586" t="n">
        <v>5</v>
      </c>
      <c r="U1586" t="n">
        <v>6</v>
      </c>
      <c r="V1586" t="n">
        <v>30</v>
      </c>
      <c r="W1586" t="n">
        <v>1</v>
      </c>
      <c r="X1586" t="n">
        <v>274.7252747252747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12504</v>
      </c>
      <c r="AG1586" t="n">
        <v>3501</v>
      </c>
      <c r="AH1586" t="inlineStr">
        <is>
          <t>PT. SAI - PPN - PF/FC (PDG)</t>
        </is>
      </c>
      <c r="AI1586" t="n">
        <v>437</v>
      </c>
      <c r="AJ1586" t="inlineStr">
        <is>
          <t>FOCALLURE</t>
        </is>
      </c>
      <c r="AK1586" t="n">
        <v>21</v>
      </c>
      <c r="AL1586" t="inlineStr">
        <is>
          <t>Miss Glam Damar</t>
        </is>
      </c>
      <c r="AM1586" t="n">
        <v>2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FOCALLURE</t>
        </is>
      </c>
      <c r="B1587" s="2">
        <f>"10700330548"</f>
        <v/>
      </c>
      <c r="C1587" t="inlineStr">
        <is>
          <t>FOCALLURE Watery Lip Balm #PK02 1.6gr</t>
        </is>
      </c>
      <c r="D1587" t="inlineStr">
        <is>
          <t>Miss Glam Damar</t>
        </is>
      </c>
      <c r="E1587" t="n">
        <v>1</v>
      </c>
      <c r="F1587" t="n">
        <v>0.02</v>
      </c>
      <c r="G1587" t="n">
        <v>1</v>
      </c>
      <c r="H1587" t="n">
        <v>2</v>
      </c>
      <c r="I1587" t="n">
        <v>5</v>
      </c>
      <c r="J1587" t="n">
        <v>1</v>
      </c>
      <c r="K1587" t="n">
        <v>0</v>
      </c>
      <c r="L1587" t="n">
        <v>42929</v>
      </c>
      <c r="M1587" t="n">
        <v>55000</v>
      </c>
      <c r="N1587" t="n">
        <v>91</v>
      </c>
      <c r="O1587" t="n">
        <v>0.91</v>
      </c>
      <c r="P1587" t="n">
        <v>0</v>
      </c>
      <c r="Q1587" t="n">
        <v>0.02</v>
      </c>
      <c r="R1587" t="n">
        <v>1</v>
      </c>
      <c r="S1587" t="n">
        <v>1100</v>
      </c>
      <c r="T1587" t="n">
        <v>5</v>
      </c>
      <c r="U1587" t="n">
        <v>6</v>
      </c>
      <c r="V1587" t="n">
        <v>30</v>
      </c>
      <c r="W1587" t="n">
        <v>1</v>
      </c>
      <c r="X1587" t="n">
        <v>50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12504</v>
      </c>
      <c r="AG1587" t="n">
        <v>3501</v>
      </c>
      <c r="AH1587" t="inlineStr">
        <is>
          <t>PT. SAI - PPN - PF/FC (PDG)</t>
        </is>
      </c>
      <c r="AI1587" t="n">
        <v>437</v>
      </c>
      <c r="AJ1587" t="inlineStr">
        <is>
          <t>FOCALLURE</t>
        </is>
      </c>
      <c r="AK1587" t="n">
        <v>21</v>
      </c>
      <c r="AL1587" t="inlineStr">
        <is>
          <t>Miss Glam Damar</t>
        </is>
      </c>
      <c r="AM1587" t="n">
        <v>2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FOCALSKIN</t>
        </is>
      </c>
      <c r="B1588" s="2">
        <f>"6941845813216"</f>
        <v/>
      </c>
      <c r="C1588" t="inlineStr">
        <is>
          <t>FOCALSKIN Porefying Bubble Cleanser 120gr</t>
        </is>
      </c>
      <c r="D1588" t="inlineStr">
        <is>
          <t>Miss Glam Damar</t>
        </is>
      </c>
      <c r="E1588" t="n">
        <v>0</v>
      </c>
      <c r="F1588" t="n">
        <v>0.02</v>
      </c>
      <c r="G1588" t="n">
        <v>1</v>
      </c>
      <c r="H1588" t="n">
        <v>2</v>
      </c>
      <c r="I1588" t="n">
        <v>11</v>
      </c>
      <c r="J1588" t="n">
        <v>3</v>
      </c>
      <c r="K1588" t="n">
        <v>0</v>
      </c>
      <c r="L1588" t="n">
        <v>94400</v>
      </c>
      <c r="M1588" t="n">
        <v>118000</v>
      </c>
      <c r="N1588" t="n">
        <v>91</v>
      </c>
      <c r="O1588" t="n">
        <v>0.91</v>
      </c>
      <c r="P1588" t="n">
        <v>0</v>
      </c>
      <c r="Q1588" t="n">
        <v>0.02</v>
      </c>
      <c r="R1588" t="n">
        <v>1</v>
      </c>
      <c r="S1588" t="n">
        <v>2360</v>
      </c>
      <c r="T1588" t="n">
        <v>11</v>
      </c>
      <c r="U1588" t="n">
        <v>12</v>
      </c>
      <c r="V1588" t="n">
        <v>30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n">
        <v>0</v>
      </c>
      <c r="AC1588" t="n">
        <v>0</v>
      </c>
      <c r="AD1588" t="n">
        <v>94400</v>
      </c>
      <c r="AE1588" t="n">
        <v>0</v>
      </c>
      <c r="AF1588" t="n">
        <v>12355</v>
      </c>
      <c r="AG1588" t="n">
        <v>92</v>
      </c>
      <c r="AH1588" t="inlineStr">
        <is>
          <t>PT. SAI (PDG)</t>
        </is>
      </c>
      <c r="AI1588" t="n">
        <v>1727</v>
      </c>
      <c r="AJ1588" t="inlineStr">
        <is>
          <t>FOCALSKIN</t>
        </is>
      </c>
      <c r="AK1588" t="n">
        <v>21</v>
      </c>
      <c r="AL1588" t="inlineStr">
        <is>
          <t>Miss Glam Damar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FOCALSKIN</t>
        </is>
      </c>
      <c r="B1589" s="2">
        <f>"6941845811533"</f>
        <v/>
      </c>
      <c r="C1589" t="inlineStr">
        <is>
          <t>FOCALSKIN Removes Blackhead Nose Patch 3ml x 5</t>
        </is>
      </c>
      <c r="D1589" t="inlineStr">
        <is>
          <t>Miss Glam Damar</t>
        </is>
      </c>
      <c r="E1589" t="n">
        <v>0</v>
      </c>
      <c r="F1589" t="n">
        <v>0.0273</v>
      </c>
      <c r="G1589" t="n">
        <v>0.91</v>
      </c>
      <c r="H1589" t="n">
        <v>2</v>
      </c>
      <c r="I1589" t="n">
        <v>11</v>
      </c>
      <c r="J1589" t="n">
        <v>3</v>
      </c>
      <c r="K1589" t="n">
        <v>0</v>
      </c>
      <c r="L1589" t="n">
        <v>96800</v>
      </c>
      <c r="M1589" t="n">
        <v>121000</v>
      </c>
      <c r="N1589" t="n">
        <v>91</v>
      </c>
      <c r="O1589" t="n">
        <v>0.91</v>
      </c>
      <c r="P1589" t="n">
        <v>1</v>
      </c>
      <c r="Q1589" t="n">
        <v>0.06</v>
      </c>
      <c r="R1589" t="n">
        <v>2</v>
      </c>
      <c r="S1589" t="n">
        <v>3303.3</v>
      </c>
      <c r="T1589" t="n">
        <v>10</v>
      </c>
      <c r="U1589" t="n">
        <v>11</v>
      </c>
      <c r="V1589" t="n">
        <v>30</v>
      </c>
      <c r="W1589" t="n">
        <v>1</v>
      </c>
      <c r="X1589" t="n">
        <v>0</v>
      </c>
      <c r="Y1589" t="n">
        <v>1</v>
      </c>
      <c r="Z1589" t="n">
        <v>1</v>
      </c>
      <c r="AA1589" t="n">
        <v>1</v>
      </c>
      <c r="AB1589" t="n">
        <v>0</v>
      </c>
      <c r="AC1589" t="n">
        <v>0</v>
      </c>
      <c r="AD1589" t="n">
        <v>96800</v>
      </c>
      <c r="AE1589" t="n">
        <v>0</v>
      </c>
      <c r="AF1589" t="n">
        <v>12355</v>
      </c>
      <c r="AG1589" t="n">
        <v>92</v>
      </c>
      <c r="AH1589" t="inlineStr">
        <is>
          <t>PT. SAI (PDG)</t>
        </is>
      </c>
      <c r="AI1589" t="n">
        <v>1727</v>
      </c>
      <c r="AJ1589" t="inlineStr">
        <is>
          <t>FOCALSKIN</t>
        </is>
      </c>
      <c r="AK1589" t="n">
        <v>21</v>
      </c>
      <c r="AL1589" t="inlineStr">
        <is>
          <t>Miss Glam Damar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FOLTI BAFFI</t>
        </is>
      </c>
      <c r="B1590" s="2">
        <f>"8994448763882"</f>
        <v/>
      </c>
      <c r="C1590" t="inlineStr">
        <is>
          <t>FOLTI BAFFI Water Based Pomade 80gr</t>
        </is>
      </c>
      <c r="D1590" t="inlineStr">
        <is>
          <t>Miss Glam Damar</t>
        </is>
      </c>
      <c r="E1590" t="n">
        <v>0</v>
      </c>
      <c r="F1590" t="n">
        <v>0.07000000000000001</v>
      </c>
      <c r="G1590" t="n">
        <v>1</v>
      </c>
      <c r="H1590" t="n">
        <v>4</v>
      </c>
      <c r="I1590" t="n">
        <v>21</v>
      </c>
      <c r="J1590" t="n">
        <v>3</v>
      </c>
      <c r="K1590" t="n">
        <v>0</v>
      </c>
      <c r="L1590" t="n">
        <v>83789</v>
      </c>
      <c r="M1590" t="n">
        <v>105000</v>
      </c>
      <c r="N1590" t="n">
        <v>91</v>
      </c>
      <c r="O1590" t="n">
        <v>0.91</v>
      </c>
      <c r="P1590" t="n">
        <v>0</v>
      </c>
      <c r="Q1590" t="n">
        <v>0.07000000000000001</v>
      </c>
      <c r="R1590" t="n">
        <v>1</v>
      </c>
      <c r="S1590" t="n">
        <v>7350.000000000001</v>
      </c>
      <c r="T1590" t="n">
        <v>21</v>
      </c>
      <c r="U1590" t="n">
        <v>22</v>
      </c>
      <c r="V1590" t="n">
        <v>30</v>
      </c>
      <c r="W1590" t="n">
        <v>3</v>
      </c>
      <c r="X1590" t="n">
        <v>0</v>
      </c>
      <c r="Y1590" t="n">
        <v>1</v>
      </c>
      <c r="Z1590" t="n">
        <v>3</v>
      </c>
      <c r="AA1590" t="n">
        <v>2</v>
      </c>
      <c r="AB1590" t="n">
        <v>1</v>
      </c>
      <c r="AC1590" t="n">
        <v>3</v>
      </c>
      <c r="AD1590" t="n">
        <v>167578</v>
      </c>
      <c r="AE1590" t="n">
        <v>251367</v>
      </c>
      <c r="AF1590" t="n">
        <v>4956</v>
      </c>
      <c r="AG1590" t="n">
        <v>1</v>
      </c>
      <c r="AH1590" t="inlineStr">
        <is>
          <t>PT. BERSAMA DISTRIVERSA INDONESIA (DC CIPUTAT)</t>
        </is>
      </c>
      <c r="AI1590" t="n">
        <v>1336</v>
      </c>
      <c r="AJ1590" t="inlineStr">
        <is>
          <t>FOLTI BAFFI</t>
        </is>
      </c>
      <c r="AK1590" t="n">
        <v>21</v>
      </c>
      <c r="AL1590" t="inlineStr">
        <is>
          <t>Miss Glam Damar</t>
        </is>
      </c>
      <c r="AM1590" t="n">
        <v>4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FOREBIE</t>
        </is>
      </c>
      <c r="B1591" s="2">
        <f>"10200160050"</f>
        <v/>
      </c>
      <c r="C1591" t="inlineStr">
        <is>
          <t>FOREBIE Barrier Balancing Essence Toner 100Ml</t>
        </is>
      </c>
      <c r="D1591" t="inlineStr">
        <is>
          <t>Miss Glam Damar</t>
        </is>
      </c>
      <c r="E1591" t="n">
        <v>10</v>
      </c>
      <c r="F1591" t="n">
        <v>0.06370000000000001</v>
      </c>
      <c r="G1591" t="n">
        <v>1.82</v>
      </c>
      <c r="H1591" t="n">
        <v>4</v>
      </c>
      <c r="I1591" t="n">
        <v>21</v>
      </c>
      <c r="J1591" t="n">
        <v>1</v>
      </c>
      <c r="K1591" t="n">
        <v>0</v>
      </c>
      <c r="L1591" t="n">
        <v>68000</v>
      </c>
      <c r="M1591" t="n">
        <v>104000</v>
      </c>
      <c r="N1591" t="n">
        <v>91</v>
      </c>
      <c r="O1591" t="n">
        <v>0.91</v>
      </c>
      <c r="P1591" t="n">
        <v>1</v>
      </c>
      <c r="Q1591" t="n">
        <v>0.05</v>
      </c>
      <c r="R1591" t="n">
        <v>1</v>
      </c>
      <c r="S1591" t="n">
        <v>6624.800000000001</v>
      </c>
      <c r="T1591" t="n">
        <v>38</v>
      </c>
      <c r="U1591" t="n">
        <v>39</v>
      </c>
      <c r="V1591" t="n">
        <v>30</v>
      </c>
      <c r="W1591" t="n">
        <v>2</v>
      </c>
      <c r="X1591" t="n">
        <v>156.9858712715856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4989</v>
      </c>
      <c r="AG1591" t="n">
        <v>1</v>
      </c>
      <c r="AH1591" t="inlineStr">
        <is>
          <t>PT. BERSAMA DISTRIVERSA INDONESIA (DC CIPUTAT)</t>
        </is>
      </c>
      <c r="AI1591" t="n">
        <v>2049</v>
      </c>
      <c r="AJ1591" t="inlineStr">
        <is>
          <t>FOREBIE</t>
        </is>
      </c>
      <c r="AK1591" t="n">
        <v>21</v>
      </c>
      <c r="AL1591" t="inlineStr">
        <is>
          <t>Miss Glam Damar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FOREBIE</t>
        </is>
      </c>
      <c r="B1592" s="2">
        <f>"10100721757"</f>
        <v/>
      </c>
      <c r="C1592" t="inlineStr">
        <is>
          <t>FOREBIE Clean The Skin Micellar Water Infused With Blue Tansy 300gr</t>
        </is>
      </c>
      <c r="D1592" t="inlineStr">
        <is>
          <t>Miss Glam Damar</t>
        </is>
      </c>
      <c r="E1592" t="n">
        <v>6</v>
      </c>
      <c r="F1592" t="n">
        <v>0.0182</v>
      </c>
      <c r="G1592" t="n">
        <v>0.91</v>
      </c>
      <c r="H1592" t="n">
        <v>4</v>
      </c>
      <c r="I1592" t="n">
        <v>21</v>
      </c>
      <c r="J1592" t="n">
        <v>1</v>
      </c>
      <c r="K1592" t="n">
        <v>0</v>
      </c>
      <c r="L1592" t="n">
        <v>71200</v>
      </c>
      <c r="M1592" t="n">
        <v>109000</v>
      </c>
      <c r="N1592" t="n">
        <v>91</v>
      </c>
      <c r="O1592" t="n">
        <v>0.91</v>
      </c>
      <c r="P1592" t="n">
        <v>1</v>
      </c>
      <c r="Q1592" t="n">
        <v>0.1</v>
      </c>
      <c r="R1592" t="n">
        <v>2</v>
      </c>
      <c r="S1592" t="n">
        <v>1983.8</v>
      </c>
      <c r="T1592" t="n">
        <v>20</v>
      </c>
      <c r="U1592" t="n">
        <v>21</v>
      </c>
      <c r="V1592" t="n">
        <v>30</v>
      </c>
      <c r="W1592" t="n">
        <v>1</v>
      </c>
      <c r="X1592" t="n">
        <v>329.6703296703296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4989</v>
      </c>
      <c r="AG1592" t="n">
        <v>1</v>
      </c>
      <c r="AH1592" t="inlineStr">
        <is>
          <t>PT. BERSAMA DISTRIVERSA INDONESIA (DC CIPUTAT)</t>
        </is>
      </c>
      <c r="AI1592" t="n">
        <v>2049</v>
      </c>
      <c r="AJ1592" t="inlineStr">
        <is>
          <t>FOREBIE</t>
        </is>
      </c>
      <c r="AK1592" t="n">
        <v>21</v>
      </c>
      <c r="AL1592" t="inlineStr">
        <is>
          <t>Miss Glam Damar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FOREBIE</t>
        </is>
      </c>
      <c r="B1593" s="2">
        <f>"11200218718"</f>
        <v/>
      </c>
      <c r="C1593" t="inlineStr">
        <is>
          <t>FOREBIE Fight Acne Moist Serum 35ml</t>
        </is>
      </c>
      <c r="D1593" t="inlineStr">
        <is>
          <t>Miss Glam Damar</t>
        </is>
      </c>
      <c r="E1593" t="n">
        <v>8</v>
      </c>
      <c r="F1593" t="n">
        <v>0.182</v>
      </c>
      <c r="G1593" t="n">
        <v>1.82</v>
      </c>
      <c r="H1593" t="n">
        <v>4</v>
      </c>
      <c r="I1593" t="n">
        <v>21</v>
      </c>
      <c r="J1593" t="n">
        <v>1</v>
      </c>
      <c r="K1593" t="n">
        <v>0</v>
      </c>
      <c r="L1593" t="n">
        <v>74250</v>
      </c>
      <c r="M1593" t="n">
        <v>122000</v>
      </c>
      <c r="N1593" t="n">
        <v>91</v>
      </c>
      <c r="O1593" t="n">
        <v>0.91</v>
      </c>
      <c r="P1593" t="n">
        <v>1</v>
      </c>
      <c r="Q1593" t="n">
        <v>0.12</v>
      </c>
      <c r="R1593" t="n">
        <v>1</v>
      </c>
      <c r="S1593" t="n">
        <v>22204</v>
      </c>
      <c r="T1593" t="n">
        <v>38</v>
      </c>
      <c r="U1593" t="n">
        <v>39</v>
      </c>
      <c r="V1593" t="n">
        <v>30</v>
      </c>
      <c r="W1593" t="n">
        <v>6</v>
      </c>
      <c r="X1593" t="n">
        <v>43.95604395604395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4989</v>
      </c>
      <c r="AG1593" t="n">
        <v>1</v>
      </c>
      <c r="AH1593" t="inlineStr">
        <is>
          <t>PT. BERSAMA DISTRIVERSA INDONESIA (DC CIPUTAT)</t>
        </is>
      </c>
      <c r="AI1593" t="n">
        <v>2049</v>
      </c>
      <c r="AJ1593" t="inlineStr">
        <is>
          <t>FOREBIE</t>
        </is>
      </c>
      <c r="AK1593" t="n">
        <v>21</v>
      </c>
      <c r="AL1593" t="inlineStr">
        <is>
          <t>Miss Glam Damar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FOREBIE</t>
        </is>
      </c>
      <c r="B1594" s="2">
        <f>"101001107825"</f>
        <v/>
      </c>
      <c r="C1594" t="inlineStr">
        <is>
          <t>FOREBIE Friendly Cleanser 100ml</t>
        </is>
      </c>
      <c r="D1594" t="inlineStr">
        <is>
          <t>Miss Glam Damar</t>
        </is>
      </c>
      <c r="E1594" t="n">
        <v>6</v>
      </c>
      <c r="F1594" t="n">
        <v>0.04550000000000001</v>
      </c>
      <c r="G1594" t="n">
        <v>0.91</v>
      </c>
      <c r="H1594" t="n">
        <v>4</v>
      </c>
      <c r="I1594" t="n">
        <v>21</v>
      </c>
      <c r="J1594" t="n">
        <v>1</v>
      </c>
      <c r="K1594" t="n">
        <v>0</v>
      </c>
      <c r="L1594" t="n">
        <v>60960</v>
      </c>
      <c r="M1594" t="n">
        <v>72000</v>
      </c>
      <c r="N1594" t="n">
        <v>91</v>
      </c>
      <c r="O1594" t="n">
        <v>0.91</v>
      </c>
      <c r="P1594" t="n">
        <v>1</v>
      </c>
      <c r="Q1594" t="n">
        <v>0.03</v>
      </c>
      <c r="R1594" t="n">
        <v>1</v>
      </c>
      <c r="S1594" t="n">
        <v>3276</v>
      </c>
      <c r="T1594" t="n">
        <v>19</v>
      </c>
      <c r="U1594" t="n">
        <v>20</v>
      </c>
      <c r="V1594" t="n">
        <v>30</v>
      </c>
      <c r="W1594" t="n">
        <v>2</v>
      </c>
      <c r="X1594" t="n">
        <v>131.8681318681319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4989</v>
      </c>
      <c r="AG1594" t="n">
        <v>1</v>
      </c>
      <c r="AH1594" t="inlineStr">
        <is>
          <t>PT. BERSAMA DISTRIVERSA INDONESIA (DC CIPUTAT)</t>
        </is>
      </c>
      <c r="AI1594" t="n">
        <v>2049</v>
      </c>
      <c r="AJ1594" t="inlineStr">
        <is>
          <t>FOREBIE</t>
        </is>
      </c>
      <c r="AK1594" t="n">
        <v>21</v>
      </c>
      <c r="AL1594" t="inlineStr">
        <is>
          <t>Miss Glam Damar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FRES &amp; NATURAL</t>
        </is>
      </c>
      <c r="B1595" s="2">
        <f>"8998866606905"</f>
        <v/>
      </c>
      <c r="C1595" t="inlineStr">
        <is>
          <t>FRES &amp; Natural Almost Famous 100ml</t>
        </is>
      </c>
      <c r="D1595" t="inlineStr">
        <is>
          <t>Miss Glam Damar</t>
        </is>
      </c>
      <c r="E1595" t="n">
        <v>6</v>
      </c>
      <c r="F1595" t="n">
        <v>0.2184</v>
      </c>
      <c r="G1595" t="n">
        <v>1.82</v>
      </c>
      <c r="H1595" t="n">
        <v>2</v>
      </c>
      <c r="I1595" t="n">
        <v>6</v>
      </c>
      <c r="J1595" t="n">
        <v>3</v>
      </c>
      <c r="K1595" t="n">
        <v>0</v>
      </c>
      <c r="L1595" t="n">
        <v>10515</v>
      </c>
      <c r="M1595" t="n">
        <v>15000</v>
      </c>
      <c r="N1595" t="n">
        <v>91</v>
      </c>
      <c r="O1595" t="n">
        <v>0.91</v>
      </c>
      <c r="P1595" t="n">
        <v>1</v>
      </c>
      <c r="Q1595" t="n">
        <v>0.12</v>
      </c>
      <c r="R1595" t="n">
        <v>2</v>
      </c>
      <c r="S1595" t="n">
        <v>3276</v>
      </c>
      <c r="T1595" t="n">
        <v>11</v>
      </c>
      <c r="U1595" t="n">
        <v>12</v>
      </c>
      <c r="V1595" t="n">
        <v>30</v>
      </c>
      <c r="W1595" t="n">
        <v>7</v>
      </c>
      <c r="X1595" t="n">
        <v>27.47252747252747</v>
      </c>
      <c r="Y1595" t="n">
        <v>1</v>
      </c>
      <c r="Z1595" t="n">
        <v>1</v>
      </c>
      <c r="AA1595" t="n">
        <v>0</v>
      </c>
      <c r="AB1595" t="n">
        <v>1</v>
      </c>
      <c r="AC1595" t="n">
        <v>3</v>
      </c>
      <c r="AD1595" t="n">
        <v>0</v>
      </c>
      <c r="AE1595" t="n">
        <v>31545</v>
      </c>
      <c r="AF1595" t="n">
        <v>11331</v>
      </c>
      <c r="AG1595" t="n">
        <v>448</v>
      </c>
      <c r="AH1595" t="inlineStr">
        <is>
          <t>PT. PADANG DISTRIBUSINDO RAYA - PPN (PDG)</t>
        </is>
      </c>
      <c r="AI1595" t="n">
        <v>1597</v>
      </c>
      <c r="AJ1595" t="inlineStr">
        <is>
          <t>FRES &amp; NATURAL</t>
        </is>
      </c>
      <c r="AK1595" t="n">
        <v>21</v>
      </c>
      <c r="AL1595" t="inlineStr">
        <is>
          <t>Miss Glam Damar</t>
        </is>
      </c>
      <c r="AM1595" t="n">
        <v>3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FRES &amp; NATURAL</t>
        </is>
      </c>
      <c r="B1596" s="2">
        <f>"8998866618007"</f>
        <v/>
      </c>
      <c r="C1596" t="inlineStr">
        <is>
          <t>FRES &amp; Natural Berry Macaron Fragnance Mist 100ml</t>
        </is>
      </c>
      <c r="D1596" t="inlineStr">
        <is>
          <t>Miss Glam Damar</t>
        </is>
      </c>
      <c r="E1596" t="n">
        <v>8</v>
      </c>
      <c r="F1596" t="n">
        <v>0.8008000000000001</v>
      </c>
      <c r="G1596" t="n">
        <v>3.64</v>
      </c>
      <c r="H1596" t="n">
        <v>2</v>
      </c>
      <c r="I1596" t="n">
        <v>6</v>
      </c>
      <c r="J1596" t="n">
        <v>3</v>
      </c>
      <c r="K1596" t="n">
        <v>0</v>
      </c>
      <c r="L1596" t="n">
        <v>10557</v>
      </c>
      <c r="M1596" t="n">
        <v>15000</v>
      </c>
      <c r="N1596" t="n">
        <v>91</v>
      </c>
      <c r="O1596" t="n">
        <v>0.91</v>
      </c>
      <c r="P1596" t="n">
        <v>1</v>
      </c>
      <c r="Q1596" t="n">
        <v>0.19</v>
      </c>
      <c r="R1596" t="n">
        <v>2</v>
      </c>
      <c r="S1596" t="n">
        <v>12012</v>
      </c>
      <c r="T1596" t="n">
        <v>21</v>
      </c>
      <c r="U1596" t="n">
        <v>23</v>
      </c>
      <c r="V1596" t="n">
        <v>30</v>
      </c>
      <c r="W1596" t="n">
        <v>25</v>
      </c>
      <c r="X1596" t="n">
        <v>9.990009990009989</v>
      </c>
      <c r="Y1596" t="n">
        <v>1</v>
      </c>
      <c r="Z1596" t="n">
        <v>17</v>
      </c>
      <c r="AA1596" t="n">
        <v>0</v>
      </c>
      <c r="AB1596" t="n">
        <v>17</v>
      </c>
      <c r="AC1596" t="n">
        <v>17</v>
      </c>
      <c r="AD1596" t="n">
        <v>0</v>
      </c>
      <c r="AE1596" t="n">
        <v>179469</v>
      </c>
      <c r="AF1596" t="n">
        <v>11331</v>
      </c>
      <c r="AG1596" t="n">
        <v>448</v>
      </c>
      <c r="AH1596" t="inlineStr">
        <is>
          <t>PT. PADANG DISTRIBUSINDO RAYA - PPN (PDG)</t>
        </is>
      </c>
      <c r="AI1596" t="n">
        <v>1597</v>
      </c>
      <c r="AJ1596" t="inlineStr">
        <is>
          <t>FRES &amp; NATURAL</t>
        </is>
      </c>
      <c r="AK1596" t="n">
        <v>21</v>
      </c>
      <c r="AL1596" t="inlineStr">
        <is>
          <t>Miss Glam Damar</t>
        </is>
      </c>
      <c r="AM1596" t="n">
        <v>3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FRES &amp; NATURAL</t>
        </is>
      </c>
      <c r="B1597" s="2">
        <f>"8998866629225"</f>
        <v/>
      </c>
      <c r="C1597" t="inlineStr">
        <is>
          <t>FRES &amp; Natural Body Wash Love Yourself 400ml</t>
        </is>
      </c>
      <c r="D1597" t="inlineStr">
        <is>
          <t>Miss Glam Damar</t>
        </is>
      </c>
      <c r="E1597" t="n">
        <v>0</v>
      </c>
      <c r="F1597" t="n">
        <v>0.8827</v>
      </c>
      <c r="G1597" t="n">
        <v>4.55</v>
      </c>
      <c r="H1597" t="n">
        <v>2</v>
      </c>
      <c r="I1597" t="n">
        <v>6</v>
      </c>
      <c r="J1597" t="n">
        <v>3</v>
      </c>
      <c r="K1597" t="n">
        <v>0</v>
      </c>
      <c r="L1597" t="n">
        <v>15286</v>
      </c>
      <c r="M1597" t="n">
        <v>20500</v>
      </c>
      <c r="N1597" t="n">
        <v>91</v>
      </c>
      <c r="O1597" t="n">
        <v>0.91</v>
      </c>
      <c r="P1597" t="n">
        <v>1</v>
      </c>
      <c r="Q1597" t="n">
        <v>0.54</v>
      </c>
      <c r="R1597" t="n">
        <v>2</v>
      </c>
      <c r="S1597" t="n">
        <v>18095.35</v>
      </c>
      <c r="T1597" t="n">
        <v>26</v>
      </c>
      <c r="U1597" t="n">
        <v>28</v>
      </c>
      <c r="V1597" t="n">
        <v>30</v>
      </c>
      <c r="W1597" t="n">
        <v>27</v>
      </c>
      <c r="X1597" t="n">
        <v>0</v>
      </c>
      <c r="Y1597" t="n">
        <v>1</v>
      </c>
      <c r="Z1597" t="n">
        <v>27</v>
      </c>
      <c r="AA1597" t="n">
        <v>6</v>
      </c>
      <c r="AB1597" t="n">
        <v>21</v>
      </c>
      <c r="AC1597" t="n">
        <v>21</v>
      </c>
      <c r="AD1597" t="n">
        <v>91716</v>
      </c>
      <c r="AE1597" t="n">
        <v>321006</v>
      </c>
      <c r="AF1597" t="n">
        <v>11331</v>
      </c>
      <c r="AG1597" t="n">
        <v>448</v>
      </c>
      <c r="AH1597" t="inlineStr">
        <is>
          <t>PT. PADANG DISTRIBUSINDO RAYA - PPN (PDG)</t>
        </is>
      </c>
      <c r="AI1597" t="n">
        <v>1597</v>
      </c>
      <c r="AJ1597" t="inlineStr">
        <is>
          <t>FRES &amp; NATURAL</t>
        </is>
      </c>
      <c r="AK1597" t="n">
        <v>21</v>
      </c>
      <c r="AL1597" t="inlineStr">
        <is>
          <t>Miss Glam Damar</t>
        </is>
      </c>
      <c r="AM1597" t="n">
        <v>3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FRES &amp; NATURAL</t>
        </is>
      </c>
      <c r="B1598" s="2">
        <f>"8998866629232"</f>
        <v/>
      </c>
      <c r="C1598" t="inlineStr">
        <is>
          <t>FRES &amp; Natural Body Wash Yellow In Luv 400ml</t>
        </is>
      </c>
      <c r="D1598" t="inlineStr">
        <is>
          <t>Miss Glam Damar</t>
        </is>
      </c>
      <c r="E1598" t="n">
        <v>6</v>
      </c>
      <c r="F1598" t="n">
        <v>0.2457</v>
      </c>
      <c r="G1598" t="n">
        <v>1.82</v>
      </c>
      <c r="H1598" t="n">
        <v>2</v>
      </c>
      <c r="I1598" t="n">
        <v>6</v>
      </c>
      <c r="J1598" t="n">
        <v>3</v>
      </c>
      <c r="K1598" t="n">
        <v>0</v>
      </c>
      <c r="L1598" t="n">
        <v>15902</v>
      </c>
      <c r="M1598" t="n">
        <v>20500</v>
      </c>
      <c r="N1598" t="n">
        <v>91</v>
      </c>
      <c r="O1598" t="n">
        <v>0.91</v>
      </c>
      <c r="P1598" t="n">
        <v>1</v>
      </c>
      <c r="Q1598" t="n">
        <v>0.19</v>
      </c>
      <c r="R1598" t="n">
        <v>1</v>
      </c>
      <c r="S1598" t="n">
        <v>5036.85</v>
      </c>
      <c r="T1598" t="n">
        <v>11</v>
      </c>
      <c r="U1598" t="n">
        <v>12</v>
      </c>
      <c r="V1598" t="n">
        <v>30</v>
      </c>
      <c r="W1598" t="n">
        <v>8</v>
      </c>
      <c r="X1598" t="n">
        <v>24.42002442002442</v>
      </c>
      <c r="Y1598" t="n">
        <v>1</v>
      </c>
      <c r="Z1598" t="n">
        <v>2</v>
      </c>
      <c r="AA1598" t="n">
        <v>0</v>
      </c>
      <c r="AB1598" t="n">
        <v>2</v>
      </c>
      <c r="AC1598" t="n">
        <v>3</v>
      </c>
      <c r="AD1598" t="n">
        <v>0</v>
      </c>
      <c r="AE1598" t="n">
        <v>47706</v>
      </c>
      <c r="AF1598" t="n">
        <v>11331</v>
      </c>
      <c r="AG1598" t="n">
        <v>448</v>
      </c>
      <c r="AH1598" t="inlineStr">
        <is>
          <t>PT. PADANG DISTRIBUSINDO RAYA - PPN (PDG)</t>
        </is>
      </c>
      <c r="AI1598" t="n">
        <v>1597</v>
      </c>
      <c r="AJ1598" t="inlineStr">
        <is>
          <t>FRES &amp; NATURAL</t>
        </is>
      </c>
      <c r="AK1598" t="n">
        <v>21</v>
      </c>
      <c r="AL1598" t="inlineStr">
        <is>
          <t>Miss Glam Damar</t>
        </is>
      </c>
      <c r="AM1598" t="n">
        <v>3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FRES &amp; NATURAL</t>
        </is>
      </c>
      <c r="B1599" s="2">
        <f>"8998866606912"</f>
        <v/>
      </c>
      <c r="C1599" t="inlineStr">
        <is>
          <t>FRES &amp; Natural BT21 Love Yourself Fine Fragrance Mist 100ml</t>
        </is>
      </c>
      <c r="D1599" t="inlineStr">
        <is>
          <t>Miss Glam Damar</t>
        </is>
      </c>
      <c r="E1599" t="n">
        <v>10</v>
      </c>
      <c r="F1599" t="n">
        <v>0.1274</v>
      </c>
      <c r="G1599" t="n">
        <v>1.82</v>
      </c>
      <c r="H1599" t="n">
        <v>2</v>
      </c>
      <c r="I1599" t="n">
        <v>6</v>
      </c>
      <c r="J1599" t="n">
        <v>3</v>
      </c>
      <c r="K1599" t="n">
        <v>0</v>
      </c>
      <c r="L1599" t="n">
        <v>10356</v>
      </c>
      <c r="M1599" t="n">
        <v>15000</v>
      </c>
      <c r="N1599" t="n">
        <v>91</v>
      </c>
      <c r="O1599" t="n">
        <v>0.91</v>
      </c>
      <c r="P1599" t="n">
        <v>1</v>
      </c>
      <c r="Q1599" t="n">
        <v>0.1</v>
      </c>
      <c r="R1599" t="n">
        <v>2</v>
      </c>
      <c r="S1599" t="n">
        <v>1911</v>
      </c>
      <c r="T1599" t="n">
        <v>11</v>
      </c>
      <c r="U1599" t="n">
        <v>12</v>
      </c>
      <c r="V1599" t="n">
        <v>30</v>
      </c>
      <c r="W1599" t="n">
        <v>4</v>
      </c>
      <c r="X1599" t="n">
        <v>78.49293563579278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11331</v>
      </c>
      <c r="AG1599" t="n">
        <v>448</v>
      </c>
      <c r="AH1599" t="inlineStr">
        <is>
          <t>PT. PADANG DISTRIBUSINDO RAYA - PPN (PDG)</t>
        </is>
      </c>
      <c r="AI1599" t="n">
        <v>1597</v>
      </c>
      <c r="AJ1599" t="inlineStr">
        <is>
          <t>FRES &amp; NATURAL</t>
        </is>
      </c>
      <c r="AK1599" t="n">
        <v>21</v>
      </c>
      <c r="AL1599" t="inlineStr">
        <is>
          <t>Miss Glam Damar</t>
        </is>
      </c>
      <c r="AM1599" t="n">
        <v>3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FRES &amp; NATURAL</t>
        </is>
      </c>
      <c r="B1600" s="2">
        <f>"8998866606882"</f>
        <v/>
      </c>
      <c r="C1600" t="inlineStr">
        <is>
          <t>FRES &amp; Natural BT21 Persona Blush Fine Fragrance Mist 100ml</t>
        </is>
      </c>
      <c r="D1600" t="inlineStr">
        <is>
          <t>Miss Glam Damar</t>
        </is>
      </c>
      <c r="E1600" t="n">
        <v>13</v>
      </c>
      <c r="F1600" t="n">
        <v>0.5096000000000001</v>
      </c>
      <c r="G1600" t="n">
        <v>2.73</v>
      </c>
      <c r="H1600" t="n">
        <v>2</v>
      </c>
      <c r="I1600" t="n">
        <v>6</v>
      </c>
      <c r="J1600" t="n">
        <v>3</v>
      </c>
      <c r="K1600" t="n">
        <v>0</v>
      </c>
      <c r="L1600" t="n">
        <v>10557</v>
      </c>
      <c r="M1600" t="n">
        <v>15000</v>
      </c>
      <c r="N1600" t="n">
        <v>91</v>
      </c>
      <c r="O1600" t="n">
        <v>0.91</v>
      </c>
      <c r="P1600" t="n">
        <v>1</v>
      </c>
      <c r="Q1600" t="n">
        <v>0.36</v>
      </c>
      <c r="R1600" t="n">
        <v>2</v>
      </c>
      <c r="S1600" t="n">
        <v>7644.000000000001</v>
      </c>
      <c r="T1600" t="n">
        <v>16</v>
      </c>
      <c r="U1600" t="n">
        <v>18</v>
      </c>
      <c r="V1600" t="n">
        <v>30</v>
      </c>
      <c r="W1600" t="n">
        <v>16</v>
      </c>
      <c r="X1600" t="n">
        <v>25.51020408163265</v>
      </c>
      <c r="Y1600" t="n">
        <v>1</v>
      </c>
      <c r="Z1600" t="n">
        <v>3</v>
      </c>
      <c r="AA1600" t="n">
        <v>0</v>
      </c>
      <c r="AB1600" t="n">
        <v>3</v>
      </c>
      <c r="AC1600" t="n">
        <v>3</v>
      </c>
      <c r="AD1600" t="n">
        <v>0</v>
      </c>
      <c r="AE1600" t="n">
        <v>31671</v>
      </c>
      <c r="AF1600" t="n">
        <v>11331</v>
      </c>
      <c r="AG1600" t="n">
        <v>448</v>
      </c>
      <c r="AH1600" t="inlineStr">
        <is>
          <t>PT. PADANG DISTRIBUSINDO RAYA - PPN (PDG)</t>
        </is>
      </c>
      <c r="AI1600" t="n">
        <v>1597</v>
      </c>
      <c r="AJ1600" t="inlineStr">
        <is>
          <t>FRES &amp; NATURAL</t>
        </is>
      </c>
      <c r="AK1600" t="n">
        <v>21</v>
      </c>
      <c r="AL1600" t="inlineStr">
        <is>
          <t>Miss Glam Damar</t>
        </is>
      </c>
      <c r="AM1600" t="n">
        <v>3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FRES &amp; NATURAL</t>
        </is>
      </c>
      <c r="B1601" s="2">
        <f>"8998866627177"</f>
        <v/>
      </c>
      <c r="C1601" t="inlineStr">
        <is>
          <t>FRES &amp; NATURAL Eau De Toilette Ocean Secrets 100ml</t>
        </is>
      </c>
      <c r="D1601" t="inlineStr">
        <is>
          <t>Miss Glam Damar</t>
        </is>
      </c>
      <c r="E1601" t="n">
        <v>6</v>
      </c>
      <c r="F1601" t="n">
        <v>0.1</v>
      </c>
      <c r="G1601" t="n">
        <v>2</v>
      </c>
      <c r="H1601" t="n">
        <v>2</v>
      </c>
      <c r="I1601" t="n">
        <v>6</v>
      </c>
      <c r="J1601" t="n">
        <v>3</v>
      </c>
      <c r="K1601" t="n">
        <v>0</v>
      </c>
      <c r="L1601" t="n">
        <v>25200</v>
      </c>
      <c r="M1601" t="n">
        <v>30000</v>
      </c>
      <c r="N1601" t="n">
        <v>91</v>
      </c>
      <c r="O1601" t="n">
        <v>0.91</v>
      </c>
      <c r="P1601" t="n">
        <v>0</v>
      </c>
      <c r="Q1601" t="n">
        <v>0.1</v>
      </c>
      <c r="R1601" t="n">
        <v>2</v>
      </c>
      <c r="S1601" t="n">
        <v>3000</v>
      </c>
      <c r="T1601" t="n">
        <v>12</v>
      </c>
      <c r="U1601" t="n">
        <v>13</v>
      </c>
      <c r="V1601" t="n">
        <v>30</v>
      </c>
      <c r="W1601" t="n">
        <v>3</v>
      </c>
      <c r="X1601" t="n">
        <v>60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11331</v>
      </c>
      <c r="AG1601" t="n">
        <v>448</v>
      </c>
      <c r="AH1601" t="inlineStr">
        <is>
          <t>PT. PADANG DISTRIBUSINDO RAYA - PPN (PDG)</t>
        </is>
      </c>
      <c r="AI1601" t="n">
        <v>1597</v>
      </c>
      <c r="AJ1601" t="inlineStr">
        <is>
          <t>FRES &amp; NATURAL</t>
        </is>
      </c>
      <c r="AK1601" t="n">
        <v>21</v>
      </c>
      <c r="AL1601" t="inlineStr">
        <is>
          <t>Miss Glam Damar</t>
        </is>
      </c>
      <c r="AM1601" t="n">
        <v>3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FRES &amp; NATURAL</t>
        </is>
      </c>
      <c r="B1602" s="2">
        <f>"8998866627160"</f>
        <v/>
      </c>
      <c r="C1602" t="inlineStr">
        <is>
          <t>FRES &amp; NATURAL Eau De Toilette Song Of Spring 100ml</t>
        </is>
      </c>
      <c r="D1602" t="inlineStr">
        <is>
          <t>Miss Glam Damar</t>
        </is>
      </c>
      <c r="E1602" t="n">
        <v>10</v>
      </c>
      <c r="F1602" t="n">
        <v>0.25</v>
      </c>
      <c r="G1602" t="n">
        <v>2</v>
      </c>
      <c r="H1602" t="n">
        <v>2</v>
      </c>
      <c r="I1602" t="n">
        <v>6</v>
      </c>
      <c r="J1602" t="n">
        <v>3</v>
      </c>
      <c r="K1602" t="n">
        <v>0</v>
      </c>
      <c r="L1602" t="n">
        <v>24379</v>
      </c>
      <c r="M1602" t="n">
        <v>30000</v>
      </c>
      <c r="N1602" t="n">
        <v>91</v>
      </c>
      <c r="O1602" t="n">
        <v>0.91</v>
      </c>
      <c r="P1602" t="n">
        <v>0</v>
      </c>
      <c r="Q1602" t="n">
        <v>0.25</v>
      </c>
      <c r="R1602" t="n">
        <v>2</v>
      </c>
      <c r="S1602" t="n">
        <v>7500</v>
      </c>
      <c r="T1602" t="n">
        <v>12</v>
      </c>
      <c r="U1602" t="n">
        <v>13</v>
      </c>
      <c r="V1602" t="n">
        <v>30</v>
      </c>
      <c r="W1602" t="n">
        <v>8</v>
      </c>
      <c r="X1602" t="n">
        <v>40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11331</v>
      </c>
      <c r="AG1602" t="n">
        <v>448</v>
      </c>
      <c r="AH1602" t="inlineStr">
        <is>
          <t>PT. PADANG DISTRIBUSINDO RAYA - PPN (PDG)</t>
        </is>
      </c>
      <c r="AI1602" t="n">
        <v>1597</v>
      </c>
      <c r="AJ1602" t="inlineStr">
        <is>
          <t>FRES &amp; NATURAL</t>
        </is>
      </c>
      <c r="AK1602" t="n">
        <v>21</v>
      </c>
      <c r="AL1602" t="inlineStr">
        <is>
          <t>Miss Glam Damar</t>
        </is>
      </c>
      <c r="AM1602" t="n">
        <v>3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FRES &amp; NATURAL</t>
        </is>
      </c>
      <c r="B1603" s="2">
        <f>"8998866611213"</f>
        <v/>
      </c>
      <c r="C1603" t="inlineStr">
        <is>
          <t>FRES &amp; Natural Hijab Fresh Green Mirage 100ml</t>
        </is>
      </c>
      <c r="D1603" t="inlineStr">
        <is>
          <t>Miss Glam Damar</t>
        </is>
      </c>
      <c r="E1603" t="n">
        <v>15</v>
      </c>
      <c r="F1603" t="n">
        <v>0.5733</v>
      </c>
      <c r="G1603" t="n">
        <v>2.73</v>
      </c>
      <c r="H1603" t="n">
        <v>2</v>
      </c>
      <c r="I1603" t="n">
        <v>6</v>
      </c>
      <c r="J1603" t="n">
        <v>3</v>
      </c>
      <c r="K1603" t="n">
        <v>0</v>
      </c>
      <c r="L1603" t="n">
        <v>10555</v>
      </c>
      <c r="M1603" t="n">
        <v>12500</v>
      </c>
      <c r="N1603" t="n">
        <v>91</v>
      </c>
      <c r="O1603" t="n">
        <v>0.91</v>
      </c>
      <c r="P1603" t="n">
        <v>1</v>
      </c>
      <c r="Q1603" t="n">
        <v>0.41</v>
      </c>
      <c r="R1603" t="n">
        <v>3</v>
      </c>
      <c r="S1603" t="n">
        <v>7166.25</v>
      </c>
      <c r="T1603" t="n">
        <v>16</v>
      </c>
      <c r="U1603" t="n">
        <v>18</v>
      </c>
      <c r="V1603" t="n">
        <v>30</v>
      </c>
      <c r="W1603" t="n">
        <v>18</v>
      </c>
      <c r="X1603" t="n">
        <v>26.16431187859759</v>
      </c>
      <c r="Y1603" t="n">
        <v>1</v>
      </c>
      <c r="Z1603" t="n">
        <v>3</v>
      </c>
      <c r="AA1603" t="n">
        <v>0</v>
      </c>
      <c r="AB1603" t="n">
        <v>3</v>
      </c>
      <c r="AC1603" t="n">
        <v>3</v>
      </c>
      <c r="AD1603" t="n">
        <v>0</v>
      </c>
      <c r="AE1603" t="n">
        <v>31665</v>
      </c>
      <c r="AF1603" t="n">
        <v>11331</v>
      </c>
      <c r="AG1603" t="n">
        <v>448</v>
      </c>
      <c r="AH1603" t="inlineStr">
        <is>
          <t>PT. PADANG DISTRIBUSINDO RAYA - PPN (PDG)</t>
        </is>
      </c>
      <c r="AI1603" t="n">
        <v>1597</v>
      </c>
      <c r="AJ1603" t="inlineStr">
        <is>
          <t>FRES &amp; NATURAL</t>
        </is>
      </c>
      <c r="AK1603" t="n">
        <v>21</v>
      </c>
      <c r="AL1603" t="inlineStr">
        <is>
          <t>Miss Glam Damar</t>
        </is>
      </c>
      <c r="AM1603" t="n">
        <v>3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FRES &amp; NATURAL</t>
        </is>
      </c>
      <c r="B1604" s="2">
        <f>"8998866605953"</f>
        <v/>
      </c>
      <c r="C1604" t="inlineStr">
        <is>
          <t>FRES &amp; Natural Hijab Refresh Bohemian Spirit 100ml</t>
        </is>
      </c>
      <c r="D1604" t="inlineStr">
        <is>
          <t>Miss Glam Damar</t>
        </is>
      </c>
      <c r="E1604" t="n">
        <v>11</v>
      </c>
      <c r="F1604" t="n">
        <v>0.36</v>
      </c>
      <c r="G1604" t="n">
        <v>2</v>
      </c>
      <c r="H1604" t="n">
        <v>2</v>
      </c>
      <c r="I1604" t="n">
        <v>6</v>
      </c>
      <c r="J1604" t="n">
        <v>3</v>
      </c>
      <c r="K1604" t="n">
        <v>0</v>
      </c>
      <c r="L1604" t="n">
        <v>10557</v>
      </c>
      <c r="M1604" t="n">
        <v>15000</v>
      </c>
      <c r="N1604" t="n">
        <v>91</v>
      </c>
      <c r="O1604" t="n">
        <v>0.91</v>
      </c>
      <c r="P1604" t="n">
        <v>0</v>
      </c>
      <c r="Q1604" t="n">
        <v>0.36</v>
      </c>
      <c r="R1604" t="n">
        <v>2</v>
      </c>
      <c r="S1604" t="n">
        <v>5400</v>
      </c>
      <c r="T1604" t="n">
        <v>12</v>
      </c>
      <c r="U1604" t="n">
        <v>13</v>
      </c>
      <c r="V1604" t="n">
        <v>30</v>
      </c>
      <c r="W1604" t="n">
        <v>11</v>
      </c>
      <c r="X1604" t="n">
        <v>30.55555555555556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11331</v>
      </c>
      <c r="AG1604" t="n">
        <v>448</v>
      </c>
      <c r="AH1604" t="inlineStr">
        <is>
          <t>PT. PADANG DISTRIBUSINDO RAYA - PPN (PDG)</t>
        </is>
      </c>
      <c r="AI1604" t="n">
        <v>1597</v>
      </c>
      <c r="AJ1604" t="inlineStr">
        <is>
          <t>FRES &amp; NATURAL</t>
        </is>
      </c>
      <c r="AK1604" t="n">
        <v>21</v>
      </c>
      <c r="AL1604" t="inlineStr">
        <is>
          <t>Miss Glam Damar</t>
        </is>
      </c>
      <c r="AM1604" t="n">
        <v>3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FRES &amp; NATURAL</t>
        </is>
      </c>
      <c r="B1605" s="2">
        <f>"8998866611220"</f>
        <v/>
      </c>
      <c r="C1605" t="inlineStr">
        <is>
          <t>FRES &amp; Natural Hijab Refresh Cotton Dreams 100ml</t>
        </is>
      </c>
      <c r="D1605" t="inlineStr">
        <is>
          <t>Miss Glam Damar</t>
        </is>
      </c>
      <c r="E1605" t="n">
        <v>32</v>
      </c>
      <c r="F1605" t="n">
        <v>0.5824</v>
      </c>
      <c r="G1605" t="n">
        <v>2.73</v>
      </c>
      <c r="H1605" t="n">
        <v>2</v>
      </c>
      <c r="I1605" t="n">
        <v>6</v>
      </c>
      <c r="J1605" t="n">
        <v>3</v>
      </c>
      <c r="K1605" t="n">
        <v>0</v>
      </c>
      <c r="L1605" t="n">
        <v>10550</v>
      </c>
      <c r="M1605" t="n">
        <v>15000</v>
      </c>
      <c r="N1605" t="n">
        <v>91</v>
      </c>
      <c r="O1605" t="n">
        <v>0.91</v>
      </c>
      <c r="P1605" t="n">
        <v>1</v>
      </c>
      <c r="Q1605" t="n">
        <v>0.85</v>
      </c>
      <c r="R1605" t="n">
        <v>3</v>
      </c>
      <c r="S1605" t="n">
        <v>8736</v>
      </c>
      <c r="T1605" t="n">
        <v>16</v>
      </c>
      <c r="U1605" t="n">
        <v>18</v>
      </c>
      <c r="V1605" t="n">
        <v>30</v>
      </c>
      <c r="W1605" t="n">
        <v>18</v>
      </c>
      <c r="X1605" t="n">
        <v>54.94505494505494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11331</v>
      </c>
      <c r="AG1605" t="n">
        <v>448</v>
      </c>
      <c r="AH1605" t="inlineStr">
        <is>
          <t>PT. PADANG DISTRIBUSINDO RAYA - PPN (PDG)</t>
        </is>
      </c>
      <c r="AI1605" t="n">
        <v>1597</v>
      </c>
      <c r="AJ1605" t="inlineStr">
        <is>
          <t>FRES &amp; NATURAL</t>
        </is>
      </c>
      <c r="AK1605" t="n">
        <v>21</v>
      </c>
      <c r="AL1605" t="inlineStr">
        <is>
          <t>Miss Glam Damar</t>
        </is>
      </c>
      <c r="AM1605" t="n">
        <v>3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FRES &amp; NATURAL</t>
        </is>
      </c>
      <c r="B1606" s="2">
        <f>"8998866611206"</f>
        <v/>
      </c>
      <c r="C1606" t="inlineStr">
        <is>
          <t>FRES &amp; Natural Hijab Refresh Fine Fragrance Mist Desert Queen 100ml</t>
        </is>
      </c>
      <c r="D1606" t="inlineStr">
        <is>
          <t>Miss Glam Damar</t>
        </is>
      </c>
      <c r="E1606" t="n">
        <v>8</v>
      </c>
      <c r="F1606" t="n">
        <v>0.2639</v>
      </c>
      <c r="G1606" t="n">
        <v>1.82</v>
      </c>
      <c r="H1606" t="n">
        <v>2</v>
      </c>
      <c r="I1606" t="n">
        <v>6</v>
      </c>
      <c r="J1606" t="n">
        <v>3</v>
      </c>
      <c r="K1606" t="n">
        <v>0</v>
      </c>
      <c r="L1606" t="n">
        <v>10557</v>
      </c>
      <c r="M1606" t="n">
        <v>15000</v>
      </c>
      <c r="N1606" t="n">
        <v>91</v>
      </c>
      <c r="O1606" t="n">
        <v>0.91</v>
      </c>
      <c r="P1606" t="n">
        <v>1</v>
      </c>
      <c r="Q1606" t="n">
        <v>0.14</v>
      </c>
      <c r="R1606" t="n">
        <v>1</v>
      </c>
      <c r="S1606" t="n">
        <v>3958.5</v>
      </c>
      <c r="T1606" t="n">
        <v>11</v>
      </c>
      <c r="U1606" t="n">
        <v>12</v>
      </c>
      <c r="V1606" t="n">
        <v>30</v>
      </c>
      <c r="W1606" t="n">
        <v>8</v>
      </c>
      <c r="X1606" t="n">
        <v>30.31451307313377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11331</v>
      </c>
      <c r="AG1606" t="n">
        <v>448</v>
      </c>
      <c r="AH1606" t="inlineStr">
        <is>
          <t>PT. PADANG DISTRIBUSINDO RAYA - PPN (PDG)</t>
        </is>
      </c>
      <c r="AI1606" t="n">
        <v>1597</v>
      </c>
      <c r="AJ1606" t="inlineStr">
        <is>
          <t>FRES &amp; NATURAL</t>
        </is>
      </c>
      <c r="AK1606" t="n">
        <v>21</v>
      </c>
      <c r="AL1606" t="inlineStr">
        <is>
          <t>Miss Glam Damar</t>
        </is>
      </c>
      <c r="AM1606" t="n">
        <v>3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FRES &amp; NATURAL</t>
        </is>
      </c>
      <c r="B1607" s="2">
        <f>"8998866618014"</f>
        <v/>
      </c>
      <c r="C1607" t="inlineStr">
        <is>
          <t>FRES &amp; Natural Pink Cupcake Fragnance Mist 100ml</t>
        </is>
      </c>
      <c r="D1607" t="inlineStr">
        <is>
          <t>Miss Glam Damar</t>
        </is>
      </c>
      <c r="E1607" t="n">
        <v>31</v>
      </c>
      <c r="F1607" t="n">
        <v>2.1021</v>
      </c>
      <c r="G1607" t="n">
        <v>5.46</v>
      </c>
      <c r="H1607" t="n">
        <v>2</v>
      </c>
      <c r="I1607" t="n">
        <v>6</v>
      </c>
      <c r="J1607" t="n">
        <v>3</v>
      </c>
      <c r="K1607" t="n">
        <v>0</v>
      </c>
      <c r="L1607" t="n">
        <v>10557</v>
      </c>
      <c r="M1607" t="n">
        <v>15000</v>
      </c>
      <c r="N1607" t="n">
        <v>91</v>
      </c>
      <c r="O1607" t="n">
        <v>0.91</v>
      </c>
      <c r="P1607" t="n">
        <v>1</v>
      </c>
      <c r="Q1607" t="n">
        <v>0.66</v>
      </c>
      <c r="R1607" t="n">
        <v>4</v>
      </c>
      <c r="S1607" t="n">
        <v>31531.5</v>
      </c>
      <c r="T1607" t="n">
        <v>29</v>
      </c>
      <c r="U1607" t="n">
        <v>34</v>
      </c>
      <c r="V1607" t="n">
        <v>30</v>
      </c>
      <c r="W1607" t="n">
        <v>64</v>
      </c>
      <c r="X1607" t="n">
        <v>14.74715760430046</v>
      </c>
      <c r="Y1607" t="n">
        <v>1</v>
      </c>
      <c r="Z1607" t="n">
        <v>33</v>
      </c>
      <c r="AA1607" t="n">
        <v>0</v>
      </c>
      <c r="AB1607" t="n">
        <v>33</v>
      </c>
      <c r="AC1607" t="n">
        <v>33</v>
      </c>
      <c r="AD1607" t="n">
        <v>0</v>
      </c>
      <c r="AE1607" t="n">
        <v>348381</v>
      </c>
      <c r="AF1607" t="n">
        <v>11331</v>
      </c>
      <c r="AG1607" t="n">
        <v>448</v>
      </c>
      <c r="AH1607" t="inlineStr">
        <is>
          <t>PT. PADANG DISTRIBUSINDO RAYA - PPN (PDG)</t>
        </is>
      </c>
      <c r="AI1607" t="n">
        <v>1597</v>
      </c>
      <c r="AJ1607" t="inlineStr">
        <is>
          <t>FRES &amp; NATURAL</t>
        </is>
      </c>
      <c r="AK1607" t="n">
        <v>21</v>
      </c>
      <c r="AL1607" t="inlineStr">
        <is>
          <t>Miss Glam Damar</t>
        </is>
      </c>
      <c r="AM1607" t="n">
        <v>3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FRES &amp; NATURAL</t>
        </is>
      </c>
      <c r="B1608" s="2">
        <f>"8998866605946"</f>
        <v/>
      </c>
      <c r="C1608" t="inlineStr">
        <is>
          <t>FRES &amp; Natural Princess Charming Anti Odor Mist 100ml</t>
        </is>
      </c>
      <c r="D1608" t="inlineStr">
        <is>
          <t>Miss Glam Damar</t>
        </is>
      </c>
      <c r="E1608" t="n">
        <v>24</v>
      </c>
      <c r="F1608" t="n">
        <v>2.8665</v>
      </c>
      <c r="G1608" t="n">
        <v>9.1</v>
      </c>
      <c r="H1608" t="n">
        <v>2</v>
      </c>
      <c r="I1608" t="n">
        <v>6</v>
      </c>
      <c r="J1608" t="n">
        <v>3</v>
      </c>
      <c r="K1608" t="n">
        <v>0</v>
      </c>
      <c r="L1608" t="n">
        <v>10556</v>
      </c>
      <c r="M1608" t="n">
        <v>15000</v>
      </c>
      <c r="N1608" t="n">
        <v>91</v>
      </c>
      <c r="O1608" t="n">
        <v>0.91</v>
      </c>
      <c r="P1608" t="n">
        <v>1</v>
      </c>
      <c r="Q1608" t="n">
        <v>0.53</v>
      </c>
      <c r="R1608" t="n">
        <v>3</v>
      </c>
      <c r="S1608" t="n">
        <v>42997.5</v>
      </c>
      <c r="T1608" t="n">
        <v>49</v>
      </c>
      <c r="U1608" t="n">
        <v>55</v>
      </c>
      <c r="V1608" t="n">
        <v>30</v>
      </c>
      <c r="W1608" t="n">
        <v>86</v>
      </c>
      <c r="X1608" t="n">
        <v>8.372579801151231</v>
      </c>
      <c r="Y1608" t="n">
        <v>1</v>
      </c>
      <c r="Z1608" t="n">
        <v>62</v>
      </c>
      <c r="AA1608" t="n">
        <v>0</v>
      </c>
      <c r="AB1608" t="n">
        <v>62</v>
      </c>
      <c r="AC1608" t="n">
        <v>62</v>
      </c>
      <c r="AD1608" t="n">
        <v>0</v>
      </c>
      <c r="AE1608" t="n">
        <v>654472</v>
      </c>
      <c r="AF1608" t="n">
        <v>11331</v>
      </c>
      <c r="AG1608" t="n">
        <v>448</v>
      </c>
      <c r="AH1608" t="inlineStr">
        <is>
          <t>PT. PADANG DISTRIBUSINDO RAYA - PPN (PDG)</t>
        </is>
      </c>
      <c r="AI1608" t="n">
        <v>1597</v>
      </c>
      <c r="AJ1608" t="inlineStr">
        <is>
          <t>FRES &amp; NATURAL</t>
        </is>
      </c>
      <c r="AK1608" t="n">
        <v>21</v>
      </c>
      <c r="AL1608" t="inlineStr">
        <is>
          <t>Miss Glam Damar</t>
        </is>
      </c>
      <c r="AM1608" t="n">
        <v>3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FRES &amp; NATURAL</t>
        </is>
      </c>
      <c r="B1609" s="2">
        <f>"8998866605939"</f>
        <v/>
      </c>
      <c r="C1609" t="inlineStr">
        <is>
          <t>FRES &amp; Natural Truly Enchanted Fine Fragnance Mist 100ml</t>
        </is>
      </c>
      <c r="D1609" t="inlineStr">
        <is>
          <t>Miss Glam Damar</t>
        </is>
      </c>
      <c r="E1609" t="n">
        <v>10</v>
      </c>
      <c r="F1609" t="n">
        <v>0.7280000000000001</v>
      </c>
      <c r="G1609" t="n">
        <v>3.64</v>
      </c>
      <c r="H1609" t="n">
        <v>2</v>
      </c>
      <c r="I1609" t="n">
        <v>6</v>
      </c>
      <c r="J1609" t="n">
        <v>3</v>
      </c>
      <c r="K1609" t="n">
        <v>0</v>
      </c>
      <c r="L1609" t="n">
        <v>10557</v>
      </c>
      <c r="M1609" t="n">
        <v>12500</v>
      </c>
      <c r="N1609" t="n">
        <v>91</v>
      </c>
      <c r="O1609" t="n">
        <v>0.91</v>
      </c>
      <c r="P1609" t="n">
        <v>1</v>
      </c>
      <c r="Q1609" t="n">
        <v>0.27</v>
      </c>
      <c r="R1609" t="n">
        <v>2</v>
      </c>
      <c r="S1609" t="n">
        <v>9100.000000000002</v>
      </c>
      <c r="T1609" t="n">
        <v>21</v>
      </c>
      <c r="U1609" t="n">
        <v>23</v>
      </c>
      <c r="V1609" t="n">
        <v>30</v>
      </c>
      <c r="W1609" t="n">
        <v>22</v>
      </c>
      <c r="X1609" t="n">
        <v>13.73626373626374</v>
      </c>
      <c r="Y1609" t="n">
        <v>1</v>
      </c>
      <c r="Z1609" t="n">
        <v>12</v>
      </c>
      <c r="AA1609" t="n">
        <v>0</v>
      </c>
      <c r="AB1609" t="n">
        <v>12</v>
      </c>
      <c r="AC1609" t="n">
        <v>12</v>
      </c>
      <c r="AD1609" t="n">
        <v>0</v>
      </c>
      <c r="AE1609" t="n">
        <v>126684</v>
      </c>
      <c r="AF1609" t="n">
        <v>11331</v>
      </c>
      <c r="AG1609" t="n">
        <v>448</v>
      </c>
      <c r="AH1609" t="inlineStr">
        <is>
          <t>PT. PADANG DISTRIBUSINDO RAYA - PPN (PDG)</t>
        </is>
      </c>
      <c r="AI1609" t="n">
        <v>1597</v>
      </c>
      <c r="AJ1609" t="inlineStr">
        <is>
          <t>FRES &amp; NATURAL</t>
        </is>
      </c>
      <c r="AK1609" t="n">
        <v>21</v>
      </c>
      <c r="AL1609" t="inlineStr">
        <is>
          <t>Miss Glam Damar</t>
        </is>
      </c>
      <c r="AM1609" t="n">
        <v>3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FRES &amp; NATURAL</t>
        </is>
      </c>
      <c r="B1610" s="2">
        <f>"8998866611237"</f>
        <v/>
      </c>
      <c r="C1610" t="inlineStr">
        <is>
          <t>FRESH&amp; Natural Hijab Refresh Midnight Secret 100 ml</t>
        </is>
      </c>
      <c r="D1610" t="inlineStr">
        <is>
          <t>Miss Glam Damar</t>
        </is>
      </c>
      <c r="E1610" t="n">
        <v>23</v>
      </c>
      <c r="F1610" t="n">
        <v>0.7280000000000001</v>
      </c>
      <c r="G1610" t="n">
        <v>4.55</v>
      </c>
      <c r="H1610" t="n">
        <v>2</v>
      </c>
      <c r="I1610" t="n">
        <v>6</v>
      </c>
      <c r="J1610" t="n">
        <v>3</v>
      </c>
      <c r="K1610" t="n">
        <v>0</v>
      </c>
      <c r="L1610" t="n">
        <v>10557</v>
      </c>
      <c r="M1610" t="n">
        <v>15000</v>
      </c>
      <c r="N1610" t="n">
        <v>91</v>
      </c>
      <c r="O1610" t="n">
        <v>0.91</v>
      </c>
      <c r="P1610" t="n">
        <v>1</v>
      </c>
      <c r="Q1610" t="n">
        <v>0.37</v>
      </c>
      <c r="R1610" t="n">
        <v>2</v>
      </c>
      <c r="S1610" t="n">
        <v>10920</v>
      </c>
      <c r="T1610" t="n">
        <v>26</v>
      </c>
      <c r="U1610" t="n">
        <v>28</v>
      </c>
      <c r="V1610" t="n">
        <v>30</v>
      </c>
      <c r="W1610" t="n">
        <v>22</v>
      </c>
      <c r="X1610" t="n">
        <v>31.59340659340659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11331</v>
      </c>
      <c r="AG1610" t="n">
        <v>448</v>
      </c>
      <c r="AH1610" t="inlineStr">
        <is>
          <t>PT. PADANG DISTRIBUSINDO RAYA - PPN (PDG)</t>
        </is>
      </c>
      <c r="AI1610" t="n">
        <v>1597</v>
      </c>
      <c r="AJ1610" t="inlineStr">
        <is>
          <t>FRES &amp; NATURAL</t>
        </is>
      </c>
      <c r="AK1610" t="n">
        <v>21</v>
      </c>
      <c r="AL1610" t="inlineStr">
        <is>
          <t>Miss Glam Damar</t>
        </is>
      </c>
      <c r="AM1610" t="n">
        <v>3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FROM THIS ISLAND</t>
        </is>
      </c>
      <c r="B1611" s="2">
        <f>"8994455180139"</f>
        <v/>
      </c>
      <c r="C1611" t="inlineStr">
        <is>
          <t>FROM THIS ISLAND  Illipe Plumping Lip Butter Sweetpeach10g</t>
        </is>
      </c>
      <c r="D1611" t="inlineStr">
        <is>
          <t>Miss Glam Damar</t>
        </is>
      </c>
      <c r="E1611" t="n">
        <v>0</v>
      </c>
      <c r="F1611" t="n">
        <v>0.04</v>
      </c>
      <c r="G1611" t="n">
        <v>1</v>
      </c>
      <c r="H1611" t="n">
        <v>4</v>
      </c>
      <c r="I1611" t="n">
        <v>21</v>
      </c>
      <c r="J1611" t="n">
        <v>3</v>
      </c>
      <c r="K1611" t="n">
        <v>0</v>
      </c>
      <c r="L1611" t="n">
        <v>112943</v>
      </c>
      <c r="M1611" t="n">
        <v>149000</v>
      </c>
      <c r="N1611" t="n">
        <v>91</v>
      </c>
      <c r="O1611" t="n">
        <v>0.91</v>
      </c>
      <c r="P1611" t="n">
        <v>0</v>
      </c>
      <c r="Q1611" t="n">
        <v>0.04</v>
      </c>
      <c r="R1611" t="n">
        <v>1</v>
      </c>
      <c r="S1611" t="n">
        <v>5960</v>
      </c>
      <c r="T1611" t="n">
        <v>21</v>
      </c>
      <c r="U1611" t="n">
        <v>22</v>
      </c>
      <c r="V1611" t="n">
        <v>30</v>
      </c>
      <c r="W1611" t="n">
        <v>2</v>
      </c>
      <c r="X1611" t="n">
        <v>0</v>
      </c>
      <c r="Y1611" t="n">
        <v>1</v>
      </c>
      <c r="Z1611" t="n">
        <v>2</v>
      </c>
      <c r="AA1611" t="n">
        <v>1</v>
      </c>
      <c r="AB1611" t="n">
        <v>1</v>
      </c>
      <c r="AC1611" t="n">
        <v>3</v>
      </c>
      <c r="AD1611" t="n">
        <v>112943</v>
      </c>
      <c r="AE1611" t="n">
        <v>338829</v>
      </c>
      <c r="AF1611" t="n">
        <v>5022</v>
      </c>
      <c r="AG1611" t="n">
        <v>1</v>
      </c>
      <c r="AH1611" t="inlineStr">
        <is>
          <t>PT. BERSAMA DISTRIVERSA INDONESIA (DC CIPUTAT)</t>
        </is>
      </c>
      <c r="AI1611" t="n">
        <v>2112</v>
      </c>
      <c r="AJ1611" t="inlineStr">
        <is>
          <t>FROM THIS ISLAND</t>
        </is>
      </c>
      <c r="AK1611" t="n">
        <v>21</v>
      </c>
      <c r="AL1611" t="inlineStr">
        <is>
          <t>Miss Glam Damar</t>
        </is>
      </c>
      <c r="AM1611" t="n">
        <v>2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FROM THIS ISLAND</t>
        </is>
      </c>
      <c r="B1612" s="2">
        <f>"8994455180085"</f>
        <v/>
      </c>
      <c r="C1612" t="inlineStr">
        <is>
          <t>FROM THIS ISLAND  Sugarcane AHA Exfoliating Solution 50ml</t>
        </is>
      </c>
      <c r="D1612" t="inlineStr">
        <is>
          <t>Miss Glam Damar</t>
        </is>
      </c>
      <c r="E1612" t="n">
        <v>4</v>
      </c>
      <c r="F1612" t="n">
        <v>0.02</v>
      </c>
      <c r="G1612" t="n">
        <v>1</v>
      </c>
      <c r="H1612" t="n">
        <v>4</v>
      </c>
      <c r="I1612" t="n">
        <v>21</v>
      </c>
      <c r="J1612" t="n">
        <v>3</v>
      </c>
      <c r="K1612" t="n">
        <v>0</v>
      </c>
      <c r="L1612" t="n">
        <v>83380</v>
      </c>
      <c r="M1612" t="n">
        <v>110000</v>
      </c>
      <c r="N1612" t="n">
        <v>91</v>
      </c>
      <c r="O1612" t="n">
        <v>0.91</v>
      </c>
      <c r="P1612" t="n">
        <v>0</v>
      </c>
      <c r="Q1612" t="n">
        <v>0.02</v>
      </c>
      <c r="R1612" t="n">
        <v>1</v>
      </c>
      <c r="S1612" t="n">
        <v>2200</v>
      </c>
      <c r="T1612" t="n">
        <v>21</v>
      </c>
      <c r="U1612" t="n">
        <v>22</v>
      </c>
      <c r="V1612" t="n">
        <v>30</v>
      </c>
      <c r="W1612" t="n">
        <v>1</v>
      </c>
      <c r="X1612" t="n">
        <v>200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5022</v>
      </c>
      <c r="AG1612" t="n">
        <v>1</v>
      </c>
      <c r="AH1612" t="inlineStr">
        <is>
          <t>PT. BERSAMA DISTRIVERSA INDONESIA (DC CIPUTAT)</t>
        </is>
      </c>
      <c r="AI1612" t="n">
        <v>2112</v>
      </c>
      <c r="AJ1612" t="inlineStr">
        <is>
          <t>FROM THIS ISLAND</t>
        </is>
      </c>
      <c r="AK1612" t="n">
        <v>21</v>
      </c>
      <c r="AL1612" t="inlineStr">
        <is>
          <t>Miss Glam Damar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FROM THIS ISLAND</t>
        </is>
      </c>
      <c r="B1613" s="2">
        <f>"10700400916"</f>
        <v/>
      </c>
      <c r="C1613" t="inlineStr">
        <is>
          <t>FROM THIS ISLAND Illipe Plumping Lip Butter Berry Burst 10gr</t>
        </is>
      </c>
      <c r="D1613" t="inlineStr">
        <is>
          <t>Miss Glam Damar</t>
        </is>
      </c>
      <c r="E1613" t="n">
        <v>16</v>
      </c>
      <c r="F1613" t="n">
        <v>0.03</v>
      </c>
      <c r="G1613" t="n">
        <v>1</v>
      </c>
      <c r="H1613" t="n">
        <v>4</v>
      </c>
      <c r="I1613" t="n">
        <v>21</v>
      </c>
      <c r="J1613" t="n">
        <v>3</v>
      </c>
      <c r="K1613" t="n">
        <v>0</v>
      </c>
      <c r="L1613" t="n">
        <v>109841</v>
      </c>
      <c r="M1613" t="n">
        <v>149000</v>
      </c>
      <c r="N1613" t="n">
        <v>91</v>
      </c>
      <c r="O1613" t="n">
        <v>0.91</v>
      </c>
      <c r="P1613" t="n">
        <v>0</v>
      </c>
      <c r="Q1613" t="n">
        <v>0.03</v>
      </c>
      <c r="R1613" t="n">
        <v>1</v>
      </c>
      <c r="S1613" t="n">
        <v>4470</v>
      </c>
      <c r="T1613" t="n">
        <v>21</v>
      </c>
      <c r="U1613" t="n">
        <v>22</v>
      </c>
      <c r="V1613" t="n">
        <v>30</v>
      </c>
      <c r="W1613" t="n">
        <v>1</v>
      </c>
      <c r="X1613" t="n">
        <v>533.3333333333334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5022</v>
      </c>
      <c r="AG1613" t="n">
        <v>1</v>
      </c>
      <c r="AH1613" t="inlineStr">
        <is>
          <t>PT. BERSAMA DISTRIVERSA INDONESIA (DC CIPUTAT)</t>
        </is>
      </c>
      <c r="AI1613" t="n">
        <v>2112</v>
      </c>
      <c r="AJ1613" t="inlineStr">
        <is>
          <t>FROM THIS ISLAND</t>
        </is>
      </c>
      <c r="AK1613" t="n">
        <v>21</v>
      </c>
      <c r="AL1613" t="inlineStr">
        <is>
          <t>Miss Glam Damar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FROM THIS ISLAND</t>
        </is>
      </c>
      <c r="B1614" s="2">
        <f>"8994455180108"</f>
        <v/>
      </c>
      <c r="C1614" t="inlineStr">
        <is>
          <t>FROM THIS ISLAND Illipe Plumping Lip Butter Classicnude 10g</t>
        </is>
      </c>
      <c r="D1614" t="inlineStr">
        <is>
          <t>Miss Glam Damar</t>
        </is>
      </c>
      <c r="E1614" t="n">
        <v>18</v>
      </c>
      <c r="F1614" t="n">
        <v>0.02</v>
      </c>
      <c r="G1614" t="n">
        <v>1</v>
      </c>
      <c r="H1614" t="n">
        <v>4</v>
      </c>
      <c r="I1614" t="n">
        <v>21</v>
      </c>
      <c r="J1614" t="n">
        <v>3</v>
      </c>
      <c r="K1614" t="n">
        <v>0</v>
      </c>
      <c r="L1614" t="n">
        <v>110186</v>
      </c>
      <c r="M1614" t="n">
        <v>149000</v>
      </c>
      <c r="N1614" t="n">
        <v>91</v>
      </c>
      <c r="O1614" t="n">
        <v>0.91</v>
      </c>
      <c r="P1614" t="n">
        <v>0</v>
      </c>
      <c r="Q1614" t="n">
        <v>0.02</v>
      </c>
      <c r="R1614" t="n">
        <v>1</v>
      </c>
      <c r="S1614" t="n">
        <v>2980</v>
      </c>
      <c r="T1614" t="n">
        <v>21</v>
      </c>
      <c r="U1614" t="n">
        <v>22</v>
      </c>
      <c r="V1614" t="n">
        <v>30</v>
      </c>
      <c r="W1614" t="n">
        <v>1</v>
      </c>
      <c r="X1614" t="n">
        <v>900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5022</v>
      </c>
      <c r="AG1614" t="n">
        <v>1</v>
      </c>
      <c r="AH1614" t="inlineStr">
        <is>
          <t>PT. BERSAMA DISTRIVERSA INDONESIA (DC CIPUTAT)</t>
        </is>
      </c>
      <c r="AI1614" t="n">
        <v>2112</v>
      </c>
      <c r="AJ1614" t="inlineStr">
        <is>
          <t>FROM THIS ISLAND</t>
        </is>
      </c>
      <c r="AK1614" t="n">
        <v>21</v>
      </c>
      <c r="AL1614" t="inlineStr">
        <is>
          <t>Miss Glam Damar</t>
        </is>
      </c>
      <c r="AM1614" t="n">
        <v>2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FROM THIS ISLAND</t>
        </is>
      </c>
      <c r="B1615" s="2">
        <f>"10700401801"</f>
        <v/>
      </c>
      <c r="C1615" t="inlineStr">
        <is>
          <t>FROM THIS ISLAND Illipe Plumping Lip Butter Pink Sugar 10gr</t>
        </is>
      </c>
      <c r="D1615" t="inlineStr">
        <is>
          <t>Miss Glam Damar</t>
        </is>
      </c>
      <c r="E1615" t="n">
        <v>9</v>
      </c>
      <c r="F1615" t="n">
        <v>0.0182</v>
      </c>
      <c r="G1615" t="n">
        <v>0.91</v>
      </c>
      <c r="H1615" t="n">
        <v>4</v>
      </c>
      <c r="I1615" t="n">
        <v>21</v>
      </c>
      <c r="J1615" t="n">
        <v>1</v>
      </c>
      <c r="K1615" t="n">
        <v>0</v>
      </c>
      <c r="L1615" t="n">
        <v>107116</v>
      </c>
      <c r="M1615" t="n">
        <v>149000</v>
      </c>
      <c r="N1615" t="n">
        <v>91</v>
      </c>
      <c r="O1615" t="n">
        <v>0.91</v>
      </c>
      <c r="P1615" t="n">
        <v>1</v>
      </c>
      <c r="Q1615" t="n">
        <v>0.03</v>
      </c>
      <c r="R1615" t="n">
        <v>1</v>
      </c>
      <c r="S1615" t="n">
        <v>2711.8</v>
      </c>
      <c r="T1615" t="n">
        <v>20</v>
      </c>
      <c r="U1615" t="n">
        <v>21</v>
      </c>
      <c r="V1615" t="n">
        <v>30</v>
      </c>
      <c r="W1615" t="n">
        <v>1</v>
      </c>
      <c r="X1615" t="n">
        <v>494.5054945054945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5022</v>
      </c>
      <c r="AG1615" t="n">
        <v>1</v>
      </c>
      <c r="AH1615" t="inlineStr">
        <is>
          <t>PT. BERSAMA DISTRIVERSA INDONESIA (DC CIPUTAT)</t>
        </is>
      </c>
      <c r="AI1615" t="n">
        <v>2112</v>
      </c>
      <c r="AJ1615" t="inlineStr">
        <is>
          <t>FROM THIS ISLAND</t>
        </is>
      </c>
      <c r="AK1615" t="n">
        <v>21</v>
      </c>
      <c r="AL1615" t="inlineStr">
        <is>
          <t>Miss Glam Damar</t>
        </is>
      </c>
      <c r="AM1615" t="n">
        <v>2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FROM THIS ISLAND</t>
        </is>
      </c>
      <c r="B1616" s="2">
        <f>"10700401536"</f>
        <v/>
      </c>
      <c r="C1616" t="inlineStr">
        <is>
          <t>FROM THIS ISLAND Illipe Plumping Lip Butter Sparkling Blush 10gr</t>
        </is>
      </c>
      <c r="D1616" t="inlineStr">
        <is>
          <t>Miss Glam Damar</t>
        </is>
      </c>
      <c r="E1616" t="n">
        <v>14</v>
      </c>
      <c r="F1616" t="n">
        <v>0.0182</v>
      </c>
      <c r="G1616" t="n">
        <v>0.91</v>
      </c>
      <c r="H1616" t="n">
        <v>4</v>
      </c>
      <c r="I1616" t="n">
        <v>21</v>
      </c>
      <c r="J1616" t="n">
        <v>1</v>
      </c>
      <c r="K1616" t="n">
        <v>0</v>
      </c>
      <c r="L1616" t="n">
        <v>107429</v>
      </c>
      <c r="M1616" t="n">
        <v>149000</v>
      </c>
      <c r="N1616" t="n">
        <v>91</v>
      </c>
      <c r="O1616" t="n">
        <v>0.91</v>
      </c>
      <c r="P1616" t="n">
        <v>1</v>
      </c>
      <c r="Q1616" t="n">
        <v>0.07000000000000001</v>
      </c>
      <c r="R1616" t="n">
        <v>1</v>
      </c>
      <c r="S1616" t="n">
        <v>2711.8</v>
      </c>
      <c r="T1616" t="n">
        <v>20</v>
      </c>
      <c r="U1616" t="n">
        <v>21</v>
      </c>
      <c r="V1616" t="n">
        <v>30</v>
      </c>
      <c r="W1616" t="n">
        <v>1</v>
      </c>
      <c r="X1616" t="n">
        <v>769.2307692307692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5022</v>
      </c>
      <c r="AG1616" t="n">
        <v>1</v>
      </c>
      <c r="AH1616" t="inlineStr">
        <is>
          <t>PT. BERSAMA DISTRIVERSA INDONESIA (DC CIPUTAT)</t>
        </is>
      </c>
      <c r="AI1616" t="n">
        <v>2112</v>
      </c>
      <c r="AJ1616" t="inlineStr">
        <is>
          <t>FROM THIS ISLAND</t>
        </is>
      </c>
      <c r="AK1616" t="n">
        <v>21</v>
      </c>
      <c r="AL1616" t="inlineStr">
        <is>
          <t>Miss Glam Damar</t>
        </is>
      </c>
      <c r="AM1616" t="n">
        <v>2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FROM THIS ISLAND</t>
        </is>
      </c>
      <c r="B1617" s="2">
        <f>"8994455180009"</f>
        <v/>
      </c>
      <c r="C1617" t="inlineStr">
        <is>
          <t>FROM THIS ISLAND Java Black Tea Soothing Cleanser 100ml</t>
        </is>
      </c>
      <c r="D1617" t="inlineStr">
        <is>
          <t>Miss Glam Damar</t>
        </is>
      </c>
      <c r="E1617" t="n">
        <v>12</v>
      </c>
      <c r="F1617" t="n">
        <v>0.02</v>
      </c>
      <c r="G1617" t="n">
        <v>1</v>
      </c>
      <c r="H1617" t="n">
        <v>4</v>
      </c>
      <c r="I1617" t="n">
        <v>21</v>
      </c>
      <c r="J1617" t="n">
        <v>3</v>
      </c>
      <c r="K1617" t="n">
        <v>0</v>
      </c>
      <c r="L1617" t="n">
        <v>116189</v>
      </c>
      <c r="M1617" t="n">
        <v>159000</v>
      </c>
      <c r="N1617" t="n">
        <v>91</v>
      </c>
      <c r="O1617" t="n">
        <v>0.91</v>
      </c>
      <c r="P1617" t="n">
        <v>0</v>
      </c>
      <c r="Q1617" t="n">
        <v>0.02</v>
      </c>
      <c r="R1617" t="n">
        <v>1</v>
      </c>
      <c r="S1617" t="n">
        <v>3180</v>
      </c>
      <c r="T1617" t="n">
        <v>21</v>
      </c>
      <c r="U1617" t="n">
        <v>22</v>
      </c>
      <c r="V1617" t="n">
        <v>30</v>
      </c>
      <c r="W1617" t="n">
        <v>1</v>
      </c>
      <c r="X1617" t="n">
        <v>600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5022</v>
      </c>
      <c r="AG1617" t="n">
        <v>1</v>
      </c>
      <c r="AH1617" t="inlineStr">
        <is>
          <t>PT. BERSAMA DISTRIVERSA INDONESIA (DC CIPUTAT)</t>
        </is>
      </c>
      <c r="AI1617" t="n">
        <v>2112</v>
      </c>
      <c r="AJ1617" t="inlineStr">
        <is>
          <t>FROM THIS ISLAND</t>
        </is>
      </c>
      <c r="AK1617" t="n">
        <v>21</v>
      </c>
      <c r="AL1617" t="inlineStr">
        <is>
          <t>Miss Glam Damar</t>
        </is>
      </c>
      <c r="AM1617" t="n">
        <v>2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FROM THIS ISLAND</t>
        </is>
      </c>
      <c r="B1618" s="2">
        <f>"10300725213"</f>
        <v/>
      </c>
      <c r="C1618" t="inlineStr">
        <is>
          <t>FROM THIS ISLAND Papua Red Fruit Plumping Cream 15ml</t>
        </is>
      </c>
      <c r="D1618" t="inlineStr">
        <is>
          <t>Miss Glam Damar</t>
        </is>
      </c>
      <c r="E1618" t="n">
        <v>7</v>
      </c>
      <c r="F1618" t="n">
        <v>0.03</v>
      </c>
      <c r="G1618" t="n">
        <v>2</v>
      </c>
      <c r="H1618" t="n">
        <v>4</v>
      </c>
      <c r="I1618" t="n">
        <v>21</v>
      </c>
      <c r="J1618" t="n">
        <v>1</v>
      </c>
      <c r="K1618" t="n">
        <v>0</v>
      </c>
      <c r="L1618" t="n">
        <v>114639</v>
      </c>
      <c r="M1618" t="n">
        <v>156000</v>
      </c>
      <c r="N1618" t="n">
        <v>91</v>
      </c>
      <c r="O1618" t="n">
        <v>0.91</v>
      </c>
      <c r="P1618" t="n">
        <v>0</v>
      </c>
      <c r="Q1618" t="n">
        <v>0.03</v>
      </c>
      <c r="R1618" t="n">
        <v>2</v>
      </c>
      <c r="S1618" t="n">
        <v>4680</v>
      </c>
      <c r="T1618" t="n">
        <v>42</v>
      </c>
      <c r="U1618" t="n">
        <v>43</v>
      </c>
      <c r="V1618" t="n">
        <v>30</v>
      </c>
      <c r="W1618" t="n">
        <v>1</v>
      </c>
      <c r="X1618" t="n">
        <v>233.3333333333333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5022</v>
      </c>
      <c r="AG1618" t="n">
        <v>1</v>
      </c>
      <c r="AH1618" t="inlineStr">
        <is>
          <t>PT. BERSAMA DISTRIVERSA INDONESIA (DC CIPUTAT)</t>
        </is>
      </c>
      <c r="AI1618" t="n">
        <v>2112</v>
      </c>
      <c r="AJ1618" t="inlineStr">
        <is>
          <t>FROM THIS ISLAND</t>
        </is>
      </c>
      <c r="AK1618" t="n">
        <v>21</v>
      </c>
      <c r="AL1618" t="inlineStr">
        <is>
          <t>Miss Glam Damar</t>
        </is>
      </c>
      <c r="AM1618" t="n">
        <v>2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FROM THIS ISLAND</t>
        </is>
      </c>
      <c r="B1619" s="2">
        <f>"8994455180047"</f>
        <v/>
      </c>
      <c r="C1619" t="inlineStr">
        <is>
          <t>FROM THIS ISLAND Papua Red Fruit Plumping Cream 30 ml</t>
        </is>
      </c>
      <c r="D1619" t="inlineStr">
        <is>
          <t>Miss Glam Damar</t>
        </is>
      </c>
      <c r="E1619" t="n">
        <v>16</v>
      </c>
      <c r="F1619" t="n">
        <v>0.06370000000000001</v>
      </c>
      <c r="G1619" t="n">
        <v>0.91</v>
      </c>
      <c r="H1619" t="n">
        <v>4</v>
      </c>
      <c r="I1619" t="n">
        <v>21</v>
      </c>
      <c r="J1619" t="n">
        <v>3</v>
      </c>
      <c r="K1619" t="n">
        <v>0</v>
      </c>
      <c r="L1619" t="n">
        <v>160301</v>
      </c>
      <c r="M1619" t="n">
        <v>253500</v>
      </c>
      <c r="N1619" t="n">
        <v>91</v>
      </c>
      <c r="O1619" t="n">
        <v>0.91</v>
      </c>
      <c r="P1619" t="n">
        <v>1</v>
      </c>
      <c r="Q1619" t="n">
        <v>0.05</v>
      </c>
      <c r="R1619" t="n">
        <v>1</v>
      </c>
      <c r="S1619" t="n">
        <v>16147.95</v>
      </c>
      <c r="T1619" t="n">
        <v>19</v>
      </c>
      <c r="U1619" t="n">
        <v>20</v>
      </c>
      <c r="V1619" t="n">
        <v>30</v>
      </c>
      <c r="W1619" t="n">
        <v>2</v>
      </c>
      <c r="X1619" t="n">
        <v>251.1773940345369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5022</v>
      </c>
      <c r="AG1619" t="n">
        <v>1</v>
      </c>
      <c r="AH1619" t="inlineStr">
        <is>
          <t>PT. BERSAMA DISTRIVERSA INDONESIA (DC CIPUTAT)</t>
        </is>
      </c>
      <c r="AI1619" t="n">
        <v>2112</v>
      </c>
      <c r="AJ1619" t="inlineStr">
        <is>
          <t>FROM THIS ISLAND</t>
        </is>
      </c>
      <c r="AK1619" t="n">
        <v>21</v>
      </c>
      <c r="AL1619" t="inlineStr">
        <is>
          <t>Miss Glam Damar</t>
        </is>
      </c>
      <c r="AM1619" t="n">
        <v>2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FSS</t>
        </is>
      </c>
      <c r="B1620" s="2">
        <f>"10200416030"</f>
        <v/>
      </c>
      <c r="C1620" t="inlineStr">
        <is>
          <t>FSS Glycolic  Acid Gel 10% With Tranexamic Acid Deep Exfoliator 100ml</t>
        </is>
      </c>
      <c r="D1620" t="inlineStr">
        <is>
          <t>Miss Glam Damar</t>
        </is>
      </c>
      <c r="E1620" t="n">
        <v>1</v>
      </c>
      <c r="F1620" t="n">
        <v>0.03</v>
      </c>
      <c r="G1620" t="n">
        <v>1</v>
      </c>
      <c r="H1620" t="n">
        <v>4</v>
      </c>
      <c r="I1620" t="n">
        <v>21</v>
      </c>
      <c r="J1620" t="n">
        <v>1</v>
      </c>
      <c r="K1620" t="n">
        <v>0</v>
      </c>
      <c r="L1620" t="n">
        <v>115443</v>
      </c>
      <c r="M1620" t="n">
        <v>156000</v>
      </c>
      <c r="N1620" t="n">
        <v>91</v>
      </c>
      <c r="O1620" t="n">
        <v>0.91</v>
      </c>
      <c r="P1620" t="n">
        <v>0</v>
      </c>
      <c r="Q1620" t="n">
        <v>0.03</v>
      </c>
      <c r="R1620" t="n">
        <v>1</v>
      </c>
      <c r="S1620" t="n">
        <v>4680</v>
      </c>
      <c r="T1620" t="n">
        <v>21</v>
      </c>
      <c r="U1620" t="n">
        <v>22</v>
      </c>
      <c r="V1620" t="n">
        <v>30</v>
      </c>
      <c r="W1620" t="n">
        <v>1</v>
      </c>
      <c r="X1620" t="n">
        <v>33.33333333333334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5055</v>
      </c>
      <c r="AG1620" t="n">
        <v>1</v>
      </c>
      <c r="AH1620" t="inlineStr">
        <is>
          <t>PT. BERSAMA DISTRIVERSA INDONESIA (DC CIPUTAT)</t>
        </is>
      </c>
      <c r="AI1620" t="n">
        <v>74</v>
      </c>
      <c r="AJ1620" t="inlineStr">
        <is>
          <t>FSS</t>
        </is>
      </c>
      <c r="AK1620" t="n">
        <v>21</v>
      </c>
      <c r="AL1620" t="inlineStr">
        <is>
          <t>Miss Glam Damar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FSS</t>
        </is>
      </c>
      <c r="B1621" s="2">
        <f>"6970048645454"</f>
        <v/>
      </c>
      <c r="C1621" t="inlineStr">
        <is>
          <t>FSS Premium Round Cotton Pads 80+20 Counts</t>
        </is>
      </c>
      <c r="D1621" t="inlineStr">
        <is>
          <t>Miss Glam Damar</t>
        </is>
      </c>
      <c r="E1621" t="n">
        <v>0</v>
      </c>
      <c r="F1621" t="n">
        <v>1.3741</v>
      </c>
      <c r="G1621" t="n">
        <v>9.1</v>
      </c>
      <c r="H1621" t="n">
        <v>4</v>
      </c>
      <c r="I1621" t="n">
        <v>21</v>
      </c>
      <c r="J1621" t="n">
        <v>3</v>
      </c>
      <c r="K1621" t="n">
        <v>0</v>
      </c>
      <c r="L1621" t="n">
        <v>15274</v>
      </c>
      <c r="M1621" t="n">
        <v>22000</v>
      </c>
      <c r="N1621" t="n">
        <v>91</v>
      </c>
      <c r="O1621" t="n">
        <v>0.91</v>
      </c>
      <c r="P1621" t="n">
        <v>1</v>
      </c>
      <c r="Q1621" t="n">
        <v>0.2</v>
      </c>
      <c r="R1621" t="n">
        <v>4</v>
      </c>
      <c r="S1621" t="n">
        <v>30230.2</v>
      </c>
      <c r="T1621" t="n">
        <v>186</v>
      </c>
      <c r="U1621" t="n">
        <v>192</v>
      </c>
      <c r="V1621" t="n">
        <v>30</v>
      </c>
      <c r="W1621" t="n">
        <v>42</v>
      </c>
      <c r="X1621" t="n">
        <v>0</v>
      </c>
      <c r="Y1621" t="n">
        <v>1</v>
      </c>
      <c r="Z1621" t="n">
        <v>42</v>
      </c>
      <c r="AA1621" t="n">
        <v>29</v>
      </c>
      <c r="AB1621" t="n">
        <v>13</v>
      </c>
      <c r="AC1621" t="n">
        <v>13</v>
      </c>
      <c r="AD1621" t="n">
        <v>442946</v>
      </c>
      <c r="AE1621" t="n">
        <v>198562</v>
      </c>
      <c r="AF1621" t="n">
        <v>5055</v>
      </c>
      <c r="AG1621" t="n">
        <v>1</v>
      </c>
      <c r="AH1621" t="inlineStr">
        <is>
          <t>PT. BERSAMA DISTRIVERSA INDONESIA (DC CIPUTAT)</t>
        </is>
      </c>
      <c r="AI1621" t="n">
        <v>74</v>
      </c>
      <c r="AJ1621" t="inlineStr">
        <is>
          <t>FSS</t>
        </is>
      </c>
      <c r="AK1621" t="n">
        <v>21</v>
      </c>
      <c r="AL1621" t="inlineStr">
        <is>
          <t>Miss Glam Damar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FSS</t>
        </is>
      </c>
      <c r="B1622" s="2">
        <f>"4912589378455"</f>
        <v/>
      </c>
      <c r="C1622" t="inlineStr">
        <is>
          <t>FSS Retinal Eye Cream 0,05% With Caffeine 20ml</t>
        </is>
      </c>
      <c r="D1622" t="inlineStr">
        <is>
          <t>Miss Glam Damar</t>
        </is>
      </c>
      <c r="E1622" t="n">
        <v>1</v>
      </c>
      <c r="F1622" t="n">
        <v>0.03</v>
      </c>
      <c r="G1622" t="n">
        <v>1</v>
      </c>
      <c r="H1622" t="n">
        <v>4</v>
      </c>
      <c r="I1622" t="n">
        <v>21</v>
      </c>
      <c r="J1622" t="n">
        <v>3</v>
      </c>
      <c r="K1622" t="n">
        <v>0</v>
      </c>
      <c r="L1622" t="n">
        <v>119023</v>
      </c>
      <c r="M1622" t="n">
        <v>150000</v>
      </c>
      <c r="N1622" t="n">
        <v>91</v>
      </c>
      <c r="O1622" t="n">
        <v>0.91</v>
      </c>
      <c r="P1622" t="n">
        <v>0</v>
      </c>
      <c r="Q1622" t="n">
        <v>0.03</v>
      </c>
      <c r="R1622" t="n">
        <v>1</v>
      </c>
      <c r="S1622" t="n">
        <v>4500</v>
      </c>
      <c r="T1622" t="n">
        <v>21</v>
      </c>
      <c r="U1622" t="n">
        <v>22</v>
      </c>
      <c r="V1622" t="n">
        <v>30</v>
      </c>
      <c r="W1622" t="n">
        <v>1</v>
      </c>
      <c r="X1622" t="n">
        <v>33.33333333333334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5055</v>
      </c>
      <c r="AG1622" t="n">
        <v>1</v>
      </c>
      <c r="AH1622" t="inlineStr">
        <is>
          <t>PT. BERSAMA DISTRIVERSA INDONESIA (DC CIPUTAT)</t>
        </is>
      </c>
      <c r="AI1622" t="n">
        <v>74</v>
      </c>
      <c r="AJ1622" t="inlineStr">
        <is>
          <t>FSS</t>
        </is>
      </c>
      <c r="AK1622" t="n">
        <v>21</v>
      </c>
      <c r="AL1622" t="inlineStr">
        <is>
          <t>Miss Glam Damar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FSS</t>
        </is>
      </c>
      <c r="B1623" s="2">
        <f>"10200160532"</f>
        <v/>
      </c>
      <c r="C1623" t="inlineStr">
        <is>
          <t>FSS Salicylic Acid Toner 2% With Succinic Acid 100ml</t>
        </is>
      </c>
      <c r="D1623" t="inlineStr">
        <is>
          <t>Miss Glam Damar</t>
        </is>
      </c>
      <c r="E1623" t="n">
        <v>2</v>
      </c>
      <c r="F1623" t="n">
        <v>0.02</v>
      </c>
      <c r="G1623" t="n">
        <v>1</v>
      </c>
      <c r="H1623" t="n">
        <v>4</v>
      </c>
      <c r="I1623" t="n">
        <v>21</v>
      </c>
      <c r="J1623" t="n">
        <v>1</v>
      </c>
      <c r="K1623" t="n">
        <v>0</v>
      </c>
      <c r="L1623" t="n">
        <v>110074</v>
      </c>
      <c r="M1623" t="n">
        <v>129500</v>
      </c>
      <c r="N1623" t="n">
        <v>91</v>
      </c>
      <c r="O1623" t="n">
        <v>0.91</v>
      </c>
      <c r="P1623" t="n">
        <v>0</v>
      </c>
      <c r="Q1623" t="n">
        <v>0.02</v>
      </c>
      <c r="R1623" t="n">
        <v>1</v>
      </c>
      <c r="S1623" t="n">
        <v>2590</v>
      </c>
      <c r="T1623" t="n">
        <v>21</v>
      </c>
      <c r="U1623" t="n">
        <v>22</v>
      </c>
      <c r="V1623" t="n">
        <v>30</v>
      </c>
      <c r="W1623" t="n">
        <v>1</v>
      </c>
      <c r="X1623" t="n">
        <v>100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5055</v>
      </c>
      <c r="AG1623" t="n">
        <v>1</v>
      </c>
      <c r="AH1623" t="inlineStr">
        <is>
          <t>PT. BERSAMA DISTRIVERSA INDONESIA (DC CIPUTAT)</t>
        </is>
      </c>
      <c r="AI1623" t="n">
        <v>74</v>
      </c>
      <c r="AJ1623" t="inlineStr">
        <is>
          <t>FSS</t>
        </is>
      </c>
      <c r="AK1623" t="n">
        <v>21</v>
      </c>
      <c r="AL1623" t="inlineStr">
        <is>
          <t>Miss Glam Damar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GARNIER</t>
        </is>
      </c>
      <c r="B1624" s="2">
        <f>"10100724957"</f>
        <v/>
      </c>
      <c r="C1624" t="inlineStr">
        <is>
          <t>GARNIER  Micellar Exfoliating Water 125ml</t>
        </is>
      </c>
      <c r="D1624" t="inlineStr">
        <is>
          <t>Miss Glam Damar</t>
        </is>
      </c>
      <c r="E1624" t="n">
        <v>38</v>
      </c>
      <c r="F1624" t="n">
        <v>0.3367</v>
      </c>
      <c r="G1624" t="n">
        <v>2.73</v>
      </c>
      <c r="H1624" t="n">
        <v>3</v>
      </c>
      <c r="I1624" t="n">
        <v>14</v>
      </c>
      <c r="J1624" t="n">
        <v>1</v>
      </c>
      <c r="K1624" t="n">
        <v>0</v>
      </c>
      <c r="L1624" t="n">
        <v>24132</v>
      </c>
      <c r="M1624" t="n">
        <v>28000</v>
      </c>
      <c r="N1624" t="n">
        <v>91</v>
      </c>
      <c r="O1624" t="n">
        <v>0.91</v>
      </c>
      <c r="P1624" t="n">
        <v>1</v>
      </c>
      <c r="Q1624" t="n">
        <v>0.27</v>
      </c>
      <c r="R1624" t="n">
        <v>2</v>
      </c>
      <c r="S1624" t="n">
        <v>9427.6</v>
      </c>
      <c r="T1624" t="n">
        <v>38</v>
      </c>
      <c r="U1624" t="n">
        <v>40</v>
      </c>
      <c r="V1624" t="n">
        <v>30</v>
      </c>
      <c r="W1624" t="n">
        <v>11</v>
      </c>
      <c r="X1624" t="n">
        <v>112.8601128601129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10984</v>
      </c>
      <c r="AG1624" t="n">
        <v>33</v>
      </c>
      <c r="AH1624" t="inlineStr">
        <is>
          <t>PT. MENSA BINASUKSES - PPN (PDG)</t>
        </is>
      </c>
      <c r="AI1624" t="n">
        <v>75</v>
      </c>
      <c r="AJ1624" t="inlineStr">
        <is>
          <t>GARNIER</t>
        </is>
      </c>
      <c r="AK1624" t="n">
        <v>21</v>
      </c>
      <c r="AL1624" t="inlineStr">
        <is>
          <t>Miss Glam Damar</t>
        </is>
      </c>
      <c r="AM1624" t="n">
        <v>3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GARNIER</t>
        </is>
      </c>
      <c r="B1625" s="2">
        <f>"10100724835"</f>
        <v/>
      </c>
      <c r="C1625" t="inlineStr">
        <is>
          <t>GARNIER  Micellar Exfoliating Water 400ml</t>
        </is>
      </c>
      <c r="D1625" t="inlineStr">
        <is>
          <t>Miss Glam Damar</t>
        </is>
      </c>
      <c r="E1625" t="n">
        <v>2</v>
      </c>
      <c r="F1625" t="n">
        <v>0.1183</v>
      </c>
      <c r="G1625" t="n">
        <v>0.91</v>
      </c>
      <c r="H1625" t="n">
        <v>3</v>
      </c>
      <c r="I1625" t="n">
        <v>14</v>
      </c>
      <c r="J1625" t="n">
        <v>1</v>
      </c>
      <c r="K1625" t="n">
        <v>0</v>
      </c>
      <c r="L1625" t="n">
        <v>48756</v>
      </c>
      <c r="M1625" t="n">
        <v>57500</v>
      </c>
      <c r="N1625" t="n">
        <v>91</v>
      </c>
      <c r="O1625" t="n">
        <v>0.91</v>
      </c>
      <c r="P1625" t="n">
        <v>1</v>
      </c>
      <c r="Q1625" t="n">
        <v>0.12</v>
      </c>
      <c r="R1625" t="n">
        <v>2</v>
      </c>
      <c r="S1625" t="n">
        <v>6802.25</v>
      </c>
      <c r="T1625" t="n">
        <v>13</v>
      </c>
      <c r="U1625" t="n">
        <v>14</v>
      </c>
      <c r="V1625" t="n">
        <v>30</v>
      </c>
      <c r="W1625" t="n">
        <v>4</v>
      </c>
      <c r="X1625" t="n">
        <v>16.9061707523246</v>
      </c>
      <c r="Y1625" t="n">
        <v>1</v>
      </c>
      <c r="Z1625" t="n">
        <v>2</v>
      </c>
      <c r="AA1625" t="n">
        <v>0</v>
      </c>
      <c r="AB1625" t="n">
        <v>2</v>
      </c>
      <c r="AC1625" t="n">
        <v>2</v>
      </c>
      <c r="AD1625" t="n">
        <v>0</v>
      </c>
      <c r="AE1625" t="n">
        <v>97512</v>
      </c>
      <c r="AF1625" t="n">
        <v>10984</v>
      </c>
      <c r="AG1625" t="n">
        <v>33</v>
      </c>
      <c r="AH1625" t="inlineStr">
        <is>
          <t>PT. MENSA BINASUKSES - PPN (PDG)</t>
        </is>
      </c>
      <c r="AI1625" t="n">
        <v>75</v>
      </c>
      <c r="AJ1625" t="inlineStr">
        <is>
          <t>GARNIER</t>
        </is>
      </c>
      <c r="AK1625" t="n">
        <v>21</v>
      </c>
      <c r="AL1625" t="inlineStr">
        <is>
          <t>Miss Glam Damar</t>
        </is>
      </c>
      <c r="AM1625" t="n">
        <v>3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GARNIER</t>
        </is>
      </c>
      <c r="B1626" s="2">
        <f>"8994993025749"</f>
        <v/>
      </c>
      <c r="C1626" t="inlineStr">
        <is>
          <t>GARNIER Bright Complate Vitamin C Aqua Gel 20ml</t>
        </is>
      </c>
      <c r="D1626" t="inlineStr">
        <is>
          <t>Miss Glam Damar</t>
        </is>
      </c>
      <c r="E1626" t="n">
        <v>2</v>
      </c>
      <c r="F1626" t="n">
        <v>0.2002</v>
      </c>
      <c r="G1626" t="n">
        <v>0.91</v>
      </c>
      <c r="H1626" t="n">
        <v>3</v>
      </c>
      <c r="I1626" t="n">
        <v>14</v>
      </c>
      <c r="J1626" t="n">
        <v>3</v>
      </c>
      <c r="K1626" t="n">
        <v>0</v>
      </c>
      <c r="L1626" t="n">
        <v>26788</v>
      </c>
      <c r="M1626" t="n">
        <v>32000</v>
      </c>
      <c r="N1626" t="n">
        <v>91</v>
      </c>
      <c r="O1626" t="n">
        <v>0.91</v>
      </c>
      <c r="P1626" t="n">
        <v>1</v>
      </c>
      <c r="Q1626" t="n">
        <v>0.07000000000000001</v>
      </c>
      <c r="R1626" t="n">
        <v>1</v>
      </c>
      <c r="S1626" t="n">
        <v>6406.400000000001</v>
      </c>
      <c r="T1626" t="n">
        <v>13</v>
      </c>
      <c r="U1626" t="n">
        <v>14</v>
      </c>
      <c r="V1626" t="n">
        <v>30</v>
      </c>
      <c r="W1626" t="n">
        <v>7</v>
      </c>
      <c r="X1626" t="n">
        <v>9.990009990009989</v>
      </c>
      <c r="Y1626" t="n">
        <v>1</v>
      </c>
      <c r="Z1626" t="n">
        <v>5</v>
      </c>
      <c r="AA1626" t="n">
        <v>1</v>
      </c>
      <c r="AB1626" t="n">
        <v>4</v>
      </c>
      <c r="AC1626" t="n">
        <v>4</v>
      </c>
      <c r="AD1626" t="n">
        <v>26788</v>
      </c>
      <c r="AE1626" t="n">
        <v>107152</v>
      </c>
      <c r="AF1626" t="n">
        <v>10984</v>
      </c>
      <c r="AG1626" t="n">
        <v>33</v>
      </c>
      <c r="AH1626" t="inlineStr">
        <is>
          <t>PT. MENSA BINASUKSES - PPN (PDG)</t>
        </is>
      </c>
      <c r="AI1626" t="n">
        <v>75</v>
      </c>
      <c r="AJ1626" t="inlineStr">
        <is>
          <t>GARNIER</t>
        </is>
      </c>
      <c r="AK1626" t="n">
        <v>21</v>
      </c>
      <c r="AL1626" t="inlineStr">
        <is>
          <t>Miss Glam Damar</t>
        </is>
      </c>
      <c r="AM1626" t="n">
        <v>3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GARNIER</t>
        </is>
      </c>
      <c r="B1627" s="2">
        <f>"8994993025664"</f>
        <v/>
      </c>
      <c r="C1627" t="inlineStr">
        <is>
          <t>GARNIER Bright Complate Vitamin C Aqua Gel 50ml Ebt</t>
        </is>
      </c>
      <c r="D1627" t="inlineStr">
        <is>
          <t>Miss Glam Damar</t>
        </is>
      </c>
      <c r="E1627" t="n">
        <v>5</v>
      </c>
      <c r="F1627" t="n">
        <v>0.0728</v>
      </c>
      <c r="G1627" t="n">
        <v>0.91</v>
      </c>
      <c r="H1627" t="n">
        <v>3</v>
      </c>
      <c r="I1627" t="n">
        <v>14</v>
      </c>
      <c r="J1627" t="n">
        <v>3</v>
      </c>
      <c r="K1627" t="n">
        <v>0</v>
      </c>
      <c r="L1627" t="n">
        <v>79121</v>
      </c>
      <c r="M1627" t="n">
        <v>83000</v>
      </c>
      <c r="N1627" t="n">
        <v>91</v>
      </c>
      <c r="O1627" t="n">
        <v>0.91</v>
      </c>
      <c r="P1627" t="n">
        <v>1</v>
      </c>
      <c r="Q1627" t="n">
        <v>0.05</v>
      </c>
      <c r="R1627" t="n">
        <v>1</v>
      </c>
      <c r="S1627" t="n">
        <v>6042.400000000001</v>
      </c>
      <c r="T1627" t="n">
        <v>13</v>
      </c>
      <c r="U1627" t="n">
        <v>14</v>
      </c>
      <c r="V1627" t="n">
        <v>30</v>
      </c>
      <c r="W1627" t="n">
        <v>3</v>
      </c>
      <c r="X1627" t="n">
        <v>68.68131868131867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10984</v>
      </c>
      <c r="AG1627" t="n">
        <v>33</v>
      </c>
      <c r="AH1627" t="inlineStr">
        <is>
          <t>PT. MENSA BINASUKSES - PPN (PDG)</t>
        </is>
      </c>
      <c r="AI1627" t="n">
        <v>75</v>
      </c>
      <c r="AJ1627" t="inlineStr">
        <is>
          <t>GARNIER</t>
        </is>
      </c>
      <c r="AK1627" t="n">
        <v>21</v>
      </c>
      <c r="AL1627" t="inlineStr">
        <is>
          <t>Miss Glam Damar</t>
        </is>
      </c>
      <c r="AM1627" t="n">
        <v>3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GARNIER</t>
        </is>
      </c>
      <c r="B1628" s="2">
        <f>"8994993018222"</f>
        <v/>
      </c>
      <c r="C1628" t="inlineStr">
        <is>
          <t>GARNIER Bright Complete Anti Acne 3in1 Foam 100ml</t>
        </is>
      </c>
      <c r="D1628" t="inlineStr">
        <is>
          <t>Miss Glam Damar</t>
        </is>
      </c>
      <c r="E1628" t="n">
        <v>8</v>
      </c>
      <c r="F1628" t="n">
        <v>0.1365</v>
      </c>
      <c r="G1628" t="n">
        <v>1.82</v>
      </c>
      <c r="H1628" t="n">
        <v>3</v>
      </c>
      <c r="I1628" t="n">
        <v>14</v>
      </c>
      <c r="J1628" t="n">
        <v>3</v>
      </c>
      <c r="K1628" t="n">
        <v>0</v>
      </c>
      <c r="L1628" t="n">
        <v>29081</v>
      </c>
      <c r="M1628" t="n">
        <v>39000</v>
      </c>
      <c r="N1628" t="n">
        <v>91</v>
      </c>
      <c r="O1628" t="n">
        <v>0.91</v>
      </c>
      <c r="P1628" t="n">
        <v>1</v>
      </c>
      <c r="Q1628" t="n">
        <v>0.07000000000000001</v>
      </c>
      <c r="R1628" t="n">
        <v>1</v>
      </c>
      <c r="S1628" t="n">
        <v>5323.5</v>
      </c>
      <c r="T1628" t="n">
        <v>26</v>
      </c>
      <c r="U1628" t="n">
        <v>27</v>
      </c>
      <c r="V1628" t="n">
        <v>30</v>
      </c>
      <c r="W1628" t="n">
        <v>5</v>
      </c>
      <c r="X1628" t="n">
        <v>58.60805860805861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10984</v>
      </c>
      <c r="AG1628" t="n">
        <v>33</v>
      </c>
      <c r="AH1628" t="inlineStr">
        <is>
          <t>PT. MENSA BINASUKSES - PPN (PDG)</t>
        </is>
      </c>
      <c r="AI1628" t="n">
        <v>75</v>
      </c>
      <c r="AJ1628" t="inlineStr">
        <is>
          <t>GARNIER</t>
        </is>
      </c>
      <c r="AK1628" t="n">
        <v>21</v>
      </c>
      <c r="AL1628" t="inlineStr">
        <is>
          <t>Miss Glam Damar</t>
        </is>
      </c>
      <c r="AM1628" t="n">
        <v>3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GARNIER</t>
        </is>
      </c>
      <c r="B1629" s="2">
        <f>"8994993018284"</f>
        <v/>
      </c>
      <c r="C1629" t="inlineStr">
        <is>
          <t>GARNIER Bright Complete Anti Acne Serum 15ml</t>
        </is>
      </c>
      <c r="D1629" t="inlineStr">
        <is>
          <t>Miss Glam Damar</t>
        </is>
      </c>
      <c r="E1629" t="n">
        <v>4</v>
      </c>
      <c r="F1629" t="n">
        <v>0.0273</v>
      </c>
      <c r="G1629" t="n">
        <v>0.91</v>
      </c>
      <c r="H1629" t="n">
        <v>3</v>
      </c>
      <c r="I1629" t="n">
        <v>14</v>
      </c>
      <c r="J1629" t="n">
        <v>3</v>
      </c>
      <c r="K1629" t="n">
        <v>0</v>
      </c>
      <c r="L1629" t="n">
        <v>72307</v>
      </c>
      <c r="M1629" t="n">
        <v>85500</v>
      </c>
      <c r="N1629" t="n">
        <v>91</v>
      </c>
      <c r="O1629" t="n">
        <v>0.91</v>
      </c>
      <c r="P1629" t="n">
        <v>1</v>
      </c>
      <c r="Q1629" t="n">
        <v>0.07000000000000001</v>
      </c>
      <c r="R1629" t="n">
        <v>1</v>
      </c>
      <c r="S1629" t="n">
        <v>2334.15</v>
      </c>
      <c r="T1629" t="n">
        <v>13</v>
      </c>
      <c r="U1629" t="n">
        <v>14</v>
      </c>
      <c r="V1629" t="n">
        <v>30</v>
      </c>
      <c r="W1629" t="n">
        <v>1</v>
      </c>
      <c r="X1629" t="n">
        <v>146.5201465201465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10984</v>
      </c>
      <c r="AG1629" t="n">
        <v>33</v>
      </c>
      <c r="AH1629" t="inlineStr">
        <is>
          <t>PT. MENSA BINASUKSES - PPN (PDG)</t>
        </is>
      </c>
      <c r="AI1629" t="n">
        <v>75</v>
      </c>
      <c r="AJ1629" t="inlineStr">
        <is>
          <t>GARNIER</t>
        </is>
      </c>
      <c r="AK1629" t="n">
        <v>21</v>
      </c>
      <c r="AL1629" t="inlineStr">
        <is>
          <t>Miss Glam Damar</t>
        </is>
      </c>
      <c r="AM1629" t="n">
        <v>3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GARNIER</t>
        </is>
      </c>
      <c r="B1630" s="2">
        <f>"8994993009015"</f>
        <v/>
      </c>
      <c r="C1630" t="inlineStr">
        <is>
          <t>GARNIER Bright Complete Whip Foam 100ml</t>
        </is>
      </c>
      <c r="D1630" t="inlineStr">
        <is>
          <t>Miss Glam Damar</t>
        </is>
      </c>
      <c r="E1630" t="n">
        <v>2</v>
      </c>
      <c r="F1630" t="n">
        <v>0.1274</v>
      </c>
      <c r="G1630" t="n">
        <v>1.82</v>
      </c>
      <c r="H1630" t="n">
        <v>3</v>
      </c>
      <c r="I1630" t="n">
        <v>14</v>
      </c>
      <c r="J1630" t="n">
        <v>3</v>
      </c>
      <c r="K1630" t="n">
        <v>0</v>
      </c>
      <c r="L1630" t="n">
        <v>30782</v>
      </c>
      <c r="M1630" t="n">
        <v>39000</v>
      </c>
      <c r="N1630" t="n">
        <v>91</v>
      </c>
      <c r="O1630" t="n">
        <v>0.91</v>
      </c>
      <c r="P1630" t="n">
        <v>1</v>
      </c>
      <c r="Q1630" t="n">
        <v>0.02</v>
      </c>
      <c r="R1630" t="n">
        <v>1</v>
      </c>
      <c r="S1630" t="n">
        <v>4968.6</v>
      </c>
      <c r="T1630" t="n">
        <v>26</v>
      </c>
      <c r="U1630" t="n">
        <v>27</v>
      </c>
      <c r="V1630" t="n">
        <v>30</v>
      </c>
      <c r="W1630" t="n">
        <v>4</v>
      </c>
      <c r="X1630" t="n">
        <v>15.69858712715855</v>
      </c>
      <c r="Y1630" t="n">
        <v>1</v>
      </c>
      <c r="Z1630" t="n">
        <v>2</v>
      </c>
      <c r="AA1630" t="n">
        <v>0</v>
      </c>
      <c r="AB1630" t="n">
        <v>2</v>
      </c>
      <c r="AC1630" t="n">
        <v>3</v>
      </c>
      <c r="AD1630" t="n">
        <v>0</v>
      </c>
      <c r="AE1630" t="n">
        <v>92346</v>
      </c>
      <c r="AF1630" t="n">
        <v>10984</v>
      </c>
      <c r="AG1630" t="n">
        <v>33</v>
      </c>
      <c r="AH1630" t="inlineStr">
        <is>
          <t>PT. MENSA BINASUKSES - PPN (PDG)</t>
        </is>
      </c>
      <c r="AI1630" t="n">
        <v>75</v>
      </c>
      <c r="AJ1630" t="inlineStr">
        <is>
          <t>GARNIER</t>
        </is>
      </c>
      <c r="AK1630" t="n">
        <v>21</v>
      </c>
      <c r="AL1630" t="inlineStr">
        <is>
          <t>Miss Glam Damar</t>
        </is>
      </c>
      <c r="AM1630" t="n">
        <v>3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GARNIER</t>
        </is>
      </c>
      <c r="B1631" s="2">
        <f>"8994993009022"</f>
        <v/>
      </c>
      <c r="C1631" t="inlineStr">
        <is>
          <t>GARNIER Bright Complete Whip Foam 50ml</t>
        </is>
      </c>
      <c r="D1631" t="inlineStr">
        <is>
          <t>Miss Glam Damar</t>
        </is>
      </c>
      <c r="E1631" t="n">
        <v>1</v>
      </c>
      <c r="F1631" t="n">
        <v>0.03</v>
      </c>
      <c r="G1631" t="n">
        <v>1</v>
      </c>
      <c r="H1631" t="n">
        <v>3</v>
      </c>
      <c r="I1631" t="n">
        <v>14</v>
      </c>
      <c r="J1631" t="n">
        <v>3</v>
      </c>
      <c r="K1631" t="n">
        <v>0</v>
      </c>
      <c r="L1631" t="n">
        <v>23655</v>
      </c>
      <c r="M1631" t="n">
        <v>28500</v>
      </c>
      <c r="N1631" t="n">
        <v>91</v>
      </c>
      <c r="O1631" t="n">
        <v>0.91</v>
      </c>
      <c r="P1631" t="n">
        <v>0</v>
      </c>
      <c r="Q1631" t="n">
        <v>0.03</v>
      </c>
      <c r="R1631" t="n">
        <v>1</v>
      </c>
      <c r="S1631" t="n">
        <v>855</v>
      </c>
      <c r="T1631" t="n">
        <v>14</v>
      </c>
      <c r="U1631" t="n">
        <v>15</v>
      </c>
      <c r="V1631" t="n">
        <v>30</v>
      </c>
      <c r="W1631" t="n">
        <v>1</v>
      </c>
      <c r="X1631" t="n">
        <v>33.33333333333334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10984</v>
      </c>
      <c r="AG1631" t="n">
        <v>33</v>
      </c>
      <c r="AH1631" t="inlineStr">
        <is>
          <t>PT. MENSA BINASUKSES - PPN (PDG)</t>
        </is>
      </c>
      <c r="AI1631" t="n">
        <v>75</v>
      </c>
      <c r="AJ1631" t="inlineStr">
        <is>
          <t>GARNIER</t>
        </is>
      </c>
      <c r="AK1631" t="n">
        <v>21</v>
      </c>
      <c r="AL1631" t="inlineStr">
        <is>
          <t>Miss Glam Damar</t>
        </is>
      </c>
      <c r="AM1631" t="n">
        <v>3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GARNIER</t>
        </is>
      </c>
      <c r="B1632" s="2">
        <f>"40200633524"</f>
        <v/>
      </c>
      <c r="C1632" t="inlineStr">
        <is>
          <t>GARNIER Color Natural Ash Blonde 105ml</t>
        </is>
      </c>
      <c r="D1632" t="inlineStr">
        <is>
          <t>Miss Glam Damar</t>
        </is>
      </c>
      <c r="E1632" t="n">
        <v>1</v>
      </c>
      <c r="F1632" t="n">
        <v>0.08</v>
      </c>
      <c r="G1632" t="n">
        <v>1</v>
      </c>
      <c r="H1632" t="n">
        <v>3</v>
      </c>
      <c r="I1632" t="n">
        <v>14</v>
      </c>
      <c r="J1632" t="n">
        <v>1</v>
      </c>
      <c r="K1632" t="n">
        <v>0</v>
      </c>
      <c r="L1632" t="n">
        <v>49265</v>
      </c>
      <c r="M1632" t="n">
        <v>69000</v>
      </c>
      <c r="N1632" t="n">
        <v>91</v>
      </c>
      <c r="O1632" t="n">
        <v>0.91</v>
      </c>
      <c r="P1632" t="n">
        <v>0</v>
      </c>
      <c r="Q1632" t="n">
        <v>0.08</v>
      </c>
      <c r="R1632" t="n">
        <v>1</v>
      </c>
      <c r="S1632" t="n">
        <v>5520</v>
      </c>
      <c r="T1632" t="n">
        <v>14</v>
      </c>
      <c r="U1632" t="n">
        <v>15</v>
      </c>
      <c r="V1632" t="n">
        <v>30</v>
      </c>
      <c r="W1632" t="n">
        <v>3</v>
      </c>
      <c r="X1632" t="n">
        <v>12.5</v>
      </c>
      <c r="Y1632" t="n">
        <v>1</v>
      </c>
      <c r="Z1632" t="n">
        <v>2</v>
      </c>
      <c r="AA1632" t="n">
        <v>1</v>
      </c>
      <c r="AB1632" t="n">
        <v>1</v>
      </c>
      <c r="AC1632" t="n">
        <v>1</v>
      </c>
      <c r="AD1632" t="n">
        <v>49265</v>
      </c>
      <c r="AE1632" t="n">
        <v>49265</v>
      </c>
      <c r="AF1632" t="n">
        <v>10984</v>
      </c>
      <c r="AG1632" t="n">
        <v>33</v>
      </c>
      <c r="AH1632" t="inlineStr">
        <is>
          <t>PT. MENSA BINASUKSES - PPN (PDG)</t>
        </is>
      </c>
      <c r="AI1632" t="n">
        <v>75</v>
      </c>
      <c r="AJ1632" t="inlineStr">
        <is>
          <t>GARNIER</t>
        </is>
      </c>
      <c r="AK1632" t="n">
        <v>21</v>
      </c>
      <c r="AL1632" t="inlineStr">
        <is>
          <t>Miss Glam Damar</t>
        </is>
      </c>
      <c r="AM1632" t="n">
        <v>3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GARNIER</t>
        </is>
      </c>
      <c r="B1633" s="2">
        <f>"8901526628919"</f>
        <v/>
      </c>
      <c r="C1633" t="inlineStr">
        <is>
          <t>GARNIER Color Natural Purple Glow Radiant Blueberry</t>
        </is>
      </c>
      <c r="D1633" t="inlineStr">
        <is>
          <t>Miss Glam Damar</t>
        </is>
      </c>
      <c r="E1633" t="n">
        <v>25</v>
      </c>
      <c r="F1633" t="n">
        <v>0.5551</v>
      </c>
      <c r="G1633" t="n">
        <v>4.55</v>
      </c>
      <c r="H1633" t="n">
        <v>3</v>
      </c>
      <c r="I1633" t="n">
        <v>14</v>
      </c>
      <c r="J1633" t="n">
        <v>3</v>
      </c>
      <c r="K1633" t="n">
        <v>0</v>
      </c>
      <c r="L1633" t="n">
        <v>16158</v>
      </c>
      <c r="M1633" t="n">
        <v>16500</v>
      </c>
      <c r="N1633" t="n">
        <v>91</v>
      </c>
      <c r="O1633" t="n">
        <v>0.91</v>
      </c>
      <c r="P1633" t="n">
        <v>1</v>
      </c>
      <c r="Q1633" t="n">
        <v>0.59</v>
      </c>
      <c r="R1633" t="n">
        <v>4</v>
      </c>
      <c r="S1633" t="n">
        <v>9159.150000000001</v>
      </c>
      <c r="T1633" t="n">
        <v>63</v>
      </c>
      <c r="U1633" t="n">
        <v>65</v>
      </c>
      <c r="V1633" t="n">
        <v>30</v>
      </c>
      <c r="W1633" t="n">
        <v>17</v>
      </c>
      <c r="X1633" t="n">
        <v>45.03693028283192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10984</v>
      </c>
      <c r="AG1633" t="n">
        <v>33</v>
      </c>
      <c r="AH1633" t="inlineStr">
        <is>
          <t>PT. MENSA BINASUKSES - PPN (PDG)</t>
        </is>
      </c>
      <c r="AI1633" t="n">
        <v>75</v>
      </c>
      <c r="AJ1633" t="inlineStr">
        <is>
          <t>GARNIER</t>
        </is>
      </c>
      <c r="AK1633" t="n">
        <v>21</v>
      </c>
      <c r="AL1633" t="inlineStr">
        <is>
          <t>Miss Glam Damar</t>
        </is>
      </c>
      <c r="AM1633" t="n">
        <v>3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GARNIER</t>
        </is>
      </c>
      <c r="B1634" s="2">
        <f>"8901526598342"</f>
        <v/>
      </c>
      <c r="C1634" t="inlineStr">
        <is>
          <t>GARNIER Color Natural Ultra Color Pastel Ash Blonde</t>
        </is>
      </c>
      <c r="D1634" t="inlineStr">
        <is>
          <t>Miss Glam Damar</t>
        </is>
      </c>
      <c r="E1634" t="n">
        <v>152</v>
      </c>
      <c r="F1634" t="n">
        <v>9.828000000000001</v>
      </c>
      <c r="G1634" t="n">
        <v>20.93</v>
      </c>
      <c r="H1634" t="n">
        <v>3</v>
      </c>
      <c r="I1634" t="n">
        <v>14</v>
      </c>
      <c r="J1634" t="n">
        <v>12</v>
      </c>
      <c r="K1634" t="n">
        <v>0</v>
      </c>
      <c r="L1634" t="n">
        <v>15946</v>
      </c>
      <c r="M1634" t="n">
        <v>18000</v>
      </c>
      <c r="N1634" t="n">
        <v>91</v>
      </c>
      <c r="O1634" t="n">
        <v>0.91</v>
      </c>
      <c r="P1634" t="n">
        <v>1</v>
      </c>
      <c r="Q1634" t="n">
        <v>6.03</v>
      </c>
      <c r="R1634" t="n">
        <v>15</v>
      </c>
      <c r="S1634" t="n">
        <v>176904</v>
      </c>
      <c r="T1634" t="n">
        <v>264</v>
      </c>
      <c r="U1634" t="n">
        <v>294</v>
      </c>
      <c r="V1634" t="n">
        <v>30</v>
      </c>
      <c r="W1634" t="n">
        <v>295</v>
      </c>
      <c r="X1634" t="n">
        <v>15.46601546601546</v>
      </c>
      <c r="Y1634" t="n">
        <v>1</v>
      </c>
      <c r="Z1634" t="n">
        <v>143</v>
      </c>
      <c r="AA1634" t="n">
        <v>0</v>
      </c>
      <c r="AB1634" t="n">
        <v>143</v>
      </c>
      <c r="AC1634" t="n">
        <v>143</v>
      </c>
      <c r="AD1634" t="n">
        <v>0</v>
      </c>
      <c r="AE1634" t="n">
        <v>2280278</v>
      </c>
      <c r="AF1634" t="n">
        <v>10984</v>
      </c>
      <c r="AG1634" t="n">
        <v>33</v>
      </c>
      <c r="AH1634" t="inlineStr">
        <is>
          <t>PT. MENSA BINASUKSES - PPN (PDG)</t>
        </is>
      </c>
      <c r="AI1634" t="n">
        <v>75</v>
      </c>
      <c r="AJ1634" t="inlineStr">
        <is>
          <t>GARNIER</t>
        </is>
      </c>
      <c r="AK1634" t="n">
        <v>21</v>
      </c>
      <c r="AL1634" t="inlineStr">
        <is>
          <t>Miss Glam Damar</t>
        </is>
      </c>
      <c r="AM1634" t="n">
        <v>3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GARNIER</t>
        </is>
      </c>
      <c r="B1635" s="2">
        <f>"8901526598373"</f>
        <v/>
      </c>
      <c r="C1635" t="inlineStr">
        <is>
          <t>GARNIER Color Natural Ultra Color Pastel Briliant Pink</t>
        </is>
      </c>
      <c r="D1635" t="inlineStr">
        <is>
          <t>Miss Glam Damar</t>
        </is>
      </c>
      <c r="E1635" t="n">
        <v>31</v>
      </c>
      <c r="F1635" t="n">
        <v>0.5824</v>
      </c>
      <c r="G1635" t="n">
        <v>2.73</v>
      </c>
      <c r="H1635" t="n">
        <v>3</v>
      </c>
      <c r="I1635" t="n">
        <v>14</v>
      </c>
      <c r="J1635" t="n">
        <v>3</v>
      </c>
      <c r="K1635" t="n">
        <v>0</v>
      </c>
      <c r="L1635" t="n">
        <v>16246</v>
      </c>
      <c r="M1635" t="n">
        <v>18000</v>
      </c>
      <c r="N1635" t="n">
        <v>91</v>
      </c>
      <c r="O1635" t="n">
        <v>0.91</v>
      </c>
      <c r="P1635" t="n">
        <v>1</v>
      </c>
      <c r="Q1635" t="n">
        <v>0.61</v>
      </c>
      <c r="R1635" t="n">
        <v>4</v>
      </c>
      <c r="S1635" t="n">
        <v>10483.2</v>
      </c>
      <c r="T1635" t="n">
        <v>37</v>
      </c>
      <c r="U1635" t="n">
        <v>39</v>
      </c>
      <c r="V1635" t="n">
        <v>30</v>
      </c>
      <c r="W1635" t="n">
        <v>18</v>
      </c>
      <c r="X1635" t="n">
        <v>53.22802197802198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10984</v>
      </c>
      <c r="AG1635" t="n">
        <v>33</v>
      </c>
      <c r="AH1635" t="inlineStr">
        <is>
          <t>PT. MENSA BINASUKSES - PPN (PDG)</t>
        </is>
      </c>
      <c r="AI1635" t="n">
        <v>75</v>
      </c>
      <c r="AJ1635" t="inlineStr">
        <is>
          <t>GARNIER</t>
        </is>
      </c>
      <c r="AK1635" t="n">
        <v>21</v>
      </c>
      <c r="AL1635" t="inlineStr">
        <is>
          <t>Miss Glam Damar</t>
        </is>
      </c>
      <c r="AM1635" t="n">
        <v>3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GARNIER</t>
        </is>
      </c>
      <c r="B1636" s="2">
        <f>"8901526631605"</f>
        <v/>
      </c>
      <c r="C1636" t="inlineStr">
        <is>
          <t>GARNIER Color Natural Ultra Cool ASH</t>
        </is>
      </c>
      <c r="D1636" t="inlineStr">
        <is>
          <t>Miss Glam Damar</t>
        </is>
      </c>
      <c r="E1636" t="n">
        <v>1</v>
      </c>
      <c r="F1636" t="n">
        <v>1.5106</v>
      </c>
      <c r="G1636" t="n">
        <v>8.19</v>
      </c>
      <c r="H1636" t="n">
        <v>3</v>
      </c>
      <c r="I1636" t="n">
        <v>14</v>
      </c>
      <c r="J1636" t="n">
        <v>3</v>
      </c>
      <c r="K1636" t="n">
        <v>0</v>
      </c>
      <c r="L1636" t="n">
        <v>15027</v>
      </c>
      <c r="M1636" t="n">
        <v>18000</v>
      </c>
      <c r="N1636" t="n">
        <v>91</v>
      </c>
      <c r="O1636" t="n">
        <v>0.91</v>
      </c>
      <c r="P1636" t="n">
        <v>1</v>
      </c>
      <c r="Q1636" t="n">
        <v>1.14</v>
      </c>
      <c r="R1636" t="n">
        <v>4</v>
      </c>
      <c r="S1636" t="n">
        <v>27190.8</v>
      </c>
      <c r="T1636" t="n">
        <v>111</v>
      </c>
      <c r="U1636" t="n">
        <v>116</v>
      </c>
      <c r="V1636" t="n">
        <v>30</v>
      </c>
      <c r="W1636" t="n">
        <v>46</v>
      </c>
      <c r="X1636" t="n">
        <v>0.6619886137958427</v>
      </c>
      <c r="Y1636" t="n">
        <v>1</v>
      </c>
      <c r="Z1636" t="n">
        <v>45</v>
      </c>
      <c r="AA1636" t="n">
        <v>21</v>
      </c>
      <c r="AB1636" t="n">
        <v>24</v>
      </c>
      <c r="AC1636" t="n">
        <v>24</v>
      </c>
      <c r="AD1636" t="n">
        <v>315567</v>
      </c>
      <c r="AE1636" t="n">
        <v>360648</v>
      </c>
      <c r="AF1636" t="n">
        <v>10984</v>
      </c>
      <c r="AG1636" t="n">
        <v>33</v>
      </c>
      <c r="AH1636" t="inlineStr">
        <is>
          <t>PT. MENSA BINASUKSES - PPN (PDG)</t>
        </is>
      </c>
      <c r="AI1636" t="n">
        <v>75</v>
      </c>
      <c r="AJ1636" t="inlineStr">
        <is>
          <t>GARNIER</t>
        </is>
      </c>
      <c r="AK1636" t="n">
        <v>21</v>
      </c>
      <c r="AL1636" t="inlineStr">
        <is>
          <t>Miss Glam Damar</t>
        </is>
      </c>
      <c r="AM1636" t="n">
        <v>3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GARNIER</t>
        </is>
      </c>
      <c r="B1637" s="2">
        <f>"10300613919"</f>
        <v/>
      </c>
      <c r="C1637" t="inlineStr">
        <is>
          <t>GARNIER Dry Touch Cream Niacinamide 30ml</t>
        </is>
      </c>
      <c r="D1637" t="inlineStr">
        <is>
          <t>Miss Glam Damar</t>
        </is>
      </c>
      <c r="E1637" t="n">
        <v>1</v>
      </c>
      <c r="F1637" t="n">
        <v>0.04550000000000001</v>
      </c>
      <c r="G1637" t="n">
        <v>0.91</v>
      </c>
      <c r="H1637" t="n">
        <v>3</v>
      </c>
      <c r="I1637" t="n">
        <v>14</v>
      </c>
      <c r="J1637" t="n">
        <v>1</v>
      </c>
      <c r="K1637" t="n">
        <v>0</v>
      </c>
      <c r="L1637" t="n">
        <v>35552</v>
      </c>
      <c r="M1637" t="n">
        <v>42000</v>
      </c>
      <c r="N1637" t="n">
        <v>91</v>
      </c>
      <c r="O1637" t="n">
        <v>0.91</v>
      </c>
      <c r="P1637" t="n">
        <v>1</v>
      </c>
      <c r="Q1637" t="n">
        <v>0.03</v>
      </c>
      <c r="R1637" t="n">
        <v>1</v>
      </c>
      <c r="S1637" t="n">
        <v>1911</v>
      </c>
      <c r="T1637" t="n">
        <v>13</v>
      </c>
      <c r="U1637" t="n">
        <v>14</v>
      </c>
      <c r="V1637" t="n">
        <v>30</v>
      </c>
      <c r="W1637" t="n">
        <v>2</v>
      </c>
      <c r="X1637" t="n">
        <v>21.97802197802197</v>
      </c>
      <c r="Y1637" t="n">
        <v>1</v>
      </c>
      <c r="Z1637" t="n">
        <v>1</v>
      </c>
      <c r="AA1637" t="n">
        <v>0</v>
      </c>
      <c r="AB1637" t="n">
        <v>1</v>
      </c>
      <c r="AC1637" t="n">
        <v>1</v>
      </c>
      <c r="AD1637" t="n">
        <v>0</v>
      </c>
      <c r="AE1637" t="n">
        <v>35552</v>
      </c>
      <c r="AF1637" t="n">
        <v>10984</v>
      </c>
      <c r="AG1637" t="n">
        <v>33</v>
      </c>
      <c r="AH1637" t="inlineStr">
        <is>
          <t>PT. MENSA BINASUKSES - PPN (PDG)</t>
        </is>
      </c>
      <c r="AI1637" t="n">
        <v>75</v>
      </c>
      <c r="AJ1637" t="inlineStr">
        <is>
          <t>GARNIER</t>
        </is>
      </c>
      <c r="AK1637" t="n">
        <v>21</v>
      </c>
      <c r="AL1637" t="inlineStr">
        <is>
          <t>Miss Glam Damar</t>
        </is>
      </c>
      <c r="AM1637" t="n">
        <v>3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GARNIER</t>
        </is>
      </c>
      <c r="B1638" s="2">
        <f>"10300613849"</f>
        <v/>
      </c>
      <c r="C1638" t="inlineStr">
        <is>
          <t>GARNIER Dry Touch Cream Salicylic 30ml</t>
        </is>
      </c>
      <c r="D1638" t="inlineStr">
        <is>
          <t>Miss Glam Damar</t>
        </is>
      </c>
      <c r="E1638" t="n">
        <v>1</v>
      </c>
      <c r="F1638" t="n">
        <v>0.06370000000000001</v>
      </c>
      <c r="G1638" t="n">
        <v>0.91</v>
      </c>
      <c r="H1638" t="n">
        <v>3</v>
      </c>
      <c r="I1638" t="n">
        <v>14</v>
      </c>
      <c r="J1638" t="n">
        <v>1</v>
      </c>
      <c r="K1638" t="n">
        <v>0</v>
      </c>
      <c r="L1638" t="n">
        <v>35552</v>
      </c>
      <c r="M1638" t="n">
        <v>42000</v>
      </c>
      <c r="N1638" t="n">
        <v>91</v>
      </c>
      <c r="O1638" t="n">
        <v>0.91</v>
      </c>
      <c r="P1638" t="n">
        <v>1</v>
      </c>
      <c r="Q1638" t="n">
        <v>0.07000000000000001</v>
      </c>
      <c r="R1638" t="n">
        <v>1</v>
      </c>
      <c r="S1638" t="n">
        <v>2675.4</v>
      </c>
      <c r="T1638" t="n">
        <v>13</v>
      </c>
      <c r="U1638" t="n">
        <v>14</v>
      </c>
      <c r="V1638" t="n">
        <v>30</v>
      </c>
      <c r="W1638" t="n">
        <v>2</v>
      </c>
      <c r="X1638" t="n">
        <v>15.69858712715855</v>
      </c>
      <c r="Y1638" t="n">
        <v>1</v>
      </c>
      <c r="Z1638" t="n">
        <v>1</v>
      </c>
      <c r="AA1638" t="n">
        <v>0</v>
      </c>
      <c r="AB1638" t="n">
        <v>1</v>
      </c>
      <c r="AC1638" t="n">
        <v>1</v>
      </c>
      <c r="AD1638" t="n">
        <v>0</v>
      </c>
      <c r="AE1638" t="n">
        <v>35552</v>
      </c>
      <c r="AF1638" t="n">
        <v>10984</v>
      </c>
      <c r="AG1638" t="n">
        <v>33</v>
      </c>
      <c r="AH1638" t="inlineStr">
        <is>
          <t>PT. MENSA BINASUKSES - PPN (PDG)</t>
        </is>
      </c>
      <c r="AI1638" t="n">
        <v>75</v>
      </c>
      <c r="AJ1638" t="inlineStr">
        <is>
          <t>GARNIER</t>
        </is>
      </c>
      <c r="AK1638" t="n">
        <v>21</v>
      </c>
      <c r="AL1638" t="inlineStr">
        <is>
          <t>Miss Glam Damar</t>
        </is>
      </c>
      <c r="AM1638" t="n">
        <v>3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GARNIER</t>
        </is>
      </c>
      <c r="B1639" s="2">
        <f>"10300613719"</f>
        <v/>
      </c>
      <c r="C1639" t="inlineStr">
        <is>
          <t>GARNIER Dry Touch Cream Vitamin C 30ml</t>
        </is>
      </c>
      <c r="D1639" t="inlineStr">
        <is>
          <t>Miss Glam Damar</t>
        </is>
      </c>
      <c r="E1639" t="n">
        <v>2</v>
      </c>
      <c r="F1639" t="n">
        <v>0.0273</v>
      </c>
      <c r="G1639" t="n">
        <v>0.91</v>
      </c>
      <c r="H1639" t="n">
        <v>3</v>
      </c>
      <c r="I1639" t="n">
        <v>14</v>
      </c>
      <c r="J1639" t="n">
        <v>1</v>
      </c>
      <c r="K1639" t="n">
        <v>0</v>
      </c>
      <c r="L1639" t="n">
        <v>35552</v>
      </c>
      <c r="M1639" t="n">
        <v>42000</v>
      </c>
      <c r="N1639" t="n">
        <v>91</v>
      </c>
      <c r="O1639" t="n">
        <v>0.91</v>
      </c>
      <c r="P1639" t="n">
        <v>1</v>
      </c>
      <c r="Q1639" t="n">
        <v>0.02</v>
      </c>
      <c r="R1639" t="n">
        <v>1</v>
      </c>
      <c r="S1639" t="n">
        <v>1146.6</v>
      </c>
      <c r="T1639" t="n">
        <v>13</v>
      </c>
      <c r="U1639" t="n">
        <v>14</v>
      </c>
      <c r="V1639" t="n">
        <v>30</v>
      </c>
      <c r="W1639" t="n">
        <v>1</v>
      </c>
      <c r="X1639" t="n">
        <v>73.26007326007326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10984</v>
      </c>
      <c r="AG1639" t="n">
        <v>33</v>
      </c>
      <c r="AH1639" t="inlineStr">
        <is>
          <t>PT. MENSA BINASUKSES - PPN (PDG)</t>
        </is>
      </c>
      <c r="AI1639" t="n">
        <v>75</v>
      </c>
      <c r="AJ1639" t="inlineStr">
        <is>
          <t>GARNIER</t>
        </is>
      </c>
      <c r="AK1639" t="n">
        <v>21</v>
      </c>
      <c r="AL1639" t="inlineStr">
        <is>
          <t>Miss Glam Damar</t>
        </is>
      </c>
      <c r="AM1639" t="n">
        <v>3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GARNIER</t>
        </is>
      </c>
      <c r="B1640" s="2">
        <f>"8994993013746"</f>
        <v/>
      </c>
      <c r="C1640" t="inlineStr">
        <is>
          <t>GARNIER Garnier Light Complete Vitamin 30x Booster Serum 15ml</t>
        </is>
      </c>
      <c r="D1640" t="inlineStr">
        <is>
          <t>Miss Glam Damar</t>
        </is>
      </c>
      <c r="E1640" t="n">
        <v>1</v>
      </c>
      <c r="F1640" t="n">
        <v>0.14</v>
      </c>
      <c r="G1640" t="n">
        <v>2</v>
      </c>
      <c r="H1640" t="n">
        <v>3</v>
      </c>
      <c r="I1640" t="n">
        <v>14</v>
      </c>
      <c r="J1640" t="n">
        <v>3</v>
      </c>
      <c r="K1640" t="n">
        <v>0</v>
      </c>
      <c r="L1640" t="n">
        <v>71184</v>
      </c>
      <c r="M1640" t="n">
        <v>94000</v>
      </c>
      <c r="N1640" t="n">
        <v>91</v>
      </c>
      <c r="O1640" t="n">
        <v>0.91</v>
      </c>
      <c r="P1640" t="n">
        <v>0</v>
      </c>
      <c r="Q1640" t="n">
        <v>0.14</v>
      </c>
      <c r="R1640" t="n">
        <v>2</v>
      </c>
      <c r="S1640" t="n">
        <v>13160</v>
      </c>
      <c r="T1640" t="n">
        <v>28</v>
      </c>
      <c r="U1640" t="n">
        <v>29</v>
      </c>
      <c r="V1640" t="n">
        <v>30</v>
      </c>
      <c r="W1640" t="n">
        <v>5</v>
      </c>
      <c r="X1640" t="n">
        <v>7.142857142857142</v>
      </c>
      <c r="Y1640" t="n">
        <v>1</v>
      </c>
      <c r="Z1640" t="n">
        <v>4</v>
      </c>
      <c r="AA1640" t="n">
        <v>1</v>
      </c>
      <c r="AB1640" t="n">
        <v>3</v>
      </c>
      <c r="AC1640" t="n">
        <v>3</v>
      </c>
      <c r="AD1640" t="n">
        <v>71184</v>
      </c>
      <c r="AE1640" t="n">
        <v>213552</v>
      </c>
      <c r="AF1640" t="n">
        <v>10984</v>
      </c>
      <c r="AG1640" t="n">
        <v>33</v>
      </c>
      <c r="AH1640" t="inlineStr">
        <is>
          <t>PT. MENSA BINASUKSES - PPN (PDG)</t>
        </is>
      </c>
      <c r="AI1640" t="n">
        <v>75</v>
      </c>
      <c r="AJ1640" t="inlineStr">
        <is>
          <t>GARNIER</t>
        </is>
      </c>
      <c r="AK1640" t="n">
        <v>21</v>
      </c>
      <c r="AL1640" t="inlineStr">
        <is>
          <t>Miss Glam Damar</t>
        </is>
      </c>
      <c r="AM1640" t="n">
        <v>3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GARNIER</t>
        </is>
      </c>
      <c r="B1641" s="2">
        <f>"8901526209910"</f>
        <v/>
      </c>
      <c r="C1641" t="inlineStr">
        <is>
          <t>GARNIER Hair Color Natural  Express Cream 01 Hitam Alami</t>
        </is>
      </c>
      <c r="D1641" t="inlineStr">
        <is>
          <t>Miss Glam Damar</t>
        </is>
      </c>
      <c r="E1641" t="n">
        <v>43</v>
      </c>
      <c r="F1641" t="n">
        <v>1.0374</v>
      </c>
      <c r="G1641" t="n">
        <v>6.37</v>
      </c>
      <c r="H1641" t="n">
        <v>3</v>
      </c>
      <c r="I1641" t="n">
        <v>14</v>
      </c>
      <c r="J1641" t="n">
        <v>3</v>
      </c>
      <c r="K1641" t="n">
        <v>0</v>
      </c>
      <c r="L1641" t="n">
        <v>15918</v>
      </c>
      <c r="M1641" t="n">
        <v>16500</v>
      </c>
      <c r="N1641" t="n">
        <v>91</v>
      </c>
      <c r="O1641" t="n">
        <v>0.91</v>
      </c>
      <c r="P1641" t="n">
        <v>1</v>
      </c>
      <c r="Q1641" t="n">
        <v>1.37</v>
      </c>
      <c r="R1641" t="n">
        <v>8</v>
      </c>
      <c r="S1641" t="n">
        <v>17117.1</v>
      </c>
      <c r="T1641" t="n">
        <v>87</v>
      </c>
      <c r="U1641" t="n">
        <v>91</v>
      </c>
      <c r="V1641" t="n">
        <v>30</v>
      </c>
      <c r="W1641" t="n">
        <v>32</v>
      </c>
      <c r="X1641" t="n">
        <v>41.44977829188356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10984</v>
      </c>
      <c r="AG1641" t="n">
        <v>33</v>
      </c>
      <c r="AH1641" t="inlineStr">
        <is>
          <t>PT. MENSA BINASUKSES - PPN (PDG)</t>
        </is>
      </c>
      <c r="AI1641" t="n">
        <v>75</v>
      </c>
      <c r="AJ1641" t="inlineStr">
        <is>
          <t>GARNIER</t>
        </is>
      </c>
      <c r="AK1641" t="n">
        <v>21</v>
      </c>
      <c r="AL1641" t="inlineStr">
        <is>
          <t>Miss Glam Damar</t>
        </is>
      </c>
      <c r="AM1641" t="n">
        <v>3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GARNIER</t>
        </is>
      </c>
      <c r="B1642" s="2">
        <f>"8901526209897"</f>
        <v/>
      </c>
      <c r="C1642" t="inlineStr">
        <is>
          <t>GARNIER Hair Color Natural  Express Cream 03 Coklat Kehitaman</t>
        </is>
      </c>
      <c r="D1642" t="inlineStr">
        <is>
          <t>Miss Glam Damar</t>
        </is>
      </c>
      <c r="E1642" t="n">
        <v>53</v>
      </c>
      <c r="F1642" t="n">
        <v>2.2659</v>
      </c>
      <c r="G1642" t="n">
        <v>6.37</v>
      </c>
      <c r="H1642" t="n">
        <v>3</v>
      </c>
      <c r="I1642" t="n">
        <v>14</v>
      </c>
      <c r="J1642" t="n">
        <v>3</v>
      </c>
      <c r="K1642" t="n">
        <v>0</v>
      </c>
      <c r="L1642" t="n">
        <v>15580</v>
      </c>
      <c r="M1642" t="n">
        <v>16500</v>
      </c>
      <c r="N1642" t="n">
        <v>91</v>
      </c>
      <c r="O1642" t="n">
        <v>0.91</v>
      </c>
      <c r="P1642" t="n">
        <v>1</v>
      </c>
      <c r="Q1642" t="n">
        <v>2.41</v>
      </c>
      <c r="R1642" t="n">
        <v>8</v>
      </c>
      <c r="S1642" t="n">
        <v>37387.35000000001</v>
      </c>
      <c r="T1642" t="n">
        <v>83</v>
      </c>
      <c r="U1642" t="n">
        <v>90</v>
      </c>
      <c r="V1642" t="n">
        <v>30</v>
      </c>
      <c r="W1642" t="n">
        <v>68</v>
      </c>
      <c r="X1642" t="n">
        <v>23.39026435411977</v>
      </c>
      <c r="Y1642" t="n">
        <v>1</v>
      </c>
      <c r="Z1642" t="n">
        <v>15</v>
      </c>
      <c r="AA1642" t="n">
        <v>0</v>
      </c>
      <c r="AB1642" t="n">
        <v>15</v>
      </c>
      <c r="AC1642" t="n">
        <v>15</v>
      </c>
      <c r="AD1642" t="n">
        <v>0</v>
      </c>
      <c r="AE1642" t="n">
        <v>233700</v>
      </c>
      <c r="AF1642" t="n">
        <v>10984</v>
      </c>
      <c r="AG1642" t="n">
        <v>33</v>
      </c>
      <c r="AH1642" t="inlineStr">
        <is>
          <t>PT. MENSA BINASUKSES - PPN (PDG)</t>
        </is>
      </c>
      <c r="AI1642" t="n">
        <v>75</v>
      </c>
      <c r="AJ1642" t="inlineStr">
        <is>
          <t>GARNIER</t>
        </is>
      </c>
      <c r="AK1642" t="n">
        <v>21</v>
      </c>
      <c r="AL1642" t="inlineStr">
        <is>
          <t>Miss Glam Damar</t>
        </is>
      </c>
      <c r="AM1642" t="n">
        <v>3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GARNIER</t>
        </is>
      </c>
      <c r="B1643" s="2">
        <f>"8901526211715"</f>
        <v/>
      </c>
      <c r="C1643" t="inlineStr">
        <is>
          <t>GARNIER Hair Color Natural  Express Cream 3.16 Burgundy Alami</t>
        </is>
      </c>
      <c r="D1643" t="inlineStr">
        <is>
          <t>Miss Glam Damar</t>
        </is>
      </c>
      <c r="E1643" t="n">
        <v>15</v>
      </c>
      <c r="F1643" t="n">
        <v>1.001</v>
      </c>
      <c r="G1643" t="n">
        <v>4.55</v>
      </c>
      <c r="H1643" t="n">
        <v>3</v>
      </c>
      <c r="I1643" t="n">
        <v>14</v>
      </c>
      <c r="J1643" t="n">
        <v>3</v>
      </c>
      <c r="K1643" t="n">
        <v>0</v>
      </c>
      <c r="L1643" t="n">
        <v>15299</v>
      </c>
      <c r="M1643" t="n">
        <v>16500</v>
      </c>
      <c r="N1643" t="n">
        <v>91</v>
      </c>
      <c r="O1643" t="n">
        <v>0.91</v>
      </c>
      <c r="P1643" t="n">
        <v>1</v>
      </c>
      <c r="Q1643" t="n">
        <v>0.8100000000000001</v>
      </c>
      <c r="R1643" t="n">
        <v>4</v>
      </c>
      <c r="S1643" t="n">
        <v>16516.5</v>
      </c>
      <c r="T1643" t="n">
        <v>61</v>
      </c>
      <c r="U1643" t="n">
        <v>65</v>
      </c>
      <c r="V1643" t="n">
        <v>30</v>
      </c>
      <c r="W1643" t="n">
        <v>31</v>
      </c>
      <c r="X1643" t="n">
        <v>14.98501498501498</v>
      </c>
      <c r="Y1643" t="n">
        <v>1</v>
      </c>
      <c r="Z1643" t="n">
        <v>16</v>
      </c>
      <c r="AA1643" t="n">
        <v>0</v>
      </c>
      <c r="AB1643" t="n">
        <v>16</v>
      </c>
      <c r="AC1643" t="n">
        <v>16</v>
      </c>
      <c r="AD1643" t="n">
        <v>0</v>
      </c>
      <c r="AE1643" t="n">
        <v>244784</v>
      </c>
      <c r="AF1643" t="n">
        <v>10984</v>
      </c>
      <c r="AG1643" t="n">
        <v>33</v>
      </c>
      <c r="AH1643" t="inlineStr">
        <is>
          <t>PT. MENSA BINASUKSES - PPN (PDG)</t>
        </is>
      </c>
      <c r="AI1643" t="n">
        <v>75</v>
      </c>
      <c r="AJ1643" t="inlineStr">
        <is>
          <t>GARNIER</t>
        </is>
      </c>
      <c r="AK1643" t="n">
        <v>21</v>
      </c>
      <c r="AL1643" t="inlineStr">
        <is>
          <t>Miss Glam Damar</t>
        </is>
      </c>
      <c r="AM1643" t="n">
        <v>3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GARNIER</t>
        </is>
      </c>
      <c r="B1644" s="2">
        <f>"8901526527472"</f>
        <v/>
      </c>
      <c r="C1644" t="inlineStr">
        <is>
          <t>GARNIER Hair Color Natural Crem Riche 3 Coklat Gelap Box</t>
        </is>
      </c>
      <c r="D1644" t="inlineStr">
        <is>
          <t>Miss Glam Damar</t>
        </is>
      </c>
      <c r="E1644" t="n">
        <v>7</v>
      </c>
      <c r="F1644" t="n">
        <v>0.15</v>
      </c>
      <c r="G1644" t="n">
        <v>2</v>
      </c>
      <c r="H1644" t="n">
        <v>3</v>
      </c>
      <c r="I1644" t="n">
        <v>14</v>
      </c>
      <c r="J1644" t="n">
        <v>3</v>
      </c>
      <c r="K1644" t="n">
        <v>0</v>
      </c>
      <c r="L1644" t="n">
        <v>52431</v>
      </c>
      <c r="M1644" t="n">
        <v>60000</v>
      </c>
      <c r="N1644" t="n">
        <v>91</v>
      </c>
      <c r="O1644" t="n">
        <v>0.91</v>
      </c>
      <c r="P1644" t="n">
        <v>0</v>
      </c>
      <c r="Q1644" t="n">
        <v>0.15</v>
      </c>
      <c r="R1644" t="n">
        <v>2</v>
      </c>
      <c r="S1644" t="n">
        <v>9000</v>
      </c>
      <c r="T1644" t="n">
        <v>28</v>
      </c>
      <c r="U1644" t="n">
        <v>29</v>
      </c>
      <c r="V1644" t="n">
        <v>30</v>
      </c>
      <c r="W1644" t="n">
        <v>5</v>
      </c>
      <c r="X1644" t="n">
        <v>46.66666666666667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10984</v>
      </c>
      <c r="AG1644" t="n">
        <v>33</v>
      </c>
      <c r="AH1644" t="inlineStr">
        <is>
          <t>PT. MENSA BINASUKSES - PPN (PDG)</t>
        </is>
      </c>
      <c r="AI1644" t="n">
        <v>75</v>
      </c>
      <c r="AJ1644" t="inlineStr">
        <is>
          <t>GARNIER</t>
        </is>
      </c>
      <c r="AK1644" t="n">
        <v>21</v>
      </c>
      <c r="AL1644" t="inlineStr">
        <is>
          <t>Miss Glam Damar</t>
        </is>
      </c>
      <c r="AM1644" t="n">
        <v>3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GARNIER</t>
        </is>
      </c>
      <c r="B1645" s="2">
        <f>"8901526530113"</f>
        <v/>
      </c>
      <c r="C1645" t="inlineStr">
        <is>
          <t>GARNIER Hair Color Natural Crem Riche 4 Coklat Sachet</t>
        </is>
      </c>
      <c r="D1645" t="inlineStr">
        <is>
          <t>Miss Glam Damar</t>
        </is>
      </c>
      <c r="E1645" t="n">
        <v>40</v>
      </c>
      <c r="F1645" t="n">
        <v>1.7927</v>
      </c>
      <c r="G1645" t="n">
        <v>7.28</v>
      </c>
      <c r="H1645" t="n">
        <v>3</v>
      </c>
      <c r="I1645" t="n">
        <v>14</v>
      </c>
      <c r="J1645" t="n">
        <v>3</v>
      </c>
      <c r="K1645" t="n">
        <v>0</v>
      </c>
      <c r="L1645" t="n">
        <v>15717</v>
      </c>
      <c r="M1645" t="n">
        <v>16500</v>
      </c>
      <c r="N1645" t="n">
        <v>91</v>
      </c>
      <c r="O1645" t="n">
        <v>0.91</v>
      </c>
      <c r="P1645" t="n">
        <v>1</v>
      </c>
      <c r="Q1645" t="n">
        <v>1.25</v>
      </c>
      <c r="R1645" t="n">
        <v>6</v>
      </c>
      <c r="S1645" t="n">
        <v>29579.55</v>
      </c>
      <c r="T1645" t="n">
        <v>97</v>
      </c>
      <c r="U1645" t="n">
        <v>103</v>
      </c>
      <c r="V1645" t="n">
        <v>30</v>
      </c>
      <c r="W1645" t="n">
        <v>54</v>
      </c>
      <c r="X1645" t="n">
        <v>22.31271266804262</v>
      </c>
      <c r="Y1645" t="n">
        <v>1</v>
      </c>
      <c r="Z1645" t="n">
        <v>14</v>
      </c>
      <c r="AA1645" t="n">
        <v>0</v>
      </c>
      <c r="AB1645" t="n">
        <v>14</v>
      </c>
      <c r="AC1645" t="n">
        <v>14</v>
      </c>
      <c r="AD1645" t="n">
        <v>0</v>
      </c>
      <c r="AE1645" t="n">
        <v>220038</v>
      </c>
      <c r="AF1645" t="n">
        <v>10984</v>
      </c>
      <c r="AG1645" t="n">
        <v>33</v>
      </c>
      <c r="AH1645" t="inlineStr">
        <is>
          <t>PT. MENSA BINASUKSES - PPN (PDG)</t>
        </is>
      </c>
      <c r="AI1645" t="n">
        <v>75</v>
      </c>
      <c r="AJ1645" t="inlineStr">
        <is>
          <t>GARNIER</t>
        </is>
      </c>
      <c r="AK1645" t="n">
        <v>21</v>
      </c>
      <c r="AL1645" t="inlineStr">
        <is>
          <t>Miss Glam Damar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GARNIER</t>
        </is>
      </c>
      <c r="B1646" s="2">
        <f>"8901526540068"</f>
        <v/>
      </c>
      <c r="C1646" t="inlineStr">
        <is>
          <t>GARNIER Hair Color Natural Crem Riche 5.32 Coklat Caramel</t>
        </is>
      </c>
      <c r="D1646" t="inlineStr">
        <is>
          <t>Miss Glam Damar</t>
        </is>
      </c>
      <c r="E1646" t="n">
        <v>96</v>
      </c>
      <c r="F1646" t="n">
        <v>4.3498</v>
      </c>
      <c r="G1646" t="n">
        <v>15.47</v>
      </c>
      <c r="H1646" t="n">
        <v>3</v>
      </c>
      <c r="I1646" t="n">
        <v>14</v>
      </c>
      <c r="J1646" t="n">
        <v>3</v>
      </c>
      <c r="K1646" t="n">
        <v>0</v>
      </c>
      <c r="L1646" t="n">
        <v>16216</v>
      </c>
      <c r="M1646" t="n">
        <v>16500</v>
      </c>
      <c r="N1646" t="n">
        <v>91</v>
      </c>
      <c r="O1646" t="n">
        <v>0.91</v>
      </c>
      <c r="P1646" t="n">
        <v>1</v>
      </c>
      <c r="Q1646" t="n">
        <v>3.98</v>
      </c>
      <c r="R1646" t="n">
        <v>12</v>
      </c>
      <c r="S1646" t="n">
        <v>71771.7</v>
      </c>
      <c r="T1646" t="n">
        <v>204</v>
      </c>
      <c r="U1646" t="n">
        <v>218</v>
      </c>
      <c r="V1646" t="n">
        <v>30</v>
      </c>
      <c r="W1646" t="n">
        <v>131</v>
      </c>
      <c r="X1646" t="n">
        <v>22.06998022897604</v>
      </c>
      <c r="Y1646" t="n">
        <v>1</v>
      </c>
      <c r="Z1646" t="n">
        <v>35</v>
      </c>
      <c r="AA1646" t="n">
        <v>0</v>
      </c>
      <c r="AB1646" t="n">
        <v>35</v>
      </c>
      <c r="AC1646" t="n">
        <v>35</v>
      </c>
      <c r="AD1646" t="n">
        <v>0</v>
      </c>
      <c r="AE1646" t="n">
        <v>567560</v>
      </c>
      <c r="AF1646" t="n">
        <v>10984</v>
      </c>
      <c r="AG1646" t="n">
        <v>33</v>
      </c>
      <c r="AH1646" t="inlineStr">
        <is>
          <t>PT. MENSA BINASUKSES - PPN (PDG)</t>
        </is>
      </c>
      <c r="AI1646" t="n">
        <v>75</v>
      </c>
      <c r="AJ1646" t="inlineStr">
        <is>
          <t>GARNIER</t>
        </is>
      </c>
      <c r="AK1646" t="n">
        <v>21</v>
      </c>
      <c r="AL1646" t="inlineStr">
        <is>
          <t>Miss Glam Damar</t>
        </is>
      </c>
      <c r="AM1646" t="n">
        <v>3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GARNIER</t>
        </is>
      </c>
      <c r="B1647" s="2">
        <f>"8901526539468"</f>
        <v/>
      </c>
      <c r="C1647" t="inlineStr">
        <is>
          <t>GARNIER Hair Color Natural Ultra Color 3.1 Midnight Blue</t>
        </is>
      </c>
      <c r="D1647" t="inlineStr">
        <is>
          <t>Miss Glam Damar</t>
        </is>
      </c>
      <c r="E1647" t="n">
        <v>19</v>
      </c>
      <c r="F1647" t="n">
        <v>1.0192</v>
      </c>
      <c r="G1647" t="n">
        <v>3.64</v>
      </c>
      <c r="H1647" t="n">
        <v>3</v>
      </c>
      <c r="I1647" t="n">
        <v>14</v>
      </c>
      <c r="J1647" t="n">
        <v>3</v>
      </c>
      <c r="K1647" t="n">
        <v>0</v>
      </c>
      <c r="L1647" t="n">
        <v>15747</v>
      </c>
      <c r="M1647" t="n">
        <v>16500</v>
      </c>
      <c r="N1647" t="n">
        <v>91</v>
      </c>
      <c r="O1647" t="n">
        <v>0.91</v>
      </c>
      <c r="P1647" t="n">
        <v>1</v>
      </c>
      <c r="Q1647" t="n">
        <v>0.8</v>
      </c>
      <c r="R1647" t="n">
        <v>7</v>
      </c>
      <c r="S1647" t="n">
        <v>16816.8</v>
      </c>
      <c r="T1647" t="n">
        <v>48</v>
      </c>
      <c r="U1647" t="n">
        <v>52</v>
      </c>
      <c r="V1647" t="n">
        <v>30</v>
      </c>
      <c r="W1647" t="n">
        <v>31</v>
      </c>
      <c r="X1647" t="n">
        <v>18.64207221350078</v>
      </c>
      <c r="Y1647" t="n">
        <v>1</v>
      </c>
      <c r="Z1647" t="n">
        <v>12</v>
      </c>
      <c r="AA1647" t="n">
        <v>0</v>
      </c>
      <c r="AB1647" t="n">
        <v>12</v>
      </c>
      <c r="AC1647" t="n">
        <v>12</v>
      </c>
      <c r="AD1647" t="n">
        <v>0</v>
      </c>
      <c r="AE1647" t="n">
        <v>188964</v>
      </c>
      <c r="AF1647" t="n">
        <v>10984</v>
      </c>
      <c r="AG1647" t="n">
        <v>33</v>
      </c>
      <c r="AH1647" t="inlineStr">
        <is>
          <t>PT. MENSA BINASUKSES - PPN (PDG)</t>
        </is>
      </c>
      <c r="AI1647" t="n">
        <v>75</v>
      </c>
      <c r="AJ1647" t="inlineStr">
        <is>
          <t>GARNIER</t>
        </is>
      </c>
      <c r="AK1647" t="n">
        <v>21</v>
      </c>
      <c r="AL1647" t="inlineStr">
        <is>
          <t>Miss Glam Damar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GARNIER</t>
        </is>
      </c>
      <c r="B1648" s="2">
        <f>"8901526539611"</f>
        <v/>
      </c>
      <c r="C1648" t="inlineStr">
        <is>
          <t>GARNIER Hair Color Natural Ultra Color 6.26 Plum Red</t>
        </is>
      </c>
      <c r="D1648" t="inlineStr">
        <is>
          <t>Miss Glam Damar</t>
        </is>
      </c>
      <c r="E1648" t="n">
        <v>10</v>
      </c>
      <c r="F1648" t="n">
        <v>0.1547</v>
      </c>
      <c r="G1648" t="n">
        <v>1.82</v>
      </c>
      <c r="H1648" t="n">
        <v>3</v>
      </c>
      <c r="I1648" t="n">
        <v>14</v>
      </c>
      <c r="J1648" t="n">
        <v>3</v>
      </c>
      <c r="K1648" t="n">
        <v>0</v>
      </c>
      <c r="L1648" t="n">
        <v>16053</v>
      </c>
      <c r="M1648" t="n">
        <v>16500</v>
      </c>
      <c r="N1648" t="n">
        <v>91</v>
      </c>
      <c r="O1648" t="n">
        <v>0.91</v>
      </c>
      <c r="P1648" t="n">
        <v>1</v>
      </c>
      <c r="Q1648" t="n">
        <v>0.9</v>
      </c>
      <c r="R1648" t="n">
        <v>8</v>
      </c>
      <c r="S1648" t="n">
        <v>2552.55</v>
      </c>
      <c r="T1648" t="n">
        <v>26</v>
      </c>
      <c r="U1648" t="n">
        <v>27</v>
      </c>
      <c r="V1648" t="n">
        <v>30</v>
      </c>
      <c r="W1648" t="n">
        <v>5</v>
      </c>
      <c r="X1648" t="n">
        <v>64.64124111182934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10984</v>
      </c>
      <c r="AG1648" t="n">
        <v>33</v>
      </c>
      <c r="AH1648" t="inlineStr">
        <is>
          <t>PT. MENSA BINASUKSES - PPN (PDG)</t>
        </is>
      </c>
      <c r="AI1648" t="n">
        <v>75</v>
      </c>
      <c r="AJ1648" t="inlineStr">
        <is>
          <t>GARNIER</t>
        </is>
      </c>
      <c r="AK1648" t="n">
        <v>21</v>
      </c>
      <c r="AL1648" t="inlineStr">
        <is>
          <t>Miss Glam Damar</t>
        </is>
      </c>
      <c r="AM1648" t="n">
        <v>3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GARNIER</t>
        </is>
      </c>
      <c r="B1649" s="2">
        <f>"8901526539567"</f>
        <v/>
      </c>
      <c r="C1649" t="inlineStr">
        <is>
          <t>GARNIER Hair Color Natural Ultra Color 7.3 Golden Brown</t>
        </is>
      </c>
      <c r="D1649" t="inlineStr">
        <is>
          <t>Miss Glam Damar</t>
        </is>
      </c>
      <c r="E1649" t="n">
        <v>159</v>
      </c>
      <c r="F1649" t="n">
        <v>8.8725</v>
      </c>
      <c r="G1649" t="n">
        <v>16.38</v>
      </c>
      <c r="H1649" t="n">
        <v>3</v>
      </c>
      <c r="I1649" t="n">
        <v>14</v>
      </c>
      <c r="J1649" t="n">
        <v>3</v>
      </c>
      <c r="K1649" t="n">
        <v>0</v>
      </c>
      <c r="L1649" t="n">
        <v>16050</v>
      </c>
      <c r="M1649" t="n">
        <v>17000</v>
      </c>
      <c r="N1649" t="n">
        <v>91</v>
      </c>
      <c r="O1649" t="n">
        <v>0.91</v>
      </c>
      <c r="P1649" t="n">
        <v>1</v>
      </c>
      <c r="Q1649" t="n">
        <v>6.02</v>
      </c>
      <c r="R1649" t="n">
        <v>19</v>
      </c>
      <c r="S1649" t="n">
        <v>150832.5</v>
      </c>
      <c r="T1649" t="n">
        <v>203</v>
      </c>
      <c r="U1649" t="n">
        <v>230</v>
      </c>
      <c r="V1649" t="n">
        <v>30</v>
      </c>
      <c r="W1649" t="n">
        <v>267</v>
      </c>
      <c r="X1649" t="n">
        <v>17.92054099746407</v>
      </c>
      <c r="Y1649" t="n">
        <v>1</v>
      </c>
      <c r="Z1649" t="n">
        <v>108</v>
      </c>
      <c r="AA1649" t="n">
        <v>0</v>
      </c>
      <c r="AB1649" t="n">
        <v>108</v>
      </c>
      <c r="AC1649" t="n">
        <v>108</v>
      </c>
      <c r="AD1649" t="n">
        <v>0</v>
      </c>
      <c r="AE1649" t="n">
        <v>1733400</v>
      </c>
      <c r="AF1649" t="n">
        <v>10984</v>
      </c>
      <c r="AG1649" t="n">
        <v>33</v>
      </c>
      <c r="AH1649" t="inlineStr">
        <is>
          <t>PT. MENSA BINASUKSES - PPN (PDG)</t>
        </is>
      </c>
      <c r="AI1649" t="n">
        <v>75</v>
      </c>
      <c r="AJ1649" t="inlineStr">
        <is>
          <t>GARNIER</t>
        </is>
      </c>
      <c r="AK1649" t="n">
        <v>21</v>
      </c>
      <c r="AL1649" t="inlineStr">
        <is>
          <t>Miss Glam Damar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GARNIER</t>
        </is>
      </c>
      <c r="B1650" s="2">
        <f>"8994993010721"</f>
        <v/>
      </c>
      <c r="C1650" t="inlineStr">
        <is>
          <t>GARNIER Hyaluron Sakura 30ml</t>
        </is>
      </c>
      <c r="D1650" t="inlineStr">
        <is>
          <t>Miss Glam Damar</t>
        </is>
      </c>
      <c r="E1650" t="n">
        <v>2</v>
      </c>
      <c r="F1650" t="n">
        <v>0.0182</v>
      </c>
      <c r="G1650" t="n">
        <v>0</v>
      </c>
      <c r="H1650" t="n">
        <v>3</v>
      </c>
      <c r="I1650" t="n">
        <v>14</v>
      </c>
      <c r="J1650" t="n">
        <v>3</v>
      </c>
      <c r="K1650" t="n">
        <v>0</v>
      </c>
      <c r="L1650" t="n">
        <v>115817</v>
      </c>
      <c r="M1650" t="n">
        <v>130000</v>
      </c>
      <c r="N1650" t="n">
        <v>91</v>
      </c>
      <c r="O1650" t="n">
        <v>0.91</v>
      </c>
      <c r="P1650" t="n">
        <v>1</v>
      </c>
      <c r="Q1650" t="n">
        <v>0.03</v>
      </c>
      <c r="R1650" t="n">
        <v>1</v>
      </c>
      <c r="S1650" t="n">
        <v>2366</v>
      </c>
      <c r="T1650" t="n">
        <v>0</v>
      </c>
      <c r="U1650" t="n">
        <v>1</v>
      </c>
      <c r="V1650" t="n">
        <v>30</v>
      </c>
      <c r="W1650" t="n">
        <v>1</v>
      </c>
      <c r="X1650" t="n">
        <v>109.8901098901099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10984</v>
      </c>
      <c r="AG1650" t="n">
        <v>33</v>
      </c>
      <c r="AH1650" t="inlineStr">
        <is>
          <t>PT. MENSA BINASUKSES - PPN (PDG)</t>
        </is>
      </c>
      <c r="AI1650" t="n">
        <v>75</v>
      </c>
      <c r="AJ1650" t="inlineStr">
        <is>
          <t>GARNIER</t>
        </is>
      </c>
      <c r="AK1650" t="n">
        <v>21</v>
      </c>
      <c r="AL1650" t="inlineStr">
        <is>
          <t>Miss Glam Damar</t>
        </is>
      </c>
      <c r="AM1650" t="n">
        <v>3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GARNIER</t>
        </is>
      </c>
      <c r="B1651" s="2">
        <f>"8991380700029"</f>
        <v/>
      </c>
      <c r="C1651" t="inlineStr">
        <is>
          <t>GARNIER Light Complete Foam 100ml</t>
        </is>
      </c>
      <c r="D1651" t="inlineStr">
        <is>
          <t>Miss Glam Damar</t>
        </is>
      </c>
      <c r="E1651" t="n">
        <v>19</v>
      </c>
      <c r="F1651" t="n">
        <v>0.8918</v>
      </c>
      <c r="G1651" t="n">
        <v>3.64</v>
      </c>
      <c r="H1651" t="n">
        <v>3</v>
      </c>
      <c r="I1651" t="n">
        <v>14</v>
      </c>
      <c r="J1651" t="n">
        <v>3</v>
      </c>
      <c r="K1651" t="n">
        <v>0</v>
      </c>
      <c r="L1651" t="n">
        <v>28066</v>
      </c>
      <c r="M1651" t="n">
        <v>33000</v>
      </c>
      <c r="N1651" t="n">
        <v>91</v>
      </c>
      <c r="O1651" t="n">
        <v>0.91</v>
      </c>
      <c r="P1651" t="n">
        <v>1</v>
      </c>
      <c r="Q1651" t="n">
        <v>0.54</v>
      </c>
      <c r="R1651" t="n">
        <v>3</v>
      </c>
      <c r="S1651" t="n">
        <v>29429.4</v>
      </c>
      <c r="T1651" t="n">
        <v>49</v>
      </c>
      <c r="U1651" t="n">
        <v>52</v>
      </c>
      <c r="V1651" t="n">
        <v>30</v>
      </c>
      <c r="W1651" t="n">
        <v>27</v>
      </c>
      <c r="X1651" t="n">
        <v>21.30522538685804</v>
      </c>
      <c r="Y1651" t="n">
        <v>1</v>
      </c>
      <c r="Z1651" t="n">
        <v>8</v>
      </c>
      <c r="AA1651" t="n">
        <v>0</v>
      </c>
      <c r="AB1651" t="n">
        <v>8</v>
      </c>
      <c r="AC1651" t="n">
        <v>8</v>
      </c>
      <c r="AD1651" t="n">
        <v>0</v>
      </c>
      <c r="AE1651" t="n">
        <v>224528</v>
      </c>
      <c r="AF1651" t="n">
        <v>10984</v>
      </c>
      <c r="AG1651" t="n">
        <v>33</v>
      </c>
      <c r="AH1651" t="inlineStr">
        <is>
          <t>PT. MENSA BINASUKSES - PPN (PDG)</t>
        </is>
      </c>
      <c r="AI1651" t="n">
        <v>75</v>
      </c>
      <c r="AJ1651" t="inlineStr">
        <is>
          <t>GARNIER</t>
        </is>
      </c>
      <c r="AK1651" t="n">
        <v>21</v>
      </c>
      <c r="AL1651" t="inlineStr">
        <is>
          <t>Miss Glam Damar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GARNIER</t>
        </is>
      </c>
      <c r="B1652" s="2">
        <f>"8994993002429"</f>
        <v/>
      </c>
      <c r="C1652" t="inlineStr">
        <is>
          <t>GARNIER Light Complete SPF 19 Yuzu  20ml</t>
        </is>
      </c>
      <c r="D1652" t="inlineStr">
        <is>
          <t>Miss Glam Damar</t>
        </is>
      </c>
      <c r="E1652" t="n">
        <v>4</v>
      </c>
      <c r="F1652" t="n">
        <v>0.3549</v>
      </c>
      <c r="G1652" t="n">
        <v>1.82</v>
      </c>
      <c r="H1652" t="n">
        <v>3</v>
      </c>
      <c r="I1652" t="n">
        <v>14</v>
      </c>
      <c r="J1652" t="n">
        <v>3</v>
      </c>
      <c r="K1652" t="n">
        <v>0</v>
      </c>
      <c r="L1652" t="n">
        <v>30699</v>
      </c>
      <c r="M1652" t="n">
        <v>34000</v>
      </c>
      <c r="N1652" t="n">
        <v>91</v>
      </c>
      <c r="O1652" t="n">
        <v>0.91</v>
      </c>
      <c r="P1652" t="n">
        <v>1</v>
      </c>
      <c r="Q1652" t="n">
        <v>0.15</v>
      </c>
      <c r="R1652" t="n">
        <v>2</v>
      </c>
      <c r="S1652" t="n">
        <v>12066.6</v>
      </c>
      <c r="T1652" t="n">
        <v>25</v>
      </c>
      <c r="U1652" t="n">
        <v>27</v>
      </c>
      <c r="V1652" t="n">
        <v>30</v>
      </c>
      <c r="W1652" t="n">
        <v>11</v>
      </c>
      <c r="X1652" t="n">
        <v>11.27078050154973</v>
      </c>
      <c r="Y1652" t="n">
        <v>1</v>
      </c>
      <c r="Z1652" t="n">
        <v>7</v>
      </c>
      <c r="AA1652" t="n">
        <v>1</v>
      </c>
      <c r="AB1652" t="n">
        <v>6</v>
      </c>
      <c r="AC1652" t="n">
        <v>6</v>
      </c>
      <c r="AD1652" t="n">
        <v>30699</v>
      </c>
      <c r="AE1652" t="n">
        <v>184194</v>
      </c>
      <c r="AF1652" t="n">
        <v>10984</v>
      </c>
      <c r="AG1652" t="n">
        <v>33</v>
      </c>
      <c r="AH1652" t="inlineStr">
        <is>
          <t>PT. MENSA BINASUKSES - PPN (PDG)</t>
        </is>
      </c>
      <c r="AI1652" t="n">
        <v>75</v>
      </c>
      <c r="AJ1652" t="inlineStr">
        <is>
          <t>GARNIER</t>
        </is>
      </c>
      <c r="AK1652" t="n">
        <v>21</v>
      </c>
      <c r="AL1652" t="inlineStr">
        <is>
          <t>Miss Glam Damar</t>
        </is>
      </c>
      <c r="AM1652" t="n">
        <v>3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GARNIER</t>
        </is>
      </c>
      <c r="B1653" s="2">
        <f>"8994993011377"</f>
        <v/>
      </c>
      <c r="C1653" t="inlineStr">
        <is>
          <t>GARNIER Light Complete Vitamin C 30x Booster Serum 30ml</t>
        </is>
      </c>
      <c r="D1653" t="inlineStr">
        <is>
          <t>Miss Glam Damar</t>
        </is>
      </c>
      <c r="E1653" t="n">
        <v>7</v>
      </c>
      <c r="F1653" t="n">
        <v>0.2639</v>
      </c>
      <c r="G1653" t="n">
        <v>2.73</v>
      </c>
      <c r="H1653" t="n">
        <v>3</v>
      </c>
      <c r="I1653" t="n">
        <v>14</v>
      </c>
      <c r="J1653" t="n">
        <v>3</v>
      </c>
      <c r="K1653" t="n">
        <v>0</v>
      </c>
      <c r="L1653" t="n">
        <v>116202</v>
      </c>
      <c r="M1653" t="n">
        <v>130000</v>
      </c>
      <c r="N1653" t="n">
        <v>91</v>
      </c>
      <c r="O1653" t="n">
        <v>0.91</v>
      </c>
      <c r="P1653" t="n">
        <v>1</v>
      </c>
      <c r="Q1653" t="n">
        <v>0.12</v>
      </c>
      <c r="R1653" t="n">
        <v>1</v>
      </c>
      <c r="S1653" t="n">
        <v>34306.99999999999</v>
      </c>
      <c r="T1653" t="n">
        <v>38</v>
      </c>
      <c r="U1653" t="n">
        <v>39</v>
      </c>
      <c r="V1653" t="n">
        <v>30</v>
      </c>
      <c r="W1653" t="n">
        <v>8</v>
      </c>
      <c r="X1653" t="n">
        <v>26.52519893899204</v>
      </c>
      <c r="Y1653" t="n">
        <v>1</v>
      </c>
      <c r="Z1653" t="n">
        <v>1</v>
      </c>
      <c r="AA1653" t="n">
        <v>0</v>
      </c>
      <c r="AB1653" t="n">
        <v>1</v>
      </c>
      <c r="AC1653" t="n">
        <v>3</v>
      </c>
      <c r="AD1653" t="n">
        <v>0</v>
      </c>
      <c r="AE1653" t="n">
        <v>348606</v>
      </c>
      <c r="AF1653" t="n">
        <v>10984</v>
      </c>
      <c r="AG1653" t="n">
        <v>33</v>
      </c>
      <c r="AH1653" t="inlineStr">
        <is>
          <t>PT. MENSA BINASUKSES - PPN (PDG)</t>
        </is>
      </c>
      <c r="AI1653" t="n">
        <v>75</v>
      </c>
      <c r="AJ1653" t="inlineStr">
        <is>
          <t>GARNIER</t>
        </is>
      </c>
      <c r="AK1653" t="n">
        <v>21</v>
      </c>
      <c r="AL1653" t="inlineStr">
        <is>
          <t>Miss Glam Damar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GARNIER</t>
        </is>
      </c>
      <c r="B1654" s="2">
        <f>"8991380700036"</f>
        <v/>
      </c>
      <c r="C1654" t="inlineStr">
        <is>
          <t>GARNIER Light Complete White Speed Brightening Foam 50ml</t>
        </is>
      </c>
      <c r="D1654" t="inlineStr">
        <is>
          <t>Miss Glam Damar</t>
        </is>
      </c>
      <c r="E1654" t="n">
        <v>9</v>
      </c>
      <c r="F1654" t="n">
        <v>0.4641</v>
      </c>
      <c r="G1654" t="n">
        <v>1.82</v>
      </c>
      <c r="H1654" t="n">
        <v>3</v>
      </c>
      <c r="I1654" t="n">
        <v>14</v>
      </c>
      <c r="J1654" t="n">
        <v>3</v>
      </c>
      <c r="K1654" t="n">
        <v>0</v>
      </c>
      <c r="L1654" t="n">
        <v>18871</v>
      </c>
      <c r="M1654" t="n">
        <v>22000</v>
      </c>
      <c r="N1654" t="n">
        <v>91</v>
      </c>
      <c r="O1654" t="n">
        <v>0.91</v>
      </c>
      <c r="P1654" t="n">
        <v>1</v>
      </c>
      <c r="Q1654" t="n">
        <v>0.39</v>
      </c>
      <c r="R1654" t="n">
        <v>2</v>
      </c>
      <c r="S1654" t="n">
        <v>10210.2</v>
      </c>
      <c r="T1654" t="n">
        <v>25</v>
      </c>
      <c r="U1654" t="n">
        <v>27</v>
      </c>
      <c r="V1654" t="n">
        <v>30</v>
      </c>
      <c r="W1654" t="n">
        <v>14</v>
      </c>
      <c r="X1654" t="n">
        <v>19.3923723335488</v>
      </c>
      <c r="Y1654" t="n">
        <v>1</v>
      </c>
      <c r="Z1654" t="n">
        <v>5</v>
      </c>
      <c r="AA1654" t="n">
        <v>0</v>
      </c>
      <c r="AB1654" t="n">
        <v>5</v>
      </c>
      <c r="AC1654" t="n">
        <v>5</v>
      </c>
      <c r="AD1654" t="n">
        <v>0</v>
      </c>
      <c r="AE1654" t="n">
        <v>94355</v>
      </c>
      <c r="AF1654" t="n">
        <v>10984</v>
      </c>
      <c r="AG1654" t="n">
        <v>33</v>
      </c>
      <c r="AH1654" t="inlineStr">
        <is>
          <t>PT. MENSA BINASUKSES - PPN (PDG)</t>
        </is>
      </c>
      <c r="AI1654" t="n">
        <v>75</v>
      </c>
      <c r="AJ1654" t="inlineStr">
        <is>
          <t>GARNIER</t>
        </is>
      </c>
      <c r="AK1654" t="n">
        <v>21</v>
      </c>
      <c r="AL1654" t="inlineStr">
        <is>
          <t>Miss Glam Damar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GARNIER</t>
        </is>
      </c>
      <c r="B1655" s="2">
        <f>"8991380700593"</f>
        <v/>
      </c>
      <c r="C1655" t="inlineStr">
        <is>
          <t>GARNIER Light Complete White Speed Brightening Scrub 50ml</t>
        </is>
      </c>
      <c r="D1655" t="inlineStr">
        <is>
          <t>Miss Glam Damar</t>
        </is>
      </c>
      <c r="E1655" t="n">
        <v>8</v>
      </c>
      <c r="F1655" t="n">
        <v>0.3731</v>
      </c>
      <c r="G1655" t="n">
        <v>1.82</v>
      </c>
      <c r="H1655" t="n">
        <v>3</v>
      </c>
      <c r="I1655" t="n">
        <v>14</v>
      </c>
      <c r="J1655" t="n">
        <v>3</v>
      </c>
      <c r="K1655" t="n">
        <v>0</v>
      </c>
      <c r="L1655" t="n">
        <v>18842</v>
      </c>
      <c r="M1655" t="n">
        <v>22000</v>
      </c>
      <c r="N1655" t="n">
        <v>91</v>
      </c>
      <c r="O1655" t="n">
        <v>0.91</v>
      </c>
      <c r="P1655" t="n">
        <v>1</v>
      </c>
      <c r="Q1655" t="n">
        <v>0.19</v>
      </c>
      <c r="R1655" t="n">
        <v>2</v>
      </c>
      <c r="S1655" t="n">
        <v>8208.199999999999</v>
      </c>
      <c r="T1655" t="n">
        <v>25</v>
      </c>
      <c r="U1655" t="n">
        <v>27</v>
      </c>
      <c r="V1655" t="n">
        <v>30</v>
      </c>
      <c r="W1655" t="n">
        <v>12</v>
      </c>
      <c r="X1655" t="n">
        <v>21.44197266148486</v>
      </c>
      <c r="Y1655" t="n">
        <v>1</v>
      </c>
      <c r="Z1655" t="n">
        <v>4</v>
      </c>
      <c r="AA1655" t="n">
        <v>0</v>
      </c>
      <c r="AB1655" t="n">
        <v>4</v>
      </c>
      <c r="AC1655" t="n">
        <v>4</v>
      </c>
      <c r="AD1655" t="n">
        <v>0</v>
      </c>
      <c r="AE1655" t="n">
        <v>75368</v>
      </c>
      <c r="AF1655" t="n">
        <v>10984</v>
      </c>
      <c r="AG1655" t="n">
        <v>33</v>
      </c>
      <c r="AH1655" t="inlineStr">
        <is>
          <t>PT. MENSA BINASUKSES - PPN (PDG)</t>
        </is>
      </c>
      <c r="AI1655" t="n">
        <v>75</v>
      </c>
      <c r="AJ1655" t="inlineStr">
        <is>
          <t>GARNIER</t>
        </is>
      </c>
      <c r="AK1655" t="n">
        <v>21</v>
      </c>
      <c r="AL1655" t="inlineStr">
        <is>
          <t>Miss Glam Damar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GARNIER</t>
        </is>
      </c>
      <c r="B1656" s="2">
        <f>"8992304010293"</f>
        <v/>
      </c>
      <c r="C1656" t="inlineStr">
        <is>
          <t>GARNIER Light Complete White Speed Day Serum Cream 20ml</t>
        </is>
      </c>
      <c r="D1656" t="inlineStr">
        <is>
          <t>Miss Glam Damar</t>
        </is>
      </c>
      <c r="E1656" t="n">
        <v>7</v>
      </c>
      <c r="F1656" t="n">
        <v>0.1365</v>
      </c>
      <c r="G1656" t="n">
        <v>1.82</v>
      </c>
      <c r="H1656" t="n">
        <v>3</v>
      </c>
      <c r="I1656" t="n">
        <v>14</v>
      </c>
      <c r="J1656" t="n">
        <v>3</v>
      </c>
      <c r="K1656" t="n">
        <v>0</v>
      </c>
      <c r="L1656" t="n">
        <v>24192</v>
      </c>
      <c r="M1656" t="n">
        <v>27000</v>
      </c>
      <c r="N1656" t="n">
        <v>91</v>
      </c>
      <c r="O1656" t="n">
        <v>0.91</v>
      </c>
      <c r="P1656" t="n">
        <v>1</v>
      </c>
      <c r="Q1656" t="n">
        <v>0.22</v>
      </c>
      <c r="R1656" t="n">
        <v>2</v>
      </c>
      <c r="S1656" t="n">
        <v>3685.5</v>
      </c>
      <c r="T1656" t="n">
        <v>26</v>
      </c>
      <c r="U1656" t="n">
        <v>27</v>
      </c>
      <c r="V1656" t="n">
        <v>30</v>
      </c>
      <c r="W1656" t="n">
        <v>5</v>
      </c>
      <c r="X1656" t="n">
        <v>51.28205128205128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10984</v>
      </c>
      <c r="AG1656" t="n">
        <v>33</v>
      </c>
      <c r="AH1656" t="inlineStr">
        <is>
          <t>PT. MENSA BINASUKSES - PPN (PDG)</t>
        </is>
      </c>
      <c r="AI1656" t="n">
        <v>75</v>
      </c>
      <c r="AJ1656" t="inlineStr">
        <is>
          <t>GARNIER</t>
        </is>
      </c>
      <c r="AK1656" t="n">
        <v>21</v>
      </c>
      <c r="AL1656" t="inlineStr">
        <is>
          <t>Miss Glam Damar</t>
        </is>
      </c>
      <c r="AM1656" t="n">
        <v>3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GARNIER</t>
        </is>
      </c>
      <c r="B1657" s="2">
        <f>"8992304054419"</f>
        <v/>
      </c>
      <c r="C1657" t="inlineStr">
        <is>
          <t>GARNIER Light Complete Whitening Serum Cream SPF36 50ml</t>
        </is>
      </c>
      <c r="D1657" t="inlineStr">
        <is>
          <t>Miss Glam Damar</t>
        </is>
      </c>
      <c r="E1657" t="n">
        <v>3</v>
      </c>
      <c r="F1657" t="n">
        <v>0.1365</v>
      </c>
      <c r="G1657" t="n">
        <v>1.82</v>
      </c>
      <c r="H1657" t="n">
        <v>3</v>
      </c>
      <c r="I1657" t="n">
        <v>14</v>
      </c>
      <c r="J1657" t="n">
        <v>3</v>
      </c>
      <c r="K1657" t="n">
        <v>0</v>
      </c>
      <c r="L1657" t="n">
        <v>73530</v>
      </c>
      <c r="M1657" t="n">
        <v>83000</v>
      </c>
      <c r="N1657" t="n">
        <v>91</v>
      </c>
      <c r="O1657" t="n">
        <v>0.91</v>
      </c>
      <c r="P1657" t="n">
        <v>1</v>
      </c>
      <c r="Q1657" t="n">
        <v>0.05</v>
      </c>
      <c r="R1657" t="n">
        <v>1</v>
      </c>
      <c r="S1657" t="n">
        <v>11329.5</v>
      </c>
      <c r="T1657" t="n">
        <v>26</v>
      </c>
      <c r="U1657" t="n">
        <v>27</v>
      </c>
      <c r="V1657" t="n">
        <v>30</v>
      </c>
      <c r="W1657" t="n">
        <v>5</v>
      </c>
      <c r="X1657" t="n">
        <v>21.97802197802198</v>
      </c>
      <c r="Y1657" t="n">
        <v>1</v>
      </c>
      <c r="Z1657" t="n">
        <v>2</v>
      </c>
      <c r="AA1657" t="n">
        <v>0</v>
      </c>
      <c r="AB1657" t="n">
        <v>2</v>
      </c>
      <c r="AC1657" t="n">
        <v>3</v>
      </c>
      <c r="AD1657" t="n">
        <v>0</v>
      </c>
      <c r="AE1657" t="n">
        <v>220590</v>
      </c>
      <c r="AF1657" t="n">
        <v>10984</v>
      </c>
      <c r="AG1657" t="n">
        <v>33</v>
      </c>
      <c r="AH1657" t="inlineStr">
        <is>
          <t>PT. MENSA BINASUKSES - PPN (PDG)</t>
        </is>
      </c>
      <c r="AI1657" t="n">
        <v>75</v>
      </c>
      <c r="AJ1657" t="inlineStr">
        <is>
          <t>GARNIER</t>
        </is>
      </c>
      <c r="AK1657" t="n">
        <v>21</v>
      </c>
      <c r="AL1657" t="inlineStr">
        <is>
          <t>Miss Glam Damar</t>
        </is>
      </c>
      <c r="AM1657" t="n">
        <v>3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GARNIER</t>
        </is>
      </c>
      <c r="B1658" s="2">
        <f>"8992304094767"</f>
        <v/>
      </c>
      <c r="C1658" t="inlineStr">
        <is>
          <t>GARNIER Light Complete Yoghurt Sleeping Mask Night 20ml</t>
        </is>
      </c>
      <c r="D1658" t="inlineStr">
        <is>
          <t>Miss Glam Damar</t>
        </is>
      </c>
      <c r="E1658" t="n">
        <v>5</v>
      </c>
      <c r="F1658" t="n">
        <v>0.2275</v>
      </c>
      <c r="G1658" t="n">
        <v>1.82</v>
      </c>
      <c r="H1658" t="n">
        <v>3</v>
      </c>
      <c r="I1658" t="n">
        <v>14</v>
      </c>
      <c r="J1658" t="n">
        <v>3</v>
      </c>
      <c r="K1658" t="n">
        <v>0</v>
      </c>
      <c r="L1658" t="n">
        <v>30608</v>
      </c>
      <c r="M1658" t="n">
        <v>34000</v>
      </c>
      <c r="N1658" t="n">
        <v>91</v>
      </c>
      <c r="O1658" t="n">
        <v>0.91</v>
      </c>
      <c r="P1658" t="n">
        <v>1</v>
      </c>
      <c r="Q1658" t="n">
        <v>0.2</v>
      </c>
      <c r="R1658" t="n">
        <v>2</v>
      </c>
      <c r="S1658" t="n">
        <v>7735</v>
      </c>
      <c r="T1658" t="n">
        <v>25</v>
      </c>
      <c r="U1658" t="n">
        <v>26</v>
      </c>
      <c r="V1658" t="n">
        <v>30</v>
      </c>
      <c r="W1658" t="n">
        <v>7</v>
      </c>
      <c r="X1658" t="n">
        <v>21.97802197802198</v>
      </c>
      <c r="Y1658" t="n">
        <v>1</v>
      </c>
      <c r="Z1658" t="n">
        <v>2</v>
      </c>
      <c r="AA1658" t="n">
        <v>0</v>
      </c>
      <c r="AB1658" t="n">
        <v>2</v>
      </c>
      <c r="AC1658" t="n">
        <v>3</v>
      </c>
      <c r="AD1658" t="n">
        <v>0</v>
      </c>
      <c r="AE1658" t="n">
        <v>91824</v>
      </c>
      <c r="AF1658" t="n">
        <v>10984</v>
      </c>
      <c r="AG1658" t="n">
        <v>33</v>
      </c>
      <c r="AH1658" t="inlineStr">
        <is>
          <t>PT. MENSA BINASUKSES - PPN (PDG)</t>
        </is>
      </c>
      <c r="AI1658" t="n">
        <v>75</v>
      </c>
      <c r="AJ1658" t="inlineStr">
        <is>
          <t>GARNIER</t>
        </is>
      </c>
      <c r="AK1658" t="n">
        <v>21</v>
      </c>
      <c r="AL1658" t="inlineStr">
        <is>
          <t>Miss Glam Damar</t>
        </is>
      </c>
      <c r="AM1658" t="n">
        <v>3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GARNIER</t>
        </is>
      </c>
      <c r="B1659" s="2">
        <f>"8992304094774"</f>
        <v/>
      </c>
      <c r="C1659" t="inlineStr">
        <is>
          <t>GARNIER Light Completet Night Cream 50ml</t>
        </is>
      </c>
      <c r="D1659" t="inlineStr">
        <is>
          <t>Miss Glam Damar</t>
        </is>
      </c>
      <c r="E1659" t="n">
        <v>5</v>
      </c>
      <c r="F1659" t="n">
        <v>0.04550000000000001</v>
      </c>
      <c r="G1659" t="n">
        <v>0.91</v>
      </c>
      <c r="H1659" t="n">
        <v>3</v>
      </c>
      <c r="I1659" t="n">
        <v>14</v>
      </c>
      <c r="J1659" t="n">
        <v>3</v>
      </c>
      <c r="K1659" t="n">
        <v>0</v>
      </c>
      <c r="L1659" t="n">
        <v>75840</v>
      </c>
      <c r="M1659" t="n">
        <v>88000</v>
      </c>
      <c r="N1659" t="n">
        <v>91</v>
      </c>
      <c r="O1659" t="n">
        <v>0.91</v>
      </c>
      <c r="P1659" t="n">
        <v>1</v>
      </c>
      <c r="Q1659" t="n">
        <v>0.05</v>
      </c>
      <c r="R1659" t="n">
        <v>1</v>
      </c>
      <c r="S1659" t="n">
        <v>4004</v>
      </c>
      <c r="T1659" t="n">
        <v>13</v>
      </c>
      <c r="U1659" t="n">
        <v>14</v>
      </c>
      <c r="V1659" t="n">
        <v>30</v>
      </c>
      <c r="W1659" t="n">
        <v>2</v>
      </c>
      <c r="X1659" t="n">
        <v>109.8901098901099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10984</v>
      </c>
      <c r="AG1659" t="n">
        <v>33</v>
      </c>
      <c r="AH1659" t="inlineStr">
        <is>
          <t>PT. MENSA BINASUKSES - PPN (PDG)</t>
        </is>
      </c>
      <c r="AI1659" t="n">
        <v>75</v>
      </c>
      <c r="AJ1659" t="inlineStr">
        <is>
          <t>GARNIER</t>
        </is>
      </c>
      <c r="AK1659" t="n">
        <v>21</v>
      </c>
      <c r="AL1659" t="inlineStr">
        <is>
          <t>Miss Glam Damar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GARNIER</t>
        </is>
      </c>
      <c r="B1660" s="2">
        <f>"8994993019670"</f>
        <v/>
      </c>
      <c r="C1660" t="inlineStr">
        <is>
          <t>GARNIER Micellar Cleansing Water Blue 400ml</t>
        </is>
      </c>
      <c r="D1660" t="inlineStr">
        <is>
          <t>Miss Glam Damar</t>
        </is>
      </c>
      <c r="E1660" t="n">
        <v>12</v>
      </c>
      <c r="F1660" t="n">
        <v>0.24</v>
      </c>
      <c r="G1660" t="n">
        <v>2</v>
      </c>
      <c r="H1660" t="n">
        <v>3</v>
      </c>
      <c r="I1660" t="n">
        <v>14</v>
      </c>
      <c r="J1660" t="n">
        <v>3</v>
      </c>
      <c r="K1660" t="n">
        <v>0</v>
      </c>
      <c r="L1660" t="n">
        <v>77155</v>
      </c>
      <c r="M1660" t="n">
        <v>108000</v>
      </c>
      <c r="N1660" t="n">
        <v>91</v>
      </c>
      <c r="O1660" t="n">
        <v>0.91</v>
      </c>
      <c r="P1660" t="n">
        <v>0</v>
      </c>
      <c r="Q1660" t="n">
        <v>0.24</v>
      </c>
      <c r="R1660" t="n">
        <v>2</v>
      </c>
      <c r="S1660" t="n">
        <v>25920</v>
      </c>
      <c r="T1660" t="n">
        <v>28</v>
      </c>
      <c r="U1660" t="n">
        <v>29</v>
      </c>
      <c r="V1660" t="n">
        <v>30</v>
      </c>
      <c r="W1660" t="n">
        <v>8</v>
      </c>
      <c r="X1660" t="n">
        <v>50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10984</v>
      </c>
      <c r="AG1660" t="n">
        <v>33</v>
      </c>
      <c r="AH1660" t="inlineStr">
        <is>
          <t>PT. MENSA BINASUKSES - PPN (PDG)</t>
        </is>
      </c>
      <c r="AI1660" t="n">
        <v>75</v>
      </c>
      <c r="AJ1660" t="inlineStr">
        <is>
          <t>GARNIER</t>
        </is>
      </c>
      <c r="AK1660" t="n">
        <v>21</v>
      </c>
      <c r="AL1660" t="inlineStr">
        <is>
          <t>Miss Glam Damar</t>
        </is>
      </c>
      <c r="AM1660" t="n">
        <v>3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GARNIER</t>
        </is>
      </c>
      <c r="B1661" s="2">
        <f>"8994993019656"</f>
        <v/>
      </c>
      <c r="C1661" t="inlineStr">
        <is>
          <t>GARNIER Micellar Cleansing Water Salicylic BHA 125ml</t>
        </is>
      </c>
      <c r="D1661" t="inlineStr">
        <is>
          <t>Miss Glam Damar</t>
        </is>
      </c>
      <c r="E1661" t="n">
        <v>73</v>
      </c>
      <c r="F1661" t="n">
        <v>2.6208</v>
      </c>
      <c r="G1661" t="n">
        <v>9.1</v>
      </c>
      <c r="H1661" t="n">
        <v>3</v>
      </c>
      <c r="I1661" t="n">
        <v>14</v>
      </c>
      <c r="J1661" t="n">
        <v>24</v>
      </c>
      <c r="K1661" t="n">
        <v>0</v>
      </c>
      <c r="L1661" t="n">
        <v>30119</v>
      </c>
      <c r="M1661" t="n">
        <v>34500</v>
      </c>
      <c r="N1661" t="n">
        <v>91</v>
      </c>
      <c r="O1661" t="n">
        <v>0.91</v>
      </c>
      <c r="P1661" t="n">
        <v>1</v>
      </c>
      <c r="Q1661" t="n">
        <v>1.86</v>
      </c>
      <c r="R1661" t="n">
        <v>5</v>
      </c>
      <c r="S1661" t="n">
        <v>90417.60000000001</v>
      </c>
      <c r="T1661" t="n">
        <v>120</v>
      </c>
      <c r="U1661" t="n">
        <v>128</v>
      </c>
      <c r="V1661" t="n">
        <v>30</v>
      </c>
      <c r="W1661" t="n">
        <v>79</v>
      </c>
      <c r="X1661" t="n">
        <v>27.85409035409035</v>
      </c>
      <c r="Y1661" t="n">
        <v>1</v>
      </c>
      <c r="Z1661" t="n">
        <v>6</v>
      </c>
      <c r="AA1661" t="n">
        <v>0</v>
      </c>
      <c r="AB1661" t="n">
        <v>6</v>
      </c>
      <c r="AC1661" t="n">
        <v>24</v>
      </c>
      <c r="AD1661" t="n">
        <v>0</v>
      </c>
      <c r="AE1661" t="n">
        <v>722856</v>
      </c>
      <c r="AF1661" t="n">
        <v>10984</v>
      </c>
      <c r="AG1661" t="n">
        <v>33</v>
      </c>
      <c r="AH1661" t="inlineStr">
        <is>
          <t>PT. MENSA BINASUKSES - PPN (PDG)</t>
        </is>
      </c>
      <c r="AI1661" t="n">
        <v>75</v>
      </c>
      <c r="AJ1661" t="inlineStr">
        <is>
          <t>GARNIER</t>
        </is>
      </c>
      <c r="AK1661" t="n">
        <v>21</v>
      </c>
      <c r="AL1661" t="inlineStr">
        <is>
          <t>Miss Glam Damar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GARNIER</t>
        </is>
      </c>
      <c r="B1662" s="2">
        <f>"8994993013845"</f>
        <v/>
      </c>
      <c r="C1662" t="inlineStr">
        <is>
          <t>GARNIER Micellar Cleansing Water Vitamin C 125ml</t>
        </is>
      </c>
      <c r="D1662" t="inlineStr">
        <is>
          <t>Miss Glam Damar</t>
        </is>
      </c>
      <c r="E1662" t="n">
        <v>34</v>
      </c>
      <c r="F1662" t="n">
        <v>2.0839</v>
      </c>
      <c r="G1662" t="n">
        <v>6.37</v>
      </c>
      <c r="H1662" t="n">
        <v>3</v>
      </c>
      <c r="I1662" t="n">
        <v>14</v>
      </c>
      <c r="J1662" t="n">
        <v>3</v>
      </c>
      <c r="K1662" t="n">
        <v>0</v>
      </c>
      <c r="L1662" t="n">
        <v>30562</v>
      </c>
      <c r="M1662" t="n">
        <v>35000</v>
      </c>
      <c r="N1662" t="n">
        <v>91</v>
      </c>
      <c r="O1662" t="n">
        <v>0.91</v>
      </c>
      <c r="P1662" t="n">
        <v>1</v>
      </c>
      <c r="Q1662" t="n">
        <v>1.37</v>
      </c>
      <c r="R1662" t="n">
        <v>5</v>
      </c>
      <c r="S1662" t="n">
        <v>72936.50000000001</v>
      </c>
      <c r="T1662" t="n">
        <v>83</v>
      </c>
      <c r="U1662" t="n">
        <v>90</v>
      </c>
      <c r="V1662" t="n">
        <v>30</v>
      </c>
      <c r="W1662" t="n">
        <v>63</v>
      </c>
      <c r="X1662" t="n">
        <v>16.31556216709055</v>
      </c>
      <c r="Y1662" t="n">
        <v>1</v>
      </c>
      <c r="Z1662" t="n">
        <v>29</v>
      </c>
      <c r="AA1662" t="n">
        <v>0</v>
      </c>
      <c r="AB1662" t="n">
        <v>29</v>
      </c>
      <c r="AC1662" t="n">
        <v>29</v>
      </c>
      <c r="AD1662" t="n">
        <v>0</v>
      </c>
      <c r="AE1662" t="n">
        <v>886298</v>
      </c>
      <c r="AF1662" t="n">
        <v>10984</v>
      </c>
      <c r="AG1662" t="n">
        <v>33</v>
      </c>
      <c r="AH1662" t="inlineStr">
        <is>
          <t>PT. MENSA BINASUKSES - PPN (PDG)</t>
        </is>
      </c>
      <c r="AI1662" t="n">
        <v>75</v>
      </c>
      <c r="AJ1662" t="inlineStr">
        <is>
          <t>GARNIER</t>
        </is>
      </c>
      <c r="AK1662" t="n">
        <v>21</v>
      </c>
      <c r="AL1662" t="inlineStr">
        <is>
          <t>Miss Glam Damar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GARNIER</t>
        </is>
      </c>
      <c r="B1663" s="2">
        <f>"6902395717881"</f>
        <v/>
      </c>
      <c r="C1663" t="inlineStr">
        <is>
          <t>GARNIER Micellar Oil Infused Cleansing Water 50ml</t>
        </is>
      </c>
      <c r="D1663" t="inlineStr">
        <is>
          <t>Miss Glam Damar</t>
        </is>
      </c>
      <c r="E1663" t="n">
        <v>55</v>
      </c>
      <c r="F1663" t="n">
        <v>0.9737000000000001</v>
      </c>
      <c r="G1663" t="n">
        <v>3.64</v>
      </c>
      <c r="H1663" t="n">
        <v>3</v>
      </c>
      <c r="I1663" t="n">
        <v>14</v>
      </c>
      <c r="J1663" t="n">
        <v>3</v>
      </c>
      <c r="K1663" t="n">
        <v>0</v>
      </c>
      <c r="L1663" t="n">
        <v>22970</v>
      </c>
      <c r="M1663" t="n">
        <v>28000</v>
      </c>
      <c r="N1663" t="n">
        <v>91</v>
      </c>
      <c r="O1663" t="n">
        <v>0.91</v>
      </c>
      <c r="P1663" t="n">
        <v>1</v>
      </c>
      <c r="Q1663" t="n">
        <v>1.76</v>
      </c>
      <c r="R1663" t="n">
        <v>6</v>
      </c>
      <c r="S1663" t="n">
        <v>27263.6</v>
      </c>
      <c r="T1663" t="n">
        <v>49</v>
      </c>
      <c r="U1663" t="n">
        <v>52</v>
      </c>
      <c r="V1663" t="n">
        <v>30</v>
      </c>
      <c r="W1663" t="n">
        <v>30</v>
      </c>
      <c r="X1663" t="n">
        <v>56.48557050426209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10984</v>
      </c>
      <c r="AG1663" t="n">
        <v>33</v>
      </c>
      <c r="AH1663" t="inlineStr">
        <is>
          <t>PT. MENSA BINASUKSES - PPN (PDG)</t>
        </is>
      </c>
      <c r="AI1663" t="n">
        <v>75</v>
      </c>
      <c r="AJ1663" t="inlineStr">
        <is>
          <t>GARNIER</t>
        </is>
      </c>
      <c r="AK1663" t="n">
        <v>21</v>
      </c>
      <c r="AL1663" t="inlineStr">
        <is>
          <t>Miss Glam Damar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GARNIER</t>
        </is>
      </c>
      <c r="B1664" s="2">
        <f>"6902395661139"</f>
        <v/>
      </c>
      <c r="C1664" t="inlineStr">
        <is>
          <t>GARNIER Micellar Water Oil Infused Skin Care 125ml</t>
        </is>
      </c>
      <c r="D1664" t="inlineStr">
        <is>
          <t>Miss Glam Damar</t>
        </is>
      </c>
      <c r="E1664" t="n">
        <v>50</v>
      </c>
      <c r="F1664" t="n">
        <v>1.3104</v>
      </c>
      <c r="G1664" t="n">
        <v>4.55</v>
      </c>
      <c r="H1664" t="n">
        <v>3</v>
      </c>
      <c r="I1664" t="n">
        <v>14</v>
      </c>
      <c r="J1664" t="n">
        <v>3</v>
      </c>
      <c r="K1664" t="n">
        <v>0</v>
      </c>
      <c r="L1664" t="n">
        <v>42722</v>
      </c>
      <c r="M1664" t="n">
        <v>44500</v>
      </c>
      <c r="N1664" t="n">
        <v>91</v>
      </c>
      <c r="O1664" t="n">
        <v>0.91</v>
      </c>
      <c r="P1664" t="n">
        <v>1</v>
      </c>
      <c r="Q1664" t="n">
        <v>1.47</v>
      </c>
      <c r="R1664" t="n">
        <v>6</v>
      </c>
      <c r="S1664" t="n">
        <v>58312.8</v>
      </c>
      <c r="T1664" t="n">
        <v>60</v>
      </c>
      <c r="U1664" t="n">
        <v>64</v>
      </c>
      <c r="V1664" t="n">
        <v>30</v>
      </c>
      <c r="W1664" t="n">
        <v>40</v>
      </c>
      <c r="X1664" t="n">
        <v>38.15628815628816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10984</v>
      </c>
      <c r="AG1664" t="n">
        <v>33</v>
      </c>
      <c r="AH1664" t="inlineStr">
        <is>
          <t>PT. MENSA BINASUKSES - PPN (PDG)</t>
        </is>
      </c>
      <c r="AI1664" t="n">
        <v>75</v>
      </c>
      <c r="AJ1664" t="inlineStr">
        <is>
          <t>GARNIER</t>
        </is>
      </c>
      <c r="AK1664" t="n">
        <v>21</v>
      </c>
      <c r="AL1664" t="inlineStr">
        <is>
          <t>Miss Glam Damar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GARNIER</t>
        </is>
      </c>
      <c r="B1665" s="2">
        <f>"6902395502005"</f>
        <v/>
      </c>
      <c r="C1665" t="inlineStr">
        <is>
          <t>GARNIER Micellar Water Oil Infused Skin Care 400ml</t>
        </is>
      </c>
      <c r="D1665" t="inlineStr">
        <is>
          <t>Miss Glam Damar</t>
        </is>
      </c>
      <c r="E1665" t="n">
        <v>7</v>
      </c>
      <c r="F1665" t="n">
        <v>0.1547</v>
      </c>
      <c r="G1665" t="n">
        <v>1.82</v>
      </c>
      <c r="H1665" t="n">
        <v>3</v>
      </c>
      <c r="I1665" t="n">
        <v>14</v>
      </c>
      <c r="J1665" t="n">
        <v>3</v>
      </c>
      <c r="K1665" t="n">
        <v>0</v>
      </c>
      <c r="L1665" t="n">
        <v>121213</v>
      </c>
      <c r="M1665" t="n">
        <v>134000</v>
      </c>
      <c r="N1665" t="n">
        <v>91</v>
      </c>
      <c r="O1665" t="n">
        <v>0.91</v>
      </c>
      <c r="P1665" t="n">
        <v>1</v>
      </c>
      <c r="Q1665" t="n">
        <v>0.27</v>
      </c>
      <c r="R1665" t="n">
        <v>2</v>
      </c>
      <c r="S1665" t="n">
        <v>20729.8</v>
      </c>
      <c r="T1665" t="n">
        <v>26</v>
      </c>
      <c r="U1665" t="n">
        <v>27</v>
      </c>
      <c r="V1665" t="n">
        <v>30</v>
      </c>
      <c r="W1665" t="n">
        <v>5</v>
      </c>
      <c r="X1665" t="n">
        <v>45.24886877828054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10984</v>
      </c>
      <c r="AG1665" t="n">
        <v>33</v>
      </c>
      <c r="AH1665" t="inlineStr">
        <is>
          <t>PT. MENSA BINASUKSES - PPN (PDG)</t>
        </is>
      </c>
      <c r="AI1665" t="n">
        <v>75</v>
      </c>
      <c r="AJ1665" t="inlineStr">
        <is>
          <t>GARNIER</t>
        </is>
      </c>
      <c r="AK1665" t="n">
        <v>21</v>
      </c>
      <c r="AL1665" t="inlineStr">
        <is>
          <t>Miss Glam Damar</t>
        </is>
      </c>
      <c r="AM1665" t="n">
        <v>3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GARNIER</t>
        </is>
      </c>
      <c r="B1666" s="2">
        <f>"6928820029572"</f>
        <v/>
      </c>
      <c r="C1666" t="inlineStr">
        <is>
          <t>GARNIER Micellar Water Pink 125ml</t>
        </is>
      </c>
      <c r="D1666" t="inlineStr">
        <is>
          <t>Miss Glam Damar</t>
        </is>
      </c>
      <c r="E1666" t="n">
        <v>121</v>
      </c>
      <c r="F1666" t="n">
        <v>5.6875</v>
      </c>
      <c r="G1666" t="n">
        <v>13.65</v>
      </c>
      <c r="H1666" t="n">
        <v>3</v>
      </c>
      <c r="I1666" t="n">
        <v>14</v>
      </c>
      <c r="J1666" t="n">
        <v>3</v>
      </c>
      <c r="K1666" t="n">
        <v>0</v>
      </c>
      <c r="L1666" t="n">
        <v>30276</v>
      </c>
      <c r="M1666" t="n">
        <v>34500</v>
      </c>
      <c r="N1666" t="n">
        <v>91</v>
      </c>
      <c r="O1666" t="n">
        <v>0.91</v>
      </c>
      <c r="P1666" t="n">
        <v>1</v>
      </c>
      <c r="Q1666" t="n">
        <v>3.97</v>
      </c>
      <c r="R1666" t="n">
        <v>12</v>
      </c>
      <c r="S1666" t="n">
        <v>196218.75</v>
      </c>
      <c r="T1666" t="n">
        <v>175</v>
      </c>
      <c r="U1666" t="n">
        <v>193</v>
      </c>
      <c r="V1666" t="n">
        <v>30</v>
      </c>
      <c r="W1666" t="n">
        <v>171</v>
      </c>
      <c r="X1666" t="n">
        <v>21.27472527472527</v>
      </c>
      <c r="Y1666" t="n">
        <v>1</v>
      </c>
      <c r="Z1666" t="n">
        <v>50</v>
      </c>
      <c r="AA1666" t="n">
        <v>0</v>
      </c>
      <c r="AB1666" t="n">
        <v>50</v>
      </c>
      <c r="AC1666" t="n">
        <v>50</v>
      </c>
      <c r="AD1666" t="n">
        <v>0</v>
      </c>
      <c r="AE1666" t="n">
        <v>1513800</v>
      </c>
      <c r="AF1666" t="n">
        <v>10984</v>
      </c>
      <c r="AG1666" t="n">
        <v>33</v>
      </c>
      <c r="AH1666" t="inlineStr">
        <is>
          <t>PT. MENSA BINASUKSES - PPN (PDG)</t>
        </is>
      </c>
      <c r="AI1666" t="n">
        <v>75</v>
      </c>
      <c r="AJ1666" t="inlineStr">
        <is>
          <t>GARNIER</t>
        </is>
      </c>
      <c r="AK1666" t="n">
        <v>21</v>
      </c>
      <c r="AL1666" t="inlineStr">
        <is>
          <t>Miss Glam Damar</t>
        </is>
      </c>
      <c r="AM1666" t="n">
        <v>3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GARNIER</t>
        </is>
      </c>
      <c r="B1667" s="2">
        <f>"8994993014194"</f>
        <v/>
      </c>
      <c r="C1667" t="inlineStr">
        <is>
          <t>GARNIER Micellar Water Pink Blue Biphase Rose 125ml</t>
        </is>
      </c>
      <c r="D1667" t="inlineStr">
        <is>
          <t>Miss Glam Damar</t>
        </is>
      </c>
      <c r="E1667" t="n">
        <v>46</v>
      </c>
      <c r="F1667" t="n">
        <v>2.2022</v>
      </c>
      <c r="G1667" t="n">
        <v>5.46</v>
      </c>
      <c r="H1667" t="n">
        <v>3</v>
      </c>
      <c r="I1667" t="n">
        <v>14</v>
      </c>
      <c r="J1667" t="n">
        <v>3</v>
      </c>
      <c r="K1667" t="n">
        <v>0</v>
      </c>
      <c r="L1667" t="n">
        <v>31037</v>
      </c>
      <c r="M1667" t="n">
        <v>35000</v>
      </c>
      <c r="N1667" t="n">
        <v>91</v>
      </c>
      <c r="O1667" t="n">
        <v>0.91</v>
      </c>
      <c r="P1667" t="n">
        <v>1</v>
      </c>
      <c r="Q1667" t="n">
        <v>1.39</v>
      </c>
      <c r="R1667" t="n">
        <v>5</v>
      </c>
      <c r="S1667" t="n">
        <v>77077</v>
      </c>
      <c r="T1667" t="n">
        <v>70</v>
      </c>
      <c r="U1667" t="n">
        <v>77</v>
      </c>
      <c r="V1667" t="n">
        <v>30</v>
      </c>
      <c r="W1667" t="n">
        <v>67</v>
      </c>
      <c r="X1667" t="n">
        <v>20.88820270638453</v>
      </c>
      <c r="Y1667" t="n">
        <v>1</v>
      </c>
      <c r="Z1667" t="n">
        <v>21</v>
      </c>
      <c r="AA1667" t="n">
        <v>0</v>
      </c>
      <c r="AB1667" t="n">
        <v>21</v>
      </c>
      <c r="AC1667" t="n">
        <v>21</v>
      </c>
      <c r="AD1667" t="n">
        <v>0</v>
      </c>
      <c r="AE1667" t="n">
        <v>651777</v>
      </c>
      <c r="AF1667" t="n">
        <v>10984</v>
      </c>
      <c r="AG1667" t="n">
        <v>33</v>
      </c>
      <c r="AH1667" t="inlineStr">
        <is>
          <t>PT. MENSA BINASUKSES - PPN (PDG)</t>
        </is>
      </c>
      <c r="AI1667" t="n">
        <v>75</v>
      </c>
      <c r="AJ1667" t="inlineStr">
        <is>
          <t>GARNIER</t>
        </is>
      </c>
      <c r="AK1667" t="n">
        <v>21</v>
      </c>
      <c r="AL1667" t="inlineStr">
        <is>
          <t>Miss Glam Damar</t>
        </is>
      </c>
      <c r="AM1667" t="n">
        <v>3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GARNIER</t>
        </is>
      </c>
      <c r="B1668" s="2">
        <f>"10100725019"</f>
        <v/>
      </c>
      <c r="C1668" t="inlineStr">
        <is>
          <t>GARNIER Micellar Water Pink Bundle 125x2ml</t>
        </is>
      </c>
      <c r="D1668" t="inlineStr">
        <is>
          <t>Miss Glam Damar</t>
        </is>
      </c>
      <c r="E1668" t="n">
        <v>46</v>
      </c>
      <c r="F1668" t="n">
        <v>0.8372000000000001</v>
      </c>
      <c r="G1668" t="n">
        <v>11.83</v>
      </c>
      <c r="H1668" t="n">
        <v>3</v>
      </c>
      <c r="I1668" t="n">
        <v>14</v>
      </c>
      <c r="J1668" t="n">
        <v>1</v>
      </c>
      <c r="K1668" t="n">
        <v>0</v>
      </c>
      <c r="L1668" t="n">
        <v>35235</v>
      </c>
      <c r="M1668" t="n">
        <v>41500</v>
      </c>
      <c r="N1668" t="n">
        <v>91</v>
      </c>
      <c r="O1668" t="n">
        <v>0.91</v>
      </c>
      <c r="P1668" t="n">
        <v>1</v>
      </c>
      <c r="Q1668" t="n">
        <v>0.85</v>
      </c>
      <c r="R1668" t="n">
        <v>14</v>
      </c>
      <c r="S1668" t="n">
        <v>34743.8</v>
      </c>
      <c r="T1668" t="n">
        <v>164</v>
      </c>
      <c r="U1668" t="n">
        <v>167</v>
      </c>
      <c r="V1668" t="n">
        <v>30</v>
      </c>
      <c r="W1668" t="n">
        <v>26</v>
      </c>
      <c r="X1668" t="n">
        <v>54.94505494505494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10984</v>
      </c>
      <c r="AG1668" t="n">
        <v>33</v>
      </c>
      <c r="AH1668" t="inlineStr">
        <is>
          <t>PT. MENSA BINASUKSES - PPN (PDG)</t>
        </is>
      </c>
      <c r="AI1668" t="n">
        <v>75</v>
      </c>
      <c r="AJ1668" t="inlineStr">
        <is>
          <t>GARNIER</t>
        </is>
      </c>
      <c r="AK1668" t="n">
        <v>21</v>
      </c>
      <c r="AL1668" t="inlineStr">
        <is>
          <t>Miss Glam Damar</t>
        </is>
      </c>
      <c r="AM1668" t="n">
        <v>3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GARNIER</t>
        </is>
      </c>
      <c r="B1669" s="2">
        <f>"6928820029589"</f>
        <v/>
      </c>
      <c r="C1669" t="inlineStr">
        <is>
          <t>GARNIER Micellar Water Pink Skin Care 400ml</t>
        </is>
      </c>
      <c r="D1669" t="inlineStr">
        <is>
          <t>Miss Glam Damar</t>
        </is>
      </c>
      <c r="E1669" t="n">
        <v>3</v>
      </c>
      <c r="F1669" t="n">
        <v>0.3822</v>
      </c>
      <c r="G1669" t="n">
        <v>1.82</v>
      </c>
      <c r="H1669" t="n">
        <v>3</v>
      </c>
      <c r="I1669" t="n">
        <v>14</v>
      </c>
      <c r="J1669" t="n">
        <v>3</v>
      </c>
      <c r="K1669" t="n">
        <v>0</v>
      </c>
      <c r="L1669" t="n">
        <v>91712</v>
      </c>
      <c r="M1669" t="n">
        <v>94000</v>
      </c>
      <c r="N1669" t="n">
        <v>91</v>
      </c>
      <c r="O1669" t="n">
        <v>0.91</v>
      </c>
      <c r="P1669" t="n">
        <v>1</v>
      </c>
      <c r="Q1669" t="n">
        <v>0.54</v>
      </c>
      <c r="R1669" t="n">
        <v>2</v>
      </c>
      <c r="S1669" t="n">
        <v>35926.8</v>
      </c>
      <c r="T1669" t="n">
        <v>25</v>
      </c>
      <c r="U1669" t="n">
        <v>27</v>
      </c>
      <c r="V1669" t="n">
        <v>30</v>
      </c>
      <c r="W1669" t="n">
        <v>12</v>
      </c>
      <c r="X1669" t="n">
        <v>7.849293563579278</v>
      </c>
      <c r="Y1669" t="n">
        <v>1</v>
      </c>
      <c r="Z1669" t="n">
        <v>9</v>
      </c>
      <c r="AA1669" t="n">
        <v>3</v>
      </c>
      <c r="AB1669" t="n">
        <v>6</v>
      </c>
      <c r="AC1669" t="n">
        <v>6</v>
      </c>
      <c r="AD1669" t="n">
        <v>275136</v>
      </c>
      <c r="AE1669" t="n">
        <v>550272</v>
      </c>
      <c r="AF1669" t="n">
        <v>10984</v>
      </c>
      <c r="AG1669" t="n">
        <v>33</v>
      </c>
      <c r="AH1669" t="inlineStr">
        <is>
          <t>PT. MENSA BINASUKSES - PPN (PDG)</t>
        </is>
      </c>
      <c r="AI1669" t="n">
        <v>75</v>
      </c>
      <c r="AJ1669" t="inlineStr">
        <is>
          <t>GARNIER</t>
        </is>
      </c>
      <c r="AK1669" t="n">
        <v>21</v>
      </c>
      <c r="AL1669" t="inlineStr">
        <is>
          <t>Miss Glam Damar</t>
        </is>
      </c>
      <c r="AM1669" t="n">
        <v>3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GARNIER</t>
        </is>
      </c>
      <c r="B1670" s="2">
        <f>"6923700909050"</f>
        <v/>
      </c>
      <c r="C1670" t="inlineStr">
        <is>
          <t>GARNIER Micellar Water Pink Skin Care 50ml</t>
        </is>
      </c>
      <c r="D1670" t="inlineStr">
        <is>
          <t>Miss Glam Damar</t>
        </is>
      </c>
      <c r="E1670" t="n">
        <v>53</v>
      </c>
      <c r="F1670" t="n">
        <v>1.9565</v>
      </c>
      <c r="G1670" t="n">
        <v>7.28</v>
      </c>
      <c r="H1670" t="n">
        <v>3</v>
      </c>
      <c r="I1670" t="n">
        <v>14</v>
      </c>
      <c r="J1670" t="n">
        <v>3</v>
      </c>
      <c r="K1670" t="n">
        <v>0</v>
      </c>
      <c r="L1670" t="n">
        <v>18117</v>
      </c>
      <c r="M1670" t="n">
        <v>22000</v>
      </c>
      <c r="N1670" t="n">
        <v>91</v>
      </c>
      <c r="O1670" t="n">
        <v>0.91</v>
      </c>
      <c r="P1670" t="n">
        <v>1</v>
      </c>
      <c r="Q1670" t="n">
        <v>1.29</v>
      </c>
      <c r="R1670" t="n">
        <v>6</v>
      </c>
      <c r="S1670" t="n">
        <v>43043</v>
      </c>
      <c r="T1670" t="n">
        <v>97</v>
      </c>
      <c r="U1670" t="n">
        <v>103</v>
      </c>
      <c r="V1670" t="n">
        <v>30</v>
      </c>
      <c r="W1670" t="n">
        <v>59</v>
      </c>
      <c r="X1670" t="n">
        <v>27.08918987988756</v>
      </c>
      <c r="Y1670" t="n">
        <v>1</v>
      </c>
      <c r="Z1670" t="n">
        <v>6</v>
      </c>
      <c r="AA1670" t="n">
        <v>0</v>
      </c>
      <c r="AB1670" t="n">
        <v>6</v>
      </c>
      <c r="AC1670" t="n">
        <v>6</v>
      </c>
      <c r="AD1670" t="n">
        <v>0</v>
      </c>
      <c r="AE1670" t="n">
        <v>108702</v>
      </c>
      <c r="AF1670" t="n">
        <v>10984</v>
      </c>
      <c r="AG1670" t="n">
        <v>33</v>
      </c>
      <c r="AH1670" t="inlineStr">
        <is>
          <t>PT. MENSA BINASUKSES - PPN (PDG)</t>
        </is>
      </c>
      <c r="AI1670" t="n">
        <v>75</v>
      </c>
      <c r="AJ1670" t="inlineStr">
        <is>
          <t>GARNIER</t>
        </is>
      </c>
      <c r="AK1670" t="n">
        <v>21</v>
      </c>
      <c r="AL1670" t="inlineStr">
        <is>
          <t>Miss Glam Damar</t>
        </is>
      </c>
      <c r="AM1670" t="n">
        <v>3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GARNIER</t>
        </is>
      </c>
      <c r="B1671" s="2">
        <f>"8994993025404"</f>
        <v/>
      </c>
      <c r="C1671" t="inlineStr">
        <is>
          <t>GARNIER Micellar Water Salicylic Blue 50ml</t>
        </is>
      </c>
      <c r="D1671" t="inlineStr">
        <is>
          <t>Miss Glam Damar</t>
        </is>
      </c>
      <c r="E1671" t="n">
        <v>14</v>
      </c>
      <c r="F1671" t="n">
        <v>0.182</v>
      </c>
      <c r="G1671" t="n">
        <v>0.91</v>
      </c>
      <c r="H1671" t="n">
        <v>3</v>
      </c>
      <c r="I1671" t="n">
        <v>14</v>
      </c>
      <c r="J1671" t="n">
        <v>3</v>
      </c>
      <c r="K1671" t="n">
        <v>0</v>
      </c>
      <c r="L1671" t="n">
        <v>18131</v>
      </c>
      <c r="M1671" t="n">
        <v>22000</v>
      </c>
      <c r="N1671" t="n">
        <v>91</v>
      </c>
      <c r="O1671" t="n">
        <v>0.91</v>
      </c>
      <c r="P1671" t="n">
        <v>1</v>
      </c>
      <c r="Q1671" t="n">
        <v>0.47</v>
      </c>
      <c r="R1671" t="n">
        <v>3</v>
      </c>
      <c r="S1671" t="n">
        <v>4004</v>
      </c>
      <c r="T1671" t="n">
        <v>13</v>
      </c>
      <c r="U1671" t="n">
        <v>14</v>
      </c>
      <c r="V1671" t="n">
        <v>30</v>
      </c>
      <c r="W1671" t="n">
        <v>6</v>
      </c>
      <c r="X1671" t="n">
        <v>76.92307692307692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10984</v>
      </c>
      <c r="AG1671" t="n">
        <v>33</v>
      </c>
      <c r="AH1671" t="inlineStr">
        <is>
          <t>PT. MENSA BINASUKSES - PPN (PDG)</t>
        </is>
      </c>
      <c r="AI1671" t="n">
        <v>75</v>
      </c>
      <c r="AJ1671" t="inlineStr">
        <is>
          <t>GARNIER</t>
        </is>
      </c>
      <c r="AK1671" t="n">
        <v>21</v>
      </c>
      <c r="AL1671" t="inlineStr">
        <is>
          <t>Miss Glam Damar</t>
        </is>
      </c>
      <c r="AM1671" t="n">
        <v>3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GARNIER</t>
        </is>
      </c>
      <c r="B1672" s="2">
        <f>"8992304019524"</f>
        <v/>
      </c>
      <c r="C1672" t="inlineStr">
        <is>
          <t>GARNIER Pure Active Acne &amp; Oil Clearing Foam 100ml</t>
        </is>
      </c>
      <c r="D1672" t="inlineStr">
        <is>
          <t>Miss Glam Damar</t>
        </is>
      </c>
      <c r="E1672" t="n">
        <v>8</v>
      </c>
      <c r="F1672" t="n">
        <v>0.27</v>
      </c>
      <c r="G1672" t="n">
        <v>2</v>
      </c>
      <c r="H1672" t="n">
        <v>3</v>
      </c>
      <c r="I1672" t="n">
        <v>14</v>
      </c>
      <c r="J1672" t="n">
        <v>3</v>
      </c>
      <c r="K1672" t="n">
        <v>0</v>
      </c>
      <c r="L1672" t="n">
        <v>29211</v>
      </c>
      <c r="M1672" t="n">
        <v>33000</v>
      </c>
      <c r="N1672" t="n">
        <v>91</v>
      </c>
      <c r="O1672" t="n">
        <v>0.91</v>
      </c>
      <c r="P1672" t="n">
        <v>0</v>
      </c>
      <c r="Q1672" t="n">
        <v>0.27</v>
      </c>
      <c r="R1672" t="n">
        <v>2</v>
      </c>
      <c r="S1672" t="n">
        <v>8910</v>
      </c>
      <c r="T1672" t="n">
        <v>28</v>
      </c>
      <c r="U1672" t="n">
        <v>29</v>
      </c>
      <c r="V1672" t="n">
        <v>30</v>
      </c>
      <c r="W1672" t="n">
        <v>9</v>
      </c>
      <c r="X1672" t="n">
        <v>29.62962962962963</v>
      </c>
      <c r="Y1672" t="n">
        <v>1</v>
      </c>
      <c r="Z1672" t="n">
        <v>1</v>
      </c>
      <c r="AA1672" t="n">
        <v>0</v>
      </c>
      <c r="AB1672" t="n">
        <v>1</v>
      </c>
      <c r="AC1672" t="n">
        <v>3</v>
      </c>
      <c r="AD1672" t="n">
        <v>0</v>
      </c>
      <c r="AE1672" t="n">
        <v>87633</v>
      </c>
      <c r="AF1672" t="n">
        <v>10984</v>
      </c>
      <c r="AG1672" t="n">
        <v>33</v>
      </c>
      <c r="AH1672" t="inlineStr">
        <is>
          <t>PT. MENSA BINASUKSES - PPN (PDG)</t>
        </is>
      </c>
      <c r="AI1672" t="n">
        <v>75</v>
      </c>
      <c r="AJ1672" t="inlineStr">
        <is>
          <t>GARNIER</t>
        </is>
      </c>
      <c r="AK1672" t="n">
        <v>21</v>
      </c>
      <c r="AL1672" t="inlineStr">
        <is>
          <t>Miss Glam Damar</t>
        </is>
      </c>
      <c r="AM1672" t="n">
        <v>3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GARNIER</t>
        </is>
      </c>
      <c r="B1673" s="2">
        <f>"8994993025183"</f>
        <v/>
      </c>
      <c r="C1673" t="inlineStr">
        <is>
          <t>GARNIER Sakura Glow Ceramide Water Gel 20ml</t>
        </is>
      </c>
      <c r="D1673" t="inlineStr">
        <is>
          <t>Miss Glam Damar</t>
        </is>
      </c>
      <c r="E1673" t="n">
        <v>10</v>
      </c>
      <c r="F1673" t="n">
        <v>0.09100000000000001</v>
      </c>
      <c r="G1673" t="n">
        <v>1.82</v>
      </c>
      <c r="H1673" t="n">
        <v>3</v>
      </c>
      <c r="I1673" t="n">
        <v>14</v>
      </c>
      <c r="J1673" t="n">
        <v>3</v>
      </c>
      <c r="K1673" t="n">
        <v>0</v>
      </c>
      <c r="L1673" t="n">
        <v>26788</v>
      </c>
      <c r="M1673" t="n">
        <v>32000</v>
      </c>
      <c r="N1673" t="n">
        <v>91</v>
      </c>
      <c r="O1673" t="n">
        <v>0.91</v>
      </c>
      <c r="P1673" t="n">
        <v>1</v>
      </c>
      <c r="Q1673" t="n">
        <v>0.07000000000000001</v>
      </c>
      <c r="R1673" t="n">
        <v>1</v>
      </c>
      <c r="S1673" t="n">
        <v>2912</v>
      </c>
      <c r="T1673" t="n">
        <v>26</v>
      </c>
      <c r="U1673" t="n">
        <v>27</v>
      </c>
      <c r="V1673" t="n">
        <v>30</v>
      </c>
      <c r="W1673" t="n">
        <v>3</v>
      </c>
      <c r="X1673" t="n">
        <v>109.8901098901099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10984</v>
      </c>
      <c r="AG1673" t="n">
        <v>33</v>
      </c>
      <c r="AH1673" t="inlineStr">
        <is>
          <t>PT. MENSA BINASUKSES - PPN (PDG)</t>
        </is>
      </c>
      <c r="AI1673" t="n">
        <v>75</v>
      </c>
      <c r="AJ1673" t="inlineStr">
        <is>
          <t>GARNIER</t>
        </is>
      </c>
      <c r="AK1673" t="n">
        <v>21</v>
      </c>
      <c r="AL1673" t="inlineStr">
        <is>
          <t>Miss Glam Damar</t>
        </is>
      </c>
      <c r="AM1673" t="n">
        <v>3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GARNIER</t>
        </is>
      </c>
      <c r="B1674" s="2">
        <f>"8994993025107"</f>
        <v/>
      </c>
      <c r="C1674" t="inlineStr">
        <is>
          <t>GARNIER Sakura Glow Ceramide Water Gel 50ml</t>
        </is>
      </c>
      <c r="D1674" t="inlineStr">
        <is>
          <t>Miss Glam Damar</t>
        </is>
      </c>
      <c r="E1674" t="n">
        <v>5</v>
      </c>
      <c r="F1674" t="n">
        <v>0.04550000000000001</v>
      </c>
      <c r="G1674" t="n">
        <v>0.91</v>
      </c>
      <c r="H1674" t="n">
        <v>3</v>
      </c>
      <c r="I1674" t="n">
        <v>14</v>
      </c>
      <c r="J1674" t="n">
        <v>3</v>
      </c>
      <c r="K1674" t="n">
        <v>0</v>
      </c>
      <c r="L1674" t="n">
        <v>71178</v>
      </c>
      <c r="M1674" t="n">
        <v>83000</v>
      </c>
      <c r="N1674" t="n">
        <v>91</v>
      </c>
      <c r="O1674" t="n">
        <v>0.91</v>
      </c>
      <c r="P1674" t="n">
        <v>1</v>
      </c>
      <c r="Q1674" t="n">
        <v>0.03</v>
      </c>
      <c r="R1674" t="n">
        <v>1</v>
      </c>
      <c r="S1674" t="n">
        <v>3776.5</v>
      </c>
      <c r="T1674" t="n">
        <v>13</v>
      </c>
      <c r="U1674" t="n">
        <v>14</v>
      </c>
      <c r="V1674" t="n">
        <v>30</v>
      </c>
      <c r="W1674" t="n">
        <v>2</v>
      </c>
      <c r="X1674" t="n">
        <v>109.8901098901099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10984</v>
      </c>
      <c r="AG1674" t="n">
        <v>33</v>
      </c>
      <c r="AH1674" t="inlineStr">
        <is>
          <t>PT. MENSA BINASUKSES - PPN (PDG)</t>
        </is>
      </c>
      <c r="AI1674" t="n">
        <v>75</v>
      </c>
      <c r="AJ1674" t="inlineStr">
        <is>
          <t>GARNIER</t>
        </is>
      </c>
      <c r="AK1674" t="n">
        <v>21</v>
      </c>
      <c r="AL1674" t="inlineStr">
        <is>
          <t>Miss Glam Damar</t>
        </is>
      </c>
      <c r="AM1674" t="n">
        <v>3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GARNIER</t>
        </is>
      </c>
      <c r="B1675" s="2">
        <f>"8994993013524"</f>
        <v/>
      </c>
      <c r="C1675" t="inlineStr">
        <is>
          <t>GARNIER Sakura White Hyaluron 30x Booster Serum 15ml</t>
        </is>
      </c>
      <c r="D1675" t="inlineStr">
        <is>
          <t>Miss Glam Damar</t>
        </is>
      </c>
      <c r="E1675" t="n">
        <v>2</v>
      </c>
      <c r="F1675" t="n">
        <v>0.0182</v>
      </c>
      <c r="G1675" t="n">
        <v>0.91</v>
      </c>
      <c r="H1675" t="n">
        <v>3</v>
      </c>
      <c r="I1675" t="n">
        <v>14</v>
      </c>
      <c r="J1675" t="n">
        <v>3</v>
      </c>
      <c r="K1675" t="n">
        <v>0</v>
      </c>
      <c r="L1675" t="n">
        <v>71890</v>
      </c>
      <c r="M1675" t="n">
        <v>85500</v>
      </c>
      <c r="N1675" t="n">
        <v>91</v>
      </c>
      <c r="O1675" t="n">
        <v>0.91</v>
      </c>
      <c r="P1675" t="n">
        <v>1</v>
      </c>
      <c r="Q1675" t="n">
        <v>0.02</v>
      </c>
      <c r="R1675" t="n">
        <v>1</v>
      </c>
      <c r="S1675" t="n">
        <v>1556.1</v>
      </c>
      <c r="T1675" t="n">
        <v>13</v>
      </c>
      <c r="U1675" t="n">
        <v>14</v>
      </c>
      <c r="V1675" t="n">
        <v>30</v>
      </c>
      <c r="W1675" t="n">
        <v>1</v>
      </c>
      <c r="X1675" t="n">
        <v>109.8901098901099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10984</v>
      </c>
      <c r="AG1675" t="n">
        <v>33</v>
      </c>
      <c r="AH1675" t="inlineStr">
        <is>
          <t>PT. MENSA BINASUKSES - PPN (PDG)</t>
        </is>
      </c>
      <c r="AI1675" t="n">
        <v>75</v>
      </c>
      <c r="AJ1675" t="inlineStr">
        <is>
          <t>GARNIER</t>
        </is>
      </c>
      <c r="AK1675" t="n">
        <v>21</v>
      </c>
      <c r="AL1675" t="inlineStr">
        <is>
          <t>Miss Glam Damar</t>
        </is>
      </c>
      <c r="AM1675" t="n">
        <v>3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GARNIER</t>
        </is>
      </c>
      <c r="B1676" s="2">
        <f>"8992304047152"</f>
        <v/>
      </c>
      <c r="C1676" t="inlineStr">
        <is>
          <t>GARNIER Sakura White Pinkish Glow Cleanser Facial Foam 100ml</t>
        </is>
      </c>
      <c r="D1676" t="inlineStr">
        <is>
          <t>Miss Glam Damar</t>
        </is>
      </c>
      <c r="E1676" t="n">
        <v>16</v>
      </c>
      <c r="F1676" t="n">
        <v>0.6461</v>
      </c>
      <c r="G1676" t="n">
        <v>3.64</v>
      </c>
      <c r="H1676" t="n">
        <v>3</v>
      </c>
      <c r="I1676" t="n">
        <v>14</v>
      </c>
      <c r="J1676" t="n">
        <v>3</v>
      </c>
      <c r="K1676" t="n">
        <v>0</v>
      </c>
      <c r="L1676" t="n">
        <v>27650</v>
      </c>
      <c r="M1676" t="n">
        <v>33000</v>
      </c>
      <c r="N1676" t="n">
        <v>91</v>
      </c>
      <c r="O1676" t="n">
        <v>0.91</v>
      </c>
      <c r="P1676" t="n">
        <v>1</v>
      </c>
      <c r="Q1676" t="n">
        <v>0.34</v>
      </c>
      <c r="R1676" t="n">
        <v>3</v>
      </c>
      <c r="S1676" t="n">
        <v>21321.3</v>
      </c>
      <c r="T1676" t="n">
        <v>50</v>
      </c>
      <c r="U1676" t="n">
        <v>52</v>
      </c>
      <c r="V1676" t="n">
        <v>30</v>
      </c>
      <c r="W1676" t="n">
        <v>20</v>
      </c>
      <c r="X1676" t="n">
        <v>24.76396842594026</v>
      </c>
      <c r="Y1676" t="n">
        <v>1</v>
      </c>
      <c r="Z1676" t="n">
        <v>4</v>
      </c>
      <c r="AA1676" t="n">
        <v>0</v>
      </c>
      <c r="AB1676" t="n">
        <v>4</v>
      </c>
      <c r="AC1676" t="n">
        <v>4</v>
      </c>
      <c r="AD1676" t="n">
        <v>0</v>
      </c>
      <c r="AE1676" t="n">
        <v>110600</v>
      </c>
      <c r="AF1676" t="n">
        <v>10984</v>
      </c>
      <c r="AG1676" t="n">
        <v>33</v>
      </c>
      <c r="AH1676" t="inlineStr">
        <is>
          <t>PT. MENSA BINASUKSES - PPN (PDG)</t>
        </is>
      </c>
      <c r="AI1676" t="n">
        <v>75</v>
      </c>
      <c r="AJ1676" t="inlineStr">
        <is>
          <t>GARNIER</t>
        </is>
      </c>
      <c r="AK1676" t="n">
        <v>21</v>
      </c>
      <c r="AL1676" t="inlineStr">
        <is>
          <t>Miss Glam Damar</t>
        </is>
      </c>
      <c r="AM1676" t="n">
        <v>3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GARNIER</t>
        </is>
      </c>
      <c r="B1677" s="2">
        <f>"8992304046940"</f>
        <v/>
      </c>
      <c r="C1677" t="inlineStr">
        <is>
          <t>GARNIER Sakura White Pinkish Glow Sleeping Mask 20ml</t>
        </is>
      </c>
      <c r="D1677" t="inlineStr">
        <is>
          <t>Miss Glam Damar</t>
        </is>
      </c>
      <c r="E1677" t="n">
        <v>3</v>
      </c>
      <c r="F1677" t="n">
        <v>0.0728</v>
      </c>
      <c r="G1677" t="n">
        <v>0.91</v>
      </c>
      <c r="H1677" t="n">
        <v>3</v>
      </c>
      <c r="I1677" t="n">
        <v>14</v>
      </c>
      <c r="J1677" t="n">
        <v>3</v>
      </c>
      <c r="K1677" t="n">
        <v>0</v>
      </c>
      <c r="L1677" t="n">
        <v>30059</v>
      </c>
      <c r="M1677" t="n">
        <v>33000</v>
      </c>
      <c r="N1677" t="n">
        <v>91</v>
      </c>
      <c r="O1677" t="n">
        <v>0.91</v>
      </c>
      <c r="P1677" t="n">
        <v>1</v>
      </c>
      <c r="Q1677" t="n">
        <v>0.05</v>
      </c>
      <c r="R1677" t="n">
        <v>1</v>
      </c>
      <c r="S1677" t="n">
        <v>2402.4</v>
      </c>
      <c r="T1677" t="n">
        <v>13</v>
      </c>
      <c r="U1677" t="n">
        <v>14</v>
      </c>
      <c r="V1677" t="n">
        <v>30</v>
      </c>
      <c r="W1677" t="n">
        <v>3</v>
      </c>
      <c r="X1677" t="n">
        <v>41.2087912087912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10984</v>
      </c>
      <c r="AG1677" t="n">
        <v>33</v>
      </c>
      <c r="AH1677" t="inlineStr">
        <is>
          <t>PT. MENSA BINASUKSES - PPN (PDG)</t>
        </is>
      </c>
      <c r="AI1677" t="n">
        <v>75</v>
      </c>
      <c r="AJ1677" t="inlineStr">
        <is>
          <t>GARNIER</t>
        </is>
      </c>
      <c r="AK1677" t="n">
        <v>21</v>
      </c>
      <c r="AL1677" t="inlineStr">
        <is>
          <t>Miss Glam Damar</t>
        </is>
      </c>
      <c r="AM1677" t="n">
        <v>3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GARNIER</t>
        </is>
      </c>
      <c r="B1678" s="2">
        <f>"8992304046933"</f>
        <v/>
      </c>
      <c r="C1678" t="inlineStr">
        <is>
          <t>GARNIER Sakura White Pinkish Glow Sleeping Mask 50ml</t>
        </is>
      </c>
      <c r="D1678" t="inlineStr">
        <is>
          <t>Miss Glam Damar</t>
        </is>
      </c>
      <c r="E1678" t="n">
        <v>2</v>
      </c>
      <c r="F1678" t="n">
        <v>0.06370000000000001</v>
      </c>
      <c r="G1678" t="n">
        <v>0.91</v>
      </c>
      <c r="H1678" t="n">
        <v>3</v>
      </c>
      <c r="I1678" t="n">
        <v>14</v>
      </c>
      <c r="J1678" t="n">
        <v>3</v>
      </c>
      <c r="K1678" t="n">
        <v>0</v>
      </c>
      <c r="L1678" t="n">
        <v>70210</v>
      </c>
      <c r="M1678" t="n">
        <v>98000</v>
      </c>
      <c r="N1678" t="n">
        <v>91</v>
      </c>
      <c r="O1678" t="n">
        <v>0.91</v>
      </c>
      <c r="P1678" t="n">
        <v>1</v>
      </c>
      <c r="Q1678" t="n">
        <v>0.03</v>
      </c>
      <c r="R1678" t="n">
        <v>1</v>
      </c>
      <c r="S1678" t="n">
        <v>6242.6</v>
      </c>
      <c r="T1678" t="n">
        <v>13</v>
      </c>
      <c r="U1678" t="n">
        <v>14</v>
      </c>
      <c r="V1678" t="n">
        <v>30</v>
      </c>
      <c r="W1678" t="n">
        <v>2</v>
      </c>
      <c r="X1678" t="n">
        <v>31.39717425431711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10984</v>
      </c>
      <c r="AG1678" t="n">
        <v>33</v>
      </c>
      <c r="AH1678" t="inlineStr">
        <is>
          <t>PT. MENSA BINASUKSES - PPN (PDG)</t>
        </is>
      </c>
      <c r="AI1678" t="n">
        <v>75</v>
      </c>
      <c r="AJ1678" t="inlineStr">
        <is>
          <t>GARNIER</t>
        </is>
      </c>
      <c r="AK1678" t="n">
        <v>21</v>
      </c>
      <c r="AL1678" t="inlineStr">
        <is>
          <t>Miss Glam Damar</t>
        </is>
      </c>
      <c r="AM1678" t="n">
        <v>3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GARNIER</t>
        </is>
      </c>
      <c r="B1679" s="2">
        <f>"8994993009534"</f>
        <v/>
      </c>
      <c r="C1679" t="inlineStr">
        <is>
          <t>GARNIER Sakura White Pinkish Glow Whip Foam 100ml</t>
        </is>
      </c>
      <c r="D1679" t="inlineStr">
        <is>
          <t>Miss Glam Damar</t>
        </is>
      </c>
      <c r="E1679" t="n">
        <v>9</v>
      </c>
      <c r="F1679" t="n">
        <v>0.2912</v>
      </c>
      <c r="G1679" t="n">
        <v>1.82</v>
      </c>
      <c r="H1679" t="n">
        <v>3</v>
      </c>
      <c r="I1679" t="n">
        <v>14</v>
      </c>
      <c r="J1679" t="n">
        <v>3</v>
      </c>
      <c r="K1679" t="n">
        <v>0</v>
      </c>
      <c r="L1679" t="n">
        <v>29412</v>
      </c>
      <c r="M1679" t="n">
        <v>37000</v>
      </c>
      <c r="N1679" t="n">
        <v>91</v>
      </c>
      <c r="O1679" t="n">
        <v>0.91</v>
      </c>
      <c r="P1679" t="n">
        <v>1</v>
      </c>
      <c r="Q1679" t="n">
        <v>0.2</v>
      </c>
      <c r="R1679" t="n">
        <v>1</v>
      </c>
      <c r="S1679" t="n">
        <v>10774.4</v>
      </c>
      <c r="T1679" t="n">
        <v>25</v>
      </c>
      <c r="U1679" t="n">
        <v>26</v>
      </c>
      <c r="V1679" t="n">
        <v>30</v>
      </c>
      <c r="W1679" t="n">
        <v>9</v>
      </c>
      <c r="X1679" t="n">
        <v>30.90659340659341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10984</v>
      </c>
      <c r="AG1679" t="n">
        <v>33</v>
      </c>
      <c r="AH1679" t="inlineStr">
        <is>
          <t>PT. MENSA BINASUKSES - PPN (PDG)</t>
        </is>
      </c>
      <c r="AI1679" t="n">
        <v>75</v>
      </c>
      <c r="AJ1679" t="inlineStr">
        <is>
          <t>GARNIER</t>
        </is>
      </c>
      <c r="AK1679" t="n">
        <v>21</v>
      </c>
      <c r="AL1679" t="inlineStr">
        <is>
          <t>Miss Glam Damar</t>
        </is>
      </c>
      <c r="AM1679" t="n">
        <v>3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GARNIER</t>
        </is>
      </c>
      <c r="B1680" s="2">
        <f>"8992304082009"</f>
        <v/>
      </c>
      <c r="C1680" t="inlineStr">
        <is>
          <t>GARNIER Sakura White Pinkish Glow Whip Foam 50ml</t>
        </is>
      </c>
      <c r="D1680" t="inlineStr">
        <is>
          <t>Miss Glam Damar</t>
        </is>
      </c>
      <c r="E1680" t="n">
        <v>8</v>
      </c>
      <c r="F1680" t="n">
        <v>0.09100000000000001</v>
      </c>
      <c r="G1680" t="n">
        <v>0.91</v>
      </c>
      <c r="H1680" t="n">
        <v>3</v>
      </c>
      <c r="I1680" t="n">
        <v>14</v>
      </c>
      <c r="J1680" t="n">
        <v>3</v>
      </c>
      <c r="K1680" t="n">
        <v>0</v>
      </c>
      <c r="L1680" t="n">
        <v>23106</v>
      </c>
      <c r="M1680" t="n">
        <v>28000</v>
      </c>
      <c r="N1680" t="n">
        <v>91</v>
      </c>
      <c r="O1680" t="n">
        <v>0.91</v>
      </c>
      <c r="P1680" t="n">
        <v>1</v>
      </c>
      <c r="Q1680" t="n">
        <v>0.08</v>
      </c>
      <c r="R1680" t="n">
        <v>1</v>
      </c>
      <c r="S1680" t="n">
        <v>2548</v>
      </c>
      <c r="T1680" t="n">
        <v>13</v>
      </c>
      <c r="U1680" t="n">
        <v>14</v>
      </c>
      <c r="V1680" t="n">
        <v>30</v>
      </c>
      <c r="W1680" t="n">
        <v>3</v>
      </c>
      <c r="X1680" t="n">
        <v>87.9120879120879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10984</v>
      </c>
      <c r="AG1680" t="n">
        <v>33</v>
      </c>
      <c r="AH1680" t="inlineStr">
        <is>
          <t>PT. MENSA BINASUKSES - PPN (PDG)</t>
        </is>
      </c>
      <c r="AI1680" t="n">
        <v>75</v>
      </c>
      <c r="AJ1680" t="inlineStr">
        <is>
          <t>GARNIER</t>
        </is>
      </c>
      <c r="AK1680" t="n">
        <v>21</v>
      </c>
      <c r="AL1680" t="inlineStr">
        <is>
          <t>Miss Glam Damar</t>
        </is>
      </c>
      <c r="AM1680" t="n">
        <v>3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GARNIER</t>
        </is>
      </c>
      <c r="B1681" s="2">
        <f>"8992304047169"</f>
        <v/>
      </c>
      <c r="C1681" t="inlineStr">
        <is>
          <t>GARNIER Sakura White Pinkish Glow Whip Foam 50ml</t>
        </is>
      </c>
      <c r="D1681" t="inlineStr">
        <is>
          <t>Miss Glam Damar</t>
        </is>
      </c>
      <c r="E1681" t="n">
        <v>5</v>
      </c>
      <c r="F1681" t="n">
        <v>0.4459</v>
      </c>
      <c r="G1681" t="n">
        <v>1.82</v>
      </c>
      <c r="H1681" t="n">
        <v>3</v>
      </c>
      <c r="I1681" t="n">
        <v>14</v>
      </c>
      <c r="J1681" t="n">
        <v>3</v>
      </c>
      <c r="K1681" t="n">
        <v>0</v>
      </c>
      <c r="L1681" t="n">
        <v>18989</v>
      </c>
      <c r="M1681" t="n">
        <v>22000</v>
      </c>
      <c r="N1681" t="n">
        <v>91</v>
      </c>
      <c r="O1681" t="n">
        <v>0.91</v>
      </c>
      <c r="P1681" t="n">
        <v>1</v>
      </c>
      <c r="Q1681" t="n">
        <v>0.34</v>
      </c>
      <c r="R1681" t="n">
        <v>2</v>
      </c>
      <c r="S1681" t="n">
        <v>9809.800000000001</v>
      </c>
      <c r="T1681" t="n">
        <v>25</v>
      </c>
      <c r="U1681" t="n">
        <v>27</v>
      </c>
      <c r="V1681" t="n">
        <v>30</v>
      </c>
      <c r="W1681" t="n">
        <v>14</v>
      </c>
      <c r="X1681" t="n">
        <v>11.21327651939897</v>
      </c>
      <c r="Y1681" t="n">
        <v>1</v>
      </c>
      <c r="Z1681" t="n">
        <v>9</v>
      </c>
      <c r="AA1681" t="n">
        <v>2</v>
      </c>
      <c r="AB1681" t="n">
        <v>7</v>
      </c>
      <c r="AC1681" t="n">
        <v>7</v>
      </c>
      <c r="AD1681" t="n">
        <v>37978</v>
      </c>
      <c r="AE1681" t="n">
        <v>132923</v>
      </c>
      <c r="AF1681" t="n">
        <v>10984</v>
      </c>
      <c r="AG1681" t="n">
        <v>33</v>
      </c>
      <c r="AH1681" t="inlineStr">
        <is>
          <t>PT. MENSA BINASUKSES - PPN (PDG)</t>
        </is>
      </c>
      <c r="AI1681" t="n">
        <v>75</v>
      </c>
      <c r="AJ1681" t="inlineStr">
        <is>
          <t>GARNIER</t>
        </is>
      </c>
      <c r="AK1681" t="n">
        <v>21</v>
      </c>
      <c r="AL1681" t="inlineStr">
        <is>
          <t>Miss Glam Damar</t>
        </is>
      </c>
      <c r="AM1681" t="n">
        <v>3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GARNIER</t>
        </is>
      </c>
      <c r="B1682" s="2">
        <f>"8992304047190"</f>
        <v/>
      </c>
      <c r="C1682" t="inlineStr">
        <is>
          <t>GARNIER Sakura White Whitening Serum Cream 20ml</t>
        </is>
      </c>
      <c r="D1682" t="inlineStr">
        <is>
          <t>Miss Glam Damar</t>
        </is>
      </c>
      <c r="E1682" t="n">
        <v>4</v>
      </c>
      <c r="F1682" t="n">
        <v>0.19</v>
      </c>
      <c r="G1682" t="n">
        <v>2</v>
      </c>
      <c r="H1682" t="n">
        <v>3</v>
      </c>
      <c r="I1682" t="n">
        <v>14</v>
      </c>
      <c r="J1682" t="n">
        <v>3</v>
      </c>
      <c r="K1682" t="n">
        <v>0</v>
      </c>
      <c r="L1682" t="n">
        <v>24051</v>
      </c>
      <c r="M1682" t="n">
        <v>29000</v>
      </c>
      <c r="N1682" t="n">
        <v>91</v>
      </c>
      <c r="O1682" t="n">
        <v>0.91</v>
      </c>
      <c r="P1682" t="n">
        <v>0</v>
      </c>
      <c r="Q1682" t="n">
        <v>0.19</v>
      </c>
      <c r="R1682" t="n">
        <v>2</v>
      </c>
      <c r="S1682" t="n">
        <v>5510</v>
      </c>
      <c r="T1682" t="n">
        <v>28</v>
      </c>
      <c r="U1682" t="n">
        <v>29</v>
      </c>
      <c r="V1682" t="n">
        <v>30</v>
      </c>
      <c r="W1682" t="n">
        <v>6</v>
      </c>
      <c r="X1682" t="n">
        <v>21.05263157894737</v>
      </c>
      <c r="Y1682" t="n">
        <v>1</v>
      </c>
      <c r="Z1682" t="n">
        <v>2</v>
      </c>
      <c r="AA1682" t="n">
        <v>0</v>
      </c>
      <c r="AB1682" t="n">
        <v>2</v>
      </c>
      <c r="AC1682" t="n">
        <v>3</v>
      </c>
      <c r="AD1682" t="n">
        <v>0</v>
      </c>
      <c r="AE1682" t="n">
        <v>72153</v>
      </c>
      <c r="AF1682" t="n">
        <v>10984</v>
      </c>
      <c r="AG1682" t="n">
        <v>33</v>
      </c>
      <c r="AH1682" t="inlineStr">
        <is>
          <t>PT. MENSA BINASUKSES - PPN (PDG)</t>
        </is>
      </c>
      <c r="AI1682" t="n">
        <v>75</v>
      </c>
      <c r="AJ1682" t="inlineStr">
        <is>
          <t>GARNIER</t>
        </is>
      </c>
      <c r="AK1682" t="n">
        <v>21</v>
      </c>
      <c r="AL1682" t="inlineStr">
        <is>
          <t>Miss Glam Damar</t>
        </is>
      </c>
      <c r="AM1682" t="n">
        <v>3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GARNIER</t>
        </is>
      </c>
      <c r="B1683" s="2">
        <f>"8992304033872"</f>
        <v/>
      </c>
      <c r="C1683" t="inlineStr">
        <is>
          <t>GARNIER Sakura White Whitening Serum Cream Spf 30 50ml</t>
        </is>
      </c>
      <c r="D1683" t="inlineStr">
        <is>
          <t>Miss Glam Damar</t>
        </is>
      </c>
      <c r="E1683" t="n">
        <v>9</v>
      </c>
      <c r="F1683" t="n">
        <v>0.1092</v>
      </c>
      <c r="G1683" t="n">
        <v>1.82</v>
      </c>
      <c r="H1683" t="n">
        <v>3</v>
      </c>
      <c r="I1683" t="n">
        <v>14</v>
      </c>
      <c r="J1683" t="n">
        <v>3</v>
      </c>
      <c r="K1683" t="n">
        <v>0</v>
      </c>
      <c r="L1683" t="n">
        <v>72861</v>
      </c>
      <c r="M1683" t="n">
        <v>79000</v>
      </c>
      <c r="N1683" t="n">
        <v>91</v>
      </c>
      <c r="O1683" t="n">
        <v>0.91</v>
      </c>
      <c r="P1683" t="n">
        <v>1</v>
      </c>
      <c r="Q1683" t="n">
        <v>0.12</v>
      </c>
      <c r="R1683" t="n">
        <v>1</v>
      </c>
      <c r="S1683" t="n">
        <v>8626.800000000001</v>
      </c>
      <c r="T1683" t="n">
        <v>26</v>
      </c>
      <c r="U1683" t="n">
        <v>27</v>
      </c>
      <c r="V1683" t="n">
        <v>30</v>
      </c>
      <c r="W1683" t="n">
        <v>4</v>
      </c>
      <c r="X1683" t="n">
        <v>82.41758241758241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10984</v>
      </c>
      <c r="AG1683" t="n">
        <v>33</v>
      </c>
      <c r="AH1683" t="inlineStr">
        <is>
          <t>PT. MENSA BINASUKSES - PPN (PDG)</t>
        </is>
      </c>
      <c r="AI1683" t="n">
        <v>75</v>
      </c>
      <c r="AJ1683" t="inlineStr">
        <is>
          <t>GARNIER</t>
        </is>
      </c>
      <c r="AK1683" t="n">
        <v>21</v>
      </c>
      <c r="AL1683" t="inlineStr">
        <is>
          <t>Miss Glam Damar</t>
        </is>
      </c>
      <c r="AM1683" t="n">
        <v>3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GARNIER</t>
        </is>
      </c>
      <c r="B1684" s="2">
        <f>"8994993003662"</f>
        <v/>
      </c>
      <c r="C1684" t="inlineStr">
        <is>
          <t>GARNIER Sakura White Whitening Serum Day Cream SPF30 20ml</t>
        </is>
      </c>
      <c r="D1684" t="inlineStr">
        <is>
          <t>Miss Glam Damar</t>
        </is>
      </c>
      <c r="E1684" t="n">
        <v>12</v>
      </c>
      <c r="F1684" t="n">
        <v>0.2002</v>
      </c>
      <c r="G1684" t="n">
        <v>1.82</v>
      </c>
      <c r="H1684" t="n">
        <v>3</v>
      </c>
      <c r="I1684" t="n">
        <v>14</v>
      </c>
      <c r="J1684" t="n">
        <v>3</v>
      </c>
      <c r="K1684" t="n">
        <v>0</v>
      </c>
      <c r="L1684" t="n">
        <v>30699</v>
      </c>
      <c r="M1684" t="n">
        <v>33000</v>
      </c>
      <c r="N1684" t="n">
        <v>91</v>
      </c>
      <c r="O1684" t="n">
        <v>0.91</v>
      </c>
      <c r="P1684" t="n">
        <v>1</v>
      </c>
      <c r="Q1684" t="n">
        <v>0.24</v>
      </c>
      <c r="R1684" t="n">
        <v>2</v>
      </c>
      <c r="S1684" t="n">
        <v>6606.6</v>
      </c>
      <c r="T1684" t="n">
        <v>25</v>
      </c>
      <c r="U1684" t="n">
        <v>26</v>
      </c>
      <c r="V1684" t="n">
        <v>30</v>
      </c>
      <c r="W1684" t="n">
        <v>7</v>
      </c>
      <c r="X1684" t="n">
        <v>59.94005994005993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10984</v>
      </c>
      <c r="AG1684" t="n">
        <v>33</v>
      </c>
      <c r="AH1684" t="inlineStr">
        <is>
          <t>PT. MENSA BINASUKSES - PPN (PDG)</t>
        </is>
      </c>
      <c r="AI1684" t="n">
        <v>75</v>
      </c>
      <c r="AJ1684" t="inlineStr">
        <is>
          <t>GARNIER</t>
        </is>
      </c>
      <c r="AK1684" t="n">
        <v>21</v>
      </c>
      <c r="AL1684" t="inlineStr">
        <is>
          <t>Miss Glam Damar</t>
        </is>
      </c>
      <c r="AM1684" t="n">
        <v>3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GARNIER</t>
        </is>
      </c>
      <c r="B1685" s="2">
        <f>"8991380700609"</f>
        <v/>
      </c>
      <c r="C1685" t="inlineStr">
        <is>
          <t>GARNIER Skin Naturals Bright Complete Scrub 100ml</t>
        </is>
      </c>
      <c r="D1685" t="inlineStr">
        <is>
          <t>Miss Glam Damar</t>
        </is>
      </c>
      <c r="E1685" t="n">
        <v>9</v>
      </c>
      <c r="F1685" t="n">
        <v>0.6643</v>
      </c>
      <c r="G1685" t="n">
        <v>2.73</v>
      </c>
      <c r="H1685" t="n">
        <v>3</v>
      </c>
      <c r="I1685" t="n">
        <v>14</v>
      </c>
      <c r="J1685" t="n">
        <v>3</v>
      </c>
      <c r="K1685" t="n">
        <v>0</v>
      </c>
      <c r="L1685" t="n">
        <v>29855</v>
      </c>
      <c r="M1685" t="n">
        <v>33000</v>
      </c>
      <c r="N1685" t="n">
        <v>91</v>
      </c>
      <c r="O1685" t="n">
        <v>0.91</v>
      </c>
      <c r="P1685" t="n">
        <v>1</v>
      </c>
      <c r="Q1685" t="n">
        <v>0.61</v>
      </c>
      <c r="R1685" t="n">
        <v>2</v>
      </c>
      <c r="S1685" t="n">
        <v>21921.9</v>
      </c>
      <c r="T1685" t="n">
        <v>37</v>
      </c>
      <c r="U1685" t="n">
        <v>39</v>
      </c>
      <c r="V1685" t="n">
        <v>30</v>
      </c>
      <c r="W1685" t="n">
        <v>20</v>
      </c>
      <c r="X1685" t="n">
        <v>13.54809573987656</v>
      </c>
      <c r="Y1685" t="n">
        <v>1</v>
      </c>
      <c r="Z1685" t="n">
        <v>11</v>
      </c>
      <c r="AA1685" t="n">
        <v>1</v>
      </c>
      <c r="AB1685" t="n">
        <v>10</v>
      </c>
      <c r="AC1685" t="n">
        <v>10</v>
      </c>
      <c r="AD1685" t="n">
        <v>29855</v>
      </c>
      <c r="AE1685" t="n">
        <v>298550</v>
      </c>
      <c r="AF1685" t="n">
        <v>10984</v>
      </c>
      <c r="AG1685" t="n">
        <v>33</v>
      </c>
      <c r="AH1685" t="inlineStr">
        <is>
          <t>PT. MENSA BINASUKSES - PPN (PDG)</t>
        </is>
      </c>
      <c r="AI1685" t="n">
        <v>75</v>
      </c>
      <c r="AJ1685" t="inlineStr">
        <is>
          <t>GARNIER</t>
        </is>
      </c>
      <c r="AK1685" t="n">
        <v>21</v>
      </c>
      <c r="AL1685" t="inlineStr">
        <is>
          <t>Miss Glam Damar</t>
        </is>
      </c>
      <c r="AM1685" t="n">
        <v>3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GARNIER</t>
        </is>
      </c>
      <c r="B1686" s="2">
        <f>"10400616242"</f>
        <v/>
      </c>
      <c r="C1686" t="inlineStr">
        <is>
          <t>GARNIER Super Uv Cooling Gel Spf 35 20ml</t>
        </is>
      </c>
      <c r="D1686" t="inlineStr">
        <is>
          <t>Miss Glam Damar</t>
        </is>
      </c>
      <c r="E1686" t="n">
        <v>4</v>
      </c>
      <c r="F1686" t="n">
        <v>0.1547</v>
      </c>
      <c r="G1686" t="n">
        <v>0.91</v>
      </c>
      <c r="H1686" t="n">
        <v>3</v>
      </c>
      <c r="I1686" t="n">
        <v>14</v>
      </c>
      <c r="J1686" t="n">
        <v>1</v>
      </c>
      <c r="K1686" t="n">
        <v>0</v>
      </c>
      <c r="L1686" t="n">
        <v>30229</v>
      </c>
      <c r="M1686" t="n">
        <v>35000</v>
      </c>
      <c r="N1686" t="n">
        <v>91</v>
      </c>
      <c r="O1686" t="n">
        <v>0.91</v>
      </c>
      <c r="P1686" t="n">
        <v>1</v>
      </c>
      <c r="Q1686" t="n">
        <v>0.22</v>
      </c>
      <c r="R1686" t="n">
        <v>1</v>
      </c>
      <c r="S1686" t="n">
        <v>5414.5</v>
      </c>
      <c r="T1686" t="n">
        <v>13</v>
      </c>
      <c r="U1686" t="n">
        <v>14</v>
      </c>
      <c r="V1686" t="n">
        <v>30</v>
      </c>
      <c r="W1686" t="n">
        <v>5</v>
      </c>
      <c r="X1686" t="n">
        <v>25.85649644473174</v>
      </c>
      <c r="Y1686" t="n">
        <v>1</v>
      </c>
      <c r="Z1686" t="n">
        <v>1</v>
      </c>
      <c r="AA1686" t="n">
        <v>0</v>
      </c>
      <c r="AB1686" t="n">
        <v>1</v>
      </c>
      <c r="AC1686" t="n">
        <v>1</v>
      </c>
      <c r="AD1686" t="n">
        <v>0</v>
      </c>
      <c r="AE1686" t="n">
        <v>30229</v>
      </c>
      <c r="AF1686" t="n">
        <v>10984</v>
      </c>
      <c r="AG1686" t="n">
        <v>33</v>
      </c>
      <c r="AH1686" t="inlineStr">
        <is>
          <t>PT. MENSA BINASUKSES - PPN (PDG)</t>
        </is>
      </c>
      <c r="AI1686" t="n">
        <v>75</v>
      </c>
      <c r="AJ1686" t="inlineStr">
        <is>
          <t>GARNIER</t>
        </is>
      </c>
      <c r="AK1686" t="n">
        <v>21</v>
      </c>
      <c r="AL1686" t="inlineStr">
        <is>
          <t>Miss Glam Damar</t>
        </is>
      </c>
      <c r="AM1686" t="n">
        <v>3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GARNIER MEN</t>
        </is>
      </c>
      <c r="B1687" s="2">
        <f>"8992304016967"</f>
        <v/>
      </c>
      <c r="C1687" t="inlineStr">
        <is>
          <t>GARNIER MEN Acno Fight Anti Acne Scrub In Foam Salicylid Acid + Herba Repair 50ml</t>
        </is>
      </c>
      <c r="D1687" t="inlineStr">
        <is>
          <t>Miss Glam Damar</t>
        </is>
      </c>
      <c r="E1687" t="n">
        <v>2</v>
      </c>
      <c r="F1687" t="n">
        <v>0.1729</v>
      </c>
      <c r="G1687" t="n">
        <v>1.82</v>
      </c>
      <c r="H1687" t="n">
        <v>3</v>
      </c>
      <c r="I1687" t="n">
        <v>14</v>
      </c>
      <c r="J1687" t="n">
        <v>3</v>
      </c>
      <c r="K1687" t="n">
        <v>0</v>
      </c>
      <c r="L1687" t="n">
        <v>22259</v>
      </c>
      <c r="M1687" t="n">
        <v>26500</v>
      </c>
      <c r="N1687" t="n">
        <v>91</v>
      </c>
      <c r="O1687" t="n">
        <v>0.91</v>
      </c>
      <c r="P1687" t="n">
        <v>1</v>
      </c>
      <c r="Q1687" t="n">
        <v>0.12</v>
      </c>
      <c r="R1687" t="n">
        <v>1</v>
      </c>
      <c r="S1687" t="n">
        <v>4581.85</v>
      </c>
      <c r="T1687" t="n">
        <v>25</v>
      </c>
      <c r="U1687" t="n">
        <v>26</v>
      </c>
      <c r="V1687" t="n">
        <v>30</v>
      </c>
      <c r="W1687" t="n">
        <v>6</v>
      </c>
      <c r="X1687" t="n">
        <v>11.56737998843262</v>
      </c>
      <c r="Y1687" t="n">
        <v>1</v>
      </c>
      <c r="Z1687" t="n">
        <v>4</v>
      </c>
      <c r="AA1687" t="n">
        <v>1</v>
      </c>
      <c r="AB1687" t="n">
        <v>3</v>
      </c>
      <c r="AC1687" t="n">
        <v>3</v>
      </c>
      <c r="AD1687" t="n">
        <v>22259</v>
      </c>
      <c r="AE1687" t="n">
        <v>66777</v>
      </c>
      <c r="AF1687" t="n">
        <v>10992</v>
      </c>
      <c r="AG1687" t="n">
        <v>33</v>
      </c>
      <c r="AH1687" t="inlineStr">
        <is>
          <t>PT. MENSA BINASUKSES - PPN (PDG)</t>
        </is>
      </c>
      <c r="AI1687" t="n">
        <v>1228</v>
      </c>
      <c r="AJ1687" t="inlineStr">
        <is>
          <t>GARNIER MEN</t>
        </is>
      </c>
      <c r="AK1687" t="n">
        <v>21</v>
      </c>
      <c r="AL1687" t="inlineStr">
        <is>
          <t>Miss Glam Damar</t>
        </is>
      </c>
      <c r="AM1687" t="n">
        <v>3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GARNIER MEN</t>
        </is>
      </c>
      <c r="B1688" s="2">
        <f>"8992304039607"</f>
        <v/>
      </c>
      <c r="C1688" t="inlineStr">
        <is>
          <t>GARNIER MEN Acno Fight Brightening Foam Ekstrak Wasabi + Salicylic Acid 50ml</t>
        </is>
      </c>
      <c r="D1688" t="inlineStr">
        <is>
          <t>Miss Glam Damar</t>
        </is>
      </c>
      <c r="E1688" t="n">
        <v>2</v>
      </c>
      <c r="F1688" t="n">
        <v>0.1274</v>
      </c>
      <c r="G1688" t="n">
        <v>1.82</v>
      </c>
      <c r="H1688" t="n">
        <v>3</v>
      </c>
      <c r="I1688" t="n">
        <v>14</v>
      </c>
      <c r="J1688" t="n">
        <v>3</v>
      </c>
      <c r="K1688" t="n">
        <v>0</v>
      </c>
      <c r="L1688" t="n">
        <v>21905</v>
      </c>
      <c r="M1688" t="n">
        <v>26500</v>
      </c>
      <c r="N1688" t="n">
        <v>91</v>
      </c>
      <c r="O1688" t="n">
        <v>0.91</v>
      </c>
      <c r="P1688" t="n">
        <v>1</v>
      </c>
      <c r="Q1688" t="n">
        <v>0.03</v>
      </c>
      <c r="R1688" t="n">
        <v>1</v>
      </c>
      <c r="S1688" t="n">
        <v>3376.1</v>
      </c>
      <c r="T1688" t="n">
        <v>26</v>
      </c>
      <c r="U1688" t="n">
        <v>27</v>
      </c>
      <c r="V1688" t="n">
        <v>30</v>
      </c>
      <c r="W1688" t="n">
        <v>4</v>
      </c>
      <c r="X1688" t="n">
        <v>15.69858712715855</v>
      </c>
      <c r="Y1688" t="n">
        <v>1</v>
      </c>
      <c r="Z1688" t="n">
        <v>2</v>
      </c>
      <c r="AA1688" t="n">
        <v>0</v>
      </c>
      <c r="AB1688" t="n">
        <v>2</v>
      </c>
      <c r="AC1688" t="n">
        <v>3</v>
      </c>
      <c r="AD1688" t="n">
        <v>0</v>
      </c>
      <c r="AE1688" t="n">
        <v>65715</v>
      </c>
      <c r="AF1688" t="n">
        <v>10992</v>
      </c>
      <c r="AG1688" t="n">
        <v>33</v>
      </c>
      <c r="AH1688" t="inlineStr">
        <is>
          <t>PT. MENSA BINASUKSES - PPN (PDG)</t>
        </is>
      </c>
      <c r="AI1688" t="n">
        <v>1228</v>
      </c>
      <c r="AJ1688" t="inlineStr">
        <is>
          <t>GARNIER MEN</t>
        </is>
      </c>
      <c r="AK1688" t="n">
        <v>21</v>
      </c>
      <c r="AL1688" t="inlineStr">
        <is>
          <t>Miss Glam Damar</t>
        </is>
      </c>
      <c r="AM1688" t="n">
        <v>3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GARNIER MEN</t>
        </is>
      </c>
      <c r="B1689" s="2">
        <f>"8992304015298"</f>
        <v/>
      </c>
      <c r="C1689" t="inlineStr">
        <is>
          <t>GARNIER MEN Acno Fight Scrub 100ml</t>
        </is>
      </c>
      <c r="D1689" t="inlineStr">
        <is>
          <t>Miss Glam Damar</t>
        </is>
      </c>
      <c r="E1689" t="n">
        <v>2</v>
      </c>
      <c r="F1689" t="n">
        <v>0.1547</v>
      </c>
      <c r="G1689" t="n">
        <v>1.82</v>
      </c>
      <c r="H1689" t="n">
        <v>3</v>
      </c>
      <c r="I1689" t="n">
        <v>14</v>
      </c>
      <c r="J1689" t="n">
        <v>3</v>
      </c>
      <c r="K1689" t="n">
        <v>0</v>
      </c>
      <c r="L1689" t="n">
        <v>30903</v>
      </c>
      <c r="M1689" t="n">
        <v>38500</v>
      </c>
      <c r="N1689" t="n">
        <v>91</v>
      </c>
      <c r="O1689" t="n">
        <v>0.91</v>
      </c>
      <c r="P1689" t="n">
        <v>1</v>
      </c>
      <c r="Q1689" t="n">
        <v>0.14</v>
      </c>
      <c r="R1689" t="n">
        <v>2</v>
      </c>
      <c r="S1689" t="n">
        <v>5955.95</v>
      </c>
      <c r="T1689" t="n">
        <v>26</v>
      </c>
      <c r="U1689" t="n">
        <v>27</v>
      </c>
      <c r="V1689" t="n">
        <v>30</v>
      </c>
      <c r="W1689" t="n">
        <v>5</v>
      </c>
      <c r="X1689" t="n">
        <v>12.92824822236587</v>
      </c>
      <c r="Y1689" t="n">
        <v>1</v>
      </c>
      <c r="Z1689" t="n">
        <v>3</v>
      </c>
      <c r="AA1689" t="n">
        <v>1</v>
      </c>
      <c r="AB1689" t="n">
        <v>2</v>
      </c>
      <c r="AC1689" t="n">
        <v>3</v>
      </c>
      <c r="AD1689" t="n">
        <v>30903</v>
      </c>
      <c r="AE1689" t="n">
        <v>92709</v>
      </c>
      <c r="AF1689" t="n">
        <v>10992</v>
      </c>
      <c r="AG1689" t="n">
        <v>33</v>
      </c>
      <c r="AH1689" t="inlineStr">
        <is>
          <t>PT. MENSA BINASUKSES - PPN (PDG)</t>
        </is>
      </c>
      <c r="AI1689" t="n">
        <v>1228</v>
      </c>
      <c r="AJ1689" t="inlineStr">
        <is>
          <t>GARNIER MEN</t>
        </is>
      </c>
      <c r="AK1689" t="n">
        <v>21</v>
      </c>
      <c r="AL1689" t="inlineStr">
        <is>
          <t>Miss Glam Damar</t>
        </is>
      </c>
      <c r="AM1689" t="n">
        <v>3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GARNIER MEN</t>
        </is>
      </c>
      <c r="B1690" s="2">
        <f>"8992304039614"</f>
        <v/>
      </c>
      <c r="C1690" t="inlineStr">
        <is>
          <t>GARNIER MEN Acno Fight Wasabi 100ml</t>
        </is>
      </c>
      <c r="D1690" t="inlineStr">
        <is>
          <t>Miss Glam Damar</t>
        </is>
      </c>
      <c r="E1690" t="n">
        <v>3</v>
      </c>
      <c r="F1690" t="n">
        <v>0.1547</v>
      </c>
      <c r="G1690" t="n">
        <v>1.82</v>
      </c>
      <c r="H1690" t="n">
        <v>3</v>
      </c>
      <c r="I1690" t="n">
        <v>14</v>
      </c>
      <c r="J1690" t="n">
        <v>3</v>
      </c>
      <c r="K1690" t="n">
        <v>0</v>
      </c>
      <c r="L1690" t="n">
        <v>30885</v>
      </c>
      <c r="M1690" t="n">
        <v>37500</v>
      </c>
      <c r="N1690" t="n">
        <v>91</v>
      </c>
      <c r="O1690" t="n">
        <v>0.91</v>
      </c>
      <c r="P1690" t="n">
        <v>1</v>
      </c>
      <c r="Q1690" t="n">
        <v>0.12</v>
      </c>
      <c r="R1690" t="n">
        <v>2</v>
      </c>
      <c r="S1690" t="n">
        <v>5801.25</v>
      </c>
      <c r="T1690" t="n">
        <v>26</v>
      </c>
      <c r="U1690" t="n">
        <v>27</v>
      </c>
      <c r="V1690" t="n">
        <v>30</v>
      </c>
      <c r="W1690" t="n">
        <v>5</v>
      </c>
      <c r="X1690" t="n">
        <v>19.3923723335488</v>
      </c>
      <c r="Y1690" t="n">
        <v>1</v>
      </c>
      <c r="Z1690" t="n">
        <v>2</v>
      </c>
      <c r="AA1690" t="n">
        <v>0</v>
      </c>
      <c r="AB1690" t="n">
        <v>2</v>
      </c>
      <c r="AC1690" t="n">
        <v>3</v>
      </c>
      <c r="AD1690" t="n">
        <v>0</v>
      </c>
      <c r="AE1690" t="n">
        <v>92655</v>
      </c>
      <c r="AF1690" t="n">
        <v>10992</v>
      </c>
      <c r="AG1690" t="n">
        <v>33</v>
      </c>
      <c r="AH1690" t="inlineStr">
        <is>
          <t>PT. MENSA BINASUKSES - PPN (PDG)</t>
        </is>
      </c>
      <c r="AI1690" t="n">
        <v>1228</v>
      </c>
      <c r="AJ1690" t="inlineStr">
        <is>
          <t>GARNIER MEN</t>
        </is>
      </c>
      <c r="AK1690" t="n">
        <v>21</v>
      </c>
      <c r="AL1690" t="inlineStr">
        <is>
          <t>Miss Glam Damar</t>
        </is>
      </c>
      <c r="AM1690" t="n">
        <v>3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GARNIER MEN</t>
        </is>
      </c>
      <c r="B1691" s="2">
        <f>"8994993001378"</f>
        <v/>
      </c>
      <c r="C1691" t="inlineStr">
        <is>
          <t>GARNIER MEN Oil Control 3in1 Charcoal 50ml</t>
        </is>
      </c>
      <c r="D1691" t="inlineStr">
        <is>
          <t>Miss Glam Damar</t>
        </is>
      </c>
      <c r="E1691" t="n">
        <v>3</v>
      </c>
      <c r="F1691" t="n">
        <v>0.1274</v>
      </c>
      <c r="G1691" t="n">
        <v>1.82</v>
      </c>
      <c r="H1691" t="n">
        <v>3</v>
      </c>
      <c r="I1691" t="n">
        <v>14</v>
      </c>
      <c r="J1691" t="n">
        <v>3</v>
      </c>
      <c r="K1691" t="n">
        <v>0</v>
      </c>
      <c r="L1691" t="n">
        <v>21607</v>
      </c>
      <c r="M1691" t="n">
        <v>24500</v>
      </c>
      <c r="N1691" t="n">
        <v>91</v>
      </c>
      <c r="O1691" t="n">
        <v>0.91</v>
      </c>
      <c r="P1691" t="n">
        <v>1</v>
      </c>
      <c r="Q1691" t="n">
        <v>0.05</v>
      </c>
      <c r="R1691" t="n">
        <v>1</v>
      </c>
      <c r="S1691" t="n">
        <v>3121.3</v>
      </c>
      <c r="T1691" t="n">
        <v>26</v>
      </c>
      <c r="U1691" t="n">
        <v>27</v>
      </c>
      <c r="V1691" t="n">
        <v>30</v>
      </c>
      <c r="W1691" t="n">
        <v>4</v>
      </c>
      <c r="X1691" t="n">
        <v>23.54788069073783</v>
      </c>
      <c r="Y1691" t="n">
        <v>1</v>
      </c>
      <c r="Z1691" t="n">
        <v>1</v>
      </c>
      <c r="AA1691" t="n">
        <v>0</v>
      </c>
      <c r="AB1691" t="n">
        <v>1</v>
      </c>
      <c r="AC1691" t="n">
        <v>3</v>
      </c>
      <c r="AD1691" t="n">
        <v>0</v>
      </c>
      <c r="AE1691" t="n">
        <v>64821</v>
      </c>
      <c r="AF1691" t="n">
        <v>10992</v>
      </c>
      <c r="AG1691" t="n">
        <v>33</v>
      </c>
      <c r="AH1691" t="inlineStr">
        <is>
          <t>PT. MENSA BINASUKSES - PPN (PDG)</t>
        </is>
      </c>
      <c r="AI1691" t="n">
        <v>1228</v>
      </c>
      <c r="AJ1691" t="inlineStr">
        <is>
          <t>GARNIER MEN</t>
        </is>
      </c>
      <c r="AK1691" t="n">
        <v>21</v>
      </c>
      <c r="AL1691" t="inlineStr">
        <is>
          <t>Miss Glam Damar</t>
        </is>
      </c>
      <c r="AM1691" t="n">
        <v>3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GARNIER MEN</t>
        </is>
      </c>
      <c r="B1692" s="2">
        <f>"8992304047428"</f>
        <v/>
      </c>
      <c r="C1692" t="inlineStr">
        <is>
          <t>GARNIER MEN Oil Control 96% 100ml</t>
        </is>
      </c>
      <c r="D1692" t="inlineStr">
        <is>
          <t>Miss Glam Damar</t>
        </is>
      </c>
      <c r="E1692" t="n">
        <v>5</v>
      </c>
      <c r="F1692" t="n">
        <v>0.1547</v>
      </c>
      <c r="G1692" t="n">
        <v>0.91</v>
      </c>
      <c r="H1692" t="n">
        <v>3</v>
      </c>
      <c r="I1692" t="n">
        <v>14</v>
      </c>
      <c r="J1692" t="n">
        <v>3</v>
      </c>
      <c r="K1692" t="n">
        <v>0</v>
      </c>
      <c r="L1692" t="n">
        <v>31543</v>
      </c>
      <c r="M1692" t="n">
        <v>39000</v>
      </c>
      <c r="N1692" t="n">
        <v>91</v>
      </c>
      <c r="O1692" t="n">
        <v>0.91</v>
      </c>
      <c r="P1692" t="n">
        <v>1</v>
      </c>
      <c r="Q1692" t="n">
        <v>0.1</v>
      </c>
      <c r="R1692" t="n">
        <v>1</v>
      </c>
      <c r="S1692" t="n">
        <v>6033.3</v>
      </c>
      <c r="T1692" t="n">
        <v>13</v>
      </c>
      <c r="U1692" t="n">
        <v>14</v>
      </c>
      <c r="V1692" t="n">
        <v>30</v>
      </c>
      <c r="W1692" t="n">
        <v>5</v>
      </c>
      <c r="X1692" t="n">
        <v>32.32062055591467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10992</v>
      </c>
      <c r="AG1692" t="n">
        <v>33</v>
      </c>
      <c r="AH1692" t="inlineStr">
        <is>
          <t>PT. MENSA BINASUKSES - PPN (PDG)</t>
        </is>
      </c>
      <c r="AI1692" t="n">
        <v>1228</v>
      </c>
      <c r="AJ1692" t="inlineStr">
        <is>
          <t>GARNIER MEN</t>
        </is>
      </c>
      <c r="AK1692" t="n">
        <v>21</v>
      </c>
      <c r="AL1692" t="inlineStr">
        <is>
          <t>Miss Glam Damar</t>
        </is>
      </c>
      <c r="AM1692" t="n">
        <v>3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GARNIER MEN</t>
        </is>
      </c>
      <c r="B1693" s="2">
        <f>"8992304009143"</f>
        <v/>
      </c>
      <c r="C1693" t="inlineStr">
        <is>
          <t>GARNIER MEN Oil Control Cooling Foam Lemon Ekstrak Mineral Clay 50ml</t>
        </is>
      </c>
      <c r="D1693" t="inlineStr">
        <is>
          <t>Miss Glam Damar</t>
        </is>
      </c>
      <c r="E1693" t="n">
        <v>5</v>
      </c>
      <c r="F1693" t="n">
        <v>0.1547</v>
      </c>
      <c r="G1693" t="n">
        <v>1.82</v>
      </c>
      <c r="H1693" t="n">
        <v>3</v>
      </c>
      <c r="I1693" t="n">
        <v>14</v>
      </c>
      <c r="J1693" t="n">
        <v>3</v>
      </c>
      <c r="K1693" t="n">
        <v>0</v>
      </c>
      <c r="L1693" t="n">
        <v>21827</v>
      </c>
      <c r="M1693" t="n">
        <v>26500</v>
      </c>
      <c r="N1693" t="n">
        <v>91</v>
      </c>
      <c r="O1693" t="n">
        <v>0.91</v>
      </c>
      <c r="P1693" t="n">
        <v>1</v>
      </c>
      <c r="Q1693" t="n">
        <v>0.05</v>
      </c>
      <c r="R1693" t="n">
        <v>1</v>
      </c>
      <c r="S1693" t="n">
        <v>4099.55</v>
      </c>
      <c r="T1693" t="n">
        <v>26</v>
      </c>
      <c r="U1693" t="n">
        <v>27</v>
      </c>
      <c r="V1693" t="n">
        <v>30</v>
      </c>
      <c r="W1693" t="n">
        <v>5</v>
      </c>
      <c r="X1693" t="n">
        <v>32.32062055591467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10992</v>
      </c>
      <c r="AG1693" t="n">
        <v>33</v>
      </c>
      <c r="AH1693" t="inlineStr">
        <is>
          <t>PT. MENSA BINASUKSES - PPN (PDG)</t>
        </is>
      </c>
      <c r="AI1693" t="n">
        <v>1228</v>
      </c>
      <c r="AJ1693" t="inlineStr">
        <is>
          <t>GARNIER MEN</t>
        </is>
      </c>
      <c r="AK1693" t="n">
        <v>21</v>
      </c>
      <c r="AL1693" t="inlineStr">
        <is>
          <t>Miss Glam Damar</t>
        </is>
      </c>
      <c r="AM1693" t="n">
        <v>3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GARNIER MEN</t>
        </is>
      </c>
      <c r="B1694" s="2">
        <f>"8992304009204"</f>
        <v/>
      </c>
      <c r="C1694" t="inlineStr">
        <is>
          <t>GARNIER MEN Oil Control Icy Scrub 100ml</t>
        </is>
      </c>
      <c r="D1694" t="inlineStr">
        <is>
          <t>Miss Glam Damar</t>
        </is>
      </c>
      <c r="E1694" t="n">
        <v>2</v>
      </c>
      <c r="F1694" t="n">
        <v>0.09100000000000001</v>
      </c>
      <c r="G1694" t="n">
        <v>0.91</v>
      </c>
      <c r="H1694" t="n">
        <v>3</v>
      </c>
      <c r="I1694" t="n">
        <v>14</v>
      </c>
      <c r="J1694" t="n">
        <v>3</v>
      </c>
      <c r="K1694" t="n">
        <v>0</v>
      </c>
      <c r="L1694" t="n">
        <v>30936</v>
      </c>
      <c r="M1694" t="n">
        <v>36000</v>
      </c>
      <c r="N1694" t="n">
        <v>91</v>
      </c>
      <c r="O1694" t="n">
        <v>0.91</v>
      </c>
      <c r="P1694" t="n">
        <v>1</v>
      </c>
      <c r="Q1694" t="n">
        <v>0.05</v>
      </c>
      <c r="R1694" t="n">
        <v>1</v>
      </c>
      <c r="S1694" t="n">
        <v>3276</v>
      </c>
      <c r="T1694" t="n">
        <v>13</v>
      </c>
      <c r="U1694" t="n">
        <v>14</v>
      </c>
      <c r="V1694" t="n">
        <v>30</v>
      </c>
      <c r="W1694" t="n">
        <v>3</v>
      </c>
      <c r="X1694" t="n">
        <v>21.97802197802197</v>
      </c>
      <c r="Y1694" t="n">
        <v>1</v>
      </c>
      <c r="Z1694" t="n">
        <v>1</v>
      </c>
      <c r="AA1694" t="n">
        <v>0</v>
      </c>
      <c r="AB1694" t="n">
        <v>1</v>
      </c>
      <c r="AC1694" t="n">
        <v>3</v>
      </c>
      <c r="AD1694" t="n">
        <v>0</v>
      </c>
      <c r="AE1694" t="n">
        <v>92808</v>
      </c>
      <c r="AF1694" t="n">
        <v>10992</v>
      </c>
      <c r="AG1694" t="n">
        <v>33</v>
      </c>
      <c r="AH1694" t="inlineStr">
        <is>
          <t>PT. MENSA BINASUKSES - PPN (PDG)</t>
        </is>
      </c>
      <c r="AI1694" t="n">
        <v>1228</v>
      </c>
      <c r="AJ1694" t="inlineStr">
        <is>
          <t>GARNIER MEN</t>
        </is>
      </c>
      <c r="AK1694" t="n">
        <v>21</v>
      </c>
      <c r="AL1694" t="inlineStr">
        <is>
          <t>Miss Glam Damar</t>
        </is>
      </c>
      <c r="AM1694" t="n">
        <v>3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GARNIER MEN</t>
        </is>
      </c>
      <c r="B1695" s="2">
        <f>"8992304009181"</f>
        <v/>
      </c>
      <c r="C1695" t="inlineStr">
        <is>
          <t>GARNIER MEN Oil Control Icy Scrub Ekstrak Lemon Mineral Clay 50ml</t>
        </is>
      </c>
      <c r="D1695" t="inlineStr">
        <is>
          <t>Miss Glam Damar</t>
        </is>
      </c>
      <c r="E1695" t="n">
        <v>3</v>
      </c>
      <c r="F1695" t="n">
        <v>0.1729</v>
      </c>
      <c r="G1695" t="n">
        <v>1.82</v>
      </c>
      <c r="H1695" t="n">
        <v>3</v>
      </c>
      <c r="I1695" t="n">
        <v>14</v>
      </c>
      <c r="J1695" t="n">
        <v>3</v>
      </c>
      <c r="K1695" t="n">
        <v>0</v>
      </c>
      <c r="L1695" t="n">
        <v>21827</v>
      </c>
      <c r="M1695" t="n">
        <v>26500</v>
      </c>
      <c r="N1695" t="n">
        <v>91</v>
      </c>
      <c r="O1695" t="n">
        <v>0.91</v>
      </c>
      <c r="P1695" t="n">
        <v>1</v>
      </c>
      <c r="Q1695" t="n">
        <v>0.07000000000000001</v>
      </c>
      <c r="R1695" t="n">
        <v>1</v>
      </c>
      <c r="S1695" t="n">
        <v>4581.85</v>
      </c>
      <c r="T1695" t="n">
        <v>25</v>
      </c>
      <c r="U1695" t="n">
        <v>26</v>
      </c>
      <c r="V1695" t="n">
        <v>30</v>
      </c>
      <c r="W1695" t="n">
        <v>6</v>
      </c>
      <c r="X1695" t="n">
        <v>17.35106998264893</v>
      </c>
      <c r="Y1695" t="n">
        <v>1</v>
      </c>
      <c r="Z1695" t="n">
        <v>3</v>
      </c>
      <c r="AA1695" t="n">
        <v>0</v>
      </c>
      <c r="AB1695" t="n">
        <v>3</v>
      </c>
      <c r="AC1695" t="n">
        <v>3</v>
      </c>
      <c r="AD1695" t="n">
        <v>0</v>
      </c>
      <c r="AE1695" t="n">
        <v>65481</v>
      </c>
      <c r="AF1695" t="n">
        <v>10992</v>
      </c>
      <c r="AG1695" t="n">
        <v>33</v>
      </c>
      <c r="AH1695" t="inlineStr">
        <is>
          <t>PT. MENSA BINASUKSES - PPN (PDG)</t>
        </is>
      </c>
      <c r="AI1695" t="n">
        <v>1228</v>
      </c>
      <c r="AJ1695" t="inlineStr">
        <is>
          <t>GARNIER MEN</t>
        </is>
      </c>
      <c r="AK1695" t="n">
        <v>21</v>
      </c>
      <c r="AL1695" t="inlineStr">
        <is>
          <t>Miss Glam Damar</t>
        </is>
      </c>
      <c r="AM1695" t="n">
        <v>3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GARNIER MEN</t>
        </is>
      </c>
      <c r="B1696" s="2">
        <f>"8992304047442"</f>
        <v/>
      </c>
      <c r="C1696" t="inlineStr">
        <is>
          <t>GARNIER MEN Oil Control Super Duo Foam Icy Clay Complex 50ml</t>
        </is>
      </c>
      <c r="D1696" t="inlineStr">
        <is>
          <t>Miss Glam Damar</t>
        </is>
      </c>
      <c r="E1696" t="n">
        <v>0</v>
      </c>
      <c r="F1696" t="n">
        <v>0.11</v>
      </c>
      <c r="G1696" t="n">
        <v>2</v>
      </c>
      <c r="H1696" t="n">
        <v>3</v>
      </c>
      <c r="I1696" t="n">
        <v>14</v>
      </c>
      <c r="J1696" t="n">
        <v>3</v>
      </c>
      <c r="K1696" t="n">
        <v>0</v>
      </c>
      <c r="L1696" t="n">
        <v>22259</v>
      </c>
      <c r="M1696" t="n">
        <v>26500</v>
      </c>
      <c r="N1696" t="n">
        <v>91</v>
      </c>
      <c r="O1696" t="n">
        <v>0.91</v>
      </c>
      <c r="P1696" t="n">
        <v>0</v>
      </c>
      <c r="Q1696" t="n">
        <v>0.11</v>
      </c>
      <c r="R1696" t="n">
        <v>2</v>
      </c>
      <c r="S1696" t="n">
        <v>2915</v>
      </c>
      <c r="T1696" t="n">
        <v>28</v>
      </c>
      <c r="U1696" t="n">
        <v>29</v>
      </c>
      <c r="V1696" t="n">
        <v>30</v>
      </c>
      <c r="W1696" t="n">
        <v>4</v>
      </c>
      <c r="X1696" t="n">
        <v>0</v>
      </c>
      <c r="Y1696" t="n">
        <v>1</v>
      </c>
      <c r="Z1696" t="n">
        <v>4</v>
      </c>
      <c r="AA1696" t="n">
        <v>2</v>
      </c>
      <c r="AB1696" t="n">
        <v>2</v>
      </c>
      <c r="AC1696" t="n">
        <v>3</v>
      </c>
      <c r="AD1696" t="n">
        <v>44518</v>
      </c>
      <c r="AE1696" t="n">
        <v>66777</v>
      </c>
      <c r="AF1696" t="n">
        <v>10992</v>
      </c>
      <c r="AG1696" t="n">
        <v>33</v>
      </c>
      <c r="AH1696" t="inlineStr">
        <is>
          <t>PT. MENSA BINASUKSES - PPN (PDG)</t>
        </is>
      </c>
      <c r="AI1696" t="n">
        <v>1228</v>
      </c>
      <c r="AJ1696" t="inlineStr">
        <is>
          <t>GARNIER MEN</t>
        </is>
      </c>
      <c r="AK1696" t="n">
        <v>21</v>
      </c>
      <c r="AL1696" t="inlineStr">
        <is>
          <t>Miss Glam Damar</t>
        </is>
      </c>
      <c r="AM1696" t="n">
        <v>3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GARNIER MEN</t>
        </is>
      </c>
      <c r="B1697" s="2">
        <f>"8992304047435"</f>
        <v/>
      </c>
      <c r="C1697" t="inlineStr">
        <is>
          <t>GARNIER MEN Power White 94% 100ml</t>
        </is>
      </c>
      <c r="D1697" t="inlineStr">
        <is>
          <t>Miss Glam Damar</t>
        </is>
      </c>
      <c r="E1697" t="n">
        <v>2</v>
      </c>
      <c r="F1697" t="n">
        <v>0.182</v>
      </c>
      <c r="G1697" t="n">
        <v>0.91</v>
      </c>
      <c r="H1697" t="n">
        <v>3</v>
      </c>
      <c r="I1697" t="n">
        <v>14</v>
      </c>
      <c r="J1697" t="n">
        <v>3</v>
      </c>
      <c r="K1697" t="n">
        <v>0</v>
      </c>
      <c r="L1697" t="n">
        <v>31543</v>
      </c>
      <c r="M1697" t="n">
        <v>39000</v>
      </c>
      <c r="N1697" t="n">
        <v>91</v>
      </c>
      <c r="O1697" t="n">
        <v>0.91</v>
      </c>
      <c r="P1697" t="n">
        <v>1</v>
      </c>
      <c r="Q1697" t="n">
        <v>0.15</v>
      </c>
      <c r="R1697" t="n">
        <v>1</v>
      </c>
      <c r="S1697" t="n">
        <v>7098.000000000001</v>
      </c>
      <c r="T1697" t="n">
        <v>13</v>
      </c>
      <c r="U1697" t="n">
        <v>14</v>
      </c>
      <c r="V1697" t="n">
        <v>30</v>
      </c>
      <c r="W1697" t="n">
        <v>6</v>
      </c>
      <c r="X1697" t="n">
        <v>10.98901098901099</v>
      </c>
      <c r="Y1697" t="n">
        <v>1</v>
      </c>
      <c r="Z1697" t="n">
        <v>4</v>
      </c>
      <c r="AA1697" t="n">
        <v>1</v>
      </c>
      <c r="AB1697" t="n">
        <v>3</v>
      </c>
      <c r="AC1697" t="n">
        <v>3</v>
      </c>
      <c r="AD1697" t="n">
        <v>31543</v>
      </c>
      <c r="AE1697" t="n">
        <v>94629</v>
      </c>
      <c r="AF1697" t="n">
        <v>10992</v>
      </c>
      <c r="AG1697" t="n">
        <v>33</v>
      </c>
      <c r="AH1697" t="inlineStr">
        <is>
          <t>PT. MENSA BINASUKSES - PPN (PDG)</t>
        </is>
      </c>
      <c r="AI1697" t="n">
        <v>1228</v>
      </c>
      <c r="AJ1697" t="inlineStr">
        <is>
          <t>GARNIER MEN</t>
        </is>
      </c>
      <c r="AK1697" t="n">
        <v>21</v>
      </c>
      <c r="AL1697" t="inlineStr">
        <is>
          <t>Miss Glam Damar</t>
        </is>
      </c>
      <c r="AM1697" t="n">
        <v>3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GARNIER MEN</t>
        </is>
      </c>
      <c r="B1698" s="2">
        <f>"8992304096723"</f>
        <v/>
      </c>
      <c r="C1698" t="inlineStr">
        <is>
          <t>GARNIER MEN Tloc Matcha Gel 100ml</t>
        </is>
      </c>
      <c r="D1698" t="inlineStr">
        <is>
          <t>Miss Glam Damar</t>
        </is>
      </c>
      <c r="E1698" t="n">
        <v>0</v>
      </c>
      <c r="F1698" t="n">
        <v>0.06</v>
      </c>
      <c r="G1698" t="n">
        <v>1</v>
      </c>
      <c r="H1698" t="n">
        <v>3</v>
      </c>
      <c r="I1698" t="n">
        <v>14</v>
      </c>
      <c r="J1698" t="n">
        <v>3</v>
      </c>
      <c r="K1698" t="n">
        <v>0</v>
      </c>
      <c r="L1698" t="n">
        <v>28376</v>
      </c>
      <c r="M1698" t="n">
        <v>37500</v>
      </c>
      <c r="N1698" t="n">
        <v>91</v>
      </c>
      <c r="O1698" t="n">
        <v>0.91</v>
      </c>
      <c r="P1698" t="n">
        <v>0</v>
      </c>
      <c r="Q1698" t="n">
        <v>0.06</v>
      </c>
      <c r="R1698" t="n">
        <v>1</v>
      </c>
      <c r="S1698" t="n">
        <v>2250</v>
      </c>
      <c r="T1698" t="n">
        <v>14</v>
      </c>
      <c r="U1698" t="n">
        <v>15</v>
      </c>
      <c r="V1698" t="n">
        <v>30</v>
      </c>
      <c r="W1698" t="n">
        <v>2</v>
      </c>
      <c r="X1698" t="n">
        <v>0</v>
      </c>
      <c r="Y1698" t="n">
        <v>1</v>
      </c>
      <c r="Z1698" t="n">
        <v>2</v>
      </c>
      <c r="AA1698" t="n">
        <v>1</v>
      </c>
      <c r="AB1698" t="n">
        <v>1</v>
      </c>
      <c r="AC1698" t="n">
        <v>3</v>
      </c>
      <c r="AD1698" t="n">
        <v>28376</v>
      </c>
      <c r="AE1698" t="n">
        <v>85128</v>
      </c>
      <c r="AF1698" t="n">
        <v>10992</v>
      </c>
      <c r="AG1698" t="n">
        <v>33</v>
      </c>
      <c r="AH1698" t="inlineStr">
        <is>
          <t>PT. MENSA BINASUKSES - PPN (PDG)</t>
        </is>
      </c>
      <c r="AI1698" t="n">
        <v>1228</v>
      </c>
      <c r="AJ1698" t="inlineStr">
        <is>
          <t>GARNIER MEN</t>
        </is>
      </c>
      <c r="AK1698" t="n">
        <v>21</v>
      </c>
      <c r="AL1698" t="inlineStr">
        <is>
          <t>Miss Glam Damar</t>
        </is>
      </c>
      <c r="AM1698" t="n">
        <v>3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GARNIER MEN</t>
        </is>
      </c>
      <c r="B1699" s="2">
        <f>"8992304047411"</f>
        <v/>
      </c>
      <c r="C1699" t="inlineStr">
        <is>
          <t>GARNIER MEN Turbo Bright Dark Spot + Pore Tightening Super Duo Foam Black Charcoal</t>
        </is>
      </c>
      <c r="D1699" t="inlineStr">
        <is>
          <t>Miss Glam Damar</t>
        </is>
      </c>
      <c r="E1699" t="n">
        <v>0</v>
      </c>
      <c r="F1699" t="n">
        <v>0.07000000000000001</v>
      </c>
      <c r="G1699" t="n">
        <v>1</v>
      </c>
      <c r="H1699" t="n">
        <v>3</v>
      </c>
      <c r="I1699" t="n">
        <v>14</v>
      </c>
      <c r="J1699" t="n">
        <v>3</v>
      </c>
      <c r="K1699" t="n">
        <v>0</v>
      </c>
      <c r="L1699" t="n">
        <v>21933</v>
      </c>
      <c r="M1699" t="n">
        <v>26500</v>
      </c>
      <c r="N1699" t="n">
        <v>91</v>
      </c>
      <c r="O1699" t="n">
        <v>0.91</v>
      </c>
      <c r="P1699" t="n">
        <v>0</v>
      </c>
      <c r="Q1699" t="n">
        <v>0.07000000000000001</v>
      </c>
      <c r="R1699" t="n">
        <v>1</v>
      </c>
      <c r="S1699" t="n">
        <v>1855</v>
      </c>
      <c r="T1699" t="n">
        <v>14</v>
      </c>
      <c r="U1699" t="n">
        <v>15</v>
      </c>
      <c r="V1699" t="n">
        <v>30</v>
      </c>
      <c r="W1699" t="n">
        <v>3</v>
      </c>
      <c r="X1699" t="n">
        <v>0</v>
      </c>
      <c r="Y1699" t="n">
        <v>1</v>
      </c>
      <c r="Z1699" t="n">
        <v>3</v>
      </c>
      <c r="AA1699" t="n">
        <v>1</v>
      </c>
      <c r="AB1699" t="n">
        <v>2</v>
      </c>
      <c r="AC1699" t="n">
        <v>3</v>
      </c>
      <c r="AD1699" t="n">
        <v>21933</v>
      </c>
      <c r="AE1699" t="n">
        <v>65799</v>
      </c>
      <c r="AF1699" t="n">
        <v>10992</v>
      </c>
      <c r="AG1699" t="n">
        <v>33</v>
      </c>
      <c r="AH1699" t="inlineStr">
        <is>
          <t>PT. MENSA BINASUKSES - PPN (PDG)</t>
        </is>
      </c>
      <c r="AI1699" t="n">
        <v>1228</v>
      </c>
      <c r="AJ1699" t="inlineStr">
        <is>
          <t>GARNIER MEN</t>
        </is>
      </c>
      <c r="AK1699" t="n">
        <v>21</v>
      </c>
      <c r="AL1699" t="inlineStr">
        <is>
          <t>Miss Glam Damar</t>
        </is>
      </c>
      <c r="AM1699" t="n">
        <v>3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GARNIER MEN</t>
        </is>
      </c>
      <c r="B1700" s="2">
        <f>"8994993001323"</f>
        <v/>
      </c>
      <c r="C1700" t="inlineStr">
        <is>
          <t>GARNIER MEN Turbolight Oil Control 3in1 100ml</t>
        </is>
      </c>
      <c r="D1700" t="inlineStr">
        <is>
          <t>Miss Glam Damar</t>
        </is>
      </c>
      <c r="E1700" t="n">
        <v>2</v>
      </c>
      <c r="F1700" t="n">
        <v>0.09100000000000001</v>
      </c>
      <c r="G1700" t="n">
        <v>0.91</v>
      </c>
      <c r="H1700" t="n">
        <v>3</v>
      </c>
      <c r="I1700" t="n">
        <v>14</v>
      </c>
      <c r="J1700" t="n">
        <v>3</v>
      </c>
      <c r="K1700" t="n">
        <v>0</v>
      </c>
      <c r="L1700" t="n">
        <v>31011</v>
      </c>
      <c r="M1700" t="n">
        <v>38000</v>
      </c>
      <c r="N1700" t="n">
        <v>91</v>
      </c>
      <c r="O1700" t="n">
        <v>0.91</v>
      </c>
      <c r="P1700" t="n">
        <v>1</v>
      </c>
      <c r="Q1700" t="n">
        <v>0.05</v>
      </c>
      <c r="R1700" t="n">
        <v>1</v>
      </c>
      <c r="S1700" t="n">
        <v>3458</v>
      </c>
      <c r="T1700" t="n">
        <v>13</v>
      </c>
      <c r="U1700" t="n">
        <v>14</v>
      </c>
      <c r="V1700" t="n">
        <v>30</v>
      </c>
      <c r="W1700" t="n">
        <v>3</v>
      </c>
      <c r="X1700" t="n">
        <v>21.97802197802197</v>
      </c>
      <c r="Y1700" t="n">
        <v>1</v>
      </c>
      <c r="Z1700" t="n">
        <v>1</v>
      </c>
      <c r="AA1700" t="n">
        <v>0</v>
      </c>
      <c r="AB1700" t="n">
        <v>1</v>
      </c>
      <c r="AC1700" t="n">
        <v>3</v>
      </c>
      <c r="AD1700" t="n">
        <v>0</v>
      </c>
      <c r="AE1700" t="n">
        <v>93033</v>
      </c>
      <c r="AF1700" t="n">
        <v>10992</v>
      </c>
      <c r="AG1700" t="n">
        <v>33</v>
      </c>
      <c r="AH1700" t="inlineStr">
        <is>
          <t>PT. MENSA BINASUKSES - PPN (PDG)</t>
        </is>
      </c>
      <c r="AI1700" t="n">
        <v>1228</v>
      </c>
      <c r="AJ1700" t="inlineStr">
        <is>
          <t>GARNIER MEN</t>
        </is>
      </c>
      <c r="AK1700" t="n">
        <v>21</v>
      </c>
      <c r="AL1700" t="inlineStr">
        <is>
          <t>Miss Glam Damar</t>
        </is>
      </c>
      <c r="AM1700" t="n">
        <v>3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GARNIER MEN</t>
        </is>
      </c>
      <c r="B1701" s="2">
        <f>"8992304009167"</f>
        <v/>
      </c>
      <c r="C1701" t="inlineStr">
        <is>
          <t>GARNIER MEN Turbolight Oil Cotrol 100ml</t>
        </is>
      </c>
      <c r="D1701" t="inlineStr">
        <is>
          <t>Miss Glam Damar</t>
        </is>
      </c>
      <c r="E1701" t="n">
        <v>1</v>
      </c>
      <c r="F1701" t="n">
        <v>0.09100000000000001</v>
      </c>
      <c r="G1701" t="n">
        <v>0.91</v>
      </c>
      <c r="H1701" t="n">
        <v>3</v>
      </c>
      <c r="I1701" t="n">
        <v>14</v>
      </c>
      <c r="J1701" t="n">
        <v>3</v>
      </c>
      <c r="K1701" t="n">
        <v>0</v>
      </c>
      <c r="L1701" t="n">
        <v>31543</v>
      </c>
      <c r="M1701" t="n">
        <v>37500</v>
      </c>
      <c r="N1701" t="n">
        <v>91</v>
      </c>
      <c r="O1701" t="n">
        <v>0.91</v>
      </c>
      <c r="P1701" t="n">
        <v>1</v>
      </c>
      <c r="Q1701" t="n">
        <v>0.1</v>
      </c>
      <c r="R1701" t="n">
        <v>1</v>
      </c>
      <c r="S1701" t="n">
        <v>3412.5</v>
      </c>
      <c r="T1701" t="n">
        <v>13</v>
      </c>
      <c r="U1701" t="n">
        <v>14</v>
      </c>
      <c r="V1701" t="n">
        <v>30</v>
      </c>
      <c r="W1701" t="n">
        <v>3</v>
      </c>
      <c r="X1701" t="n">
        <v>10.98901098901099</v>
      </c>
      <c r="Y1701" t="n">
        <v>1</v>
      </c>
      <c r="Z1701" t="n">
        <v>2</v>
      </c>
      <c r="AA1701" t="n">
        <v>1</v>
      </c>
      <c r="AB1701" t="n">
        <v>1</v>
      </c>
      <c r="AC1701" t="n">
        <v>3</v>
      </c>
      <c r="AD1701" t="n">
        <v>31543</v>
      </c>
      <c r="AE1701" t="n">
        <v>94629</v>
      </c>
      <c r="AF1701" t="n">
        <v>10992</v>
      </c>
      <c r="AG1701" t="n">
        <v>33</v>
      </c>
      <c r="AH1701" t="inlineStr">
        <is>
          <t>PT. MENSA BINASUKSES - PPN (PDG)</t>
        </is>
      </c>
      <c r="AI1701" t="n">
        <v>1228</v>
      </c>
      <c r="AJ1701" t="inlineStr">
        <is>
          <t>GARNIER MEN</t>
        </is>
      </c>
      <c r="AK1701" t="n">
        <v>21</v>
      </c>
      <c r="AL1701" t="inlineStr">
        <is>
          <t>Miss Glam Damar</t>
        </is>
      </c>
      <c r="AM1701" t="n">
        <v>3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GATSBY</t>
        </is>
      </c>
      <c r="B1702" s="2">
        <f>"8992222057196"</f>
        <v/>
      </c>
      <c r="C1702" t="inlineStr">
        <is>
          <t>GATSBY Aesthetic Bright UV Spf 50 PA++++ Sunscreen Moisturizer 40ml</t>
        </is>
      </c>
      <c r="D1702" t="inlineStr">
        <is>
          <t>Miss Glam Damar</t>
        </is>
      </c>
      <c r="E1702" t="n">
        <v>4</v>
      </c>
      <c r="F1702" t="n">
        <v>0.0728</v>
      </c>
      <c r="G1702" t="n">
        <v>0.91</v>
      </c>
      <c r="H1702" t="n">
        <v>2</v>
      </c>
      <c r="I1702" t="n">
        <v>6</v>
      </c>
      <c r="J1702" t="n">
        <v>3</v>
      </c>
      <c r="K1702" t="n">
        <v>0</v>
      </c>
      <c r="L1702" t="n">
        <v>26541</v>
      </c>
      <c r="M1702" t="n">
        <v>31500</v>
      </c>
      <c r="N1702" t="n">
        <v>91</v>
      </c>
      <c r="O1702" t="n">
        <v>0.91</v>
      </c>
      <c r="P1702" t="n">
        <v>1</v>
      </c>
      <c r="Q1702" t="n">
        <v>0.14</v>
      </c>
      <c r="R1702" t="n">
        <v>2</v>
      </c>
      <c r="S1702" t="n">
        <v>2293.2</v>
      </c>
      <c r="T1702" t="n">
        <v>6</v>
      </c>
      <c r="U1702" t="n">
        <v>7</v>
      </c>
      <c r="V1702" t="n">
        <v>30</v>
      </c>
      <c r="W1702" t="n">
        <v>3</v>
      </c>
      <c r="X1702" t="n">
        <v>54.94505494505494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2660</v>
      </c>
      <c r="AG1702" t="n">
        <v>104</v>
      </c>
      <c r="AH1702" t="inlineStr">
        <is>
          <t>PT. ASIA PARAMITA - PPN (PDG)</t>
        </is>
      </c>
      <c r="AI1702" t="n">
        <v>1544</v>
      </c>
      <c r="AJ1702" t="inlineStr">
        <is>
          <t>GATSBY</t>
        </is>
      </c>
      <c r="AK1702" t="n">
        <v>21</v>
      </c>
      <c r="AL1702" t="inlineStr">
        <is>
          <t>Miss Glam Damar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GATSBY</t>
        </is>
      </c>
      <c r="B1703" s="2">
        <f>"8992222054553"</f>
        <v/>
      </c>
      <c r="C1703" t="inlineStr">
        <is>
          <t>GATSBY Cooling Face Wash Oil Clear Solution Bright White Yam Bean + Lemon 100gr</t>
        </is>
      </c>
      <c r="D1703" t="inlineStr">
        <is>
          <t>Miss Glam Damar</t>
        </is>
      </c>
      <c r="E1703" t="n">
        <v>3</v>
      </c>
      <c r="F1703" t="n">
        <v>0.1274</v>
      </c>
      <c r="G1703" t="n">
        <v>0.91</v>
      </c>
      <c r="H1703" t="n">
        <v>2</v>
      </c>
      <c r="I1703" t="n">
        <v>6</v>
      </c>
      <c r="J1703" t="n">
        <v>3</v>
      </c>
      <c r="K1703" t="n">
        <v>0</v>
      </c>
      <c r="L1703" t="n">
        <v>22458</v>
      </c>
      <c r="M1703" t="n">
        <v>26500</v>
      </c>
      <c r="N1703" t="n">
        <v>91</v>
      </c>
      <c r="O1703" t="n">
        <v>0.91</v>
      </c>
      <c r="P1703" t="n">
        <v>1</v>
      </c>
      <c r="Q1703" t="n">
        <v>0.05</v>
      </c>
      <c r="R1703" t="n">
        <v>1</v>
      </c>
      <c r="S1703" t="n">
        <v>3376.1</v>
      </c>
      <c r="T1703" t="n">
        <v>6</v>
      </c>
      <c r="U1703" t="n">
        <v>7</v>
      </c>
      <c r="V1703" t="n">
        <v>30</v>
      </c>
      <c r="W1703" t="n">
        <v>4</v>
      </c>
      <c r="X1703" t="n">
        <v>23.54788069073783</v>
      </c>
      <c r="Y1703" t="n">
        <v>1</v>
      </c>
      <c r="Z1703" t="n">
        <v>1</v>
      </c>
      <c r="AA1703" t="n">
        <v>0</v>
      </c>
      <c r="AB1703" t="n">
        <v>1</v>
      </c>
      <c r="AC1703" t="n">
        <v>3</v>
      </c>
      <c r="AD1703" t="n">
        <v>0</v>
      </c>
      <c r="AE1703" t="n">
        <v>67374</v>
      </c>
      <c r="AF1703" t="n">
        <v>2660</v>
      </c>
      <c r="AG1703" t="n">
        <v>104</v>
      </c>
      <c r="AH1703" t="inlineStr">
        <is>
          <t>PT. ASIA PARAMITA - PPN (PDG)</t>
        </is>
      </c>
      <c r="AI1703" t="n">
        <v>1544</v>
      </c>
      <c r="AJ1703" t="inlineStr">
        <is>
          <t>GATSBY</t>
        </is>
      </c>
      <c r="AK1703" t="n">
        <v>21</v>
      </c>
      <c r="AL1703" t="inlineStr">
        <is>
          <t>Miss Glam Damar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GATSBY</t>
        </is>
      </c>
      <c r="B1704" s="2">
        <f>"8992222054515"</f>
        <v/>
      </c>
      <c r="C1704" t="inlineStr">
        <is>
          <t>GATSBY Cooling Face Wash Oil Clear Solution Perfect Clean Charcoal + Lemon 100gr</t>
        </is>
      </c>
      <c r="D1704" t="inlineStr">
        <is>
          <t>Miss Glam Damar</t>
        </is>
      </c>
      <c r="E1704" t="n">
        <v>2</v>
      </c>
      <c r="F1704" t="n">
        <v>0.1092</v>
      </c>
      <c r="G1704" t="n">
        <v>0.91</v>
      </c>
      <c r="H1704" t="n">
        <v>2</v>
      </c>
      <c r="I1704" t="n">
        <v>6</v>
      </c>
      <c r="J1704" t="n">
        <v>3</v>
      </c>
      <c r="K1704" t="n">
        <v>0</v>
      </c>
      <c r="L1704" t="n">
        <v>22866</v>
      </c>
      <c r="M1704" t="n">
        <v>27000</v>
      </c>
      <c r="N1704" t="n">
        <v>91</v>
      </c>
      <c r="O1704" t="n">
        <v>0.91</v>
      </c>
      <c r="P1704" t="n">
        <v>1</v>
      </c>
      <c r="Q1704" t="n">
        <v>0.03</v>
      </c>
      <c r="R1704" t="n">
        <v>1</v>
      </c>
      <c r="S1704" t="n">
        <v>2948.4</v>
      </c>
      <c r="T1704" t="n">
        <v>6</v>
      </c>
      <c r="U1704" t="n">
        <v>7</v>
      </c>
      <c r="V1704" t="n">
        <v>30</v>
      </c>
      <c r="W1704" t="n">
        <v>4</v>
      </c>
      <c r="X1704" t="n">
        <v>18.31501831501831</v>
      </c>
      <c r="Y1704" t="n">
        <v>1</v>
      </c>
      <c r="Z1704" t="n">
        <v>2</v>
      </c>
      <c r="AA1704" t="n">
        <v>0</v>
      </c>
      <c r="AB1704" t="n">
        <v>2</v>
      </c>
      <c r="AC1704" t="n">
        <v>3</v>
      </c>
      <c r="AD1704" t="n">
        <v>0</v>
      </c>
      <c r="AE1704" t="n">
        <v>68598</v>
      </c>
      <c r="AF1704" t="n">
        <v>2660</v>
      </c>
      <c r="AG1704" t="n">
        <v>104</v>
      </c>
      <c r="AH1704" t="inlineStr">
        <is>
          <t>PT. ASIA PARAMITA - PPN (PDG)</t>
        </is>
      </c>
      <c r="AI1704" t="n">
        <v>1544</v>
      </c>
      <c r="AJ1704" t="inlineStr">
        <is>
          <t>GATSBY</t>
        </is>
      </c>
      <c r="AK1704" t="n">
        <v>21</v>
      </c>
      <c r="AL1704" t="inlineStr">
        <is>
          <t>Miss Glam Damar</t>
        </is>
      </c>
      <c r="AM1704" t="n">
        <v>2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GATSBY</t>
        </is>
      </c>
      <c r="B1705" s="2">
        <f>"8992222057165"</f>
        <v/>
      </c>
      <c r="C1705" t="inlineStr">
        <is>
          <t>GATSBY Deodorant Nature Perfume Body Spray Calm Wood 150ml</t>
        </is>
      </c>
      <c r="D1705" t="inlineStr">
        <is>
          <t>Miss Glam Damar</t>
        </is>
      </c>
      <c r="E1705" t="n">
        <v>8</v>
      </c>
      <c r="F1705" t="n">
        <v>0.2002</v>
      </c>
      <c r="G1705" t="n">
        <v>1.82</v>
      </c>
      <c r="H1705" t="n">
        <v>2</v>
      </c>
      <c r="I1705" t="n">
        <v>6</v>
      </c>
      <c r="J1705" t="n">
        <v>3</v>
      </c>
      <c r="K1705" t="n">
        <v>0</v>
      </c>
      <c r="L1705" t="n">
        <v>16333</v>
      </c>
      <c r="M1705" t="n">
        <v>20000</v>
      </c>
      <c r="N1705" t="n">
        <v>91</v>
      </c>
      <c r="O1705" t="n">
        <v>0.91</v>
      </c>
      <c r="P1705" t="n">
        <v>1</v>
      </c>
      <c r="Q1705" t="n">
        <v>0.36</v>
      </c>
      <c r="R1705" t="n">
        <v>2</v>
      </c>
      <c r="S1705" t="n">
        <v>4004</v>
      </c>
      <c r="T1705" t="n">
        <v>11</v>
      </c>
      <c r="U1705" t="n">
        <v>12</v>
      </c>
      <c r="V1705" t="n">
        <v>30</v>
      </c>
      <c r="W1705" t="n">
        <v>7</v>
      </c>
      <c r="X1705" t="n">
        <v>39.96003996003996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2660</v>
      </c>
      <c r="AG1705" t="n">
        <v>104</v>
      </c>
      <c r="AH1705" t="inlineStr">
        <is>
          <t>PT. ASIA PARAMITA - PPN (PDG)</t>
        </is>
      </c>
      <c r="AI1705" t="n">
        <v>1544</v>
      </c>
      <c r="AJ1705" t="inlineStr">
        <is>
          <t>GATSBY</t>
        </is>
      </c>
      <c r="AK1705" t="n">
        <v>21</v>
      </c>
      <c r="AL1705" t="inlineStr">
        <is>
          <t>Miss Glam Damar</t>
        </is>
      </c>
      <c r="AM1705" t="n">
        <v>2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GATSBY</t>
        </is>
      </c>
      <c r="B1706" s="2">
        <f>"8992222057158"</f>
        <v/>
      </c>
      <c r="C1706" t="inlineStr">
        <is>
          <t>GATSBY Deodorant Nature Perfume Body Spray Cool Fougere 150ml</t>
        </is>
      </c>
      <c r="D1706" t="inlineStr">
        <is>
          <t>Miss Glam Damar</t>
        </is>
      </c>
      <c r="E1706" t="n">
        <v>5</v>
      </c>
      <c r="F1706" t="n">
        <v>0.3276</v>
      </c>
      <c r="G1706" t="n">
        <v>1.82</v>
      </c>
      <c r="H1706" t="n">
        <v>2</v>
      </c>
      <c r="I1706" t="n">
        <v>6</v>
      </c>
      <c r="J1706" t="n">
        <v>3</v>
      </c>
      <c r="K1706" t="n">
        <v>0</v>
      </c>
      <c r="L1706" t="n">
        <v>16333</v>
      </c>
      <c r="M1706" t="n">
        <v>20000</v>
      </c>
      <c r="N1706" t="n">
        <v>91</v>
      </c>
      <c r="O1706" t="n">
        <v>0.91</v>
      </c>
      <c r="P1706" t="n">
        <v>1</v>
      </c>
      <c r="Q1706" t="n">
        <v>0.14</v>
      </c>
      <c r="R1706" t="n">
        <v>1</v>
      </c>
      <c r="S1706" t="n">
        <v>6552</v>
      </c>
      <c r="T1706" t="n">
        <v>11</v>
      </c>
      <c r="U1706" t="n">
        <v>12</v>
      </c>
      <c r="V1706" t="n">
        <v>30</v>
      </c>
      <c r="W1706" t="n">
        <v>10</v>
      </c>
      <c r="X1706" t="n">
        <v>15.26251526251526</v>
      </c>
      <c r="Y1706" t="n">
        <v>1</v>
      </c>
      <c r="Z1706" t="n">
        <v>5</v>
      </c>
      <c r="AA1706" t="n">
        <v>0</v>
      </c>
      <c r="AB1706" t="n">
        <v>5</v>
      </c>
      <c r="AC1706" t="n">
        <v>5</v>
      </c>
      <c r="AD1706" t="n">
        <v>0</v>
      </c>
      <c r="AE1706" t="n">
        <v>81665</v>
      </c>
      <c r="AF1706" t="n">
        <v>2660</v>
      </c>
      <c r="AG1706" t="n">
        <v>104</v>
      </c>
      <c r="AH1706" t="inlineStr">
        <is>
          <t>PT. ASIA PARAMITA - PPN (PDG)</t>
        </is>
      </c>
      <c r="AI1706" t="n">
        <v>1544</v>
      </c>
      <c r="AJ1706" t="inlineStr">
        <is>
          <t>GATSBY</t>
        </is>
      </c>
      <c r="AK1706" t="n">
        <v>21</v>
      </c>
      <c r="AL1706" t="inlineStr">
        <is>
          <t>Miss Glam Damar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GATSBY</t>
        </is>
      </c>
      <c r="B1707" s="2">
        <f>"8992222057141"</f>
        <v/>
      </c>
      <c r="C1707" t="inlineStr">
        <is>
          <t>GATSBY Deodorant Nature Perfume Body Spray Premium Tonika 150ml</t>
        </is>
      </c>
      <c r="D1707" t="inlineStr">
        <is>
          <t>Miss Glam Damar</t>
        </is>
      </c>
      <c r="E1707" t="n">
        <v>6</v>
      </c>
      <c r="F1707" t="n">
        <v>0.2912</v>
      </c>
      <c r="G1707" t="n">
        <v>1.82</v>
      </c>
      <c r="H1707" t="n">
        <v>2</v>
      </c>
      <c r="I1707" t="n">
        <v>6</v>
      </c>
      <c r="J1707" t="n">
        <v>3</v>
      </c>
      <c r="K1707" t="n">
        <v>0</v>
      </c>
      <c r="L1707" t="n">
        <v>16333</v>
      </c>
      <c r="M1707" t="n">
        <v>20000</v>
      </c>
      <c r="N1707" t="n">
        <v>91</v>
      </c>
      <c r="O1707" t="n">
        <v>0.91</v>
      </c>
      <c r="P1707" t="n">
        <v>1</v>
      </c>
      <c r="Q1707" t="n">
        <v>0.22</v>
      </c>
      <c r="R1707" t="n">
        <v>3</v>
      </c>
      <c r="S1707" t="n">
        <v>5824</v>
      </c>
      <c r="T1707" t="n">
        <v>11</v>
      </c>
      <c r="U1707" t="n">
        <v>12</v>
      </c>
      <c r="V1707" t="n">
        <v>30</v>
      </c>
      <c r="W1707" t="n">
        <v>9</v>
      </c>
      <c r="X1707" t="n">
        <v>20.6043956043956</v>
      </c>
      <c r="Y1707" t="n">
        <v>1</v>
      </c>
      <c r="Z1707" t="n">
        <v>3</v>
      </c>
      <c r="AA1707" t="n">
        <v>0</v>
      </c>
      <c r="AB1707" t="n">
        <v>3</v>
      </c>
      <c r="AC1707" t="n">
        <v>3</v>
      </c>
      <c r="AD1707" t="n">
        <v>0</v>
      </c>
      <c r="AE1707" t="n">
        <v>48999</v>
      </c>
      <c r="AF1707" t="n">
        <v>2660</v>
      </c>
      <c r="AG1707" t="n">
        <v>104</v>
      </c>
      <c r="AH1707" t="inlineStr">
        <is>
          <t>PT. ASIA PARAMITA - PPN (PDG)</t>
        </is>
      </c>
      <c r="AI1707" t="n">
        <v>1544</v>
      </c>
      <c r="AJ1707" t="inlineStr">
        <is>
          <t>GATSBY</t>
        </is>
      </c>
      <c r="AK1707" t="n">
        <v>21</v>
      </c>
      <c r="AL1707" t="inlineStr">
        <is>
          <t>Miss Glam Damar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GATSBY</t>
        </is>
      </c>
      <c r="B1708" s="2">
        <f>"8992222057172"</f>
        <v/>
      </c>
      <c r="C1708" t="inlineStr">
        <is>
          <t>GATSBY Deodorant Nature Perfume Body Spray Relax Musk 150ml</t>
        </is>
      </c>
      <c r="D1708" t="inlineStr">
        <is>
          <t>Miss Glam Damar</t>
        </is>
      </c>
      <c r="E1708" t="n">
        <v>5</v>
      </c>
      <c r="F1708" t="n">
        <v>0.19</v>
      </c>
      <c r="G1708" t="n">
        <v>1</v>
      </c>
      <c r="H1708" t="n">
        <v>2</v>
      </c>
      <c r="I1708" t="n">
        <v>6</v>
      </c>
      <c r="J1708" t="n">
        <v>3</v>
      </c>
      <c r="K1708" t="n">
        <v>0</v>
      </c>
      <c r="L1708" t="n">
        <v>16333</v>
      </c>
      <c r="M1708" t="n">
        <v>20000</v>
      </c>
      <c r="N1708" t="n">
        <v>91</v>
      </c>
      <c r="O1708" t="n">
        <v>0.91</v>
      </c>
      <c r="P1708" t="n">
        <v>0</v>
      </c>
      <c r="Q1708" t="n">
        <v>0.19</v>
      </c>
      <c r="R1708" t="n">
        <v>1</v>
      </c>
      <c r="S1708" t="n">
        <v>3800</v>
      </c>
      <c r="T1708" t="n">
        <v>6</v>
      </c>
      <c r="U1708" t="n">
        <v>7</v>
      </c>
      <c r="V1708" t="n">
        <v>30</v>
      </c>
      <c r="W1708" t="n">
        <v>6</v>
      </c>
      <c r="X1708" t="n">
        <v>26.31578947368421</v>
      </c>
      <c r="Y1708" t="n">
        <v>1</v>
      </c>
      <c r="Z1708" t="n">
        <v>1</v>
      </c>
      <c r="AA1708" t="n">
        <v>0</v>
      </c>
      <c r="AB1708" t="n">
        <v>1</v>
      </c>
      <c r="AC1708" t="n">
        <v>3</v>
      </c>
      <c r="AD1708" t="n">
        <v>0</v>
      </c>
      <c r="AE1708" t="n">
        <v>48999</v>
      </c>
      <c r="AF1708" t="n">
        <v>2660</v>
      </c>
      <c r="AG1708" t="n">
        <v>104</v>
      </c>
      <c r="AH1708" t="inlineStr">
        <is>
          <t>PT. ASIA PARAMITA - PPN (PDG)</t>
        </is>
      </c>
      <c r="AI1708" t="n">
        <v>1544</v>
      </c>
      <c r="AJ1708" t="inlineStr">
        <is>
          <t>GATSBY</t>
        </is>
      </c>
      <c r="AK1708" t="n">
        <v>21</v>
      </c>
      <c r="AL1708" t="inlineStr">
        <is>
          <t>Miss Glam Damar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GATSBY</t>
        </is>
      </c>
      <c r="B1709" s="2">
        <f>"11000703045"</f>
        <v/>
      </c>
      <c r="C1709" t="inlineStr">
        <is>
          <t>GATSBY Eau De Blue Deodorant Roll-On Air Code 50ml</t>
        </is>
      </c>
      <c r="D1709" t="inlineStr">
        <is>
          <t>Miss Glam Damar</t>
        </is>
      </c>
      <c r="E1709" t="n">
        <v>3</v>
      </c>
      <c r="F1709" t="n">
        <v>0.09100000000000001</v>
      </c>
      <c r="G1709" t="n">
        <v>0.91</v>
      </c>
      <c r="H1709" t="n">
        <v>2</v>
      </c>
      <c r="I1709" t="n">
        <v>6</v>
      </c>
      <c r="J1709" t="n">
        <v>1</v>
      </c>
      <c r="K1709" t="n">
        <v>0</v>
      </c>
      <c r="L1709" t="n">
        <v>16333</v>
      </c>
      <c r="M1709" t="n">
        <v>20000</v>
      </c>
      <c r="N1709" t="n">
        <v>91</v>
      </c>
      <c r="O1709" t="n">
        <v>0.91</v>
      </c>
      <c r="P1709" t="n">
        <v>1</v>
      </c>
      <c r="Q1709" t="n">
        <v>0.1</v>
      </c>
      <c r="R1709" t="n">
        <v>1</v>
      </c>
      <c r="S1709" t="n">
        <v>1820</v>
      </c>
      <c r="T1709" t="n">
        <v>6</v>
      </c>
      <c r="U1709" t="n">
        <v>7</v>
      </c>
      <c r="V1709" t="n">
        <v>30</v>
      </c>
      <c r="W1709" t="n">
        <v>3</v>
      </c>
      <c r="X1709" t="n">
        <v>32.96703296703296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2660</v>
      </c>
      <c r="AG1709" t="n">
        <v>104</v>
      </c>
      <c r="AH1709" t="inlineStr">
        <is>
          <t>PT. ASIA PARAMITA - PPN (PDG)</t>
        </is>
      </c>
      <c r="AI1709" t="n">
        <v>1544</v>
      </c>
      <c r="AJ1709" t="inlineStr">
        <is>
          <t>GATSBY</t>
        </is>
      </c>
      <c r="AK1709" t="n">
        <v>21</v>
      </c>
      <c r="AL1709" t="inlineStr">
        <is>
          <t>Miss Glam Damar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GATSBY</t>
        </is>
      </c>
      <c r="B1710" s="2">
        <f>"11000702904"</f>
        <v/>
      </c>
      <c r="C1710" t="inlineStr">
        <is>
          <t>GATSBY Eau De Blue Deodorant Roll-On Earth Code 50ml</t>
        </is>
      </c>
      <c r="D1710" t="inlineStr">
        <is>
          <t>Miss Glam Damar</t>
        </is>
      </c>
      <c r="E1710" t="n">
        <v>1</v>
      </c>
      <c r="F1710" t="n">
        <v>0.1547</v>
      </c>
      <c r="G1710" t="n">
        <v>1.82</v>
      </c>
      <c r="H1710" t="n">
        <v>2</v>
      </c>
      <c r="I1710" t="n">
        <v>6</v>
      </c>
      <c r="J1710" t="n">
        <v>1</v>
      </c>
      <c r="K1710" t="n">
        <v>0</v>
      </c>
      <c r="L1710" t="n">
        <v>16333</v>
      </c>
      <c r="M1710" t="n">
        <v>20000</v>
      </c>
      <c r="N1710" t="n">
        <v>91</v>
      </c>
      <c r="O1710" t="n">
        <v>0.91</v>
      </c>
      <c r="P1710" t="n">
        <v>1</v>
      </c>
      <c r="Q1710" t="n">
        <v>0.08</v>
      </c>
      <c r="R1710" t="n">
        <v>2</v>
      </c>
      <c r="S1710" t="n">
        <v>3094</v>
      </c>
      <c r="T1710" t="n">
        <v>11</v>
      </c>
      <c r="U1710" t="n">
        <v>12</v>
      </c>
      <c r="V1710" t="n">
        <v>30</v>
      </c>
      <c r="W1710" t="n">
        <v>5</v>
      </c>
      <c r="X1710" t="n">
        <v>6.464124111182935</v>
      </c>
      <c r="Y1710" t="n">
        <v>1</v>
      </c>
      <c r="Z1710" t="n">
        <v>4</v>
      </c>
      <c r="AA1710" t="n">
        <v>0</v>
      </c>
      <c r="AB1710" t="n">
        <v>4</v>
      </c>
      <c r="AC1710" t="n">
        <v>4</v>
      </c>
      <c r="AD1710" t="n">
        <v>0</v>
      </c>
      <c r="AE1710" t="n">
        <v>65332</v>
      </c>
      <c r="AF1710" t="n">
        <v>2660</v>
      </c>
      <c r="AG1710" t="n">
        <v>104</v>
      </c>
      <c r="AH1710" t="inlineStr">
        <is>
          <t>PT. ASIA PARAMITA - PPN (PDG)</t>
        </is>
      </c>
      <c r="AI1710" t="n">
        <v>1544</v>
      </c>
      <c r="AJ1710" t="inlineStr">
        <is>
          <t>GATSBY</t>
        </is>
      </c>
      <c r="AK1710" t="n">
        <v>21</v>
      </c>
      <c r="AL1710" t="inlineStr">
        <is>
          <t>Miss Glam Damar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GATSBY</t>
        </is>
      </c>
      <c r="B1711" s="2">
        <f>"11000702826"</f>
        <v/>
      </c>
      <c r="C1711" t="inlineStr">
        <is>
          <t>GATSBY Eau De Blue Deodorant Roll-On Skyline Code 50ml</t>
        </is>
      </c>
      <c r="D1711" t="inlineStr">
        <is>
          <t>Miss Glam Damar</t>
        </is>
      </c>
      <c r="E1711" t="n">
        <v>3</v>
      </c>
      <c r="F1711" t="n">
        <v>0.3549</v>
      </c>
      <c r="G1711" t="n">
        <v>2.73</v>
      </c>
      <c r="H1711" t="n">
        <v>2</v>
      </c>
      <c r="I1711" t="n">
        <v>6</v>
      </c>
      <c r="J1711" t="n">
        <v>1</v>
      </c>
      <c r="K1711" t="n">
        <v>0</v>
      </c>
      <c r="L1711" t="n">
        <v>16333</v>
      </c>
      <c r="M1711" t="n">
        <v>20000</v>
      </c>
      <c r="N1711" t="n">
        <v>91</v>
      </c>
      <c r="O1711" t="n">
        <v>0.91</v>
      </c>
      <c r="P1711" t="n">
        <v>1</v>
      </c>
      <c r="Q1711" t="n">
        <v>0.15</v>
      </c>
      <c r="R1711" t="n">
        <v>2</v>
      </c>
      <c r="S1711" t="n">
        <v>7098.000000000001</v>
      </c>
      <c r="T1711" t="n">
        <v>16</v>
      </c>
      <c r="U1711" t="n">
        <v>17</v>
      </c>
      <c r="V1711" t="n">
        <v>30</v>
      </c>
      <c r="W1711" t="n">
        <v>11</v>
      </c>
      <c r="X1711" t="n">
        <v>8.453085376162297</v>
      </c>
      <c r="Y1711" t="n">
        <v>1</v>
      </c>
      <c r="Z1711" t="n">
        <v>8</v>
      </c>
      <c r="AA1711" t="n">
        <v>0</v>
      </c>
      <c r="AB1711" t="n">
        <v>8</v>
      </c>
      <c r="AC1711" t="n">
        <v>8</v>
      </c>
      <c r="AD1711" t="n">
        <v>0</v>
      </c>
      <c r="AE1711" t="n">
        <v>130664</v>
      </c>
      <c r="AF1711" t="n">
        <v>2660</v>
      </c>
      <c r="AG1711" t="n">
        <v>104</v>
      </c>
      <c r="AH1711" t="inlineStr">
        <is>
          <t>PT. ASIA PARAMITA - PPN (PDG)</t>
        </is>
      </c>
      <c r="AI1711" t="n">
        <v>1544</v>
      </c>
      <c r="AJ1711" t="inlineStr">
        <is>
          <t>GATSBY</t>
        </is>
      </c>
      <c r="AK1711" t="n">
        <v>21</v>
      </c>
      <c r="AL1711" t="inlineStr">
        <is>
          <t>Miss Glam Damar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GATSBY</t>
        </is>
      </c>
      <c r="B1712" s="2">
        <f>"11000408830"</f>
        <v/>
      </c>
      <c r="C1712" t="inlineStr">
        <is>
          <t>GATSBY Eau De Blue Eau De Parfum Air Code 100ml</t>
        </is>
      </c>
      <c r="D1712" t="inlineStr">
        <is>
          <t>Miss Glam Damar</t>
        </is>
      </c>
      <c r="E1712" t="n">
        <v>9</v>
      </c>
      <c r="F1712" t="n">
        <v>0.1092</v>
      </c>
      <c r="G1712" t="n">
        <v>0.91</v>
      </c>
      <c r="H1712" t="n">
        <v>2</v>
      </c>
      <c r="I1712" t="n">
        <v>6</v>
      </c>
      <c r="J1712" t="n">
        <v>1</v>
      </c>
      <c r="K1712" t="n">
        <v>0</v>
      </c>
      <c r="L1712" t="n">
        <v>35116</v>
      </c>
      <c r="M1712" t="n">
        <v>41500</v>
      </c>
      <c r="N1712" t="n">
        <v>91</v>
      </c>
      <c r="O1712" t="n">
        <v>0.91</v>
      </c>
      <c r="P1712" t="n">
        <v>1</v>
      </c>
      <c r="Q1712" t="n">
        <v>0.25</v>
      </c>
      <c r="R1712" t="n">
        <v>1</v>
      </c>
      <c r="S1712" t="n">
        <v>4531.8</v>
      </c>
      <c r="T1712" t="n">
        <v>6</v>
      </c>
      <c r="U1712" t="n">
        <v>7</v>
      </c>
      <c r="V1712" t="n">
        <v>30</v>
      </c>
      <c r="W1712" t="n">
        <v>4</v>
      </c>
      <c r="X1712" t="n">
        <v>82.41758241758241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2660</v>
      </c>
      <c r="AG1712" t="n">
        <v>104</v>
      </c>
      <c r="AH1712" t="inlineStr">
        <is>
          <t>PT. ASIA PARAMITA - PPN (PDG)</t>
        </is>
      </c>
      <c r="AI1712" t="n">
        <v>1544</v>
      </c>
      <c r="AJ1712" t="inlineStr">
        <is>
          <t>GATSBY</t>
        </is>
      </c>
      <c r="AK1712" t="n">
        <v>21</v>
      </c>
      <c r="AL1712" t="inlineStr">
        <is>
          <t>Miss Glam Damar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GATSBY</t>
        </is>
      </c>
      <c r="B1713" s="2">
        <f>"11000408754"</f>
        <v/>
      </c>
      <c r="C1713" t="inlineStr">
        <is>
          <t>GATSBY Eau De Blue Eau De Parfum Earth Code 100ml</t>
        </is>
      </c>
      <c r="D1713" t="inlineStr">
        <is>
          <t>Miss Glam Damar</t>
        </is>
      </c>
      <c r="E1713" t="n">
        <v>3</v>
      </c>
      <c r="F1713" t="n">
        <v>0.0728</v>
      </c>
      <c r="G1713" t="n">
        <v>0.91</v>
      </c>
      <c r="H1713" t="n">
        <v>2</v>
      </c>
      <c r="I1713" t="n">
        <v>6</v>
      </c>
      <c r="J1713" t="n">
        <v>1</v>
      </c>
      <c r="K1713" t="n">
        <v>0</v>
      </c>
      <c r="L1713" t="n">
        <v>35116</v>
      </c>
      <c r="M1713" t="n">
        <v>41500</v>
      </c>
      <c r="N1713" t="n">
        <v>91</v>
      </c>
      <c r="O1713" t="n">
        <v>0.91</v>
      </c>
      <c r="P1713" t="n">
        <v>1</v>
      </c>
      <c r="Q1713" t="n">
        <v>0.1</v>
      </c>
      <c r="R1713" t="n">
        <v>2</v>
      </c>
      <c r="S1713" t="n">
        <v>3021.2</v>
      </c>
      <c r="T1713" t="n">
        <v>6</v>
      </c>
      <c r="U1713" t="n">
        <v>7</v>
      </c>
      <c r="V1713" t="n">
        <v>30</v>
      </c>
      <c r="W1713" t="n">
        <v>3</v>
      </c>
      <c r="X1713" t="n">
        <v>41.2087912087912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2660</v>
      </c>
      <c r="AG1713" t="n">
        <v>104</v>
      </c>
      <c r="AH1713" t="inlineStr">
        <is>
          <t>PT. ASIA PARAMITA - PPN (PDG)</t>
        </is>
      </c>
      <c r="AI1713" t="n">
        <v>1544</v>
      </c>
      <c r="AJ1713" t="inlineStr">
        <is>
          <t>GATSBY</t>
        </is>
      </c>
      <c r="AK1713" t="n">
        <v>21</v>
      </c>
      <c r="AL1713" t="inlineStr">
        <is>
          <t>Miss Glam Damar</t>
        </is>
      </c>
      <c r="AM1713" t="n">
        <v>2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GATSBY</t>
        </is>
      </c>
      <c r="B1714" s="2">
        <f>"11000408617"</f>
        <v/>
      </c>
      <c r="C1714" t="inlineStr">
        <is>
          <t>GATSBY Eau De Blue Eau De Parfum Skyline Code 100ml</t>
        </is>
      </c>
      <c r="D1714" t="inlineStr">
        <is>
          <t>Miss Glam Damar</t>
        </is>
      </c>
      <c r="E1714" t="n">
        <v>5</v>
      </c>
      <c r="F1714" t="n">
        <v>0.1547</v>
      </c>
      <c r="G1714" t="n">
        <v>1.82</v>
      </c>
      <c r="H1714" t="n">
        <v>2</v>
      </c>
      <c r="I1714" t="n">
        <v>6</v>
      </c>
      <c r="J1714" t="n">
        <v>1</v>
      </c>
      <c r="K1714" t="n">
        <v>0</v>
      </c>
      <c r="L1714" t="n">
        <v>35116</v>
      </c>
      <c r="M1714" t="n">
        <v>41500</v>
      </c>
      <c r="N1714" t="n">
        <v>91</v>
      </c>
      <c r="O1714" t="n">
        <v>0.91</v>
      </c>
      <c r="P1714" t="n">
        <v>1</v>
      </c>
      <c r="Q1714" t="n">
        <v>0.08</v>
      </c>
      <c r="R1714" t="n">
        <v>1</v>
      </c>
      <c r="S1714" t="n">
        <v>6420.05</v>
      </c>
      <c r="T1714" t="n">
        <v>11</v>
      </c>
      <c r="U1714" t="n">
        <v>12</v>
      </c>
      <c r="V1714" t="n">
        <v>30</v>
      </c>
      <c r="W1714" t="n">
        <v>5</v>
      </c>
      <c r="X1714" t="n">
        <v>32.32062055591467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2660</v>
      </c>
      <c r="AG1714" t="n">
        <v>104</v>
      </c>
      <c r="AH1714" t="inlineStr">
        <is>
          <t>PT. ASIA PARAMITA - PPN (PDG)</t>
        </is>
      </c>
      <c r="AI1714" t="n">
        <v>1544</v>
      </c>
      <c r="AJ1714" t="inlineStr">
        <is>
          <t>GATSBY</t>
        </is>
      </c>
      <c r="AK1714" t="n">
        <v>21</v>
      </c>
      <c r="AL1714" t="inlineStr">
        <is>
          <t>Miss Glam Damar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GATSBY</t>
        </is>
      </c>
      <c r="B1715" s="2">
        <f>"8992222057066"</f>
        <v/>
      </c>
      <c r="C1715" t="inlineStr">
        <is>
          <t>GATSBY Eau De Bold Eau De Parfum Moon Code 100ml</t>
        </is>
      </c>
      <c r="D1715" t="inlineStr">
        <is>
          <t>Miss Glam Damar</t>
        </is>
      </c>
      <c r="E1715" t="n">
        <v>2</v>
      </c>
      <c r="F1715" t="n">
        <v>0.0273</v>
      </c>
      <c r="G1715" t="n">
        <v>0.91</v>
      </c>
      <c r="H1715" t="n">
        <v>2</v>
      </c>
      <c r="I1715" t="n">
        <v>6</v>
      </c>
      <c r="J1715" t="n">
        <v>3</v>
      </c>
      <c r="K1715" t="n">
        <v>0</v>
      </c>
      <c r="L1715" t="n">
        <v>35116</v>
      </c>
      <c r="M1715" t="n">
        <v>44000</v>
      </c>
      <c r="N1715" t="n">
        <v>91</v>
      </c>
      <c r="O1715" t="n">
        <v>0.91</v>
      </c>
      <c r="P1715" t="n">
        <v>1</v>
      </c>
      <c r="Q1715" t="n">
        <v>0.03</v>
      </c>
      <c r="R1715" t="n">
        <v>1</v>
      </c>
      <c r="S1715" t="n">
        <v>1201.2</v>
      </c>
      <c r="T1715" t="n">
        <v>6</v>
      </c>
      <c r="U1715" t="n">
        <v>7</v>
      </c>
      <c r="V1715" t="n">
        <v>30</v>
      </c>
      <c r="W1715" t="n">
        <v>1</v>
      </c>
      <c r="X1715" t="n">
        <v>73.26007326007326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2660</v>
      </c>
      <c r="AG1715" t="n">
        <v>104</v>
      </c>
      <c r="AH1715" t="inlineStr">
        <is>
          <t>PT. ASIA PARAMITA - PPN (PDG)</t>
        </is>
      </c>
      <c r="AI1715" t="n">
        <v>1544</v>
      </c>
      <c r="AJ1715" t="inlineStr">
        <is>
          <t>GATSBY</t>
        </is>
      </c>
      <c r="AK1715" t="n">
        <v>21</v>
      </c>
      <c r="AL1715" t="inlineStr">
        <is>
          <t>Miss Glam Damar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GATSBY</t>
        </is>
      </c>
      <c r="B1716" s="2">
        <f>"8992222057042"</f>
        <v/>
      </c>
      <c r="C1716" t="inlineStr">
        <is>
          <t>GATSBY Eau De Bold Eau De Parfum Space Code 100ml</t>
        </is>
      </c>
      <c r="D1716" t="inlineStr">
        <is>
          <t>Miss Glam Damar</t>
        </is>
      </c>
      <c r="E1716" t="n">
        <v>4</v>
      </c>
      <c r="F1716" t="n">
        <v>0.0273</v>
      </c>
      <c r="G1716" t="n">
        <v>0.91</v>
      </c>
      <c r="H1716" t="n">
        <v>2</v>
      </c>
      <c r="I1716" t="n">
        <v>6</v>
      </c>
      <c r="J1716" t="n">
        <v>3</v>
      </c>
      <c r="K1716" t="n">
        <v>0</v>
      </c>
      <c r="L1716" t="n">
        <v>35116</v>
      </c>
      <c r="M1716" t="n">
        <v>44000</v>
      </c>
      <c r="N1716" t="n">
        <v>91</v>
      </c>
      <c r="O1716" t="n">
        <v>0.91</v>
      </c>
      <c r="P1716" t="n">
        <v>1</v>
      </c>
      <c r="Q1716" t="n">
        <v>0.07000000000000001</v>
      </c>
      <c r="R1716" t="n">
        <v>1</v>
      </c>
      <c r="S1716" t="n">
        <v>1201.2</v>
      </c>
      <c r="T1716" t="n">
        <v>6</v>
      </c>
      <c r="U1716" t="n">
        <v>7</v>
      </c>
      <c r="V1716" t="n">
        <v>30</v>
      </c>
      <c r="W1716" t="n">
        <v>1</v>
      </c>
      <c r="X1716" t="n">
        <v>146.5201465201465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2660</v>
      </c>
      <c r="AG1716" t="n">
        <v>104</v>
      </c>
      <c r="AH1716" t="inlineStr">
        <is>
          <t>PT. ASIA PARAMITA - PPN (PDG)</t>
        </is>
      </c>
      <c r="AI1716" t="n">
        <v>1544</v>
      </c>
      <c r="AJ1716" t="inlineStr">
        <is>
          <t>GATSBY</t>
        </is>
      </c>
      <c r="AK1716" t="n">
        <v>21</v>
      </c>
      <c r="AL1716" t="inlineStr">
        <is>
          <t>Miss Glam Damar</t>
        </is>
      </c>
      <c r="AM1716" t="n">
        <v>2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GATSBY</t>
        </is>
      </c>
      <c r="B1717" s="2">
        <f>"8992222057059"</f>
        <v/>
      </c>
      <c r="C1717" t="inlineStr">
        <is>
          <t>GATSBY Eau De Bold Eau De Parfum Star Code 100ml</t>
        </is>
      </c>
      <c r="D1717" t="inlineStr">
        <is>
          <t>Miss Glam Damar</t>
        </is>
      </c>
      <c r="E1717" t="n">
        <v>5</v>
      </c>
      <c r="F1717" t="n">
        <v>0.1092</v>
      </c>
      <c r="G1717" t="n">
        <v>0.91</v>
      </c>
      <c r="H1717" t="n">
        <v>2</v>
      </c>
      <c r="I1717" t="n">
        <v>6</v>
      </c>
      <c r="J1717" t="n">
        <v>3</v>
      </c>
      <c r="K1717" t="n">
        <v>0</v>
      </c>
      <c r="L1717" t="n">
        <v>35116</v>
      </c>
      <c r="M1717" t="n">
        <v>44000</v>
      </c>
      <c r="N1717" t="n">
        <v>91</v>
      </c>
      <c r="O1717" t="n">
        <v>0.91</v>
      </c>
      <c r="P1717" t="n">
        <v>1</v>
      </c>
      <c r="Q1717" t="n">
        <v>0.07000000000000001</v>
      </c>
      <c r="R1717" t="n">
        <v>2</v>
      </c>
      <c r="S1717" t="n">
        <v>4804.8</v>
      </c>
      <c r="T1717" t="n">
        <v>6</v>
      </c>
      <c r="U1717" t="n">
        <v>7</v>
      </c>
      <c r="V1717" t="n">
        <v>30</v>
      </c>
      <c r="W1717" t="n">
        <v>4</v>
      </c>
      <c r="X1717" t="n">
        <v>45.78754578754579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2660</v>
      </c>
      <c r="AG1717" t="n">
        <v>104</v>
      </c>
      <c r="AH1717" t="inlineStr">
        <is>
          <t>PT. ASIA PARAMITA - PPN (PDG)</t>
        </is>
      </c>
      <c r="AI1717" t="n">
        <v>1544</v>
      </c>
      <c r="AJ1717" t="inlineStr">
        <is>
          <t>GATSBY</t>
        </is>
      </c>
      <c r="AK1717" t="n">
        <v>21</v>
      </c>
      <c r="AL1717" t="inlineStr">
        <is>
          <t>Miss Glam Damar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GATSBY</t>
        </is>
      </c>
      <c r="B1718" s="2">
        <f>"8992222057097"</f>
        <v/>
      </c>
      <c r="C1718" t="inlineStr">
        <is>
          <t>GATSBY Eau De Bold Roll On Deodorant Moon Code 50ml</t>
        </is>
      </c>
      <c r="D1718" t="inlineStr">
        <is>
          <t>Miss Glam Damar</t>
        </is>
      </c>
      <c r="E1718" t="n">
        <v>4</v>
      </c>
      <c r="F1718" t="n">
        <v>0.1092</v>
      </c>
      <c r="G1718" t="n">
        <v>0.91</v>
      </c>
      <c r="H1718" t="n">
        <v>2</v>
      </c>
      <c r="I1718" t="n">
        <v>6</v>
      </c>
      <c r="J1718" t="n">
        <v>3</v>
      </c>
      <c r="K1718" t="n">
        <v>0</v>
      </c>
      <c r="L1718" t="n">
        <v>16333</v>
      </c>
      <c r="M1718" t="n">
        <v>20500</v>
      </c>
      <c r="N1718" t="n">
        <v>91</v>
      </c>
      <c r="O1718" t="n">
        <v>0.91</v>
      </c>
      <c r="P1718" t="n">
        <v>1</v>
      </c>
      <c r="Q1718" t="n">
        <v>0.03</v>
      </c>
      <c r="R1718" t="n">
        <v>1</v>
      </c>
      <c r="S1718" t="n">
        <v>2238.6</v>
      </c>
      <c r="T1718" t="n">
        <v>6</v>
      </c>
      <c r="U1718" t="n">
        <v>7</v>
      </c>
      <c r="V1718" t="n">
        <v>30</v>
      </c>
      <c r="W1718" t="n">
        <v>4</v>
      </c>
      <c r="X1718" t="n">
        <v>36.63003663003663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2660</v>
      </c>
      <c r="AG1718" t="n">
        <v>104</v>
      </c>
      <c r="AH1718" t="inlineStr">
        <is>
          <t>PT. ASIA PARAMITA - PPN (PDG)</t>
        </is>
      </c>
      <c r="AI1718" t="n">
        <v>1544</v>
      </c>
      <c r="AJ1718" t="inlineStr">
        <is>
          <t>GATSBY</t>
        </is>
      </c>
      <c r="AK1718" t="n">
        <v>21</v>
      </c>
      <c r="AL1718" t="inlineStr">
        <is>
          <t>Miss Glam Damar</t>
        </is>
      </c>
      <c r="AM1718" t="n">
        <v>2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GATSBY</t>
        </is>
      </c>
      <c r="B1719" s="2">
        <f>"8992222057073"</f>
        <v/>
      </c>
      <c r="C1719" t="inlineStr">
        <is>
          <t>GATSBY Eau De Bold Roll On Deodorant Space Code 50ml</t>
        </is>
      </c>
      <c r="D1719" t="inlineStr">
        <is>
          <t>Miss Glam Damar</t>
        </is>
      </c>
      <c r="E1719" t="n">
        <v>1</v>
      </c>
      <c r="F1719" t="n">
        <v>0.09100000000000001</v>
      </c>
      <c r="G1719" t="n">
        <v>0.91</v>
      </c>
      <c r="H1719" t="n">
        <v>2</v>
      </c>
      <c r="I1719" t="n">
        <v>6</v>
      </c>
      <c r="J1719" t="n">
        <v>3</v>
      </c>
      <c r="K1719" t="n">
        <v>0</v>
      </c>
      <c r="L1719" t="n">
        <v>16333</v>
      </c>
      <c r="M1719" t="n">
        <v>20500</v>
      </c>
      <c r="N1719" t="n">
        <v>91</v>
      </c>
      <c r="O1719" t="n">
        <v>0.91</v>
      </c>
      <c r="P1719" t="n">
        <v>1</v>
      </c>
      <c r="Q1719" t="n">
        <v>0.03</v>
      </c>
      <c r="R1719" t="n">
        <v>1</v>
      </c>
      <c r="S1719" t="n">
        <v>1865.5</v>
      </c>
      <c r="T1719" t="n">
        <v>6</v>
      </c>
      <c r="U1719" t="n">
        <v>7</v>
      </c>
      <c r="V1719" t="n">
        <v>30</v>
      </c>
      <c r="W1719" t="n">
        <v>3</v>
      </c>
      <c r="X1719" t="n">
        <v>10.98901098901099</v>
      </c>
      <c r="Y1719" t="n">
        <v>1</v>
      </c>
      <c r="Z1719" t="n">
        <v>2</v>
      </c>
      <c r="AA1719" t="n">
        <v>0</v>
      </c>
      <c r="AB1719" t="n">
        <v>2</v>
      </c>
      <c r="AC1719" t="n">
        <v>3</v>
      </c>
      <c r="AD1719" t="n">
        <v>0</v>
      </c>
      <c r="AE1719" t="n">
        <v>48999</v>
      </c>
      <c r="AF1719" t="n">
        <v>2660</v>
      </c>
      <c r="AG1719" t="n">
        <v>104</v>
      </c>
      <c r="AH1719" t="inlineStr">
        <is>
          <t>PT. ASIA PARAMITA - PPN (PDG)</t>
        </is>
      </c>
      <c r="AI1719" t="n">
        <v>1544</v>
      </c>
      <c r="AJ1719" t="inlineStr">
        <is>
          <t>GATSBY</t>
        </is>
      </c>
      <c r="AK1719" t="n">
        <v>21</v>
      </c>
      <c r="AL1719" t="inlineStr">
        <is>
          <t>Miss Glam Damar</t>
        </is>
      </c>
      <c r="AM1719" t="n">
        <v>2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GATSBY</t>
        </is>
      </c>
      <c r="B1720" s="2">
        <f>"8992222057080"</f>
        <v/>
      </c>
      <c r="C1720" t="inlineStr">
        <is>
          <t>GATSBY Eau De Bold Roll On Deodorant Star Code 50ml</t>
        </is>
      </c>
      <c r="D1720" t="inlineStr">
        <is>
          <t>Miss Glam Damar</t>
        </is>
      </c>
      <c r="E1720" t="n">
        <v>3</v>
      </c>
      <c r="F1720" t="n">
        <v>0.1092</v>
      </c>
      <c r="G1720" t="n">
        <v>0.91</v>
      </c>
      <c r="H1720" t="n">
        <v>2</v>
      </c>
      <c r="I1720" t="n">
        <v>6</v>
      </c>
      <c r="J1720" t="n">
        <v>3</v>
      </c>
      <c r="K1720" t="n">
        <v>0</v>
      </c>
      <c r="L1720" t="n">
        <v>16333</v>
      </c>
      <c r="M1720" t="n">
        <v>20500</v>
      </c>
      <c r="N1720" t="n">
        <v>91</v>
      </c>
      <c r="O1720" t="n">
        <v>0.91</v>
      </c>
      <c r="P1720" t="n">
        <v>1</v>
      </c>
      <c r="Q1720" t="n">
        <v>0.1</v>
      </c>
      <c r="R1720" t="n">
        <v>1</v>
      </c>
      <c r="S1720" t="n">
        <v>2238.6</v>
      </c>
      <c r="T1720" t="n">
        <v>6</v>
      </c>
      <c r="U1720" t="n">
        <v>7</v>
      </c>
      <c r="V1720" t="n">
        <v>30</v>
      </c>
      <c r="W1720" t="n">
        <v>4</v>
      </c>
      <c r="X1720" t="n">
        <v>27.47252747252747</v>
      </c>
      <c r="Y1720" t="n">
        <v>1</v>
      </c>
      <c r="Z1720" t="n">
        <v>1</v>
      </c>
      <c r="AA1720" t="n">
        <v>0</v>
      </c>
      <c r="AB1720" t="n">
        <v>1</v>
      </c>
      <c r="AC1720" t="n">
        <v>3</v>
      </c>
      <c r="AD1720" t="n">
        <v>0</v>
      </c>
      <c r="AE1720" t="n">
        <v>48999</v>
      </c>
      <c r="AF1720" t="n">
        <v>2660</v>
      </c>
      <c r="AG1720" t="n">
        <v>104</v>
      </c>
      <c r="AH1720" t="inlineStr">
        <is>
          <t>PT. ASIA PARAMITA - PPN (PDG)</t>
        </is>
      </c>
      <c r="AI1720" t="n">
        <v>1544</v>
      </c>
      <c r="AJ1720" t="inlineStr">
        <is>
          <t>GATSBY</t>
        </is>
      </c>
      <c r="AK1720" t="n">
        <v>21</v>
      </c>
      <c r="AL1720" t="inlineStr">
        <is>
          <t>Miss Glam Damar</t>
        </is>
      </c>
      <c r="AM1720" t="n">
        <v>2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GATSBY</t>
        </is>
      </c>
      <c r="B1721" s="2">
        <f>"8992222056700"</f>
        <v/>
      </c>
      <c r="C1721" t="inlineStr">
        <is>
          <t>GATSBY Powder Clay Unbreakable Smooth 20gr</t>
        </is>
      </c>
      <c r="D1721" t="inlineStr">
        <is>
          <t>Miss Glam Damar</t>
        </is>
      </c>
      <c r="E1721" t="n">
        <v>3</v>
      </c>
      <c r="F1721" t="n">
        <v>0.4277</v>
      </c>
      <c r="G1721" t="n">
        <v>3.64</v>
      </c>
      <c r="H1721" t="n">
        <v>2</v>
      </c>
      <c r="I1721" t="n">
        <v>6</v>
      </c>
      <c r="J1721" t="n">
        <v>3</v>
      </c>
      <c r="K1721" t="n">
        <v>0</v>
      </c>
      <c r="L1721" t="n">
        <v>37158</v>
      </c>
      <c r="M1721" t="n">
        <v>47000</v>
      </c>
      <c r="N1721" t="n">
        <v>91</v>
      </c>
      <c r="O1721" t="n">
        <v>0.91</v>
      </c>
      <c r="P1721" t="n">
        <v>1</v>
      </c>
      <c r="Q1721" t="n">
        <v>0.54</v>
      </c>
      <c r="R1721" t="n">
        <v>3</v>
      </c>
      <c r="S1721" t="n">
        <v>20101.9</v>
      </c>
      <c r="T1721" t="n">
        <v>21</v>
      </c>
      <c r="U1721" t="n">
        <v>22</v>
      </c>
      <c r="V1721" t="n">
        <v>30</v>
      </c>
      <c r="W1721" t="n">
        <v>13</v>
      </c>
      <c r="X1721" t="n">
        <v>7.01426233341127</v>
      </c>
      <c r="Y1721" t="n">
        <v>1</v>
      </c>
      <c r="Z1721" t="n">
        <v>10</v>
      </c>
      <c r="AA1721" t="n">
        <v>0</v>
      </c>
      <c r="AB1721" t="n">
        <v>10</v>
      </c>
      <c r="AC1721" t="n">
        <v>10</v>
      </c>
      <c r="AD1721" t="n">
        <v>0</v>
      </c>
      <c r="AE1721" t="n">
        <v>371580</v>
      </c>
      <c r="AF1721" t="n">
        <v>2660</v>
      </c>
      <c r="AG1721" t="n">
        <v>104</v>
      </c>
      <c r="AH1721" t="inlineStr">
        <is>
          <t>PT. ASIA PARAMITA - PPN (PDG)</t>
        </is>
      </c>
      <c r="AI1721" t="n">
        <v>1544</v>
      </c>
      <c r="AJ1721" t="inlineStr">
        <is>
          <t>GATSBY</t>
        </is>
      </c>
      <c r="AK1721" t="n">
        <v>21</v>
      </c>
      <c r="AL1721" t="inlineStr">
        <is>
          <t>Miss Glam Damar</t>
        </is>
      </c>
      <c r="AM1721" t="n">
        <v>2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GATSBY</t>
        </is>
      </c>
      <c r="B1722" s="2">
        <f>"11000314655"</f>
        <v/>
      </c>
      <c r="C1722" t="inlineStr">
        <is>
          <t>GATSBY Sea Salt Spray Volume Mat 145ml</t>
        </is>
      </c>
      <c r="D1722" t="inlineStr">
        <is>
          <t>Miss Glam Damar</t>
        </is>
      </c>
      <c r="E1722" t="n">
        <v>7</v>
      </c>
      <c r="F1722" t="n">
        <v>0.06370000000000001</v>
      </c>
      <c r="G1722" t="n">
        <v>0.91</v>
      </c>
      <c r="H1722" t="n">
        <v>2</v>
      </c>
      <c r="I1722" t="n">
        <v>6</v>
      </c>
      <c r="J1722" t="n">
        <v>1</v>
      </c>
      <c r="K1722" t="n">
        <v>0</v>
      </c>
      <c r="L1722" t="n">
        <v>37158</v>
      </c>
      <c r="M1722" t="n">
        <v>44000</v>
      </c>
      <c r="N1722" t="n">
        <v>91</v>
      </c>
      <c r="O1722" t="n">
        <v>0.91</v>
      </c>
      <c r="P1722" t="n">
        <v>1</v>
      </c>
      <c r="Q1722" t="n">
        <v>0.08</v>
      </c>
      <c r="R1722" t="n">
        <v>1</v>
      </c>
      <c r="S1722" t="n">
        <v>2802.8</v>
      </c>
      <c r="T1722" t="n">
        <v>6</v>
      </c>
      <c r="U1722" t="n">
        <v>7</v>
      </c>
      <c r="V1722" t="n">
        <v>30</v>
      </c>
      <c r="W1722" t="n">
        <v>2</v>
      </c>
      <c r="X1722" t="n">
        <v>109.8901098901099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2660</v>
      </c>
      <c r="AG1722" t="n">
        <v>104</v>
      </c>
      <c r="AH1722" t="inlineStr">
        <is>
          <t>PT. ASIA PARAMITA - PPN (PDG)</t>
        </is>
      </c>
      <c r="AI1722" t="n">
        <v>1544</v>
      </c>
      <c r="AJ1722" t="inlineStr">
        <is>
          <t>GATSBY</t>
        </is>
      </c>
      <c r="AK1722" t="n">
        <v>21</v>
      </c>
      <c r="AL1722" t="inlineStr">
        <is>
          <t>Miss Glam Damar</t>
        </is>
      </c>
      <c r="AM1722" t="n">
        <v>2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GATSBY</t>
        </is>
      </c>
      <c r="B1723" s="2">
        <f>"8992222051392"</f>
        <v/>
      </c>
      <c r="C1723" t="inlineStr">
        <is>
          <t>GATSBY Splash Cologne Musky Deep Ocean 175ml</t>
        </is>
      </c>
      <c r="D1723" t="inlineStr">
        <is>
          <t>Miss Glam Damar</t>
        </is>
      </c>
      <c r="E1723" t="n">
        <v>3</v>
      </c>
      <c r="F1723" t="n">
        <v>0.05</v>
      </c>
      <c r="G1723" t="n">
        <v>2</v>
      </c>
      <c r="H1723" t="n">
        <v>2</v>
      </c>
      <c r="I1723" t="n">
        <v>6</v>
      </c>
      <c r="J1723" t="n">
        <v>3</v>
      </c>
      <c r="K1723" t="n">
        <v>0</v>
      </c>
      <c r="L1723" t="n">
        <v>15108</v>
      </c>
      <c r="M1723" t="n">
        <v>20000</v>
      </c>
      <c r="N1723" t="n">
        <v>91</v>
      </c>
      <c r="O1723" t="n">
        <v>0.91</v>
      </c>
      <c r="P1723" t="n">
        <v>0</v>
      </c>
      <c r="Q1723" t="n">
        <v>0.05</v>
      </c>
      <c r="R1723" t="n">
        <v>2</v>
      </c>
      <c r="S1723" t="n">
        <v>1000</v>
      </c>
      <c r="T1723" t="n">
        <v>12</v>
      </c>
      <c r="U1723" t="n">
        <v>13</v>
      </c>
      <c r="V1723" t="n">
        <v>30</v>
      </c>
      <c r="W1723" t="n">
        <v>2</v>
      </c>
      <c r="X1723" t="n">
        <v>60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2660</v>
      </c>
      <c r="AG1723" t="n">
        <v>104</v>
      </c>
      <c r="AH1723" t="inlineStr">
        <is>
          <t>PT. ASIA PARAMITA - PPN (PDG)</t>
        </is>
      </c>
      <c r="AI1723" t="n">
        <v>1544</v>
      </c>
      <c r="AJ1723" t="inlineStr">
        <is>
          <t>GATSBY</t>
        </is>
      </c>
      <c r="AK1723" t="n">
        <v>21</v>
      </c>
      <c r="AL1723" t="inlineStr">
        <is>
          <t>Miss Glam Damar</t>
        </is>
      </c>
      <c r="AM1723" t="n">
        <v>2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GATSBY</t>
        </is>
      </c>
      <c r="B1724" s="2">
        <f>"8992222056441"</f>
        <v/>
      </c>
      <c r="C1724" t="inlineStr">
        <is>
          <t>GATSBY Spray Pomade Quick &amp; Grease 150ml</t>
        </is>
      </c>
      <c r="D1724" t="inlineStr">
        <is>
          <t>Miss Glam Damar</t>
        </is>
      </c>
      <c r="E1724" t="n">
        <v>1</v>
      </c>
      <c r="F1724" t="n">
        <v>0.06370000000000001</v>
      </c>
      <c r="G1724" t="n">
        <v>0.91</v>
      </c>
      <c r="H1724" t="n">
        <v>2</v>
      </c>
      <c r="I1724" t="n">
        <v>6</v>
      </c>
      <c r="J1724" t="n">
        <v>3</v>
      </c>
      <c r="K1724" t="n">
        <v>0</v>
      </c>
      <c r="L1724" t="n">
        <v>26541</v>
      </c>
      <c r="M1724" t="n">
        <v>33000</v>
      </c>
      <c r="N1724" t="n">
        <v>91</v>
      </c>
      <c r="O1724" t="n">
        <v>0.91</v>
      </c>
      <c r="P1724" t="n">
        <v>1</v>
      </c>
      <c r="Q1724" t="n">
        <v>0.08</v>
      </c>
      <c r="R1724" t="n">
        <v>1</v>
      </c>
      <c r="S1724" t="n">
        <v>2102.1</v>
      </c>
      <c r="T1724" t="n">
        <v>6</v>
      </c>
      <c r="U1724" t="n">
        <v>7</v>
      </c>
      <c r="V1724" t="n">
        <v>30</v>
      </c>
      <c r="W1724" t="n">
        <v>2</v>
      </c>
      <c r="X1724" t="n">
        <v>15.69858712715855</v>
      </c>
      <c r="Y1724" t="n">
        <v>1</v>
      </c>
      <c r="Z1724" t="n">
        <v>1</v>
      </c>
      <c r="AA1724" t="n">
        <v>0</v>
      </c>
      <c r="AB1724" t="n">
        <v>1</v>
      </c>
      <c r="AC1724" t="n">
        <v>3</v>
      </c>
      <c r="AD1724" t="n">
        <v>0</v>
      </c>
      <c r="AE1724" t="n">
        <v>79623</v>
      </c>
      <c r="AF1724" t="n">
        <v>2660</v>
      </c>
      <c r="AG1724" t="n">
        <v>104</v>
      </c>
      <c r="AH1724" t="inlineStr">
        <is>
          <t>PT. ASIA PARAMITA - PPN (PDG)</t>
        </is>
      </c>
      <c r="AI1724" t="n">
        <v>1544</v>
      </c>
      <c r="AJ1724" t="inlineStr">
        <is>
          <t>GATSBY</t>
        </is>
      </c>
      <c r="AK1724" t="n">
        <v>21</v>
      </c>
      <c r="AL1724" t="inlineStr">
        <is>
          <t>Miss Glam Damar</t>
        </is>
      </c>
      <c r="AM1724" t="n">
        <v>2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GATSBY</t>
        </is>
      </c>
      <c r="B1725" s="2">
        <f>"8992222056717"</f>
        <v/>
      </c>
      <c r="C1725" t="inlineStr">
        <is>
          <t>GATSBY Spray Pomade Quick &amp; Volume 150ml</t>
        </is>
      </c>
      <c r="D1725" t="inlineStr">
        <is>
          <t>Miss Glam Damar</t>
        </is>
      </c>
      <c r="E1725" t="n">
        <v>1</v>
      </c>
      <c r="F1725" t="n">
        <v>0.1729</v>
      </c>
      <c r="G1725" t="n">
        <v>0.91</v>
      </c>
      <c r="H1725" t="n">
        <v>2</v>
      </c>
      <c r="I1725" t="n">
        <v>6</v>
      </c>
      <c r="J1725" t="n">
        <v>3</v>
      </c>
      <c r="K1725" t="n">
        <v>0</v>
      </c>
      <c r="L1725" t="n">
        <v>26541</v>
      </c>
      <c r="M1725" t="n">
        <v>33000</v>
      </c>
      <c r="N1725" t="n">
        <v>91</v>
      </c>
      <c r="O1725" t="n">
        <v>0.91</v>
      </c>
      <c r="P1725" t="n">
        <v>1</v>
      </c>
      <c r="Q1725" t="n">
        <v>0.12</v>
      </c>
      <c r="R1725" t="n">
        <v>2</v>
      </c>
      <c r="S1725" t="n">
        <v>5705.7</v>
      </c>
      <c r="T1725" t="n">
        <v>6</v>
      </c>
      <c r="U1725" t="n">
        <v>7</v>
      </c>
      <c r="V1725" t="n">
        <v>30</v>
      </c>
      <c r="W1725" t="n">
        <v>6</v>
      </c>
      <c r="X1725" t="n">
        <v>5.78368999421631</v>
      </c>
      <c r="Y1725" t="n">
        <v>1</v>
      </c>
      <c r="Z1725" t="n">
        <v>5</v>
      </c>
      <c r="AA1725" t="n">
        <v>1</v>
      </c>
      <c r="AB1725" t="n">
        <v>4</v>
      </c>
      <c r="AC1725" t="n">
        <v>4</v>
      </c>
      <c r="AD1725" t="n">
        <v>26541</v>
      </c>
      <c r="AE1725" t="n">
        <v>106164</v>
      </c>
      <c r="AF1725" t="n">
        <v>2660</v>
      </c>
      <c r="AG1725" t="n">
        <v>104</v>
      </c>
      <c r="AH1725" t="inlineStr">
        <is>
          <t>PT. ASIA PARAMITA - PPN (PDG)</t>
        </is>
      </c>
      <c r="AI1725" t="n">
        <v>1544</v>
      </c>
      <c r="AJ1725" t="inlineStr">
        <is>
          <t>GATSBY</t>
        </is>
      </c>
      <c r="AK1725" t="n">
        <v>21</v>
      </c>
      <c r="AL1725" t="inlineStr">
        <is>
          <t>Miss Glam Damar</t>
        </is>
      </c>
      <c r="AM1725" t="n">
        <v>2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GATSBY</t>
        </is>
      </c>
      <c r="B1726" s="2">
        <f>"8992222057035"</f>
        <v/>
      </c>
      <c r="C1726" t="inlineStr">
        <is>
          <t>GATSBY Styling Pomade Hyper Lift 30gr</t>
        </is>
      </c>
      <c r="D1726" t="inlineStr">
        <is>
          <t>Miss Glam Damar</t>
        </is>
      </c>
      <c r="E1726" t="n">
        <v>3</v>
      </c>
      <c r="F1726" t="n">
        <v>0.1547</v>
      </c>
      <c r="G1726" t="n">
        <v>1.82</v>
      </c>
      <c r="H1726" t="n">
        <v>2</v>
      </c>
      <c r="I1726" t="n">
        <v>6</v>
      </c>
      <c r="J1726" t="n">
        <v>3</v>
      </c>
      <c r="K1726" t="n">
        <v>0</v>
      </c>
      <c r="L1726" t="n">
        <v>13066</v>
      </c>
      <c r="M1726" t="n">
        <v>15500</v>
      </c>
      <c r="N1726" t="n">
        <v>91</v>
      </c>
      <c r="O1726" t="n">
        <v>0.91</v>
      </c>
      <c r="P1726" t="n">
        <v>1</v>
      </c>
      <c r="Q1726" t="n">
        <v>0.05</v>
      </c>
      <c r="R1726" t="n">
        <v>1</v>
      </c>
      <c r="S1726" t="n">
        <v>2397.85</v>
      </c>
      <c r="T1726" t="n">
        <v>11</v>
      </c>
      <c r="U1726" t="n">
        <v>12</v>
      </c>
      <c r="V1726" t="n">
        <v>30</v>
      </c>
      <c r="W1726" t="n">
        <v>5</v>
      </c>
      <c r="X1726" t="n">
        <v>19.3923723335488</v>
      </c>
      <c r="Y1726" t="n">
        <v>1</v>
      </c>
      <c r="Z1726" t="n">
        <v>2</v>
      </c>
      <c r="AA1726" t="n">
        <v>0</v>
      </c>
      <c r="AB1726" t="n">
        <v>2</v>
      </c>
      <c r="AC1726" t="n">
        <v>3</v>
      </c>
      <c r="AD1726" t="n">
        <v>0</v>
      </c>
      <c r="AE1726" t="n">
        <v>39198</v>
      </c>
      <c r="AF1726" t="n">
        <v>2660</v>
      </c>
      <c r="AG1726" t="n">
        <v>104</v>
      </c>
      <c r="AH1726" t="inlineStr">
        <is>
          <t>PT. ASIA PARAMITA - PPN (PDG)</t>
        </is>
      </c>
      <c r="AI1726" t="n">
        <v>1544</v>
      </c>
      <c r="AJ1726" t="inlineStr">
        <is>
          <t>GATSBY</t>
        </is>
      </c>
      <c r="AK1726" t="n">
        <v>21</v>
      </c>
      <c r="AL1726" t="inlineStr">
        <is>
          <t>Miss Glam Damar</t>
        </is>
      </c>
      <c r="AM1726" t="n">
        <v>2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GATSBY</t>
        </is>
      </c>
      <c r="B1727" s="2">
        <f>"8992222057011"</f>
        <v/>
      </c>
      <c r="C1727" t="inlineStr">
        <is>
          <t>GATSBY Styling Pomade Hyper Lift 80gr</t>
        </is>
      </c>
      <c r="D1727" t="inlineStr">
        <is>
          <t>Miss Glam Damar</t>
        </is>
      </c>
      <c r="E1727" t="n">
        <v>5</v>
      </c>
      <c r="F1727" t="n">
        <v>0.06370000000000001</v>
      </c>
      <c r="G1727" t="n">
        <v>0.91</v>
      </c>
      <c r="H1727" t="n">
        <v>2</v>
      </c>
      <c r="I1727" t="n">
        <v>6</v>
      </c>
      <c r="J1727" t="n">
        <v>3</v>
      </c>
      <c r="K1727" t="n">
        <v>0</v>
      </c>
      <c r="L1727" t="n">
        <v>26950</v>
      </c>
      <c r="M1727" t="n">
        <v>32000</v>
      </c>
      <c r="N1727" t="n">
        <v>91</v>
      </c>
      <c r="O1727" t="n">
        <v>0.91</v>
      </c>
      <c r="P1727" t="n">
        <v>1</v>
      </c>
      <c r="Q1727" t="n">
        <v>0.05</v>
      </c>
      <c r="R1727" t="n">
        <v>1</v>
      </c>
      <c r="S1727" t="n">
        <v>2038.4</v>
      </c>
      <c r="T1727" t="n">
        <v>6</v>
      </c>
      <c r="U1727" t="n">
        <v>7</v>
      </c>
      <c r="V1727" t="n">
        <v>30</v>
      </c>
      <c r="W1727" t="n">
        <v>2</v>
      </c>
      <c r="X1727" t="n">
        <v>78.49293563579278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2660</v>
      </c>
      <c r="AG1727" t="n">
        <v>104</v>
      </c>
      <c r="AH1727" t="inlineStr">
        <is>
          <t>PT. ASIA PARAMITA - PPN (PDG)</t>
        </is>
      </c>
      <c r="AI1727" t="n">
        <v>1544</v>
      </c>
      <c r="AJ1727" t="inlineStr">
        <is>
          <t>GATSBY</t>
        </is>
      </c>
      <c r="AK1727" t="n">
        <v>21</v>
      </c>
      <c r="AL1727" t="inlineStr">
        <is>
          <t>Miss Glam Damar</t>
        </is>
      </c>
      <c r="AM1727" t="n">
        <v>2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GATSBY</t>
        </is>
      </c>
      <c r="B1728" s="2">
        <f>"8992222055475"</f>
        <v/>
      </c>
      <c r="C1728" t="inlineStr">
        <is>
          <t>GATSBY Styling Pomade Perfect Rise 30gr</t>
        </is>
      </c>
      <c r="D1728" t="inlineStr">
        <is>
          <t>Miss Glam Damar</t>
        </is>
      </c>
      <c r="E1728" t="n">
        <v>5</v>
      </c>
      <c r="F1728" t="n">
        <v>0.1729</v>
      </c>
      <c r="G1728" t="n">
        <v>1.82</v>
      </c>
      <c r="H1728" t="n">
        <v>2</v>
      </c>
      <c r="I1728" t="n">
        <v>6</v>
      </c>
      <c r="J1728" t="n">
        <v>3</v>
      </c>
      <c r="K1728" t="n">
        <v>0</v>
      </c>
      <c r="L1728" t="n">
        <v>13067</v>
      </c>
      <c r="M1728" t="n">
        <v>15500</v>
      </c>
      <c r="N1728" t="n">
        <v>91</v>
      </c>
      <c r="O1728" t="n">
        <v>0.91</v>
      </c>
      <c r="P1728" t="n">
        <v>1</v>
      </c>
      <c r="Q1728" t="n">
        <v>0.15</v>
      </c>
      <c r="R1728" t="n">
        <v>2</v>
      </c>
      <c r="S1728" t="n">
        <v>2679.95</v>
      </c>
      <c r="T1728" t="n">
        <v>11</v>
      </c>
      <c r="U1728" t="n">
        <v>12</v>
      </c>
      <c r="V1728" t="n">
        <v>30</v>
      </c>
      <c r="W1728" t="n">
        <v>6</v>
      </c>
      <c r="X1728" t="n">
        <v>28.91844997108155</v>
      </c>
      <c r="Y1728" t="n">
        <v>1</v>
      </c>
      <c r="Z1728" t="n">
        <v>1</v>
      </c>
      <c r="AA1728" t="n">
        <v>0</v>
      </c>
      <c r="AB1728" t="n">
        <v>1</v>
      </c>
      <c r="AC1728" t="n">
        <v>3</v>
      </c>
      <c r="AD1728" t="n">
        <v>0</v>
      </c>
      <c r="AE1728" t="n">
        <v>39201</v>
      </c>
      <c r="AF1728" t="n">
        <v>2660</v>
      </c>
      <c r="AG1728" t="n">
        <v>104</v>
      </c>
      <c r="AH1728" t="inlineStr">
        <is>
          <t>PT. ASIA PARAMITA - PPN (PDG)</t>
        </is>
      </c>
      <c r="AI1728" t="n">
        <v>1544</v>
      </c>
      <c r="AJ1728" t="inlineStr">
        <is>
          <t>GATSBY</t>
        </is>
      </c>
      <c r="AK1728" t="n">
        <v>21</v>
      </c>
      <c r="AL1728" t="inlineStr">
        <is>
          <t>Miss Glam Damar</t>
        </is>
      </c>
      <c r="AM1728" t="n">
        <v>2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GATSBY</t>
        </is>
      </c>
      <c r="B1729" s="2">
        <f>"8992222055482"</f>
        <v/>
      </c>
      <c r="C1729" t="inlineStr">
        <is>
          <t>GATSBY Styling Pomade Perfect Rise Edgy Quiff Style 75gr</t>
        </is>
      </c>
      <c r="D1729" t="inlineStr">
        <is>
          <t>Miss Glam Damar</t>
        </is>
      </c>
      <c r="E1729" t="n">
        <v>5</v>
      </c>
      <c r="F1729" t="n">
        <v>0.09100000000000001</v>
      </c>
      <c r="G1729" t="n">
        <v>0.91</v>
      </c>
      <c r="H1729" t="n">
        <v>2</v>
      </c>
      <c r="I1729" t="n">
        <v>6</v>
      </c>
      <c r="J1729" t="n">
        <v>3</v>
      </c>
      <c r="K1729" t="n">
        <v>0</v>
      </c>
      <c r="L1729" t="n">
        <v>26950</v>
      </c>
      <c r="M1729" t="n">
        <v>32000</v>
      </c>
      <c r="N1729" t="n">
        <v>91</v>
      </c>
      <c r="O1729" t="n">
        <v>0.91</v>
      </c>
      <c r="P1729" t="n">
        <v>1</v>
      </c>
      <c r="Q1729" t="n">
        <v>0.12</v>
      </c>
      <c r="R1729" t="n">
        <v>1</v>
      </c>
      <c r="S1729" t="n">
        <v>2912</v>
      </c>
      <c r="T1729" t="n">
        <v>6</v>
      </c>
      <c r="U1729" t="n">
        <v>7</v>
      </c>
      <c r="V1729" t="n">
        <v>30</v>
      </c>
      <c r="W1729" t="n">
        <v>3</v>
      </c>
      <c r="X1729" t="n">
        <v>54.94505494505494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2660</v>
      </c>
      <c r="AG1729" t="n">
        <v>104</v>
      </c>
      <c r="AH1729" t="inlineStr">
        <is>
          <t>PT. ASIA PARAMITA - PPN (PDG)</t>
        </is>
      </c>
      <c r="AI1729" t="n">
        <v>1544</v>
      </c>
      <c r="AJ1729" t="inlineStr">
        <is>
          <t>GATSBY</t>
        </is>
      </c>
      <c r="AK1729" t="n">
        <v>21</v>
      </c>
      <c r="AL1729" t="inlineStr">
        <is>
          <t>Miss Glam Damar</t>
        </is>
      </c>
      <c r="AM1729" t="n">
        <v>2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GATSBY</t>
        </is>
      </c>
      <c r="B1730" s="2">
        <f>"8992222054973"</f>
        <v/>
      </c>
      <c r="C1730" t="inlineStr">
        <is>
          <t>GATSBY Styling Pomade Supreme Grease 30gr</t>
        </is>
      </c>
      <c r="D1730" t="inlineStr">
        <is>
          <t>Miss Glam Damar</t>
        </is>
      </c>
      <c r="E1730" t="n">
        <v>3</v>
      </c>
      <c r="F1730" t="n">
        <v>0.6825</v>
      </c>
      <c r="G1730" t="n">
        <v>2.73</v>
      </c>
      <c r="H1730" t="n">
        <v>2</v>
      </c>
      <c r="I1730" t="n">
        <v>6</v>
      </c>
      <c r="J1730" t="n">
        <v>3</v>
      </c>
      <c r="K1730" t="n">
        <v>0</v>
      </c>
      <c r="L1730" t="n">
        <v>13030</v>
      </c>
      <c r="M1730" t="n">
        <v>15500</v>
      </c>
      <c r="N1730" t="n">
        <v>91</v>
      </c>
      <c r="O1730" t="n">
        <v>0.91</v>
      </c>
      <c r="P1730" t="n">
        <v>1</v>
      </c>
      <c r="Q1730" t="n">
        <v>0.41</v>
      </c>
      <c r="R1730" t="n">
        <v>3</v>
      </c>
      <c r="S1730" t="n">
        <v>10578.75</v>
      </c>
      <c r="T1730" t="n">
        <v>16</v>
      </c>
      <c r="U1730" t="n">
        <v>18</v>
      </c>
      <c r="V1730" t="n">
        <v>30</v>
      </c>
      <c r="W1730" t="n">
        <v>21</v>
      </c>
      <c r="X1730" t="n">
        <v>4.395604395604396</v>
      </c>
      <c r="Y1730" t="n">
        <v>1</v>
      </c>
      <c r="Z1730" t="n">
        <v>18</v>
      </c>
      <c r="AA1730" t="n">
        <v>2</v>
      </c>
      <c r="AB1730" t="n">
        <v>16</v>
      </c>
      <c r="AC1730" t="n">
        <v>16</v>
      </c>
      <c r="AD1730" t="n">
        <v>26060</v>
      </c>
      <c r="AE1730" t="n">
        <v>208480</v>
      </c>
      <c r="AF1730" t="n">
        <v>2660</v>
      </c>
      <c r="AG1730" t="n">
        <v>104</v>
      </c>
      <c r="AH1730" t="inlineStr">
        <is>
          <t>PT. ASIA PARAMITA - PPN (PDG)</t>
        </is>
      </c>
      <c r="AI1730" t="n">
        <v>1544</v>
      </c>
      <c r="AJ1730" t="inlineStr">
        <is>
          <t>GATSBY</t>
        </is>
      </c>
      <c r="AK1730" t="n">
        <v>21</v>
      </c>
      <c r="AL1730" t="inlineStr">
        <is>
          <t>Miss Glam Damar</t>
        </is>
      </c>
      <c r="AM1730" t="n">
        <v>2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GATSBY</t>
        </is>
      </c>
      <c r="B1731" s="2">
        <f>"8992222054492"</f>
        <v/>
      </c>
      <c r="C1731" t="inlineStr">
        <is>
          <t>GATSBY Styling Pomade Supreme Grease Slicked Back Style 80gr</t>
        </is>
      </c>
      <c r="D1731" t="inlineStr">
        <is>
          <t>Miss Glam Damar</t>
        </is>
      </c>
      <c r="E1731" t="n">
        <v>8</v>
      </c>
      <c r="F1731" t="n">
        <v>0.4186</v>
      </c>
      <c r="G1731" t="n">
        <v>1.82</v>
      </c>
      <c r="H1731" t="n">
        <v>2</v>
      </c>
      <c r="I1731" t="n">
        <v>6</v>
      </c>
      <c r="J1731" t="n">
        <v>3</v>
      </c>
      <c r="K1731" t="n">
        <v>0</v>
      </c>
      <c r="L1731" t="n">
        <v>26950</v>
      </c>
      <c r="M1731" t="n">
        <v>32000</v>
      </c>
      <c r="N1731" t="n">
        <v>91</v>
      </c>
      <c r="O1731" t="n">
        <v>0.91</v>
      </c>
      <c r="P1731" t="n">
        <v>1</v>
      </c>
      <c r="Q1731" t="n">
        <v>0.25</v>
      </c>
      <c r="R1731" t="n">
        <v>2</v>
      </c>
      <c r="S1731" t="n">
        <v>13395.2</v>
      </c>
      <c r="T1731" t="n">
        <v>11</v>
      </c>
      <c r="U1731" t="n">
        <v>12</v>
      </c>
      <c r="V1731" t="n">
        <v>30</v>
      </c>
      <c r="W1731" t="n">
        <v>13</v>
      </c>
      <c r="X1731" t="n">
        <v>19.11132345914955</v>
      </c>
      <c r="Y1731" t="n">
        <v>1</v>
      </c>
      <c r="Z1731" t="n">
        <v>5</v>
      </c>
      <c r="AA1731" t="n">
        <v>0</v>
      </c>
      <c r="AB1731" t="n">
        <v>5</v>
      </c>
      <c r="AC1731" t="n">
        <v>5</v>
      </c>
      <c r="AD1731" t="n">
        <v>0</v>
      </c>
      <c r="AE1731" t="n">
        <v>134750</v>
      </c>
      <c r="AF1731" t="n">
        <v>2660</v>
      </c>
      <c r="AG1731" t="n">
        <v>104</v>
      </c>
      <c r="AH1731" t="inlineStr">
        <is>
          <t>PT. ASIA PARAMITA - PPN (PDG)</t>
        </is>
      </c>
      <c r="AI1731" t="n">
        <v>1544</v>
      </c>
      <c r="AJ1731" t="inlineStr">
        <is>
          <t>GATSBY</t>
        </is>
      </c>
      <c r="AK1731" t="n">
        <v>21</v>
      </c>
      <c r="AL1731" t="inlineStr">
        <is>
          <t>Miss Glam Damar</t>
        </is>
      </c>
      <c r="AM1731" t="n">
        <v>2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GATSBY</t>
        </is>
      </c>
      <c r="B1732" s="2">
        <f>"8992222054966"</f>
        <v/>
      </c>
      <c r="C1732" t="inlineStr">
        <is>
          <t>GATSBY Styling Pomade Supreme Hold 30gr</t>
        </is>
      </c>
      <c r="D1732" t="inlineStr">
        <is>
          <t>Miss Glam Damar</t>
        </is>
      </c>
      <c r="E1732" t="n">
        <v>4</v>
      </c>
      <c r="F1732" t="n">
        <v>0.1547</v>
      </c>
      <c r="G1732" t="n">
        <v>1.82</v>
      </c>
      <c r="H1732" t="n">
        <v>2</v>
      </c>
      <c r="I1732" t="n">
        <v>6</v>
      </c>
      <c r="J1732" t="n">
        <v>3</v>
      </c>
      <c r="K1732" t="n">
        <v>0</v>
      </c>
      <c r="L1732" t="n">
        <v>13067</v>
      </c>
      <c r="M1732" t="n">
        <v>15500</v>
      </c>
      <c r="N1732" t="n">
        <v>91</v>
      </c>
      <c r="O1732" t="n">
        <v>0.91</v>
      </c>
      <c r="P1732" t="n">
        <v>1</v>
      </c>
      <c r="Q1732" t="n">
        <v>0.08</v>
      </c>
      <c r="R1732" t="n">
        <v>2</v>
      </c>
      <c r="S1732" t="n">
        <v>2397.85</v>
      </c>
      <c r="T1732" t="n">
        <v>11</v>
      </c>
      <c r="U1732" t="n">
        <v>12</v>
      </c>
      <c r="V1732" t="n">
        <v>30</v>
      </c>
      <c r="W1732" t="n">
        <v>5</v>
      </c>
      <c r="X1732" t="n">
        <v>25.85649644473174</v>
      </c>
      <c r="Y1732" t="n">
        <v>1</v>
      </c>
      <c r="Z1732" t="n">
        <v>1</v>
      </c>
      <c r="AA1732" t="n">
        <v>0</v>
      </c>
      <c r="AB1732" t="n">
        <v>1</v>
      </c>
      <c r="AC1732" t="n">
        <v>3</v>
      </c>
      <c r="AD1732" t="n">
        <v>0</v>
      </c>
      <c r="AE1732" t="n">
        <v>39201</v>
      </c>
      <c r="AF1732" t="n">
        <v>2660</v>
      </c>
      <c r="AG1732" t="n">
        <v>104</v>
      </c>
      <c r="AH1732" t="inlineStr">
        <is>
          <t>PT. ASIA PARAMITA - PPN (PDG)</t>
        </is>
      </c>
      <c r="AI1732" t="n">
        <v>1544</v>
      </c>
      <c r="AJ1732" t="inlineStr">
        <is>
          <t>GATSBY</t>
        </is>
      </c>
      <c r="AK1732" t="n">
        <v>21</v>
      </c>
      <c r="AL1732" t="inlineStr">
        <is>
          <t>Miss Glam Damar</t>
        </is>
      </c>
      <c r="AM1732" t="n">
        <v>2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GATSBY</t>
        </is>
      </c>
      <c r="B1733" s="2">
        <f>"8992222054980"</f>
        <v/>
      </c>
      <c r="C1733" t="inlineStr">
        <is>
          <t>GATSBY Styling Pomade Supreme Hold Pompadour Style 75gr</t>
        </is>
      </c>
      <c r="D1733" t="inlineStr">
        <is>
          <t>Miss Glam Damar</t>
        </is>
      </c>
      <c r="E1733" t="n">
        <v>5</v>
      </c>
      <c r="F1733" t="n">
        <v>0.12</v>
      </c>
      <c r="G1733" t="n">
        <v>1</v>
      </c>
      <c r="H1733" t="n">
        <v>2</v>
      </c>
      <c r="I1733" t="n">
        <v>6</v>
      </c>
      <c r="J1733" t="n">
        <v>3</v>
      </c>
      <c r="K1733" t="n">
        <v>0</v>
      </c>
      <c r="L1733" t="n">
        <v>26951</v>
      </c>
      <c r="M1733" t="n">
        <v>32000</v>
      </c>
      <c r="N1733" t="n">
        <v>91</v>
      </c>
      <c r="O1733" t="n">
        <v>0.91</v>
      </c>
      <c r="P1733" t="n">
        <v>0</v>
      </c>
      <c r="Q1733" t="n">
        <v>0.12</v>
      </c>
      <c r="R1733" t="n">
        <v>1</v>
      </c>
      <c r="S1733" t="n">
        <v>3840</v>
      </c>
      <c r="T1733" t="n">
        <v>6</v>
      </c>
      <c r="U1733" t="n">
        <v>7</v>
      </c>
      <c r="V1733" t="n">
        <v>30</v>
      </c>
      <c r="W1733" t="n">
        <v>4</v>
      </c>
      <c r="X1733" t="n">
        <v>41.66666666666667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2660</v>
      </c>
      <c r="AG1733" t="n">
        <v>104</v>
      </c>
      <c r="AH1733" t="inlineStr">
        <is>
          <t>PT. ASIA PARAMITA - PPN (PDG)</t>
        </is>
      </c>
      <c r="AI1733" t="n">
        <v>1544</v>
      </c>
      <c r="AJ1733" t="inlineStr">
        <is>
          <t>GATSBY</t>
        </is>
      </c>
      <c r="AK1733" t="n">
        <v>21</v>
      </c>
      <c r="AL1733" t="inlineStr">
        <is>
          <t>Miss Glam Damar</t>
        </is>
      </c>
      <c r="AM1733" t="n">
        <v>2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GATSBY</t>
        </is>
      </c>
      <c r="B1734" s="2">
        <f>"8992222055505"</f>
        <v/>
      </c>
      <c r="C1734" t="inlineStr">
        <is>
          <t>GATSBY Styling Pomade Urban Dry Side Swept Style 75gr</t>
        </is>
      </c>
      <c r="D1734" t="inlineStr">
        <is>
          <t>Miss Glam Damar</t>
        </is>
      </c>
      <c r="E1734" t="n">
        <v>2</v>
      </c>
      <c r="F1734" t="n">
        <v>0.1729</v>
      </c>
      <c r="G1734" t="n">
        <v>1.82</v>
      </c>
      <c r="H1734" t="n">
        <v>2</v>
      </c>
      <c r="I1734" t="n">
        <v>6</v>
      </c>
      <c r="J1734" t="n">
        <v>3</v>
      </c>
      <c r="K1734" t="n">
        <v>0</v>
      </c>
      <c r="L1734" t="n">
        <v>24908</v>
      </c>
      <c r="M1734" t="n">
        <v>31000</v>
      </c>
      <c r="N1734" t="n">
        <v>91</v>
      </c>
      <c r="O1734" t="n">
        <v>0.91</v>
      </c>
      <c r="P1734" t="n">
        <v>1</v>
      </c>
      <c r="Q1734" t="n">
        <v>0.02</v>
      </c>
      <c r="R1734" t="n">
        <v>1</v>
      </c>
      <c r="S1734" t="n">
        <v>5359.9</v>
      </c>
      <c r="T1734" t="n">
        <v>11</v>
      </c>
      <c r="U1734" t="n">
        <v>12</v>
      </c>
      <c r="V1734" t="n">
        <v>30</v>
      </c>
      <c r="W1734" t="n">
        <v>6</v>
      </c>
      <c r="X1734" t="n">
        <v>11.56737998843262</v>
      </c>
      <c r="Y1734" t="n">
        <v>1</v>
      </c>
      <c r="Z1734" t="n">
        <v>4</v>
      </c>
      <c r="AA1734" t="n">
        <v>0</v>
      </c>
      <c r="AB1734" t="n">
        <v>4</v>
      </c>
      <c r="AC1734" t="n">
        <v>4</v>
      </c>
      <c r="AD1734" t="n">
        <v>0</v>
      </c>
      <c r="AE1734" t="n">
        <v>99632</v>
      </c>
      <c r="AF1734" t="n">
        <v>2660</v>
      </c>
      <c r="AG1734" t="n">
        <v>104</v>
      </c>
      <c r="AH1734" t="inlineStr">
        <is>
          <t>PT. ASIA PARAMITA - PPN (PDG)</t>
        </is>
      </c>
      <c r="AI1734" t="n">
        <v>1544</v>
      </c>
      <c r="AJ1734" t="inlineStr">
        <is>
          <t>GATSBY</t>
        </is>
      </c>
      <c r="AK1734" t="n">
        <v>21</v>
      </c>
      <c r="AL1734" t="inlineStr">
        <is>
          <t>Miss Glam Damar</t>
        </is>
      </c>
      <c r="AM1734" t="n">
        <v>2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GATSBY</t>
        </is>
      </c>
      <c r="B1735" s="2">
        <f>"8992222056922"</f>
        <v/>
      </c>
      <c r="C1735" t="inlineStr">
        <is>
          <t>GATSBY Super Hard Set &amp; Keep Spray 70ml</t>
        </is>
      </c>
      <c r="D1735" t="inlineStr">
        <is>
          <t>Miss Glam Damar</t>
        </is>
      </c>
      <c r="E1735" t="n">
        <v>0</v>
      </c>
      <c r="F1735" t="n">
        <v>0.2275</v>
      </c>
      <c r="G1735" t="n">
        <v>1.82</v>
      </c>
      <c r="H1735" t="n">
        <v>2</v>
      </c>
      <c r="I1735" t="n">
        <v>6</v>
      </c>
      <c r="J1735" t="n">
        <v>3</v>
      </c>
      <c r="K1735" t="n">
        <v>0</v>
      </c>
      <c r="L1735" t="n">
        <v>15516</v>
      </c>
      <c r="M1735" t="n">
        <v>18500</v>
      </c>
      <c r="N1735" t="n">
        <v>91</v>
      </c>
      <c r="O1735" t="n">
        <v>0.91</v>
      </c>
      <c r="P1735" t="n">
        <v>1</v>
      </c>
      <c r="Q1735" t="n">
        <v>0.17</v>
      </c>
      <c r="R1735" t="n">
        <v>2</v>
      </c>
      <c r="S1735" t="n">
        <v>4208.75</v>
      </c>
      <c r="T1735" t="n">
        <v>11</v>
      </c>
      <c r="U1735" t="n">
        <v>12</v>
      </c>
      <c r="V1735" t="n">
        <v>30</v>
      </c>
      <c r="W1735" t="n">
        <v>7</v>
      </c>
      <c r="X1735" t="n">
        <v>0</v>
      </c>
      <c r="Y1735" t="n">
        <v>1</v>
      </c>
      <c r="Z1735" t="n">
        <v>7</v>
      </c>
      <c r="AA1735" t="n">
        <v>2</v>
      </c>
      <c r="AB1735" t="n">
        <v>5</v>
      </c>
      <c r="AC1735" t="n">
        <v>5</v>
      </c>
      <c r="AD1735" t="n">
        <v>31032</v>
      </c>
      <c r="AE1735" t="n">
        <v>77580</v>
      </c>
      <c r="AF1735" t="n">
        <v>2660</v>
      </c>
      <c r="AG1735" t="n">
        <v>104</v>
      </c>
      <c r="AH1735" t="inlineStr">
        <is>
          <t>PT. ASIA PARAMITA - PPN (PDG)</t>
        </is>
      </c>
      <c r="AI1735" t="n">
        <v>1544</v>
      </c>
      <c r="AJ1735" t="inlineStr">
        <is>
          <t>GATSBY</t>
        </is>
      </c>
      <c r="AK1735" t="n">
        <v>21</v>
      </c>
      <c r="AL1735" t="inlineStr">
        <is>
          <t>Miss Glam Damar</t>
        </is>
      </c>
      <c r="AM1735" t="n">
        <v>2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GATSBY</t>
        </is>
      </c>
      <c r="B1736" s="2">
        <f>"11000314524"</f>
        <v/>
      </c>
      <c r="C1736" t="inlineStr">
        <is>
          <t>GATSBY Tha Nature Styling Balm Cream 30gr</t>
        </is>
      </c>
      <c r="D1736" t="inlineStr">
        <is>
          <t>Miss Glam Damar</t>
        </is>
      </c>
      <c r="E1736" t="n">
        <v>4</v>
      </c>
      <c r="F1736" t="n">
        <v>0.3094</v>
      </c>
      <c r="G1736" t="n">
        <v>2.73</v>
      </c>
      <c r="H1736" t="n">
        <v>2</v>
      </c>
      <c r="I1736" t="n">
        <v>6</v>
      </c>
      <c r="J1736" t="n">
        <v>1</v>
      </c>
      <c r="K1736" t="n">
        <v>0</v>
      </c>
      <c r="L1736" t="n">
        <v>11433</v>
      </c>
      <c r="M1736" t="n">
        <v>13500</v>
      </c>
      <c r="N1736" t="n">
        <v>91</v>
      </c>
      <c r="O1736" t="n">
        <v>0.91</v>
      </c>
      <c r="P1736" t="n">
        <v>1</v>
      </c>
      <c r="Q1736" t="n">
        <v>0.24</v>
      </c>
      <c r="R1736" t="n">
        <v>2</v>
      </c>
      <c r="S1736" t="n">
        <v>4176.900000000001</v>
      </c>
      <c r="T1736" t="n">
        <v>16</v>
      </c>
      <c r="U1736" t="n">
        <v>17</v>
      </c>
      <c r="V1736" t="n">
        <v>30</v>
      </c>
      <c r="W1736" t="n">
        <v>10</v>
      </c>
      <c r="X1736" t="n">
        <v>12.92824822236587</v>
      </c>
      <c r="Y1736" t="n">
        <v>1</v>
      </c>
      <c r="Z1736" t="n">
        <v>6</v>
      </c>
      <c r="AA1736" t="n">
        <v>0</v>
      </c>
      <c r="AB1736" t="n">
        <v>6</v>
      </c>
      <c r="AC1736" t="n">
        <v>6</v>
      </c>
      <c r="AD1736" t="n">
        <v>0</v>
      </c>
      <c r="AE1736" t="n">
        <v>68598</v>
      </c>
      <c r="AF1736" t="n">
        <v>2660</v>
      </c>
      <c r="AG1736" t="n">
        <v>104</v>
      </c>
      <c r="AH1736" t="inlineStr">
        <is>
          <t>PT. ASIA PARAMITA - PPN (PDG)</t>
        </is>
      </c>
      <c r="AI1736" t="n">
        <v>1544</v>
      </c>
      <c r="AJ1736" t="inlineStr">
        <is>
          <t>GATSBY</t>
        </is>
      </c>
      <c r="AK1736" t="n">
        <v>21</v>
      </c>
      <c r="AL1736" t="inlineStr">
        <is>
          <t>Miss Glam Damar</t>
        </is>
      </c>
      <c r="AM1736" t="n">
        <v>2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GATSBY</t>
        </is>
      </c>
      <c r="B1737" s="2">
        <f>"11000314402"</f>
        <v/>
      </c>
      <c r="C1737" t="inlineStr">
        <is>
          <t>GATSBY Tha Nature Styling Balm Pomade 28gr</t>
        </is>
      </c>
      <c r="D1737" t="inlineStr">
        <is>
          <t>Miss Glam Damar</t>
        </is>
      </c>
      <c r="E1737" t="n">
        <v>5</v>
      </c>
      <c r="F1737" t="n">
        <v>0.3276</v>
      </c>
      <c r="G1737" t="n">
        <v>1.82</v>
      </c>
      <c r="H1737" t="n">
        <v>2</v>
      </c>
      <c r="I1737" t="n">
        <v>6</v>
      </c>
      <c r="J1737" t="n">
        <v>1</v>
      </c>
      <c r="K1737" t="n">
        <v>0</v>
      </c>
      <c r="L1737" t="n">
        <v>11433</v>
      </c>
      <c r="M1737" t="n">
        <v>13500</v>
      </c>
      <c r="N1737" t="n">
        <v>91</v>
      </c>
      <c r="O1737" t="n">
        <v>0.91</v>
      </c>
      <c r="P1737" t="n">
        <v>1</v>
      </c>
      <c r="Q1737" t="n">
        <v>0.25</v>
      </c>
      <c r="R1737" t="n">
        <v>2</v>
      </c>
      <c r="S1737" t="n">
        <v>4422.6</v>
      </c>
      <c r="T1737" t="n">
        <v>11</v>
      </c>
      <c r="U1737" t="n">
        <v>12</v>
      </c>
      <c r="V1737" t="n">
        <v>30</v>
      </c>
      <c r="W1737" t="n">
        <v>10</v>
      </c>
      <c r="X1737" t="n">
        <v>15.26251526251526</v>
      </c>
      <c r="Y1737" t="n">
        <v>1</v>
      </c>
      <c r="Z1737" t="n">
        <v>5</v>
      </c>
      <c r="AA1737" t="n">
        <v>0</v>
      </c>
      <c r="AB1737" t="n">
        <v>5</v>
      </c>
      <c r="AC1737" t="n">
        <v>5</v>
      </c>
      <c r="AD1737" t="n">
        <v>0</v>
      </c>
      <c r="AE1737" t="n">
        <v>57165</v>
      </c>
      <c r="AF1737" t="n">
        <v>2660</v>
      </c>
      <c r="AG1737" t="n">
        <v>104</v>
      </c>
      <c r="AH1737" t="inlineStr">
        <is>
          <t>PT. ASIA PARAMITA - PPN (PDG)</t>
        </is>
      </c>
      <c r="AI1737" t="n">
        <v>1544</v>
      </c>
      <c r="AJ1737" t="inlineStr">
        <is>
          <t>GATSBY</t>
        </is>
      </c>
      <c r="AK1737" t="n">
        <v>21</v>
      </c>
      <c r="AL1737" t="inlineStr">
        <is>
          <t>Miss Glam Damar</t>
        </is>
      </c>
      <c r="AM1737" t="n">
        <v>2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GATSBY</t>
        </is>
      </c>
      <c r="B1738" s="2">
        <f>"8992222056908"</f>
        <v/>
      </c>
      <c r="C1738" t="inlineStr">
        <is>
          <t>GATSBY The Nature Styling Balm Clay 75gr</t>
        </is>
      </c>
      <c r="D1738" t="inlineStr">
        <is>
          <t>Miss Glam Damar</t>
        </is>
      </c>
      <c r="E1738" t="n">
        <v>6</v>
      </c>
      <c r="F1738" t="n">
        <v>0.3276</v>
      </c>
      <c r="G1738" t="n">
        <v>1.82</v>
      </c>
      <c r="H1738" t="n">
        <v>2</v>
      </c>
      <c r="I1738" t="n">
        <v>6</v>
      </c>
      <c r="J1738" t="n">
        <v>3</v>
      </c>
      <c r="K1738" t="n">
        <v>0</v>
      </c>
      <c r="L1738" t="n">
        <v>26541</v>
      </c>
      <c r="M1738" t="n">
        <v>32000</v>
      </c>
      <c r="N1738" t="n">
        <v>91</v>
      </c>
      <c r="O1738" t="n">
        <v>0.91</v>
      </c>
      <c r="P1738" t="n">
        <v>1</v>
      </c>
      <c r="Q1738" t="n">
        <v>0.17</v>
      </c>
      <c r="R1738" t="n">
        <v>1</v>
      </c>
      <c r="S1738" t="n">
        <v>10483.2</v>
      </c>
      <c r="T1738" t="n">
        <v>11</v>
      </c>
      <c r="U1738" t="n">
        <v>12</v>
      </c>
      <c r="V1738" t="n">
        <v>30</v>
      </c>
      <c r="W1738" t="n">
        <v>10</v>
      </c>
      <c r="X1738" t="n">
        <v>18.31501831501831</v>
      </c>
      <c r="Y1738" t="n">
        <v>1</v>
      </c>
      <c r="Z1738" t="n">
        <v>4</v>
      </c>
      <c r="AA1738" t="n">
        <v>0</v>
      </c>
      <c r="AB1738" t="n">
        <v>4</v>
      </c>
      <c r="AC1738" t="n">
        <v>4</v>
      </c>
      <c r="AD1738" t="n">
        <v>0</v>
      </c>
      <c r="AE1738" t="n">
        <v>106164</v>
      </c>
      <c r="AF1738" t="n">
        <v>2660</v>
      </c>
      <c r="AG1738" t="n">
        <v>104</v>
      </c>
      <c r="AH1738" t="inlineStr">
        <is>
          <t>PT. ASIA PARAMITA - PPN (PDG)</t>
        </is>
      </c>
      <c r="AI1738" t="n">
        <v>1544</v>
      </c>
      <c r="AJ1738" t="inlineStr">
        <is>
          <t>GATSBY</t>
        </is>
      </c>
      <c r="AK1738" t="n">
        <v>21</v>
      </c>
      <c r="AL1738" t="inlineStr">
        <is>
          <t>Miss Glam Damar</t>
        </is>
      </c>
      <c r="AM1738" t="n">
        <v>2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GATSBY</t>
        </is>
      </c>
      <c r="B1739" s="2">
        <f>"8992222056892"</f>
        <v/>
      </c>
      <c r="C1739" t="inlineStr">
        <is>
          <t>GATSBY The Nature Styling Balm Cream 75gr</t>
        </is>
      </c>
      <c r="D1739" t="inlineStr">
        <is>
          <t>Miss Glam Damar</t>
        </is>
      </c>
      <c r="E1739" t="n">
        <v>3</v>
      </c>
      <c r="F1739" t="n">
        <v>0.1547</v>
      </c>
      <c r="G1739" t="n">
        <v>0.91</v>
      </c>
      <c r="H1739" t="n">
        <v>2</v>
      </c>
      <c r="I1739" t="n">
        <v>6</v>
      </c>
      <c r="J1739" t="n">
        <v>3</v>
      </c>
      <c r="K1739" t="n">
        <v>0</v>
      </c>
      <c r="L1739" t="n">
        <v>26507</v>
      </c>
      <c r="M1739" t="n">
        <v>32000</v>
      </c>
      <c r="N1739" t="n">
        <v>91</v>
      </c>
      <c r="O1739" t="n">
        <v>0.91</v>
      </c>
      <c r="P1739" t="n">
        <v>1</v>
      </c>
      <c r="Q1739" t="n">
        <v>0.05</v>
      </c>
      <c r="R1739" t="n">
        <v>1</v>
      </c>
      <c r="S1739" t="n">
        <v>4950.400000000001</v>
      </c>
      <c r="T1739" t="n">
        <v>6</v>
      </c>
      <c r="U1739" t="n">
        <v>7</v>
      </c>
      <c r="V1739" t="n">
        <v>30</v>
      </c>
      <c r="W1739" t="n">
        <v>5</v>
      </c>
      <c r="X1739" t="n">
        <v>19.3923723335488</v>
      </c>
      <c r="Y1739" t="n">
        <v>1</v>
      </c>
      <c r="Z1739" t="n">
        <v>2</v>
      </c>
      <c r="AA1739" t="n">
        <v>0</v>
      </c>
      <c r="AB1739" t="n">
        <v>2</v>
      </c>
      <c r="AC1739" t="n">
        <v>3</v>
      </c>
      <c r="AD1739" t="n">
        <v>0</v>
      </c>
      <c r="AE1739" t="n">
        <v>79521</v>
      </c>
      <c r="AF1739" t="n">
        <v>2660</v>
      </c>
      <c r="AG1739" t="n">
        <v>104</v>
      </c>
      <c r="AH1739" t="inlineStr">
        <is>
          <t>PT. ASIA PARAMITA - PPN (PDG)</t>
        </is>
      </c>
      <c r="AI1739" t="n">
        <v>1544</v>
      </c>
      <c r="AJ1739" t="inlineStr">
        <is>
          <t>GATSBY</t>
        </is>
      </c>
      <c r="AK1739" t="n">
        <v>21</v>
      </c>
      <c r="AL1739" t="inlineStr">
        <is>
          <t>Miss Glam Damar</t>
        </is>
      </c>
      <c r="AM1739" t="n">
        <v>2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GATSBY</t>
        </is>
      </c>
      <c r="B1740" s="2">
        <f>"8992222056885"</f>
        <v/>
      </c>
      <c r="C1740" t="inlineStr">
        <is>
          <t>GATSBY The Nature Styling Balm Pomade 75gr</t>
        </is>
      </c>
      <c r="D1740" t="inlineStr">
        <is>
          <t>Miss Glam Damar</t>
        </is>
      </c>
      <c r="E1740" t="n">
        <v>2</v>
      </c>
      <c r="F1740" t="n">
        <v>0.1547</v>
      </c>
      <c r="G1740" t="n">
        <v>1.82</v>
      </c>
      <c r="H1740" t="n">
        <v>2</v>
      </c>
      <c r="I1740" t="n">
        <v>6</v>
      </c>
      <c r="J1740" t="n">
        <v>3</v>
      </c>
      <c r="K1740" t="n">
        <v>0</v>
      </c>
      <c r="L1740" t="n">
        <v>26489</v>
      </c>
      <c r="M1740" t="n">
        <v>32000</v>
      </c>
      <c r="N1740" t="n">
        <v>91</v>
      </c>
      <c r="O1740" t="n">
        <v>0.91</v>
      </c>
      <c r="P1740" t="n">
        <v>1</v>
      </c>
      <c r="Q1740" t="n">
        <v>0.12</v>
      </c>
      <c r="R1740" t="n">
        <v>1</v>
      </c>
      <c r="S1740" t="n">
        <v>4950.400000000001</v>
      </c>
      <c r="T1740" t="n">
        <v>11</v>
      </c>
      <c r="U1740" t="n">
        <v>12</v>
      </c>
      <c r="V1740" t="n">
        <v>30</v>
      </c>
      <c r="W1740" t="n">
        <v>5</v>
      </c>
      <c r="X1740" t="n">
        <v>12.92824822236587</v>
      </c>
      <c r="Y1740" t="n">
        <v>1</v>
      </c>
      <c r="Z1740" t="n">
        <v>3</v>
      </c>
      <c r="AA1740" t="n">
        <v>0</v>
      </c>
      <c r="AB1740" t="n">
        <v>3</v>
      </c>
      <c r="AC1740" t="n">
        <v>3</v>
      </c>
      <c r="AD1740" t="n">
        <v>0</v>
      </c>
      <c r="AE1740" t="n">
        <v>79467</v>
      </c>
      <c r="AF1740" t="n">
        <v>2660</v>
      </c>
      <c r="AG1740" t="n">
        <v>104</v>
      </c>
      <c r="AH1740" t="inlineStr">
        <is>
          <t>PT. ASIA PARAMITA - PPN (PDG)</t>
        </is>
      </c>
      <c r="AI1740" t="n">
        <v>1544</v>
      </c>
      <c r="AJ1740" t="inlineStr">
        <is>
          <t>GATSBY</t>
        </is>
      </c>
      <c r="AK1740" t="n">
        <v>21</v>
      </c>
      <c r="AL1740" t="inlineStr">
        <is>
          <t>Miss Glam Damar</t>
        </is>
      </c>
      <c r="AM1740" t="n">
        <v>2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GATSBY</t>
        </is>
      </c>
      <c r="B1741" s="2">
        <f>"8992222056007"</f>
        <v/>
      </c>
      <c r="C1741" t="inlineStr">
        <is>
          <t>GATSBY Urban Cologne Ardent Long Lasting Perfume 125ml</t>
        </is>
      </c>
      <c r="D1741" t="inlineStr">
        <is>
          <t>Miss Glam Damar</t>
        </is>
      </c>
      <c r="E1741" t="n">
        <v>2</v>
      </c>
      <c r="F1741" t="n">
        <v>0.07000000000000001</v>
      </c>
      <c r="G1741" t="n">
        <v>1</v>
      </c>
      <c r="H1741" t="n">
        <v>2</v>
      </c>
      <c r="I1741" t="n">
        <v>6</v>
      </c>
      <c r="J1741" t="n">
        <v>3</v>
      </c>
      <c r="K1741" t="n">
        <v>0</v>
      </c>
      <c r="L1741" t="n">
        <v>15925</v>
      </c>
      <c r="M1741" t="n">
        <v>19500</v>
      </c>
      <c r="N1741" t="n">
        <v>91</v>
      </c>
      <c r="O1741" t="n">
        <v>0.91</v>
      </c>
      <c r="P1741" t="n">
        <v>0</v>
      </c>
      <c r="Q1741" t="n">
        <v>0.07000000000000001</v>
      </c>
      <c r="R1741" t="n">
        <v>1</v>
      </c>
      <c r="S1741" t="n">
        <v>1365</v>
      </c>
      <c r="T1741" t="n">
        <v>6</v>
      </c>
      <c r="U1741" t="n">
        <v>7</v>
      </c>
      <c r="V1741" t="n">
        <v>30</v>
      </c>
      <c r="W1741" t="n">
        <v>3</v>
      </c>
      <c r="X1741" t="n">
        <v>28.57142857142857</v>
      </c>
      <c r="Y1741" t="n">
        <v>1</v>
      </c>
      <c r="Z1741" t="n">
        <v>1</v>
      </c>
      <c r="AA1741" t="n">
        <v>0</v>
      </c>
      <c r="AB1741" t="n">
        <v>1</v>
      </c>
      <c r="AC1741" t="n">
        <v>3</v>
      </c>
      <c r="AD1741" t="n">
        <v>0</v>
      </c>
      <c r="AE1741" t="n">
        <v>47775</v>
      </c>
      <c r="AF1741" t="n">
        <v>2660</v>
      </c>
      <c r="AG1741" t="n">
        <v>104</v>
      </c>
      <c r="AH1741" t="inlineStr">
        <is>
          <t>PT. ASIA PARAMITA - PPN (PDG)</t>
        </is>
      </c>
      <c r="AI1741" t="n">
        <v>1544</v>
      </c>
      <c r="AJ1741" t="inlineStr">
        <is>
          <t>GATSBY</t>
        </is>
      </c>
      <c r="AK1741" t="n">
        <v>21</v>
      </c>
      <c r="AL1741" t="inlineStr">
        <is>
          <t>Miss Glam Damar</t>
        </is>
      </c>
      <c r="AM1741" t="n">
        <v>2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GATSBY</t>
        </is>
      </c>
      <c r="B1742" s="2">
        <f>"8992222053426"</f>
        <v/>
      </c>
      <c r="C1742" t="inlineStr">
        <is>
          <t>GATSBY Urban Cologne Energy Long Lasting Perfume 125ml</t>
        </is>
      </c>
      <c r="D1742" t="inlineStr">
        <is>
          <t>Miss Glam Damar</t>
        </is>
      </c>
      <c r="E1742" t="n">
        <v>4</v>
      </c>
      <c r="F1742" t="n">
        <v>0.03</v>
      </c>
      <c r="G1742" t="n">
        <v>1</v>
      </c>
      <c r="H1742" t="n">
        <v>2</v>
      </c>
      <c r="I1742" t="n">
        <v>6</v>
      </c>
      <c r="J1742" t="n">
        <v>3</v>
      </c>
      <c r="K1742" t="n">
        <v>0</v>
      </c>
      <c r="L1742" t="n">
        <v>15924</v>
      </c>
      <c r="M1742" t="n">
        <v>19500</v>
      </c>
      <c r="N1742" t="n">
        <v>91</v>
      </c>
      <c r="O1742" t="n">
        <v>0.91</v>
      </c>
      <c r="P1742" t="n">
        <v>0</v>
      </c>
      <c r="Q1742" t="n">
        <v>0.03</v>
      </c>
      <c r="R1742" t="n">
        <v>1</v>
      </c>
      <c r="S1742" t="n">
        <v>585</v>
      </c>
      <c r="T1742" t="n">
        <v>6</v>
      </c>
      <c r="U1742" t="n">
        <v>7</v>
      </c>
      <c r="V1742" t="n">
        <v>30</v>
      </c>
      <c r="W1742" t="n">
        <v>1</v>
      </c>
      <c r="X1742" t="n">
        <v>133.3333333333333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2660</v>
      </c>
      <c r="AG1742" t="n">
        <v>104</v>
      </c>
      <c r="AH1742" t="inlineStr">
        <is>
          <t>PT. ASIA PARAMITA - PPN (PDG)</t>
        </is>
      </c>
      <c r="AI1742" t="n">
        <v>1544</v>
      </c>
      <c r="AJ1742" t="inlineStr">
        <is>
          <t>GATSBY</t>
        </is>
      </c>
      <c r="AK1742" t="n">
        <v>21</v>
      </c>
      <c r="AL1742" t="inlineStr">
        <is>
          <t>Miss Glam Damar</t>
        </is>
      </c>
      <c r="AM1742" t="n">
        <v>2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GATSBY</t>
        </is>
      </c>
      <c r="B1743" s="2">
        <f>"8992222053464"</f>
        <v/>
      </c>
      <c r="C1743" t="inlineStr">
        <is>
          <t>GATSBY Urban Cologne Infinity Long Lasting Perfume 125ml</t>
        </is>
      </c>
      <c r="D1743" t="inlineStr">
        <is>
          <t>Miss Glam Damar</t>
        </is>
      </c>
      <c r="E1743" t="n">
        <v>0</v>
      </c>
      <c r="F1743" t="n">
        <v>0.05</v>
      </c>
      <c r="G1743" t="n">
        <v>1</v>
      </c>
      <c r="H1743" t="n">
        <v>2</v>
      </c>
      <c r="I1743" t="n">
        <v>6</v>
      </c>
      <c r="J1743" t="n">
        <v>3</v>
      </c>
      <c r="K1743" t="n">
        <v>0</v>
      </c>
      <c r="L1743" t="n">
        <v>15925</v>
      </c>
      <c r="M1743" t="n">
        <v>19500</v>
      </c>
      <c r="N1743" t="n">
        <v>91</v>
      </c>
      <c r="O1743" t="n">
        <v>0.91</v>
      </c>
      <c r="P1743" t="n">
        <v>0</v>
      </c>
      <c r="Q1743" t="n">
        <v>0.05</v>
      </c>
      <c r="R1743" t="n">
        <v>1</v>
      </c>
      <c r="S1743" t="n">
        <v>975</v>
      </c>
      <c r="T1743" t="n">
        <v>6</v>
      </c>
      <c r="U1743" t="n">
        <v>7</v>
      </c>
      <c r="V1743" t="n">
        <v>30</v>
      </c>
      <c r="W1743" t="n">
        <v>2</v>
      </c>
      <c r="X1743" t="n">
        <v>0</v>
      </c>
      <c r="Y1743" t="n">
        <v>1</v>
      </c>
      <c r="Z1743" t="n">
        <v>2</v>
      </c>
      <c r="AA1743" t="n">
        <v>1</v>
      </c>
      <c r="AB1743" t="n">
        <v>1</v>
      </c>
      <c r="AC1743" t="n">
        <v>3</v>
      </c>
      <c r="AD1743" t="n">
        <v>15925</v>
      </c>
      <c r="AE1743" t="n">
        <v>47775</v>
      </c>
      <c r="AF1743" t="n">
        <v>2660</v>
      </c>
      <c r="AG1743" t="n">
        <v>104</v>
      </c>
      <c r="AH1743" t="inlineStr">
        <is>
          <t>PT. ASIA PARAMITA - PPN (PDG)</t>
        </is>
      </c>
      <c r="AI1743" t="n">
        <v>1544</v>
      </c>
      <c r="AJ1743" t="inlineStr">
        <is>
          <t>GATSBY</t>
        </is>
      </c>
      <c r="AK1743" t="n">
        <v>21</v>
      </c>
      <c r="AL1743" t="inlineStr">
        <is>
          <t>Miss Glam Damar</t>
        </is>
      </c>
      <c r="AM1743" t="n">
        <v>2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GENDES</t>
        </is>
      </c>
      <c r="B1744" s="2">
        <f>"8992955001626"</f>
        <v/>
      </c>
      <c r="C1744" t="inlineStr">
        <is>
          <t>GENDES Aromatic Feminine Wash Foam Mango 55ml</t>
        </is>
      </c>
      <c r="D1744" t="inlineStr">
        <is>
          <t>Miss Glam Damar</t>
        </is>
      </c>
      <c r="E1744" t="n">
        <v>13</v>
      </c>
      <c r="F1744" t="n">
        <v>0.0182</v>
      </c>
      <c r="G1744" t="n">
        <v>0.91</v>
      </c>
      <c r="H1744" t="n">
        <v>4</v>
      </c>
      <c r="I1744" t="n">
        <v>21</v>
      </c>
      <c r="J1744" t="n">
        <v>3</v>
      </c>
      <c r="K1744" t="n">
        <v>0</v>
      </c>
      <c r="L1744" t="n">
        <v>53771</v>
      </c>
      <c r="M1744" t="n">
        <v>73500</v>
      </c>
      <c r="N1744" t="n">
        <v>91</v>
      </c>
      <c r="O1744" t="n">
        <v>0.91</v>
      </c>
      <c r="P1744" t="n">
        <v>1</v>
      </c>
      <c r="Q1744" t="n">
        <v>0.05</v>
      </c>
      <c r="R1744" t="n">
        <v>1</v>
      </c>
      <c r="S1744" t="n">
        <v>1337.7</v>
      </c>
      <c r="T1744" t="n">
        <v>20</v>
      </c>
      <c r="U1744" t="n">
        <v>21</v>
      </c>
      <c r="V1744" t="n">
        <v>30</v>
      </c>
      <c r="W1744" t="n">
        <v>1</v>
      </c>
      <c r="X1744" t="n">
        <v>714.2857142857142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5088</v>
      </c>
      <c r="AG1744" t="n">
        <v>1</v>
      </c>
      <c r="AH1744" t="inlineStr">
        <is>
          <t>PT. BERSAMA DISTRIVERSA INDONESIA (DC CIPUTAT)</t>
        </is>
      </c>
      <c r="AI1744" t="n">
        <v>1933</v>
      </c>
      <c r="AJ1744" t="inlineStr">
        <is>
          <t>GENDES</t>
        </is>
      </c>
      <c r="AK1744" t="n">
        <v>21</v>
      </c>
      <c r="AL1744" t="inlineStr">
        <is>
          <t>Miss Glam Damar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GENDES</t>
        </is>
      </c>
      <c r="B1745" s="2">
        <f>"30800115936"</f>
        <v/>
      </c>
      <c r="C1745" t="inlineStr">
        <is>
          <t>GENDES Sweet Aromatic Chocolate Spray 23ml</t>
        </is>
      </c>
      <c r="D1745" t="inlineStr">
        <is>
          <t>Miss Glam Damar</t>
        </is>
      </c>
      <c r="E1745" t="n">
        <v>15</v>
      </c>
      <c r="F1745" t="n">
        <v>0.06370000000000001</v>
      </c>
      <c r="G1745" t="n">
        <v>0.91</v>
      </c>
      <c r="H1745" t="n">
        <v>4</v>
      </c>
      <c r="I1745" t="n">
        <v>21</v>
      </c>
      <c r="J1745" t="n">
        <v>1</v>
      </c>
      <c r="K1745" t="n">
        <v>0</v>
      </c>
      <c r="L1745" t="n">
        <v>45881</v>
      </c>
      <c r="M1745" t="n">
        <v>58500</v>
      </c>
      <c r="N1745" t="n">
        <v>91</v>
      </c>
      <c r="O1745" t="n">
        <v>0.91</v>
      </c>
      <c r="P1745" t="n">
        <v>1</v>
      </c>
      <c r="Q1745" t="n">
        <v>0.1</v>
      </c>
      <c r="R1745" t="n">
        <v>2</v>
      </c>
      <c r="S1745" t="n">
        <v>3726.45</v>
      </c>
      <c r="T1745" t="n">
        <v>19</v>
      </c>
      <c r="U1745" t="n">
        <v>20</v>
      </c>
      <c r="V1745" t="n">
        <v>30</v>
      </c>
      <c r="W1745" t="n">
        <v>2</v>
      </c>
      <c r="X1745" t="n">
        <v>235.4788069073783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5088</v>
      </c>
      <c r="AG1745" t="n">
        <v>1</v>
      </c>
      <c r="AH1745" t="inlineStr">
        <is>
          <t>PT. BERSAMA DISTRIVERSA INDONESIA (DC CIPUTAT)</t>
        </is>
      </c>
      <c r="AI1745" t="n">
        <v>1933</v>
      </c>
      <c r="AJ1745" t="inlineStr">
        <is>
          <t>GENDES</t>
        </is>
      </c>
      <c r="AK1745" t="n">
        <v>21</v>
      </c>
      <c r="AL1745" t="inlineStr">
        <is>
          <t>Miss Glam Damar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GENDES</t>
        </is>
      </c>
      <c r="B1746" s="2">
        <f>"8992955001763"</f>
        <v/>
      </c>
      <c r="C1746" t="inlineStr">
        <is>
          <t>GENDES Sweet Aromatic Feminine Hygiene Bubble Gum Wash Foam (Flavor) 55ml</t>
        </is>
      </c>
      <c r="D1746" t="inlineStr">
        <is>
          <t>Miss Glam Damar</t>
        </is>
      </c>
      <c r="E1746" t="n">
        <v>7</v>
      </c>
      <c r="F1746" t="n">
        <v>0.2821</v>
      </c>
      <c r="G1746" t="n">
        <v>1.82</v>
      </c>
      <c r="H1746" t="n">
        <v>4</v>
      </c>
      <c r="I1746" t="n">
        <v>21</v>
      </c>
      <c r="J1746" t="n">
        <v>1</v>
      </c>
      <c r="K1746" t="n">
        <v>0</v>
      </c>
      <c r="L1746" t="n">
        <v>53818</v>
      </c>
      <c r="M1746" t="n">
        <v>69000</v>
      </c>
      <c r="N1746" t="n">
        <v>91</v>
      </c>
      <c r="O1746" t="n">
        <v>0.91</v>
      </c>
      <c r="P1746" t="n">
        <v>1</v>
      </c>
      <c r="Q1746" t="n">
        <v>0.25</v>
      </c>
      <c r="R1746" t="n">
        <v>2</v>
      </c>
      <c r="S1746" t="n">
        <v>19464.9</v>
      </c>
      <c r="T1746" t="n">
        <v>38</v>
      </c>
      <c r="U1746" t="n">
        <v>40</v>
      </c>
      <c r="V1746" t="n">
        <v>30</v>
      </c>
      <c r="W1746" t="n">
        <v>9</v>
      </c>
      <c r="X1746" t="n">
        <v>24.81389578163772</v>
      </c>
      <c r="Y1746" t="n">
        <v>1</v>
      </c>
      <c r="Z1746" t="n">
        <v>2</v>
      </c>
      <c r="AA1746" t="n">
        <v>0</v>
      </c>
      <c r="AB1746" t="n">
        <v>2</v>
      </c>
      <c r="AC1746" t="n">
        <v>2</v>
      </c>
      <c r="AD1746" t="n">
        <v>0</v>
      </c>
      <c r="AE1746" t="n">
        <v>107636</v>
      </c>
      <c r="AF1746" t="n">
        <v>5088</v>
      </c>
      <c r="AG1746" t="n">
        <v>1</v>
      </c>
      <c r="AH1746" t="inlineStr">
        <is>
          <t>PT. BERSAMA DISTRIVERSA INDONESIA (DC CIPUTAT)</t>
        </is>
      </c>
      <c r="AI1746" t="n">
        <v>1933</v>
      </c>
      <c r="AJ1746" t="inlineStr">
        <is>
          <t>GENDES</t>
        </is>
      </c>
      <c r="AK1746" t="n">
        <v>21</v>
      </c>
      <c r="AL1746" t="inlineStr">
        <is>
          <t>Miss Glam Damar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GENDES</t>
        </is>
      </c>
      <c r="B1747" s="2">
        <f>"8992955001541"</f>
        <v/>
      </c>
      <c r="C1747" t="inlineStr">
        <is>
          <t>GENDES Sweet Aromatic Feminine Hygiene Grape Spray 23 ml</t>
        </is>
      </c>
      <c r="D1747" t="inlineStr">
        <is>
          <t>Miss Glam Damar</t>
        </is>
      </c>
      <c r="E1747" t="n">
        <v>9</v>
      </c>
      <c r="F1747" t="n">
        <v>0.1001</v>
      </c>
      <c r="G1747" t="n">
        <v>1.82</v>
      </c>
      <c r="H1747" t="n">
        <v>4</v>
      </c>
      <c r="I1747" t="n">
        <v>21</v>
      </c>
      <c r="J1747" t="n">
        <v>3</v>
      </c>
      <c r="K1747" t="n">
        <v>0</v>
      </c>
      <c r="L1747" t="n">
        <v>45978</v>
      </c>
      <c r="M1747" t="n">
        <v>66000</v>
      </c>
      <c r="N1747" t="n">
        <v>91</v>
      </c>
      <c r="O1747" t="n">
        <v>0.91</v>
      </c>
      <c r="P1747" t="n">
        <v>1</v>
      </c>
      <c r="Q1747" t="n">
        <v>0.24</v>
      </c>
      <c r="R1747" t="n">
        <v>4</v>
      </c>
      <c r="S1747" t="n">
        <v>6606.6</v>
      </c>
      <c r="T1747" t="n">
        <v>38</v>
      </c>
      <c r="U1747" t="n">
        <v>39</v>
      </c>
      <c r="V1747" t="n">
        <v>30</v>
      </c>
      <c r="W1747" t="n">
        <v>4</v>
      </c>
      <c r="X1747" t="n">
        <v>89.91008991008991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5088</v>
      </c>
      <c r="AG1747" t="n">
        <v>1</v>
      </c>
      <c r="AH1747" t="inlineStr">
        <is>
          <t>PT. BERSAMA DISTRIVERSA INDONESIA (DC CIPUTAT)</t>
        </is>
      </c>
      <c r="AI1747" t="n">
        <v>1933</v>
      </c>
      <c r="AJ1747" t="inlineStr">
        <is>
          <t>GENDES</t>
        </is>
      </c>
      <c r="AK1747" t="n">
        <v>21</v>
      </c>
      <c r="AL1747" t="inlineStr">
        <is>
          <t>Miss Glam Damar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GENDES</t>
        </is>
      </c>
      <c r="B1748" s="2">
        <f>"30800115559"</f>
        <v/>
      </c>
      <c r="C1748" t="inlineStr">
        <is>
          <t>GENDES Sweet Aromatic Feminine Hygiene Grape Wash Foam 55ml</t>
        </is>
      </c>
      <c r="D1748" t="inlineStr">
        <is>
          <t>Miss Glam Damar</t>
        </is>
      </c>
      <c r="E1748" t="n">
        <v>22</v>
      </c>
      <c r="F1748" t="n">
        <v>0.0728</v>
      </c>
      <c r="G1748" t="n">
        <v>0.91</v>
      </c>
      <c r="H1748" t="n">
        <v>4</v>
      </c>
      <c r="I1748" t="n">
        <v>21</v>
      </c>
      <c r="J1748" t="n">
        <v>1</v>
      </c>
      <c r="K1748" t="n">
        <v>0</v>
      </c>
      <c r="L1748" t="n">
        <v>54111</v>
      </c>
      <c r="M1748" t="n">
        <v>75000</v>
      </c>
      <c r="N1748" t="n">
        <v>91</v>
      </c>
      <c r="O1748" t="n">
        <v>0.91</v>
      </c>
      <c r="P1748" t="n">
        <v>1</v>
      </c>
      <c r="Q1748" t="n">
        <v>0.25</v>
      </c>
      <c r="R1748" t="n">
        <v>2</v>
      </c>
      <c r="S1748" t="n">
        <v>5460</v>
      </c>
      <c r="T1748" t="n">
        <v>19</v>
      </c>
      <c r="U1748" t="n">
        <v>20</v>
      </c>
      <c r="V1748" t="n">
        <v>30</v>
      </c>
      <c r="W1748" t="n">
        <v>3</v>
      </c>
      <c r="X1748" t="n">
        <v>302.1978021978022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5088</v>
      </c>
      <c r="AG1748" t="n">
        <v>1</v>
      </c>
      <c r="AH1748" t="inlineStr">
        <is>
          <t>PT. BERSAMA DISTRIVERSA INDONESIA (DC CIPUTAT)</t>
        </is>
      </c>
      <c r="AI1748" t="n">
        <v>1933</v>
      </c>
      <c r="AJ1748" t="inlineStr">
        <is>
          <t>GENDES</t>
        </is>
      </c>
      <c r="AK1748" t="n">
        <v>21</v>
      </c>
      <c r="AL1748" t="inlineStr">
        <is>
          <t>Miss Glam Damar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GENDES</t>
        </is>
      </c>
      <c r="B1749" s="2">
        <f>"8992955001565"</f>
        <v/>
      </c>
      <c r="C1749" t="inlineStr">
        <is>
          <t>GENDES Sweet Aromatic Feminine Hygiene Mango Spray 23ml</t>
        </is>
      </c>
      <c r="D1749" t="inlineStr">
        <is>
          <t>Miss Glam Damar</t>
        </is>
      </c>
      <c r="E1749" t="n">
        <v>28</v>
      </c>
      <c r="F1749" t="n">
        <v>0.06370000000000001</v>
      </c>
      <c r="G1749" t="n">
        <v>0.91</v>
      </c>
      <c r="H1749" t="n">
        <v>4</v>
      </c>
      <c r="I1749" t="n">
        <v>21</v>
      </c>
      <c r="J1749" t="n">
        <v>3</v>
      </c>
      <c r="K1749" t="n">
        <v>0</v>
      </c>
      <c r="L1749" t="n">
        <v>45978</v>
      </c>
      <c r="M1749" t="n">
        <v>66000</v>
      </c>
      <c r="N1749" t="n">
        <v>91</v>
      </c>
      <c r="O1749" t="n">
        <v>0.91</v>
      </c>
      <c r="P1749" t="n">
        <v>1</v>
      </c>
      <c r="Q1749" t="n">
        <v>0.12</v>
      </c>
      <c r="R1749" t="n">
        <v>2</v>
      </c>
      <c r="S1749" t="n">
        <v>4204.200000000001</v>
      </c>
      <c r="T1749" t="n">
        <v>19</v>
      </c>
      <c r="U1749" t="n">
        <v>20</v>
      </c>
      <c r="V1749" t="n">
        <v>30</v>
      </c>
      <c r="W1749" t="n">
        <v>2</v>
      </c>
      <c r="X1749" t="n">
        <v>439.5604395604395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5088</v>
      </c>
      <c r="AG1749" t="n">
        <v>1</v>
      </c>
      <c r="AH1749" t="inlineStr">
        <is>
          <t>PT. BERSAMA DISTRIVERSA INDONESIA (DC CIPUTAT)</t>
        </is>
      </c>
      <c r="AI1749" t="n">
        <v>1933</v>
      </c>
      <c r="AJ1749" t="inlineStr">
        <is>
          <t>GENDES</t>
        </is>
      </c>
      <c r="AK1749" t="n">
        <v>21</v>
      </c>
      <c r="AL1749" t="inlineStr">
        <is>
          <t>Miss Glam Damar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GENDES</t>
        </is>
      </c>
      <c r="B1750" s="2">
        <f>"30800115629"</f>
        <v/>
      </c>
      <c r="C1750" t="inlineStr">
        <is>
          <t>GENDES Sweet Aromatic Feminine Hygiene Vanilla Wash Foam (Flavor) 55ml</t>
        </is>
      </c>
      <c r="D1750" t="inlineStr">
        <is>
          <t>Miss Glam Damar</t>
        </is>
      </c>
      <c r="E1750" t="n">
        <v>8</v>
      </c>
      <c r="F1750" t="n">
        <v>0.1729</v>
      </c>
      <c r="G1750" t="n">
        <v>1.82</v>
      </c>
      <c r="H1750" t="n">
        <v>4</v>
      </c>
      <c r="I1750" t="n">
        <v>21</v>
      </c>
      <c r="J1750" t="n">
        <v>1</v>
      </c>
      <c r="K1750" t="n">
        <v>0</v>
      </c>
      <c r="L1750" t="n">
        <v>53818</v>
      </c>
      <c r="M1750" t="n">
        <v>69000</v>
      </c>
      <c r="N1750" t="n">
        <v>91</v>
      </c>
      <c r="O1750" t="n">
        <v>0.91</v>
      </c>
      <c r="P1750" t="n">
        <v>1</v>
      </c>
      <c r="Q1750" t="n">
        <v>0.15</v>
      </c>
      <c r="R1750" t="n">
        <v>1</v>
      </c>
      <c r="S1750" t="n">
        <v>11930.1</v>
      </c>
      <c r="T1750" t="n">
        <v>38</v>
      </c>
      <c r="U1750" t="n">
        <v>39</v>
      </c>
      <c r="V1750" t="n">
        <v>30</v>
      </c>
      <c r="W1750" t="n">
        <v>6</v>
      </c>
      <c r="X1750" t="n">
        <v>46.26951995373048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5088</v>
      </c>
      <c r="AG1750" t="n">
        <v>1</v>
      </c>
      <c r="AH1750" t="inlineStr">
        <is>
          <t>PT. BERSAMA DISTRIVERSA INDONESIA (DC CIPUTAT)</t>
        </is>
      </c>
      <c r="AI1750" t="n">
        <v>1933</v>
      </c>
      <c r="AJ1750" t="inlineStr">
        <is>
          <t>GENDES</t>
        </is>
      </c>
      <c r="AK1750" t="n">
        <v>21</v>
      </c>
      <c r="AL1750" t="inlineStr">
        <is>
          <t>Miss Glam Damar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GENDES</t>
        </is>
      </c>
      <c r="B1751" s="2">
        <f>"8992955001282"</f>
        <v/>
      </c>
      <c r="C1751" t="inlineStr">
        <is>
          <t>GENDES Sweet Aromatic Gum Spray 23ml</t>
        </is>
      </c>
      <c r="D1751" t="inlineStr">
        <is>
          <t>Miss Glam Damar</t>
        </is>
      </c>
      <c r="E1751" t="n">
        <v>3</v>
      </c>
      <c r="F1751" t="n">
        <v>0.2093</v>
      </c>
      <c r="G1751" t="n">
        <v>0.91</v>
      </c>
      <c r="H1751" t="n">
        <v>4</v>
      </c>
      <c r="I1751" t="n">
        <v>21</v>
      </c>
      <c r="J1751" t="n">
        <v>3</v>
      </c>
      <c r="K1751" t="n">
        <v>0</v>
      </c>
      <c r="L1751" t="n">
        <v>45978</v>
      </c>
      <c r="M1751" t="n">
        <v>59000</v>
      </c>
      <c r="N1751" t="n">
        <v>91</v>
      </c>
      <c r="O1751" t="n">
        <v>0.91</v>
      </c>
      <c r="P1751" t="n">
        <v>1</v>
      </c>
      <c r="Q1751" t="n">
        <v>0.05</v>
      </c>
      <c r="R1751" t="n">
        <v>1</v>
      </c>
      <c r="S1751" t="n">
        <v>12348.7</v>
      </c>
      <c r="T1751" t="n">
        <v>19</v>
      </c>
      <c r="U1751" t="n">
        <v>20</v>
      </c>
      <c r="V1751" t="n">
        <v>30</v>
      </c>
      <c r="W1751" t="n">
        <v>7</v>
      </c>
      <c r="X1751" t="n">
        <v>14.33349259436216</v>
      </c>
      <c r="Y1751" t="n">
        <v>1</v>
      </c>
      <c r="Z1751" t="n">
        <v>4</v>
      </c>
      <c r="AA1751" t="n">
        <v>2</v>
      </c>
      <c r="AB1751" t="n">
        <v>2</v>
      </c>
      <c r="AC1751" t="n">
        <v>3</v>
      </c>
      <c r="AD1751" t="n">
        <v>91956</v>
      </c>
      <c r="AE1751" t="n">
        <v>137934</v>
      </c>
      <c r="AF1751" t="n">
        <v>5088</v>
      </c>
      <c r="AG1751" t="n">
        <v>1</v>
      </c>
      <c r="AH1751" t="inlineStr">
        <is>
          <t>PT. BERSAMA DISTRIVERSA INDONESIA (DC CIPUTAT)</t>
        </is>
      </c>
      <c r="AI1751" t="n">
        <v>1933</v>
      </c>
      <c r="AJ1751" t="inlineStr">
        <is>
          <t>GENDES</t>
        </is>
      </c>
      <c r="AK1751" t="n">
        <v>21</v>
      </c>
      <c r="AL1751" t="inlineStr">
        <is>
          <t>Miss Glam Damar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GENDES</t>
        </is>
      </c>
      <c r="B1752" s="2">
        <f>"8992955001305"</f>
        <v/>
      </c>
      <c r="C1752" t="inlineStr">
        <is>
          <t>GENDES Sweet Aromatic Vanila Spray 23ml</t>
        </is>
      </c>
      <c r="D1752" t="inlineStr">
        <is>
          <t>Miss Glam Damar</t>
        </is>
      </c>
      <c r="E1752" t="n">
        <v>16</v>
      </c>
      <c r="F1752" t="n">
        <v>0.09100000000000001</v>
      </c>
      <c r="G1752" t="n">
        <v>0.91</v>
      </c>
      <c r="H1752" t="n">
        <v>4</v>
      </c>
      <c r="I1752" t="n">
        <v>21</v>
      </c>
      <c r="J1752" t="n">
        <v>3</v>
      </c>
      <c r="K1752" t="n">
        <v>0</v>
      </c>
      <c r="L1752" t="n">
        <v>45978</v>
      </c>
      <c r="M1752" t="n">
        <v>59000</v>
      </c>
      <c r="N1752" t="n">
        <v>91</v>
      </c>
      <c r="O1752" t="n">
        <v>0.91</v>
      </c>
      <c r="P1752" t="n">
        <v>1</v>
      </c>
      <c r="Q1752" t="n">
        <v>0.03</v>
      </c>
      <c r="R1752" t="n">
        <v>1</v>
      </c>
      <c r="S1752" t="n">
        <v>5369.000000000001</v>
      </c>
      <c r="T1752" t="n">
        <v>19</v>
      </c>
      <c r="U1752" t="n">
        <v>20</v>
      </c>
      <c r="V1752" t="n">
        <v>30</v>
      </c>
      <c r="W1752" t="n">
        <v>3</v>
      </c>
      <c r="X1752" t="n">
        <v>175.8241758241758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5088</v>
      </c>
      <c r="AG1752" t="n">
        <v>1</v>
      </c>
      <c r="AH1752" t="inlineStr">
        <is>
          <t>PT. BERSAMA DISTRIVERSA INDONESIA (DC CIPUTAT)</t>
        </is>
      </c>
      <c r="AI1752" t="n">
        <v>1933</v>
      </c>
      <c r="AJ1752" t="inlineStr">
        <is>
          <t>GENDES</t>
        </is>
      </c>
      <c r="AK1752" t="n">
        <v>21</v>
      </c>
      <c r="AL1752" t="inlineStr">
        <is>
          <t>Miss Glam Damar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GILETTE</t>
        </is>
      </c>
      <c r="B1753" s="2">
        <f>"4987176162298"</f>
        <v/>
      </c>
      <c r="C1753" t="inlineStr">
        <is>
          <t>GILETTE Simply Venus Basic Gilette 2 Blades</t>
        </is>
      </c>
      <c r="D1753" t="inlineStr">
        <is>
          <t>Miss Glam Damar</t>
        </is>
      </c>
      <c r="E1753" t="n">
        <v>11</v>
      </c>
      <c r="F1753" t="n">
        <v>0.2821</v>
      </c>
      <c r="G1753" t="n">
        <v>2.73</v>
      </c>
      <c r="H1753" t="n">
        <v>5</v>
      </c>
      <c r="I1753" t="n">
        <v>6</v>
      </c>
      <c r="J1753" t="n">
        <v>3</v>
      </c>
      <c r="K1753" t="n">
        <v>0</v>
      </c>
      <c r="L1753" t="n">
        <v>19372</v>
      </c>
      <c r="M1753" t="n">
        <v>24000</v>
      </c>
      <c r="N1753" t="n">
        <v>91</v>
      </c>
      <c r="O1753" t="n">
        <v>0.91</v>
      </c>
      <c r="P1753" t="n">
        <v>1</v>
      </c>
      <c r="Q1753" t="n">
        <v>0.9</v>
      </c>
      <c r="R1753" t="n">
        <v>7</v>
      </c>
      <c r="S1753" t="n">
        <v>6770.400000000001</v>
      </c>
      <c r="T1753" t="n">
        <v>15</v>
      </c>
      <c r="U1753" t="n">
        <v>17</v>
      </c>
      <c r="V1753" t="n">
        <v>30</v>
      </c>
      <c r="W1753" t="n">
        <v>9</v>
      </c>
      <c r="X1753" t="n">
        <v>38.99326479971641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11375</v>
      </c>
      <c r="AG1753" t="n">
        <v>561</v>
      </c>
      <c r="AH1753" t="inlineStr">
        <is>
          <t>PT. PANCA PILAR TANGGUH - PPN (PDG)</t>
        </is>
      </c>
      <c r="AI1753" t="n">
        <v>561</v>
      </c>
      <c r="AJ1753" t="inlineStr">
        <is>
          <t>GILETTE</t>
        </is>
      </c>
      <c r="AK1753" t="n">
        <v>21</v>
      </c>
      <c r="AL1753" t="inlineStr">
        <is>
          <t>Miss Glam Damar</t>
        </is>
      </c>
      <c r="AM1753" t="n">
        <v>4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GILETTE</t>
        </is>
      </c>
      <c r="B1754" s="2">
        <f>"4987176039606"</f>
        <v/>
      </c>
      <c r="C1754" t="inlineStr">
        <is>
          <t>GILETTE Venus With Olay Comfortglide Sugarberry 5 Blades 4 UP Gel Bar 2.5gr</t>
        </is>
      </c>
      <c r="D1754" t="inlineStr">
        <is>
          <t>Miss Glam Damar</t>
        </is>
      </c>
      <c r="E1754" t="n">
        <v>13</v>
      </c>
      <c r="F1754" t="n">
        <v>0.02</v>
      </c>
      <c r="G1754" t="n">
        <v>1</v>
      </c>
      <c r="H1754" t="n">
        <v>5</v>
      </c>
      <c r="I1754" t="n">
        <v>6</v>
      </c>
      <c r="J1754" t="n">
        <v>3</v>
      </c>
      <c r="K1754" t="n">
        <v>0</v>
      </c>
      <c r="L1754" t="n">
        <v>213373</v>
      </c>
      <c r="M1754" t="n">
        <v>252000</v>
      </c>
      <c r="N1754" t="n">
        <v>91</v>
      </c>
      <c r="O1754" t="n">
        <v>0.91</v>
      </c>
      <c r="P1754" t="n">
        <v>0</v>
      </c>
      <c r="Q1754" t="n">
        <v>0.02</v>
      </c>
      <c r="R1754" t="n">
        <v>1</v>
      </c>
      <c r="S1754" t="n">
        <v>5040</v>
      </c>
      <c r="T1754" t="n">
        <v>6</v>
      </c>
      <c r="U1754" t="n">
        <v>7</v>
      </c>
      <c r="V1754" t="n">
        <v>30</v>
      </c>
      <c r="W1754" t="n">
        <v>1</v>
      </c>
      <c r="X1754" t="n">
        <v>650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11375</v>
      </c>
      <c r="AG1754" t="n">
        <v>561</v>
      </c>
      <c r="AH1754" t="inlineStr">
        <is>
          <t>PT. PANCA PILAR TANGGUH - PPN (PDG)</t>
        </is>
      </c>
      <c r="AI1754" t="n">
        <v>561</v>
      </c>
      <c r="AJ1754" t="inlineStr">
        <is>
          <t>GILETTE</t>
        </is>
      </c>
      <c r="AK1754" t="n">
        <v>21</v>
      </c>
      <c r="AL1754" t="inlineStr">
        <is>
          <t>Miss Glam Damar</t>
        </is>
      </c>
      <c r="AM1754" t="n">
        <v>4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GILETTE</t>
        </is>
      </c>
      <c r="B1755" s="2">
        <f>"4902430801423"</f>
        <v/>
      </c>
      <c r="C1755" t="inlineStr">
        <is>
          <t>GILLETE Venus Simple</t>
        </is>
      </c>
      <c r="D1755" t="inlineStr">
        <is>
          <t>Miss Glam Damar</t>
        </is>
      </c>
      <c r="E1755" t="n">
        <v>12</v>
      </c>
      <c r="F1755" t="n">
        <v>0.2275</v>
      </c>
      <c r="G1755" t="n">
        <v>2.73</v>
      </c>
      <c r="H1755" t="n">
        <v>5</v>
      </c>
      <c r="I1755" t="n">
        <v>6</v>
      </c>
      <c r="J1755" t="n">
        <v>3</v>
      </c>
      <c r="K1755" t="n">
        <v>0</v>
      </c>
      <c r="L1755" t="n">
        <v>13306</v>
      </c>
      <c r="M1755" t="n">
        <v>18000</v>
      </c>
      <c r="N1755" t="n">
        <v>91</v>
      </c>
      <c r="O1755" t="n">
        <v>0.91</v>
      </c>
      <c r="P1755" t="n">
        <v>1</v>
      </c>
      <c r="Q1755" t="n">
        <v>0.68</v>
      </c>
      <c r="R1755" t="n">
        <v>3</v>
      </c>
      <c r="S1755" t="n">
        <v>4095</v>
      </c>
      <c r="T1755" t="n">
        <v>16</v>
      </c>
      <c r="U1755" t="n">
        <v>18</v>
      </c>
      <c r="V1755" t="n">
        <v>30</v>
      </c>
      <c r="W1755" t="n">
        <v>7</v>
      </c>
      <c r="X1755" t="n">
        <v>52.74725274725274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11375</v>
      </c>
      <c r="AG1755" t="n">
        <v>561</v>
      </c>
      <c r="AH1755" t="inlineStr">
        <is>
          <t>PT. PANCA PILAR TANGGUH - PPN (PDG)</t>
        </is>
      </c>
      <c r="AI1755" t="n">
        <v>561</v>
      </c>
      <c r="AJ1755" t="inlineStr">
        <is>
          <t>GILETTE</t>
        </is>
      </c>
      <c r="AK1755" t="n">
        <v>21</v>
      </c>
      <c r="AL1755" t="inlineStr">
        <is>
          <t>Miss Glam Damar</t>
        </is>
      </c>
      <c r="AM1755" t="n">
        <v>4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GILETTE</t>
        </is>
      </c>
      <c r="B1756" s="2">
        <f>"047400245105"</f>
        <v/>
      </c>
      <c r="C1756" t="inlineStr">
        <is>
          <t>GILLETTE Foamy Lemon Lime 175gr</t>
        </is>
      </c>
      <c r="D1756" t="inlineStr">
        <is>
          <t>Miss Glam Damar</t>
        </is>
      </c>
      <c r="E1756" t="n">
        <v>0</v>
      </c>
      <c r="F1756" t="n">
        <v>0.05</v>
      </c>
      <c r="G1756" t="n">
        <v>1</v>
      </c>
      <c r="H1756" t="n">
        <v>5</v>
      </c>
      <c r="I1756" t="n">
        <v>6</v>
      </c>
      <c r="J1756" t="n">
        <v>3</v>
      </c>
      <c r="K1756" t="n">
        <v>0</v>
      </c>
      <c r="L1756" t="n">
        <v>39172</v>
      </c>
      <c r="M1756" t="n">
        <v>46000</v>
      </c>
      <c r="N1756" t="n">
        <v>91</v>
      </c>
      <c r="O1756" t="n">
        <v>0.91</v>
      </c>
      <c r="P1756" t="n">
        <v>0</v>
      </c>
      <c r="Q1756" t="n">
        <v>0.05</v>
      </c>
      <c r="R1756" t="n">
        <v>1</v>
      </c>
      <c r="S1756" t="n">
        <v>2300</v>
      </c>
      <c r="T1756" t="n">
        <v>6</v>
      </c>
      <c r="U1756" t="n">
        <v>7</v>
      </c>
      <c r="V1756" t="n">
        <v>30</v>
      </c>
      <c r="W1756" t="n">
        <v>2</v>
      </c>
      <c r="X1756" t="n">
        <v>0</v>
      </c>
      <c r="Y1756" t="n">
        <v>1</v>
      </c>
      <c r="Z1756" t="n">
        <v>2</v>
      </c>
      <c r="AA1756" t="n">
        <v>1</v>
      </c>
      <c r="AB1756" t="n">
        <v>1</v>
      </c>
      <c r="AC1756" t="n">
        <v>3</v>
      </c>
      <c r="AD1756" t="n">
        <v>39172</v>
      </c>
      <c r="AE1756" t="n">
        <v>117516</v>
      </c>
      <c r="AF1756" t="n">
        <v>11375</v>
      </c>
      <c r="AG1756" t="n">
        <v>561</v>
      </c>
      <c r="AH1756" t="inlineStr">
        <is>
          <t>PT. PANCA PILAR TANGGUH - PPN (PDG)</t>
        </is>
      </c>
      <c r="AI1756" t="n">
        <v>561</v>
      </c>
      <c r="AJ1756" t="inlineStr">
        <is>
          <t>GILETTE</t>
        </is>
      </c>
      <c r="AK1756" t="n">
        <v>21</v>
      </c>
      <c r="AL1756" t="inlineStr">
        <is>
          <t>Miss Glam Damar</t>
        </is>
      </c>
      <c r="AM1756" t="n">
        <v>4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GILETTE</t>
        </is>
      </c>
      <c r="B1757" s="2">
        <f>"4987176039309"</f>
        <v/>
      </c>
      <c r="C1757" t="inlineStr">
        <is>
          <t>GILLETTE Venus Smooth Sensitive 3 Baldes 2UP</t>
        </is>
      </c>
      <c r="D1757" t="inlineStr">
        <is>
          <t>Miss Glam Damar</t>
        </is>
      </c>
      <c r="E1757" t="n">
        <v>0</v>
      </c>
      <c r="F1757" t="n">
        <v>0.06370000000000001</v>
      </c>
      <c r="G1757" t="n">
        <v>0.91</v>
      </c>
      <c r="H1757" t="n">
        <v>5</v>
      </c>
      <c r="I1757" t="n">
        <v>6</v>
      </c>
      <c r="J1757" t="n">
        <v>3</v>
      </c>
      <c r="K1757" t="n">
        <v>0</v>
      </c>
      <c r="L1757" t="n">
        <v>85709</v>
      </c>
      <c r="M1757" t="n">
        <v>118000</v>
      </c>
      <c r="N1757" t="n">
        <v>91</v>
      </c>
      <c r="O1757" t="n">
        <v>0.91</v>
      </c>
      <c r="P1757" t="n">
        <v>1</v>
      </c>
      <c r="Q1757" t="n">
        <v>0.17</v>
      </c>
      <c r="R1757" t="n">
        <v>1</v>
      </c>
      <c r="S1757" t="n">
        <v>7516.6</v>
      </c>
      <c r="T1757" t="n">
        <v>6</v>
      </c>
      <c r="U1757" t="n">
        <v>7</v>
      </c>
      <c r="V1757" t="n">
        <v>30</v>
      </c>
      <c r="W1757" t="n">
        <v>2</v>
      </c>
      <c r="X1757" t="n">
        <v>0</v>
      </c>
      <c r="Y1757" t="n">
        <v>1</v>
      </c>
      <c r="Z1757" t="n">
        <v>2</v>
      </c>
      <c r="AA1757" t="n">
        <v>1</v>
      </c>
      <c r="AB1757" t="n">
        <v>1</v>
      </c>
      <c r="AC1757" t="n">
        <v>3</v>
      </c>
      <c r="AD1757" t="n">
        <v>85709</v>
      </c>
      <c r="AE1757" t="n">
        <v>257127</v>
      </c>
      <c r="AF1757" t="n">
        <v>11375</v>
      </c>
      <c r="AG1757" t="n">
        <v>561</v>
      </c>
      <c r="AH1757" t="inlineStr">
        <is>
          <t>PT. PANCA PILAR TANGGUH - PPN (PDG)</t>
        </is>
      </c>
      <c r="AI1757" t="n">
        <v>561</v>
      </c>
      <c r="AJ1757" t="inlineStr">
        <is>
          <t>GILETTE</t>
        </is>
      </c>
      <c r="AK1757" t="n">
        <v>21</v>
      </c>
      <c r="AL1757" t="inlineStr">
        <is>
          <t>Miss Glam Damar</t>
        </is>
      </c>
      <c r="AM1757" t="n">
        <v>4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GINZA</t>
        </is>
      </c>
      <c r="B1758" s="2">
        <f>"10100306222"</f>
        <v/>
      </c>
      <c r="C1758" t="inlineStr">
        <is>
          <t>GINZA Cleansing Oil Travel Size Silky Pore 50ml</t>
        </is>
      </c>
      <c r="D1758" t="inlineStr">
        <is>
          <t>Miss Glam Damar</t>
        </is>
      </c>
      <c r="E1758" t="n">
        <v>0</v>
      </c>
      <c r="F1758" t="n">
        <v>0.03</v>
      </c>
      <c r="G1758" t="n">
        <v>1</v>
      </c>
      <c r="H1758" t="n">
        <v>1</v>
      </c>
      <c r="I1758" t="n">
        <v>3</v>
      </c>
      <c r="J1758" t="n">
        <v>1</v>
      </c>
      <c r="K1758" t="n">
        <v>0</v>
      </c>
      <c r="L1758" t="n">
        <v>30856</v>
      </c>
      <c r="M1758" t="n">
        <v>38500</v>
      </c>
      <c r="N1758" t="n">
        <v>91</v>
      </c>
      <c r="O1758" t="n">
        <v>0.91</v>
      </c>
      <c r="P1758" t="n">
        <v>0</v>
      </c>
      <c r="Q1758" t="n">
        <v>0.03</v>
      </c>
      <c r="R1758" t="n">
        <v>1</v>
      </c>
      <c r="S1758" t="n">
        <v>1155</v>
      </c>
      <c r="T1758" t="n">
        <v>3</v>
      </c>
      <c r="U1758" t="n">
        <v>4</v>
      </c>
      <c r="V1758" t="n">
        <v>30</v>
      </c>
      <c r="W1758" t="n">
        <v>1</v>
      </c>
      <c r="X1758" t="n">
        <v>0</v>
      </c>
      <c r="Y1758" t="n">
        <v>1</v>
      </c>
      <c r="Z1758" t="n">
        <v>1</v>
      </c>
      <c r="AA1758" t="n">
        <v>1</v>
      </c>
      <c r="AB1758" t="n">
        <v>0</v>
      </c>
      <c r="AC1758" t="n">
        <v>0</v>
      </c>
      <c r="AD1758" t="n">
        <v>30856</v>
      </c>
      <c r="AE1758" t="n">
        <v>0</v>
      </c>
      <c r="AF1758" t="n">
        <v>9696</v>
      </c>
      <c r="AG1758" t="n">
        <v>2308</v>
      </c>
      <c r="AH1758" t="inlineStr">
        <is>
          <t>PT. CITRA MUTIARA LESTARINDO - PPN (PDG)</t>
        </is>
      </c>
      <c r="AI1758" t="n">
        <v>2287</v>
      </c>
      <c r="AJ1758" t="inlineStr">
        <is>
          <t>GINZA</t>
        </is>
      </c>
      <c r="AK1758" t="n">
        <v>21</v>
      </c>
      <c r="AL1758" t="inlineStr">
        <is>
          <t>Miss Glam Damar</t>
        </is>
      </c>
      <c r="AM1758" t="n">
        <v>0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GINZA</t>
        </is>
      </c>
      <c r="B1759" s="2">
        <f>"10100204260"</f>
        <v/>
      </c>
      <c r="C1759" t="inlineStr">
        <is>
          <t>GINZA Silky Barrier Care Cleansing Oil 155ml</t>
        </is>
      </c>
      <c r="D1759" t="inlineStr">
        <is>
          <t>Miss Glam Damar</t>
        </is>
      </c>
      <c r="E1759" t="n">
        <v>9</v>
      </c>
      <c r="F1759" t="n">
        <v>0.02</v>
      </c>
      <c r="G1759" t="n">
        <v>1</v>
      </c>
      <c r="H1759" t="n">
        <v>1</v>
      </c>
      <c r="I1759" t="n">
        <v>3</v>
      </c>
      <c r="J1759" t="n">
        <v>1</v>
      </c>
      <c r="K1759" t="n">
        <v>0</v>
      </c>
      <c r="L1759" t="n">
        <v>66860</v>
      </c>
      <c r="M1759" t="n">
        <v>97500</v>
      </c>
      <c r="N1759" t="n">
        <v>91</v>
      </c>
      <c r="O1759" t="n">
        <v>0.91</v>
      </c>
      <c r="P1759" t="n">
        <v>0</v>
      </c>
      <c r="Q1759" t="n">
        <v>0.02</v>
      </c>
      <c r="R1759" t="n">
        <v>1</v>
      </c>
      <c r="S1759" t="n">
        <v>1950</v>
      </c>
      <c r="T1759" t="n">
        <v>3</v>
      </c>
      <c r="U1759" t="n">
        <v>4</v>
      </c>
      <c r="V1759" t="n">
        <v>30</v>
      </c>
      <c r="W1759" t="n">
        <v>1</v>
      </c>
      <c r="X1759" t="n">
        <v>450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9696</v>
      </c>
      <c r="AG1759" t="n">
        <v>2308</v>
      </c>
      <c r="AH1759" t="inlineStr">
        <is>
          <t>PT. CITRA MUTIARA LESTARINDO - PPN (PDG)</t>
        </is>
      </c>
      <c r="AI1759" t="n">
        <v>2287</v>
      </c>
      <c r="AJ1759" t="inlineStr">
        <is>
          <t>GINZA</t>
        </is>
      </c>
      <c r="AK1759" t="n">
        <v>21</v>
      </c>
      <c r="AL1759" t="inlineStr">
        <is>
          <t>Miss Glam Damar</t>
        </is>
      </c>
      <c r="AM1759" t="n">
        <v>0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GLAD2GLOW</t>
        </is>
      </c>
      <c r="B1760" s="2">
        <f>"8809623612735"</f>
        <v/>
      </c>
      <c r="C1760" t="inlineStr">
        <is>
          <t>GLAD2GLOW  Kiwi 3D Acid Acne Moisturizer 30gr</t>
        </is>
      </c>
      <c r="D1760" t="inlineStr">
        <is>
          <t>Miss Glam Damar</t>
        </is>
      </c>
      <c r="E1760" t="n">
        <v>33</v>
      </c>
      <c r="F1760" t="n">
        <v>3.2669</v>
      </c>
      <c r="G1760" t="n">
        <v>8.19</v>
      </c>
      <c r="H1760" t="n">
        <v>1</v>
      </c>
      <c r="I1760" t="n">
        <v>5</v>
      </c>
      <c r="J1760" t="n">
        <v>6</v>
      </c>
      <c r="K1760" t="n">
        <v>0</v>
      </c>
      <c r="L1760" t="n">
        <v>37536</v>
      </c>
      <c r="M1760" t="n">
        <v>49000</v>
      </c>
      <c r="N1760" t="n">
        <v>91</v>
      </c>
      <c r="O1760" t="n">
        <v>0.91</v>
      </c>
      <c r="P1760" t="n">
        <v>1</v>
      </c>
      <c r="Q1760" t="n">
        <v>1.61</v>
      </c>
      <c r="R1760" t="n">
        <v>4</v>
      </c>
      <c r="S1760" t="n">
        <v>160078.1</v>
      </c>
      <c r="T1760" t="n">
        <v>38</v>
      </c>
      <c r="U1760" t="n">
        <v>42</v>
      </c>
      <c r="V1760" t="n">
        <v>30</v>
      </c>
      <c r="W1760" t="n">
        <v>99</v>
      </c>
      <c r="X1760" t="n">
        <v>10.10131929351985</v>
      </c>
      <c r="Y1760" t="n">
        <v>1</v>
      </c>
      <c r="Z1760" t="n">
        <v>66</v>
      </c>
      <c r="AA1760" t="n">
        <v>0</v>
      </c>
      <c r="AB1760" t="n">
        <v>66</v>
      </c>
      <c r="AC1760" t="n">
        <v>66</v>
      </c>
      <c r="AD1760" t="n">
        <v>0</v>
      </c>
      <c r="AE1760" t="n">
        <v>2477376</v>
      </c>
      <c r="AF1760" t="n">
        <v>10667</v>
      </c>
      <c r="AG1760" t="n">
        <v>2378</v>
      </c>
      <c r="AH1760" t="inlineStr">
        <is>
          <t>PT. KURNIA MAJU PERKASA - PPN (PDG)</t>
        </is>
      </c>
      <c r="AI1760" t="n">
        <v>1638</v>
      </c>
      <c r="AJ1760" t="inlineStr">
        <is>
          <t>GLAD2GLOW</t>
        </is>
      </c>
      <c r="AK1760" t="n">
        <v>21</v>
      </c>
      <c r="AL1760" t="inlineStr">
        <is>
          <t>Miss Glam Damar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GLAD2GLOW</t>
        </is>
      </c>
      <c r="B1761" s="2">
        <f>"20100484745"</f>
        <v/>
      </c>
      <c r="C1761" t="inlineStr">
        <is>
          <t>GLAD2GLOW 2in1 Perfect Pair Cushion Powder 00 Affogato 8g</t>
        </is>
      </c>
      <c r="D1761" t="inlineStr">
        <is>
          <t>Miss Glam Damar</t>
        </is>
      </c>
      <c r="E1761" t="n">
        <v>6</v>
      </c>
      <c r="F1761" t="n">
        <v>0.0728</v>
      </c>
      <c r="G1761" t="n">
        <v>1.82</v>
      </c>
      <c r="H1761" t="n">
        <v>1</v>
      </c>
      <c r="I1761" t="n">
        <v>5</v>
      </c>
      <c r="J1761" t="n">
        <v>1</v>
      </c>
      <c r="K1761" t="n">
        <v>0</v>
      </c>
      <c r="L1761" t="n">
        <v>141587</v>
      </c>
      <c r="M1761" t="n">
        <v>169000</v>
      </c>
      <c r="N1761" t="n">
        <v>91</v>
      </c>
      <c r="O1761" t="n">
        <v>0.91</v>
      </c>
      <c r="P1761" t="n">
        <v>1</v>
      </c>
      <c r="Q1761" t="n">
        <v>0.12</v>
      </c>
      <c r="R1761" t="n">
        <v>1</v>
      </c>
      <c r="S1761" t="n">
        <v>12303.2</v>
      </c>
      <c r="T1761" t="n">
        <v>10</v>
      </c>
      <c r="U1761" t="n">
        <v>11</v>
      </c>
      <c r="V1761" t="n">
        <v>30</v>
      </c>
      <c r="W1761" t="n">
        <v>3</v>
      </c>
      <c r="X1761" t="n">
        <v>82.41758241758241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10667</v>
      </c>
      <c r="AG1761" t="n">
        <v>2378</v>
      </c>
      <c r="AH1761" t="inlineStr">
        <is>
          <t>PT. KURNIA MAJU PERKASA - PPN (PDG)</t>
        </is>
      </c>
      <c r="AI1761" t="n">
        <v>1638</v>
      </c>
      <c r="AJ1761" t="inlineStr">
        <is>
          <t>GLAD2GLOW</t>
        </is>
      </c>
      <c r="AK1761" t="n">
        <v>21</v>
      </c>
      <c r="AL1761" t="inlineStr">
        <is>
          <t>Miss Glam Damar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GLAD2GLOW</t>
        </is>
      </c>
      <c r="B1762" s="2">
        <f>"20100484810"</f>
        <v/>
      </c>
      <c r="C1762" t="inlineStr">
        <is>
          <t>GLAD2GLOW 2in1 Perfect Pair Cushion Powder 01 Buttercream 8g</t>
        </is>
      </c>
      <c r="D1762" t="inlineStr">
        <is>
          <t>Miss Glam Damar</t>
        </is>
      </c>
      <c r="E1762" t="n">
        <v>5</v>
      </c>
      <c r="F1762" t="n">
        <v>0.5733</v>
      </c>
      <c r="G1762" t="n">
        <v>3.64</v>
      </c>
      <c r="H1762" t="n">
        <v>1</v>
      </c>
      <c r="I1762" t="n">
        <v>5</v>
      </c>
      <c r="J1762" t="n">
        <v>1</v>
      </c>
      <c r="K1762" t="n">
        <v>0</v>
      </c>
      <c r="L1762" t="n">
        <v>141306</v>
      </c>
      <c r="M1762" t="n">
        <v>169000</v>
      </c>
      <c r="N1762" t="n">
        <v>91</v>
      </c>
      <c r="O1762" t="n">
        <v>0.91</v>
      </c>
      <c r="P1762" t="n">
        <v>1</v>
      </c>
      <c r="Q1762" t="n">
        <v>0.31</v>
      </c>
      <c r="R1762" t="n">
        <v>2</v>
      </c>
      <c r="S1762" t="n">
        <v>96887.70000000001</v>
      </c>
      <c r="T1762" t="n">
        <v>18</v>
      </c>
      <c r="U1762" t="n">
        <v>19</v>
      </c>
      <c r="V1762" t="n">
        <v>30</v>
      </c>
      <c r="W1762" t="n">
        <v>18</v>
      </c>
      <c r="X1762" t="n">
        <v>8.721437292865863</v>
      </c>
      <c r="Y1762" t="n">
        <v>1</v>
      </c>
      <c r="Z1762" t="n">
        <v>13</v>
      </c>
      <c r="AA1762" t="n">
        <v>0</v>
      </c>
      <c r="AB1762" t="n">
        <v>13</v>
      </c>
      <c r="AC1762" t="n">
        <v>13</v>
      </c>
      <c r="AD1762" t="n">
        <v>0</v>
      </c>
      <c r="AE1762" t="n">
        <v>1836978</v>
      </c>
      <c r="AF1762" t="n">
        <v>10667</v>
      </c>
      <c r="AG1762" t="n">
        <v>2378</v>
      </c>
      <c r="AH1762" t="inlineStr">
        <is>
          <t>PT. KURNIA MAJU PERKASA - PPN (PDG)</t>
        </is>
      </c>
      <c r="AI1762" t="n">
        <v>1638</v>
      </c>
      <c r="AJ1762" t="inlineStr">
        <is>
          <t>GLAD2GLOW</t>
        </is>
      </c>
      <c r="AK1762" t="n">
        <v>21</v>
      </c>
      <c r="AL1762" t="inlineStr">
        <is>
          <t>Miss Glam Damar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GLAD2GLOW</t>
        </is>
      </c>
      <c r="B1763" s="2">
        <f>"20100484929"</f>
        <v/>
      </c>
      <c r="C1763" t="inlineStr">
        <is>
          <t>GLAD2GLOW 2in1 Perfect Pair Cushion Powder 02 Praline 8g</t>
        </is>
      </c>
      <c r="D1763" t="inlineStr">
        <is>
          <t>Miss Glam Damar</t>
        </is>
      </c>
      <c r="E1763" t="n">
        <v>25</v>
      </c>
      <c r="F1763" t="n">
        <v>1.2012</v>
      </c>
      <c r="G1763" t="n">
        <v>5.46</v>
      </c>
      <c r="H1763" t="n">
        <v>1</v>
      </c>
      <c r="I1763" t="n">
        <v>5</v>
      </c>
      <c r="J1763" t="n">
        <v>1</v>
      </c>
      <c r="K1763" t="n">
        <v>0</v>
      </c>
      <c r="L1763" t="n">
        <v>140776</v>
      </c>
      <c r="M1763" t="n">
        <v>169000</v>
      </c>
      <c r="N1763" t="n">
        <v>91</v>
      </c>
      <c r="O1763" t="n">
        <v>0.91</v>
      </c>
      <c r="P1763" t="n">
        <v>1</v>
      </c>
      <c r="Q1763" t="n">
        <v>0.8</v>
      </c>
      <c r="R1763" t="n">
        <v>6</v>
      </c>
      <c r="S1763" t="n">
        <v>203002.8</v>
      </c>
      <c r="T1763" t="n">
        <v>27</v>
      </c>
      <c r="U1763" t="n">
        <v>29</v>
      </c>
      <c r="V1763" t="n">
        <v>30</v>
      </c>
      <c r="W1763" t="n">
        <v>37</v>
      </c>
      <c r="X1763" t="n">
        <v>20.81252081252081</v>
      </c>
      <c r="Y1763" t="n">
        <v>1</v>
      </c>
      <c r="Z1763" t="n">
        <v>12</v>
      </c>
      <c r="AA1763" t="n">
        <v>0</v>
      </c>
      <c r="AB1763" t="n">
        <v>12</v>
      </c>
      <c r="AC1763" t="n">
        <v>12</v>
      </c>
      <c r="AD1763" t="n">
        <v>0</v>
      </c>
      <c r="AE1763" t="n">
        <v>1689312</v>
      </c>
      <c r="AF1763" t="n">
        <v>10667</v>
      </c>
      <c r="AG1763" t="n">
        <v>2378</v>
      </c>
      <c r="AH1763" t="inlineStr">
        <is>
          <t>PT. KURNIA MAJU PERKASA - PPN (PDG)</t>
        </is>
      </c>
      <c r="AI1763" t="n">
        <v>1638</v>
      </c>
      <c r="AJ1763" t="inlineStr">
        <is>
          <t>GLAD2GLOW</t>
        </is>
      </c>
      <c r="AK1763" t="n">
        <v>21</v>
      </c>
      <c r="AL1763" t="inlineStr">
        <is>
          <t>Miss Glam Damar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GLAD2GLOW</t>
        </is>
      </c>
      <c r="B1764" s="2">
        <f>"20100485059"</f>
        <v/>
      </c>
      <c r="C1764" t="inlineStr">
        <is>
          <t>GLAD2GLOW 2in1 Perfect Pair Cushion Powder 03 Custard 8g</t>
        </is>
      </c>
      <c r="D1764" t="inlineStr">
        <is>
          <t>Miss Glam Damar</t>
        </is>
      </c>
      <c r="E1764" t="n">
        <v>24</v>
      </c>
      <c r="F1764" t="n">
        <v>1.2831</v>
      </c>
      <c r="G1764" t="n">
        <v>4.55</v>
      </c>
      <c r="H1764" t="n">
        <v>1</v>
      </c>
      <c r="I1764" t="n">
        <v>5</v>
      </c>
      <c r="J1764" t="n">
        <v>1</v>
      </c>
      <c r="K1764" t="n">
        <v>0</v>
      </c>
      <c r="L1764" t="n">
        <v>140838</v>
      </c>
      <c r="M1764" t="n">
        <v>169000</v>
      </c>
      <c r="N1764" t="n">
        <v>91</v>
      </c>
      <c r="O1764" t="n">
        <v>0.91</v>
      </c>
      <c r="P1764" t="n">
        <v>1</v>
      </c>
      <c r="Q1764" t="n">
        <v>0.9</v>
      </c>
      <c r="R1764" t="n">
        <v>4</v>
      </c>
      <c r="S1764" t="n">
        <v>216843.9</v>
      </c>
      <c r="T1764" t="n">
        <v>22</v>
      </c>
      <c r="U1764" t="n">
        <v>24</v>
      </c>
      <c r="V1764" t="n">
        <v>30</v>
      </c>
      <c r="W1764" t="n">
        <v>39</v>
      </c>
      <c r="X1764" t="n">
        <v>18.70469955576339</v>
      </c>
      <c r="Y1764" t="n">
        <v>1</v>
      </c>
      <c r="Z1764" t="n">
        <v>15</v>
      </c>
      <c r="AA1764" t="n">
        <v>0</v>
      </c>
      <c r="AB1764" t="n">
        <v>15</v>
      </c>
      <c r="AC1764" t="n">
        <v>15</v>
      </c>
      <c r="AD1764" t="n">
        <v>0</v>
      </c>
      <c r="AE1764" t="n">
        <v>2112570</v>
      </c>
      <c r="AF1764" t="n">
        <v>10667</v>
      </c>
      <c r="AG1764" t="n">
        <v>2378</v>
      </c>
      <c r="AH1764" t="inlineStr">
        <is>
          <t>PT. KURNIA MAJU PERKASA - PPN (PDG)</t>
        </is>
      </c>
      <c r="AI1764" t="n">
        <v>1638</v>
      </c>
      <c r="AJ1764" t="inlineStr">
        <is>
          <t>GLAD2GLOW</t>
        </is>
      </c>
      <c r="AK1764" t="n">
        <v>21</v>
      </c>
      <c r="AL1764" t="inlineStr">
        <is>
          <t>Miss Glam Damar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GLAD2GLOW</t>
        </is>
      </c>
      <c r="B1765" s="2">
        <f>"20100485130"</f>
        <v/>
      </c>
      <c r="C1765" t="inlineStr">
        <is>
          <t>GLAD2GLOW 2in1 Perfect Pair Cushion Powder 04 Ginger 8gr</t>
        </is>
      </c>
      <c r="D1765" t="inlineStr">
        <is>
          <t>Miss Glam Damar</t>
        </is>
      </c>
      <c r="E1765" t="n">
        <v>6</v>
      </c>
      <c r="F1765" t="n">
        <v>0.2457</v>
      </c>
      <c r="G1765" t="n">
        <v>1.82</v>
      </c>
      <c r="H1765" t="n">
        <v>1</v>
      </c>
      <c r="I1765" t="n">
        <v>5</v>
      </c>
      <c r="J1765" t="n">
        <v>1</v>
      </c>
      <c r="K1765" t="n">
        <v>0</v>
      </c>
      <c r="L1765" t="n">
        <v>141046</v>
      </c>
      <c r="M1765" t="n">
        <v>169000</v>
      </c>
      <c r="N1765" t="n">
        <v>91</v>
      </c>
      <c r="O1765" t="n">
        <v>0.91</v>
      </c>
      <c r="P1765" t="n">
        <v>1</v>
      </c>
      <c r="Q1765" t="n">
        <v>0.32</v>
      </c>
      <c r="R1765" t="n">
        <v>2</v>
      </c>
      <c r="S1765" t="n">
        <v>41523.3</v>
      </c>
      <c r="T1765" t="n">
        <v>9</v>
      </c>
      <c r="U1765" t="n">
        <v>10</v>
      </c>
      <c r="V1765" t="n">
        <v>30</v>
      </c>
      <c r="W1765" t="n">
        <v>8</v>
      </c>
      <c r="X1765" t="n">
        <v>24.42002442002442</v>
      </c>
      <c r="Y1765" t="n">
        <v>1</v>
      </c>
      <c r="Z1765" t="n">
        <v>2</v>
      </c>
      <c r="AA1765" t="n">
        <v>0</v>
      </c>
      <c r="AB1765" t="n">
        <v>2</v>
      </c>
      <c r="AC1765" t="n">
        <v>2</v>
      </c>
      <c r="AD1765" t="n">
        <v>0</v>
      </c>
      <c r="AE1765" t="n">
        <v>282092</v>
      </c>
      <c r="AF1765" t="n">
        <v>10667</v>
      </c>
      <c r="AG1765" t="n">
        <v>2378</v>
      </c>
      <c r="AH1765" t="inlineStr">
        <is>
          <t>PT. KURNIA MAJU PERKASA - PPN (PDG)</t>
        </is>
      </c>
      <c r="AI1765" t="n">
        <v>1638</v>
      </c>
      <c r="AJ1765" t="inlineStr">
        <is>
          <t>GLAD2GLOW</t>
        </is>
      </c>
      <c r="AK1765" t="n">
        <v>21</v>
      </c>
      <c r="AL1765" t="inlineStr">
        <is>
          <t>Miss Glam Damar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GLAD2GLOW</t>
        </is>
      </c>
      <c r="B1766" s="2">
        <f>"10600103401"</f>
        <v/>
      </c>
      <c r="C1766" t="inlineStr">
        <is>
          <t>GLAD2GLOW Acne Drying Lotion 10ml</t>
        </is>
      </c>
      <c r="D1766" t="inlineStr">
        <is>
          <t>Miss Glam Damar</t>
        </is>
      </c>
      <c r="E1766" t="n">
        <v>10</v>
      </c>
      <c r="F1766" t="n">
        <v>0.8463000000000001</v>
      </c>
      <c r="G1766" t="n">
        <v>2.73</v>
      </c>
      <c r="H1766" t="n">
        <v>1</v>
      </c>
      <c r="I1766" t="n">
        <v>5</v>
      </c>
      <c r="J1766" t="n">
        <v>1</v>
      </c>
      <c r="K1766" t="n">
        <v>0</v>
      </c>
      <c r="L1766" t="n">
        <v>57478</v>
      </c>
      <c r="M1766" t="n">
        <v>69000</v>
      </c>
      <c r="N1766" t="n">
        <v>91</v>
      </c>
      <c r="O1766" t="n">
        <v>0.91</v>
      </c>
      <c r="P1766" t="n">
        <v>1</v>
      </c>
      <c r="Q1766" t="n">
        <v>0.54</v>
      </c>
      <c r="R1766" t="n">
        <v>2</v>
      </c>
      <c r="S1766" t="n">
        <v>58394.7</v>
      </c>
      <c r="T1766" t="n">
        <v>13</v>
      </c>
      <c r="U1766" t="n">
        <v>14</v>
      </c>
      <c r="V1766" t="n">
        <v>30</v>
      </c>
      <c r="W1766" t="n">
        <v>26</v>
      </c>
      <c r="X1766" t="n">
        <v>11.81614084839891</v>
      </c>
      <c r="Y1766" t="n">
        <v>1</v>
      </c>
      <c r="Z1766" t="n">
        <v>16</v>
      </c>
      <c r="AA1766" t="n">
        <v>0</v>
      </c>
      <c r="AB1766" t="n">
        <v>16</v>
      </c>
      <c r="AC1766" t="n">
        <v>16</v>
      </c>
      <c r="AD1766" t="n">
        <v>0</v>
      </c>
      <c r="AE1766" t="n">
        <v>919648</v>
      </c>
      <c r="AF1766" t="n">
        <v>10667</v>
      </c>
      <c r="AG1766" t="n">
        <v>2378</v>
      </c>
      <c r="AH1766" t="inlineStr">
        <is>
          <t>PT. KURNIA MAJU PERKASA - PPN (PDG)</t>
        </is>
      </c>
      <c r="AI1766" t="n">
        <v>1638</v>
      </c>
      <c r="AJ1766" t="inlineStr">
        <is>
          <t>GLAD2GLOW</t>
        </is>
      </c>
      <c r="AK1766" t="n">
        <v>21</v>
      </c>
      <c r="AL1766" t="inlineStr">
        <is>
          <t>Miss Glam Damar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GLAD2GLOW</t>
        </is>
      </c>
      <c r="B1767" s="2">
        <f>"8809687005481"</f>
        <v/>
      </c>
      <c r="C1767" t="inlineStr">
        <is>
          <t>GLAD2GLOW AHA BHA PHA Intensive Peeling Solution 15ml</t>
        </is>
      </c>
      <c r="D1767" t="inlineStr">
        <is>
          <t>Miss Glam Damar</t>
        </is>
      </c>
      <c r="E1767" t="n">
        <v>84</v>
      </c>
      <c r="F1767" t="n">
        <v>5.9423</v>
      </c>
      <c r="G1767" t="n">
        <v>13.65</v>
      </c>
      <c r="H1767" t="n">
        <v>1</v>
      </c>
      <c r="I1767" t="n">
        <v>5</v>
      </c>
      <c r="J1767" t="n">
        <v>3</v>
      </c>
      <c r="K1767" t="n">
        <v>0</v>
      </c>
      <c r="L1767" t="n">
        <v>40816</v>
      </c>
      <c r="M1767" t="n">
        <v>49000</v>
      </c>
      <c r="N1767" t="n">
        <v>91</v>
      </c>
      <c r="O1767" t="n">
        <v>0.91</v>
      </c>
      <c r="P1767" t="n">
        <v>1</v>
      </c>
      <c r="Q1767" t="n">
        <v>3.71</v>
      </c>
      <c r="R1767" t="n">
        <v>9</v>
      </c>
      <c r="S1767" t="n">
        <v>291172.7</v>
      </c>
      <c r="T1767" t="n">
        <v>63</v>
      </c>
      <c r="U1767" t="n">
        <v>69</v>
      </c>
      <c r="V1767" t="n">
        <v>30</v>
      </c>
      <c r="W1767" t="n">
        <v>179</v>
      </c>
      <c r="X1767" t="n">
        <v>14.13594062904936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10667</v>
      </c>
      <c r="AG1767" t="n">
        <v>2378</v>
      </c>
      <c r="AH1767" t="inlineStr">
        <is>
          <t>PT. KURNIA MAJU PERKASA - PPN (PDG)</t>
        </is>
      </c>
      <c r="AI1767" t="n">
        <v>1638</v>
      </c>
      <c r="AJ1767" t="inlineStr">
        <is>
          <t>GLAD2GLOW</t>
        </is>
      </c>
      <c r="AK1767" t="n">
        <v>21</v>
      </c>
      <c r="AL1767" t="inlineStr">
        <is>
          <t>Miss Glam Damar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GLAD2GLOW</t>
        </is>
      </c>
      <c r="B1768" s="2">
        <f>"8809636534284"</f>
        <v/>
      </c>
      <c r="C1768" t="inlineStr">
        <is>
          <t>GLAD2GLOW Appricot Glycolic Acid Exfo Smooth Peeling Gel 50gr</t>
        </is>
      </c>
      <c r="D1768" t="inlineStr">
        <is>
          <t>Miss Glam Damar</t>
        </is>
      </c>
      <c r="E1768" t="n">
        <v>13</v>
      </c>
      <c r="F1768" t="n">
        <v>0.5277999999999999</v>
      </c>
      <c r="G1768" t="n">
        <v>2.73</v>
      </c>
      <c r="H1768" t="n">
        <v>1</v>
      </c>
      <c r="I1768" t="n">
        <v>5</v>
      </c>
      <c r="J1768" t="n">
        <v>3</v>
      </c>
      <c r="K1768" t="n">
        <v>0</v>
      </c>
      <c r="L1768" t="n">
        <v>40816</v>
      </c>
      <c r="M1768" t="n">
        <v>49000</v>
      </c>
      <c r="N1768" t="n">
        <v>91</v>
      </c>
      <c r="O1768" t="n">
        <v>0.91</v>
      </c>
      <c r="P1768" t="n">
        <v>1</v>
      </c>
      <c r="Q1768" t="n">
        <v>0.53</v>
      </c>
      <c r="R1768" t="n">
        <v>5</v>
      </c>
      <c r="S1768" t="n">
        <v>25862.2</v>
      </c>
      <c r="T1768" t="n">
        <v>14</v>
      </c>
      <c r="U1768" t="n">
        <v>15</v>
      </c>
      <c r="V1768" t="n">
        <v>30</v>
      </c>
      <c r="W1768" t="n">
        <v>16</v>
      </c>
      <c r="X1768" t="n">
        <v>24.63054187192119</v>
      </c>
      <c r="Y1768" t="n">
        <v>1</v>
      </c>
      <c r="Z1768" t="n">
        <v>3</v>
      </c>
      <c r="AA1768" t="n">
        <v>0</v>
      </c>
      <c r="AB1768" t="n">
        <v>3</v>
      </c>
      <c r="AC1768" t="n">
        <v>3</v>
      </c>
      <c r="AD1768" t="n">
        <v>0</v>
      </c>
      <c r="AE1768" t="n">
        <v>122448</v>
      </c>
      <c r="AF1768" t="n">
        <v>10667</v>
      </c>
      <c r="AG1768" t="n">
        <v>2378</v>
      </c>
      <c r="AH1768" t="inlineStr">
        <is>
          <t>PT. KURNIA MAJU PERKASA - PPN (PDG)</t>
        </is>
      </c>
      <c r="AI1768" t="n">
        <v>1638</v>
      </c>
      <c r="AJ1768" t="inlineStr">
        <is>
          <t>GLAD2GLOW</t>
        </is>
      </c>
      <c r="AK1768" t="n">
        <v>21</v>
      </c>
      <c r="AL1768" t="inlineStr">
        <is>
          <t>Miss Glam Damar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GLAD2GLOW</t>
        </is>
      </c>
      <c r="B1769" s="2">
        <f>"8800201379644"</f>
        <v/>
      </c>
      <c r="C1769" t="inlineStr">
        <is>
          <t>GLAD2GLOW Blackberry Aha Bha Pha Exfoliating Toner 80ml</t>
        </is>
      </c>
      <c r="D1769" t="inlineStr">
        <is>
          <t>Miss Glam Damar</t>
        </is>
      </c>
      <c r="E1769" t="n">
        <v>2</v>
      </c>
      <c r="F1769" t="n">
        <v>0.2275</v>
      </c>
      <c r="G1769" t="n">
        <v>1.82</v>
      </c>
      <c r="H1769" t="n">
        <v>1</v>
      </c>
      <c r="I1769" t="n">
        <v>5</v>
      </c>
      <c r="J1769" t="n">
        <v>3</v>
      </c>
      <c r="K1769" t="n">
        <v>0</v>
      </c>
      <c r="L1769" t="n">
        <v>37485</v>
      </c>
      <c r="M1769" t="n">
        <v>45000</v>
      </c>
      <c r="N1769" t="n">
        <v>91</v>
      </c>
      <c r="O1769" t="n">
        <v>0.91</v>
      </c>
      <c r="P1769" t="n">
        <v>1</v>
      </c>
      <c r="Q1769" t="n">
        <v>0.22</v>
      </c>
      <c r="R1769" t="n">
        <v>3</v>
      </c>
      <c r="S1769" t="n">
        <v>10237.5</v>
      </c>
      <c r="T1769" t="n">
        <v>9</v>
      </c>
      <c r="U1769" t="n">
        <v>10</v>
      </c>
      <c r="V1769" t="n">
        <v>30</v>
      </c>
      <c r="W1769" t="n">
        <v>7</v>
      </c>
      <c r="X1769" t="n">
        <v>8.79120879120879</v>
      </c>
      <c r="Y1769" t="n">
        <v>1</v>
      </c>
      <c r="Z1769" t="n">
        <v>5</v>
      </c>
      <c r="AA1769" t="n">
        <v>0</v>
      </c>
      <c r="AB1769" t="n">
        <v>5</v>
      </c>
      <c r="AC1769" t="n">
        <v>5</v>
      </c>
      <c r="AD1769" t="n">
        <v>0</v>
      </c>
      <c r="AE1769" t="n">
        <v>187425</v>
      </c>
      <c r="AF1769" t="n">
        <v>10667</v>
      </c>
      <c r="AG1769" t="n">
        <v>2378</v>
      </c>
      <c r="AH1769" t="inlineStr">
        <is>
          <t>PT. KURNIA MAJU PERKASA - PPN (PDG)</t>
        </is>
      </c>
      <c r="AI1769" t="n">
        <v>1638</v>
      </c>
      <c r="AJ1769" t="inlineStr">
        <is>
          <t>GLAD2GLOW</t>
        </is>
      </c>
      <c r="AK1769" t="n">
        <v>21</v>
      </c>
      <c r="AL1769" t="inlineStr">
        <is>
          <t>Miss Glam Damar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GLAD2GLOW</t>
        </is>
      </c>
      <c r="B1770" s="2">
        <f>"8809618376543"</f>
        <v/>
      </c>
      <c r="C1770" t="inlineStr">
        <is>
          <t>GLAD2GLOW Bluberry Ceramide Low PH Gel Cleanser 50ml</t>
        </is>
      </c>
      <c r="D1770" t="inlineStr">
        <is>
          <t>Miss Glam Damar</t>
        </is>
      </c>
      <c r="E1770" t="n">
        <v>122</v>
      </c>
      <c r="F1770" t="n">
        <v>10.2284</v>
      </c>
      <c r="G1770" t="n">
        <v>26.39</v>
      </c>
      <c r="H1770" t="n">
        <v>1</v>
      </c>
      <c r="I1770" t="n">
        <v>5</v>
      </c>
      <c r="J1770" t="n">
        <v>3</v>
      </c>
      <c r="K1770" t="n">
        <v>0</v>
      </c>
      <c r="L1770" t="n">
        <v>32486</v>
      </c>
      <c r="M1770" t="n">
        <v>39000</v>
      </c>
      <c r="N1770" t="n">
        <v>91</v>
      </c>
      <c r="O1770" t="n">
        <v>0.91</v>
      </c>
      <c r="P1770" t="n">
        <v>1</v>
      </c>
      <c r="Q1770" t="n">
        <v>5.75</v>
      </c>
      <c r="R1770" t="n">
        <v>15</v>
      </c>
      <c r="S1770" t="n">
        <v>398907.6</v>
      </c>
      <c r="T1770" t="n">
        <v>122</v>
      </c>
      <c r="U1770" t="n">
        <v>133</v>
      </c>
      <c r="V1770" t="n">
        <v>30</v>
      </c>
      <c r="W1770" t="n">
        <v>307</v>
      </c>
      <c r="X1770" t="n">
        <v>11.92757420515428</v>
      </c>
      <c r="Y1770" t="n">
        <v>1</v>
      </c>
      <c r="Z1770" t="n">
        <v>185</v>
      </c>
      <c r="AA1770" t="n">
        <v>0</v>
      </c>
      <c r="AB1770" t="n">
        <v>185</v>
      </c>
      <c r="AC1770" t="n">
        <v>185</v>
      </c>
      <c r="AD1770" t="n">
        <v>0</v>
      </c>
      <c r="AE1770" t="n">
        <v>6009910</v>
      </c>
      <c r="AF1770" t="n">
        <v>10667</v>
      </c>
      <c r="AG1770" t="n">
        <v>2378</v>
      </c>
      <c r="AH1770" t="inlineStr">
        <is>
          <t>PT. KURNIA MAJU PERKASA - PPN (PDG)</t>
        </is>
      </c>
      <c r="AI1770" t="n">
        <v>1638</v>
      </c>
      <c r="AJ1770" t="inlineStr">
        <is>
          <t>GLAD2GLOW</t>
        </is>
      </c>
      <c r="AK1770" t="n">
        <v>21</v>
      </c>
      <c r="AL1770" t="inlineStr">
        <is>
          <t>Miss Glam Damar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GLAD2GLOW</t>
        </is>
      </c>
      <c r="B1771" s="2">
        <f>"8809622345665"</f>
        <v/>
      </c>
      <c r="C1771" t="inlineStr">
        <is>
          <t>GLAD2GLOW Blueberry 5% Ceramide Moisturizer 25gr</t>
        </is>
      </c>
      <c r="D1771" t="inlineStr">
        <is>
          <t>Miss Glam Damar</t>
        </is>
      </c>
      <c r="E1771" t="n">
        <v>116</v>
      </c>
      <c r="F1771" t="n">
        <v>8.2537</v>
      </c>
      <c r="G1771" t="n">
        <v>16.38</v>
      </c>
      <c r="H1771" t="n">
        <v>1</v>
      </c>
      <c r="I1771" t="n">
        <v>5</v>
      </c>
      <c r="J1771" t="n">
        <v>6</v>
      </c>
      <c r="K1771" t="n">
        <v>0</v>
      </c>
      <c r="L1771" t="n">
        <v>37485</v>
      </c>
      <c r="M1771" t="n">
        <v>45000</v>
      </c>
      <c r="N1771" t="n">
        <v>91</v>
      </c>
      <c r="O1771" t="n">
        <v>0.91</v>
      </c>
      <c r="P1771" t="n">
        <v>1</v>
      </c>
      <c r="Q1771" t="n">
        <v>5.68</v>
      </c>
      <c r="R1771" t="n">
        <v>20</v>
      </c>
      <c r="S1771" t="n">
        <v>371416.5</v>
      </c>
      <c r="T1771" t="n">
        <v>74</v>
      </c>
      <c r="U1771" t="n">
        <v>83</v>
      </c>
      <c r="V1771" t="n">
        <v>30</v>
      </c>
      <c r="W1771" t="n">
        <v>248</v>
      </c>
      <c r="X1771" t="n">
        <v>14.05430291869101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10667</v>
      </c>
      <c r="AG1771" t="n">
        <v>2378</v>
      </c>
      <c r="AH1771" t="inlineStr">
        <is>
          <t>PT. KURNIA MAJU PERKASA - PPN (PDG)</t>
        </is>
      </c>
      <c r="AI1771" t="n">
        <v>1638</v>
      </c>
      <c r="AJ1771" t="inlineStr">
        <is>
          <t>GLAD2GLOW</t>
        </is>
      </c>
      <c r="AK1771" t="n">
        <v>21</v>
      </c>
      <c r="AL1771" t="inlineStr">
        <is>
          <t>Miss Glam Damar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GLAD2GLOW</t>
        </is>
      </c>
      <c r="B1772" s="2">
        <f>"10300146718"</f>
        <v/>
      </c>
      <c r="C1772" t="inlineStr">
        <is>
          <t>GLAD2GLOW Bright Up Brightening Day Cream 12ml</t>
        </is>
      </c>
      <c r="D1772" t="inlineStr">
        <is>
          <t>Miss Glam Damar</t>
        </is>
      </c>
      <c r="E1772" t="n">
        <v>22</v>
      </c>
      <c r="F1772" t="n">
        <v>0.1365</v>
      </c>
      <c r="G1772" t="n">
        <v>1.82</v>
      </c>
      <c r="H1772" t="n">
        <v>1</v>
      </c>
      <c r="I1772" t="n">
        <v>5</v>
      </c>
      <c r="J1772" t="n">
        <v>1</v>
      </c>
      <c r="K1772" t="n">
        <v>0</v>
      </c>
      <c r="L1772" t="n">
        <v>57478</v>
      </c>
      <c r="M1772" t="n">
        <v>69000</v>
      </c>
      <c r="N1772" t="n">
        <v>91</v>
      </c>
      <c r="O1772" t="n">
        <v>0.91</v>
      </c>
      <c r="P1772" t="n">
        <v>1</v>
      </c>
      <c r="Q1772" t="n">
        <v>0.19</v>
      </c>
      <c r="R1772" t="n">
        <v>1</v>
      </c>
      <c r="S1772" t="n">
        <v>9418.5</v>
      </c>
      <c r="T1772" t="n">
        <v>9</v>
      </c>
      <c r="U1772" t="n">
        <v>10</v>
      </c>
      <c r="V1772" t="n">
        <v>30</v>
      </c>
      <c r="W1772" t="n">
        <v>5</v>
      </c>
      <c r="X1772" t="n">
        <v>161.1721611721612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10667</v>
      </c>
      <c r="AG1772" t="n">
        <v>2378</v>
      </c>
      <c r="AH1772" t="inlineStr">
        <is>
          <t>PT. KURNIA MAJU PERKASA - PPN (PDG)</t>
        </is>
      </c>
      <c r="AI1772" t="n">
        <v>1638</v>
      </c>
      <c r="AJ1772" t="inlineStr">
        <is>
          <t>GLAD2GLOW</t>
        </is>
      </c>
      <c r="AK1772" t="n">
        <v>21</v>
      </c>
      <c r="AL1772" t="inlineStr">
        <is>
          <t>Miss Glam Damar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GLAD2GLOW</t>
        </is>
      </c>
      <c r="B1773" s="2">
        <f>"10700513809"</f>
        <v/>
      </c>
      <c r="C1773" t="inlineStr">
        <is>
          <t>GLAD2GLOW Brightening Lip Serum Peach Pie 7gr</t>
        </is>
      </c>
      <c r="D1773" t="inlineStr">
        <is>
          <t>Miss Glam Damar</t>
        </is>
      </c>
      <c r="E1773" t="n">
        <v>1</v>
      </c>
      <c r="F1773" t="n">
        <v>0.364</v>
      </c>
      <c r="G1773" t="n">
        <v>7.28</v>
      </c>
      <c r="H1773" t="n">
        <v>1</v>
      </c>
      <c r="I1773" t="n">
        <v>5</v>
      </c>
      <c r="J1773" t="n">
        <v>1</v>
      </c>
      <c r="K1773" t="n">
        <v>108</v>
      </c>
      <c r="L1773" t="n">
        <v>49147</v>
      </c>
      <c r="M1773" t="n">
        <v>59000</v>
      </c>
      <c r="N1773" t="n">
        <v>91</v>
      </c>
      <c r="O1773" t="n">
        <v>0.91</v>
      </c>
      <c r="P1773" t="n">
        <v>1</v>
      </c>
      <c r="Q1773" t="n">
        <v>0.36</v>
      </c>
      <c r="R1773" t="n">
        <v>5</v>
      </c>
      <c r="S1773" t="n">
        <v>21476</v>
      </c>
      <c r="T1773" t="n">
        <v>37</v>
      </c>
      <c r="U1773" t="n">
        <v>38</v>
      </c>
      <c r="V1773" t="n">
        <v>30</v>
      </c>
      <c r="W1773" t="n">
        <v>11</v>
      </c>
      <c r="X1773" t="n">
        <v>2.747252747252747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10667</v>
      </c>
      <c r="AG1773" t="n">
        <v>2378</v>
      </c>
      <c r="AH1773" t="inlineStr">
        <is>
          <t>PT. KURNIA MAJU PERKASA - PPN (PDG)</t>
        </is>
      </c>
      <c r="AI1773" t="n">
        <v>1638</v>
      </c>
      <c r="AJ1773" t="inlineStr">
        <is>
          <t>GLAD2GLOW</t>
        </is>
      </c>
      <c r="AK1773" t="n">
        <v>21</v>
      </c>
      <c r="AL1773" t="inlineStr">
        <is>
          <t>Miss Glam Damar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GLAD2GLOW</t>
        </is>
      </c>
      <c r="B1774" s="2">
        <f>"10700514021"</f>
        <v/>
      </c>
      <c r="C1774" t="inlineStr">
        <is>
          <t>GLAD2GLOW Brightening Lip Serum Pearl Sparkle 7gr</t>
        </is>
      </c>
      <c r="D1774" t="inlineStr">
        <is>
          <t>Miss Glam Damar</t>
        </is>
      </c>
      <c r="E1774" t="n">
        <v>1</v>
      </c>
      <c r="F1774" t="n">
        <v>0.2093</v>
      </c>
      <c r="G1774" t="n">
        <v>3.64</v>
      </c>
      <c r="H1774" t="n">
        <v>1</v>
      </c>
      <c r="I1774" t="n">
        <v>5</v>
      </c>
      <c r="J1774" t="n">
        <v>1</v>
      </c>
      <c r="K1774" t="n">
        <v>108</v>
      </c>
      <c r="L1774" t="n">
        <v>49147</v>
      </c>
      <c r="M1774" t="n">
        <v>59000</v>
      </c>
      <c r="N1774" t="n">
        <v>91</v>
      </c>
      <c r="O1774" t="n">
        <v>0.91</v>
      </c>
      <c r="P1774" t="n">
        <v>1</v>
      </c>
      <c r="Q1774" t="n">
        <v>0.17</v>
      </c>
      <c r="R1774" t="n">
        <v>9</v>
      </c>
      <c r="S1774" t="n">
        <v>12348.7</v>
      </c>
      <c r="T1774" t="n">
        <v>18</v>
      </c>
      <c r="U1774" t="n">
        <v>19</v>
      </c>
      <c r="V1774" t="n">
        <v>30</v>
      </c>
      <c r="W1774" t="n">
        <v>7</v>
      </c>
      <c r="X1774" t="n">
        <v>4.777830864787386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10667</v>
      </c>
      <c r="AG1774" t="n">
        <v>2378</v>
      </c>
      <c r="AH1774" t="inlineStr">
        <is>
          <t>PT. KURNIA MAJU PERKASA - PPN (PDG)</t>
        </is>
      </c>
      <c r="AI1774" t="n">
        <v>1638</v>
      </c>
      <c r="AJ1774" t="inlineStr">
        <is>
          <t>GLAD2GLOW</t>
        </is>
      </c>
      <c r="AK1774" t="n">
        <v>21</v>
      </c>
      <c r="AL1774" t="inlineStr">
        <is>
          <t>Miss Glam Damar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GLAD2GLOW</t>
        </is>
      </c>
      <c r="B1775" s="2">
        <f>"10700513737"</f>
        <v/>
      </c>
      <c r="C1775" t="inlineStr">
        <is>
          <t>GLAD2GLOW Brightening Lip Serum Strawberry Glaze 7gr</t>
        </is>
      </c>
      <c r="D1775" t="inlineStr">
        <is>
          <t>Miss Glam Damar</t>
        </is>
      </c>
      <c r="E1775" t="n">
        <v>1</v>
      </c>
      <c r="F1775" t="n">
        <v>0.2093</v>
      </c>
      <c r="G1775" t="n">
        <v>7.28</v>
      </c>
      <c r="H1775" t="n">
        <v>1</v>
      </c>
      <c r="I1775" t="n">
        <v>5</v>
      </c>
      <c r="J1775" t="n">
        <v>1</v>
      </c>
      <c r="K1775" t="n">
        <v>108</v>
      </c>
      <c r="L1775" t="n">
        <v>49145</v>
      </c>
      <c r="M1775" t="n">
        <v>59000</v>
      </c>
      <c r="N1775" t="n">
        <v>91</v>
      </c>
      <c r="O1775" t="n">
        <v>0.91</v>
      </c>
      <c r="P1775" t="n">
        <v>1</v>
      </c>
      <c r="Q1775" t="n">
        <v>0.17</v>
      </c>
      <c r="R1775" t="n">
        <v>7</v>
      </c>
      <c r="S1775" t="n">
        <v>12348.7</v>
      </c>
      <c r="T1775" t="n">
        <v>37</v>
      </c>
      <c r="U1775" t="n">
        <v>38</v>
      </c>
      <c r="V1775" t="n">
        <v>30</v>
      </c>
      <c r="W1775" t="n">
        <v>7</v>
      </c>
      <c r="X1775" t="n">
        <v>4.777830864787386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10667</v>
      </c>
      <c r="AG1775" t="n">
        <v>2378</v>
      </c>
      <c r="AH1775" t="inlineStr">
        <is>
          <t>PT. KURNIA MAJU PERKASA - PPN (PDG)</t>
        </is>
      </c>
      <c r="AI1775" t="n">
        <v>1638</v>
      </c>
      <c r="AJ1775" t="inlineStr">
        <is>
          <t>GLAD2GLOW</t>
        </is>
      </c>
      <c r="AK1775" t="n">
        <v>21</v>
      </c>
      <c r="AL1775" t="inlineStr">
        <is>
          <t>Miss Glam Damar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GLAD2GLOW</t>
        </is>
      </c>
      <c r="B1776" s="2">
        <f>"10100725523"</f>
        <v/>
      </c>
      <c r="C1776" t="inlineStr">
        <is>
          <t>GLAD2GLOW Brightening Micelar Water 300ml</t>
        </is>
      </c>
      <c r="D1776" t="inlineStr">
        <is>
          <t>Miss Glam Damar</t>
        </is>
      </c>
      <c r="E1776" t="n">
        <v>0</v>
      </c>
      <c r="F1776" t="n">
        <v>0.8190000000000001</v>
      </c>
      <c r="G1776" t="n">
        <v>6.37</v>
      </c>
      <c r="H1776" t="n">
        <v>1</v>
      </c>
      <c r="I1776" t="n">
        <v>5</v>
      </c>
      <c r="J1776" t="n">
        <v>1</v>
      </c>
      <c r="K1776" t="n">
        <v>0</v>
      </c>
      <c r="L1776" t="n">
        <v>40816</v>
      </c>
      <c r="M1776" t="n">
        <v>49000</v>
      </c>
      <c r="N1776" t="n">
        <v>91</v>
      </c>
      <c r="O1776" t="n">
        <v>0.91</v>
      </c>
      <c r="P1776" t="n">
        <v>1</v>
      </c>
      <c r="Q1776" t="n">
        <v>0.4</v>
      </c>
      <c r="R1776" t="n">
        <v>4</v>
      </c>
      <c r="S1776" t="n">
        <v>40131</v>
      </c>
      <c r="T1776" t="n">
        <v>32</v>
      </c>
      <c r="U1776" t="n">
        <v>33</v>
      </c>
      <c r="V1776" t="n">
        <v>30</v>
      </c>
      <c r="W1776" t="n">
        <v>25</v>
      </c>
      <c r="X1776" t="n">
        <v>0</v>
      </c>
      <c r="Y1776" t="n">
        <v>1</v>
      </c>
      <c r="Z1776" t="n">
        <v>25</v>
      </c>
      <c r="AA1776" t="n">
        <v>5</v>
      </c>
      <c r="AB1776" t="n">
        <v>20</v>
      </c>
      <c r="AC1776" t="n">
        <v>20</v>
      </c>
      <c r="AD1776" t="n">
        <v>204080</v>
      </c>
      <c r="AE1776" t="n">
        <v>816320</v>
      </c>
      <c r="AF1776" t="n">
        <v>10667</v>
      </c>
      <c r="AG1776" t="n">
        <v>2378</v>
      </c>
      <c r="AH1776" t="inlineStr">
        <is>
          <t>PT. KURNIA MAJU PERKASA - PPN (PDG)</t>
        </is>
      </c>
      <c r="AI1776" t="n">
        <v>1638</v>
      </c>
      <c r="AJ1776" t="inlineStr">
        <is>
          <t>GLAD2GLOW</t>
        </is>
      </c>
      <c r="AK1776" t="n">
        <v>21</v>
      </c>
      <c r="AL1776" t="inlineStr">
        <is>
          <t>Miss Glam Damar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GLAD2GLOW</t>
        </is>
      </c>
      <c r="B1777" s="2">
        <f>"8809618457310"</f>
        <v/>
      </c>
      <c r="C1777" t="inlineStr">
        <is>
          <t>GLAD2GLOW Centella 2% Salicylic Acid OverNight Acne Spot Treatment 5gr</t>
        </is>
      </c>
      <c r="D1777" t="inlineStr">
        <is>
          <t>Miss Glam Damar</t>
        </is>
      </c>
      <c r="E1777" t="n">
        <v>4</v>
      </c>
      <c r="F1777" t="n">
        <v>0.4004</v>
      </c>
      <c r="G1777" t="n">
        <v>3.64</v>
      </c>
      <c r="H1777" t="n">
        <v>1</v>
      </c>
      <c r="I1777" t="n">
        <v>5</v>
      </c>
      <c r="J1777" t="n">
        <v>3</v>
      </c>
      <c r="K1777" t="n">
        <v>0</v>
      </c>
      <c r="L1777" t="n">
        <v>32486</v>
      </c>
      <c r="M1777" t="n">
        <v>39000</v>
      </c>
      <c r="N1777" t="n">
        <v>91</v>
      </c>
      <c r="O1777" t="n">
        <v>0.91</v>
      </c>
      <c r="P1777" t="n">
        <v>1</v>
      </c>
      <c r="Q1777" t="n">
        <v>0.2</v>
      </c>
      <c r="R1777" t="n">
        <v>2</v>
      </c>
      <c r="S1777" t="n">
        <v>15615.6</v>
      </c>
      <c r="T1777" t="n">
        <v>18</v>
      </c>
      <c r="U1777" t="n">
        <v>19</v>
      </c>
      <c r="V1777" t="n">
        <v>30</v>
      </c>
      <c r="W1777" t="n">
        <v>13</v>
      </c>
      <c r="X1777" t="n">
        <v>9.990009990009989</v>
      </c>
      <c r="Y1777" t="n">
        <v>1</v>
      </c>
      <c r="Z1777" t="n">
        <v>9</v>
      </c>
      <c r="AA1777" t="n">
        <v>0</v>
      </c>
      <c r="AB1777" t="n">
        <v>9</v>
      </c>
      <c r="AC1777" t="n">
        <v>9</v>
      </c>
      <c r="AD1777" t="n">
        <v>0</v>
      </c>
      <c r="AE1777" t="n">
        <v>292374</v>
      </c>
      <c r="AF1777" t="n">
        <v>10667</v>
      </c>
      <c r="AG1777" t="n">
        <v>2378</v>
      </c>
      <c r="AH1777" t="inlineStr">
        <is>
          <t>PT. KURNIA MAJU PERKASA - PPN (PDG)</t>
        </is>
      </c>
      <c r="AI1777" t="n">
        <v>1638</v>
      </c>
      <c r="AJ1777" t="inlineStr">
        <is>
          <t>GLAD2GLOW</t>
        </is>
      </c>
      <c r="AK1777" t="n">
        <v>21</v>
      </c>
      <c r="AL1777" t="inlineStr">
        <is>
          <t>Miss Glam Damar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GLAD2GLOW</t>
        </is>
      </c>
      <c r="B1778" s="2">
        <f>"8809687397302"</f>
        <v/>
      </c>
      <c r="C1778" t="inlineStr">
        <is>
          <t>GLAD2GLOW Centella 2% Salicylic Acid Power Clear Acne Serum 17ml</t>
        </is>
      </c>
      <c r="D1778" t="inlineStr">
        <is>
          <t>Miss Glam Damar</t>
        </is>
      </c>
      <c r="E1778" t="n">
        <v>3</v>
      </c>
      <c r="F1778" t="n">
        <v>0.9828000000000001</v>
      </c>
      <c r="G1778" t="n">
        <v>3.64</v>
      </c>
      <c r="H1778" t="n">
        <v>1</v>
      </c>
      <c r="I1778" t="n">
        <v>5</v>
      </c>
      <c r="J1778" t="n">
        <v>3</v>
      </c>
      <c r="K1778" t="n">
        <v>0</v>
      </c>
      <c r="L1778" t="n">
        <v>33790</v>
      </c>
      <c r="M1778" t="n">
        <v>45000</v>
      </c>
      <c r="N1778" t="n">
        <v>91</v>
      </c>
      <c r="O1778" t="n">
        <v>0.91</v>
      </c>
      <c r="P1778" t="n">
        <v>1</v>
      </c>
      <c r="Q1778" t="n">
        <v>0.64</v>
      </c>
      <c r="R1778" t="n">
        <v>3</v>
      </c>
      <c r="S1778" t="n">
        <v>44226.00000000001</v>
      </c>
      <c r="T1778" t="n">
        <v>18</v>
      </c>
      <c r="U1778" t="n">
        <v>19</v>
      </c>
      <c r="V1778" t="n">
        <v>30</v>
      </c>
      <c r="W1778" t="n">
        <v>30</v>
      </c>
      <c r="X1778" t="n">
        <v>3.052503052503052</v>
      </c>
      <c r="Y1778" t="n">
        <v>1</v>
      </c>
      <c r="Z1778" t="n">
        <v>27</v>
      </c>
      <c r="AA1778" t="n">
        <v>2</v>
      </c>
      <c r="AB1778" t="n">
        <v>25</v>
      </c>
      <c r="AC1778" t="n">
        <v>25</v>
      </c>
      <c r="AD1778" t="n">
        <v>67580</v>
      </c>
      <c r="AE1778" t="n">
        <v>844750</v>
      </c>
      <c r="AF1778" t="n">
        <v>10667</v>
      </c>
      <c r="AG1778" t="n">
        <v>2378</v>
      </c>
      <c r="AH1778" t="inlineStr">
        <is>
          <t>PT. KURNIA MAJU PERKASA - PPN (PDG)</t>
        </is>
      </c>
      <c r="AI1778" t="n">
        <v>1638</v>
      </c>
      <c r="AJ1778" t="inlineStr">
        <is>
          <t>GLAD2GLOW</t>
        </is>
      </c>
      <c r="AK1778" t="n">
        <v>21</v>
      </c>
      <c r="AL1778" t="inlineStr">
        <is>
          <t>Miss Glam Damar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GLAD2GLOW</t>
        </is>
      </c>
      <c r="B1779" s="2">
        <f>"10300720826"</f>
        <v/>
      </c>
      <c r="C1779" t="inlineStr">
        <is>
          <t>GLAD2GLOW Centella Allantoin Soothing Gel Moisturizer 100gr</t>
        </is>
      </c>
      <c r="D1779" t="inlineStr">
        <is>
          <t>Miss Glam Damar</t>
        </is>
      </c>
      <c r="E1779" t="n">
        <v>7</v>
      </c>
      <c r="F1779" t="n">
        <v>1.6926</v>
      </c>
      <c r="G1779" t="n">
        <v>7.28</v>
      </c>
      <c r="H1779" t="n">
        <v>1</v>
      </c>
      <c r="I1779" t="n">
        <v>5</v>
      </c>
      <c r="J1779" t="n">
        <v>3</v>
      </c>
      <c r="K1779" t="n">
        <v>0</v>
      </c>
      <c r="L1779" t="n">
        <v>57476</v>
      </c>
      <c r="M1779" t="n">
        <v>69000</v>
      </c>
      <c r="N1779" t="n">
        <v>91</v>
      </c>
      <c r="O1779" t="n">
        <v>0.91</v>
      </c>
      <c r="P1779" t="n">
        <v>1</v>
      </c>
      <c r="Q1779" t="n">
        <v>0.83</v>
      </c>
      <c r="R1779" t="n">
        <v>4</v>
      </c>
      <c r="S1779" t="n">
        <v>116789.4</v>
      </c>
      <c r="T1779" t="n">
        <v>35</v>
      </c>
      <c r="U1779" t="n">
        <v>37</v>
      </c>
      <c r="V1779" t="n">
        <v>30</v>
      </c>
      <c r="W1779" t="n">
        <v>51</v>
      </c>
      <c r="X1779" t="n">
        <v>4.135649296939619</v>
      </c>
      <c r="Y1779" t="n">
        <v>1</v>
      </c>
      <c r="Z1779" t="n">
        <v>44</v>
      </c>
      <c r="AA1779" t="n">
        <v>2</v>
      </c>
      <c r="AB1779" t="n">
        <v>42</v>
      </c>
      <c r="AC1779" t="n">
        <v>42</v>
      </c>
      <c r="AD1779" t="n">
        <v>114952</v>
      </c>
      <c r="AE1779" t="n">
        <v>2413992</v>
      </c>
      <c r="AF1779" t="n">
        <v>10667</v>
      </c>
      <c r="AG1779" t="n">
        <v>2378</v>
      </c>
      <c r="AH1779" t="inlineStr">
        <is>
          <t>PT. KURNIA MAJU PERKASA - PPN (PDG)</t>
        </is>
      </c>
      <c r="AI1779" t="n">
        <v>1638</v>
      </c>
      <c r="AJ1779" t="inlineStr">
        <is>
          <t>GLAD2GLOW</t>
        </is>
      </c>
      <c r="AK1779" t="n">
        <v>21</v>
      </c>
      <c r="AL1779" t="inlineStr">
        <is>
          <t>Miss Glam Damar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GLAD2GLOW</t>
        </is>
      </c>
      <c r="B1780" s="2">
        <f>"8809616608936"</f>
        <v/>
      </c>
      <c r="C1780" t="inlineStr">
        <is>
          <t>GLAD2GLOW Centella Allantoin Soothing Gel Moisturizer 30gr</t>
        </is>
      </c>
      <c r="D1780" t="inlineStr">
        <is>
          <t>Miss Glam Damar</t>
        </is>
      </c>
      <c r="E1780" t="n">
        <v>50</v>
      </c>
      <c r="F1780" t="n">
        <v>2.3296</v>
      </c>
      <c r="G1780" t="n">
        <v>6.37</v>
      </c>
      <c r="H1780" t="n">
        <v>1</v>
      </c>
      <c r="I1780" t="n">
        <v>5</v>
      </c>
      <c r="J1780" t="n">
        <v>3</v>
      </c>
      <c r="K1780" t="n">
        <v>0</v>
      </c>
      <c r="L1780" t="n">
        <v>32486</v>
      </c>
      <c r="M1780" t="n">
        <v>39000</v>
      </c>
      <c r="N1780" t="n">
        <v>91</v>
      </c>
      <c r="O1780" t="n">
        <v>0.91</v>
      </c>
      <c r="P1780" t="n">
        <v>1</v>
      </c>
      <c r="Q1780" t="n">
        <v>1.81</v>
      </c>
      <c r="R1780" t="n">
        <v>5</v>
      </c>
      <c r="S1780" t="n">
        <v>90854.40000000001</v>
      </c>
      <c r="T1780" t="n">
        <v>30</v>
      </c>
      <c r="U1780" t="n">
        <v>33</v>
      </c>
      <c r="V1780" t="n">
        <v>30</v>
      </c>
      <c r="W1780" t="n">
        <v>70</v>
      </c>
      <c r="X1780" t="n">
        <v>21.46291208791209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10667</v>
      </c>
      <c r="AG1780" t="n">
        <v>2378</v>
      </c>
      <c r="AH1780" t="inlineStr">
        <is>
          <t>PT. KURNIA MAJU PERKASA - PPN (PDG)</t>
        </is>
      </c>
      <c r="AI1780" t="n">
        <v>1638</v>
      </c>
      <c r="AJ1780" t="inlineStr">
        <is>
          <t>GLAD2GLOW</t>
        </is>
      </c>
      <c r="AK1780" t="n">
        <v>21</v>
      </c>
      <c r="AL1780" t="inlineStr">
        <is>
          <t>Miss Glam Damar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GLAD2GLOW</t>
        </is>
      </c>
      <c r="B1781" s="2">
        <f>"8809674950930"</f>
        <v/>
      </c>
      <c r="C1781" t="inlineStr">
        <is>
          <t>GLAD2GLOW Centella Allantoin Soothing Gel Moisturizer 55gr</t>
        </is>
      </c>
      <c r="D1781" t="inlineStr">
        <is>
          <t>Miss Glam Damar</t>
        </is>
      </c>
      <c r="E1781" t="n">
        <v>31</v>
      </c>
      <c r="F1781" t="n">
        <v>3.0121</v>
      </c>
      <c r="G1781" t="n">
        <v>7.28</v>
      </c>
      <c r="H1781" t="n">
        <v>1</v>
      </c>
      <c r="I1781" t="n">
        <v>5</v>
      </c>
      <c r="J1781" t="n">
        <v>3</v>
      </c>
      <c r="K1781" t="n">
        <v>0</v>
      </c>
      <c r="L1781" t="n">
        <v>40816</v>
      </c>
      <c r="M1781" t="n">
        <v>49000</v>
      </c>
      <c r="N1781" t="n">
        <v>91</v>
      </c>
      <c r="O1781" t="n">
        <v>0.91</v>
      </c>
      <c r="P1781" t="n">
        <v>1</v>
      </c>
      <c r="Q1781" t="n">
        <v>1.61</v>
      </c>
      <c r="R1781" t="n">
        <v>5</v>
      </c>
      <c r="S1781" t="n">
        <v>147592.9</v>
      </c>
      <c r="T1781" t="n">
        <v>34</v>
      </c>
      <c r="U1781" t="n">
        <v>38</v>
      </c>
      <c r="V1781" t="n">
        <v>30</v>
      </c>
      <c r="W1781" t="n">
        <v>91</v>
      </c>
      <c r="X1781" t="n">
        <v>10.29182298064473</v>
      </c>
      <c r="Y1781" t="n">
        <v>1</v>
      </c>
      <c r="Z1781" t="n">
        <v>60</v>
      </c>
      <c r="AA1781" t="n">
        <v>0</v>
      </c>
      <c r="AB1781" t="n">
        <v>60</v>
      </c>
      <c r="AC1781" t="n">
        <v>60</v>
      </c>
      <c r="AD1781" t="n">
        <v>0</v>
      </c>
      <c r="AE1781" t="n">
        <v>2448960</v>
      </c>
      <c r="AF1781" t="n">
        <v>10667</v>
      </c>
      <c r="AG1781" t="n">
        <v>2378</v>
      </c>
      <c r="AH1781" t="inlineStr">
        <is>
          <t>PT. KURNIA MAJU PERKASA - PPN (PDG)</t>
        </is>
      </c>
      <c r="AI1781" t="n">
        <v>1638</v>
      </c>
      <c r="AJ1781" t="inlineStr">
        <is>
          <t>GLAD2GLOW</t>
        </is>
      </c>
      <c r="AK1781" t="n">
        <v>21</v>
      </c>
      <c r="AL1781" t="inlineStr">
        <is>
          <t>Miss Glam Damar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GLAD2GLOW</t>
        </is>
      </c>
      <c r="B1782" s="2">
        <f>"8800201379620"</f>
        <v/>
      </c>
      <c r="C1782" t="inlineStr">
        <is>
          <t>GLAD2GLOW Centella Ceramide Soothing Toner 80ml</t>
        </is>
      </c>
      <c r="D1782" t="inlineStr">
        <is>
          <t>Miss Glam Damar</t>
        </is>
      </c>
      <c r="E1782" t="n">
        <v>2</v>
      </c>
      <c r="F1782" t="n">
        <v>0.5824</v>
      </c>
      <c r="G1782" t="n">
        <v>2.73</v>
      </c>
      <c r="H1782" t="n">
        <v>1</v>
      </c>
      <c r="I1782" t="n">
        <v>5</v>
      </c>
      <c r="J1782" t="n">
        <v>3</v>
      </c>
      <c r="K1782" t="n">
        <v>0</v>
      </c>
      <c r="L1782" t="n">
        <v>37485</v>
      </c>
      <c r="M1782" t="n">
        <v>49000</v>
      </c>
      <c r="N1782" t="n">
        <v>91</v>
      </c>
      <c r="O1782" t="n">
        <v>0.91</v>
      </c>
      <c r="P1782" t="n">
        <v>1</v>
      </c>
      <c r="Q1782" t="n">
        <v>0.49</v>
      </c>
      <c r="R1782" t="n">
        <v>3</v>
      </c>
      <c r="S1782" t="n">
        <v>28537.6</v>
      </c>
      <c r="T1782" t="n">
        <v>14</v>
      </c>
      <c r="U1782" t="n">
        <v>15</v>
      </c>
      <c r="V1782" t="n">
        <v>30</v>
      </c>
      <c r="W1782" t="n">
        <v>18</v>
      </c>
      <c r="X1782" t="n">
        <v>3.434065934065934</v>
      </c>
      <c r="Y1782" t="n">
        <v>1</v>
      </c>
      <c r="Z1782" t="n">
        <v>16</v>
      </c>
      <c r="AA1782" t="n">
        <v>1</v>
      </c>
      <c r="AB1782" t="n">
        <v>15</v>
      </c>
      <c r="AC1782" t="n">
        <v>15</v>
      </c>
      <c r="AD1782" t="n">
        <v>37485</v>
      </c>
      <c r="AE1782" t="n">
        <v>562275</v>
      </c>
      <c r="AF1782" t="n">
        <v>10667</v>
      </c>
      <c r="AG1782" t="n">
        <v>2378</v>
      </c>
      <c r="AH1782" t="inlineStr">
        <is>
          <t>PT. KURNIA MAJU PERKASA - PPN (PDG)</t>
        </is>
      </c>
      <c r="AI1782" t="n">
        <v>1638</v>
      </c>
      <c r="AJ1782" t="inlineStr">
        <is>
          <t>GLAD2GLOW</t>
        </is>
      </c>
      <c r="AK1782" t="n">
        <v>21</v>
      </c>
      <c r="AL1782" t="inlineStr">
        <is>
          <t>Miss Glam Damar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GLAD2GLOW</t>
        </is>
      </c>
      <c r="B1783" s="2">
        <f>"8809674598705"</f>
        <v/>
      </c>
      <c r="C1783" t="inlineStr">
        <is>
          <t>GLAD2GLOW Centella Salicylic Acid Acne Gel Cleanser Oil Control 70ml</t>
        </is>
      </c>
      <c r="D1783" t="inlineStr">
        <is>
          <t>Miss Glam Damar</t>
        </is>
      </c>
      <c r="E1783" t="n">
        <v>81</v>
      </c>
      <c r="F1783" t="n">
        <v>4.9686</v>
      </c>
      <c r="G1783" t="n">
        <v>13.65</v>
      </c>
      <c r="H1783" t="n">
        <v>1</v>
      </c>
      <c r="I1783" t="n">
        <v>5</v>
      </c>
      <c r="J1783" t="n">
        <v>3</v>
      </c>
      <c r="K1783" t="n">
        <v>0</v>
      </c>
      <c r="L1783" t="n">
        <v>32486</v>
      </c>
      <c r="M1783" t="n">
        <v>39000</v>
      </c>
      <c r="N1783" t="n">
        <v>91</v>
      </c>
      <c r="O1783" t="n">
        <v>0.91</v>
      </c>
      <c r="P1783" t="n">
        <v>1</v>
      </c>
      <c r="Q1783" t="n">
        <v>2.63</v>
      </c>
      <c r="R1783" t="n">
        <v>20</v>
      </c>
      <c r="S1783" t="n">
        <v>193775.4</v>
      </c>
      <c r="T1783" t="n">
        <v>64</v>
      </c>
      <c r="U1783" t="n">
        <v>69</v>
      </c>
      <c r="V1783" t="n">
        <v>30</v>
      </c>
      <c r="W1783" t="n">
        <v>150</v>
      </c>
      <c r="X1783" t="n">
        <v>16.30237893974158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10667</v>
      </c>
      <c r="AG1783" t="n">
        <v>2378</v>
      </c>
      <c r="AH1783" t="inlineStr">
        <is>
          <t>PT. KURNIA MAJU PERKASA - PPN (PDG)</t>
        </is>
      </c>
      <c r="AI1783" t="n">
        <v>1638</v>
      </c>
      <c r="AJ1783" t="inlineStr">
        <is>
          <t>GLAD2GLOW</t>
        </is>
      </c>
      <c r="AK1783" t="n">
        <v>21</v>
      </c>
      <c r="AL1783" t="inlineStr">
        <is>
          <t>Miss Glam Damar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GLAD2GLOW</t>
        </is>
      </c>
      <c r="B1784" s="2">
        <f>"8809612867450"</f>
        <v/>
      </c>
      <c r="C1784" t="inlineStr">
        <is>
          <t>GLAD2GLOW Centella Salicylic Acid Day Acne Patch 12 Pack</t>
        </is>
      </c>
      <c r="D1784" t="inlineStr">
        <is>
          <t>Miss Glam Damar</t>
        </is>
      </c>
      <c r="E1784" t="n">
        <v>6</v>
      </c>
      <c r="F1784" t="n">
        <v>0.6643</v>
      </c>
      <c r="G1784" t="n">
        <v>2.73</v>
      </c>
      <c r="H1784" t="n">
        <v>1</v>
      </c>
      <c r="I1784" t="n">
        <v>5</v>
      </c>
      <c r="J1784" t="n">
        <v>3</v>
      </c>
      <c r="K1784" t="n">
        <v>0</v>
      </c>
      <c r="L1784" t="n">
        <v>20825</v>
      </c>
      <c r="M1784" t="n">
        <v>25000</v>
      </c>
      <c r="N1784" t="n">
        <v>91</v>
      </c>
      <c r="O1784" t="n">
        <v>0.91</v>
      </c>
      <c r="P1784" t="n">
        <v>1</v>
      </c>
      <c r="Q1784" t="n">
        <v>0.5600000000000001</v>
      </c>
      <c r="R1784" t="n">
        <v>4</v>
      </c>
      <c r="S1784" t="n">
        <v>16607.5</v>
      </c>
      <c r="T1784" t="n">
        <v>13</v>
      </c>
      <c r="U1784" t="n">
        <v>14</v>
      </c>
      <c r="V1784" t="n">
        <v>30</v>
      </c>
      <c r="W1784" t="n">
        <v>20</v>
      </c>
      <c r="X1784" t="n">
        <v>9.032063826584375</v>
      </c>
      <c r="Y1784" t="n">
        <v>1</v>
      </c>
      <c r="Z1784" t="n">
        <v>14</v>
      </c>
      <c r="AA1784" t="n">
        <v>0</v>
      </c>
      <c r="AB1784" t="n">
        <v>14</v>
      </c>
      <c r="AC1784" t="n">
        <v>14</v>
      </c>
      <c r="AD1784" t="n">
        <v>0</v>
      </c>
      <c r="AE1784" t="n">
        <v>291550</v>
      </c>
      <c r="AF1784" t="n">
        <v>10667</v>
      </c>
      <c r="AG1784" t="n">
        <v>2378</v>
      </c>
      <c r="AH1784" t="inlineStr">
        <is>
          <t>PT. KURNIA MAJU PERKASA - PPN (PDG)</t>
        </is>
      </c>
      <c r="AI1784" t="n">
        <v>1638</v>
      </c>
      <c r="AJ1784" t="inlineStr">
        <is>
          <t>GLAD2GLOW</t>
        </is>
      </c>
      <c r="AK1784" t="n">
        <v>21</v>
      </c>
      <c r="AL1784" t="inlineStr">
        <is>
          <t>Miss Glam Damar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GLAD2GLOW</t>
        </is>
      </c>
      <c r="B1785" s="2">
        <f>"10600213909"</f>
        <v/>
      </c>
      <c r="C1785" t="inlineStr">
        <is>
          <t>GLAD2GLOW Centella Salicylic Acid Exfoliating Acne Pads</t>
        </is>
      </c>
      <c r="D1785" t="inlineStr">
        <is>
          <t>Miss Glam Damar</t>
        </is>
      </c>
      <c r="E1785" t="n">
        <v>0</v>
      </c>
      <c r="F1785" t="n">
        <v>0.5096000000000001</v>
      </c>
      <c r="G1785" t="n">
        <v>2.73</v>
      </c>
      <c r="H1785" t="n">
        <v>1</v>
      </c>
      <c r="I1785" t="n">
        <v>5</v>
      </c>
      <c r="J1785" t="n">
        <v>1</v>
      </c>
      <c r="K1785" t="n">
        <v>0</v>
      </c>
      <c r="L1785" t="n">
        <v>52618</v>
      </c>
      <c r="M1785" t="n">
        <v>69000</v>
      </c>
      <c r="N1785" t="n">
        <v>91</v>
      </c>
      <c r="O1785" t="n">
        <v>0.91</v>
      </c>
      <c r="P1785" t="n">
        <v>1</v>
      </c>
      <c r="Q1785" t="n">
        <v>0.19</v>
      </c>
      <c r="R1785" t="n">
        <v>1</v>
      </c>
      <c r="S1785" t="n">
        <v>35162.4</v>
      </c>
      <c r="T1785" t="n">
        <v>14</v>
      </c>
      <c r="U1785" t="n">
        <v>15</v>
      </c>
      <c r="V1785" t="n">
        <v>30</v>
      </c>
      <c r="W1785" t="n">
        <v>16</v>
      </c>
      <c r="X1785" t="n">
        <v>0</v>
      </c>
      <c r="Y1785" t="n">
        <v>1</v>
      </c>
      <c r="Z1785" t="n">
        <v>16</v>
      </c>
      <c r="AA1785" t="n">
        <v>3</v>
      </c>
      <c r="AB1785" t="n">
        <v>13</v>
      </c>
      <c r="AC1785" t="n">
        <v>13</v>
      </c>
      <c r="AD1785" t="n">
        <v>157854</v>
      </c>
      <c r="AE1785" t="n">
        <v>684034</v>
      </c>
      <c r="AF1785" t="n">
        <v>10667</v>
      </c>
      <c r="AG1785" t="n">
        <v>2378</v>
      </c>
      <c r="AH1785" t="inlineStr">
        <is>
          <t>PT. KURNIA MAJU PERKASA - PPN (PDG)</t>
        </is>
      </c>
      <c r="AI1785" t="n">
        <v>1638</v>
      </c>
      <c r="AJ1785" t="inlineStr">
        <is>
          <t>GLAD2GLOW</t>
        </is>
      </c>
      <c r="AK1785" t="n">
        <v>21</v>
      </c>
      <c r="AL1785" t="inlineStr">
        <is>
          <t>Miss Glam Damar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GLAD2GLOW</t>
        </is>
      </c>
      <c r="B1786" s="2">
        <f>"8809611529977"</f>
        <v/>
      </c>
      <c r="C1786" t="inlineStr">
        <is>
          <t>GLAD2GLOW Centella Salicylic Acid Night Acne Patch 12 Pack</t>
        </is>
      </c>
      <c r="D1786" t="inlineStr">
        <is>
          <t>Miss Glam Damar</t>
        </is>
      </c>
      <c r="E1786" t="n">
        <v>12</v>
      </c>
      <c r="F1786" t="n">
        <v>0.3549</v>
      </c>
      <c r="G1786" t="n">
        <v>2.73</v>
      </c>
      <c r="H1786" t="n">
        <v>1</v>
      </c>
      <c r="I1786" t="n">
        <v>5</v>
      </c>
      <c r="J1786" t="n">
        <v>3</v>
      </c>
      <c r="K1786" t="n">
        <v>0</v>
      </c>
      <c r="L1786" t="n">
        <v>20825</v>
      </c>
      <c r="M1786" t="n">
        <v>25000</v>
      </c>
      <c r="N1786" t="n">
        <v>91</v>
      </c>
      <c r="O1786" t="n">
        <v>0.91</v>
      </c>
      <c r="P1786" t="n">
        <v>1</v>
      </c>
      <c r="Q1786" t="n">
        <v>0.39</v>
      </c>
      <c r="R1786" t="n">
        <v>3</v>
      </c>
      <c r="S1786" t="n">
        <v>8872.500000000002</v>
      </c>
      <c r="T1786" t="n">
        <v>14</v>
      </c>
      <c r="U1786" t="n">
        <v>15</v>
      </c>
      <c r="V1786" t="n">
        <v>30</v>
      </c>
      <c r="W1786" t="n">
        <v>11</v>
      </c>
      <c r="X1786" t="n">
        <v>33.81234150464919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10667</v>
      </c>
      <c r="AG1786" t="n">
        <v>2378</v>
      </c>
      <c r="AH1786" t="inlineStr">
        <is>
          <t>PT. KURNIA MAJU PERKASA - PPN (PDG)</t>
        </is>
      </c>
      <c r="AI1786" t="n">
        <v>1638</v>
      </c>
      <c r="AJ1786" t="inlineStr">
        <is>
          <t>GLAD2GLOW</t>
        </is>
      </c>
      <c r="AK1786" t="n">
        <v>21</v>
      </c>
      <c r="AL1786" t="inlineStr">
        <is>
          <t>Miss Glam Damar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GLAD2GLOW</t>
        </is>
      </c>
      <c r="B1787" s="2">
        <f>"8809618369651"</f>
        <v/>
      </c>
      <c r="C1787" t="inlineStr">
        <is>
          <t>GLAD2GLOW Cherry Blossom Betaine Micellar Water 130ml</t>
        </is>
      </c>
      <c r="D1787" t="inlineStr">
        <is>
          <t>Miss Glam Damar</t>
        </is>
      </c>
      <c r="E1787" t="n">
        <v>66</v>
      </c>
      <c r="F1787" t="n">
        <v>6.1971</v>
      </c>
      <c r="G1787" t="n">
        <v>10.92</v>
      </c>
      <c r="H1787" t="n">
        <v>1</v>
      </c>
      <c r="I1787" t="n">
        <v>5</v>
      </c>
      <c r="J1787" t="n">
        <v>3</v>
      </c>
      <c r="K1787" t="n">
        <v>0</v>
      </c>
      <c r="L1787" t="n">
        <v>24157</v>
      </c>
      <c r="M1787" t="n">
        <v>29000</v>
      </c>
      <c r="N1787" t="n">
        <v>91</v>
      </c>
      <c r="O1787" t="n">
        <v>0.91</v>
      </c>
      <c r="P1787" t="n">
        <v>1</v>
      </c>
      <c r="Q1787" t="n">
        <v>3.64</v>
      </c>
      <c r="R1787" t="n">
        <v>11</v>
      </c>
      <c r="S1787" t="n">
        <v>179715.9</v>
      </c>
      <c r="T1787" t="n">
        <v>49</v>
      </c>
      <c r="U1787" t="n">
        <v>56</v>
      </c>
      <c r="V1787" t="n">
        <v>30</v>
      </c>
      <c r="W1787" t="n">
        <v>186</v>
      </c>
      <c r="X1787" t="n">
        <v>10.65014280873312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10667</v>
      </c>
      <c r="AG1787" t="n">
        <v>2378</v>
      </c>
      <c r="AH1787" t="inlineStr">
        <is>
          <t>PT. KURNIA MAJU PERKASA - PPN (PDG)</t>
        </is>
      </c>
      <c r="AI1787" t="n">
        <v>1638</v>
      </c>
      <c r="AJ1787" t="inlineStr">
        <is>
          <t>GLAD2GLOW</t>
        </is>
      </c>
      <c r="AK1787" t="n">
        <v>21</v>
      </c>
      <c r="AL1787" t="inlineStr">
        <is>
          <t>Miss Glam Damar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GLAD2GLOW</t>
        </is>
      </c>
      <c r="B1788" s="2">
        <f>"8809698873345"</f>
        <v/>
      </c>
      <c r="C1788" t="inlineStr">
        <is>
          <t>GLAD2GLOW Cherry Blossom Betaine Micellar Water Removes Makeup &amp; Impurities 300ml</t>
        </is>
      </c>
      <c r="D1788" t="inlineStr">
        <is>
          <t>Miss Glam Damar</t>
        </is>
      </c>
      <c r="E1788" t="n">
        <v>208</v>
      </c>
      <c r="F1788" t="n">
        <v>15.3608</v>
      </c>
      <c r="G1788" t="n">
        <v>33.67</v>
      </c>
      <c r="H1788" t="n">
        <v>1</v>
      </c>
      <c r="I1788" t="n">
        <v>5</v>
      </c>
      <c r="J1788" t="n">
        <v>3</v>
      </c>
      <c r="K1788" t="n">
        <v>0</v>
      </c>
      <c r="L1788" t="n">
        <v>40816</v>
      </c>
      <c r="M1788" t="n">
        <v>49000</v>
      </c>
      <c r="N1788" t="n">
        <v>91</v>
      </c>
      <c r="O1788" t="n">
        <v>0.91</v>
      </c>
      <c r="P1788" t="n">
        <v>1</v>
      </c>
      <c r="Q1788" t="n">
        <v>11.95</v>
      </c>
      <c r="R1788" t="n">
        <v>27</v>
      </c>
      <c r="S1788" t="n">
        <v>752679.2</v>
      </c>
      <c r="T1788" t="n">
        <v>153</v>
      </c>
      <c r="U1788" t="n">
        <v>169</v>
      </c>
      <c r="V1788" t="n">
        <v>30</v>
      </c>
      <c r="W1788" t="n">
        <v>461</v>
      </c>
      <c r="X1788" t="n">
        <v>13.54096140825999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10667</v>
      </c>
      <c r="AG1788" t="n">
        <v>2378</v>
      </c>
      <c r="AH1788" t="inlineStr">
        <is>
          <t>PT. KURNIA MAJU PERKASA - PPN (PDG)</t>
        </is>
      </c>
      <c r="AI1788" t="n">
        <v>1638</v>
      </c>
      <c r="AJ1788" t="inlineStr">
        <is>
          <t>GLAD2GLOW</t>
        </is>
      </c>
      <c r="AK1788" t="n">
        <v>21</v>
      </c>
      <c r="AL1788" t="inlineStr">
        <is>
          <t>Miss Glam Damar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GLAD2GLOW</t>
        </is>
      </c>
      <c r="B1789" s="2">
        <f>"10100725619"</f>
        <v/>
      </c>
      <c r="C1789" t="inlineStr">
        <is>
          <t>GLAD2GLOW Cherry Blossom Micelar Water 230ml</t>
        </is>
      </c>
      <c r="D1789" t="inlineStr">
        <is>
          <t>Miss Glam Damar</t>
        </is>
      </c>
      <c r="E1789" t="n">
        <v>19</v>
      </c>
      <c r="F1789" t="n">
        <v>0.4914000000000001</v>
      </c>
      <c r="G1789" t="n">
        <v>3.64</v>
      </c>
      <c r="H1789" t="n">
        <v>1</v>
      </c>
      <c r="I1789" t="n">
        <v>5</v>
      </c>
      <c r="J1789" t="n">
        <v>1</v>
      </c>
      <c r="K1789" t="n">
        <v>0</v>
      </c>
      <c r="L1789" t="n">
        <v>32486</v>
      </c>
      <c r="M1789" t="n">
        <v>39000</v>
      </c>
      <c r="N1789" t="n">
        <v>91</v>
      </c>
      <c r="O1789" t="n">
        <v>0.91</v>
      </c>
      <c r="P1789" t="n">
        <v>1</v>
      </c>
      <c r="Q1789" t="n">
        <v>0.39</v>
      </c>
      <c r="R1789" t="n">
        <v>3</v>
      </c>
      <c r="S1789" t="n">
        <v>19164.6</v>
      </c>
      <c r="T1789" t="n">
        <v>18</v>
      </c>
      <c r="U1789" t="n">
        <v>19</v>
      </c>
      <c r="V1789" t="n">
        <v>30</v>
      </c>
      <c r="W1789" t="n">
        <v>15</v>
      </c>
      <c r="X1789" t="n">
        <v>38.66503866503866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10667</v>
      </c>
      <c r="AG1789" t="n">
        <v>2378</v>
      </c>
      <c r="AH1789" t="inlineStr">
        <is>
          <t>PT. KURNIA MAJU PERKASA - PPN (PDG)</t>
        </is>
      </c>
      <c r="AI1789" t="n">
        <v>1638</v>
      </c>
      <c r="AJ1789" t="inlineStr">
        <is>
          <t>GLAD2GLOW</t>
        </is>
      </c>
      <c r="AK1789" t="n">
        <v>21</v>
      </c>
      <c r="AL1789" t="inlineStr">
        <is>
          <t>Miss Glam Damar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GLAD2GLOW</t>
        </is>
      </c>
      <c r="B1790" s="2">
        <f>"30200427315"</f>
        <v/>
      </c>
      <c r="C1790" t="inlineStr">
        <is>
          <t>GLAD2GLOW Creamy Berry Overnight Bright Body Serum 180ml</t>
        </is>
      </c>
      <c r="D1790" t="inlineStr">
        <is>
          <t>Miss Glam Damar</t>
        </is>
      </c>
      <c r="E1790" t="n">
        <v>8</v>
      </c>
      <c r="F1790" t="n">
        <v>0.5551</v>
      </c>
      <c r="G1790" t="n">
        <v>3.64</v>
      </c>
      <c r="H1790" t="n">
        <v>1</v>
      </c>
      <c r="I1790" t="n">
        <v>5</v>
      </c>
      <c r="J1790" t="n">
        <v>1</v>
      </c>
      <c r="K1790" t="n">
        <v>0</v>
      </c>
      <c r="L1790" t="n">
        <v>33865</v>
      </c>
      <c r="M1790" t="n">
        <v>49000</v>
      </c>
      <c r="N1790" t="n">
        <v>91</v>
      </c>
      <c r="O1790" t="n">
        <v>0.91</v>
      </c>
      <c r="P1790" t="n">
        <v>1</v>
      </c>
      <c r="Q1790" t="n">
        <v>0.54</v>
      </c>
      <c r="R1790" t="n">
        <v>3</v>
      </c>
      <c r="S1790" t="n">
        <v>27199.9</v>
      </c>
      <c r="T1790" t="n">
        <v>18</v>
      </c>
      <c r="U1790" t="n">
        <v>19</v>
      </c>
      <c r="V1790" t="n">
        <v>30</v>
      </c>
      <c r="W1790" t="n">
        <v>17</v>
      </c>
      <c r="X1790" t="n">
        <v>14.41181769050621</v>
      </c>
      <c r="Y1790" t="n">
        <v>1</v>
      </c>
      <c r="Z1790" t="n">
        <v>9</v>
      </c>
      <c r="AA1790" t="n">
        <v>0</v>
      </c>
      <c r="AB1790" t="n">
        <v>9</v>
      </c>
      <c r="AC1790" t="n">
        <v>9</v>
      </c>
      <c r="AD1790" t="n">
        <v>0</v>
      </c>
      <c r="AE1790" t="n">
        <v>304785</v>
      </c>
      <c r="AF1790" t="n">
        <v>10667</v>
      </c>
      <c r="AG1790" t="n">
        <v>2378</v>
      </c>
      <c r="AH1790" t="inlineStr">
        <is>
          <t>PT. KURNIA MAJU PERKASA - PPN (PDG)</t>
        </is>
      </c>
      <c r="AI1790" t="n">
        <v>1638</v>
      </c>
      <c r="AJ1790" t="inlineStr">
        <is>
          <t>GLAD2GLOW</t>
        </is>
      </c>
      <c r="AK1790" t="n">
        <v>21</v>
      </c>
      <c r="AL1790" t="inlineStr">
        <is>
          <t>Miss Glam Damar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GLAD2GLOW</t>
        </is>
      </c>
      <c r="B1791" s="2">
        <f>"30200425828"</f>
        <v/>
      </c>
      <c r="C1791" t="inlineStr">
        <is>
          <t>GLAD2GLOW Creamy Berry Overnight Bright Body Serum 300ml</t>
        </is>
      </c>
      <c r="D1791" t="inlineStr">
        <is>
          <t>Miss Glam Damar</t>
        </is>
      </c>
      <c r="E1791" t="n">
        <v>20</v>
      </c>
      <c r="F1791" t="n">
        <v>0.6461</v>
      </c>
      <c r="G1791" t="n">
        <v>3.64</v>
      </c>
      <c r="H1791" t="n">
        <v>1</v>
      </c>
      <c r="I1791" t="n">
        <v>5</v>
      </c>
      <c r="J1791" t="n">
        <v>1</v>
      </c>
      <c r="K1791" t="n">
        <v>0</v>
      </c>
      <c r="L1791" t="n">
        <v>57477</v>
      </c>
      <c r="M1791" t="n">
        <v>69000</v>
      </c>
      <c r="N1791" t="n">
        <v>91</v>
      </c>
      <c r="O1791" t="n">
        <v>0.91</v>
      </c>
      <c r="P1791" t="n">
        <v>1</v>
      </c>
      <c r="Q1791" t="n">
        <v>0.71</v>
      </c>
      <c r="R1791" t="n">
        <v>3</v>
      </c>
      <c r="S1791" t="n">
        <v>44580.9</v>
      </c>
      <c r="T1791" t="n">
        <v>18</v>
      </c>
      <c r="U1791" t="n">
        <v>19</v>
      </c>
      <c r="V1791" t="n">
        <v>30</v>
      </c>
      <c r="W1791" t="n">
        <v>20</v>
      </c>
      <c r="X1791" t="n">
        <v>30.95496053242532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10667</v>
      </c>
      <c r="AG1791" t="n">
        <v>2378</v>
      </c>
      <c r="AH1791" t="inlineStr">
        <is>
          <t>PT. KURNIA MAJU PERKASA - PPN (PDG)</t>
        </is>
      </c>
      <c r="AI1791" t="n">
        <v>1638</v>
      </c>
      <c r="AJ1791" t="inlineStr">
        <is>
          <t>GLAD2GLOW</t>
        </is>
      </c>
      <c r="AK1791" t="n">
        <v>21</v>
      </c>
      <c r="AL1791" t="inlineStr">
        <is>
          <t>Miss Glam Damar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GLAD2GLOW</t>
        </is>
      </c>
      <c r="B1792" s="2">
        <f>"101001116219"</f>
        <v/>
      </c>
      <c r="C1792" t="inlineStr">
        <is>
          <t>GLAD2GLOW Deep Pore Clean Facial Wash 70ml</t>
        </is>
      </c>
      <c r="D1792" t="inlineStr">
        <is>
          <t>Miss Glam Damar</t>
        </is>
      </c>
      <c r="E1792" t="n">
        <v>14</v>
      </c>
      <c r="F1792" t="n">
        <v>0.9555000000000001</v>
      </c>
      <c r="G1792" t="n">
        <v>3.64</v>
      </c>
      <c r="H1792" t="n">
        <v>1</v>
      </c>
      <c r="I1792" t="n">
        <v>5</v>
      </c>
      <c r="J1792" t="n">
        <v>1</v>
      </c>
      <c r="K1792" t="n">
        <v>0</v>
      </c>
      <c r="L1792" t="n">
        <v>32582</v>
      </c>
      <c r="M1792" t="n">
        <v>39000</v>
      </c>
      <c r="N1792" t="n">
        <v>91</v>
      </c>
      <c r="O1792" t="n">
        <v>0.91</v>
      </c>
      <c r="P1792" t="n">
        <v>1</v>
      </c>
      <c r="Q1792" t="n">
        <v>0.71</v>
      </c>
      <c r="R1792" t="n">
        <v>3</v>
      </c>
      <c r="S1792" t="n">
        <v>37264.50000000001</v>
      </c>
      <c r="T1792" t="n">
        <v>18</v>
      </c>
      <c r="U1792" t="n">
        <v>19</v>
      </c>
      <c r="V1792" t="n">
        <v>30</v>
      </c>
      <c r="W1792" t="n">
        <v>29</v>
      </c>
      <c r="X1792" t="n">
        <v>14.65201465201465</v>
      </c>
      <c r="Y1792" t="n">
        <v>1</v>
      </c>
      <c r="Z1792" t="n">
        <v>15</v>
      </c>
      <c r="AA1792" t="n">
        <v>0</v>
      </c>
      <c r="AB1792" t="n">
        <v>15</v>
      </c>
      <c r="AC1792" t="n">
        <v>15</v>
      </c>
      <c r="AD1792" t="n">
        <v>0</v>
      </c>
      <c r="AE1792" t="n">
        <v>488730</v>
      </c>
      <c r="AF1792" t="n">
        <v>10667</v>
      </c>
      <c r="AG1792" t="n">
        <v>2378</v>
      </c>
      <c r="AH1792" t="inlineStr">
        <is>
          <t>PT. KURNIA MAJU PERKASA - PPN (PDG)</t>
        </is>
      </c>
      <c r="AI1792" t="n">
        <v>1638</v>
      </c>
      <c r="AJ1792" t="inlineStr">
        <is>
          <t>GLAD2GLOW</t>
        </is>
      </c>
      <c r="AK1792" t="n">
        <v>21</v>
      </c>
      <c r="AL1792" t="inlineStr">
        <is>
          <t>Miss Glam Damar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GLAD2GLOW</t>
        </is>
      </c>
      <c r="B1793" s="2">
        <f>"10300146636"</f>
        <v/>
      </c>
      <c r="C1793" t="inlineStr">
        <is>
          <t>GLAD2GLOW Double Bright Day Cream 30gr</t>
        </is>
      </c>
      <c r="D1793" t="inlineStr">
        <is>
          <t>Miss Glam Damar</t>
        </is>
      </c>
      <c r="E1793" t="n">
        <v>22</v>
      </c>
      <c r="F1793" t="n">
        <v>1.5925</v>
      </c>
      <c r="G1793" t="n">
        <v>6.37</v>
      </c>
      <c r="H1793" t="n">
        <v>1</v>
      </c>
      <c r="I1793" t="n">
        <v>5</v>
      </c>
      <c r="J1793" t="n">
        <v>1</v>
      </c>
      <c r="K1793" t="n">
        <v>0</v>
      </c>
      <c r="L1793" t="n">
        <v>70435</v>
      </c>
      <c r="M1793" t="n">
        <v>89000</v>
      </c>
      <c r="N1793" t="n">
        <v>91</v>
      </c>
      <c r="O1793" t="n">
        <v>0.91</v>
      </c>
      <c r="P1793" t="n">
        <v>1</v>
      </c>
      <c r="Q1793" t="n">
        <v>1.51</v>
      </c>
      <c r="R1793" t="n">
        <v>6</v>
      </c>
      <c r="S1793" t="n">
        <v>141732.5</v>
      </c>
      <c r="T1793" t="n">
        <v>31</v>
      </c>
      <c r="U1793" t="n">
        <v>33</v>
      </c>
      <c r="V1793" t="n">
        <v>30</v>
      </c>
      <c r="W1793" t="n">
        <v>48</v>
      </c>
      <c r="X1793" t="n">
        <v>13.81475667189953</v>
      </c>
      <c r="Y1793" t="n">
        <v>1</v>
      </c>
      <c r="Z1793" t="n">
        <v>26</v>
      </c>
      <c r="AA1793" t="n">
        <v>0</v>
      </c>
      <c r="AB1793" t="n">
        <v>26</v>
      </c>
      <c r="AC1793" t="n">
        <v>26</v>
      </c>
      <c r="AD1793" t="n">
        <v>0</v>
      </c>
      <c r="AE1793" t="n">
        <v>1831310</v>
      </c>
      <c r="AF1793" t="n">
        <v>10667</v>
      </c>
      <c r="AG1793" t="n">
        <v>2378</v>
      </c>
      <c r="AH1793" t="inlineStr">
        <is>
          <t>PT. KURNIA MAJU PERKASA - PPN (PDG)</t>
        </is>
      </c>
      <c r="AI1793" t="n">
        <v>1638</v>
      </c>
      <c r="AJ1793" t="inlineStr">
        <is>
          <t>GLAD2GLOW</t>
        </is>
      </c>
      <c r="AK1793" t="n">
        <v>21</v>
      </c>
      <c r="AL1793" t="inlineStr">
        <is>
          <t>Miss Glam Damar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GLAD2GLOW</t>
        </is>
      </c>
      <c r="B1794" s="2">
        <f>"20100181114"</f>
        <v/>
      </c>
      <c r="C1794" t="inlineStr">
        <is>
          <t>GLAD2GLOW Flawless Bluring Skin Tint 01 Buttercream 30gr</t>
        </is>
      </c>
      <c r="D1794" t="inlineStr">
        <is>
          <t>Miss Glam Damar</t>
        </is>
      </c>
      <c r="E1794" t="n">
        <v>2</v>
      </c>
      <c r="F1794" t="n">
        <v>0.3549</v>
      </c>
      <c r="G1794" t="n">
        <v>2.73</v>
      </c>
      <c r="H1794" t="n">
        <v>1</v>
      </c>
      <c r="I1794" t="n">
        <v>5</v>
      </c>
      <c r="J1794" t="n">
        <v>1</v>
      </c>
      <c r="K1794" t="n">
        <v>0</v>
      </c>
      <c r="L1794" t="n">
        <v>49146</v>
      </c>
      <c r="M1794" t="n">
        <v>59000</v>
      </c>
      <c r="N1794" t="n">
        <v>91</v>
      </c>
      <c r="O1794" t="n">
        <v>0.91</v>
      </c>
      <c r="P1794" t="n">
        <v>1</v>
      </c>
      <c r="Q1794" t="n">
        <v>0.27</v>
      </c>
      <c r="R1794" t="n">
        <v>3</v>
      </c>
      <c r="S1794" t="n">
        <v>20939.1</v>
      </c>
      <c r="T1794" t="n">
        <v>14</v>
      </c>
      <c r="U1794" t="n">
        <v>15</v>
      </c>
      <c r="V1794" t="n">
        <v>30</v>
      </c>
      <c r="W1794" t="n">
        <v>11</v>
      </c>
      <c r="X1794" t="n">
        <v>5.635390250774865</v>
      </c>
      <c r="Y1794" t="n">
        <v>1</v>
      </c>
      <c r="Z1794" t="n">
        <v>9</v>
      </c>
      <c r="AA1794" t="n">
        <v>0</v>
      </c>
      <c r="AB1794" t="n">
        <v>9</v>
      </c>
      <c r="AC1794" t="n">
        <v>9</v>
      </c>
      <c r="AD1794" t="n">
        <v>0</v>
      </c>
      <c r="AE1794" t="n">
        <v>442314</v>
      </c>
      <c r="AF1794" t="n">
        <v>10667</v>
      </c>
      <c r="AG1794" t="n">
        <v>2378</v>
      </c>
      <c r="AH1794" t="inlineStr">
        <is>
          <t>PT. KURNIA MAJU PERKASA - PPN (PDG)</t>
        </is>
      </c>
      <c r="AI1794" t="n">
        <v>1638</v>
      </c>
      <c r="AJ1794" t="inlineStr">
        <is>
          <t>GLAD2GLOW</t>
        </is>
      </c>
      <c r="AK1794" t="n">
        <v>21</v>
      </c>
      <c r="AL1794" t="inlineStr">
        <is>
          <t>Miss Glam Damar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GLAD2GLOW</t>
        </is>
      </c>
      <c r="B1795" s="2">
        <f>"20100181247"</f>
        <v/>
      </c>
      <c r="C1795" t="inlineStr">
        <is>
          <t>GLAD2GLOW Flawless Bluring Skin Tint 02 Praline 30gr</t>
        </is>
      </c>
      <c r="D1795" t="inlineStr">
        <is>
          <t>Miss Glam Damar</t>
        </is>
      </c>
      <c r="E1795" t="n">
        <v>16</v>
      </c>
      <c r="F1795" t="n">
        <v>0.6643</v>
      </c>
      <c r="G1795" t="n">
        <v>4.55</v>
      </c>
      <c r="H1795" t="n">
        <v>1</v>
      </c>
      <c r="I1795" t="n">
        <v>5</v>
      </c>
      <c r="J1795" t="n">
        <v>1</v>
      </c>
      <c r="K1795" t="n">
        <v>0</v>
      </c>
      <c r="L1795" t="n">
        <v>49146</v>
      </c>
      <c r="M1795" t="n">
        <v>59000</v>
      </c>
      <c r="N1795" t="n">
        <v>91</v>
      </c>
      <c r="O1795" t="n">
        <v>0.91</v>
      </c>
      <c r="P1795" t="n">
        <v>1</v>
      </c>
      <c r="Q1795" t="n">
        <v>0.29</v>
      </c>
      <c r="R1795" t="n">
        <v>4</v>
      </c>
      <c r="S1795" t="n">
        <v>39193.7</v>
      </c>
      <c r="T1795" t="n">
        <v>23</v>
      </c>
      <c r="U1795" t="n">
        <v>24</v>
      </c>
      <c r="V1795" t="n">
        <v>30</v>
      </c>
      <c r="W1795" t="n">
        <v>20</v>
      </c>
      <c r="X1795" t="n">
        <v>24.08550353755833</v>
      </c>
      <c r="Y1795" t="n">
        <v>1</v>
      </c>
      <c r="Z1795" t="n">
        <v>4</v>
      </c>
      <c r="AA1795" t="n">
        <v>0</v>
      </c>
      <c r="AB1795" t="n">
        <v>4</v>
      </c>
      <c r="AC1795" t="n">
        <v>4</v>
      </c>
      <c r="AD1795" t="n">
        <v>0</v>
      </c>
      <c r="AE1795" t="n">
        <v>196584</v>
      </c>
      <c r="AF1795" t="n">
        <v>10667</v>
      </c>
      <c r="AG1795" t="n">
        <v>2378</v>
      </c>
      <c r="AH1795" t="inlineStr">
        <is>
          <t>PT. KURNIA MAJU PERKASA - PPN (PDG)</t>
        </is>
      </c>
      <c r="AI1795" t="n">
        <v>1638</v>
      </c>
      <c r="AJ1795" t="inlineStr">
        <is>
          <t>GLAD2GLOW</t>
        </is>
      </c>
      <c r="AK1795" t="n">
        <v>21</v>
      </c>
      <c r="AL1795" t="inlineStr">
        <is>
          <t>Miss Glam Damar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GLAD2GLOW</t>
        </is>
      </c>
      <c r="B1796" s="2">
        <f>"20100181328"</f>
        <v/>
      </c>
      <c r="C1796" t="inlineStr">
        <is>
          <t>GLAD2GLOW Flawless Bluring Skin Tint 03 Custard 30gr</t>
        </is>
      </c>
      <c r="D1796" t="inlineStr">
        <is>
          <t>Miss Glam Damar</t>
        </is>
      </c>
      <c r="E1796" t="n">
        <v>0</v>
      </c>
      <c r="F1796" t="n">
        <v>0.6279</v>
      </c>
      <c r="G1796" t="n">
        <v>5.46</v>
      </c>
      <c r="H1796" t="n">
        <v>1</v>
      </c>
      <c r="I1796" t="n">
        <v>5</v>
      </c>
      <c r="J1796" t="n">
        <v>1</v>
      </c>
      <c r="K1796" t="n">
        <v>0</v>
      </c>
      <c r="L1796" t="n">
        <v>49146</v>
      </c>
      <c r="M1796" t="n">
        <v>59000</v>
      </c>
      <c r="N1796" t="n">
        <v>91</v>
      </c>
      <c r="O1796" t="n">
        <v>0.91</v>
      </c>
      <c r="P1796" t="n">
        <v>1</v>
      </c>
      <c r="Q1796" t="n">
        <v>0.38</v>
      </c>
      <c r="R1796" t="n">
        <v>3</v>
      </c>
      <c r="S1796" t="n">
        <v>37046.1</v>
      </c>
      <c r="T1796" t="n">
        <v>27</v>
      </c>
      <c r="U1796" t="n">
        <v>28</v>
      </c>
      <c r="V1796" t="n">
        <v>30</v>
      </c>
      <c r="W1796" t="n">
        <v>19</v>
      </c>
      <c r="X1796" t="n">
        <v>0</v>
      </c>
      <c r="Y1796" t="n">
        <v>1</v>
      </c>
      <c r="Z1796" t="n">
        <v>19</v>
      </c>
      <c r="AA1796" t="n">
        <v>4</v>
      </c>
      <c r="AB1796" t="n">
        <v>15</v>
      </c>
      <c r="AC1796" t="n">
        <v>15</v>
      </c>
      <c r="AD1796" t="n">
        <v>196584</v>
      </c>
      <c r="AE1796" t="n">
        <v>737190</v>
      </c>
      <c r="AF1796" t="n">
        <v>10667</v>
      </c>
      <c r="AG1796" t="n">
        <v>2378</v>
      </c>
      <c r="AH1796" t="inlineStr">
        <is>
          <t>PT. KURNIA MAJU PERKASA - PPN (PDG)</t>
        </is>
      </c>
      <c r="AI1796" t="n">
        <v>1638</v>
      </c>
      <c r="AJ1796" t="inlineStr">
        <is>
          <t>GLAD2GLOW</t>
        </is>
      </c>
      <c r="AK1796" t="n">
        <v>21</v>
      </c>
      <c r="AL1796" t="inlineStr">
        <is>
          <t>Miss Glam Damar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GLAD2GLOW</t>
        </is>
      </c>
      <c r="B1797" s="2">
        <f>"20100181402"</f>
        <v/>
      </c>
      <c r="C1797" t="inlineStr">
        <is>
          <t>GLAD2GLOW Flawless Bluring Skin Tint 04 Ginger 30gr</t>
        </is>
      </c>
      <c r="D1797" t="inlineStr">
        <is>
          <t>Miss Glam Damar</t>
        </is>
      </c>
      <c r="E1797" t="n">
        <v>1</v>
      </c>
      <c r="F1797" t="n">
        <v>0.1274</v>
      </c>
      <c r="G1797" t="n">
        <v>1.82</v>
      </c>
      <c r="H1797" t="n">
        <v>1</v>
      </c>
      <c r="I1797" t="n">
        <v>5</v>
      </c>
      <c r="J1797" t="n">
        <v>1</v>
      </c>
      <c r="K1797" t="n">
        <v>0</v>
      </c>
      <c r="L1797" t="n">
        <v>49147</v>
      </c>
      <c r="M1797" t="n">
        <v>59000</v>
      </c>
      <c r="N1797" t="n">
        <v>91</v>
      </c>
      <c r="O1797" t="n">
        <v>0.91</v>
      </c>
      <c r="P1797" t="n">
        <v>1</v>
      </c>
      <c r="Q1797" t="n">
        <v>0.08</v>
      </c>
      <c r="R1797" t="n">
        <v>1</v>
      </c>
      <c r="S1797" t="n">
        <v>7516.6</v>
      </c>
      <c r="T1797" t="n">
        <v>9</v>
      </c>
      <c r="U1797" t="n">
        <v>10</v>
      </c>
      <c r="V1797" t="n">
        <v>30</v>
      </c>
      <c r="W1797" t="n">
        <v>4</v>
      </c>
      <c r="X1797" t="n">
        <v>7.849293563579277</v>
      </c>
      <c r="Y1797" t="n">
        <v>1</v>
      </c>
      <c r="Z1797" t="n">
        <v>3</v>
      </c>
      <c r="AA1797" t="n">
        <v>0</v>
      </c>
      <c r="AB1797" t="n">
        <v>3</v>
      </c>
      <c r="AC1797" t="n">
        <v>3</v>
      </c>
      <c r="AD1797" t="n">
        <v>0</v>
      </c>
      <c r="AE1797" t="n">
        <v>147441</v>
      </c>
      <c r="AF1797" t="n">
        <v>10667</v>
      </c>
      <c r="AG1797" t="n">
        <v>2378</v>
      </c>
      <c r="AH1797" t="inlineStr">
        <is>
          <t>PT. KURNIA MAJU PERKASA - PPN (PDG)</t>
        </is>
      </c>
      <c r="AI1797" t="n">
        <v>1638</v>
      </c>
      <c r="AJ1797" t="inlineStr">
        <is>
          <t>GLAD2GLOW</t>
        </is>
      </c>
      <c r="AK1797" t="n">
        <v>21</v>
      </c>
      <c r="AL1797" t="inlineStr">
        <is>
          <t>Miss Glam Damar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GLAD2GLOW</t>
        </is>
      </c>
      <c r="B1798" s="2">
        <f>"8809618369576"</f>
        <v/>
      </c>
      <c r="C1798" t="inlineStr">
        <is>
          <t>GLAD2GLOW Jeju Tangerine Vita C Power Bright Glow Serum 17ml</t>
        </is>
      </c>
      <c r="D1798" t="inlineStr">
        <is>
          <t>Miss Glam Damar</t>
        </is>
      </c>
      <c r="E1798" t="n">
        <v>0</v>
      </c>
      <c r="F1798" t="n">
        <v>0.0728</v>
      </c>
      <c r="G1798" t="n">
        <v>0.91</v>
      </c>
      <c r="H1798" t="n">
        <v>1</v>
      </c>
      <c r="I1798" t="n">
        <v>5</v>
      </c>
      <c r="J1798" t="n">
        <v>3</v>
      </c>
      <c r="K1798" t="n">
        <v>0</v>
      </c>
      <c r="L1798" t="n">
        <v>37485</v>
      </c>
      <c r="M1798" t="n">
        <v>51500</v>
      </c>
      <c r="N1798" t="n">
        <v>91</v>
      </c>
      <c r="O1798" t="n">
        <v>0.91</v>
      </c>
      <c r="P1798" t="n">
        <v>1</v>
      </c>
      <c r="Q1798" t="n">
        <v>0.17</v>
      </c>
      <c r="R1798" t="n">
        <v>1</v>
      </c>
      <c r="S1798" t="n">
        <v>3749.2</v>
      </c>
      <c r="T1798" t="n">
        <v>5</v>
      </c>
      <c r="U1798" t="n">
        <v>6</v>
      </c>
      <c r="V1798" t="n">
        <v>30</v>
      </c>
      <c r="W1798" t="n">
        <v>3</v>
      </c>
      <c r="X1798" t="n">
        <v>0</v>
      </c>
      <c r="Y1798" t="n">
        <v>1</v>
      </c>
      <c r="Z1798" t="n">
        <v>3</v>
      </c>
      <c r="AA1798" t="n">
        <v>1</v>
      </c>
      <c r="AB1798" t="n">
        <v>2</v>
      </c>
      <c r="AC1798" t="n">
        <v>3</v>
      </c>
      <c r="AD1798" t="n">
        <v>37485</v>
      </c>
      <c r="AE1798" t="n">
        <v>112455</v>
      </c>
      <c r="AF1798" t="n">
        <v>10667</v>
      </c>
      <c r="AG1798" t="n">
        <v>2378</v>
      </c>
      <c r="AH1798" t="inlineStr">
        <is>
          <t>PT. KURNIA MAJU PERKASA - PPN (PDG)</t>
        </is>
      </c>
      <c r="AI1798" t="n">
        <v>1638</v>
      </c>
      <c r="AJ1798" t="inlineStr">
        <is>
          <t>GLAD2GLOW</t>
        </is>
      </c>
      <c r="AK1798" t="n">
        <v>21</v>
      </c>
      <c r="AL1798" t="inlineStr">
        <is>
          <t>Miss Glam Damar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GLAD2GLOW</t>
        </is>
      </c>
      <c r="B1799" s="2">
        <f>"10300613403"</f>
        <v/>
      </c>
      <c r="C1799" t="inlineStr">
        <is>
          <t>GLAD2GLOW Kiwi 3d Acid Moisturizer 100ml</t>
        </is>
      </c>
      <c r="D1799" t="inlineStr">
        <is>
          <t>Miss Glam Damar</t>
        </is>
      </c>
      <c r="E1799" t="n">
        <v>7</v>
      </c>
      <c r="F1799" t="n">
        <v>0.0273</v>
      </c>
      <c r="G1799" t="n">
        <v>0.91</v>
      </c>
      <c r="H1799" t="n">
        <v>1</v>
      </c>
      <c r="I1799" t="n">
        <v>5</v>
      </c>
      <c r="J1799" t="n">
        <v>1</v>
      </c>
      <c r="K1799" t="n">
        <v>0</v>
      </c>
      <c r="L1799" t="n">
        <v>82467</v>
      </c>
      <c r="M1799" t="n">
        <v>99000</v>
      </c>
      <c r="N1799" t="n">
        <v>91</v>
      </c>
      <c r="O1799" t="n">
        <v>0.91</v>
      </c>
      <c r="P1799" t="n">
        <v>1</v>
      </c>
      <c r="Q1799" t="n">
        <v>0.08</v>
      </c>
      <c r="R1799" t="n">
        <v>2</v>
      </c>
      <c r="S1799" t="n">
        <v>2702.7</v>
      </c>
      <c r="T1799" t="n">
        <v>5</v>
      </c>
      <c r="U1799" t="n">
        <v>6</v>
      </c>
      <c r="V1799" t="n">
        <v>30</v>
      </c>
      <c r="W1799" t="n">
        <v>1</v>
      </c>
      <c r="X1799" t="n">
        <v>256.4102564102564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10667</v>
      </c>
      <c r="AG1799" t="n">
        <v>2378</v>
      </c>
      <c r="AH1799" t="inlineStr">
        <is>
          <t>PT. KURNIA MAJU PERKASA - PPN (PDG)</t>
        </is>
      </c>
      <c r="AI1799" t="n">
        <v>1638</v>
      </c>
      <c r="AJ1799" t="inlineStr">
        <is>
          <t>GLAD2GLOW</t>
        </is>
      </c>
      <c r="AK1799" t="n">
        <v>21</v>
      </c>
      <c r="AL1799" t="inlineStr">
        <is>
          <t>Miss Glam Damar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GLAD2GLOW</t>
        </is>
      </c>
      <c r="B1800" s="2">
        <f>"8809673489028"</f>
        <v/>
      </c>
      <c r="C1800" t="inlineStr">
        <is>
          <t>GLAD2GLOW Lash &amp; Brow Intense Serum 4.5ml</t>
        </is>
      </c>
      <c r="D1800" t="inlineStr">
        <is>
          <t>Miss Glam Damar</t>
        </is>
      </c>
      <c r="E1800" t="n">
        <v>5</v>
      </c>
      <c r="F1800" t="n">
        <v>0.182</v>
      </c>
      <c r="G1800" t="n">
        <v>1.82</v>
      </c>
      <c r="H1800" t="n">
        <v>1</v>
      </c>
      <c r="I1800" t="n">
        <v>5</v>
      </c>
      <c r="J1800" t="n">
        <v>3</v>
      </c>
      <c r="K1800" t="n">
        <v>0</v>
      </c>
      <c r="L1800" t="n">
        <v>40817</v>
      </c>
      <c r="M1800" t="n">
        <v>51500</v>
      </c>
      <c r="N1800" t="n">
        <v>91</v>
      </c>
      <c r="O1800" t="n">
        <v>0.91</v>
      </c>
      <c r="P1800" t="n">
        <v>1</v>
      </c>
      <c r="Q1800" t="n">
        <v>0.17</v>
      </c>
      <c r="R1800" t="n">
        <v>2</v>
      </c>
      <c r="S1800" t="n">
        <v>9373.000000000002</v>
      </c>
      <c r="T1800" t="n">
        <v>9</v>
      </c>
      <c r="U1800" t="n">
        <v>10</v>
      </c>
      <c r="V1800" t="n">
        <v>30</v>
      </c>
      <c r="W1800" t="n">
        <v>6</v>
      </c>
      <c r="X1800" t="n">
        <v>27.47252747252747</v>
      </c>
      <c r="Y1800" t="n">
        <v>1</v>
      </c>
      <c r="Z1800" t="n">
        <v>1</v>
      </c>
      <c r="AA1800" t="n">
        <v>0</v>
      </c>
      <c r="AB1800" t="n">
        <v>1</v>
      </c>
      <c r="AC1800" t="n">
        <v>3</v>
      </c>
      <c r="AD1800" t="n">
        <v>0</v>
      </c>
      <c r="AE1800" t="n">
        <v>122451</v>
      </c>
      <c r="AF1800" t="n">
        <v>10667</v>
      </c>
      <c r="AG1800" t="n">
        <v>2378</v>
      </c>
      <c r="AH1800" t="inlineStr">
        <is>
          <t>PT. KURNIA MAJU PERKASA - PPN (PDG)</t>
        </is>
      </c>
      <c r="AI1800" t="n">
        <v>1638</v>
      </c>
      <c r="AJ1800" t="inlineStr">
        <is>
          <t>GLAD2GLOW</t>
        </is>
      </c>
      <c r="AK1800" t="n">
        <v>21</v>
      </c>
      <c r="AL1800" t="inlineStr">
        <is>
          <t>Miss Glam Damar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GLAD2GLOW</t>
        </is>
      </c>
      <c r="B1801" s="2">
        <f>"101001116146"</f>
        <v/>
      </c>
      <c r="C1801" t="inlineStr">
        <is>
          <t>GLAD2GLOW Low PH 5.5 Gentle Facial Wash 70ml</t>
        </is>
      </c>
      <c r="D1801" t="inlineStr">
        <is>
          <t>Miss Glam Damar</t>
        </is>
      </c>
      <c r="E1801" t="n">
        <v>12</v>
      </c>
      <c r="F1801" t="n">
        <v>0.2821</v>
      </c>
      <c r="G1801" t="n">
        <v>1.82</v>
      </c>
      <c r="H1801" t="n">
        <v>1</v>
      </c>
      <c r="I1801" t="n">
        <v>5</v>
      </c>
      <c r="J1801" t="n">
        <v>1</v>
      </c>
      <c r="K1801" t="n">
        <v>0</v>
      </c>
      <c r="L1801" t="n">
        <v>32486</v>
      </c>
      <c r="M1801" t="n">
        <v>39000</v>
      </c>
      <c r="N1801" t="n">
        <v>91</v>
      </c>
      <c r="O1801" t="n">
        <v>0.91</v>
      </c>
      <c r="P1801" t="n">
        <v>1</v>
      </c>
      <c r="Q1801" t="n">
        <v>0.2</v>
      </c>
      <c r="R1801" t="n">
        <v>2</v>
      </c>
      <c r="S1801" t="n">
        <v>11001.9</v>
      </c>
      <c r="T1801" t="n">
        <v>9</v>
      </c>
      <c r="U1801" t="n">
        <v>10</v>
      </c>
      <c r="V1801" t="n">
        <v>30</v>
      </c>
      <c r="W1801" t="n">
        <v>9</v>
      </c>
      <c r="X1801" t="n">
        <v>42.53810705423609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10667</v>
      </c>
      <c r="AG1801" t="n">
        <v>2378</v>
      </c>
      <c r="AH1801" t="inlineStr">
        <is>
          <t>PT. KURNIA MAJU PERKASA - PPN (PDG)</t>
        </is>
      </c>
      <c r="AI1801" t="n">
        <v>1638</v>
      </c>
      <c r="AJ1801" t="inlineStr">
        <is>
          <t>GLAD2GLOW</t>
        </is>
      </c>
      <c r="AK1801" t="n">
        <v>21</v>
      </c>
      <c r="AL1801" t="inlineStr">
        <is>
          <t>Miss Glam Damar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GLAD2GLOW</t>
        </is>
      </c>
      <c r="B1802" s="2">
        <f>"10100204728"</f>
        <v/>
      </c>
      <c r="C1802" t="inlineStr">
        <is>
          <t>GLAD2GLOW Madagascar Centella Asiatica Cleansing Oil 100ml</t>
        </is>
      </c>
      <c r="D1802" t="inlineStr">
        <is>
          <t>Miss Glam Damar</t>
        </is>
      </c>
      <c r="E1802" t="n">
        <v>47</v>
      </c>
      <c r="F1802" t="n">
        <v>4.0677</v>
      </c>
      <c r="G1802" t="n">
        <v>10.92</v>
      </c>
      <c r="H1802" t="n">
        <v>1</v>
      </c>
      <c r="I1802" t="n">
        <v>5</v>
      </c>
      <c r="J1802" t="n">
        <v>1</v>
      </c>
      <c r="K1802" t="n">
        <v>0</v>
      </c>
      <c r="L1802" t="n">
        <v>49147</v>
      </c>
      <c r="M1802" t="n">
        <v>58000</v>
      </c>
      <c r="N1802" t="n">
        <v>91</v>
      </c>
      <c r="O1802" t="n">
        <v>0.91</v>
      </c>
      <c r="P1802" t="n">
        <v>1</v>
      </c>
      <c r="Q1802" t="n">
        <v>3.1</v>
      </c>
      <c r="R1802" t="n">
        <v>10</v>
      </c>
      <c r="S1802" t="n">
        <v>235926.6</v>
      </c>
      <c r="T1802" t="n">
        <v>51</v>
      </c>
      <c r="U1802" t="n">
        <v>56</v>
      </c>
      <c r="V1802" t="n">
        <v>30</v>
      </c>
      <c r="W1802" t="n">
        <v>123</v>
      </c>
      <c r="X1802" t="n">
        <v>11.55444108464243</v>
      </c>
      <c r="Y1802" t="n">
        <v>1</v>
      </c>
      <c r="Z1802" t="n">
        <v>76</v>
      </c>
      <c r="AA1802" t="n">
        <v>0</v>
      </c>
      <c r="AB1802" t="n">
        <v>76</v>
      </c>
      <c r="AC1802" t="n">
        <v>76</v>
      </c>
      <c r="AD1802" t="n">
        <v>0</v>
      </c>
      <c r="AE1802" t="n">
        <v>3735172</v>
      </c>
      <c r="AF1802" t="n">
        <v>10667</v>
      </c>
      <c r="AG1802" t="n">
        <v>2378</v>
      </c>
      <c r="AH1802" t="inlineStr">
        <is>
          <t>PT. KURNIA MAJU PERKASA - PPN (PDG)</t>
        </is>
      </c>
      <c r="AI1802" t="n">
        <v>1638</v>
      </c>
      <c r="AJ1802" t="inlineStr">
        <is>
          <t>GLAD2GLOW</t>
        </is>
      </c>
      <c r="AK1802" t="n">
        <v>21</v>
      </c>
      <c r="AL1802" t="inlineStr">
        <is>
          <t>Miss Glam Damar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GLAD2GLOW</t>
        </is>
      </c>
      <c r="B1803" s="2">
        <f>"10100204856"</f>
        <v/>
      </c>
      <c r="C1803" t="inlineStr">
        <is>
          <t>GLAD2GLOW Madagascar Centella Asiatica Cleansing Oil 200ml</t>
        </is>
      </c>
      <c r="D1803" t="inlineStr">
        <is>
          <t>Miss Glam Damar</t>
        </is>
      </c>
      <c r="E1803" t="n">
        <v>12</v>
      </c>
      <c r="F1803" t="n">
        <v>0.4004</v>
      </c>
      <c r="G1803" t="n">
        <v>1.82</v>
      </c>
      <c r="H1803" t="n">
        <v>1</v>
      </c>
      <c r="I1803" t="n">
        <v>5</v>
      </c>
      <c r="J1803" t="n">
        <v>1</v>
      </c>
      <c r="K1803" t="n">
        <v>0</v>
      </c>
      <c r="L1803" t="n">
        <v>82466</v>
      </c>
      <c r="M1803" t="n">
        <v>97500</v>
      </c>
      <c r="N1803" t="n">
        <v>91</v>
      </c>
      <c r="O1803" t="n">
        <v>0.91</v>
      </c>
      <c r="P1803" t="n">
        <v>1</v>
      </c>
      <c r="Q1803" t="n">
        <v>0.29</v>
      </c>
      <c r="R1803" t="n">
        <v>2</v>
      </c>
      <c r="S1803" t="n">
        <v>39039</v>
      </c>
      <c r="T1803" t="n">
        <v>9</v>
      </c>
      <c r="U1803" t="n">
        <v>10</v>
      </c>
      <c r="V1803" t="n">
        <v>30</v>
      </c>
      <c r="W1803" t="n">
        <v>13</v>
      </c>
      <c r="X1803" t="n">
        <v>29.97002997002997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10667</v>
      </c>
      <c r="AG1803" t="n">
        <v>2378</v>
      </c>
      <c r="AH1803" t="inlineStr">
        <is>
          <t>PT. KURNIA MAJU PERKASA - PPN (PDG)</t>
        </is>
      </c>
      <c r="AI1803" t="n">
        <v>1638</v>
      </c>
      <c r="AJ1803" t="inlineStr">
        <is>
          <t>GLAD2GLOW</t>
        </is>
      </c>
      <c r="AK1803" t="n">
        <v>21</v>
      </c>
      <c r="AL1803" t="inlineStr">
        <is>
          <t>Miss Glam Damar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GLAD2GLOW</t>
        </is>
      </c>
      <c r="B1804" s="2">
        <f>"101001116350"</f>
        <v/>
      </c>
      <c r="C1804" t="inlineStr">
        <is>
          <t>GLAD2GLOW Matcha Salicylic Acid Acne Cleanser 150ml</t>
        </is>
      </c>
      <c r="D1804" t="inlineStr">
        <is>
          <t>Miss Glam Damar</t>
        </is>
      </c>
      <c r="E1804" t="n">
        <v>8</v>
      </c>
      <c r="F1804" t="n">
        <v>0.4277</v>
      </c>
      <c r="G1804" t="n">
        <v>3.64</v>
      </c>
      <c r="H1804" t="n">
        <v>1</v>
      </c>
      <c r="I1804" t="n">
        <v>5</v>
      </c>
      <c r="J1804" t="n">
        <v>1</v>
      </c>
      <c r="K1804" t="n">
        <v>0</v>
      </c>
      <c r="L1804" t="n">
        <v>32486</v>
      </c>
      <c r="M1804" t="n">
        <v>45000</v>
      </c>
      <c r="N1804" t="n">
        <v>91</v>
      </c>
      <c r="O1804" t="n">
        <v>0.91</v>
      </c>
      <c r="P1804" t="n">
        <v>1</v>
      </c>
      <c r="Q1804" t="n">
        <v>0.27</v>
      </c>
      <c r="R1804" t="n">
        <v>2</v>
      </c>
      <c r="S1804" t="n">
        <v>19246.5</v>
      </c>
      <c r="T1804" t="n">
        <v>18</v>
      </c>
      <c r="U1804" t="n">
        <v>19</v>
      </c>
      <c r="V1804" t="n">
        <v>30</v>
      </c>
      <c r="W1804" t="n">
        <v>13</v>
      </c>
      <c r="X1804" t="n">
        <v>18.70469955576339</v>
      </c>
      <c r="Y1804" t="n">
        <v>1</v>
      </c>
      <c r="Z1804" t="n">
        <v>5</v>
      </c>
      <c r="AA1804" t="n">
        <v>0</v>
      </c>
      <c r="AB1804" t="n">
        <v>5</v>
      </c>
      <c r="AC1804" t="n">
        <v>5</v>
      </c>
      <c r="AD1804" t="n">
        <v>0</v>
      </c>
      <c r="AE1804" t="n">
        <v>162430</v>
      </c>
      <c r="AF1804" t="n">
        <v>10667</v>
      </c>
      <c r="AG1804" t="n">
        <v>2378</v>
      </c>
      <c r="AH1804" t="inlineStr">
        <is>
          <t>PT. KURNIA MAJU PERKASA - PPN (PDG)</t>
        </is>
      </c>
      <c r="AI1804" t="n">
        <v>1638</v>
      </c>
      <c r="AJ1804" t="inlineStr">
        <is>
          <t>GLAD2GLOW</t>
        </is>
      </c>
      <c r="AK1804" t="n">
        <v>21</v>
      </c>
      <c r="AL1804" t="inlineStr">
        <is>
          <t>Miss Glam Damar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GLAD2GLOW</t>
        </is>
      </c>
      <c r="B1805" s="2">
        <f>"8809665287342"</f>
        <v/>
      </c>
      <c r="C1805" t="inlineStr">
        <is>
          <t>GLAD2GLOW Milk Amino Acids Gentle Cleanser 80ml</t>
        </is>
      </c>
      <c r="D1805" t="inlineStr">
        <is>
          <t>Miss Glam Damar</t>
        </is>
      </c>
      <c r="E1805" t="n">
        <v>59</v>
      </c>
      <c r="F1805" t="n">
        <v>4.686500000000001</v>
      </c>
      <c r="G1805" t="n">
        <v>12.74</v>
      </c>
      <c r="H1805" t="n">
        <v>1</v>
      </c>
      <c r="I1805" t="n">
        <v>5</v>
      </c>
      <c r="J1805" t="n">
        <v>3</v>
      </c>
      <c r="K1805" t="n">
        <v>0</v>
      </c>
      <c r="L1805" t="n">
        <v>34986</v>
      </c>
      <c r="M1805" t="n">
        <v>42000</v>
      </c>
      <c r="N1805" t="n">
        <v>91</v>
      </c>
      <c r="O1805" t="n">
        <v>0.91</v>
      </c>
      <c r="P1805" t="n">
        <v>1</v>
      </c>
      <c r="Q1805" t="n">
        <v>3.12</v>
      </c>
      <c r="R1805" t="n">
        <v>11</v>
      </c>
      <c r="S1805" t="n">
        <v>196833</v>
      </c>
      <c r="T1805" t="n">
        <v>60</v>
      </c>
      <c r="U1805" t="n">
        <v>65</v>
      </c>
      <c r="V1805" t="n">
        <v>30</v>
      </c>
      <c r="W1805" t="n">
        <v>141</v>
      </c>
      <c r="X1805" t="n">
        <v>12.58935239517764</v>
      </c>
      <c r="Y1805" t="n">
        <v>1</v>
      </c>
      <c r="Z1805" t="n">
        <v>82</v>
      </c>
      <c r="AA1805" t="n">
        <v>0</v>
      </c>
      <c r="AB1805" t="n">
        <v>82</v>
      </c>
      <c r="AC1805" t="n">
        <v>82</v>
      </c>
      <c r="AD1805" t="n">
        <v>0</v>
      </c>
      <c r="AE1805" t="n">
        <v>2868852</v>
      </c>
      <c r="AF1805" t="n">
        <v>10667</v>
      </c>
      <c r="AG1805" t="n">
        <v>2378</v>
      </c>
      <c r="AH1805" t="inlineStr">
        <is>
          <t>PT. KURNIA MAJU PERKASA - PPN (PDG)</t>
        </is>
      </c>
      <c r="AI1805" t="n">
        <v>1638</v>
      </c>
      <c r="AJ1805" t="inlineStr">
        <is>
          <t>GLAD2GLOW</t>
        </is>
      </c>
      <c r="AK1805" t="n">
        <v>21</v>
      </c>
      <c r="AL1805" t="inlineStr">
        <is>
          <t>Miss Glam Damar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GLAD2GLOW</t>
        </is>
      </c>
      <c r="B1806" s="2">
        <f>"8809639478325"</f>
        <v/>
      </c>
      <c r="C1806" t="inlineStr">
        <is>
          <t>GLAD2GLOW Mix Berry Juicy Lip Serum 5.5ml</t>
        </is>
      </c>
      <c r="D1806" t="inlineStr">
        <is>
          <t>Miss Glam Damar</t>
        </is>
      </c>
      <c r="E1806" t="n">
        <v>7</v>
      </c>
      <c r="F1806" t="n">
        <v>0.3731</v>
      </c>
      <c r="G1806" t="n">
        <v>2.73</v>
      </c>
      <c r="H1806" t="n">
        <v>1</v>
      </c>
      <c r="I1806" t="n">
        <v>5</v>
      </c>
      <c r="J1806" t="n">
        <v>3</v>
      </c>
      <c r="K1806" t="n">
        <v>0</v>
      </c>
      <c r="L1806" t="n">
        <v>40816</v>
      </c>
      <c r="M1806" t="n">
        <v>52500</v>
      </c>
      <c r="N1806" t="n">
        <v>91</v>
      </c>
      <c r="O1806" t="n">
        <v>0.91</v>
      </c>
      <c r="P1806" t="n">
        <v>1</v>
      </c>
      <c r="Q1806" t="n">
        <v>0.12</v>
      </c>
      <c r="R1806" t="n">
        <v>2</v>
      </c>
      <c r="S1806" t="n">
        <v>19587.75</v>
      </c>
      <c r="T1806" t="n">
        <v>14</v>
      </c>
      <c r="U1806" t="n">
        <v>15</v>
      </c>
      <c r="V1806" t="n">
        <v>30</v>
      </c>
      <c r="W1806" t="n">
        <v>12</v>
      </c>
      <c r="X1806" t="n">
        <v>18.76172607879925</v>
      </c>
      <c r="Y1806" t="n">
        <v>1</v>
      </c>
      <c r="Z1806" t="n">
        <v>5</v>
      </c>
      <c r="AA1806" t="n">
        <v>0</v>
      </c>
      <c r="AB1806" t="n">
        <v>5</v>
      </c>
      <c r="AC1806" t="n">
        <v>5</v>
      </c>
      <c r="AD1806" t="n">
        <v>0</v>
      </c>
      <c r="AE1806" t="n">
        <v>204080</v>
      </c>
      <c r="AF1806" t="n">
        <v>10667</v>
      </c>
      <c r="AG1806" t="n">
        <v>2378</v>
      </c>
      <c r="AH1806" t="inlineStr">
        <is>
          <t>PT. KURNIA MAJU PERKASA - PPN (PDG)</t>
        </is>
      </c>
      <c r="AI1806" t="n">
        <v>1638</v>
      </c>
      <c r="AJ1806" t="inlineStr">
        <is>
          <t>GLAD2GLOW</t>
        </is>
      </c>
      <c r="AK1806" t="n">
        <v>21</v>
      </c>
      <c r="AL1806" t="inlineStr">
        <is>
          <t>Miss Glam Damar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GLAD2GLOW</t>
        </is>
      </c>
      <c r="B1807" s="2">
        <f>"10500210212"</f>
        <v/>
      </c>
      <c r="C1807" t="inlineStr">
        <is>
          <t>GLAD2GLOW Mugwort Acne Gel Mask 50gr</t>
        </is>
      </c>
      <c r="D1807" t="inlineStr">
        <is>
          <t>Miss Glam Damar</t>
        </is>
      </c>
      <c r="E1807" t="n">
        <v>27</v>
      </c>
      <c r="F1807" t="n">
        <v>2.7118</v>
      </c>
      <c r="G1807" t="n">
        <v>6.37</v>
      </c>
      <c r="H1807" t="n">
        <v>1</v>
      </c>
      <c r="I1807" t="n">
        <v>5</v>
      </c>
      <c r="J1807" t="n">
        <v>1</v>
      </c>
      <c r="K1807" t="n">
        <v>0</v>
      </c>
      <c r="L1807" t="n">
        <v>32487</v>
      </c>
      <c r="M1807" t="n">
        <v>45000</v>
      </c>
      <c r="N1807" t="n">
        <v>91</v>
      </c>
      <c r="O1807" t="n">
        <v>0.91</v>
      </c>
      <c r="P1807" t="n">
        <v>1</v>
      </c>
      <c r="Q1807" t="n">
        <v>1.75</v>
      </c>
      <c r="R1807" t="n">
        <v>9</v>
      </c>
      <c r="S1807" t="n">
        <v>122031</v>
      </c>
      <c r="T1807" t="n">
        <v>30</v>
      </c>
      <c r="U1807" t="n">
        <v>33</v>
      </c>
      <c r="V1807" t="n">
        <v>30</v>
      </c>
      <c r="W1807" t="n">
        <v>82</v>
      </c>
      <c r="X1807" t="n">
        <v>9.95648646655358</v>
      </c>
      <c r="Y1807" t="n">
        <v>1</v>
      </c>
      <c r="Z1807" t="n">
        <v>55</v>
      </c>
      <c r="AA1807" t="n">
        <v>0</v>
      </c>
      <c r="AB1807" t="n">
        <v>55</v>
      </c>
      <c r="AC1807" t="n">
        <v>55</v>
      </c>
      <c r="AD1807" t="n">
        <v>0</v>
      </c>
      <c r="AE1807" t="n">
        <v>1786785</v>
      </c>
      <c r="AF1807" t="n">
        <v>10667</v>
      </c>
      <c r="AG1807" t="n">
        <v>2378</v>
      </c>
      <c r="AH1807" t="inlineStr">
        <is>
          <t>PT. KURNIA MAJU PERKASA - PPN (PDG)</t>
        </is>
      </c>
      <c r="AI1807" t="n">
        <v>1638</v>
      </c>
      <c r="AJ1807" t="inlineStr">
        <is>
          <t>GLAD2GLOW</t>
        </is>
      </c>
      <c r="AK1807" t="n">
        <v>21</v>
      </c>
      <c r="AL1807" t="inlineStr">
        <is>
          <t>Miss Glam Damar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GLAD2GLOW</t>
        </is>
      </c>
      <c r="B1808" s="2">
        <f>"8809617856398"</f>
        <v/>
      </c>
      <c r="C1808" t="inlineStr">
        <is>
          <t>GLAD2GLOW Mugwort Salicylic Acid Acne Clay Stick Refines Pores 25gr</t>
        </is>
      </c>
      <c r="D1808" t="inlineStr">
        <is>
          <t>Miss Glam Damar</t>
        </is>
      </c>
      <c r="E1808" t="n">
        <v>26</v>
      </c>
      <c r="F1808" t="n">
        <v>1.9565</v>
      </c>
      <c r="G1808" t="n">
        <v>6.37</v>
      </c>
      <c r="H1808" t="n">
        <v>1</v>
      </c>
      <c r="I1808" t="n">
        <v>5</v>
      </c>
      <c r="J1808" t="n">
        <v>3</v>
      </c>
      <c r="K1808" t="n">
        <v>0</v>
      </c>
      <c r="L1808" t="n">
        <v>37485</v>
      </c>
      <c r="M1808" t="n">
        <v>45000</v>
      </c>
      <c r="N1808" t="n">
        <v>91</v>
      </c>
      <c r="O1808" t="n">
        <v>0.91</v>
      </c>
      <c r="P1808" t="n">
        <v>1</v>
      </c>
      <c r="Q1808" t="n">
        <v>1.27</v>
      </c>
      <c r="R1808" t="n">
        <v>4</v>
      </c>
      <c r="S1808" t="n">
        <v>88042.5</v>
      </c>
      <c r="T1808" t="n">
        <v>30</v>
      </c>
      <c r="U1808" t="n">
        <v>32</v>
      </c>
      <c r="V1808" t="n">
        <v>30</v>
      </c>
      <c r="W1808" t="n">
        <v>59</v>
      </c>
      <c r="X1808" t="n">
        <v>13.2890365448505</v>
      </c>
      <c r="Y1808" t="n">
        <v>1</v>
      </c>
      <c r="Z1808" t="n">
        <v>33</v>
      </c>
      <c r="AA1808" t="n">
        <v>0</v>
      </c>
      <c r="AB1808" t="n">
        <v>33</v>
      </c>
      <c r="AC1808" t="n">
        <v>33</v>
      </c>
      <c r="AD1808" t="n">
        <v>0</v>
      </c>
      <c r="AE1808" t="n">
        <v>1237005</v>
      </c>
      <c r="AF1808" t="n">
        <v>10667</v>
      </c>
      <c r="AG1808" t="n">
        <v>2378</v>
      </c>
      <c r="AH1808" t="inlineStr">
        <is>
          <t>PT. KURNIA MAJU PERKASA - PPN (PDG)</t>
        </is>
      </c>
      <c r="AI1808" t="n">
        <v>1638</v>
      </c>
      <c r="AJ1808" t="inlineStr">
        <is>
          <t>GLAD2GLOW</t>
        </is>
      </c>
      <c r="AK1808" t="n">
        <v>21</v>
      </c>
      <c r="AL1808" t="inlineStr">
        <is>
          <t>Miss Glam Damar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GLAD2GLOW</t>
        </is>
      </c>
      <c r="B1809" s="2">
        <f>"8809639407356"</f>
        <v/>
      </c>
      <c r="C1809" t="inlineStr">
        <is>
          <t>GLAD2GLOW Mugwort Salicylic Acid Acne Clear Micellar Water 130ml</t>
        </is>
      </c>
      <c r="D1809" t="inlineStr">
        <is>
          <t>Miss Glam Damar</t>
        </is>
      </c>
      <c r="E1809" t="n">
        <v>16</v>
      </c>
      <c r="F1809" t="n">
        <v>0.9373</v>
      </c>
      <c r="G1809" t="n">
        <v>2.73</v>
      </c>
      <c r="H1809" t="n">
        <v>1</v>
      </c>
      <c r="I1809" t="n">
        <v>5</v>
      </c>
      <c r="J1809" t="n">
        <v>3</v>
      </c>
      <c r="K1809" t="n">
        <v>0</v>
      </c>
      <c r="L1809" t="n">
        <v>24157</v>
      </c>
      <c r="M1809" t="n">
        <v>31000</v>
      </c>
      <c r="N1809" t="n">
        <v>91</v>
      </c>
      <c r="O1809" t="n">
        <v>0.91</v>
      </c>
      <c r="P1809" t="n">
        <v>1</v>
      </c>
      <c r="Q1809" t="n">
        <v>0.54</v>
      </c>
      <c r="R1809" t="n">
        <v>2</v>
      </c>
      <c r="S1809" t="n">
        <v>29056.3</v>
      </c>
      <c r="T1809" t="n">
        <v>13</v>
      </c>
      <c r="U1809" t="n">
        <v>14</v>
      </c>
      <c r="V1809" t="n">
        <v>30</v>
      </c>
      <c r="W1809" t="n">
        <v>29</v>
      </c>
      <c r="X1809" t="n">
        <v>17.07030833244426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10667</v>
      </c>
      <c r="AG1809" t="n">
        <v>2378</v>
      </c>
      <c r="AH1809" t="inlineStr">
        <is>
          <t>PT. KURNIA MAJU PERKASA - PPN (PDG)</t>
        </is>
      </c>
      <c r="AI1809" t="n">
        <v>1638</v>
      </c>
      <c r="AJ1809" t="inlineStr">
        <is>
          <t>GLAD2GLOW</t>
        </is>
      </c>
      <c r="AK1809" t="n">
        <v>21</v>
      </c>
      <c r="AL1809" t="inlineStr">
        <is>
          <t>Miss Glam Damar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GLAD2GLOW</t>
        </is>
      </c>
      <c r="B1810" s="2">
        <f>"10100721414"</f>
        <v/>
      </c>
      <c r="C1810" t="inlineStr">
        <is>
          <t>GLAD2GLOW Mugwort Salicylic Acid Acne Clear Micellar Water 300ml</t>
        </is>
      </c>
      <c r="D1810" t="inlineStr">
        <is>
          <t>Miss Glam Damar</t>
        </is>
      </c>
      <c r="E1810" t="n">
        <v>22</v>
      </c>
      <c r="F1810" t="n">
        <v>2.6208</v>
      </c>
      <c r="G1810" t="n">
        <v>6.37</v>
      </c>
      <c r="H1810" t="n">
        <v>1</v>
      </c>
      <c r="I1810" t="n">
        <v>5</v>
      </c>
      <c r="J1810" t="n">
        <v>1</v>
      </c>
      <c r="K1810" t="n">
        <v>0</v>
      </c>
      <c r="L1810" t="n">
        <v>40816</v>
      </c>
      <c r="M1810" t="n">
        <v>49000</v>
      </c>
      <c r="N1810" t="n">
        <v>91</v>
      </c>
      <c r="O1810" t="n">
        <v>0.91</v>
      </c>
      <c r="P1810" t="n">
        <v>1</v>
      </c>
      <c r="Q1810" t="n">
        <v>1.32</v>
      </c>
      <c r="R1810" t="n">
        <v>4</v>
      </c>
      <c r="S1810" t="n">
        <v>128419.2</v>
      </c>
      <c r="T1810" t="n">
        <v>30</v>
      </c>
      <c r="U1810" t="n">
        <v>33</v>
      </c>
      <c r="V1810" t="n">
        <v>30</v>
      </c>
      <c r="W1810" t="n">
        <v>79</v>
      </c>
      <c r="X1810" t="n">
        <v>8.394383394383395</v>
      </c>
      <c r="Y1810" t="n">
        <v>1</v>
      </c>
      <c r="Z1810" t="n">
        <v>57</v>
      </c>
      <c r="AA1810" t="n">
        <v>0</v>
      </c>
      <c r="AB1810" t="n">
        <v>57</v>
      </c>
      <c r="AC1810" t="n">
        <v>57</v>
      </c>
      <c r="AD1810" t="n">
        <v>0</v>
      </c>
      <c r="AE1810" t="n">
        <v>2326512</v>
      </c>
      <c r="AF1810" t="n">
        <v>10667</v>
      </c>
      <c r="AG1810" t="n">
        <v>2378</v>
      </c>
      <c r="AH1810" t="inlineStr">
        <is>
          <t>PT. KURNIA MAJU PERKASA - PPN (PDG)</t>
        </is>
      </c>
      <c r="AI1810" t="n">
        <v>1638</v>
      </c>
      <c r="AJ1810" t="inlineStr">
        <is>
          <t>GLAD2GLOW</t>
        </is>
      </c>
      <c r="AK1810" t="n">
        <v>21</v>
      </c>
      <c r="AL1810" t="inlineStr">
        <is>
          <t>Miss Glam Damar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GLAD2GLOW</t>
        </is>
      </c>
      <c r="B1811" s="2">
        <f>"10100725748"</f>
        <v/>
      </c>
      <c r="C1811" t="inlineStr">
        <is>
          <t>GLAD2GLOW Mugwort Salicylic Acid Micelar Water 230ml</t>
        </is>
      </c>
      <c r="D1811" t="inlineStr">
        <is>
          <t>Miss Glam Damar</t>
        </is>
      </c>
      <c r="E1811" t="n">
        <v>3</v>
      </c>
      <c r="F1811" t="n">
        <v>0.1092</v>
      </c>
      <c r="G1811" t="n">
        <v>0.91</v>
      </c>
      <c r="H1811" t="n">
        <v>1</v>
      </c>
      <c r="I1811" t="n">
        <v>5</v>
      </c>
      <c r="J1811" t="n">
        <v>1</v>
      </c>
      <c r="K1811" t="n">
        <v>0</v>
      </c>
      <c r="L1811" t="n">
        <v>32486</v>
      </c>
      <c r="M1811" t="n">
        <v>39000</v>
      </c>
      <c r="N1811" t="n">
        <v>91</v>
      </c>
      <c r="O1811" t="n">
        <v>0.91</v>
      </c>
      <c r="P1811" t="n">
        <v>1</v>
      </c>
      <c r="Q1811" t="n">
        <v>0.15</v>
      </c>
      <c r="R1811" t="n">
        <v>1</v>
      </c>
      <c r="S1811" t="n">
        <v>4258.8</v>
      </c>
      <c r="T1811" t="n">
        <v>5</v>
      </c>
      <c r="U1811" t="n">
        <v>6</v>
      </c>
      <c r="V1811" t="n">
        <v>30</v>
      </c>
      <c r="W1811" t="n">
        <v>4</v>
      </c>
      <c r="X1811" t="n">
        <v>27.47252747252747</v>
      </c>
      <c r="Y1811" t="n">
        <v>1</v>
      </c>
      <c r="Z1811" t="n">
        <v>1</v>
      </c>
      <c r="AA1811" t="n">
        <v>0</v>
      </c>
      <c r="AB1811" t="n">
        <v>1</v>
      </c>
      <c r="AC1811" t="n">
        <v>1</v>
      </c>
      <c r="AD1811" t="n">
        <v>0</v>
      </c>
      <c r="AE1811" t="n">
        <v>32486</v>
      </c>
      <c r="AF1811" t="n">
        <v>10667</v>
      </c>
      <c r="AG1811" t="n">
        <v>2378</v>
      </c>
      <c r="AH1811" t="inlineStr">
        <is>
          <t>PT. KURNIA MAJU PERKASA - PPN (PDG)</t>
        </is>
      </c>
      <c r="AI1811" t="n">
        <v>1638</v>
      </c>
      <c r="AJ1811" t="inlineStr">
        <is>
          <t>GLAD2GLOW</t>
        </is>
      </c>
      <c r="AK1811" t="n">
        <v>21</v>
      </c>
      <c r="AL1811" t="inlineStr">
        <is>
          <t>Miss Glam Damar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GLAD2GLOW</t>
        </is>
      </c>
      <c r="B1812" s="2">
        <f>"10300613522"</f>
        <v/>
      </c>
      <c r="C1812" t="inlineStr">
        <is>
          <t>GLAD2GLOW Peach Retinol Moisturizer 100ml</t>
        </is>
      </c>
      <c r="D1812" t="inlineStr">
        <is>
          <t>Miss Glam Damar</t>
        </is>
      </c>
      <c r="E1812" t="n">
        <v>5</v>
      </c>
      <c r="F1812" t="n">
        <v>0.06370000000000001</v>
      </c>
      <c r="G1812" t="n">
        <v>0.91</v>
      </c>
      <c r="H1812" t="n">
        <v>1</v>
      </c>
      <c r="I1812" t="n">
        <v>5</v>
      </c>
      <c r="J1812" t="n">
        <v>1</v>
      </c>
      <c r="K1812" t="n">
        <v>0</v>
      </c>
      <c r="L1812" t="n">
        <v>90789</v>
      </c>
      <c r="M1812" t="n">
        <v>109000</v>
      </c>
      <c r="N1812" t="n">
        <v>91</v>
      </c>
      <c r="O1812" t="n">
        <v>0.91</v>
      </c>
      <c r="P1812" t="n">
        <v>1</v>
      </c>
      <c r="Q1812" t="n">
        <v>0.02</v>
      </c>
      <c r="R1812" t="n">
        <v>1</v>
      </c>
      <c r="S1812" t="n">
        <v>6943.300000000001</v>
      </c>
      <c r="T1812" t="n">
        <v>5</v>
      </c>
      <c r="U1812" t="n">
        <v>6</v>
      </c>
      <c r="V1812" t="n">
        <v>30</v>
      </c>
      <c r="W1812" t="n">
        <v>2</v>
      </c>
      <c r="X1812" t="n">
        <v>78.49293563579278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10667</v>
      </c>
      <c r="AG1812" t="n">
        <v>2378</v>
      </c>
      <c r="AH1812" t="inlineStr">
        <is>
          <t>PT. KURNIA MAJU PERKASA - PPN (PDG)</t>
        </is>
      </c>
      <c r="AI1812" t="n">
        <v>1638</v>
      </c>
      <c r="AJ1812" t="inlineStr">
        <is>
          <t>GLAD2GLOW</t>
        </is>
      </c>
      <c r="AK1812" t="n">
        <v>21</v>
      </c>
      <c r="AL1812" t="inlineStr">
        <is>
          <t>Miss Glam Damar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GLAD2GLOW</t>
        </is>
      </c>
      <c r="B1813" s="2">
        <f>"8809652637891"</f>
        <v/>
      </c>
      <c r="C1813" t="inlineStr">
        <is>
          <t>GLAD2GLOW Peach retinol moisturizer 30gr</t>
        </is>
      </c>
      <c r="D1813" t="inlineStr">
        <is>
          <t>Miss Glam Damar</t>
        </is>
      </c>
      <c r="E1813" t="n">
        <v>84</v>
      </c>
      <c r="F1813" t="n">
        <v>5.9969</v>
      </c>
      <c r="G1813" t="n">
        <v>13.65</v>
      </c>
      <c r="H1813" t="n">
        <v>1</v>
      </c>
      <c r="I1813" t="n">
        <v>5</v>
      </c>
      <c r="J1813" t="n">
        <v>3</v>
      </c>
      <c r="K1813" t="n">
        <v>0</v>
      </c>
      <c r="L1813" t="n">
        <v>40816</v>
      </c>
      <c r="M1813" t="n">
        <v>49000</v>
      </c>
      <c r="N1813" t="n">
        <v>91</v>
      </c>
      <c r="O1813" t="n">
        <v>0.91</v>
      </c>
      <c r="P1813" t="n">
        <v>1</v>
      </c>
      <c r="Q1813" t="n">
        <v>3.88</v>
      </c>
      <c r="R1813" t="n">
        <v>13</v>
      </c>
      <c r="S1813" t="n">
        <v>293848.1</v>
      </c>
      <c r="T1813" t="n">
        <v>63</v>
      </c>
      <c r="U1813" t="n">
        <v>69</v>
      </c>
      <c r="V1813" t="n">
        <v>30</v>
      </c>
      <c r="W1813" t="n">
        <v>180</v>
      </c>
      <c r="X1813" t="n">
        <v>14.00723707248745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10667</v>
      </c>
      <c r="AG1813" t="n">
        <v>2378</v>
      </c>
      <c r="AH1813" t="inlineStr">
        <is>
          <t>PT. KURNIA MAJU PERKASA - PPN (PDG)</t>
        </is>
      </c>
      <c r="AI1813" t="n">
        <v>1638</v>
      </c>
      <c r="AJ1813" t="inlineStr">
        <is>
          <t>GLAD2GLOW</t>
        </is>
      </c>
      <c r="AK1813" t="n">
        <v>21</v>
      </c>
      <c r="AL1813" t="inlineStr">
        <is>
          <t>Miss Glam Damar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GLAD2GLOW</t>
        </is>
      </c>
      <c r="B1814" s="2">
        <f>"8809646665985"</f>
        <v/>
      </c>
      <c r="C1814" t="inlineStr">
        <is>
          <t>GLAD2GLOW Peach Retinol Serum 17ml</t>
        </is>
      </c>
      <c r="D1814" t="inlineStr">
        <is>
          <t>Miss Glam Damar</t>
        </is>
      </c>
      <c r="E1814" t="n">
        <v>21</v>
      </c>
      <c r="F1814" t="n">
        <v>1.7927</v>
      </c>
      <c r="G1814" t="n">
        <v>5.46</v>
      </c>
      <c r="H1814" t="n">
        <v>1</v>
      </c>
      <c r="I1814" t="n">
        <v>5</v>
      </c>
      <c r="J1814" t="n">
        <v>3</v>
      </c>
      <c r="K1814" t="n">
        <v>0</v>
      </c>
      <c r="L1814" t="n">
        <v>32621</v>
      </c>
      <c r="M1814" t="n">
        <v>49000</v>
      </c>
      <c r="N1814" t="n">
        <v>91</v>
      </c>
      <c r="O1814" t="n">
        <v>0.91</v>
      </c>
      <c r="P1814" t="n">
        <v>1</v>
      </c>
      <c r="Q1814" t="n">
        <v>1.17</v>
      </c>
      <c r="R1814" t="n">
        <v>5</v>
      </c>
      <c r="S1814" t="n">
        <v>87842.3</v>
      </c>
      <c r="T1814" t="n">
        <v>26</v>
      </c>
      <c r="U1814" t="n">
        <v>28</v>
      </c>
      <c r="V1814" t="n">
        <v>30</v>
      </c>
      <c r="W1814" t="n">
        <v>54</v>
      </c>
      <c r="X1814" t="n">
        <v>11.71417415072237</v>
      </c>
      <c r="Y1814" t="n">
        <v>1</v>
      </c>
      <c r="Z1814" t="n">
        <v>33</v>
      </c>
      <c r="AA1814" t="n">
        <v>0</v>
      </c>
      <c r="AB1814" t="n">
        <v>33</v>
      </c>
      <c r="AC1814" t="n">
        <v>33</v>
      </c>
      <c r="AD1814" t="n">
        <v>0</v>
      </c>
      <c r="AE1814" t="n">
        <v>1076493</v>
      </c>
      <c r="AF1814" t="n">
        <v>10667</v>
      </c>
      <c r="AG1814" t="n">
        <v>2378</v>
      </c>
      <c r="AH1814" t="inlineStr">
        <is>
          <t>PT. KURNIA MAJU PERKASA - PPN (PDG)</t>
        </is>
      </c>
      <c r="AI1814" t="n">
        <v>1638</v>
      </c>
      <c r="AJ1814" t="inlineStr">
        <is>
          <t>GLAD2GLOW</t>
        </is>
      </c>
      <c r="AK1814" t="n">
        <v>21</v>
      </c>
      <c r="AL1814" t="inlineStr">
        <is>
          <t>Miss Glam Damar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GLAD2GLOW</t>
        </is>
      </c>
      <c r="B1815" s="2">
        <f>"20100641256"</f>
        <v/>
      </c>
      <c r="C1815" t="inlineStr">
        <is>
          <t>GLAD2GLOW Perfect Blur &amp; Cover Loose Powder 00 Milkshake 7.5gr</t>
        </is>
      </c>
      <c r="D1815" t="inlineStr">
        <is>
          <t>Miss Glam Damar</t>
        </is>
      </c>
      <c r="E1815" t="n">
        <v>5</v>
      </c>
      <c r="F1815" t="n">
        <v>0.1365</v>
      </c>
      <c r="G1815" t="n">
        <v>0.91</v>
      </c>
      <c r="H1815" t="n">
        <v>1</v>
      </c>
      <c r="I1815" t="n">
        <v>5</v>
      </c>
      <c r="J1815" t="n">
        <v>1</v>
      </c>
      <c r="K1815" t="n">
        <v>0</v>
      </c>
      <c r="L1815" t="n">
        <v>70806</v>
      </c>
      <c r="M1815" t="n">
        <v>89000</v>
      </c>
      <c r="N1815" t="n">
        <v>91</v>
      </c>
      <c r="O1815" t="n">
        <v>0.91</v>
      </c>
      <c r="P1815" t="n">
        <v>1</v>
      </c>
      <c r="Q1815" t="n">
        <v>0.03</v>
      </c>
      <c r="R1815" t="n">
        <v>1</v>
      </c>
      <c r="S1815" t="n">
        <v>12148.5</v>
      </c>
      <c r="T1815" t="n">
        <v>5</v>
      </c>
      <c r="U1815" t="n">
        <v>6</v>
      </c>
      <c r="V1815" t="n">
        <v>30</v>
      </c>
      <c r="W1815" t="n">
        <v>5</v>
      </c>
      <c r="X1815" t="n">
        <v>36.63003663003663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10667</v>
      </c>
      <c r="AG1815" t="n">
        <v>2378</v>
      </c>
      <c r="AH1815" t="inlineStr">
        <is>
          <t>PT. KURNIA MAJU PERKASA - PPN (PDG)</t>
        </is>
      </c>
      <c r="AI1815" t="n">
        <v>1638</v>
      </c>
      <c r="AJ1815" t="inlineStr">
        <is>
          <t>GLAD2GLOW</t>
        </is>
      </c>
      <c r="AK1815" t="n">
        <v>21</v>
      </c>
      <c r="AL1815" t="inlineStr">
        <is>
          <t>Miss Glam Damar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GLAD2GLOW</t>
        </is>
      </c>
      <c r="B1816" s="2">
        <f>"20100641328"</f>
        <v/>
      </c>
      <c r="C1816" t="inlineStr">
        <is>
          <t>GLAD2GLOW Perfect Blur &amp; Cover Loose Powder 01 Marshmallow 7.5g</t>
        </is>
      </c>
      <c r="D1816" t="inlineStr">
        <is>
          <t>Miss Glam Damar</t>
        </is>
      </c>
      <c r="E1816" t="n">
        <v>4</v>
      </c>
      <c r="F1816" t="n">
        <v>0.1365</v>
      </c>
      <c r="G1816" t="n">
        <v>0.91</v>
      </c>
      <c r="H1816" t="n">
        <v>1</v>
      </c>
      <c r="I1816" t="n">
        <v>5</v>
      </c>
      <c r="J1816" t="n">
        <v>1</v>
      </c>
      <c r="K1816" t="n">
        <v>0</v>
      </c>
      <c r="L1816" t="n">
        <v>65809</v>
      </c>
      <c r="M1816" t="n">
        <v>89000</v>
      </c>
      <c r="N1816" t="n">
        <v>91</v>
      </c>
      <c r="O1816" t="n">
        <v>0.91</v>
      </c>
      <c r="P1816" t="n">
        <v>1</v>
      </c>
      <c r="Q1816" t="n">
        <v>0.17</v>
      </c>
      <c r="R1816" t="n">
        <v>2</v>
      </c>
      <c r="S1816" t="n">
        <v>12148.5</v>
      </c>
      <c r="T1816" t="n">
        <v>5</v>
      </c>
      <c r="U1816" t="n">
        <v>6</v>
      </c>
      <c r="V1816" t="n">
        <v>30</v>
      </c>
      <c r="W1816" t="n">
        <v>5</v>
      </c>
      <c r="X1816" t="n">
        <v>29.3040293040293</v>
      </c>
      <c r="Y1816" t="n">
        <v>1</v>
      </c>
      <c r="Z1816" t="n">
        <v>1</v>
      </c>
      <c r="AA1816" t="n">
        <v>0</v>
      </c>
      <c r="AB1816" t="n">
        <v>1</v>
      </c>
      <c r="AC1816" t="n">
        <v>1</v>
      </c>
      <c r="AD1816" t="n">
        <v>0</v>
      </c>
      <c r="AE1816" t="n">
        <v>65809</v>
      </c>
      <c r="AF1816" t="n">
        <v>10667</v>
      </c>
      <c r="AG1816" t="n">
        <v>2378</v>
      </c>
      <c r="AH1816" t="inlineStr">
        <is>
          <t>PT. KURNIA MAJU PERKASA - PPN (PDG)</t>
        </is>
      </c>
      <c r="AI1816" t="n">
        <v>1638</v>
      </c>
      <c r="AJ1816" t="inlineStr">
        <is>
          <t>GLAD2GLOW</t>
        </is>
      </c>
      <c r="AK1816" t="n">
        <v>21</v>
      </c>
      <c r="AL1816" t="inlineStr">
        <is>
          <t>Miss Glam Damar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GLAD2GLOW</t>
        </is>
      </c>
      <c r="B1817" s="2">
        <f>"20100641456"</f>
        <v/>
      </c>
      <c r="C1817" t="inlineStr">
        <is>
          <t>GLAD2GLOW Perfect Blur &amp; Cover Loose Powder 02 Cupcake 7.5g</t>
        </is>
      </c>
      <c r="D1817" t="inlineStr">
        <is>
          <t>Miss Glam Damar</t>
        </is>
      </c>
      <c r="E1817" t="n">
        <v>7</v>
      </c>
      <c r="F1817" t="n">
        <v>0.2639</v>
      </c>
      <c r="G1817" t="n">
        <v>1.82</v>
      </c>
      <c r="H1817" t="n">
        <v>1</v>
      </c>
      <c r="I1817" t="n">
        <v>5</v>
      </c>
      <c r="J1817" t="n">
        <v>1</v>
      </c>
      <c r="K1817" t="n">
        <v>0</v>
      </c>
      <c r="L1817" t="n">
        <v>66047</v>
      </c>
      <c r="M1817" t="n">
        <v>89000</v>
      </c>
      <c r="N1817" t="n">
        <v>91</v>
      </c>
      <c r="O1817" t="n">
        <v>0.91</v>
      </c>
      <c r="P1817" t="n">
        <v>1</v>
      </c>
      <c r="Q1817" t="n">
        <v>0.15</v>
      </c>
      <c r="R1817" t="n">
        <v>1</v>
      </c>
      <c r="S1817" t="n">
        <v>23487.1</v>
      </c>
      <c r="T1817" t="n">
        <v>9</v>
      </c>
      <c r="U1817" t="n">
        <v>10</v>
      </c>
      <c r="V1817" t="n">
        <v>30</v>
      </c>
      <c r="W1817" t="n">
        <v>8</v>
      </c>
      <c r="X1817" t="n">
        <v>26.52519893899204</v>
      </c>
      <c r="Y1817" t="n">
        <v>1</v>
      </c>
      <c r="Z1817" t="n">
        <v>1</v>
      </c>
      <c r="AA1817" t="n">
        <v>0</v>
      </c>
      <c r="AB1817" t="n">
        <v>1</v>
      </c>
      <c r="AC1817" t="n">
        <v>1</v>
      </c>
      <c r="AD1817" t="n">
        <v>0</v>
      </c>
      <c r="AE1817" t="n">
        <v>66047</v>
      </c>
      <c r="AF1817" t="n">
        <v>10667</v>
      </c>
      <c r="AG1817" t="n">
        <v>2378</v>
      </c>
      <c r="AH1817" t="inlineStr">
        <is>
          <t>PT. KURNIA MAJU PERKASA - PPN (PDG)</t>
        </is>
      </c>
      <c r="AI1817" t="n">
        <v>1638</v>
      </c>
      <c r="AJ1817" t="inlineStr">
        <is>
          <t>GLAD2GLOW</t>
        </is>
      </c>
      <c r="AK1817" t="n">
        <v>21</v>
      </c>
      <c r="AL1817" t="inlineStr">
        <is>
          <t>Miss Glam Damar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GLAD2GLOW</t>
        </is>
      </c>
      <c r="B1818" s="2">
        <f>"20100641524"</f>
        <v/>
      </c>
      <c r="C1818" t="inlineStr">
        <is>
          <t>GLAD2GLOW Perfect Blur &amp; Cover Loose Powder 03 Honey 7.5g</t>
        </is>
      </c>
      <c r="D1818" t="inlineStr">
        <is>
          <t>Miss Glam Damar</t>
        </is>
      </c>
      <c r="E1818" t="n">
        <v>6</v>
      </c>
      <c r="F1818" t="n">
        <v>0.2821</v>
      </c>
      <c r="G1818" t="n">
        <v>2.73</v>
      </c>
      <c r="H1818" t="n">
        <v>1</v>
      </c>
      <c r="I1818" t="n">
        <v>5</v>
      </c>
      <c r="J1818" t="n">
        <v>1</v>
      </c>
      <c r="K1818" t="n">
        <v>0</v>
      </c>
      <c r="L1818" t="n">
        <v>66733</v>
      </c>
      <c r="M1818" t="n">
        <v>89000</v>
      </c>
      <c r="N1818" t="n">
        <v>91</v>
      </c>
      <c r="O1818" t="n">
        <v>0.91</v>
      </c>
      <c r="P1818" t="n">
        <v>1</v>
      </c>
      <c r="Q1818" t="n">
        <v>0.19</v>
      </c>
      <c r="R1818" t="n">
        <v>1</v>
      </c>
      <c r="S1818" t="n">
        <v>25106.9</v>
      </c>
      <c r="T1818" t="n">
        <v>14</v>
      </c>
      <c r="U1818" t="n">
        <v>15</v>
      </c>
      <c r="V1818" t="n">
        <v>30</v>
      </c>
      <c r="W1818" t="n">
        <v>9</v>
      </c>
      <c r="X1818" t="n">
        <v>21.26905352711804</v>
      </c>
      <c r="Y1818" t="n">
        <v>1</v>
      </c>
      <c r="Z1818" t="n">
        <v>3</v>
      </c>
      <c r="AA1818" t="n">
        <v>0</v>
      </c>
      <c r="AB1818" t="n">
        <v>3</v>
      </c>
      <c r="AC1818" t="n">
        <v>3</v>
      </c>
      <c r="AD1818" t="n">
        <v>0</v>
      </c>
      <c r="AE1818" t="n">
        <v>200199</v>
      </c>
      <c r="AF1818" t="n">
        <v>10667</v>
      </c>
      <c r="AG1818" t="n">
        <v>2378</v>
      </c>
      <c r="AH1818" t="inlineStr">
        <is>
          <t>PT. KURNIA MAJU PERKASA - PPN (PDG)</t>
        </is>
      </c>
      <c r="AI1818" t="n">
        <v>1638</v>
      </c>
      <c r="AJ1818" t="inlineStr">
        <is>
          <t>GLAD2GLOW</t>
        </is>
      </c>
      <c r="AK1818" t="n">
        <v>21</v>
      </c>
      <c r="AL1818" t="inlineStr">
        <is>
          <t>Miss Glam Damar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GLAD2GLOW</t>
        </is>
      </c>
      <c r="B1819" s="2">
        <f>"20100175335"</f>
        <v/>
      </c>
      <c r="C1819" t="inlineStr">
        <is>
          <t>GLAD2GLOW Perfect Blurring Powder Foundation 00 Affogato 7,5gr</t>
        </is>
      </c>
      <c r="D1819" t="inlineStr">
        <is>
          <t>Miss Glam Damar</t>
        </is>
      </c>
      <c r="E1819" t="n">
        <v>1</v>
      </c>
      <c r="F1819" t="n">
        <v>0.1729</v>
      </c>
      <c r="G1819" t="n">
        <v>0.91</v>
      </c>
      <c r="H1819" t="n">
        <v>1</v>
      </c>
      <c r="I1819" t="n">
        <v>5</v>
      </c>
      <c r="J1819" t="n">
        <v>1</v>
      </c>
      <c r="K1819" t="n">
        <v>0</v>
      </c>
      <c r="L1819" t="n">
        <v>74138</v>
      </c>
      <c r="M1819" t="n">
        <v>89000</v>
      </c>
      <c r="N1819" t="n">
        <v>91</v>
      </c>
      <c r="O1819" t="n">
        <v>0.91</v>
      </c>
      <c r="P1819" t="n">
        <v>1</v>
      </c>
      <c r="Q1819" t="n">
        <v>0.12</v>
      </c>
      <c r="R1819" t="n">
        <v>2</v>
      </c>
      <c r="S1819" t="n">
        <v>15388.1</v>
      </c>
      <c r="T1819" t="n">
        <v>5</v>
      </c>
      <c r="U1819" t="n">
        <v>6</v>
      </c>
      <c r="V1819" t="n">
        <v>30</v>
      </c>
      <c r="W1819" t="n">
        <v>6</v>
      </c>
      <c r="X1819" t="n">
        <v>5.78368999421631</v>
      </c>
      <c r="Y1819" t="n">
        <v>1</v>
      </c>
      <c r="Z1819" t="n">
        <v>5</v>
      </c>
      <c r="AA1819" t="n">
        <v>0</v>
      </c>
      <c r="AB1819" t="n">
        <v>5</v>
      </c>
      <c r="AC1819" t="n">
        <v>5</v>
      </c>
      <c r="AD1819" t="n">
        <v>0</v>
      </c>
      <c r="AE1819" t="n">
        <v>370690</v>
      </c>
      <c r="AF1819" t="n">
        <v>10667</v>
      </c>
      <c r="AG1819" t="n">
        <v>2378</v>
      </c>
      <c r="AH1819" t="inlineStr">
        <is>
          <t>PT. KURNIA MAJU PERKASA - PPN (PDG)</t>
        </is>
      </c>
      <c r="AI1819" t="n">
        <v>1638</v>
      </c>
      <c r="AJ1819" t="inlineStr">
        <is>
          <t>GLAD2GLOW</t>
        </is>
      </c>
      <c r="AK1819" t="n">
        <v>21</v>
      </c>
      <c r="AL1819" t="inlineStr">
        <is>
          <t>Miss Glam Damar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GLAD2GLOW</t>
        </is>
      </c>
      <c r="B1820" s="2">
        <f>"8809688789892"</f>
        <v/>
      </c>
      <c r="C1820" t="inlineStr">
        <is>
          <t>GLAD2GLOW Perfect Blurring Powder Foundation 01 Buttercream 7,5gr</t>
        </is>
      </c>
      <c r="D1820" t="inlineStr">
        <is>
          <t>Miss Glam Damar</t>
        </is>
      </c>
      <c r="E1820" t="n">
        <v>5</v>
      </c>
      <c r="F1820" t="n">
        <v>0.4641</v>
      </c>
      <c r="G1820" t="n">
        <v>2.73</v>
      </c>
      <c r="H1820" t="n">
        <v>1</v>
      </c>
      <c r="I1820" t="n">
        <v>5</v>
      </c>
      <c r="J1820" t="n">
        <v>3</v>
      </c>
      <c r="K1820" t="n">
        <v>0</v>
      </c>
      <c r="L1820" t="n">
        <v>74137</v>
      </c>
      <c r="M1820" t="n">
        <v>89000</v>
      </c>
      <c r="N1820" t="n">
        <v>91</v>
      </c>
      <c r="O1820" t="n">
        <v>0.91</v>
      </c>
      <c r="P1820" t="n">
        <v>1</v>
      </c>
      <c r="Q1820" t="n">
        <v>0.32</v>
      </c>
      <c r="R1820" t="n">
        <v>2</v>
      </c>
      <c r="S1820" t="n">
        <v>41304.9</v>
      </c>
      <c r="T1820" t="n">
        <v>14</v>
      </c>
      <c r="U1820" t="n">
        <v>15</v>
      </c>
      <c r="V1820" t="n">
        <v>30</v>
      </c>
      <c r="W1820" t="n">
        <v>14</v>
      </c>
      <c r="X1820" t="n">
        <v>10.77354018530489</v>
      </c>
      <c r="Y1820" t="n">
        <v>1</v>
      </c>
      <c r="Z1820" t="n">
        <v>9</v>
      </c>
      <c r="AA1820" t="n">
        <v>0</v>
      </c>
      <c r="AB1820" t="n">
        <v>9</v>
      </c>
      <c r="AC1820" t="n">
        <v>9</v>
      </c>
      <c r="AD1820" t="n">
        <v>0</v>
      </c>
      <c r="AE1820" t="n">
        <v>667233</v>
      </c>
      <c r="AF1820" t="n">
        <v>10667</v>
      </c>
      <c r="AG1820" t="n">
        <v>2378</v>
      </c>
      <c r="AH1820" t="inlineStr">
        <is>
          <t>PT. KURNIA MAJU PERKASA - PPN (PDG)</t>
        </is>
      </c>
      <c r="AI1820" t="n">
        <v>1638</v>
      </c>
      <c r="AJ1820" t="inlineStr">
        <is>
          <t>GLAD2GLOW</t>
        </is>
      </c>
      <c r="AK1820" t="n">
        <v>21</v>
      </c>
      <c r="AL1820" t="inlineStr">
        <is>
          <t>Miss Glam Damar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GLAD2GLOW</t>
        </is>
      </c>
      <c r="B1821" s="2">
        <f>"8809600543373"</f>
        <v/>
      </c>
      <c r="C1821" t="inlineStr">
        <is>
          <t>GLAD2GLOW Perfect Blurring Powder Foundation 02 Praline 7.5gr</t>
        </is>
      </c>
      <c r="D1821" t="inlineStr">
        <is>
          <t>Miss Glam Damar</t>
        </is>
      </c>
      <c r="E1821" t="n">
        <v>16</v>
      </c>
      <c r="F1821" t="n">
        <v>1.6471</v>
      </c>
      <c r="G1821" t="n">
        <v>4.55</v>
      </c>
      <c r="H1821" t="n">
        <v>1</v>
      </c>
      <c r="I1821" t="n">
        <v>5</v>
      </c>
      <c r="J1821" t="n">
        <v>3</v>
      </c>
      <c r="K1821" t="n">
        <v>0</v>
      </c>
      <c r="L1821" t="n">
        <v>74126</v>
      </c>
      <c r="M1821" t="n">
        <v>89000</v>
      </c>
      <c r="N1821" t="n">
        <v>91</v>
      </c>
      <c r="O1821" t="n">
        <v>0.91</v>
      </c>
      <c r="P1821" t="n">
        <v>1</v>
      </c>
      <c r="Q1821" t="n">
        <v>1.31</v>
      </c>
      <c r="R1821" t="n">
        <v>4</v>
      </c>
      <c r="S1821" t="n">
        <v>146591.9</v>
      </c>
      <c r="T1821" t="n">
        <v>22</v>
      </c>
      <c r="U1821" t="n">
        <v>24</v>
      </c>
      <c r="V1821" t="n">
        <v>30</v>
      </c>
      <c r="W1821" t="n">
        <v>50</v>
      </c>
      <c r="X1821" t="n">
        <v>9.714042863214134</v>
      </c>
      <c r="Y1821" t="n">
        <v>1</v>
      </c>
      <c r="Z1821" t="n">
        <v>34</v>
      </c>
      <c r="AA1821" t="n">
        <v>0</v>
      </c>
      <c r="AB1821" t="n">
        <v>34</v>
      </c>
      <c r="AC1821" t="n">
        <v>34</v>
      </c>
      <c r="AD1821" t="n">
        <v>0</v>
      </c>
      <c r="AE1821" t="n">
        <v>2520284</v>
      </c>
      <c r="AF1821" t="n">
        <v>10667</v>
      </c>
      <c r="AG1821" t="n">
        <v>2378</v>
      </c>
      <c r="AH1821" t="inlineStr">
        <is>
          <t>PT. KURNIA MAJU PERKASA - PPN (PDG)</t>
        </is>
      </c>
      <c r="AI1821" t="n">
        <v>1638</v>
      </c>
      <c r="AJ1821" t="inlineStr">
        <is>
          <t>GLAD2GLOW</t>
        </is>
      </c>
      <c r="AK1821" t="n">
        <v>21</v>
      </c>
      <c r="AL1821" t="inlineStr">
        <is>
          <t>Miss Glam Damar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GLAD2GLOW</t>
        </is>
      </c>
      <c r="B1822" s="2">
        <f>"8809622456767"</f>
        <v/>
      </c>
      <c r="C1822" t="inlineStr">
        <is>
          <t>GLAD2GLOW Perfect Blurring Powder Foundation 03 Custard 7,5gr</t>
        </is>
      </c>
      <c r="D1822" t="inlineStr">
        <is>
          <t>Miss Glam Damar</t>
        </is>
      </c>
      <c r="E1822" t="n">
        <v>32</v>
      </c>
      <c r="F1822" t="n">
        <v>1.9929</v>
      </c>
      <c r="G1822" t="n">
        <v>8.19</v>
      </c>
      <c r="H1822" t="n">
        <v>1</v>
      </c>
      <c r="I1822" t="n">
        <v>5</v>
      </c>
      <c r="J1822" t="n">
        <v>3</v>
      </c>
      <c r="K1822" t="n">
        <v>0</v>
      </c>
      <c r="L1822" t="n">
        <v>74137</v>
      </c>
      <c r="M1822" t="n">
        <v>89000</v>
      </c>
      <c r="N1822" t="n">
        <v>91</v>
      </c>
      <c r="O1822" t="n">
        <v>0.91</v>
      </c>
      <c r="P1822" t="n">
        <v>1</v>
      </c>
      <c r="Q1822" t="n">
        <v>1.54</v>
      </c>
      <c r="R1822" t="n">
        <v>8</v>
      </c>
      <c r="S1822" t="n">
        <v>177368.1</v>
      </c>
      <c r="T1822" t="n">
        <v>39</v>
      </c>
      <c r="U1822" t="n">
        <v>41</v>
      </c>
      <c r="V1822" t="n">
        <v>30</v>
      </c>
      <c r="W1822" t="n">
        <v>60</v>
      </c>
      <c r="X1822" t="n">
        <v>16.05700235837222</v>
      </c>
      <c r="Y1822" t="n">
        <v>1</v>
      </c>
      <c r="Z1822" t="n">
        <v>28</v>
      </c>
      <c r="AA1822" t="n">
        <v>0</v>
      </c>
      <c r="AB1822" t="n">
        <v>28</v>
      </c>
      <c r="AC1822" t="n">
        <v>28</v>
      </c>
      <c r="AD1822" t="n">
        <v>0</v>
      </c>
      <c r="AE1822" t="n">
        <v>2075836</v>
      </c>
      <c r="AF1822" t="n">
        <v>10667</v>
      </c>
      <c r="AG1822" t="n">
        <v>2378</v>
      </c>
      <c r="AH1822" t="inlineStr">
        <is>
          <t>PT. KURNIA MAJU PERKASA - PPN (PDG)</t>
        </is>
      </c>
      <c r="AI1822" t="n">
        <v>1638</v>
      </c>
      <c r="AJ1822" t="inlineStr">
        <is>
          <t>GLAD2GLOW</t>
        </is>
      </c>
      <c r="AK1822" t="n">
        <v>21</v>
      </c>
      <c r="AL1822" t="inlineStr">
        <is>
          <t>Miss Glam Damar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GLAD2GLOW</t>
        </is>
      </c>
      <c r="B1823" s="2">
        <f>"8809655676569"</f>
        <v/>
      </c>
      <c r="C1823" t="inlineStr">
        <is>
          <t>GLAD2GLOW Perfect Blurring Powder Foundation 04 Ginger 7.5gr</t>
        </is>
      </c>
      <c r="D1823" t="inlineStr">
        <is>
          <t>Miss Glam Damar</t>
        </is>
      </c>
      <c r="E1823" t="n">
        <v>20</v>
      </c>
      <c r="F1823" t="n">
        <v>0.5551</v>
      </c>
      <c r="G1823" t="n">
        <v>2.73</v>
      </c>
      <c r="H1823" t="n">
        <v>1</v>
      </c>
      <c r="I1823" t="n">
        <v>5</v>
      </c>
      <c r="J1823" t="n">
        <v>3</v>
      </c>
      <c r="K1823" t="n">
        <v>0</v>
      </c>
      <c r="L1823" t="n">
        <v>74137</v>
      </c>
      <c r="M1823" t="n">
        <v>89000</v>
      </c>
      <c r="N1823" t="n">
        <v>91</v>
      </c>
      <c r="O1823" t="n">
        <v>0.91</v>
      </c>
      <c r="P1823" t="n">
        <v>1</v>
      </c>
      <c r="Q1823" t="n">
        <v>0.95</v>
      </c>
      <c r="R1823" t="n">
        <v>4</v>
      </c>
      <c r="S1823" t="n">
        <v>49403.9</v>
      </c>
      <c r="T1823" t="n">
        <v>14</v>
      </c>
      <c r="U1823" t="n">
        <v>15</v>
      </c>
      <c r="V1823" t="n">
        <v>30</v>
      </c>
      <c r="W1823" t="n">
        <v>17</v>
      </c>
      <c r="X1823" t="n">
        <v>36.02954422626554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10667</v>
      </c>
      <c r="AG1823" t="n">
        <v>2378</v>
      </c>
      <c r="AH1823" t="inlineStr">
        <is>
          <t>PT. KURNIA MAJU PERKASA - PPN (PDG)</t>
        </is>
      </c>
      <c r="AI1823" t="n">
        <v>1638</v>
      </c>
      <c r="AJ1823" t="inlineStr">
        <is>
          <t>GLAD2GLOW</t>
        </is>
      </c>
      <c r="AK1823" t="n">
        <v>21</v>
      </c>
      <c r="AL1823" t="inlineStr">
        <is>
          <t>Miss Glam Damar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GLAD2GLOW</t>
        </is>
      </c>
      <c r="B1824" s="2">
        <f>"20100174025"</f>
        <v/>
      </c>
      <c r="C1824" t="inlineStr">
        <is>
          <t>GLAD2GLOW Perfect Blurring Powder Foundation 05 Cinamon 7,5gr</t>
        </is>
      </c>
      <c r="D1824" t="inlineStr">
        <is>
          <t>Miss Glam Damar</t>
        </is>
      </c>
      <c r="E1824" t="n">
        <v>4</v>
      </c>
      <c r="F1824" t="n">
        <v>0.15</v>
      </c>
      <c r="G1824" t="n">
        <v>2</v>
      </c>
      <c r="H1824" t="n">
        <v>1</v>
      </c>
      <c r="I1824" t="n">
        <v>5</v>
      </c>
      <c r="J1824" t="n">
        <v>1</v>
      </c>
      <c r="K1824" t="n">
        <v>0</v>
      </c>
      <c r="L1824" t="n">
        <v>74137</v>
      </c>
      <c r="M1824" t="n">
        <v>89000</v>
      </c>
      <c r="N1824" t="n">
        <v>91</v>
      </c>
      <c r="O1824" t="n">
        <v>0.91</v>
      </c>
      <c r="P1824" t="n">
        <v>0</v>
      </c>
      <c r="Q1824" t="n">
        <v>0.15</v>
      </c>
      <c r="R1824" t="n">
        <v>2</v>
      </c>
      <c r="S1824" t="n">
        <v>13350</v>
      </c>
      <c r="T1824" t="n">
        <v>10</v>
      </c>
      <c r="U1824" t="n">
        <v>11</v>
      </c>
      <c r="V1824" t="n">
        <v>30</v>
      </c>
      <c r="W1824" t="n">
        <v>5</v>
      </c>
      <c r="X1824" t="n">
        <v>26.66666666666667</v>
      </c>
      <c r="Y1824" t="n">
        <v>1</v>
      </c>
      <c r="Z1824" t="n">
        <v>1</v>
      </c>
      <c r="AA1824" t="n">
        <v>0</v>
      </c>
      <c r="AB1824" t="n">
        <v>1</v>
      </c>
      <c r="AC1824" t="n">
        <v>1</v>
      </c>
      <c r="AD1824" t="n">
        <v>0</v>
      </c>
      <c r="AE1824" t="n">
        <v>74137</v>
      </c>
      <c r="AF1824" t="n">
        <v>10667</v>
      </c>
      <c r="AG1824" t="n">
        <v>2378</v>
      </c>
      <c r="AH1824" t="inlineStr">
        <is>
          <t>PT. KURNIA MAJU PERKASA - PPN (PDG)</t>
        </is>
      </c>
      <c r="AI1824" t="n">
        <v>1638</v>
      </c>
      <c r="AJ1824" t="inlineStr">
        <is>
          <t>GLAD2GLOW</t>
        </is>
      </c>
      <c r="AK1824" t="n">
        <v>21</v>
      </c>
      <c r="AL1824" t="inlineStr">
        <is>
          <t>Miss Glam Damar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GLAD2GLOW</t>
        </is>
      </c>
      <c r="B1825" s="2">
        <f>"8809613435375"</f>
        <v/>
      </c>
      <c r="C1825" t="inlineStr">
        <is>
          <t>GLAD2GLOW Perfect Cover Cushion 00 Affogato 11gr</t>
        </is>
      </c>
      <c r="D1825" t="inlineStr">
        <is>
          <t>Miss Glam Damar</t>
        </is>
      </c>
      <c r="E1825" t="n">
        <v>6</v>
      </c>
      <c r="F1825" t="n">
        <v>0.5096000000000001</v>
      </c>
      <c r="G1825" t="n">
        <v>2.73</v>
      </c>
      <c r="H1825" t="n">
        <v>1</v>
      </c>
      <c r="I1825" t="n">
        <v>5</v>
      </c>
      <c r="J1825" t="n">
        <v>3</v>
      </c>
      <c r="K1825" t="n">
        <v>0</v>
      </c>
      <c r="L1825" t="n">
        <v>82466</v>
      </c>
      <c r="M1825" t="n">
        <v>99000</v>
      </c>
      <c r="N1825" t="n">
        <v>91</v>
      </c>
      <c r="O1825" t="n">
        <v>0.91</v>
      </c>
      <c r="P1825" t="n">
        <v>1</v>
      </c>
      <c r="Q1825" t="n">
        <v>0.46</v>
      </c>
      <c r="R1825" t="n">
        <v>3</v>
      </c>
      <c r="S1825" t="n">
        <v>50450.40000000001</v>
      </c>
      <c r="T1825" t="n">
        <v>14</v>
      </c>
      <c r="U1825" t="n">
        <v>15</v>
      </c>
      <c r="V1825" t="n">
        <v>30</v>
      </c>
      <c r="W1825" t="n">
        <v>16</v>
      </c>
      <c r="X1825" t="n">
        <v>11.77394034536892</v>
      </c>
      <c r="Y1825" t="n">
        <v>1</v>
      </c>
      <c r="Z1825" t="n">
        <v>10</v>
      </c>
      <c r="AA1825" t="n">
        <v>0</v>
      </c>
      <c r="AB1825" t="n">
        <v>10</v>
      </c>
      <c r="AC1825" t="n">
        <v>10</v>
      </c>
      <c r="AD1825" t="n">
        <v>0</v>
      </c>
      <c r="AE1825" t="n">
        <v>824660</v>
      </c>
      <c r="AF1825" t="n">
        <v>10667</v>
      </c>
      <c r="AG1825" t="n">
        <v>2378</v>
      </c>
      <c r="AH1825" t="inlineStr">
        <is>
          <t>PT. KURNIA MAJU PERKASA - PPN (PDG)</t>
        </is>
      </c>
      <c r="AI1825" t="n">
        <v>1638</v>
      </c>
      <c r="AJ1825" t="inlineStr">
        <is>
          <t>GLAD2GLOW</t>
        </is>
      </c>
      <c r="AK1825" t="n">
        <v>21</v>
      </c>
      <c r="AL1825" t="inlineStr">
        <is>
          <t>Miss Glam Damar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GLAD2GLOW</t>
        </is>
      </c>
      <c r="B1826" s="2">
        <f>"8809648598397"</f>
        <v/>
      </c>
      <c r="C1826" t="inlineStr">
        <is>
          <t>GLAD2GLOW Perfect Cover Cushion 01 Buttercream 11gr</t>
        </is>
      </c>
      <c r="D1826" t="inlineStr">
        <is>
          <t>Miss Glam Damar</t>
        </is>
      </c>
      <c r="E1826" t="n">
        <v>30</v>
      </c>
      <c r="F1826" t="n">
        <v>1.5743</v>
      </c>
      <c r="G1826" t="n">
        <v>5.46</v>
      </c>
      <c r="H1826" t="n">
        <v>1</v>
      </c>
      <c r="I1826" t="n">
        <v>5</v>
      </c>
      <c r="J1826" t="n">
        <v>3</v>
      </c>
      <c r="K1826" t="n">
        <v>0</v>
      </c>
      <c r="L1826" t="n">
        <v>82466</v>
      </c>
      <c r="M1826" t="n">
        <v>99000</v>
      </c>
      <c r="N1826" t="n">
        <v>91</v>
      </c>
      <c r="O1826" t="n">
        <v>0.91</v>
      </c>
      <c r="P1826" t="n">
        <v>1</v>
      </c>
      <c r="Q1826" t="n">
        <v>1.25</v>
      </c>
      <c r="R1826" t="n">
        <v>4</v>
      </c>
      <c r="S1826" t="n">
        <v>155855.7</v>
      </c>
      <c r="T1826" t="n">
        <v>26</v>
      </c>
      <c r="U1826" t="n">
        <v>28</v>
      </c>
      <c r="V1826" t="n">
        <v>30</v>
      </c>
      <c r="W1826" t="n">
        <v>48</v>
      </c>
      <c r="X1826" t="n">
        <v>19.05608842025027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10667</v>
      </c>
      <c r="AG1826" t="n">
        <v>2378</v>
      </c>
      <c r="AH1826" t="inlineStr">
        <is>
          <t>PT. KURNIA MAJU PERKASA - PPN (PDG)</t>
        </is>
      </c>
      <c r="AI1826" t="n">
        <v>1638</v>
      </c>
      <c r="AJ1826" t="inlineStr">
        <is>
          <t>GLAD2GLOW</t>
        </is>
      </c>
      <c r="AK1826" t="n">
        <v>21</v>
      </c>
      <c r="AL1826" t="inlineStr">
        <is>
          <t>Miss Glam Damar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GLAD2GLOW</t>
        </is>
      </c>
      <c r="B1827" s="2">
        <f>"20100464055"</f>
        <v/>
      </c>
      <c r="C1827" t="inlineStr">
        <is>
          <t>GLAD2GLOW Perfect Cover Cushion 01 Buttercream Refill 11gr</t>
        </is>
      </c>
      <c r="D1827" t="inlineStr">
        <is>
          <t>Miss Glam Damar</t>
        </is>
      </c>
      <c r="E1827" t="n">
        <v>7</v>
      </c>
      <c r="F1827" t="n">
        <v>1.0829</v>
      </c>
      <c r="G1827" t="n">
        <v>3.64</v>
      </c>
      <c r="H1827" t="n">
        <v>1</v>
      </c>
      <c r="I1827" t="n">
        <v>5</v>
      </c>
      <c r="J1827" t="n">
        <v>3</v>
      </c>
      <c r="K1827" t="n">
        <v>0</v>
      </c>
      <c r="L1827" t="n">
        <v>65806</v>
      </c>
      <c r="M1827" t="n">
        <v>84000</v>
      </c>
      <c r="N1827" t="n">
        <v>91</v>
      </c>
      <c r="O1827" t="n">
        <v>0.91</v>
      </c>
      <c r="P1827" t="n">
        <v>1</v>
      </c>
      <c r="Q1827" t="n">
        <v>0.66</v>
      </c>
      <c r="R1827" t="n">
        <v>3</v>
      </c>
      <c r="S1827" t="n">
        <v>90963.59999999999</v>
      </c>
      <c r="T1827" t="n">
        <v>18</v>
      </c>
      <c r="U1827" t="n">
        <v>20</v>
      </c>
      <c r="V1827" t="n">
        <v>30</v>
      </c>
      <c r="W1827" t="n">
        <v>33</v>
      </c>
      <c r="X1827" t="n">
        <v>6.464124111182935</v>
      </c>
      <c r="Y1827" t="n">
        <v>1</v>
      </c>
      <c r="Z1827" t="n">
        <v>26</v>
      </c>
      <c r="AA1827" t="n">
        <v>0</v>
      </c>
      <c r="AB1827" t="n">
        <v>26</v>
      </c>
      <c r="AC1827" t="n">
        <v>26</v>
      </c>
      <c r="AD1827" t="n">
        <v>0</v>
      </c>
      <c r="AE1827" t="n">
        <v>1710956</v>
      </c>
      <c r="AF1827" t="n">
        <v>10667</v>
      </c>
      <c r="AG1827" t="n">
        <v>2378</v>
      </c>
      <c r="AH1827" t="inlineStr">
        <is>
          <t>PT. KURNIA MAJU PERKASA - PPN (PDG)</t>
        </is>
      </c>
      <c r="AI1827" t="n">
        <v>1638</v>
      </c>
      <c r="AJ1827" t="inlineStr">
        <is>
          <t>GLAD2GLOW</t>
        </is>
      </c>
      <c r="AK1827" t="n">
        <v>21</v>
      </c>
      <c r="AL1827" t="inlineStr">
        <is>
          <t>Miss Glam Damar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GLAD2GLOW</t>
        </is>
      </c>
      <c r="B1828" s="2">
        <f>"8809688753909"</f>
        <v/>
      </c>
      <c r="C1828" t="inlineStr">
        <is>
          <t>GLAD2GLOW Perfect Cover Cushion 02 Praline 11gr</t>
        </is>
      </c>
      <c r="D1828" t="inlineStr">
        <is>
          <t>Miss Glam Damar</t>
        </is>
      </c>
      <c r="E1828" t="n">
        <v>39</v>
      </c>
      <c r="F1828" t="n">
        <v>2.8847</v>
      </c>
      <c r="G1828" t="n">
        <v>10.92</v>
      </c>
      <c r="H1828" t="n">
        <v>1</v>
      </c>
      <c r="I1828" t="n">
        <v>5</v>
      </c>
      <c r="J1828" t="n">
        <v>3</v>
      </c>
      <c r="K1828" t="n">
        <v>0</v>
      </c>
      <c r="L1828" t="n">
        <v>82466</v>
      </c>
      <c r="M1828" t="n">
        <v>99000</v>
      </c>
      <c r="N1828" t="n">
        <v>91</v>
      </c>
      <c r="O1828" t="n">
        <v>0.91</v>
      </c>
      <c r="P1828" t="n">
        <v>1</v>
      </c>
      <c r="Q1828" t="n">
        <v>2.08</v>
      </c>
      <c r="R1828" t="n">
        <v>5</v>
      </c>
      <c r="S1828" t="n">
        <v>285585.3</v>
      </c>
      <c r="T1828" t="n">
        <v>52</v>
      </c>
      <c r="U1828" t="n">
        <v>55</v>
      </c>
      <c r="V1828" t="n">
        <v>30</v>
      </c>
      <c r="W1828" t="n">
        <v>87</v>
      </c>
      <c r="X1828" t="n">
        <v>13.5196034249662</v>
      </c>
      <c r="Y1828" t="n">
        <v>1</v>
      </c>
      <c r="Z1828" t="n">
        <v>48</v>
      </c>
      <c r="AA1828" t="n">
        <v>0</v>
      </c>
      <c r="AB1828" t="n">
        <v>48</v>
      </c>
      <c r="AC1828" t="n">
        <v>48</v>
      </c>
      <c r="AD1828" t="n">
        <v>0</v>
      </c>
      <c r="AE1828" t="n">
        <v>3958368</v>
      </c>
      <c r="AF1828" t="n">
        <v>10667</v>
      </c>
      <c r="AG1828" t="n">
        <v>2378</v>
      </c>
      <c r="AH1828" t="inlineStr">
        <is>
          <t>PT. KURNIA MAJU PERKASA - PPN (PDG)</t>
        </is>
      </c>
      <c r="AI1828" t="n">
        <v>1638</v>
      </c>
      <c r="AJ1828" t="inlineStr">
        <is>
          <t>GLAD2GLOW</t>
        </is>
      </c>
      <c r="AK1828" t="n">
        <v>21</v>
      </c>
      <c r="AL1828" t="inlineStr">
        <is>
          <t>Miss Glam Damar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GLAD2GLOW</t>
        </is>
      </c>
      <c r="B1829" s="2">
        <f>"20100464141"</f>
        <v/>
      </c>
      <c r="C1829" t="inlineStr">
        <is>
          <t>GLAD2GLOW Perfect Cover Cushion 02 Praline Refill 11gr</t>
        </is>
      </c>
      <c r="D1829" t="inlineStr">
        <is>
          <t>Miss Glam Damar</t>
        </is>
      </c>
      <c r="E1829" t="n">
        <v>27</v>
      </c>
      <c r="F1829" t="n">
        <v>2.3023</v>
      </c>
      <c r="G1829" t="n">
        <v>6.37</v>
      </c>
      <c r="H1829" t="n">
        <v>1</v>
      </c>
      <c r="I1829" t="n">
        <v>5</v>
      </c>
      <c r="J1829" t="n">
        <v>3</v>
      </c>
      <c r="K1829" t="n">
        <v>0</v>
      </c>
      <c r="L1829" t="n">
        <v>65806</v>
      </c>
      <c r="M1829" t="n">
        <v>84000</v>
      </c>
      <c r="N1829" t="n">
        <v>91</v>
      </c>
      <c r="O1829" t="n">
        <v>0.91</v>
      </c>
      <c r="P1829" t="n">
        <v>1</v>
      </c>
      <c r="Q1829" t="n">
        <v>1.29</v>
      </c>
      <c r="R1829" t="n">
        <v>5</v>
      </c>
      <c r="S1829" t="n">
        <v>193393.2</v>
      </c>
      <c r="T1829" t="n">
        <v>30</v>
      </c>
      <c r="U1829" t="n">
        <v>33</v>
      </c>
      <c r="V1829" t="n">
        <v>30</v>
      </c>
      <c r="W1829" t="n">
        <v>70</v>
      </c>
      <c r="X1829" t="n">
        <v>11.72740303175086</v>
      </c>
      <c r="Y1829" t="n">
        <v>1</v>
      </c>
      <c r="Z1829" t="n">
        <v>43</v>
      </c>
      <c r="AA1829" t="n">
        <v>0</v>
      </c>
      <c r="AB1829" t="n">
        <v>43</v>
      </c>
      <c r="AC1829" t="n">
        <v>43</v>
      </c>
      <c r="AD1829" t="n">
        <v>0</v>
      </c>
      <c r="AE1829" t="n">
        <v>2829658</v>
      </c>
      <c r="AF1829" t="n">
        <v>10667</v>
      </c>
      <c r="AG1829" t="n">
        <v>2378</v>
      </c>
      <c r="AH1829" t="inlineStr">
        <is>
          <t>PT. KURNIA MAJU PERKASA - PPN (PDG)</t>
        </is>
      </c>
      <c r="AI1829" t="n">
        <v>1638</v>
      </c>
      <c r="AJ1829" t="inlineStr">
        <is>
          <t>GLAD2GLOW</t>
        </is>
      </c>
      <c r="AK1829" t="n">
        <v>21</v>
      </c>
      <c r="AL1829" t="inlineStr">
        <is>
          <t>Miss Glam Damar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GLAD2GLOW</t>
        </is>
      </c>
      <c r="B1830" s="2">
        <f>"8809686947652"</f>
        <v/>
      </c>
      <c r="C1830" t="inlineStr">
        <is>
          <t>GLAD2GLOW Perfect Cover Cushion 03 Custard 11gr</t>
        </is>
      </c>
      <c r="D1830" t="inlineStr">
        <is>
          <t>Miss Glam Damar</t>
        </is>
      </c>
      <c r="E1830" t="n">
        <v>32</v>
      </c>
      <c r="F1830" t="n">
        <v>2.9757</v>
      </c>
      <c r="G1830" t="n">
        <v>10.01</v>
      </c>
      <c r="H1830" t="n">
        <v>1</v>
      </c>
      <c r="I1830" t="n">
        <v>5</v>
      </c>
      <c r="J1830" t="n">
        <v>12</v>
      </c>
      <c r="K1830" t="n">
        <v>0</v>
      </c>
      <c r="L1830" t="n">
        <v>82466</v>
      </c>
      <c r="M1830" t="n">
        <v>99000</v>
      </c>
      <c r="N1830" t="n">
        <v>91</v>
      </c>
      <c r="O1830" t="n">
        <v>0.91</v>
      </c>
      <c r="P1830" t="n">
        <v>1</v>
      </c>
      <c r="Q1830" t="n">
        <v>1.93</v>
      </c>
      <c r="R1830" t="n">
        <v>6</v>
      </c>
      <c r="S1830" t="n">
        <v>294594.3</v>
      </c>
      <c r="T1830" t="n">
        <v>48</v>
      </c>
      <c r="U1830" t="n">
        <v>51</v>
      </c>
      <c r="V1830" t="n">
        <v>30</v>
      </c>
      <c r="W1830" t="n">
        <v>90</v>
      </c>
      <c r="X1830" t="n">
        <v>10.75377222166213</v>
      </c>
      <c r="Y1830" t="n">
        <v>1</v>
      </c>
      <c r="Z1830" t="n">
        <v>58</v>
      </c>
      <c r="AA1830" t="n">
        <v>0</v>
      </c>
      <c r="AB1830" t="n">
        <v>58</v>
      </c>
      <c r="AC1830" t="n">
        <v>58</v>
      </c>
      <c r="AD1830" t="n">
        <v>0</v>
      </c>
      <c r="AE1830" t="n">
        <v>4783028</v>
      </c>
      <c r="AF1830" t="n">
        <v>10667</v>
      </c>
      <c r="AG1830" t="n">
        <v>2378</v>
      </c>
      <c r="AH1830" t="inlineStr">
        <is>
          <t>PT. KURNIA MAJU PERKASA - PPN (PDG)</t>
        </is>
      </c>
      <c r="AI1830" t="n">
        <v>1638</v>
      </c>
      <c r="AJ1830" t="inlineStr">
        <is>
          <t>GLAD2GLOW</t>
        </is>
      </c>
      <c r="AK1830" t="n">
        <v>21</v>
      </c>
      <c r="AL1830" t="inlineStr">
        <is>
          <t>Miss Glam Damar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GLAD2GLOW</t>
        </is>
      </c>
      <c r="B1831" s="2">
        <f>"20100464223"</f>
        <v/>
      </c>
      <c r="C1831" t="inlineStr">
        <is>
          <t>GLAD2GLOW Perfect Cover Cushion 03 Custard Refill 11gr</t>
        </is>
      </c>
      <c r="D1831" t="inlineStr">
        <is>
          <t>Miss Glam Damar</t>
        </is>
      </c>
      <c r="E1831" t="n">
        <v>20</v>
      </c>
      <c r="F1831" t="n">
        <v>2.0657</v>
      </c>
      <c r="G1831" t="n">
        <v>5.46</v>
      </c>
      <c r="H1831" t="n">
        <v>1</v>
      </c>
      <c r="I1831" t="n">
        <v>5</v>
      </c>
      <c r="J1831" t="n">
        <v>3</v>
      </c>
      <c r="K1831" t="n">
        <v>0</v>
      </c>
      <c r="L1831" t="n">
        <v>65806</v>
      </c>
      <c r="M1831" t="n">
        <v>84000</v>
      </c>
      <c r="N1831" t="n">
        <v>91</v>
      </c>
      <c r="O1831" t="n">
        <v>0.91</v>
      </c>
      <c r="P1831" t="n">
        <v>1</v>
      </c>
      <c r="Q1831" t="n">
        <v>1.03</v>
      </c>
      <c r="R1831" t="n">
        <v>5</v>
      </c>
      <c r="S1831" t="n">
        <v>173518.8</v>
      </c>
      <c r="T1831" t="n">
        <v>26</v>
      </c>
      <c r="U1831" t="n">
        <v>29</v>
      </c>
      <c r="V1831" t="n">
        <v>30</v>
      </c>
      <c r="W1831" t="n">
        <v>62</v>
      </c>
      <c r="X1831" t="n">
        <v>9.681948007939196</v>
      </c>
      <c r="Y1831" t="n">
        <v>1</v>
      </c>
      <c r="Z1831" t="n">
        <v>42</v>
      </c>
      <c r="AA1831" t="n">
        <v>0</v>
      </c>
      <c r="AB1831" t="n">
        <v>42</v>
      </c>
      <c r="AC1831" t="n">
        <v>42</v>
      </c>
      <c r="AD1831" t="n">
        <v>0</v>
      </c>
      <c r="AE1831" t="n">
        <v>2763852</v>
      </c>
      <c r="AF1831" t="n">
        <v>10667</v>
      </c>
      <c r="AG1831" t="n">
        <v>2378</v>
      </c>
      <c r="AH1831" t="inlineStr">
        <is>
          <t>PT. KURNIA MAJU PERKASA - PPN (PDG)</t>
        </is>
      </c>
      <c r="AI1831" t="n">
        <v>1638</v>
      </c>
      <c r="AJ1831" t="inlineStr">
        <is>
          <t>GLAD2GLOW</t>
        </is>
      </c>
      <c r="AK1831" t="n">
        <v>21</v>
      </c>
      <c r="AL1831" t="inlineStr">
        <is>
          <t>Miss Glam Damar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GLAD2GLOW</t>
        </is>
      </c>
      <c r="B1832" s="2">
        <f>"20100464301"</f>
        <v/>
      </c>
      <c r="C1832" t="inlineStr">
        <is>
          <t>GLAD2GLOW Perfect Cover Cushion 04 Ginger  Refill 11 gr</t>
        </is>
      </c>
      <c r="D1832" t="inlineStr">
        <is>
          <t>Miss Glam Damar</t>
        </is>
      </c>
      <c r="E1832" t="n">
        <v>10</v>
      </c>
      <c r="F1832" t="n">
        <v>0.3731</v>
      </c>
      <c r="G1832" t="n">
        <v>1.82</v>
      </c>
      <c r="H1832" t="n">
        <v>1</v>
      </c>
      <c r="I1832" t="n">
        <v>5</v>
      </c>
      <c r="J1832" t="n">
        <v>3</v>
      </c>
      <c r="K1832" t="n">
        <v>0</v>
      </c>
      <c r="L1832" t="n">
        <v>65806</v>
      </c>
      <c r="M1832" t="n">
        <v>84000</v>
      </c>
      <c r="N1832" t="n">
        <v>91</v>
      </c>
      <c r="O1832" t="n">
        <v>0.91</v>
      </c>
      <c r="P1832" t="n">
        <v>1</v>
      </c>
      <c r="Q1832" t="n">
        <v>0.29</v>
      </c>
      <c r="R1832" t="n">
        <v>2</v>
      </c>
      <c r="S1832" t="n">
        <v>31340.4</v>
      </c>
      <c r="T1832" t="n">
        <v>9</v>
      </c>
      <c r="U1832" t="n">
        <v>10</v>
      </c>
      <c r="V1832" t="n">
        <v>30</v>
      </c>
      <c r="W1832" t="n">
        <v>12</v>
      </c>
      <c r="X1832" t="n">
        <v>26.80246582685607</v>
      </c>
      <c r="Y1832" t="n">
        <v>1</v>
      </c>
      <c r="Z1832" t="n">
        <v>2</v>
      </c>
      <c r="AA1832" t="n">
        <v>0</v>
      </c>
      <c r="AB1832" t="n">
        <v>2</v>
      </c>
      <c r="AC1832" t="n">
        <v>3</v>
      </c>
      <c r="AD1832" t="n">
        <v>0</v>
      </c>
      <c r="AE1832" t="n">
        <v>197418</v>
      </c>
      <c r="AF1832" t="n">
        <v>10667</v>
      </c>
      <c r="AG1832" t="n">
        <v>2378</v>
      </c>
      <c r="AH1832" t="inlineStr">
        <is>
          <t>PT. KURNIA MAJU PERKASA - PPN (PDG)</t>
        </is>
      </c>
      <c r="AI1832" t="n">
        <v>1638</v>
      </c>
      <c r="AJ1832" t="inlineStr">
        <is>
          <t>GLAD2GLOW</t>
        </is>
      </c>
      <c r="AK1832" t="n">
        <v>21</v>
      </c>
      <c r="AL1832" t="inlineStr">
        <is>
          <t>Miss Glam Damar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GLAD2GLOW</t>
        </is>
      </c>
      <c r="B1833" s="2">
        <f>"8809600864874"</f>
        <v/>
      </c>
      <c r="C1833" t="inlineStr">
        <is>
          <t>GLAD2GLOW Perfect Cover Cushion 04 Ginger 11gr</t>
        </is>
      </c>
      <c r="D1833" t="inlineStr">
        <is>
          <t>Miss Glam Damar</t>
        </is>
      </c>
      <c r="E1833" t="n">
        <v>6</v>
      </c>
      <c r="F1833" t="n">
        <v>0.5733</v>
      </c>
      <c r="G1833" t="n">
        <v>2.73</v>
      </c>
      <c r="H1833" t="n">
        <v>1</v>
      </c>
      <c r="I1833" t="n">
        <v>5</v>
      </c>
      <c r="J1833" t="n">
        <v>3</v>
      </c>
      <c r="K1833" t="n">
        <v>0</v>
      </c>
      <c r="L1833" t="n">
        <v>82466</v>
      </c>
      <c r="M1833" t="n">
        <v>99000</v>
      </c>
      <c r="N1833" t="n">
        <v>91</v>
      </c>
      <c r="O1833" t="n">
        <v>0.91</v>
      </c>
      <c r="P1833" t="n">
        <v>1</v>
      </c>
      <c r="Q1833" t="n">
        <v>0.46</v>
      </c>
      <c r="R1833" t="n">
        <v>2</v>
      </c>
      <c r="S1833" t="n">
        <v>56756.7</v>
      </c>
      <c r="T1833" t="n">
        <v>14</v>
      </c>
      <c r="U1833" t="n">
        <v>15</v>
      </c>
      <c r="V1833" t="n">
        <v>30</v>
      </c>
      <c r="W1833" t="n">
        <v>18</v>
      </c>
      <c r="X1833" t="n">
        <v>10.46572475143904</v>
      </c>
      <c r="Y1833" t="n">
        <v>1</v>
      </c>
      <c r="Z1833" t="n">
        <v>12</v>
      </c>
      <c r="AA1833" t="n">
        <v>0</v>
      </c>
      <c r="AB1833" t="n">
        <v>12</v>
      </c>
      <c r="AC1833" t="n">
        <v>12</v>
      </c>
      <c r="AD1833" t="n">
        <v>0</v>
      </c>
      <c r="AE1833" t="n">
        <v>989592</v>
      </c>
      <c r="AF1833" t="n">
        <v>10667</v>
      </c>
      <c r="AG1833" t="n">
        <v>2378</v>
      </c>
      <c r="AH1833" t="inlineStr">
        <is>
          <t>PT. KURNIA MAJU PERKASA - PPN (PDG)</t>
        </is>
      </c>
      <c r="AI1833" t="n">
        <v>1638</v>
      </c>
      <c r="AJ1833" t="inlineStr">
        <is>
          <t>GLAD2GLOW</t>
        </is>
      </c>
      <c r="AK1833" t="n">
        <v>21</v>
      </c>
      <c r="AL1833" t="inlineStr">
        <is>
          <t>Miss Glam Damar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GLAD2GLOW</t>
        </is>
      </c>
      <c r="B1834" s="2">
        <f>"101001114008"</f>
        <v/>
      </c>
      <c r="C1834" t="inlineStr">
        <is>
          <t>GLAD2GLOW Perfect Vita C Bright Glow Cleanser 80ml</t>
        </is>
      </c>
      <c r="D1834" t="inlineStr">
        <is>
          <t>Miss Glam Damar</t>
        </is>
      </c>
      <c r="E1834" t="n">
        <v>7</v>
      </c>
      <c r="F1834" t="n">
        <v>0.2457</v>
      </c>
      <c r="G1834" t="n">
        <v>1.82</v>
      </c>
      <c r="H1834" t="n">
        <v>1</v>
      </c>
      <c r="I1834" t="n">
        <v>5</v>
      </c>
      <c r="J1834" t="n">
        <v>1</v>
      </c>
      <c r="K1834" t="n">
        <v>0</v>
      </c>
      <c r="L1834" t="n">
        <v>37484</v>
      </c>
      <c r="M1834" t="n">
        <v>45000</v>
      </c>
      <c r="N1834" t="n">
        <v>91</v>
      </c>
      <c r="O1834" t="n">
        <v>0.91</v>
      </c>
      <c r="P1834" t="n">
        <v>1</v>
      </c>
      <c r="Q1834" t="n">
        <v>0.29</v>
      </c>
      <c r="R1834" t="n">
        <v>2</v>
      </c>
      <c r="S1834" t="n">
        <v>11056.5</v>
      </c>
      <c r="T1834" t="n">
        <v>9</v>
      </c>
      <c r="U1834" t="n">
        <v>10</v>
      </c>
      <c r="V1834" t="n">
        <v>30</v>
      </c>
      <c r="W1834" t="n">
        <v>8</v>
      </c>
      <c r="X1834" t="n">
        <v>28.49002849002849</v>
      </c>
      <c r="Y1834" t="n">
        <v>1</v>
      </c>
      <c r="Z1834" t="n">
        <v>1</v>
      </c>
      <c r="AA1834" t="n">
        <v>0</v>
      </c>
      <c r="AB1834" t="n">
        <v>1</v>
      </c>
      <c r="AC1834" t="n">
        <v>1</v>
      </c>
      <c r="AD1834" t="n">
        <v>0</v>
      </c>
      <c r="AE1834" t="n">
        <v>37484</v>
      </c>
      <c r="AF1834" t="n">
        <v>10667</v>
      </c>
      <c r="AG1834" t="n">
        <v>2378</v>
      </c>
      <c r="AH1834" t="inlineStr">
        <is>
          <t>PT. KURNIA MAJU PERKASA - PPN (PDG)</t>
        </is>
      </c>
      <c r="AI1834" t="n">
        <v>1638</v>
      </c>
      <c r="AJ1834" t="inlineStr">
        <is>
          <t>GLAD2GLOW</t>
        </is>
      </c>
      <c r="AK1834" t="n">
        <v>21</v>
      </c>
      <c r="AL1834" t="inlineStr">
        <is>
          <t>Miss Glam Damar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GLAD2GLOW</t>
        </is>
      </c>
      <c r="B1835" s="2">
        <f>"10100723938"</f>
        <v/>
      </c>
      <c r="C1835" t="inlineStr">
        <is>
          <t>GLAD2GLOW Perfect Vita C Bright Glow Micellar Water 130ml</t>
        </is>
      </c>
      <c r="D1835" t="inlineStr">
        <is>
          <t>Miss Glam Damar</t>
        </is>
      </c>
      <c r="E1835" t="n">
        <v>10</v>
      </c>
      <c r="F1835" t="n">
        <v>0.5551</v>
      </c>
      <c r="G1835" t="n">
        <v>2.73</v>
      </c>
      <c r="H1835" t="n">
        <v>1</v>
      </c>
      <c r="I1835" t="n">
        <v>5</v>
      </c>
      <c r="J1835" t="n">
        <v>1</v>
      </c>
      <c r="K1835" t="n">
        <v>0</v>
      </c>
      <c r="L1835" t="n">
        <v>24157</v>
      </c>
      <c r="M1835" t="n">
        <v>29000</v>
      </c>
      <c r="N1835" t="n">
        <v>91</v>
      </c>
      <c r="O1835" t="n">
        <v>0.91</v>
      </c>
      <c r="P1835" t="n">
        <v>1</v>
      </c>
      <c r="Q1835" t="n">
        <v>0.44</v>
      </c>
      <c r="R1835" t="n">
        <v>3</v>
      </c>
      <c r="S1835" t="n">
        <v>16097.9</v>
      </c>
      <c r="T1835" t="n">
        <v>14</v>
      </c>
      <c r="U1835" t="n">
        <v>15</v>
      </c>
      <c r="V1835" t="n">
        <v>30</v>
      </c>
      <c r="W1835" t="n">
        <v>17</v>
      </c>
      <c r="X1835" t="n">
        <v>18.01477211313277</v>
      </c>
      <c r="Y1835" t="n">
        <v>1</v>
      </c>
      <c r="Z1835" t="n">
        <v>7</v>
      </c>
      <c r="AA1835" t="n">
        <v>0</v>
      </c>
      <c r="AB1835" t="n">
        <v>7</v>
      </c>
      <c r="AC1835" t="n">
        <v>7</v>
      </c>
      <c r="AD1835" t="n">
        <v>0</v>
      </c>
      <c r="AE1835" t="n">
        <v>169099</v>
      </c>
      <c r="AF1835" t="n">
        <v>10667</v>
      </c>
      <c r="AG1835" t="n">
        <v>2378</v>
      </c>
      <c r="AH1835" t="inlineStr">
        <is>
          <t>PT. KURNIA MAJU PERKASA - PPN (PDG)</t>
        </is>
      </c>
      <c r="AI1835" t="n">
        <v>1638</v>
      </c>
      <c r="AJ1835" t="inlineStr">
        <is>
          <t>GLAD2GLOW</t>
        </is>
      </c>
      <c r="AK1835" t="n">
        <v>21</v>
      </c>
      <c r="AL1835" t="inlineStr">
        <is>
          <t>Miss Glam Damar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GLAD2GLOW</t>
        </is>
      </c>
      <c r="B1836" s="2">
        <f>"10100724006"</f>
        <v/>
      </c>
      <c r="C1836" t="inlineStr">
        <is>
          <t>GLAD2GLOW Perfect Vita C Bright Glow Micellar Water 230ml</t>
        </is>
      </c>
      <c r="D1836" t="inlineStr">
        <is>
          <t>Miss Glam Damar</t>
        </is>
      </c>
      <c r="E1836" t="n">
        <v>10</v>
      </c>
      <c r="F1836" t="n">
        <v>0.2002</v>
      </c>
      <c r="G1836" t="n">
        <v>1.82</v>
      </c>
      <c r="H1836" t="n">
        <v>1</v>
      </c>
      <c r="I1836" t="n">
        <v>5</v>
      </c>
      <c r="J1836" t="n">
        <v>1</v>
      </c>
      <c r="K1836" t="n">
        <v>0</v>
      </c>
      <c r="L1836" t="n">
        <v>32486</v>
      </c>
      <c r="M1836" t="n">
        <v>39000</v>
      </c>
      <c r="N1836" t="n">
        <v>91</v>
      </c>
      <c r="O1836" t="n">
        <v>0.91</v>
      </c>
      <c r="P1836" t="n">
        <v>1</v>
      </c>
      <c r="Q1836" t="n">
        <v>0.12</v>
      </c>
      <c r="R1836" t="n">
        <v>2</v>
      </c>
      <c r="S1836" t="n">
        <v>7807.800000000001</v>
      </c>
      <c r="T1836" t="n">
        <v>9</v>
      </c>
      <c r="U1836" t="n">
        <v>10</v>
      </c>
      <c r="V1836" t="n">
        <v>30</v>
      </c>
      <c r="W1836" t="n">
        <v>7</v>
      </c>
      <c r="X1836" t="n">
        <v>49.95004995004994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10667</v>
      </c>
      <c r="AG1836" t="n">
        <v>2378</v>
      </c>
      <c r="AH1836" t="inlineStr">
        <is>
          <t>PT. KURNIA MAJU PERKASA - PPN (PDG)</t>
        </is>
      </c>
      <c r="AI1836" t="n">
        <v>1638</v>
      </c>
      <c r="AJ1836" t="inlineStr">
        <is>
          <t>GLAD2GLOW</t>
        </is>
      </c>
      <c r="AK1836" t="n">
        <v>21</v>
      </c>
      <c r="AL1836" t="inlineStr">
        <is>
          <t>Miss Glam Damar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GLAD2GLOW</t>
        </is>
      </c>
      <c r="B1837" s="2">
        <f>"10100723801"</f>
        <v/>
      </c>
      <c r="C1837" t="inlineStr">
        <is>
          <t>GLAD2GLOW Perfect Vita C Bright Glow Micellar Water 300ml</t>
        </is>
      </c>
      <c r="D1837" t="inlineStr">
        <is>
          <t>Miss Glam Damar</t>
        </is>
      </c>
      <c r="E1837" t="n">
        <v>21</v>
      </c>
      <c r="F1837" t="n">
        <v>1.3741</v>
      </c>
      <c r="G1837" t="n">
        <v>8.19</v>
      </c>
      <c r="H1837" t="n">
        <v>1</v>
      </c>
      <c r="I1837" t="n">
        <v>5</v>
      </c>
      <c r="J1837" t="n">
        <v>1</v>
      </c>
      <c r="K1837" t="n">
        <v>0</v>
      </c>
      <c r="L1837" t="n">
        <v>40816</v>
      </c>
      <c r="M1837" t="n">
        <v>49000</v>
      </c>
      <c r="N1837" t="n">
        <v>91</v>
      </c>
      <c r="O1837" t="n">
        <v>0.91</v>
      </c>
      <c r="P1837" t="n">
        <v>1</v>
      </c>
      <c r="Q1837" t="n">
        <v>0.49</v>
      </c>
      <c r="R1837" t="n">
        <v>4</v>
      </c>
      <c r="S1837" t="n">
        <v>67330.90000000001</v>
      </c>
      <c r="T1837" t="n">
        <v>40</v>
      </c>
      <c r="U1837" t="n">
        <v>42</v>
      </c>
      <c r="V1837" t="n">
        <v>30</v>
      </c>
      <c r="W1837" t="n">
        <v>42</v>
      </c>
      <c r="X1837" t="n">
        <v>15.28273051451859</v>
      </c>
      <c r="Y1837" t="n">
        <v>1</v>
      </c>
      <c r="Z1837" t="n">
        <v>21</v>
      </c>
      <c r="AA1837" t="n">
        <v>0</v>
      </c>
      <c r="AB1837" t="n">
        <v>21</v>
      </c>
      <c r="AC1837" t="n">
        <v>21</v>
      </c>
      <c r="AD1837" t="n">
        <v>0</v>
      </c>
      <c r="AE1837" t="n">
        <v>857136</v>
      </c>
      <c r="AF1837" t="n">
        <v>10667</v>
      </c>
      <c r="AG1837" t="n">
        <v>2378</v>
      </c>
      <c r="AH1837" t="inlineStr">
        <is>
          <t>PT. KURNIA MAJU PERKASA - PPN (PDG)</t>
        </is>
      </c>
      <c r="AI1837" t="n">
        <v>1638</v>
      </c>
      <c r="AJ1837" t="inlineStr">
        <is>
          <t>GLAD2GLOW</t>
        </is>
      </c>
      <c r="AK1837" t="n">
        <v>21</v>
      </c>
      <c r="AL1837" t="inlineStr">
        <is>
          <t>Miss Glam Damar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GLAD2GLOW</t>
        </is>
      </c>
      <c r="B1838" s="2">
        <f>"10300725916"</f>
        <v/>
      </c>
      <c r="C1838" t="inlineStr">
        <is>
          <t>GLAD2GLOW Perfect Vita C Bright Glow Moisturizer 30g</t>
        </is>
      </c>
      <c r="D1838" t="inlineStr">
        <is>
          <t>Miss Glam Damar</t>
        </is>
      </c>
      <c r="E1838" t="n">
        <v>4</v>
      </c>
      <c r="F1838" t="n">
        <v>0.5277999999999999</v>
      </c>
      <c r="G1838" t="n">
        <v>5.46</v>
      </c>
      <c r="H1838" t="n">
        <v>1</v>
      </c>
      <c r="I1838" t="n">
        <v>5</v>
      </c>
      <c r="J1838" t="n">
        <v>1</v>
      </c>
      <c r="K1838" t="n">
        <v>0</v>
      </c>
      <c r="L1838" t="n">
        <v>40816</v>
      </c>
      <c r="M1838" t="n">
        <v>49000</v>
      </c>
      <c r="N1838" t="n">
        <v>91</v>
      </c>
      <c r="O1838" t="n">
        <v>0.91</v>
      </c>
      <c r="P1838" t="n">
        <v>1</v>
      </c>
      <c r="Q1838" t="n">
        <v>0.64</v>
      </c>
      <c r="R1838" t="n">
        <v>3</v>
      </c>
      <c r="S1838" t="n">
        <v>25862.2</v>
      </c>
      <c r="T1838" t="n">
        <v>27</v>
      </c>
      <c r="U1838" t="n">
        <v>28</v>
      </c>
      <c r="V1838" t="n">
        <v>30</v>
      </c>
      <c r="W1838" t="n">
        <v>16</v>
      </c>
      <c r="X1838" t="n">
        <v>7.578628268283442</v>
      </c>
      <c r="Y1838" t="n">
        <v>1</v>
      </c>
      <c r="Z1838" t="n">
        <v>12</v>
      </c>
      <c r="AA1838" t="n">
        <v>0</v>
      </c>
      <c r="AB1838" t="n">
        <v>12</v>
      </c>
      <c r="AC1838" t="n">
        <v>12</v>
      </c>
      <c r="AD1838" t="n">
        <v>0</v>
      </c>
      <c r="AE1838" t="n">
        <v>489792</v>
      </c>
      <c r="AF1838" t="n">
        <v>10667</v>
      </c>
      <c r="AG1838" t="n">
        <v>2378</v>
      </c>
      <c r="AH1838" t="inlineStr">
        <is>
          <t>PT. KURNIA MAJU PERKASA - PPN (PDG)</t>
        </is>
      </c>
      <c r="AI1838" t="n">
        <v>1638</v>
      </c>
      <c r="AJ1838" t="inlineStr">
        <is>
          <t>GLAD2GLOW</t>
        </is>
      </c>
      <c r="AK1838" t="n">
        <v>21</v>
      </c>
      <c r="AL1838" t="inlineStr">
        <is>
          <t>Miss Glam Damar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GLAD2GLOW</t>
        </is>
      </c>
      <c r="B1839" s="2">
        <f>"11200151244"</f>
        <v/>
      </c>
      <c r="C1839" t="inlineStr">
        <is>
          <t>GLAD2GLOW Perfect Vita C Bright Glow Serum 17ml</t>
        </is>
      </c>
      <c r="D1839" t="inlineStr">
        <is>
          <t>Miss Glam Damar</t>
        </is>
      </c>
      <c r="E1839" t="n">
        <v>0</v>
      </c>
      <c r="F1839" t="n">
        <v>0.3731</v>
      </c>
      <c r="G1839" t="n">
        <v>3.64</v>
      </c>
      <c r="H1839" t="n">
        <v>1</v>
      </c>
      <c r="I1839" t="n">
        <v>5</v>
      </c>
      <c r="J1839" t="n">
        <v>1</v>
      </c>
      <c r="K1839" t="n">
        <v>0</v>
      </c>
      <c r="L1839" t="n">
        <v>39032</v>
      </c>
      <c r="M1839" t="n">
        <v>49000</v>
      </c>
      <c r="N1839" t="n">
        <v>91</v>
      </c>
      <c r="O1839" t="n">
        <v>0.91</v>
      </c>
      <c r="P1839" t="n">
        <v>1</v>
      </c>
      <c r="Q1839" t="n">
        <v>0.42</v>
      </c>
      <c r="R1839" t="n">
        <v>2</v>
      </c>
      <c r="S1839" t="n">
        <v>18281.9</v>
      </c>
      <c r="T1839" t="n">
        <v>18</v>
      </c>
      <c r="U1839" t="n">
        <v>19</v>
      </c>
      <c r="V1839" t="n">
        <v>30</v>
      </c>
      <c r="W1839" t="n">
        <v>12</v>
      </c>
      <c r="X1839" t="n">
        <v>0</v>
      </c>
      <c r="Y1839" t="n">
        <v>1</v>
      </c>
      <c r="Z1839" t="n">
        <v>12</v>
      </c>
      <c r="AA1839" t="n">
        <v>2</v>
      </c>
      <c r="AB1839" t="n">
        <v>10</v>
      </c>
      <c r="AC1839" t="n">
        <v>10</v>
      </c>
      <c r="AD1839" t="n">
        <v>78064</v>
      </c>
      <c r="AE1839" t="n">
        <v>390320</v>
      </c>
      <c r="AF1839" t="n">
        <v>10667</v>
      </c>
      <c r="AG1839" t="n">
        <v>2378</v>
      </c>
      <c r="AH1839" t="inlineStr">
        <is>
          <t>PT. KURNIA MAJU PERKASA - PPN (PDG)</t>
        </is>
      </c>
      <c r="AI1839" t="n">
        <v>1638</v>
      </c>
      <c r="AJ1839" t="inlineStr">
        <is>
          <t>GLAD2GLOW</t>
        </is>
      </c>
      <c r="AK1839" t="n">
        <v>21</v>
      </c>
      <c r="AL1839" t="inlineStr">
        <is>
          <t>Miss Glam Damar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GLAD2GLOW</t>
        </is>
      </c>
      <c r="B1840" s="2">
        <f>"10200162656"</f>
        <v/>
      </c>
      <c r="C1840" t="inlineStr">
        <is>
          <t>GLAD2GLOW Perfect Vita C Bright Glow Toner 80ml</t>
        </is>
      </c>
      <c r="D1840" t="inlineStr">
        <is>
          <t>Miss Glam Damar</t>
        </is>
      </c>
      <c r="E1840" t="n">
        <v>19</v>
      </c>
      <c r="F1840" t="n">
        <v>0.04550000000000001</v>
      </c>
      <c r="G1840" t="n">
        <v>0.91</v>
      </c>
      <c r="H1840" t="n">
        <v>1</v>
      </c>
      <c r="I1840" t="n">
        <v>5</v>
      </c>
      <c r="J1840" t="n">
        <v>1</v>
      </c>
      <c r="K1840" t="n">
        <v>0</v>
      </c>
      <c r="L1840" t="n">
        <v>37487</v>
      </c>
      <c r="M1840" t="n">
        <v>45000</v>
      </c>
      <c r="N1840" t="n">
        <v>91</v>
      </c>
      <c r="O1840" t="n">
        <v>0.91</v>
      </c>
      <c r="P1840" t="n">
        <v>1</v>
      </c>
      <c r="Q1840" t="n">
        <v>0.1</v>
      </c>
      <c r="R1840" t="n">
        <v>2</v>
      </c>
      <c r="S1840" t="n">
        <v>2047.5</v>
      </c>
      <c r="T1840" t="n">
        <v>5</v>
      </c>
      <c r="U1840" t="n">
        <v>6</v>
      </c>
      <c r="V1840" t="n">
        <v>30</v>
      </c>
      <c r="W1840" t="n">
        <v>2</v>
      </c>
      <c r="X1840" t="n">
        <v>417.5824175824175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10667</v>
      </c>
      <c r="AG1840" t="n">
        <v>2378</v>
      </c>
      <c r="AH1840" t="inlineStr">
        <is>
          <t>PT. KURNIA MAJU PERKASA - PPN (PDG)</t>
        </is>
      </c>
      <c r="AI1840" t="n">
        <v>1638</v>
      </c>
      <c r="AJ1840" t="inlineStr">
        <is>
          <t>GLAD2GLOW</t>
        </is>
      </c>
      <c r="AK1840" t="n">
        <v>21</v>
      </c>
      <c r="AL1840" t="inlineStr">
        <is>
          <t>Miss Glam Damar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GLAD2GLOW</t>
        </is>
      </c>
      <c r="B1841" s="2">
        <f>"8809658121349"</f>
        <v/>
      </c>
      <c r="C1841" t="inlineStr">
        <is>
          <t>GLAD2GLOW Pomegranate 10% Niacinamide Power Bright Serum 17ml</t>
        </is>
      </c>
      <c r="D1841" t="inlineStr">
        <is>
          <t>Miss Glam Damar</t>
        </is>
      </c>
      <c r="E1841" t="n">
        <v>69</v>
      </c>
      <c r="F1841" t="n">
        <v>5.1961</v>
      </c>
      <c r="G1841" t="n">
        <v>11.83</v>
      </c>
      <c r="H1841" t="n">
        <v>1</v>
      </c>
      <c r="I1841" t="n">
        <v>5</v>
      </c>
      <c r="J1841" t="n">
        <v>3</v>
      </c>
      <c r="K1841" t="n">
        <v>0</v>
      </c>
      <c r="L1841" t="n">
        <v>32551</v>
      </c>
      <c r="M1841" t="n">
        <v>45000</v>
      </c>
      <c r="N1841" t="n">
        <v>91</v>
      </c>
      <c r="O1841" t="n">
        <v>0.91</v>
      </c>
      <c r="P1841" t="n">
        <v>1</v>
      </c>
      <c r="Q1841" t="n">
        <v>4.54</v>
      </c>
      <c r="R1841" t="n">
        <v>13</v>
      </c>
      <c r="S1841" t="n">
        <v>233824.5</v>
      </c>
      <c r="T1841" t="n">
        <v>54</v>
      </c>
      <c r="U1841" t="n">
        <v>60</v>
      </c>
      <c r="V1841" t="n">
        <v>30</v>
      </c>
      <c r="W1841" t="n">
        <v>156</v>
      </c>
      <c r="X1841" t="n">
        <v>13.27919016185216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10667</v>
      </c>
      <c r="AG1841" t="n">
        <v>2378</v>
      </c>
      <c r="AH1841" t="inlineStr">
        <is>
          <t>PT. KURNIA MAJU PERKASA - PPN (PDG)</t>
        </is>
      </c>
      <c r="AI1841" t="n">
        <v>1638</v>
      </c>
      <c r="AJ1841" t="inlineStr">
        <is>
          <t>GLAD2GLOW</t>
        </is>
      </c>
      <c r="AK1841" t="n">
        <v>21</v>
      </c>
      <c r="AL1841" t="inlineStr">
        <is>
          <t>Miss Glam Damar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GLAD2GLOW</t>
        </is>
      </c>
      <c r="B1842" s="2">
        <f>"10300720906"</f>
        <v/>
      </c>
      <c r="C1842" t="inlineStr">
        <is>
          <t>GLAD2GLOW Pomegranate 5% Niacinamide Brightening Moisturizer 100gr</t>
        </is>
      </c>
      <c r="D1842" t="inlineStr">
        <is>
          <t>Miss Glam Damar</t>
        </is>
      </c>
      <c r="E1842" t="n">
        <v>31</v>
      </c>
      <c r="F1842" t="n">
        <v>2.1931</v>
      </c>
      <c r="G1842" t="n">
        <v>7.28</v>
      </c>
      <c r="H1842" t="n">
        <v>1</v>
      </c>
      <c r="I1842" t="n">
        <v>5</v>
      </c>
      <c r="J1842" t="n">
        <v>3</v>
      </c>
      <c r="K1842" t="n">
        <v>0</v>
      </c>
      <c r="L1842" t="n">
        <v>74137</v>
      </c>
      <c r="M1842" t="n">
        <v>93000</v>
      </c>
      <c r="N1842" t="n">
        <v>91</v>
      </c>
      <c r="O1842" t="n">
        <v>0.91</v>
      </c>
      <c r="P1842" t="n">
        <v>1</v>
      </c>
      <c r="Q1842" t="n">
        <v>1.8</v>
      </c>
      <c r="R1842" t="n">
        <v>6</v>
      </c>
      <c r="S1842" t="n">
        <v>203958.3</v>
      </c>
      <c r="T1842" t="n">
        <v>35</v>
      </c>
      <c r="U1842" t="n">
        <v>38</v>
      </c>
      <c r="V1842" t="n">
        <v>30</v>
      </c>
      <c r="W1842" t="n">
        <v>66</v>
      </c>
      <c r="X1842" t="n">
        <v>14.13524235100998</v>
      </c>
      <c r="Y1842" t="n">
        <v>1</v>
      </c>
      <c r="Z1842" t="n">
        <v>35</v>
      </c>
      <c r="AA1842" t="n">
        <v>0</v>
      </c>
      <c r="AB1842" t="n">
        <v>35</v>
      </c>
      <c r="AC1842" t="n">
        <v>35</v>
      </c>
      <c r="AD1842" t="n">
        <v>0</v>
      </c>
      <c r="AE1842" t="n">
        <v>2594795</v>
      </c>
      <c r="AF1842" t="n">
        <v>10667</v>
      </c>
      <c r="AG1842" t="n">
        <v>2378</v>
      </c>
      <c r="AH1842" t="inlineStr">
        <is>
          <t>PT. KURNIA MAJU PERKASA - PPN (PDG)</t>
        </is>
      </c>
      <c r="AI1842" t="n">
        <v>1638</v>
      </c>
      <c r="AJ1842" t="inlineStr">
        <is>
          <t>GLAD2GLOW</t>
        </is>
      </c>
      <c r="AK1842" t="n">
        <v>21</v>
      </c>
      <c r="AL1842" t="inlineStr">
        <is>
          <t>Miss Glam Damar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GLAD2GLOW</t>
        </is>
      </c>
      <c r="B1843" s="2">
        <f>"8809601379018"</f>
        <v/>
      </c>
      <c r="C1843" t="inlineStr">
        <is>
          <t>GLAD2GLOW Pomegranate 5% Niacinamide Brightening Moisturizer 30gr</t>
        </is>
      </c>
      <c r="D1843" t="inlineStr">
        <is>
          <t>Miss Glam Damar</t>
        </is>
      </c>
      <c r="E1843" t="n">
        <v>166</v>
      </c>
      <c r="F1843" t="n">
        <v>16.8441</v>
      </c>
      <c r="G1843" t="n">
        <v>29.12</v>
      </c>
      <c r="H1843" t="n">
        <v>1</v>
      </c>
      <c r="I1843" t="n">
        <v>5</v>
      </c>
      <c r="J1843" t="n">
        <v>3</v>
      </c>
      <c r="K1843" t="n">
        <v>0</v>
      </c>
      <c r="L1843" t="n">
        <v>37485</v>
      </c>
      <c r="M1843" t="n">
        <v>45000</v>
      </c>
      <c r="N1843" t="n">
        <v>91</v>
      </c>
      <c r="O1843" t="n">
        <v>0.91</v>
      </c>
      <c r="P1843" t="n">
        <v>1</v>
      </c>
      <c r="Q1843" t="n">
        <v>11.42</v>
      </c>
      <c r="R1843" t="n">
        <v>34</v>
      </c>
      <c r="S1843" t="n">
        <v>757984.5</v>
      </c>
      <c r="T1843" t="n">
        <v>129</v>
      </c>
      <c r="U1843" t="n">
        <v>146</v>
      </c>
      <c r="V1843" t="n">
        <v>30</v>
      </c>
      <c r="W1843" t="n">
        <v>506</v>
      </c>
      <c r="X1843" t="n">
        <v>9.85508278863222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10667</v>
      </c>
      <c r="AG1843" t="n">
        <v>2378</v>
      </c>
      <c r="AH1843" t="inlineStr">
        <is>
          <t>PT. KURNIA MAJU PERKASA - PPN (PDG)</t>
        </is>
      </c>
      <c r="AI1843" t="n">
        <v>1638</v>
      </c>
      <c r="AJ1843" t="inlineStr">
        <is>
          <t>GLAD2GLOW</t>
        </is>
      </c>
      <c r="AK1843" t="n">
        <v>21</v>
      </c>
      <c r="AL1843" t="inlineStr">
        <is>
          <t>Miss Glam Damar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GLAD2GLOW</t>
        </is>
      </c>
      <c r="B1844" s="2">
        <f>"8809639588871"</f>
        <v/>
      </c>
      <c r="C1844" t="inlineStr">
        <is>
          <t>GLAD2GLOW Pomegranate niacinamide brightening clay mask 30g</t>
        </is>
      </c>
      <c r="D1844" t="inlineStr">
        <is>
          <t>Miss Glam Damar</t>
        </is>
      </c>
      <c r="E1844" t="n">
        <v>3</v>
      </c>
      <c r="F1844" t="n">
        <v>0.1092</v>
      </c>
      <c r="G1844" t="n">
        <v>0.91</v>
      </c>
      <c r="H1844" t="n">
        <v>1</v>
      </c>
      <c r="I1844" t="n">
        <v>5</v>
      </c>
      <c r="J1844" t="n">
        <v>3</v>
      </c>
      <c r="K1844" t="n">
        <v>0</v>
      </c>
      <c r="L1844" t="n">
        <v>26655</v>
      </c>
      <c r="M1844" t="n">
        <v>34000</v>
      </c>
      <c r="N1844" t="n">
        <v>91</v>
      </c>
      <c r="O1844" t="n">
        <v>0.91</v>
      </c>
      <c r="P1844" t="n">
        <v>1</v>
      </c>
      <c r="Q1844" t="n">
        <v>0.07000000000000001</v>
      </c>
      <c r="R1844" t="n">
        <v>1</v>
      </c>
      <c r="S1844" t="n">
        <v>3712.8</v>
      </c>
      <c r="T1844" t="n">
        <v>5</v>
      </c>
      <c r="U1844" t="n">
        <v>6</v>
      </c>
      <c r="V1844" t="n">
        <v>30</v>
      </c>
      <c r="W1844" t="n">
        <v>4</v>
      </c>
      <c r="X1844" t="n">
        <v>27.47252747252747</v>
      </c>
      <c r="Y1844" t="n">
        <v>1</v>
      </c>
      <c r="Z1844" t="n">
        <v>1</v>
      </c>
      <c r="AA1844" t="n">
        <v>0</v>
      </c>
      <c r="AB1844" t="n">
        <v>1</v>
      </c>
      <c r="AC1844" t="n">
        <v>3</v>
      </c>
      <c r="AD1844" t="n">
        <v>0</v>
      </c>
      <c r="AE1844" t="n">
        <v>79965</v>
      </c>
      <c r="AF1844" t="n">
        <v>10667</v>
      </c>
      <c r="AG1844" t="n">
        <v>2378</v>
      </c>
      <c r="AH1844" t="inlineStr">
        <is>
          <t>PT. KURNIA MAJU PERKASA - PPN (PDG)</t>
        </is>
      </c>
      <c r="AI1844" t="n">
        <v>1638</v>
      </c>
      <c r="AJ1844" t="inlineStr">
        <is>
          <t>GLAD2GLOW</t>
        </is>
      </c>
      <c r="AK1844" t="n">
        <v>21</v>
      </c>
      <c r="AL1844" t="inlineStr">
        <is>
          <t>Miss Glam Damar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GLAD2GLOW</t>
        </is>
      </c>
      <c r="B1845" s="2">
        <f>"8809648937530"</f>
        <v/>
      </c>
      <c r="C1845" t="inlineStr">
        <is>
          <t>GLAD2GLOW Pomegranate Niacinamide Brightening Clay Stick 25gr</t>
        </is>
      </c>
      <c r="D1845" t="inlineStr">
        <is>
          <t>Miss Glam Damar</t>
        </is>
      </c>
      <c r="E1845" t="n">
        <v>38</v>
      </c>
      <c r="F1845" t="n">
        <v>2.2477</v>
      </c>
      <c r="G1845" t="n">
        <v>9.1</v>
      </c>
      <c r="H1845" t="n">
        <v>1</v>
      </c>
      <c r="I1845" t="n">
        <v>5</v>
      </c>
      <c r="J1845" t="n">
        <v>3</v>
      </c>
      <c r="K1845" t="n">
        <v>0</v>
      </c>
      <c r="L1845" t="n">
        <v>37485</v>
      </c>
      <c r="M1845" t="n">
        <v>45000</v>
      </c>
      <c r="N1845" t="n">
        <v>91</v>
      </c>
      <c r="O1845" t="n">
        <v>0.91</v>
      </c>
      <c r="P1845" t="n">
        <v>1</v>
      </c>
      <c r="Q1845" t="n">
        <v>1.9</v>
      </c>
      <c r="R1845" t="n">
        <v>7</v>
      </c>
      <c r="S1845" t="n">
        <v>101146.5</v>
      </c>
      <c r="T1845" t="n">
        <v>44</v>
      </c>
      <c r="U1845" t="n">
        <v>47</v>
      </c>
      <c r="V1845" t="n">
        <v>30</v>
      </c>
      <c r="W1845" t="n">
        <v>68</v>
      </c>
      <c r="X1845" t="n">
        <v>16.90617075232459</v>
      </c>
      <c r="Y1845" t="n">
        <v>1</v>
      </c>
      <c r="Z1845" t="n">
        <v>30</v>
      </c>
      <c r="AA1845" t="n">
        <v>0</v>
      </c>
      <c r="AB1845" t="n">
        <v>30</v>
      </c>
      <c r="AC1845" t="n">
        <v>30</v>
      </c>
      <c r="AD1845" t="n">
        <v>0</v>
      </c>
      <c r="AE1845" t="n">
        <v>1124550</v>
      </c>
      <c r="AF1845" t="n">
        <v>10667</v>
      </c>
      <c r="AG1845" t="n">
        <v>2378</v>
      </c>
      <c r="AH1845" t="inlineStr">
        <is>
          <t>PT. KURNIA MAJU PERKASA - PPN (PDG)</t>
        </is>
      </c>
      <c r="AI1845" t="n">
        <v>1638</v>
      </c>
      <c r="AJ1845" t="inlineStr">
        <is>
          <t>GLAD2GLOW</t>
        </is>
      </c>
      <c r="AK1845" t="n">
        <v>21</v>
      </c>
      <c r="AL1845" t="inlineStr">
        <is>
          <t>Miss Glam Damar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GLAD2GLOW</t>
        </is>
      </c>
      <c r="B1846" s="2">
        <f>"8809601379629"</f>
        <v/>
      </c>
      <c r="C1846" t="inlineStr">
        <is>
          <t>GLAD2GLOW Pomegranate Niacinamide Brightening Toner 80ml</t>
        </is>
      </c>
      <c r="D1846" t="inlineStr">
        <is>
          <t>Miss Glam Damar</t>
        </is>
      </c>
      <c r="E1846" t="n">
        <v>27</v>
      </c>
      <c r="F1846" t="n">
        <v>1.5379</v>
      </c>
      <c r="G1846" t="n">
        <v>3.64</v>
      </c>
      <c r="H1846" t="n">
        <v>1</v>
      </c>
      <c r="I1846" t="n">
        <v>5</v>
      </c>
      <c r="J1846" t="n">
        <v>3</v>
      </c>
      <c r="K1846" t="n">
        <v>0</v>
      </c>
      <c r="L1846" t="n">
        <v>37485</v>
      </c>
      <c r="M1846" t="n">
        <v>45000</v>
      </c>
      <c r="N1846" t="n">
        <v>91</v>
      </c>
      <c r="O1846" t="n">
        <v>0.91</v>
      </c>
      <c r="P1846" t="n">
        <v>1</v>
      </c>
      <c r="Q1846" t="n">
        <v>1.51</v>
      </c>
      <c r="R1846" t="n">
        <v>5</v>
      </c>
      <c r="S1846" t="n">
        <v>69205.5</v>
      </c>
      <c r="T1846" t="n">
        <v>17</v>
      </c>
      <c r="U1846" t="n">
        <v>19</v>
      </c>
      <c r="V1846" t="n">
        <v>30</v>
      </c>
      <c r="W1846" t="n">
        <v>47</v>
      </c>
      <c r="X1846" t="n">
        <v>17.55640808895247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10667</v>
      </c>
      <c r="AG1846" t="n">
        <v>2378</v>
      </c>
      <c r="AH1846" t="inlineStr">
        <is>
          <t>PT. KURNIA MAJU PERKASA - PPN (PDG)</t>
        </is>
      </c>
      <c r="AI1846" t="n">
        <v>1638</v>
      </c>
      <c r="AJ1846" t="inlineStr">
        <is>
          <t>GLAD2GLOW</t>
        </is>
      </c>
      <c r="AK1846" t="n">
        <v>21</v>
      </c>
      <c r="AL1846" t="inlineStr">
        <is>
          <t>Miss Glam Damar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GLAD2GLOW</t>
        </is>
      </c>
      <c r="B1847" s="2">
        <f>"10100725909"</f>
        <v/>
      </c>
      <c r="C1847" t="inlineStr">
        <is>
          <t>GLAD2GLOW Pore Clearing Micellar Water 130ml</t>
        </is>
      </c>
      <c r="D1847" t="inlineStr">
        <is>
          <t>Miss Glam Damar</t>
        </is>
      </c>
      <c r="E1847" t="n">
        <v>24</v>
      </c>
      <c r="F1847" t="n">
        <v>0.1547</v>
      </c>
      <c r="G1847" t="n">
        <v>1.82</v>
      </c>
      <c r="H1847" t="n">
        <v>1</v>
      </c>
      <c r="I1847" t="n">
        <v>5</v>
      </c>
      <c r="J1847" t="n">
        <v>1</v>
      </c>
      <c r="K1847" t="n">
        <v>0</v>
      </c>
      <c r="L1847" t="n">
        <v>24157</v>
      </c>
      <c r="M1847" t="n">
        <v>29000</v>
      </c>
      <c r="N1847" t="n">
        <v>91</v>
      </c>
      <c r="O1847" t="n">
        <v>0.91</v>
      </c>
      <c r="P1847" t="n">
        <v>1</v>
      </c>
      <c r="Q1847" t="n">
        <v>0.2</v>
      </c>
      <c r="R1847" t="n">
        <v>2</v>
      </c>
      <c r="S1847" t="n">
        <v>4486.3</v>
      </c>
      <c r="T1847" t="n">
        <v>9</v>
      </c>
      <c r="U1847" t="n">
        <v>10</v>
      </c>
      <c r="V1847" t="n">
        <v>30</v>
      </c>
      <c r="W1847" t="n">
        <v>5</v>
      </c>
      <c r="X1847" t="n">
        <v>155.1389786683904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10667</v>
      </c>
      <c r="AG1847" t="n">
        <v>2378</v>
      </c>
      <c r="AH1847" t="inlineStr">
        <is>
          <t>PT. KURNIA MAJU PERKASA - PPN (PDG)</t>
        </is>
      </c>
      <c r="AI1847" t="n">
        <v>1638</v>
      </c>
      <c r="AJ1847" t="inlineStr">
        <is>
          <t>GLAD2GLOW</t>
        </is>
      </c>
      <c r="AK1847" t="n">
        <v>21</v>
      </c>
      <c r="AL1847" t="inlineStr">
        <is>
          <t>Miss Glam Damar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GLAD2GLOW</t>
        </is>
      </c>
      <c r="B1848" s="2">
        <f>"10100726050"</f>
        <v/>
      </c>
      <c r="C1848" t="inlineStr">
        <is>
          <t>GLAD2GLOW Pore Clearing Micellar Water 300ml</t>
        </is>
      </c>
      <c r="D1848" t="inlineStr">
        <is>
          <t>Miss Glam Damar</t>
        </is>
      </c>
      <c r="E1848" t="n">
        <v>4</v>
      </c>
      <c r="F1848" t="n">
        <v>0.1729</v>
      </c>
      <c r="G1848" t="n">
        <v>1.82</v>
      </c>
      <c r="H1848" t="n">
        <v>1</v>
      </c>
      <c r="I1848" t="n">
        <v>5</v>
      </c>
      <c r="J1848" t="n">
        <v>1</v>
      </c>
      <c r="K1848" t="n">
        <v>0</v>
      </c>
      <c r="L1848" t="n">
        <v>40818</v>
      </c>
      <c r="M1848" t="n">
        <v>49000</v>
      </c>
      <c r="N1848" t="n">
        <v>91</v>
      </c>
      <c r="O1848" t="n">
        <v>0.91</v>
      </c>
      <c r="P1848" t="n">
        <v>1</v>
      </c>
      <c r="Q1848" t="n">
        <v>0.14</v>
      </c>
      <c r="R1848" t="n">
        <v>2</v>
      </c>
      <c r="S1848" t="n">
        <v>8472.1</v>
      </c>
      <c r="T1848" t="n">
        <v>9</v>
      </c>
      <c r="U1848" t="n">
        <v>10</v>
      </c>
      <c r="V1848" t="n">
        <v>30</v>
      </c>
      <c r="W1848" t="n">
        <v>6</v>
      </c>
      <c r="X1848" t="n">
        <v>23.13475997686524</v>
      </c>
      <c r="Y1848" t="n">
        <v>1</v>
      </c>
      <c r="Z1848" t="n">
        <v>2</v>
      </c>
      <c r="AA1848" t="n">
        <v>0</v>
      </c>
      <c r="AB1848" t="n">
        <v>2</v>
      </c>
      <c r="AC1848" t="n">
        <v>2</v>
      </c>
      <c r="AD1848" t="n">
        <v>0</v>
      </c>
      <c r="AE1848" t="n">
        <v>81636</v>
      </c>
      <c r="AF1848" t="n">
        <v>10667</v>
      </c>
      <c r="AG1848" t="n">
        <v>2378</v>
      </c>
      <c r="AH1848" t="inlineStr">
        <is>
          <t>PT. KURNIA MAJU PERKASA - PPN (PDG)</t>
        </is>
      </c>
      <c r="AI1848" t="n">
        <v>1638</v>
      </c>
      <c r="AJ1848" t="inlineStr">
        <is>
          <t>GLAD2GLOW</t>
        </is>
      </c>
      <c r="AK1848" t="n">
        <v>21</v>
      </c>
      <c r="AL1848" t="inlineStr">
        <is>
          <t>Miss Glam Damar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GLAD2GLOW</t>
        </is>
      </c>
      <c r="B1849" s="2">
        <f>"8809639408209"</f>
        <v/>
      </c>
      <c r="C1849" t="inlineStr">
        <is>
          <t>GLAD2GLOW Propolis Hyaluronic Acid Barrier Toner 80ml</t>
        </is>
      </c>
      <c r="D1849" t="inlineStr">
        <is>
          <t>Miss Glam Damar</t>
        </is>
      </c>
      <c r="E1849" t="n">
        <v>0</v>
      </c>
      <c r="F1849" t="n">
        <v>0.1274</v>
      </c>
      <c r="G1849" t="n">
        <v>1.82</v>
      </c>
      <c r="H1849" t="n">
        <v>1</v>
      </c>
      <c r="I1849" t="n">
        <v>5</v>
      </c>
      <c r="J1849" t="n">
        <v>3</v>
      </c>
      <c r="K1849" t="n">
        <v>0</v>
      </c>
      <c r="L1849" t="n">
        <v>37485</v>
      </c>
      <c r="M1849" t="n">
        <v>45500</v>
      </c>
      <c r="N1849" t="n">
        <v>91</v>
      </c>
      <c r="O1849" t="n">
        <v>0.91</v>
      </c>
      <c r="P1849" t="n">
        <v>1</v>
      </c>
      <c r="Q1849" t="n">
        <v>0.12</v>
      </c>
      <c r="R1849" t="n">
        <v>1</v>
      </c>
      <c r="S1849" t="n">
        <v>5796.700000000001</v>
      </c>
      <c r="T1849" t="n">
        <v>9</v>
      </c>
      <c r="U1849" t="n">
        <v>10</v>
      </c>
      <c r="V1849" t="n">
        <v>30</v>
      </c>
      <c r="W1849" t="n">
        <v>4</v>
      </c>
      <c r="X1849" t="n">
        <v>0</v>
      </c>
      <c r="Y1849" t="n">
        <v>1</v>
      </c>
      <c r="Z1849" t="n">
        <v>4</v>
      </c>
      <c r="AA1849" t="n">
        <v>1</v>
      </c>
      <c r="AB1849" t="n">
        <v>3</v>
      </c>
      <c r="AC1849" t="n">
        <v>3</v>
      </c>
      <c r="AD1849" t="n">
        <v>37485</v>
      </c>
      <c r="AE1849" t="n">
        <v>112455</v>
      </c>
      <c r="AF1849" t="n">
        <v>10667</v>
      </c>
      <c r="AG1849" t="n">
        <v>2378</v>
      </c>
      <c r="AH1849" t="inlineStr">
        <is>
          <t>PT. KURNIA MAJU PERKASA - PPN (PDG)</t>
        </is>
      </c>
      <c r="AI1849" t="n">
        <v>1638</v>
      </c>
      <c r="AJ1849" t="inlineStr">
        <is>
          <t>GLAD2GLOW</t>
        </is>
      </c>
      <c r="AK1849" t="n">
        <v>21</v>
      </c>
      <c r="AL1849" t="inlineStr">
        <is>
          <t>Miss Glam Damar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GLAD2GLOW</t>
        </is>
      </c>
      <c r="B1850" s="2">
        <f>"10300723233"</f>
        <v/>
      </c>
      <c r="C1850" t="inlineStr">
        <is>
          <t>GLAD2GLOW Sensitive Calming Moisturizer 30gr</t>
        </is>
      </c>
      <c r="D1850" t="inlineStr">
        <is>
          <t>Miss Glam Damar</t>
        </is>
      </c>
      <c r="E1850" t="n">
        <v>22</v>
      </c>
      <c r="F1850" t="n">
        <v>0.3822</v>
      </c>
      <c r="G1850" t="n">
        <v>2.73</v>
      </c>
      <c r="H1850" t="n">
        <v>1</v>
      </c>
      <c r="I1850" t="n">
        <v>5</v>
      </c>
      <c r="J1850" t="n">
        <v>1</v>
      </c>
      <c r="K1850" t="n">
        <v>0</v>
      </c>
      <c r="L1850" t="n">
        <v>37485</v>
      </c>
      <c r="M1850" t="n">
        <v>44500</v>
      </c>
      <c r="N1850" t="n">
        <v>91</v>
      </c>
      <c r="O1850" t="n">
        <v>0.91</v>
      </c>
      <c r="P1850" t="n">
        <v>1</v>
      </c>
      <c r="Q1850" t="n">
        <v>0.58</v>
      </c>
      <c r="R1850" t="n">
        <v>3</v>
      </c>
      <c r="S1850" t="n">
        <v>17007.9</v>
      </c>
      <c r="T1850" t="n">
        <v>14</v>
      </c>
      <c r="U1850" t="n">
        <v>15</v>
      </c>
      <c r="V1850" t="n">
        <v>30</v>
      </c>
      <c r="W1850" t="n">
        <v>12</v>
      </c>
      <c r="X1850" t="n">
        <v>57.56148613291471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10667</v>
      </c>
      <c r="AG1850" t="n">
        <v>2378</v>
      </c>
      <c r="AH1850" t="inlineStr">
        <is>
          <t>PT. KURNIA MAJU PERKASA - PPN (PDG)</t>
        </is>
      </c>
      <c r="AI1850" t="n">
        <v>1638</v>
      </c>
      <c r="AJ1850" t="inlineStr">
        <is>
          <t>GLAD2GLOW</t>
        </is>
      </c>
      <c r="AK1850" t="n">
        <v>21</v>
      </c>
      <c r="AL1850" t="inlineStr">
        <is>
          <t>Miss Glam Damar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GLAD2GLOW</t>
        </is>
      </c>
      <c r="B1851" s="2">
        <f>"10100725817"</f>
        <v/>
      </c>
      <c r="C1851" t="inlineStr">
        <is>
          <t>GLAD2GLOW Tremella Panthenol Micelar Water 230ml</t>
        </is>
      </c>
      <c r="D1851" t="inlineStr">
        <is>
          <t>Miss Glam Damar</t>
        </is>
      </c>
      <c r="E1851" t="n">
        <v>7</v>
      </c>
      <c r="F1851" t="n">
        <v>0.06370000000000001</v>
      </c>
      <c r="G1851" t="n">
        <v>0.91</v>
      </c>
      <c r="H1851" t="n">
        <v>1</v>
      </c>
      <c r="I1851" t="n">
        <v>5</v>
      </c>
      <c r="J1851" t="n">
        <v>1</v>
      </c>
      <c r="K1851" t="n">
        <v>0</v>
      </c>
      <c r="L1851" t="n">
        <v>32486</v>
      </c>
      <c r="M1851" t="n">
        <v>39000</v>
      </c>
      <c r="N1851" t="n">
        <v>91</v>
      </c>
      <c r="O1851" t="n">
        <v>0.91</v>
      </c>
      <c r="P1851" t="n">
        <v>1</v>
      </c>
      <c r="Q1851" t="n">
        <v>0.08</v>
      </c>
      <c r="R1851" t="n">
        <v>1</v>
      </c>
      <c r="S1851" t="n">
        <v>2484.3</v>
      </c>
      <c r="T1851" t="n">
        <v>5</v>
      </c>
      <c r="U1851" t="n">
        <v>6</v>
      </c>
      <c r="V1851" t="n">
        <v>30</v>
      </c>
      <c r="W1851" t="n">
        <v>2</v>
      </c>
      <c r="X1851" t="n">
        <v>109.8901098901099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10667</v>
      </c>
      <c r="AG1851" t="n">
        <v>2378</v>
      </c>
      <c r="AH1851" t="inlineStr">
        <is>
          <t>PT. KURNIA MAJU PERKASA - PPN (PDG)</t>
        </is>
      </c>
      <c r="AI1851" t="n">
        <v>1638</v>
      </c>
      <c r="AJ1851" t="inlineStr">
        <is>
          <t>GLAD2GLOW</t>
        </is>
      </c>
      <c r="AK1851" t="n">
        <v>21</v>
      </c>
      <c r="AL1851" t="inlineStr">
        <is>
          <t>Miss Glam Damar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GLAD2GLOW</t>
        </is>
      </c>
      <c r="B1852" s="2">
        <f>"8809639407455"</f>
        <v/>
      </c>
      <c r="C1852" t="inlineStr">
        <is>
          <t>GLAD2GLOW Tremella Panthenol Sensitive Care Micellar Water 130 ml</t>
        </is>
      </c>
      <c r="D1852" t="inlineStr">
        <is>
          <t>Miss Glam Damar</t>
        </is>
      </c>
      <c r="E1852" t="n">
        <v>10</v>
      </c>
      <c r="F1852" t="n">
        <v>0.3276</v>
      </c>
      <c r="G1852" t="n">
        <v>2.73</v>
      </c>
      <c r="H1852" t="n">
        <v>1</v>
      </c>
      <c r="I1852" t="n">
        <v>5</v>
      </c>
      <c r="J1852" t="n">
        <v>3</v>
      </c>
      <c r="K1852" t="n">
        <v>0</v>
      </c>
      <c r="L1852" t="n">
        <v>24156</v>
      </c>
      <c r="M1852" t="n">
        <v>31000</v>
      </c>
      <c r="N1852" t="n">
        <v>91</v>
      </c>
      <c r="O1852" t="n">
        <v>0.91</v>
      </c>
      <c r="P1852" t="n">
        <v>1</v>
      </c>
      <c r="Q1852" t="n">
        <v>0.29</v>
      </c>
      <c r="R1852" t="n">
        <v>1</v>
      </c>
      <c r="S1852" t="n">
        <v>10155.6</v>
      </c>
      <c r="T1852" t="n">
        <v>14</v>
      </c>
      <c r="U1852" t="n">
        <v>15</v>
      </c>
      <c r="V1852" t="n">
        <v>30</v>
      </c>
      <c r="W1852" t="n">
        <v>10</v>
      </c>
      <c r="X1852" t="n">
        <v>30.52503052503052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10667</v>
      </c>
      <c r="AG1852" t="n">
        <v>2378</v>
      </c>
      <c r="AH1852" t="inlineStr">
        <is>
          <t>PT. KURNIA MAJU PERKASA - PPN (PDG)</t>
        </is>
      </c>
      <c r="AI1852" t="n">
        <v>1638</v>
      </c>
      <c r="AJ1852" t="inlineStr">
        <is>
          <t>GLAD2GLOW</t>
        </is>
      </c>
      <c r="AK1852" t="n">
        <v>21</v>
      </c>
      <c r="AL1852" t="inlineStr">
        <is>
          <t>Miss Glam Damar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GLAD2GLOW</t>
        </is>
      </c>
      <c r="B1853" s="2">
        <f>"10100721421"</f>
        <v/>
      </c>
      <c r="C1853" t="inlineStr">
        <is>
          <t>GLAD2GLOW Tremella Panthenol Sensitive Care Micellar Water 300 ml</t>
        </is>
      </c>
      <c r="D1853" t="inlineStr">
        <is>
          <t>Miss Glam Damar</t>
        </is>
      </c>
      <c r="E1853" t="n">
        <v>7</v>
      </c>
      <c r="F1853" t="n">
        <v>0.8827</v>
      </c>
      <c r="G1853" t="n">
        <v>3.64</v>
      </c>
      <c r="H1853" t="n">
        <v>1</v>
      </c>
      <c r="I1853" t="n">
        <v>5</v>
      </c>
      <c r="J1853" t="n">
        <v>1</v>
      </c>
      <c r="K1853" t="n">
        <v>0</v>
      </c>
      <c r="L1853" t="n">
        <v>40816</v>
      </c>
      <c r="M1853" t="n">
        <v>49000</v>
      </c>
      <c r="N1853" t="n">
        <v>91</v>
      </c>
      <c r="O1853" t="n">
        <v>0.91</v>
      </c>
      <c r="P1853" t="n">
        <v>1</v>
      </c>
      <c r="Q1853" t="n">
        <v>0.59</v>
      </c>
      <c r="R1853" t="n">
        <v>4</v>
      </c>
      <c r="S1853" t="n">
        <v>43252.3</v>
      </c>
      <c r="T1853" t="n">
        <v>18</v>
      </c>
      <c r="U1853" t="n">
        <v>19</v>
      </c>
      <c r="V1853" t="n">
        <v>30</v>
      </c>
      <c r="W1853" t="n">
        <v>27</v>
      </c>
      <c r="X1853" t="n">
        <v>7.930214115781125</v>
      </c>
      <c r="Y1853" t="n">
        <v>1</v>
      </c>
      <c r="Z1853" t="n">
        <v>20</v>
      </c>
      <c r="AA1853" t="n">
        <v>0</v>
      </c>
      <c r="AB1853" t="n">
        <v>20</v>
      </c>
      <c r="AC1853" t="n">
        <v>20</v>
      </c>
      <c r="AD1853" t="n">
        <v>0</v>
      </c>
      <c r="AE1853" t="n">
        <v>816320</v>
      </c>
      <c r="AF1853" t="n">
        <v>10667</v>
      </c>
      <c r="AG1853" t="n">
        <v>2378</v>
      </c>
      <c r="AH1853" t="inlineStr">
        <is>
          <t>PT. KURNIA MAJU PERKASA - PPN (PDG)</t>
        </is>
      </c>
      <c r="AI1853" t="n">
        <v>1638</v>
      </c>
      <c r="AJ1853" t="inlineStr">
        <is>
          <t>GLAD2GLOW</t>
        </is>
      </c>
      <c r="AK1853" t="n">
        <v>21</v>
      </c>
      <c r="AL1853" t="inlineStr">
        <is>
          <t>Miss Glam Damar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GLAD2GLOW</t>
        </is>
      </c>
      <c r="B1854" s="2">
        <f>"101001111914"</f>
        <v/>
      </c>
      <c r="C1854" t="inlineStr">
        <is>
          <t>GLAD2GLOW Tremella Vita B5 Sensitive Calming Gel Cleanser 70ml</t>
        </is>
      </c>
      <c r="D1854" t="inlineStr">
        <is>
          <t>Miss Glam Damar</t>
        </is>
      </c>
      <c r="E1854" t="n">
        <v>11</v>
      </c>
      <c r="F1854" t="n">
        <v>0.4459</v>
      </c>
      <c r="G1854" t="n">
        <v>2.73</v>
      </c>
      <c r="H1854" t="n">
        <v>1</v>
      </c>
      <c r="I1854" t="n">
        <v>5</v>
      </c>
      <c r="J1854" t="n">
        <v>1</v>
      </c>
      <c r="K1854" t="n">
        <v>0</v>
      </c>
      <c r="L1854" t="n">
        <v>32487</v>
      </c>
      <c r="M1854" t="n">
        <v>39000</v>
      </c>
      <c r="N1854" t="n">
        <v>91</v>
      </c>
      <c r="O1854" t="n">
        <v>0.91</v>
      </c>
      <c r="P1854" t="n">
        <v>1</v>
      </c>
      <c r="Q1854" t="n">
        <v>0.44</v>
      </c>
      <c r="R1854" t="n">
        <v>4</v>
      </c>
      <c r="S1854" t="n">
        <v>17390.1</v>
      </c>
      <c r="T1854" t="n">
        <v>14</v>
      </c>
      <c r="U1854" t="n">
        <v>15</v>
      </c>
      <c r="V1854" t="n">
        <v>30</v>
      </c>
      <c r="W1854" t="n">
        <v>14</v>
      </c>
      <c r="X1854" t="n">
        <v>24.66920834267773</v>
      </c>
      <c r="Y1854" t="n">
        <v>1</v>
      </c>
      <c r="Z1854" t="n">
        <v>3</v>
      </c>
      <c r="AA1854" t="n">
        <v>0</v>
      </c>
      <c r="AB1854" t="n">
        <v>3</v>
      </c>
      <c r="AC1854" t="n">
        <v>3</v>
      </c>
      <c r="AD1854" t="n">
        <v>0</v>
      </c>
      <c r="AE1854" t="n">
        <v>97461</v>
      </c>
      <c r="AF1854" t="n">
        <v>10667</v>
      </c>
      <c r="AG1854" t="n">
        <v>2378</v>
      </c>
      <c r="AH1854" t="inlineStr">
        <is>
          <t>PT. KURNIA MAJU PERKASA - PPN (PDG)</t>
        </is>
      </c>
      <c r="AI1854" t="n">
        <v>1638</v>
      </c>
      <c r="AJ1854" t="inlineStr">
        <is>
          <t>GLAD2GLOW</t>
        </is>
      </c>
      <c r="AK1854" t="n">
        <v>21</v>
      </c>
      <c r="AL1854" t="inlineStr">
        <is>
          <t>Miss Glam Damar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GLAD2GLOW</t>
        </is>
      </c>
      <c r="B1855" s="2">
        <f>"30200427435"</f>
        <v/>
      </c>
      <c r="C1855" t="inlineStr">
        <is>
          <t>GLAD2GLOW Tropical Velvet Moist &amp; Smooth Body Serum 180ml</t>
        </is>
      </c>
      <c r="D1855" t="inlineStr">
        <is>
          <t>Miss Glam Damar</t>
        </is>
      </c>
      <c r="E1855" t="n">
        <v>5</v>
      </c>
      <c r="F1855" t="n">
        <v>0.1365</v>
      </c>
      <c r="G1855" t="n">
        <v>1.82</v>
      </c>
      <c r="H1855" t="n">
        <v>1</v>
      </c>
      <c r="I1855" t="n">
        <v>5</v>
      </c>
      <c r="J1855" t="n">
        <v>1</v>
      </c>
      <c r="K1855" t="n">
        <v>0</v>
      </c>
      <c r="L1855" t="n">
        <v>40816</v>
      </c>
      <c r="M1855" t="n">
        <v>49000</v>
      </c>
      <c r="N1855" t="n">
        <v>91</v>
      </c>
      <c r="O1855" t="n">
        <v>0.91</v>
      </c>
      <c r="P1855" t="n">
        <v>1</v>
      </c>
      <c r="Q1855" t="n">
        <v>0.07000000000000001</v>
      </c>
      <c r="R1855" t="n">
        <v>1</v>
      </c>
      <c r="S1855" t="n">
        <v>6688.500000000001</v>
      </c>
      <c r="T1855" t="n">
        <v>9</v>
      </c>
      <c r="U1855" t="n">
        <v>10</v>
      </c>
      <c r="V1855" t="n">
        <v>30</v>
      </c>
      <c r="W1855" t="n">
        <v>5</v>
      </c>
      <c r="X1855" t="n">
        <v>36.63003663003663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10667</v>
      </c>
      <c r="AG1855" t="n">
        <v>2378</v>
      </c>
      <c r="AH1855" t="inlineStr">
        <is>
          <t>PT. KURNIA MAJU PERKASA - PPN (PDG)</t>
        </is>
      </c>
      <c r="AI1855" t="n">
        <v>1638</v>
      </c>
      <c r="AJ1855" t="inlineStr">
        <is>
          <t>GLAD2GLOW</t>
        </is>
      </c>
      <c r="AK1855" t="n">
        <v>21</v>
      </c>
      <c r="AL1855" t="inlineStr">
        <is>
          <t>Miss Glam Damar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GLAD2GLOW</t>
        </is>
      </c>
      <c r="B1856" s="2">
        <f>"30200425959"</f>
        <v/>
      </c>
      <c r="C1856" t="inlineStr">
        <is>
          <t>GLAD2GLOW Tropical Velvet Moist &amp; Smooth Body Serum 300ml</t>
        </is>
      </c>
      <c r="D1856" t="inlineStr">
        <is>
          <t>Miss Glam Damar</t>
        </is>
      </c>
      <c r="E1856" t="n">
        <v>12</v>
      </c>
      <c r="F1856" t="n">
        <v>0.06370000000000001</v>
      </c>
      <c r="G1856" t="n">
        <v>0.91</v>
      </c>
      <c r="H1856" t="n">
        <v>1</v>
      </c>
      <c r="I1856" t="n">
        <v>5</v>
      </c>
      <c r="J1856" t="n">
        <v>1</v>
      </c>
      <c r="K1856" t="n">
        <v>0</v>
      </c>
      <c r="L1856" t="n">
        <v>57478</v>
      </c>
      <c r="M1856" t="n">
        <v>69000</v>
      </c>
      <c r="N1856" t="n">
        <v>91</v>
      </c>
      <c r="O1856" t="n">
        <v>0.91</v>
      </c>
      <c r="P1856" t="n">
        <v>1</v>
      </c>
      <c r="Q1856" t="n">
        <v>0.07000000000000001</v>
      </c>
      <c r="R1856" t="n">
        <v>1</v>
      </c>
      <c r="S1856" t="n">
        <v>4395.3</v>
      </c>
      <c r="T1856" t="n">
        <v>5</v>
      </c>
      <c r="U1856" t="n">
        <v>6</v>
      </c>
      <c r="V1856" t="n">
        <v>30</v>
      </c>
      <c r="W1856" t="n">
        <v>2</v>
      </c>
      <c r="X1856" t="n">
        <v>188.3830455259026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10667</v>
      </c>
      <c r="AG1856" t="n">
        <v>2378</v>
      </c>
      <c r="AH1856" t="inlineStr">
        <is>
          <t>PT. KURNIA MAJU PERKASA - PPN (PDG)</t>
        </is>
      </c>
      <c r="AI1856" t="n">
        <v>1638</v>
      </c>
      <c r="AJ1856" t="inlineStr">
        <is>
          <t>GLAD2GLOW</t>
        </is>
      </c>
      <c r="AK1856" t="n">
        <v>21</v>
      </c>
      <c r="AL1856" t="inlineStr">
        <is>
          <t>Miss Glam Damar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GLAD2GLOW</t>
        </is>
      </c>
      <c r="B1857" s="2">
        <f>"8809685004578"</f>
        <v/>
      </c>
      <c r="C1857" t="inlineStr">
        <is>
          <t>GLAD2GLOW Volcano 3D Acid Pore Clay Mask 30gr</t>
        </is>
      </c>
      <c r="D1857" t="inlineStr">
        <is>
          <t>Miss Glam Damar</t>
        </is>
      </c>
      <c r="E1857" t="n">
        <v>4</v>
      </c>
      <c r="F1857" t="n">
        <v>0.182</v>
      </c>
      <c r="G1857" t="n">
        <v>1.82</v>
      </c>
      <c r="H1857" t="n">
        <v>1</v>
      </c>
      <c r="I1857" t="n">
        <v>5</v>
      </c>
      <c r="J1857" t="n">
        <v>3</v>
      </c>
      <c r="K1857" t="n">
        <v>0</v>
      </c>
      <c r="L1857" t="n">
        <v>26655</v>
      </c>
      <c r="M1857" t="n">
        <v>33500</v>
      </c>
      <c r="N1857" t="n">
        <v>91</v>
      </c>
      <c r="O1857" t="n">
        <v>0.91</v>
      </c>
      <c r="P1857" t="n">
        <v>1</v>
      </c>
      <c r="Q1857" t="n">
        <v>0.07000000000000001</v>
      </c>
      <c r="R1857" t="n">
        <v>1</v>
      </c>
      <c r="S1857" t="n">
        <v>6097.000000000001</v>
      </c>
      <c r="T1857" t="n">
        <v>9</v>
      </c>
      <c r="U1857" t="n">
        <v>10</v>
      </c>
      <c r="V1857" t="n">
        <v>30</v>
      </c>
      <c r="W1857" t="n">
        <v>6</v>
      </c>
      <c r="X1857" t="n">
        <v>21.97802197802197</v>
      </c>
      <c r="Y1857" t="n">
        <v>1</v>
      </c>
      <c r="Z1857" t="n">
        <v>2</v>
      </c>
      <c r="AA1857" t="n">
        <v>0</v>
      </c>
      <c r="AB1857" t="n">
        <v>2</v>
      </c>
      <c r="AC1857" t="n">
        <v>3</v>
      </c>
      <c r="AD1857" t="n">
        <v>0</v>
      </c>
      <c r="AE1857" t="n">
        <v>79965</v>
      </c>
      <c r="AF1857" t="n">
        <v>10667</v>
      </c>
      <c r="AG1857" t="n">
        <v>2378</v>
      </c>
      <c r="AH1857" t="inlineStr">
        <is>
          <t>PT. KURNIA MAJU PERKASA - PPN (PDG)</t>
        </is>
      </c>
      <c r="AI1857" t="n">
        <v>1638</v>
      </c>
      <c r="AJ1857" t="inlineStr">
        <is>
          <t>GLAD2GLOW</t>
        </is>
      </c>
      <c r="AK1857" t="n">
        <v>21</v>
      </c>
      <c r="AL1857" t="inlineStr">
        <is>
          <t>Miss Glam Damar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GLAD2GLOW</t>
        </is>
      </c>
      <c r="B1858" s="2">
        <f>"8809613976489"</f>
        <v/>
      </c>
      <c r="C1858" t="inlineStr">
        <is>
          <t>GLAD2GLOW Volcano 3D Acid Pore Clay Stick 25gr</t>
        </is>
      </c>
      <c r="D1858" t="inlineStr">
        <is>
          <t>Miss Glam Damar</t>
        </is>
      </c>
      <c r="E1858" t="n">
        <v>20</v>
      </c>
      <c r="F1858" t="n">
        <v>1.8473</v>
      </c>
      <c r="G1858" t="n">
        <v>5.46</v>
      </c>
      <c r="H1858" t="n">
        <v>1</v>
      </c>
      <c r="I1858" t="n">
        <v>5</v>
      </c>
      <c r="J1858" t="n">
        <v>3</v>
      </c>
      <c r="K1858" t="n">
        <v>0</v>
      </c>
      <c r="L1858" t="n">
        <v>37485</v>
      </c>
      <c r="M1858" t="n">
        <v>45000</v>
      </c>
      <c r="N1858" t="n">
        <v>91</v>
      </c>
      <c r="O1858" t="n">
        <v>0.91</v>
      </c>
      <c r="P1858" t="n">
        <v>1</v>
      </c>
      <c r="Q1858" t="n">
        <v>1.41</v>
      </c>
      <c r="R1858" t="n">
        <v>7</v>
      </c>
      <c r="S1858" t="n">
        <v>83128.5</v>
      </c>
      <c r="T1858" t="n">
        <v>26</v>
      </c>
      <c r="U1858" t="n">
        <v>28</v>
      </c>
      <c r="V1858" t="n">
        <v>30</v>
      </c>
      <c r="W1858" t="n">
        <v>56</v>
      </c>
      <c r="X1858" t="n">
        <v>10.82661181183349</v>
      </c>
      <c r="Y1858" t="n">
        <v>1</v>
      </c>
      <c r="Z1858" t="n">
        <v>36</v>
      </c>
      <c r="AA1858" t="n">
        <v>0</v>
      </c>
      <c r="AB1858" t="n">
        <v>36</v>
      </c>
      <c r="AC1858" t="n">
        <v>36</v>
      </c>
      <c r="AD1858" t="n">
        <v>0</v>
      </c>
      <c r="AE1858" t="n">
        <v>1349460</v>
      </c>
      <c r="AF1858" t="n">
        <v>10667</v>
      </c>
      <c r="AG1858" t="n">
        <v>2378</v>
      </c>
      <c r="AH1858" t="inlineStr">
        <is>
          <t>PT. KURNIA MAJU PERKASA - PPN (PDG)</t>
        </is>
      </c>
      <c r="AI1858" t="n">
        <v>1638</v>
      </c>
      <c r="AJ1858" t="inlineStr">
        <is>
          <t>GLAD2GLOW</t>
        </is>
      </c>
      <c r="AK1858" t="n">
        <v>21</v>
      </c>
      <c r="AL1858" t="inlineStr">
        <is>
          <t>Miss Glam Damar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GLAD2GLOW</t>
        </is>
      </c>
      <c r="B1859" s="2">
        <f>"10300613627"</f>
        <v/>
      </c>
      <c r="C1859" t="inlineStr">
        <is>
          <t>GLAD2GLOW Yuja 377 Dark Spot Moisturizer 100ml</t>
        </is>
      </c>
      <c r="D1859" t="inlineStr">
        <is>
          <t>Miss Glam Damar</t>
        </is>
      </c>
      <c r="E1859" t="n">
        <v>3</v>
      </c>
      <c r="F1859" t="n">
        <v>0.0728</v>
      </c>
      <c r="G1859" t="n">
        <v>1.82</v>
      </c>
      <c r="H1859" t="n">
        <v>1</v>
      </c>
      <c r="I1859" t="n">
        <v>5</v>
      </c>
      <c r="J1859" t="n">
        <v>1</v>
      </c>
      <c r="K1859" t="n">
        <v>0</v>
      </c>
      <c r="L1859" t="n">
        <v>90789</v>
      </c>
      <c r="M1859" t="n">
        <v>109000</v>
      </c>
      <c r="N1859" t="n">
        <v>91</v>
      </c>
      <c r="O1859" t="n">
        <v>0.91</v>
      </c>
      <c r="P1859" t="n">
        <v>1</v>
      </c>
      <c r="Q1859" t="n">
        <v>0.1</v>
      </c>
      <c r="R1859" t="n">
        <v>2</v>
      </c>
      <c r="S1859" t="n">
        <v>7935.200000000001</v>
      </c>
      <c r="T1859" t="n">
        <v>10</v>
      </c>
      <c r="U1859" t="n">
        <v>11</v>
      </c>
      <c r="V1859" t="n">
        <v>30</v>
      </c>
      <c r="W1859" t="n">
        <v>3</v>
      </c>
      <c r="X1859" t="n">
        <v>41.2087912087912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10667</v>
      </c>
      <c r="AG1859" t="n">
        <v>2378</v>
      </c>
      <c r="AH1859" t="inlineStr">
        <is>
          <t>PT. KURNIA MAJU PERKASA - PPN (PDG)</t>
        </is>
      </c>
      <c r="AI1859" t="n">
        <v>1638</v>
      </c>
      <c r="AJ1859" t="inlineStr">
        <is>
          <t>GLAD2GLOW</t>
        </is>
      </c>
      <c r="AK1859" t="n">
        <v>21</v>
      </c>
      <c r="AL1859" t="inlineStr">
        <is>
          <t>Miss Glam Damar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GLAD2GLOW</t>
        </is>
      </c>
      <c r="B1860" s="2">
        <f>"8809650176491"</f>
        <v/>
      </c>
      <c r="C1860" t="inlineStr">
        <is>
          <t>GLAD2GLOW Yuja Symwhite 377 Dark Spot Moisturizer 30ml</t>
        </is>
      </c>
      <c r="D1860" t="inlineStr">
        <is>
          <t>Miss Glam Damar</t>
        </is>
      </c>
      <c r="E1860" t="n">
        <v>41</v>
      </c>
      <c r="F1860" t="n">
        <v>3.5308</v>
      </c>
      <c r="G1860" t="n">
        <v>9.1</v>
      </c>
      <c r="H1860" t="n">
        <v>1</v>
      </c>
      <c r="I1860" t="n">
        <v>5</v>
      </c>
      <c r="J1860" t="n">
        <v>3</v>
      </c>
      <c r="K1860" t="n">
        <v>0</v>
      </c>
      <c r="L1860" t="n">
        <v>40814</v>
      </c>
      <c r="M1860" t="n">
        <v>49000</v>
      </c>
      <c r="N1860" t="n">
        <v>91</v>
      </c>
      <c r="O1860" t="n">
        <v>0.91</v>
      </c>
      <c r="P1860" t="n">
        <v>1</v>
      </c>
      <c r="Q1860" t="n">
        <v>2.36</v>
      </c>
      <c r="R1860" t="n">
        <v>7</v>
      </c>
      <c r="S1860" t="n">
        <v>173009.2</v>
      </c>
      <c r="T1860" t="n">
        <v>42</v>
      </c>
      <c r="U1860" t="n">
        <v>46</v>
      </c>
      <c r="V1860" t="n">
        <v>30</v>
      </c>
      <c r="W1860" t="n">
        <v>106</v>
      </c>
      <c r="X1860" t="n">
        <v>11.61209924096522</v>
      </c>
      <c r="Y1860" t="n">
        <v>1</v>
      </c>
      <c r="Z1860" t="n">
        <v>65</v>
      </c>
      <c r="AA1860" t="n">
        <v>0</v>
      </c>
      <c r="AB1860" t="n">
        <v>65</v>
      </c>
      <c r="AC1860" t="n">
        <v>65</v>
      </c>
      <c r="AD1860" t="n">
        <v>0</v>
      </c>
      <c r="AE1860" t="n">
        <v>2652910</v>
      </c>
      <c r="AF1860" t="n">
        <v>10667</v>
      </c>
      <c r="AG1860" t="n">
        <v>2378</v>
      </c>
      <c r="AH1860" t="inlineStr">
        <is>
          <t>PT. KURNIA MAJU PERKASA - PPN (PDG)</t>
        </is>
      </c>
      <c r="AI1860" t="n">
        <v>1638</v>
      </c>
      <c r="AJ1860" t="inlineStr">
        <is>
          <t>GLAD2GLOW</t>
        </is>
      </c>
      <c r="AK1860" t="n">
        <v>21</v>
      </c>
      <c r="AL1860" t="inlineStr">
        <is>
          <t>Miss Glam Damar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GLAD2GLOW</t>
        </is>
      </c>
      <c r="B1861" s="2">
        <f>"8809650138963"</f>
        <v/>
      </c>
      <c r="C1861" t="inlineStr">
        <is>
          <t>GLAD2GLOW Yuja Symwhite 377 Dark Spot Serum 17ml</t>
        </is>
      </c>
      <c r="D1861" t="inlineStr">
        <is>
          <t>Miss Glam Damar</t>
        </is>
      </c>
      <c r="E1861" t="n">
        <v>17</v>
      </c>
      <c r="F1861" t="n">
        <v>2.0657</v>
      </c>
      <c r="G1861" t="n">
        <v>5.46</v>
      </c>
      <c r="H1861" t="n">
        <v>1</v>
      </c>
      <c r="I1861" t="n">
        <v>5</v>
      </c>
      <c r="J1861" t="n">
        <v>3</v>
      </c>
      <c r="K1861" t="n">
        <v>0</v>
      </c>
      <c r="L1861" t="n">
        <v>32613</v>
      </c>
      <c r="M1861" t="n">
        <v>49000</v>
      </c>
      <c r="N1861" t="n">
        <v>91</v>
      </c>
      <c r="O1861" t="n">
        <v>0.91</v>
      </c>
      <c r="P1861" t="n">
        <v>1</v>
      </c>
      <c r="Q1861" t="n">
        <v>1.17</v>
      </c>
      <c r="R1861" t="n">
        <v>6</v>
      </c>
      <c r="S1861" t="n">
        <v>101219.3</v>
      </c>
      <c r="T1861" t="n">
        <v>26</v>
      </c>
      <c r="U1861" t="n">
        <v>29</v>
      </c>
      <c r="V1861" t="n">
        <v>30</v>
      </c>
      <c r="W1861" t="n">
        <v>62</v>
      </c>
      <c r="X1861" t="n">
        <v>8.229655806748317</v>
      </c>
      <c r="Y1861" t="n">
        <v>1</v>
      </c>
      <c r="Z1861" t="n">
        <v>45</v>
      </c>
      <c r="AA1861" t="n">
        <v>0</v>
      </c>
      <c r="AB1861" t="n">
        <v>45</v>
      </c>
      <c r="AC1861" t="n">
        <v>45</v>
      </c>
      <c r="AD1861" t="n">
        <v>0</v>
      </c>
      <c r="AE1861" t="n">
        <v>1467585</v>
      </c>
      <c r="AF1861" t="n">
        <v>10667</v>
      </c>
      <c r="AG1861" t="n">
        <v>2378</v>
      </c>
      <c r="AH1861" t="inlineStr">
        <is>
          <t>PT. KURNIA MAJU PERKASA - PPN (PDG)</t>
        </is>
      </c>
      <c r="AI1861" t="n">
        <v>1638</v>
      </c>
      <c r="AJ1861" t="inlineStr">
        <is>
          <t>GLAD2GLOW</t>
        </is>
      </c>
      <c r="AK1861" t="n">
        <v>21</v>
      </c>
      <c r="AL1861" t="inlineStr">
        <is>
          <t>Miss Glam Damar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GLAD2GLOW</t>
        </is>
      </c>
      <c r="B1862" s="2">
        <f>"10100721447"</f>
        <v/>
      </c>
      <c r="C1862" t="inlineStr">
        <is>
          <t>GLAD2GLOW Yuja Vitamin C Glow Boosting Micellar Water 300ml</t>
        </is>
      </c>
      <c r="D1862" t="inlineStr">
        <is>
          <t>Miss Glam Damar</t>
        </is>
      </c>
      <c r="E1862" t="n">
        <v>0</v>
      </c>
      <c r="F1862" t="n">
        <v>0.0273</v>
      </c>
      <c r="G1862" t="n">
        <v>0.91</v>
      </c>
      <c r="H1862" t="n">
        <v>1</v>
      </c>
      <c r="I1862" t="n">
        <v>5</v>
      </c>
      <c r="J1862" t="n">
        <v>1</v>
      </c>
      <c r="K1862" t="n">
        <v>10</v>
      </c>
      <c r="L1862" t="n">
        <v>40817</v>
      </c>
      <c r="M1862" t="n">
        <v>49000</v>
      </c>
      <c r="N1862" t="n">
        <v>91</v>
      </c>
      <c r="O1862" t="n">
        <v>0.91</v>
      </c>
      <c r="P1862" t="n">
        <v>1</v>
      </c>
      <c r="Q1862" t="n">
        <v>0.4</v>
      </c>
      <c r="R1862" t="n">
        <v>2</v>
      </c>
      <c r="S1862" t="n">
        <v>1337.7</v>
      </c>
      <c r="T1862" t="n">
        <v>5</v>
      </c>
      <c r="U1862" t="n">
        <v>6</v>
      </c>
      <c r="V1862" t="n">
        <v>30</v>
      </c>
      <c r="W1862" t="n">
        <v>1</v>
      </c>
      <c r="X1862" t="n">
        <v>0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10667</v>
      </c>
      <c r="AG1862" t="n">
        <v>2378</v>
      </c>
      <c r="AH1862" t="inlineStr">
        <is>
          <t>PT. KURNIA MAJU PERKASA - PPN (PDG)</t>
        </is>
      </c>
      <c r="AI1862" t="n">
        <v>1638</v>
      </c>
      <c r="AJ1862" t="inlineStr">
        <is>
          <t>GLAD2GLOW</t>
        </is>
      </c>
      <c r="AK1862" t="n">
        <v>21</v>
      </c>
      <c r="AL1862" t="inlineStr">
        <is>
          <t>Miss Glam Damar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GLAMAZING</t>
        </is>
      </c>
      <c r="B1863" s="2">
        <f>"101001105512"</f>
        <v/>
      </c>
      <c r="C1863" t="inlineStr">
        <is>
          <t>GLAMAZING Acne Care SkinBubble 100ml</t>
        </is>
      </c>
      <c r="D1863" t="inlineStr">
        <is>
          <t>Miss Glam Damar</t>
        </is>
      </c>
      <c r="E1863" t="n">
        <v>1</v>
      </c>
      <c r="F1863" t="n">
        <v>0.02</v>
      </c>
      <c r="G1863" t="n">
        <v>1</v>
      </c>
      <c r="H1863" t="n">
        <v>4</v>
      </c>
      <c r="I1863" t="n">
        <v>21</v>
      </c>
      <c r="J1863" t="n">
        <v>3</v>
      </c>
      <c r="K1863" t="n">
        <v>0</v>
      </c>
      <c r="L1863" t="n">
        <v>31083</v>
      </c>
      <c r="M1863" t="n">
        <v>39000</v>
      </c>
      <c r="N1863" t="n">
        <v>91</v>
      </c>
      <c r="O1863" t="n">
        <v>0.91</v>
      </c>
      <c r="P1863" t="n">
        <v>0</v>
      </c>
      <c r="Q1863" t="n">
        <v>0.02</v>
      </c>
      <c r="R1863" t="n">
        <v>1</v>
      </c>
      <c r="S1863" t="n">
        <v>780</v>
      </c>
      <c r="T1863" t="n">
        <v>21</v>
      </c>
      <c r="U1863" t="n">
        <v>22</v>
      </c>
      <c r="V1863" t="n">
        <v>30</v>
      </c>
      <c r="W1863" t="n">
        <v>1</v>
      </c>
      <c r="X1863" t="n">
        <v>50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5121</v>
      </c>
      <c r="AG1863" t="n">
        <v>1</v>
      </c>
      <c r="AH1863" t="inlineStr">
        <is>
          <t>PT. BERSAMA DISTRIVERSA INDONESIA (DC CIPUTAT)</t>
        </is>
      </c>
      <c r="AI1863" t="n">
        <v>1942</v>
      </c>
      <c r="AJ1863" t="inlineStr">
        <is>
          <t>GLAMAZING</t>
        </is>
      </c>
      <c r="AK1863" t="n">
        <v>21</v>
      </c>
      <c r="AL1863" t="inlineStr">
        <is>
          <t>Miss Glam Damar</t>
        </is>
      </c>
      <c r="AM1863" t="n">
        <v>2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GLAMAZING</t>
        </is>
      </c>
      <c r="B1864" s="2">
        <f>"10300715310"</f>
        <v/>
      </c>
      <c r="C1864" t="inlineStr">
        <is>
          <t>GLAMAZING Multipurpose Soothing Skinditioner 200ml</t>
        </is>
      </c>
      <c r="D1864" t="inlineStr">
        <is>
          <t>Miss Glam Damar</t>
        </is>
      </c>
      <c r="E1864" t="n">
        <v>0</v>
      </c>
      <c r="F1864" t="n">
        <v>0.11</v>
      </c>
      <c r="G1864" t="n">
        <v>1</v>
      </c>
      <c r="H1864" t="n">
        <v>4</v>
      </c>
      <c r="I1864" t="n">
        <v>21</v>
      </c>
      <c r="J1864" t="n">
        <v>3</v>
      </c>
      <c r="K1864" t="n">
        <v>0</v>
      </c>
      <c r="L1864" t="n">
        <v>51825</v>
      </c>
      <c r="M1864" t="n">
        <v>70000</v>
      </c>
      <c r="N1864" t="n">
        <v>91</v>
      </c>
      <c r="O1864" t="n">
        <v>0.91</v>
      </c>
      <c r="P1864" t="n">
        <v>0</v>
      </c>
      <c r="Q1864" t="n">
        <v>0.11</v>
      </c>
      <c r="R1864" t="n">
        <v>1</v>
      </c>
      <c r="S1864" t="n">
        <v>7700</v>
      </c>
      <c r="T1864" t="n">
        <v>21</v>
      </c>
      <c r="U1864" t="n">
        <v>22</v>
      </c>
      <c r="V1864" t="n">
        <v>30</v>
      </c>
      <c r="W1864" t="n">
        <v>4</v>
      </c>
      <c r="X1864" t="n">
        <v>0</v>
      </c>
      <c r="Y1864" t="n">
        <v>1</v>
      </c>
      <c r="Z1864" t="n">
        <v>4</v>
      </c>
      <c r="AA1864" t="n">
        <v>3</v>
      </c>
      <c r="AB1864" t="n">
        <v>1</v>
      </c>
      <c r="AC1864" t="n">
        <v>3</v>
      </c>
      <c r="AD1864" t="n">
        <v>155475</v>
      </c>
      <c r="AE1864" t="n">
        <v>155475</v>
      </c>
      <c r="AF1864" t="n">
        <v>5121</v>
      </c>
      <c r="AG1864" t="n">
        <v>1</v>
      </c>
      <c r="AH1864" t="inlineStr">
        <is>
          <t>PT. BERSAMA DISTRIVERSA INDONESIA (DC CIPUTAT)</t>
        </is>
      </c>
      <c r="AI1864" t="n">
        <v>1942</v>
      </c>
      <c r="AJ1864" t="inlineStr">
        <is>
          <t>GLAMAZING</t>
        </is>
      </c>
      <c r="AK1864" t="n">
        <v>21</v>
      </c>
      <c r="AL1864" t="inlineStr">
        <is>
          <t>Miss Glam Damar</t>
        </is>
      </c>
      <c r="AM1864" t="n">
        <v>2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GLAMAZING</t>
        </is>
      </c>
      <c r="B1865" s="2">
        <f>"101001105334"</f>
        <v/>
      </c>
      <c r="C1865" t="inlineStr">
        <is>
          <t>GLAMAZING Radiance Double Refresh SkinBubble 100ml</t>
        </is>
      </c>
      <c r="D1865" t="inlineStr">
        <is>
          <t>Miss Glam Damar</t>
        </is>
      </c>
      <c r="E1865" t="n">
        <v>4</v>
      </c>
      <c r="F1865" t="n">
        <v>0.02</v>
      </c>
      <c r="G1865" t="n">
        <v>1</v>
      </c>
      <c r="H1865" t="n">
        <v>4</v>
      </c>
      <c r="I1865" t="n">
        <v>21</v>
      </c>
      <c r="J1865" t="n">
        <v>3</v>
      </c>
      <c r="K1865" t="n">
        <v>0</v>
      </c>
      <c r="L1865" t="n">
        <v>33004</v>
      </c>
      <c r="M1865" t="n">
        <v>39000</v>
      </c>
      <c r="N1865" t="n">
        <v>91</v>
      </c>
      <c r="O1865" t="n">
        <v>0.91</v>
      </c>
      <c r="P1865" t="n">
        <v>0</v>
      </c>
      <c r="Q1865" t="n">
        <v>0.02</v>
      </c>
      <c r="R1865" t="n">
        <v>1</v>
      </c>
      <c r="S1865" t="n">
        <v>780</v>
      </c>
      <c r="T1865" t="n">
        <v>21</v>
      </c>
      <c r="U1865" t="n">
        <v>22</v>
      </c>
      <c r="V1865" t="n">
        <v>30</v>
      </c>
      <c r="W1865" t="n">
        <v>1</v>
      </c>
      <c r="X1865" t="n">
        <v>200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5121</v>
      </c>
      <c r="AG1865" t="n">
        <v>1</v>
      </c>
      <c r="AH1865" t="inlineStr">
        <is>
          <t>PT. BERSAMA DISTRIVERSA INDONESIA (DC CIPUTAT)</t>
        </is>
      </c>
      <c r="AI1865" t="n">
        <v>1942</v>
      </c>
      <c r="AJ1865" t="inlineStr">
        <is>
          <t>GLAMAZING</t>
        </is>
      </c>
      <c r="AK1865" t="n">
        <v>21</v>
      </c>
      <c r="AL1865" t="inlineStr">
        <is>
          <t>Miss Glam Damar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GLAMFIX</t>
        </is>
      </c>
      <c r="B1866" s="2">
        <f>"8991748003854"</f>
        <v/>
      </c>
      <c r="C1866" t="inlineStr">
        <is>
          <t>GLAMFIX  Beauty Sponge Lemon</t>
        </is>
      </c>
      <c r="D1866" t="inlineStr">
        <is>
          <t>Miss Glam Damar</t>
        </is>
      </c>
      <c r="E1866" t="n">
        <v>14</v>
      </c>
      <c r="F1866" t="n">
        <v>0.3367</v>
      </c>
      <c r="G1866" t="n">
        <v>1.82</v>
      </c>
      <c r="H1866" t="n">
        <v>2</v>
      </c>
      <c r="I1866" t="n">
        <v>9</v>
      </c>
      <c r="J1866" t="n">
        <v>3</v>
      </c>
      <c r="K1866" t="n">
        <v>0</v>
      </c>
      <c r="L1866" t="n">
        <v>14320</v>
      </c>
      <c r="M1866" t="n">
        <v>17900</v>
      </c>
      <c r="N1866" t="n">
        <v>91</v>
      </c>
      <c r="O1866" t="n">
        <v>0.91</v>
      </c>
      <c r="P1866" t="n">
        <v>1</v>
      </c>
      <c r="Q1866" t="n">
        <v>0.5600000000000001</v>
      </c>
      <c r="R1866" t="n">
        <v>4</v>
      </c>
      <c r="S1866" t="n">
        <v>6026.93</v>
      </c>
      <c r="T1866" t="n">
        <v>16</v>
      </c>
      <c r="U1866" t="n">
        <v>17</v>
      </c>
      <c r="V1866" t="n">
        <v>30</v>
      </c>
      <c r="W1866" t="n">
        <v>11</v>
      </c>
      <c r="X1866" t="n">
        <v>41.58004158004158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10371</v>
      </c>
      <c r="AG1866" t="n">
        <v>170</v>
      </c>
      <c r="AH1866" t="inlineStr">
        <is>
          <t>PT. JALUR MANDIRI UTAMA - PPN (PDG)</t>
        </is>
      </c>
      <c r="AI1866" t="n">
        <v>487</v>
      </c>
      <c r="AJ1866" t="inlineStr">
        <is>
          <t>GLAMFIX</t>
        </is>
      </c>
      <c r="AK1866" t="n">
        <v>21</v>
      </c>
      <c r="AL1866" t="inlineStr">
        <is>
          <t>Miss Glam Damar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GLAMFIX</t>
        </is>
      </c>
      <c r="B1867" s="2">
        <f>"8997227897372"</f>
        <v/>
      </c>
      <c r="C1867" t="inlineStr">
        <is>
          <t>GLAMFIX Adhesive Lash Liner</t>
        </is>
      </c>
      <c r="D1867" t="inlineStr">
        <is>
          <t>Miss Glam Damar</t>
        </is>
      </c>
      <c r="E1867" t="n">
        <v>0</v>
      </c>
      <c r="F1867" t="n">
        <v>0.22</v>
      </c>
      <c r="G1867" t="n">
        <v>2</v>
      </c>
      <c r="H1867" t="n">
        <v>2</v>
      </c>
      <c r="I1867" t="n">
        <v>9</v>
      </c>
      <c r="J1867" t="n">
        <v>3</v>
      </c>
      <c r="K1867" t="n">
        <v>0</v>
      </c>
      <c r="L1867" t="n">
        <v>27120</v>
      </c>
      <c r="M1867" t="n">
        <v>33900</v>
      </c>
      <c r="N1867" t="n">
        <v>91</v>
      </c>
      <c r="O1867" t="n">
        <v>0.91</v>
      </c>
      <c r="P1867" t="n">
        <v>0</v>
      </c>
      <c r="Q1867" t="n">
        <v>0.22</v>
      </c>
      <c r="R1867" t="n">
        <v>2</v>
      </c>
      <c r="S1867" t="n">
        <v>7458</v>
      </c>
      <c r="T1867" t="n">
        <v>18</v>
      </c>
      <c r="U1867" t="n">
        <v>19</v>
      </c>
      <c r="V1867" t="n">
        <v>30</v>
      </c>
      <c r="W1867" t="n">
        <v>7</v>
      </c>
      <c r="X1867" t="n">
        <v>0</v>
      </c>
      <c r="Y1867" t="n">
        <v>1</v>
      </c>
      <c r="Z1867" t="n">
        <v>7</v>
      </c>
      <c r="AA1867" t="n">
        <v>2</v>
      </c>
      <c r="AB1867" t="n">
        <v>5</v>
      </c>
      <c r="AC1867" t="n">
        <v>5</v>
      </c>
      <c r="AD1867" t="n">
        <v>54240</v>
      </c>
      <c r="AE1867" t="n">
        <v>135600</v>
      </c>
      <c r="AF1867" t="n">
        <v>10371</v>
      </c>
      <c r="AG1867" t="n">
        <v>170</v>
      </c>
      <c r="AH1867" t="inlineStr">
        <is>
          <t>PT. JALUR MANDIRI UTAMA - PPN (PDG)</t>
        </is>
      </c>
      <c r="AI1867" t="n">
        <v>487</v>
      </c>
      <c r="AJ1867" t="inlineStr">
        <is>
          <t>GLAMFIX</t>
        </is>
      </c>
      <c r="AK1867" t="n">
        <v>21</v>
      </c>
      <c r="AL1867" t="inlineStr">
        <is>
          <t>Miss Glam Damar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GLAMFIX</t>
        </is>
      </c>
      <c r="B1868" s="2">
        <f>"8859588112184"</f>
        <v/>
      </c>
      <c r="C1868" t="inlineStr">
        <is>
          <t>GLAMFIX Basic Compact Sponge Circle</t>
        </is>
      </c>
      <c r="D1868" t="inlineStr">
        <is>
          <t>Miss Glam Damar</t>
        </is>
      </c>
      <c r="E1868" t="n">
        <v>26</v>
      </c>
      <c r="F1868" t="n">
        <v>0.9282</v>
      </c>
      <c r="G1868" t="n">
        <v>7.28</v>
      </c>
      <c r="H1868" t="n">
        <v>2</v>
      </c>
      <c r="I1868" t="n">
        <v>9</v>
      </c>
      <c r="J1868" t="n">
        <v>3</v>
      </c>
      <c r="K1868" t="n">
        <v>0</v>
      </c>
      <c r="L1868" t="n">
        <v>8720</v>
      </c>
      <c r="M1868" t="n">
        <v>10900</v>
      </c>
      <c r="N1868" t="n">
        <v>91</v>
      </c>
      <c r="O1868" t="n">
        <v>0.91</v>
      </c>
      <c r="P1868" t="n">
        <v>1</v>
      </c>
      <c r="Q1868" t="n">
        <v>0.75</v>
      </c>
      <c r="R1868" t="n">
        <v>4</v>
      </c>
      <c r="S1868" t="n">
        <v>10117.38</v>
      </c>
      <c r="T1868" t="n">
        <v>64</v>
      </c>
      <c r="U1868" t="n">
        <v>66</v>
      </c>
      <c r="V1868" t="n">
        <v>30</v>
      </c>
      <c r="W1868" t="n">
        <v>28</v>
      </c>
      <c r="X1868" t="n">
        <v>28.01120448179272</v>
      </c>
      <c r="Y1868" t="n">
        <v>1</v>
      </c>
      <c r="Z1868" t="n">
        <v>2</v>
      </c>
      <c r="AA1868" t="n">
        <v>0</v>
      </c>
      <c r="AB1868" t="n">
        <v>2</v>
      </c>
      <c r="AC1868" t="n">
        <v>3</v>
      </c>
      <c r="AD1868" t="n">
        <v>0</v>
      </c>
      <c r="AE1868" t="n">
        <v>26160</v>
      </c>
      <c r="AF1868" t="n">
        <v>10371</v>
      </c>
      <c r="AG1868" t="n">
        <v>170</v>
      </c>
      <c r="AH1868" t="inlineStr">
        <is>
          <t>PT. JALUR MANDIRI UTAMA - PPN (PDG)</t>
        </is>
      </c>
      <c r="AI1868" t="n">
        <v>487</v>
      </c>
      <c r="AJ1868" t="inlineStr">
        <is>
          <t>GLAMFIX</t>
        </is>
      </c>
      <c r="AK1868" t="n">
        <v>21</v>
      </c>
      <c r="AL1868" t="inlineStr">
        <is>
          <t>Miss Glam Damar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GLAMFIX</t>
        </is>
      </c>
      <c r="B1869" s="2">
        <f>"8859588112177"</f>
        <v/>
      </c>
      <c r="C1869" t="inlineStr">
        <is>
          <t>GLAMFIX Basic Compact Sponge Square</t>
        </is>
      </c>
      <c r="D1869" t="inlineStr">
        <is>
          <t>Miss Glam Damar</t>
        </is>
      </c>
      <c r="E1869" t="n">
        <v>59</v>
      </c>
      <c r="F1869" t="n">
        <v>1.4469</v>
      </c>
      <c r="G1869" t="n">
        <v>5.46</v>
      </c>
      <c r="H1869" t="n">
        <v>2</v>
      </c>
      <c r="I1869" t="n">
        <v>9</v>
      </c>
      <c r="J1869" t="n">
        <v>3</v>
      </c>
      <c r="K1869" t="n">
        <v>0</v>
      </c>
      <c r="L1869" t="n">
        <v>8720</v>
      </c>
      <c r="M1869" t="n">
        <v>10900</v>
      </c>
      <c r="N1869" t="n">
        <v>91</v>
      </c>
      <c r="O1869" t="n">
        <v>0.91</v>
      </c>
      <c r="P1869" t="n">
        <v>1</v>
      </c>
      <c r="Q1869" t="n">
        <v>0.76</v>
      </c>
      <c r="R1869" t="n">
        <v>4</v>
      </c>
      <c r="S1869" t="n">
        <v>15771.21</v>
      </c>
      <c r="T1869" t="n">
        <v>47</v>
      </c>
      <c r="U1869" t="n">
        <v>50</v>
      </c>
      <c r="V1869" t="n">
        <v>30</v>
      </c>
      <c r="W1869" t="n">
        <v>44</v>
      </c>
      <c r="X1869" t="n">
        <v>40.77683322966342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10371</v>
      </c>
      <c r="AG1869" t="n">
        <v>170</v>
      </c>
      <c r="AH1869" t="inlineStr">
        <is>
          <t>PT. JALUR MANDIRI UTAMA - PPN (PDG)</t>
        </is>
      </c>
      <c r="AI1869" t="n">
        <v>487</v>
      </c>
      <c r="AJ1869" t="inlineStr">
        <is>
          <t>GLAMFIX</t>
        </is>
      </c>
      <c r="AK1869" t="n">
        <v>21</v>
      </c>
      <c r="AL1869" t="inlineStr">
        <is>
          <t>Miss Glam Damar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GLAMFIX</t>
        </is>
      </c>
      <c r="B1870" s="2">
        <f>"8997227895163"</f>
        <v/>
      </c>
      <c r="C1870" t="inlineStr">
        <is>
          <t>GLAMFIX Beauty Sponge Fabulous Sculpture</t>
        </is>
      </c>
      <c r="D1870" t="inlineStr">
        <is>
          <t>Miss Glam Damar</t>
        </is>
      </c>
      <c r="E1870" t="n">
        <v>43</v>
      </c>
      <c r="F1870" t="n">
        <v>0.5369</v>
      </c>
      <c r="G1870" t="n">
        <v>2.73</v>
      </c>
      <c r="H1870" t="n">
        <v>2</v>
      </c>
      <c r="I1870" t="n">
        <v>9</v>
      </c>
      <c r="J1870" t="n">
        <v>3</v>
      </c>
      <c r="K1870" t="n">
        <v>0</v>
      </c>
      <c r="L1870" t="n">
        <v>13520</v>
      </c>
      <c r="M1870" t="n">
        <v>16900</v>
      </c>
      <c r="N1870" t="n">
        <v>91</v>
      </c>
      <c r="O1870" t="n">
        <v>0.91</v>
      </c>
      <c r="P1870" t="n">
        <v>1</v>
      </c>
      <c r="Q1870" t="n">
        <v>0.61</v>
      </c>
      <c r="R1870" t="n">
        <v>3</v>
      </c>
      <c r="S1870" t="n">
        <v>9073.610000000001</v>
      </c>
      <c r="T1870" t="n">
        <v>24</v>
      </c>
      <c r="U1870" t="n">
        <v>26</v>
      </c>
      <c r="V1870" t="n">
        <v>30</v>
      </c>
      <c r="W1870" t="n">
        <v>17</v>
      </c>
      <c r="X1870" t="n">
        <v>80.08940212330042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10371</v>
      </c>
      <c r="AG1870" t="n">
        <v>170</v>
      </c>
      <c r="AH1870" t="inlineStr">
        <is>
          <t>PT. JALUR MANDIRI UTAMA - PPN (PDG)</t>
        </is>
      </c>
      <c r="AI1870" t="n">
        <v>487</v>
      </c>
      <c r="AJ1870" t="inlineStr">
        <is>
          <t>GLAMFIX</t>
        </is>
      </c>
      <c r="AK1870" t="n">
        <v>21</v>
      </c>
      <c r="AL1870" t="inlineStr">
        <is>
          <t>Miss Glam Damar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GLAMFIX</t>
        </is>
      </c>
      <c r="B1871" s="2">
        <f>"8991748003885"</f>
        <v/>
      </c>
      <c r="C1871" t="inlineStr">
        <is>
          <t>GLAMFIX Beauty Sponge Orange</t>
        </is>
      </c>
      <c r="D1871" t="inlineStr">
        <is>
          <t>Miss Glam Damar</t>
        </is>
      </c>
      <c r="E1871" t="n">
        <v>5</v>
      </c>
      <c r="F1871" t="n">
        <v>0.2275</v>
      </c>
      <c r="G1871" t="n">
        <v>2.73</v>
      </c>
      <c r="H1871" t="n">
        <v>2</v>
      </c>
      <c r="I1871" t="n">
        <v>9</v>
      </c>
      <c r="J1871" t="n">
        <v>3</v>
      </c>
      <c r="K1871" t="n">
        <v>0</v>
      </c>
      <c r="L1871" t="n">
        <v>14320</v>
      </c>
      <c r="M1871" t="n">
        <v>17900</v>
      </c>
      <c r="N1871" t="n">
        <v>91</v>
      </c>
      <c r="O1871" t="n">
        <v>0.91</v>
      </c>
      <c r="P1871" t="n">
        <v>1</v>
      </c>
      <c r="Q1871" t="n">
        <v>0.32</v>
      </c>
      <c r="R1871" t="n">
        <v>3</v>
      </c>
      <c r="S1871" t="n">
        <v>4072.25</v>
      </c>
      <c r="T1871" t="n">
        <v>25</v>
      </c>
      <c r="U1871" t="n">
        <v>26</v>
      </c>
      <c r="V1871" t="n">
        <v>30</v>
      </c>
      <c r="W1871" t="n">
        <v>7</v>
      </c>
      <c r="X1871" t="n">
        <v>21.97802197802198</v>
      </c>
      <c r="Y1871" t="n">
        <v>1</v>
      </c>
      <c r="Z1871" t="n">
        <v>2</v>
      </c>
      <c r="AA1871" t="n">
        <v>0</v>
      </c>
      <c r="AB1871" t="n">
        <v>2</v>
      </c>
      <c r="AC1871" t="n">
        <v>3</v>
      </c>
      <c r="AD1871" t="n">
        <v>0</v>
      </c>
      <c r="AE1871" t="n">
        <v>42960</v>
      </c>
      <c r="AF1871" t="n">
        <v>10371</v>
      </c>
      <c r="AG1871" t="n">
        <v>170</v>
      </c>
      <c r="AH1871" t="inlineStr">
        <is>
          <t>PT. JALUR MANDIRI UTAMA - PPN (PDG)</t>
        </is>
      </c>
      <c r="AI1871" t="n">
        <v>487</v>
      </c>
      <c r="AJ1871" t="inlineStr">
        <is>
          <t>GLAMFIX</t>
        </is>
      </c>
      <c r="AK1871" t="n">
        <v>21</v>
      </c>
      <c r="AL1871" t="inlineStr">
        <is>
          <t>Miss Glam Damar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GLAMFIX</t>
        </is>
      </c>
      <c r="B1872" s="2">
        <f>"8991748003861"</f>
        <v/>
      </c>
      <c r="C1872" t="inlineStr">
        <is>
          <t>GLAMFIX Beauty Sponge Peachy</t>
        </is>
      </c>
      <c r="D1872" t="inlineStr">
        <is>
          <t>Miss Glam Damar</t>
        </is>
      </c>
      <c r="E1872" t="n">
        <v>0</v>
      </c>
      <c r="F1872" t="n">
        <v>0.2457</v>
      </c>
      <c r="G1872" t="n">
        <v>1.82</v>
      </c>
      <c r="H1872" t="n">
        <v>2</v>
      </c>
      <c r="I1872" t="n">
        <v>9</v>
      </c>
      <c r="J1872" t="n">
        <v>3</v>
      </c>
      <c r="K1872" t="n">
        <v>0</v>
      </c>
      <c r="L1872" t="n">
        <v>14320</v>
      </c>
      <c r="M1872" t="n">
        <v>17900</v>
      </c>
      <c r="N1872" t="n">
        <v>91</v>
      </c>
      <c r="O1872" t="n">
        <v>0.91</v>
      </c>
      <c r="P1872" t="n">
        <v>1</v>
      </c>
      <c r="Q1872" t="n">
        <v>0.34</v>
      </c>
      <c r="R1872" t="n">
        <v>2</v>
      </c>
      <c r="S1872" t="n">
        <v>4398.030000000001</v>
      </c>
      <c r="T1872" t="n">
        <v>16</v>
      </c>
      <c r="U1872" t="n">
        <v>17</v>
      </c>
      <c r="V1872" t="n">
        <v>30</v>
      </c>
      <c r="W1872" t="n">
        <v>8</v>
      </c>
      <c r="X1872" t="n">
        <v>0</v>
      </c>
      <c r="Y1872" t="n">
        <v>1</v>
      </c>
      <c r="Z1872" t="n">
        <v>8</v>
      </c>
      <c r="AA1872" t="n">
        <v>3</v>
      </c>
      <c r="AB1872" t="n">
        <v>5</v>
      </c>
      <c r="AC1872" t="n">
        <v>5</v>
      </c>
      <c r="AD1872" t="n">
        <v>42960</v>
      </c>
      <c r="AE1872" t="n">
        <v>71600</v>
      </c>
      <c r="AF1872" t="n">
        <v>10371</v>
      </c>
      <c r="AG1872" t="n">
        <v>170</v>
      </c>
      <c r="AH1872" t="inlineStr">
        <is>
          <t>PT. JALUR MANDIRI UTAMA - PPN (PDG)</t>
        </is>
      </c>
      <c r="AI1872" t="n">
        <v>487</v>
      </c>
      <c r="AJ1872" t="inlineStr">
        <is>
          <t>GLAMFIX</t>
        </is>
      </c>
      <c r="AK1872" t="n">
        <v>21</v>
      </c>
      <c r="AL1872" t="inlineStr">
        <is>
          <t>Miss Glam Damar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GLAMFIX</t>
        </is>
      </c>
      <c r="B1873" s="2">
        <f>"8997227895774"</f>
        <v/>
      </c>
      <c r="C1873" t="inlineStr">
        <is>
          <t>GLAMFIX Camelia Loose Powder Puff</t>
        </is>
      </c>
      <c r="D1873" t="inlineStr">
        <is>
          <t>Miss Glam Damar</t>
        </is>
      </c>
      <c r="E1873" t="n">
        <v>51</v>
      </c>
      <c r="F1873" t="n">
        <v>1.9474</v>
      </c>
      <c r="G1873" t="n">
        <v>8.19</v>
      </c>
      <c r="H1873" t="n">
        <v>2</v>
      </c>
      <c r="I1873" t="n">
        <v>9</v>
      </c>
      <c r="J1873" t="n">
        <v>3</v>
      </c>
      <c r="K1873" t="n">
        <v>0</v>
      </c>
      <c r="L1873" t="n">
        <v>7920</v>
      </c>
      <c r="M1873" t="n">
        <v>9900</v>
      </c>
      <c r="N1873" t="n">
        <v>91</v>
      </c>
      <c r="O1873" t="n">
        <v>0.91</v>
      </c>
      <c r="P1873" t="n">
        <v>1</v>
      </c>
      <c r="Q1873" t="n">
        <v>2.08</v>
      </c>
      <c r="R1873" t="n">
        <v>9</v>
      </c>
      <c r="S1873" t="n">
        <v>19279.26</v>
      </c>
      <c r="T1873" t="n">
        <v>70</v>
      </c>
      <c r="U1873" t="n">
        <v>74</v>
      </c>
      <c r="V1873" t="n">
        <v>30</v>
      </c>
      <c r="W1873" t="n">
        <v>59</v>
      </c>
      <c r="X1873" t="n">
        <v>26.18876450652151</v>
      </c>
      <c r="Y1873" t="n">
        <v>1</v>
      </c>
      <c r="Z1873" t="n">
        <v>8</v>
      </c>
      <c r="AA1873" t="n">
        <v>0</v>
      </c>
      <c r="AB1873" t="n">
        <v>8</v>
      </c>
      <c r="AC1873" t="n">
        <v>8</v>
      </c>
      <c r="AD1873" t="n">
        <v>0</v>
      </c>
      <c r="AE1873" t="n">
        <v>63360</v>
      </c>
      <c r="AF1873" t="n">
        <v>10371</v>
      </c>
      <c r="AG1873" t="n">
        <v>170</v>
      </c>
      <c r="AH1873" t="inlineStr">
        <is>
          <t>PT. JALUR MANDIRI UTAMA - PPN (PDG)</t>
        </is>
      </c>
      <c r="AI1873" t="n">
        <v>487</v>
      </c>
      <c r="AJ1873" t="inlineStr">
        <is>
          <t>GLAMFIX</t>
        </is>
      </c>
      <c r="AK1873" t="n">
        <v>21</v>
      </c>
      <c r="AL1873" t="inlineStr">
        <is>
          <t>Miss Glam Damar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GLAMFIX</t>
        </is>
      </c>
      <c r="B1874" s="2">
        <f>"8997227895729"</f>
        <v/>
      </c>
      <c r="C1874" t="inlineStr">
        <is>
          <t>GLAMFIX Classic Powder Brush</t>
        </is>
      </c>
      <c r="D1874" t="inlineStr">
        <is>
          <t>Miss Glam Damar</t>
        </is>
      </c>
      <c r="E1874" t="n">
        <v>0</v>
      </c>
      <c r="F1874" t="n">
        <v>0.1729</v>
      </c>
      <c r="G1874" t="n">
        <v>1.82</v>
      </c>
      <c r="H1874" t="n">
        <v>2</v>
      </c>
      <c r="I1874" t="n">
        <v>9</v>
      </c>
      <c r="J1874" t="n">
        <v>3</v>
      </c>
      <c r="K1874" t="n">
        <v>0</v>
      </c>
      <c r="L1874" t="n">
        <v>37520</v>
      </c>
      <c r="M1874" t="n">
        <v>46900</v>
      </c>
      <c r="N1874" t="n">
        <v>91</v>
      </c>
      <c r="O1874" t="n">
        <v>0.91</v>
      </c>
      <c r="P1874" t="n">
        <v>1</v>
      </c>
      <c r="Q1874" t="n">
        <v>0.43</v>
      </c>
      <c r="R1874" t="n">
        <v>3</v>
      </c>
      <c r="S1874" t="n">
        <v>8109.01</v>
      </c>
      <c r="T1874" t="n">
        <v>17</v>
      </c>
      <c r="U1874" t="n">
        <v>18</v>
      </c>
      <c r="V1874" t="n">
        <v>30</v>
      </c>
      <c r="W1874" t="n">
        <v>6</v>
      </c>
      <c r="X1874" t="n">
        <v>0</v>
      </c>
      <c r="Y1874" t="n">
        <v>1</v>
      </c>
      <c r="Z1874" t="n">
        <v>6</v>
      </c>
      <c r="AA1874" t="n">
        <v>2</v>
      </c>
      <c r="AB1874" t="n">
        <v>4</v>
      </c>
      <c r="AC1874" t="n">
        <v>4</v>
      </c>
      <c r="AD1874" t="n">
        <v>75040</v>
      </c>
      <c r="AE1874" t="n">
        <v>150080</v>
      </c>
      <c r="AF1874" t="n">
        <v>10371</v>
      </c>
      <c r="AG1874" t="n">
        <v>170</v>
      </c>
      <c r="AH1874" t="inlineStr">
        <is>
          <t>PT. JALUR MANDIRI UTAMA - PPN (PDG)</t>
        </is>
      </c>
      <c r="AI1874" t="n">
        <v>487</v>
      </c>
      <c r="AJ1874" t="inlineStr">
        <is>
          <t>GLAMFIX</t>
        </is>
      </c>
      <c r="AK1874" t="n">
        <v>21</v>
      </c>
      <c r="AL1874" t="inlineStr">
        <is>
          <t>Miss Glam Damar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GLAMFIX</t>
        </is>
      </c>
      <c r="B1875" s="2">
        <f>"8997227896375"</f>
        <v/>
      </c>
      <c r="C1875" t="inlineStr">
        <is>
          <t>GLAMFIX Delicate Contour Brush</t>
        </is>
      </c>
      <c r="D1875" t="inlineStr">
        <is>
          <t>Miss Glam Damar</t>
        </is>
      </c>
      <c r="E1875" t="n">
        <v>0</v>
      </c>
      <c r="F1875" t="n">
        <v>0.63</v>
      </c>
      <c r="G1875" t="n">
        <v>6</v>
      </c>
      <c r="H1875" t="n">
        <v>2</v>
      </c>
      <c r="I1875" t="n">
        <v>9</v>
      </c>
      <c r="J1875" t="n">
        <v>3</v>
      </c>
      <c r="K1875" t="n">
        <v>0</v>
      </c>
      <c r="L1875" t="n">
        <v>31120</v>
      </c>
      <c r="M1875" t="n">
        <v>38900</v>
      </c>
      <c r="N1875" t="n">
        <v>91</v>
      </c>
      <c r="O1875" t="n">
        <v>0.91</v>
      </c>
      <c r="P1875" t="n">
        <v>0</v>
      </c>
      <c r="Q1875" t="n">
        <v>0.63</v>
      </c>
      <c r="R1875" t="n">
        <v>6</v>
      </c>
      <c r="S1875" t="n">
        <v>24507</v>
      </c>
      <c r="T1875" t="n">
        <v>53</v>
      </c>
      <c r="U1875" t="n">
        <v>55</v>
      </c>
      <c r="V1875" t="n">
        <v>30</v>
      </c>
      <c r="W1875" t="n">
        <v>19</v>
      </c>
      <c r="X1875" t="n">
        <v>0</v>
      </c>
      <c r="Y1875" t="n">
        <v>1</v>
      </c>
      <c r="Z1875" t="n">
        <v>19</v>
      </c>
      <c r="AA1875" t="n">
        <v>6</v>
      </c>
      <c r="AB1875" t="n">
        <v>13</v>
      </c>
      <c r="AC1875" t="n">
        <v>13</v>
      </c>
      <c r="AD1875" t="n">
        <v>186720</v>
      </c>
      <c r="AE1875" t="n">
        <v>404560</v>
      </c>
      <c r="AF1875" t="n">
        <v>10371</v>
      </c>
      <c r="AG1875" t="n">
        <v>170</v>
      </c>
      <c r="AH1875" t="inlineStr">
        <is>
          <t>PT. JALUR MANDIRI UTAMA - PPN (PDG)</t>
        </is>
      </c>
      <c r="AI1875" t="n">
        <v>487</v>
      </c>
      <c r="AJ1875" t="inlineStr">
        <is>
          <t>GLAMFIX</t>
        </is>
      </c>
      <c r="AK1875" t="n">
        <v>21</v>
      </c>
      <c r="AL1875" t="inlineStr">
        <is>
          <t>Miss Glam Damar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GLAMFIX</t>
        </is>
      </c>
      <c r="B1876" s="2">
        <f>"8997227895712"</f>
        <v/>
      </c>
      <c r="C1876" t="inlineStr">
        <is>
          <t>GLAMFIX Excellent Brush Set</t>
        </is>
      </c>
      <c r="D1876" t="inlineStr">
        <is>
          <t>Miss Glam Damar</t>
        </is>
      </c>
      <c r="E1876" t="n">
        <v>0</v>
      </c>
      <c r="F1876" t="n">
        <v>1.2194</v>
      </c>
      <c r="G1876" t="n">
        <v>5.46</v>
      </c>
      <c r="H1876" t="n">
        <v>2</v>
      </c>
      <c r="I1876" t="n">
        <v>9</v>
      </c>
      <c r="J1876" t="n">
        <v>3</v>
      </c>
      <c r="K1876" t="n">
        <v>0</v>
      </c>
      <c r="L1876" t="n">
        <v>23120</v>
      </c>
      <c r="M1876" t="n">
        <v>28900</v>
      </c>
      <c r="N1876" t="n">
        <v>91</v>
      </c>
      <c r="O1876" t="n">
        <v>0.91</v>
      </c>
      <c r="P1876" t="n">
        <v>1</v>
      </c>
      <c r="Q1876" t="n">
        <v>0.17</v>
      </c>
      <c r="R1876" t="n">
        <v>2</v>
      </c>
      <c r="S1876" t="n">
        <v>35240.66</v>
      </c>
      <c r="T1876" t="n">
        <v>47</v>
      </c>
      <c r="U1876" t="n">
        <v>50</v>
      </c>
      <c r="V1876" t="n">
        <v>30</v>
      </c>
      <c r="W1876" t="n">
        <v>37</v>
      </c>
      <c r="X1876" t="n">
        <v>0</v>
      </c>
      <c r="Y1876" t="n">
        <v>1</v>
      </c>
      <c r="Z1876" t="n">
        <v>37</v>
      </c>
      <c r="AA1876" t="n">
        <v>11</v>
      </c>
      <c r="AB1876" t="n">
        <v>26</v>
      </c>
      <c r="AC1876" t="n">
        <v>26</v>
      </c>
      <c r="AD1876" t="n">
        <v>254320</v>
      </c>
      <c r="AE1876" t="n">
        <v>601120</v>
      </c>
      <c r="AF1876" t="n">
        <v>10371</v>
      </c>
      <c r="AG1876" t="n">
        <v>170</v>
      </c>
      <c r="AH1876" t="inlineStr">
        <is>
          <t>PT. JALUR MANDIRI UTAMA - PPN (PDG)</t>
        </is>
      </c>
      <c r="AI1876" t="n">
        <v>487</v>
      </c>
      <c r="AJ1876" t="inlineStr">
        <is>
          <t>GLAMFIX</t>
        </is>
      </c>
      <c r="AK1876" t="n">
        <v>21</v>
      </c>
      <c r="AL1876" t="inlineStr">
        <is>
          <t>Miss Glam Damar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GLAMFIX</t>
        </is>
      </c>
      <c r="B1877" s="2">
        <f>"8991748001171"</f>
        <v/>
      </c>
      <c r="C1877" t="inlineStr">
        <is>
          <t>GLAMFIX Excellent Brush Set Lake Blue</t>
        </is>
      </c>
      <c r="D1877" t="inlineStr">
        <is>
          <t>Miss Glam Damar</t>
        </is>
      </c>
      <c r="E1877" t="n">
        <v>34</v>
      </c>
      <c r="F1877" t="n">
        <v>0.8918</v>
      </c>
      <c r="G1877" t="n">
        <v>4.55</v>
      </c>
      <c r="H1877" t="n">
        <v>2</v>
      </c>
      <c r="I1877" t="n">
        <v>9</v>
      </c>
      <c r="J1877" t="n">
        <v>3</v>
      </c>
      <c r="K1877" t="n">
        <v>0</v>
      </c>
      <c r="L1877" t="n">
        <v>23120</v>
      </c>
      <c r="M1877" t="n">
        <v>28900</v>
      </c>
      <c r="N1877" t="n">
        <v>91</v>
      </c>
      <c r="O1877" t="n">
        <v>0.91</v>
      </c>
      <c r="P1877" t="n">
        <v>1</v>
      </c>
      <c r="Q1877" t="n">
        <v>1.46</v>
      </c>
      <c r="R1877" t="n">
        <v>7</v>
      </c>
      <c r="S1877" t="n">
        <v>25773.02</v>
      </c>
      <c r="T1877" t="n">
        <v>40</v>
      </c>
      <c r="U1877" t="n">
        <v>42</v>
      </c>
      <c r="V1877" t="n">
        <v>30</v>
      </c>
      <c r="W1877" t="n">
        <v>27</v>
      </c>
      <c r="X1877" t="n">
        <v>38.12514016595649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10371</v>
      </c>
      <c r="AG1877" t="n">
        <v>170</v>
      </c>
      <c r="AH1877" t="inlineStr">
        <is>
          <t>PT. JALUR MANDIRI UTAMA - PPN (PDG)</t>
        </is>
      </c>
      <c r="AI1877" t="n">
        <v>487</v>
      </c>
      <c r="AJ1877" t="inlineStr">
        <is>
          <t>GLAMFIX</t>
        </is>
      </c>
      <c r="AK1877" t="n">
        <v>21</v>
      </c>
      <c r="AL1877" t="inlineStr">
        <is>
          <t>Miss Glam Damar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GLAMFIX</t>
        </is>
      </c>
      <c r="B1878" s="2">
        <f>"8997227898607"</f>
        <v/>
      </c>
      <c r="C1878" t="inlineStr">
        <is>
          <t>GLAMFIX Expert Puff</t>
        </is>
      </c>
      <c r="D1878" t="inlineStr">
        <is>
          <t>Miss Glam Damar</t>
        </is>
      </c>
      <c r="E1878" t="n">
        <v>7</v>
      </c>
      <c r="F1878" t="n">
        <v>0.6461</v>
      </c>
      <c r="G1878" t="n">
        <v>5.46</v>
      </c>
      <c r="H1878" t="n">
        <v>2</v>
      </c>
      <c r="I1878" t="n">
        <v>9</v>
      </c>
      <c r="J1878" t="n">
        <v>3</v>
      </c>
      <c r="K1878" t="n">
        <v>0</v>
      </c>
      <c r="L1878" t="n">
        <v>13520</v>
      </c>
      <c r="M1878" t="n">
        <v>16900</v>
      </c>
      <c r="N1878" t="n">
        <v>91</v>
      </c>
      <c r="O1878" t="n">
        <v>0.91</v>
      </c>
      <c r="P1878" t="n">
        <v>1</v>
      </c>
      <c r="Q1878" t="n">
        <v>0.93</v>
      </c>
      <c r="R1878" t="n">
        <v>4</v>
      </c>
      <c r="S1878" t="n">
        <v>10919.09</v>
      </c>
      <c r="T1878" t="n">
        <v>48</v>
      </c>
      <c r="U1878" t="n">
        <v>50</v>
      </c>
      <c r="V1878" t="n">
        <v>30</v>
      </c>
      <c r="W1878" t="n">
        <v>20</v>
      </c>
      <c r="X1878" t="n">
        <v>10.83423618634886</v>
      </c>
      <c r="Y1878" t="n">
        <v>1</v>
      </c>
      <c r="Z1878" t="n">
        <v>13</v>
      </c>
      <c r="AA1878" t="n">
        <v>0</v>
      </c>
      <c r="AB1878" t="n">
        <v>13</v>
      </c>
      <c r="AC1878" t="n">
        <v>13</v>
      </c>
      <c r="AD1878" t="n">
        <v>0</v>
      </c>
      <c r="AE1878" t="n">
        <v>175760</v>
      </c>
      <c r="AF1878" t="n">
        <v>10371</v>
      </c>
      <c r="AG1878" t="n">
        <v>170</v>
      </c>
      <c r="AH1878" t="inlineStr">
        <is>
          <t>PT. JALUR MANDIRI UTAMA - PPN (PDG)</t>
        </is>
      </c>
      <c r="AI1878" t="n">
        <v>487</v>
      </c>
      <c r="AJ1878" t="inlineStr">
        <is>
          <t>GLAMFIX</t>
        </is>
      </c>
      <c r="AK1878" t="n">
        <v>21</v>
      </c>
      <c r="AL1878" t="inlineStr">
        <is>
          <t>Miss Glam Damar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GLAMFIX</t>
        </is>
      </c>
      <c r="B1879" s="2">
        <f>"8997227896412"</f>
        <v/>
      </c>
      <c r="C1879" t="inlineStr">
        <is>
          <t>GLAMFIX Eyebrow Trimmer</t>
        </is>
      </c>
      <c r="D1879" t="inlineStr">
        <is>
          <t>Miss Glam Damar</t>
        </is>
      </c>
      <c r="E1879" t="n">
        <v>47</v>
      </c>
      <c r="F1879" t="n">
        <v>0.1547</v>
      </c>
      <c r="G1879" t="n">
        <v>1.82</v>
      </c>
      <c r="H1879" t="n">
        <v>2</v>
      </c>
      <c r="I1879" t="n">
        <v>9</v>
      </c>
      <c r="J1879" t="n">
        <v>3</v>
      </c>
      <c r="K1879" t="n">
        <v>0</v>
      </c>
      <c r="L1879" t="n">
        <v>13520</v>
      </c>
      <c r="M1879" t="n">
        <v>16900</v>
      </c>
      <c r="N1879" t="n">
        <v>91</v>
      </c>
      <c r="O1879" t="n">
        <v>0.91</v>
      </c>
      <c r="P1879" t="n">
        <v>1</v>
      </c>
      <c r="Q1879" t="n">
        <v>1.08</v>
      </c>
      <c r="R1879" t="n">
        <v>4</v>
      </c>
      <c r="S1879" t="n">
        <v>2614.43</v>
      </c>
      <c r="T1879" t="n">
        <v>17</v>
      </c>
      <c r="U1879" t="n">
        <v>18</v>
      </c>
      <c r="V1879" t="n">
        <v>30</v>
      </c>
      <c r="W1879" t="n">
        <v>5</v>
      </c>
      <c r="X1879" t="n">
        <v>303.8138332255979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10371</v>
      </c>
      <c r="AG1879" t="n">
        <v>170</v>
      </c>
      <c r="AH1879" t="inlineStr">
        <is>
          <t>PT. JALUR MANDIRI UTAMA - PPN (PDG)</t>
        </is>
      </c>
      <c r="AI1879" t="n">
        <v>487</v>
      </c>
      <c r="AJ1879" t="inlineStr">
        <is>
          <t>GLAMFIX</t>
        </is>
      </c>
      <c r="AK1879" t="n">
        <v>21</v>
      </c>
      <c r="AL1879" t="inlineStr">
        <is>
          <t>Miss Glam Damar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GLAMFIX</t>
        </is>
      </c>
      <c r="B1880" s="2">
        <f>"8997227896429"</f>
        <v/>
      </c>
      <c r="C1880" t="inlineStr">
        <is>
          <t>GLAMFIX Eyelash Curler</t>
        </is>
      </c>
      <c r="D1880" t="inlineStr">
        <is>
          <t>Miss Glam Damar</t>
        </is>
      </c>
      <c r="E1880" t="n">
        <v>11</v>
      </c>
      <c r="F1880" t="n">
        <v>0.4004</v>
      </c>
      <c r="G1880" t="n">
        <v>7.28</v>
      </c>
      <c r="H1880" t="n">
        <v>2</v>
      </c>
      <c r="I1880" t="n">
        <v>9</v>
      </c>
      <c r="J1880" t="n">
        <v>3</v>
      </c>
      <c r="K1880" t="n">
        <v>0</v>
      </c>
      <c r="L1880" t="n">
        <v>20720</v>
      </c>
      <c r="M1880" t="n">
        <v>25900</v>
      </c>
      <c r="N1880" t="n">
        <v>91</v>
      </c>
      <c r="O1880" t="n">
        <v>0.91</v>
      </c>
      <c r="P1880" t="n">
        <v>1</v>
      </c>
      <c r="Q1880" t="n">
        <v>1.56</v>
      </c>
      <c r="R1880" t="n">
        <v>6</v>
      </c>
      <c r="S1880" t="n">
        <v>10370.36</v>
      </c>
      <c r="T1880" t="n">
        <v>65</v>
      </c>
      <c r="U1880" t="n">
        <v>66</v>
      </c>
      <c r="V1880" t="n">
        <v>30</v>
      </c>
      <c r="W1880" t="n">
        <v>13</v>
      </c>
      <c r="X1880" t="n">
        <v>27.47252747252747</v>
      </c>
      <c r="Y1880" t="n">
        <v>1</v>
      </c>
      <c r="Z1880" t="n">
        <v>2</v>
      </c>
      <c r="AA1880" t="n">
        <v>0</v>
      </c>
      <c r="AB1880" t="n">
        <v>2</v>
      </c>
      <c r="AC1880" t="n">
        <v>3</v>
      </c>
      <c r="AD1880" t="n">
        <v>0</v>
      </c>
      <c r="AE1880" t="n">
        <v>62160</v>
      </c>
      <c r="AF1880" t="n">
        <v>10371</v>
      </c>
      <c r="AG1880" t="n">
        <v>170</v>
      </c>
      <c r="AH1880" t="inlineStr">
        <is>
          <t>PT. JALUR MANDIRI UTAMA - PPN (PDG)</t>
        </is>
      </c>
      <c r="AI1880" t="n">
        <v>487</v>
      </c>
      <c r="AJ1880" t="inlineStr">
        <is>
          <t>GLAMFIX</t>
        </is>
      </c>
      <c r="AK1880" t="n">
        <v>21</v>
      </c>
      <c r="AL1880" t="inlineStr">
        <is>
          <t>Miss Glam Damar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GLAMFIX</t>
        </is>
      </c>
      <c r="B1881" s="2">
        <f>"8997227895156"</f>
        <v/>
      </c>
      <c r="C1881" t="inlineStr">
        <is>
          <t>GLAMFIX Fabulous Beauty Sponge Precise Complexion</t>
        </is>
      </c>
      <c r="D1881" t="inlineStr">
        <is>
          <t>Miss Glam Damar</t>
        </is>
      </c>
      <c r="E1881" t="n">
        <v>33</v>
      </c>
      <c r="F1881" t="n">
        <v>0.5277999999999999</v>
      </c>
      <c r="G1881" t="n">
        <v>3.64</v>
      </c>
      <c r="H1881" t="n">
        <v>2</v>
      </c>
      <c r="I1881" t="n">
        <v>9</v>
      </c>
      <c r="J1881" t="n">
        <v>3</v>
      </c>
      <c r="K1881" t="n">
        <v>0</v>
      </c>
      <c r="L1881" t="n">
        <v>13520</v>
      </c>
      <c r="M1881" t="n">
        <v>16900</v>
      </c>
      <c r="N1881" t="n">
        <v>91</v>
      </c>
      <c r="O1881" t="n">
        <v>0.91</v>
      </c>
      <c r="P1881" t="n">
        <v>1</v>
      </c>
      <c r="Q1881" t="n">
        <v>1</v>
      </c>
      <c r="R1881" t="n">
        <v>4</v>
      </c>
      <c r="S1881" t="n">
        <v>8919.82</v>
      </c>
      <c r="T1881" t="n">
        <v>32</v>
      </c>
      <c r="U1881" t="n">
        <v>34</v>
      </c>
      <c r="V1881" t="n">
        <v>30</v>
      </c>
      <c r="W1881" t="n">
        <v>16</v>
      </c>
      <c r="X1881" t="n">
        <v>62.52368321333839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10371</v>
      </c>
      <c r="AG1881" t="n">
        <v>170</v>
      </c>
      <c r="AH1881" t="inlineStr">
        <is>
          <t>PT. JALUR MANDIRI UTAMA - PPN (PDG)</t>
        </is>
      </c>
      <c r="AI1881" t="n">
        <v>487</v>
      </c>
      <c r="AJ1881" t="inlineStr">
        <is>
          <t>GLAMFIX</t>
        </is>
      </c>
      <c r="AK1881" t="n">
        <v>21</v>
      </c>
      <c r="AL1881" t="inlineStr">
        <is>
          <t>Miss Glam Damar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GLAMFIX</t>
        </is>
      </c>
      <c r="B1882" s="2">
        <f>"8997227895781"</f>
        <v/>
      </c>
      <c r="C1882" t="inlineStr">
        <is>
          <t>GLAMFIX Fabulous Beauty Sponge Teardrop</t>
        </is>
      </c>
      <c r="D1882" t="inlineStr">
        <is>
          <t>Miss Glam Damar</t>
        </is>
      </c>
      <c r="E1882" t="n">
        <v>30</v>
      </c>
      <c r="F1882" t="n">
        <v>0.1729</v>
      </c>
      <c r="G1882" t="n">
        <v>1.82</v>
      </c>
      <c r="H1882" t="n">
        <v>2</v>
      </c>
      <c r="I1882" t="n">
        <v>9</v>
      </c>
      <c r="J1882" t="n">
        <v>3</v>
      </c>
      <c r="K1882" t="n">
        <v>0</v>
      </c>
      <c r="L1882" t="n">
        <v>13520</v>
      </c>
      <c r="M1882" t="n">
        <v>16900</v>
      </c>
      <c r="N1882" t="n">
        <v>91</v>
      </c>
      <c r="O1882" t="n">
        <v>0.91</v>
      </c>
      <c r="P1882" t="n">
        <v>1</v>
      </c>
      <c r="Q1882" t="n">
        <v>0.42</v>
      </c>
      <c r="R1882" t="n">
        <v>3</v>
      </c>
      <c r="S1882" t="n">
        <v>2922.01</v>
      </c>
      <c r="T1882" t="n">
        <v>17</v>
      </c>
      <c r="U1882" t="n">
        <v>18</v>
      </c>
      <c r="V1882" t="n">
        <v>30</v>
      </c>
      <c r="W1882" t="n">
        <v>6</v>
      </c>
      <c r="X1882" t="n">
        <v>173.5106998264893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10371</v>
      </c>
      <c r="AG1882" t="n">
        <v>170</v>
      </c>
      <c r="AH1882" t="inlineStr">
        <is>
          <t>PT. JALUR MANDIRI UTAMA - PPN (PDG)</t>
        </is>
      </c>
      <c r="AI1882" t="n">
        <v>487</v>
      </c>
      <c r="AJ1882" t="inlineStr">
        <is>
          <t>GLAMFIX</t>
        </is>
      </c>
      <c r="AK1882" t="n">
        <v>21</v>
      </c>
      <c r="AL1882" t="inlineStr">
        <is>
          <t>Miss Glam Damar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GLAMFIX</t>
        </is>
      </c>
      <c r="B1883" s="2">
        <f>"8997227896948"</f>
        <v/>
      </c>
      <c r="C1883" t="inlineStr">
        <is>
          <t>GLAMFIX Finishing Powder Puff</t>
        </is>
      </c>
      <c r="D1883" t="inlineStr">
        <is>
          <t>Miss Glam Damar</t>
        </is>
      </c>
      <c r="E1883" t="n">
        <v>18</v>
      </c>
      <c r="F1883" t="n">
        <v>0.8008000000000001</v>
      </c>
      <c r="G1883" t="n">
        <v>4.55</v>
      </c>
      <c r="H1883" t="n">
        <v>2</v>
      </c>
      <c r="I1883" t="n">
        <v>9</v>
      </c>
      <c r="J1883" t="n">
        <v>3</v>
      </c>
      <c r="K1883" t="n">
        <v>0</v>
      </c>
      <c r="L1883" t="n">
        <v>7920</v>
      </c>
      <c r="M1883" t="n">
        <v>9900</v>
      </c>
      <c r="N1883" t="n">
        <v>91</v>
      </c>
      <c r="O1883" t="n">
        <v>0.91</v>
      </c>
      <c r="P1883" t="n">
        <v>1</v>
      </c>
      <c r="Q1883" t="n">
        <v>0.86</v>
      </c>
      <c r="R1883" t="n">
        <v>4</v>
      </c>
      <c r="S1883" t="n">
        <v>7927.920000000001</v>
      </c>
      <c r="T1883" t="n">
        <v>40</v>
      </c>
      <c r="U1883" t="n">
        <v>42</v>
      </c>
      <c r="V1883" t="n">
        <v>30</v>
      </c>
      <c r="W1883" t="n">
        <v>25</v>
      </c>
      <c r="X1883" t="n">
        <v>22.47752247752248</v>
      </c>
      <c r="Y1883" t="n">
        <v>1</v>
      </c>
      <c r="Z1883" t="n">
        <v>7</v>
      </c>
      <c r="AA1883" t="n">
        <v>0</v>
      </c>
      <c r="AB1883" t="n">
        <v>7</v>
      </c>
      <c r="AC1883" t="n">
        <v>7</v>
      </c>
      <c r="AD1883" t="n">
        <v>0</v>
      </c>
      <c r="AE1883" t="n">
        <v>55440</v>
      </c>
      <c r="AF1883" t="n">
        <v>10371</v>
      </c>
      <c r="AG1883" t="n">
        <v>170</v>
      </c>
      <c r="AH1883" t="inlineStr">
        <is>
          <t>PT. JALUR MANDIRI UTAMA - PPN (PDG)</t>
        </is>
      </c>
      <c r="AI1883" t="n">
        <v>487</v>
      </c>
      <c r="AJ1883" t="inlineStr">
        <is>
          <t>GLAMFIX</t>
        </is>
      </c>
      <c r="AK1883" t="n">
        <v>21</v>
      </c>
      <c r="AL1883" t="inlineStr">
        <is>
          <t>Miss Glam Damar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GLAMFIX</t>
        </is>
      </c>
      <c r="B1884" s="2">
        <f>"8991748004554"</f>
        <v/>
      </c>
      <c r="C1884" t="inlineStr">
        <is>
          <t>GLAMFIX Flawless Aircushion Puff</t>
        </is>
      </c>
      <c r="D1884" t="inlineStr">
        <is>
          <t>Miss Glam Damar</t>
        </is>
      </c>
      <c r="E1884" t="n">
        <v>66</v>
      </c>
      <c r="F1884" t="n">
        <v>0.2457</v>
      </c>
      <c r="G1884" t="n">
        <v>5.46</v>
      </c>
      <c r="H1884" t="n">
        <v>2</v>
      </c>
      <c r="I1884" t="n">
        <v>9</v>
      </c>
      <c r="J1884" t="n">
        <v>3</v>
      </c>
      <c r="K1884" t="n">
        <v>0</v>
      </c>
      <c r="L1884" t="n">
        <v>11920</v>
      </c>
      <c r="M1884" t="n">
        <v>14900</v>
      </c>
      <c r="N1884" t="n">
        <v>91</v>
      </c>
      <c r="O1884" t="n">
        <v>0.91</v>
      </c>
      <c r="P1884" t="n">
        <v>1</v>
      </c>
      <c r="Q1884" t="n">
        <v>1.78</v>
      </c>
      <c r="R1884" t="n">
        <v>12</v>
      </c>
      <c r="S1884" t="n">
        <v>3660.93</v>
      </c>
      <c r="T1884" t="n">
        <v>49</v>
      </c>
      <c r="U1884" t="n">
        <v>50</v>
      </c>
      <c r="V1884" t="n">
        <v>30</v>
      </c>
      <c r="W1884" t="n">
        <v>8</v>
      </c>
      <c r="X1884" t="n">
        <v>268.6202686202686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10371</v>
      </c>
      <c r="AG1884" t="n">
        <v>170</v>
      </c>
      <c r="AH1884" t="inlineStr">
        <is>
          <t>PT. JALUR MANDIRI UTAMA - PPN (PDG)</t>
        </is>
      </c>
      <c r="AI1884" t="n">
        <v>487</v>
      </c>
      <c r="AJ1884" t="inlineStr">
        <is>
          <t>GLAMFIX</t>
        </is>
      </c>
      <c r="AK1884" t="n">
        <v>21</v>
      </c>
      <c r="AL1884" t="inlineStr">
        <is>
          <t>Miss Glam Damar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GLAMFIX</t>
        </is>
      </c>
      <c r="B1885" s="2">
        <f>"8991748003236"</f>
        <v/>
      </c>
      <c r="C1885" t="inlineStr">
        <is>
          <t>GLAMFIX Flawless Contour Brush</t>
        </is>
      </c>
      <c r="D1885" t="inlineStr">
        <is>
          <t>Miss Glam Damar</t>
        </is>
      </c>
      <c r="E1885" t="n">
        <v>14</v>
      </c>
      <c r="F1885" t="n">
        <v>1.1</v>
      </c>
      <c r="G1885" t="n">
        <v>4</v>
      </c>
      <c r="H1885" t="n">
        <v>2</v>
      </c>
      <c r="I1885" t="n">
        <v>9</v>
      </c>
      <c r="J1885" t="n">
        <v>3</v>
      </c>
      <c r="K1885" t="n">
        <v>0</v>
      </c>
      <c r="L1885" t="n">
        <v>19120</v>
      </c>
      <c r="M1885" t="n">
        <v>23900</v>
      </c>
      <c r="N1885" t="n">
        <v>91</v>
      </c>
      <c r="O1885" t="n">
        <v>0.91</v>
      </c>
      <c r="P1885" t="n">
        <v>0</v>
      </c>
      <c r="Q1885" t="n">
        <v>1.1</v>
      </c>
      <c r="R1885" t="n">
        <v>4</v>
      </c>
      <c r="S1885" t="n">
        <v>26290</v>
      </c>
      <c r="T1885" t="n">
        <v>34</v>
      </c>
      <c r="U1885" t="n">
        <v>37</v>
      </c>
      <c r="V1885" t="n">
        <v>30</v>
      </c>
      <c r="W1885" t="n">
        <v>33</v>
      </c>
      <c r="X1885" t="n">
        <v>12.72727272727273</v>
      </c>
      <c r="Y1885" t="n">
        <v>1</v>
      </c>
      <c r="Z1885" t="n">
        <v>19</v>
      </c>
      <c r="AA1885" t="n">
        <v>0</v>
      </c>
      <c r="AB1885" t="n">
        <v>19</v>
      </c>
      <c r="AC1885" t="n">
        <v>19</v>
      </c>
      <c r="AD1885" t="n">
        <v>0</v>
      </c>
      <c r="AE1885" t="n">
        <v>363280</v>
      </c>
      <c r="AF1885" t="n">
        <v>10371</v>
      </c>
      <c r="AG1885" t="n">
        <v>170</v>
      </c>
      <c r="AH1885" t="inlineStr">
        <is>
          <t>PT. JALUR MANDIRI UTAMA - PPN (PDG)</t>
        </is>
      </c>
      <c r="AI1885" t="n">
        <v>487</v>
      </c>
      <c r="AJ1885" t="inlineStr">
        <is>
          <t>GLAMFIX</t>
        </is>
      </c>
      <c r="AK1885" t="n">
        <v>21</v>
      </c>
      <c r="AL1885" t="inlineStr">
        <is>
          <t>Miss Glam Damar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GLAMFIX</t>
        </is>
      </c>
      <c r="B1886" s="2">
        <f>"8991748003182"</f>
        <v/>
      </c>
      <c r="C1886" t="inlineStr">
        <is>
          <t>GLAMFIX Flawless Eyeshadow Blending Brush</t>
        </is>
      </c>
      <c r="D1886" t="inlineStr">
        <is>
          <t>Miss Glam Damar</t>
        </is>
      </c>
      <c r="E1886" t="n">
        <v>0</v>
      </c>
      <c r="F1886" t="n">
        <v>1.08</v>
      </c>
      <c r="G1886" t="n">
        <v>4</v>
      </c>
      <c r="H1886" t="n">
        <v>2</v>
      </c>
      <c r="I1886" t="n">
        <v>9</v>
      </c>
      <c r="J1886" t="n">
        <v>3</v>
      </c>
      <c r="K1886" t="n">
        <v>0</v>
      </c>
      <c r="L1886" t="n">
        <v>10320</v>
      </c>
      <c r="M1886" t="n">
        <v>12900</v>
      </c>
      <c r="N1886" t="n">
        <v>91</v>
      </c>
      <c r="O1886" t="n">
        <v>0.91</v>
      </c>
      <c r="P1886" t="n">
        <v>0</v>
      </c>
      <c r="Q1886" t="n">
        <v>1.08</v>
      </c>
      <c r="R1886" t="n">
        <v>4</v>
      </c>
      <c r="S1886" t="n">
        <v>13932</v>
      </c>
      <c r="T1886" t="n">
        <v>34</v>
      </c>
      <c r="U1886" t="n">
        <v>37</v>
      </c>
      <c r="V1886" t="n">
        <v>30</v>
      </c>
      <c r="W1886" t="n">
        <v>33</v>
      </c>
      <c r="X1886" t="n">
        <v>0</v>
      </c>
      <c r="Y1886" t="n">
        <v>1</v>
      </c>
      <c r="Z1886" t="n">
        <v>33</v>
      </c>
      <c r="AA1886" t="n">
        <v>10</v>
      </c>
      <c r="AB1886" t="n">
        <v>23</v>
      </c>
      <c r="AC1886" t="n">
        <v>23</v>
      </c>
      <c r="AD1886" t="n">
        <v>103200</v>
      </c>
      <c r="AE1886" t="n">
        <v>237360</v>
      </c>
      <c r="AF1886" t="n">
        <v>10371</v>
      </c>
      <c r="AG1886" t="n">
        <v>170</v>
      </c>
      <c r="AH1886" t="inlineStr">
        <is>
          <t>PT. JALUR MANDIRI UTAMA - PPN (PDG)</t>
        </is>
      </c>
      <c r="AI1886" t="n">
        <v>487</v>
      </c>
      <c r="AJ1886" t="inlineStr">
        <is>
          <t>GLAMFIX</t>
        </is>
      </c>
      <c r="AK1886" t="n">
        <v>21</v>
      </c>
      <c r="AL1886" t="inlineStr">
        <is>
          <t>Miss Glam Damar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GLAMFIX</t>
        </is>
      </c>
      <c r="B1887" s="2">
        <f>"8991748003199"</f>
        <v/>
      </c>
      <c r="C1887" t="inlineStr">
        <is>
          <t>GLAMFIX Flawless Eyeshadow Brush</t>
        </is>
      </c>
      <c r="D1887" t="inlineStr">
        <is>
          <t>Miss Glam Damar</t>
        </is>
      </c>
      <c r="E1887" t="n">
        <v>-1</v>
      </c>
      <c r="F1887" t="n">
        <v>0.75</v>
      </c>
      <c r="G1887" t="n">
        <v>6</v>
      </c>
      <c r="H1887" t="n">
        <v>2</v>
      </c>
      <c r="I1887" t="n">
        <v>9</v>
      </c>
      <c r="J1887" t="n">
        <v>3</v>
      </c>
      <c r="K1887" t="n">
        <v>0</v>
      </c>
      <c r="L1887" t="n">
        <v>10320</v>
      </c>
      <c r="M1887" t="n">
        <v>12900</v>
      </c>
      <c r="N1887" t="n">
        <v>91</v>
      </c>
      <c r="O1887" t="n">
        <v>0.91</v>
      </c>
      <c r="P1887" t="n">
        <v>0</v>
      </c>
      <c r="Q1887" t="n">
        <v>0.75</v>
      </c>
      <c r="R1887" t="n">
        <v>6</v>
      </c>
      <c r="S1887" t="n">
        <v>9675</v>
      </c>
      <c r="T1887" t="n">
        <v>53</v>
      </c>
      <c r="U1887" t="n">
        <v>55</v>
      </c>
      <c r="V1887" t="n">
        <v>30</v>
      </c>
      <c r="W1887" t="n">
        <v>23</v>
      </c>
      <c r="X1887" t="n">
        <v>-1.333333333333333</v>
      </c>
      <c r="Y1887" t="n">
        <v>1</v>
      </c>
      <c r="Z1887" t="n">
        <v>24</v>
      </c>
      <c r="AA1887" t="n">
        <v>8</v>
      </c>
      <c r="AB1887" t="n">
        <v>16</v>
      </c>
      <c r="AC1887" t="n">
        <v>16</v>
      </c>
      <c r="AD1887" t="n">
        <v>82560</v>
      </c>
      <c r="AE1887" t="n">
        <v>165120</v>
      </c>
      <c r="AF1887" t="n">
        <v>10371</v>
      </c>
      <c r="AG1887" t="n">
        <v>170</v>
      </c>
      <c r="AH1887" t="inlineStr">
        <is>
          <t>PT. JALUR MANDIRI UTAMA - PPN (PDG)</t>
        </is>
      </c>
      <c r="AI1887" t="n">
        <v>487</v>
      </c>
      <c r="AJ1887" t="inlineStr">
        <is>
          <t>GLAMFIX</t>
        </is>
      </c>
      <c r="AK1887" t="n">
        <v>21</v>
      </c>
      <c r="AL1887" t="inlineStr">
        <is>
          <t>Miss Glam Damar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GLAMFIX</t>
        </is>
      </c>
      <c r="B1888" s="2">
        <f>"8991748003212"</f>
        <v/>
      </c>
      <c r="C1888" t="inlineStr">
        <is>
          <t>GLAMFIX Flawless Fan Brush</t>
        </is>
      </c>
      <c r="D1888" t="inlineStr">
        <is>
          <t>Miss Glam Damar</t>
        </is>
      </c>
      <c r="E1888" t="n">
        <v>24</v>
      </c>
      <c r="F1888" t="n">
        <v>0.0273</v>
      </c>
      <c r="G1888" t="n">
        <v>0.91</v>
      </c>
      <c r="H1888" t="n">
        <v>2</v>
      </c>
      <c r="I1888" t="n">
        <v>9</v>
      </c>
      <c r="J1888" t="n">
        <v>3</v>
      </c>
      <c r="K1888" t="n">
        <v>0</v>
      </c>
      <c r="L1888" t="n">
        <v>15120</v>
      </c>
      <c r="M1888" t="n">
        <v>18900</v>
      </c>
      <c r="N1888" t="n">
        <v>91</v>
      </c>
      <c r="O1888" t="n">
        <v>0.91</v>
      </c>
      <c r="P1888" t="n">
        <v>1</v>
      </c>
      <c r="Q1888" t="n">
        <v>0.14</v>
      </c>
      <c r="R1888" t="n">
        <v>2</v>
      </c>
      <c r="S1888" t="n">
        <v>515.97</v>
      </c>
      <c r="T1888" t="n">
        <v>9</v>
      </c>
      <c r="U1888" t="n">
        <v>10</v>
      </c>
      <c r="V1888" t="n">
        <v>30</v>
      </c>
      <c r="W1888" t="n">
        <v>1</v>
      </c>
      <c r="X1888" t="n">
        <v>879.1208791208791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10371</v>
      </c>
      <c r="AG1888" t="n">
        <v>170</v>
      </c>
      <c r="AH1888" t="inlineStr">
        <is>
          <t>PT. JALUR MANDIRI UTAMA - PPN (PDG)</t>
        </is>
      </c>
      <c r="AI1888" t="n">
        <v>487</v>
      </c>
      <c r="AJ1888" t="inlineStr">
        <is>
          <t>GLAMFIX</t>
        </is>
      </c>
      <c r="AK1888" t="n">
        <v>21</v>
      </c>
      <c r="AL1888" t="inlineStr">
        <is>
          <t>Miss Glam Damar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GLAMFIX</t>
        </is>
      </c>
      <c r="B1889" s="2">
        <f>"8991748004547"</f>
        <v/>
      </c>
      <c r="C1889" t="inlineStr">
        <is>
          <t>GLAMFIX Flawless Loose Powder Puff</t>
        </is>
      </c>
      <c r="D1889" t="inlineStr">
        <is>
          <t>Miss Glam Damar</t>
        </is>
      </c>
      <c r="E1889" t="n">
        <v>55</v>
      </c>
      <c r="F1889" t="n">
        <v>0.9555000000000001</v>
      </c>
      <c r="G1889" t="n">
        <v>5.46</v>
      </c>
      <c r="H1889" t="n">
        <v>2</v>
      </c>
      <c r="I1889" t="n">
        <v>9</v>
      </c>
      <c r="J1889" t="n">
        <v>3</v>
      </c>
      <c r="K1889" t="n">
        <v>0</v>
      </c>
      <c r="L1889" t="n">
        <v>11920</v>
      </c>
      <c r="M1889" t="n">
        <v>14900</v>
      </c>
      <c r="N1889" t="n">
        <v>91</v>
      </c>
      <c r="O1889" t="n">
        <v>0.91</v>
      </c>
      <c r="P1889" t="n">
        <v>1</v>
      </c>
      <c r="Q1889" t="n">
        <v>1.51</v>
      </c>
      <c r="R1889" t="n">
        <v>8</v>
      </c>
      <c r="S1889" t="n">
        <v>14236.95</v>
      </c>
      <c r="T1889" t="n">
        <v>48</v>
      </c>
      <c r="U1889" t="n">
        <v>50</v>
      </c>
      <c r="V1889" t="n">
        <v>30</v>
      </c>
      <c r="W1889" t="n">
        <v>29</v>
      </c>
      <c r="X1889" t="n">
        <v>57.56148613291469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10371</v>
      </c>
      <c r="AG1889" t="n">
        <v>170</v>
      </c>
      <c r="AH1889" t="inlineStr">
        <is>
          <t>PT. JALUR MANDIRI UTAMA - PPN (PDG)</t>
        </is>
      </c>
      <c r="AI1889" t="n">
        <v>487</v>
      </c>
      <c r="AJ1889" t="inlineStr">
        <is>
          <t>GLAMFIX</t>
        </is>
      </c>
      <c r="AK1889" t="n">
        <v>21</v>
      </c>
      <c r="AL1889" t="inlineStr">
        <is>
          <t>Miss Glam Damar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GLAMFIX</t>
        </is>
      </c>
      <c r="B1890" s="2">
        <f>"50100317640"</f>
        <v/>
      </c>
      <c r="C1890" t="inlineStr">
        <is>
          <t>GLAMFIX Glam My Lash Curler - Boundless Curl 1Pc/Box</t>
        </is>
      </c>
      <c r="D1890" t="inlineStr">
        <is>
          <t>Miss Glam Damar</t>
        </is>
      </c>
      <c r="E1890" t="n">
        <v>21</v>
      </c>
      <c r="F1890" t="n">
        <v>0.6188</v>
      </c>
      <c r="G1890" t="n">
        <v>2.73</v>
      </c>
      <c r="H1890" t="n">
        <v>2</v>
      </c>
      <c r="I1890" t="n">
        <v>9</v>
      </c>
      <c r="J1890" t="n">
        <v>1</v>
      </c>
      <c r="K1890" t="n">
        <v>0</v>
      </c>
      <c r="L1890" t="n">
        <v>20720</v>
      </c>
      <c r="M1890" t="n">
        <v>25900</v>
      </c>
      <c r="N1890" t="n">
        <v>91</v>
      </c>
      <c r="O1890" t="n">
        <v>0.91</v>
      </c>
      <c r="P1890" t="n">
        <v>1</v>
      </c>
      <c r="Q1890" t="n">
        <v>0.44</v>
      </c>
      <c r="R1890" t="n">
        <v>3</v>
      </c>
      <c r="S1890" t="n">
        <v>16026.92</v>
      </c>
      <c r="T1890" t="n">
        <v>24</v>
      </c>
      <c r="U1890" t="n">
        <v>26</v>
      </c>
      <c r="V1890" t="n">
        <v>30</v>
      </c>
      <c r="W1890" t="n">
        <v>19</v>
      </c>
      <c r="X1890" t="n">
        <v>33.93665158371041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10371</v>
      </c>
      <c r="AG1890" t="n">
        <v>170</v>
      </c>
      <c r="AH1890" t="inlineStr">
        <is>
          <t>PT. JALUR MANDIRI UTAMA - PPN (PDG)</t>
        </is>
      </c>
      <c r="AI1890" t="n">
        <v>487</v>
      </c>
      <c r="AJ1890" t="inlineStr">
        <is>
          <t>GLAMFIX</t>
        </is>
      </c>
      <c r="AK1890" t="n">
        <v>21</v>
      </c>
      <c r="AL1890" t="inlineStr">
        <is>
          <t>Miss Glam Damar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GLAMFIX</t>
        </is>
      </c>
      <c r="B1891" s="2">
        <f>"8997227897228"</f>
        <v/>
      </c>
      <c r="C1891" t="inlineStr">
        <is>
          <t>GLAMFIX Perfect Blink Lashes Natural 01</t>
        </is>
      </c>
      <c r="D1891" t="inlineStr">
        <is>
          <t>Miss Glam Damar</t>
        </is>
      </c>
      <c r="E1891" t="n">
        <v>41</v>
      </c>
      <c r="F1891" t="n">
        <v>0.3094</v>
      </c>
      <c r="G1891" t="n">
        <v>7.28</v>
      </c>
      <c r="H1891" t="n">
        <v>2</v>
      </c>
      <c r="I1891" t="n">
        <v>9</v>
      </c>
      <c r="J1891" t="n">
        <v>3</v>
      </c>
      <c r="K1891" t="n">
        <v>0</v>
      </c>
      <c r="L1891" t="n">
        <v>11920</v>
      </c>
      <c r="M1891" t="n">
        <v>14900</v>
      </c>
      <c r="N1891" t="n">
        <v>91</v>
      </c>
      <c r="O1891" t="n">
        <v>0.91</v>
      </c>
      <c r="P1891" t="n">
        <v>1</v>
      </c>
      <c r="Q1891" t="n">
        <v>0.37</v>
      </c>
      <c r="R1891" t="n">
        <v>10</v>
      </c>
      <c r="S1891" t="n">
        <v>4610.06</v>
      </c>
      <c r="T1891" t="n">
        <v>65</v>
      </c>
      <c r="U1891" t="n">
        <v>66</v>
      </c>
      <c r="V1891" t="n">
        <v>30</v>
      </c>
      <c r="W1891" t="n">
        <v>10</v>
      </c>
      <c r="X1891" t="n">
        <v>132.5145442792501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10371</v>
      </c>
      <c r="AG1891" t="n">
        <v>170</v>
      </c>
      <c r="AH1891" t="inlineStr">
        <is>
          <t>PT. JALUR MANDIRI UTAMA - PPN (PDG)</t>
        </is>
      </c>
      <c r="AI1891" t="n">
        <v>487</v>
      </c>
      <c r="AJ1891" t="inlineStr">
        <is>
          <t>GLAMFIX</t>
        </is>
      </c>
      <c r="AK1891" t="n">
        <v>21</v>
      </c>
      <c r="AL1891" t="inlineStr">
        <is>
          <t>Miss Glam Damar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GLAMFIX</t>
        </is>
      </c>
      <c r="B1892" s="2">
        <f>"8997227897242"</f>
        <v/>
      </c>
      <c r="C1892" t="inlineStr">
        <is>
          <t>GLAMFIX Perfect Blink Lashes Natural 02</t>
        </is>
      </c>
      <c r="D1892" t="inlineStr">
        <is>
          <t>Miss Glam Damar</t>
        </is>
      </c>
      <c r="E1892" t="n">
        <v>33</v>
      </c>
      <c r="F1892" t="n">
        <v>0.2639</v>
      </c>
      <c r="G1892" t="n">
        <v>3.64</v>
      </c>
      <c r="H1892" t="n">
        <v>2</v>
      </c>
      <c r="I1892" t="n">
        <v>9</v>
      </c>
      <c r="J1892" t="n">
        <v>3</v>
      </c>
      <c r="K1892" t="n">
        <v>0</v>
      </c>
      <c r="L1892" t="n">
        <v>11920</v>
      </c>
      <c r="M1892" t="n">
        <v>14900</v>
      </c>
      <c r="N1892" t="n">
        <v>91</v>
      </c>
      <c r="O1892" t="n">
        <v>0.91</v>
      </c>
      <c r="P1892" t="n">
        <v>1</v>
      </c>
      <c r="Q1892" t="n">
        <v>0.39</v>
      </c>
      <c r="R1892" t="n">
        <v>4</v>
      </c>
      <c r="S1892" t="n">
        <v>3932.11</v>
      </c>
      <c r="T1892" t="n">
        <v>33</v>
      </c>
      <c r="U1892" t="n">
        <v>34</v>
      </c>
      <c r="V1892" t="n">
        <v>30</v>
      </c>
      <c r="W1892" t="n">
        <v>8</v>
      </c>
      <c r="X1892" t="n">
        <v>125.0473664266768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10371</v>
      </c>
      <c r="AG1892" t="n">
        <v>170</v>
      </c>
      <c r="AH1892" t="inlineStr">
        <is>
          <t>PT. JALUR MANDIRI UTAMA - PPN (PDG)</t>
        </is>
      </c>
      <c r="AI1892" t="n">
        <v>487</v>
      </c>
      <c r="AJ1892" t="inlineStr">
        <is>
          <t>GLAMFIX</t>
        </is>
      </c>
      <c r="AK1892" t="n">
        <v>21</v>
      </c>
      <c r="AL1892" t="inlineStr">
        <is>
          <t>Miss Glam Damar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GLAMFIX</t>
        </is>
      </c>
      <c r="B1893" s="2">
        <f>"8991748002765"</f>
        <v/>
      </c>
      <c r="C1893" t="inlineStr">
        <is>
          <t>GLAMFIX Perfect Blink Lashes Natural 03</t>
        </is>
      </c>
      <c r="D1893" t="inlineStr">
        <is>
          <t>Miss Glam Damar</t>
        </is>
      </c>
      <c r="E1893" t="n">
        <v>36</v>
      </c>
      <c r="F1893" t="n">
        <v>0.3276</v>
      </c>
      <c r="G1893" t="n">
        <v>2.73</v>
      </c>
      <c r="H1893" t="n">
        <v>2</v>
      </c>
      <c r="I1893" t="n">
        <v>9</v>
      </c>
      <c r="J1893" t="n">
        <v>3</v>
      </c>
      <c r="K1893" t="n">
        <v>0</v>
      </c>
      <c r="L1893" t="n">
        <v>11920</v>
      </c>
      <c r="M1893" t="n">
        <v>14900</v>
      </c>
      <c r="N1893" t="n">
        <v>91</v>
      </c>
      <c r="O1893" t="n">
        <v>0.91</v>
      </c>
      <c r="P1893" t="n">
        <v>1</v>
      </c>
      <c r="Q1893" t="n">
        <v>0.34</v>
      </c>
      <c r="R1893" t="n">
        <v>2</v>
      </c>
      <c r="S1893" t="n">
        <v>4881.24</v>
      </c>
      <c r="T1893" t="n">
        <v>24</v>
      </c>
      <c r="U1893" t="n">
        <v>25</v>
      </c>
      <c r="V1893" t="n">
        <v>30</v>
      </c>
      <c r="W1893" t="n">
        <v>10</v>
      </c>
      <c r="X1893" t="n">
        <v>109.8901098901099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10371</v>
      </c>
      <c r="AG1893" t="n">
        <v>170</v>
      </c>
      <c r="AH1893" t="inlineStr">
        <is>
          <t>PT. JALUR MANDIRI UTAMA - PPN (PDG)</t>
        </is>
      </c>
      <c r="AI1893" t="n">
        <v>487</v>
      </c>
      <c r="AJ1893" t="inlineStr">
        <is>
          <t>GLAMFIX</t>
        </is>
      </c>
      <c r="AK1893" t="n">
        <v>21</v>
      </c>
      <c r="AL1893" t="inlineStr">
        <is>
          <t>Miss Glam Damar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GLAMFIX</t>
        </is>
      </c>
      <c r="B1894" s="2">
        <f>"8991748002772"</f>
        <v/>
      </c>
      <c r="C1894" t="inlineStr">
        <is>
          <t>GLAMFIX Perfect Blink Lashes Natural 04</t>
        </is>
      </c>
      <c r="D1894" t="inlineStr">
        <is>
          <t>Miss Glam Damar</t>
        </is>
      </c>
      <c r="E1894" t="n">
        <v>40</v>
      </c>
      <c r="F1894" t="n">
        <v>0.2821</v>
      </c>
      <c r="G1894" t="n">
        <v>2.73</v>
      </c>
      <c r="H1894" t="n">
        <v>2</v>
      </c>
      <c r="I1894" t="n">
        <v>9</v>
      </c>
      <c r="J1894" t="n">
        <v>3</v>
      </c>
      <c r="K1894" t="n">
        <v>0</v>
      </c>
      <c r="L1894" t="n">
        <v>11920</v>
      </c>
      <c r="M1894" t="n">
        <v>14900</v>
      </c>
      <c r="N1894" t="n">
        <v>91</v>
      </c>
      <c r="O1894" t="n">
        <v>0.91</v>
      </c>
      <c r="P1894" t="n">
        <v>1</v>
      </c>
      <c r="Q1894" t="n">
        <v>0.6899999999999999</v>
      </c>
      <c r="R1894" t="n">
        <v>5</v>
      </c>
      <c r="S1894" t="n">
        <v>4203.29</v>
      </c>
      <c r="T1894" t="n">
        <v>25</v>
      </c>
      <c r="U1894" t="n">
        <v>26</v>
      </c>
      <c r="V1894" t="n">
        <v>30</v>
      </c>
      <c r="W1894" t="n">
        <v>9</v>
      </c>
      <c r="X1894" t="n">
        <v>141.7936901807869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10371</v>
      </c>
      <c r="AG1894" t="n">
        <v>170</v>
      </c>
      <c r="AH1894" t="inlineStr">
        <is>
          <t>PT. JALUR MANDIRI UTAMA - PPN (PDG)</t>
        </is>
      </c>
      <c r="AI1894" t="n">
        <v>487</v>
      </c>
      <c r="AJ1894" t="inlineStr">
        <is>
          <t>GLAMFIX</t>
        </is>
      </c>
      <c r="AK1894" t="n">
        <v>21</v>
      </c>
      <c r="AL1894" t="inlineStr">
        <is>
          <t>Miss Glam Damar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GLAMFIX</t>
        </is>
      </c>
      <c r="B1895" s="2">
        <f>"8997227897310"</f>
        <v/>
      </c>
      <c r="C1895" t="inlineStr">
        <is>
          <t>GLAMFIX Precision Eyeshadow Brush</t>
        </is>
      </c>
      <c r="D1895" t="inlineStr">
        <is>
          <t>Miss Glam Damar</t>
        </is>
      </c>
      <c r="E1895" t="n">
        <v>34</v>
      </c>
      <c r="F1895" t="n">
        <v>0.2821</v>
      </c>
      <c r="G1895" t="n">
        <v>2.73</v>
      </c>
      <c r="H1895" t="n">
        <v>2</v>
      </c>
      <c r="I1895" t="n">
        <v>9</v>
      </c>
      <c r="J1895" t="n">
        <v>3</v>
      </c>
      <c r="K1895" t="n">
        <v>0</v>
      </c>
      <c r="L1895" t="n">
        <v>13520</v>
      </c>
      <c r="M1895" t="n">
        <v>16900</v>
      </c>
      <c r="N1895" t="n">
        <v>91</v>
      </c>
      <c r="O1895" t="n">
        <v>0.91</v>
      </c>
      <c r="P1895" t="n">
        <v>1</v>
      </c>
      <c r="Q1895" t="n">
        <v>0.1</v>
      </c>
      <c r="R1895" t="n">
        <v>2</v>
      </c>
      <c r="S1895" t="n">
        <v>4767.490000000001</v>
      </c>
      <c r="T1895" t="n">
        <v>25</v>
      </c>
      <c r="U1895" t="n">
        <v>26</v>
      </c>
      <c r="V1895" t="n">
        <v>30</v>
      </c>
      <c r="W1895" t="n">
        <v>9</v>
      </c>
      <c r="X1895" t="n">
        <v>120.5246366536689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10371</v>
      </c>
      <c r="AG1895" t="n">
        <v>170</v>
      </c>
      <c r="AH1895" t="inlineStr">
        <is>
          <t>PT. JALUR MANDIRI UTAMA - PPN (PDG)</t>
        </is>
      </c>
      <c r="AI1895" t="n">
        <v>487</v>
      </c>
      <c r="AJ1895" t="inlineStr">
        <is>
          <t>GLAMFIX</t>
        </is>
      </c>
      <c r="AK1895" t="n">
        <v>21</v>
      </c>
      <c r="AL1895" t="inlineStr">
        <is>
          <t>Miss Glam Damar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GLAMFIX</t>
        </is>
      </c>
      <c r="B1896" s="2">
        <f>"8991748003878"</f>
        <v/>
      </c>
      <c r="C1896" t="inlineStr">
        <is>
          <t>GLAMFIX Pressed Powder Puff 2</t>
        </is>
      </c>
      <c r="D1896" t="inlineStr">
        <is>
          <t>Miss Glam Damar</t>
        </is>
      </c>
      <c r="E1896" t="n">
        <v>24</v>
      </c>
      <c r="F1896" t="n">
        <v>0.5096000000000001</v>
      </c>
      <c r="G1896" t="n">
        <v>3.64</v>
      </c>
      <c r="H1896" t="n">
        <v>2</v>
      </c>
      <c r="I1896" t="n">
        <v>9</v>
      </c>
      <c r="J1896" t="n">
        <v>3</v>
      </c>
      <c r="K1896" t="n">
        <v>0</v>
      </c>
      <c r="L1896" t="n">
        <v>10320</v>
      </c>
      <c r="M1896" t="n">
        <v>12900</v>
      </c>
      <c r="N1896" t="n">
        <v>91</v>
      </c>
      <c r="O1896" t="n">
        <v>0.91</v>
      </c>
      <c r="P1896" t="n">
        <v>1</v>
      </c>
      <c r="Q1896" t="n">
        <v>0.98</v>
      </c>
      <c r="R1896" t="n">
        <v>7</v>
      </c>
      <c r="S1896" t="n">
        <v>6573.840000000001</v>
      </c>
      <c r="T1896" t="n">
        <v>32</v>
      </c>
      <c r="U1896" t="n">
        <v>34</v>
      </c>
      <c r="V1896" t="n">
        <v>30</v>
      </c>
      <c r="W1896" t="n">
        <v>16</v>
      </c>
      <c r="X1896" t="n">
        <v>47.09576138147566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10371</v>
      </c>
      <c r="AG1896" t="n">
        <v>170</v>
      </c>
      <c r="AH1896" t="inlineStr">
        <is>
          <t>PT. JALUR MANDIRI UTAMA - PPN (PDG)</t>
        </is>
      </c>
      <c r="AI1896" t="n">
        <v>487</v>
      </c>
      <c r="AJ1896" t="inlineStr">
        <is>
          <t>GLAMFIX</t>
        </is>
      </c>
      <c r="AK1896" t="n">
        <v>21</v>
      </c>
      <c r="AL1896" t="inlineStr">
        <is>
          <t>Miss Glam Damar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GLAMFIX</t>
        </is>
      </c>
      <c r="B1897" s="2">
        <f>"8997227895453"</f>
        <v/>
      </c>
      <c r="C1897" t="inlineStr">
        <is>
          <t>GLAMFIX Professional Aircushion Puff Isi 2</t>
        </is>
      </c>
      <c r="D1897" t="inlineStr">
        <is>
          <t>Miss Glam Damar</t>
        </is>
      </c>
      <c r="E1897" t="n">
        <v>43</v>
      </c>
      <c r="F1897" t="n">
        <v>0.7553</v>
      </c>
      <c r="G1897" t="n">
        <v>10.01</v>
      </c>
      <c r="H1897" t="n">
        <v>2</v>
      </c>
      <c r="I1897" t="n">
        <v>9</v>
      </c>
      <c r="J1897" t="n">
        <v>3</v>
      </c>
      <c r="K1897" t="n">
        <v>0</v>
      </c>
      <c r="L1897" t="n">
        <v>7920</v>
      </c>
      <c r="M1897" t="n">
        <v>9900</v>
      </c>
      <c r="N1897" t="n">
        <v>91</v>
      </c>
      <c r="O1897" t="n">
        <v>0.91</v>
      </c>
      <c r="P1897" t="n">
        <v>1</v>
      </c>
      <c r="Q1897" t="n">
        <v>1.44</v>
      </c>
      <c r="R1897" t="n">
        <v>15</v>
      </c>
      <c r="S1897" t="n">
        <v>7477.469999999999</v>
      </c>
      <c r="T1897" t="n">
        <v>89</v>
      </c>
      <c r="U1897" t="n">
        <v>91</v>
      </c>
      <c r="V1897" t="n">
        <v>30</v>
      </c>
      <c r="W1897" t="n">
        <v>23</v>
      </c>
      <c r="X1897" t="n">
        <v>56.93102078644247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10371</v>
      </c>
      <c r="AG1897" t="n">
        <v>170</v>
      </c>
      <c r="AH1897" t="inlineStr">
        <is>
          <t>PT. JALUR MANDIRI UTAMA - PPN (PDG)</t>
        </is>
      </c>
      <c r="AI1897" t="n">
        <v>487</v>
      </c>
      <c r="AJ1897" t="inlineStr">
        <is>
          <t>GLAMFIX</t>
        </is>
      </c>
      <c r="AK1897" t="n">
        <v>21</v>
      </c>
      <c r="AL1897" t="inlineStr">
        <is>
          <t>Miss Glam Damar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GLAMFIX</t>
        </is>
      </c>
      <c r="B1898" s="2">
        <f>"8997227895033"</f>
        <v/>
      </c>
      <c r="C1898" t="inlineStr">
        <is>
          <t>GLAMFIX Square Cellulose Cleansing Sponge Petak</t>
        </is>
      </c>
      <c r="D1898" t="inlineStr">
        <is>
          <t>Miss Glam Damar</t>
        </is>
      </c>
      <c r="E1898" t="n">
        <v>4</v>
      </c>
      <c r="F1898" t="n">
        <v>0.24</v>
      </c>
      <c r="G1898" t="n">
        <v>2</v>
      </c>
      <c r="H1898" t="n">
        <v>2</v>
      </c>
      <c r="I1898" t="n">
        <v>9</v>
      </c>
      <c r="J1898" t="n">
        <v>3</v>
      </c>
      <c r="K1898" t="n">
        <v>0</v>
      </c>
      <c r="L1898" t="n">
        <v>6300</v>
      </c>
      <c r="M1898" t="n">
        <v>10200</v>
      </c>
      <c r="N1898" t="n">
        <v>91</v>
      </c>
      <c r="O1898" t="n">
        <v>0.91</v>
      </c>
      <c r="P1898" t="n">
        <v>0</v>
      </c>
      <c r="Q1898" t="n">
        <v>0.24</v>
      </c>
      <c r="R1898" t="n">
        <v>2</v>
      </c>
      <c r="S1898" t="n">
        <v>2448</v>
      </c>
      <c r="T1898" t="n">
        <v>18</v>
      </c>
      <c r="U1898" t="n">
        <v>19</v>
      </c>
      <c r="V1898" t="n">
        <v>30</v>
      </c>
      <c r="W1898" t="n">
        <v>8</v>
      </c>
      <c r="X1898" t="n">
        <v>16.66666666666667</v>
      </c>
      <c r="Y1898" t="n">
        <v>1</v>
      </c>
      <c r="Z1898" t="n">
        <v>4</v>
      </c>
      <c r="AA1898" t="n">
        <v>0</v>
      </c>
      <c r="AB1898" t="n">
        <v>4</v>
      </c>
      <c r="AC1898" t="n">
        <v>4</v>
      </c>
      <c r="AD1898" t="n">
        <v>0</v>
      </c>
      <c r="AE1898" t="n">
        <v>25200</v>
      </c>
      <c r="AF1898" t="n">
        <v>10371</v>
      </c>
      <c r="AG1898" t="n">
        <v>170</v>
      </c>
      <c r="AH1898" t="inlineStr">
        <is>
          <t>PT. JALUR MANDIRI UTAMA - PPN (PDG)</t>
        </is>
      </c>
      <c r="AI1898" t="n">
        <v>487</v>
      </c>
      <c r="AJ1898" t="inlineStr">
        <is>
          <t>GLAMFIX</t>
        </is>
      </c>
      <c r="AK1898" t="n">
        <v>21</v>
      </c>
      <c r="AL1898" t="inlineStr">
        <is>
          <t>Miss Glam Damar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GLAMFIX</t>
        </is>
      </c>
      <c r="B1899" s="2">
        <f>"50100450356"</f>
        <v/>
      </c>
      <c r="C1899" t="inlineStr">
        <is>
          <t>GLAMFIX Wink Era Poppin' Glue-Free Cluster Eyelashes 01 Soft Girl</t>
        </is>
      </c>
      <c r="D1899" t="inlineStr">
        <is>
          <t>Miss Glam Damar</t>
        </is>
      </c>
      <c r="E1899" t="n">
        <v>37</v>
      </c>
      <c r="F1899" t="n">
        <v>0.3367</v>
      </c>
      <c r="G1899" t="n">
        <v>2.73</v>
      </c>
      <c r="H1899" t="n">
        <v>2</v>
      </c>
      <c r="I1899" t="n">
        <v>9</v>
      </c>
      <c r="J1899" t="n">
        <v>1</v>
      </c>
      <c r="K1899" t="n">
        <v>0</v>
      </c>
      <c r="L1899" t="n">
        <v>36720</v>
      </c>
      <c r="M1899" t="n">
        <v>45900</v>
      </c>
      <c r="N1899" t="n">
        <v>91</v>
      </c>
      <c r="O1899" t="n">
        <v>0.91</v>
      </c>
      <c r="P1899" t="n">
        <v>1</v>
      </c>
      <c r="Q1899" t="n">
        <v>0.93</v>
      </c>
      <c r="R1899" t="n">
        <v>4</v>
      </c>
      <c r="S1899" t="n">
        <v>15454.53</v>
      </c>
      <c r="T1899" t="n">
        <v>24</v>
      </c>
      <c r="U1899" t="n">
        <v>25</v>
      </c>
      <c r="V1899" t="n">
        <v>30</v>
      </c>
      <c r="W1899" t="n">
        <v>11</v>
      </c>
      <c r="X1899" t="n">
        <v>109.8901098901099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10371</v>
      </c>
      <c r="AG1899" t="n">
        <v>170</v>
      </c>
      <c r="AH1899" t="inlineStr">
        <is>
          <t>PT. JALUR MANDIRI UTAMA - PPN (PDG)</t>
        </is>
      </c>
      <c r="AI1899" t="n">
        <v>487</v>
      </c>
      <c r="AJ1899" t="inlineStr">
        <is>
          <t>GLAMFIX</t>
        </is>
      </c>
      <c r="AK1899" t="n">
        <v>21</v>
      </c>
      <c r="AL1899" t="inlineStr">
        <is>
          <t>Miss Glam Damar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GLAMFIX</t>
        </is>
      </c>
      <c r="B1900" s="2">
        <f>"50100450440"</f>
        <v/>
      </c>
      <c r="C1900" t="inlineStr">
        <is>
          <t>GLAMFIX Wink Era Poppin' Glue-Free Cluster Eyelashes 02 Lifting Slay</t>
        </is>
      </c>
      <c r="D1900" t="inlineStr">
        <is>
          <t>Miss Glam Damar</t>
        </is>
      </c>
      <c r="E1900" t="n">
        <v>19</v>
      </c>
      <c r="F1900" t="n">
        <v>0.4914000000000001</v>
      </c>
      <c r="G1900" t="n">
        <v>2.73</v>
      </c>
      <c r="H1900" t="n">
        <v>2</v>
      </c>
      <c r="I1900" t="n">
        <v>9</v>
      </c>
      <c r="J1900" t="n">
        <v>1</v>
      </c>
      <c r="K1900" t="n">
        <v>0</v>
      </c>
      <c r="L1900" t="n">
        <v>36720</v>
      </c>
      <c r="M1900" t="n">
        <v>45900</v>
      </c>
      <c r="N1900" t="n">
        <v>91</v>
      </c>
      <c r="O1900" t="n">
        <v>0.91</v>
      </c>
      <c r="P1900" t="n">
        <v>1</v>
      </c>
      <c r="Q1900" t="n">
        <v>0.86</v>
      </c>
      <c r="R1900" t="n">
        <v>6</v>
      </c>
      <c r="S1900" t="n">
        <v>22555.26</v>
      </c>
      <c r="T1900" t="n">
        <v>24</v>
      </c>
      <c r="U1900" t="n">
        <v>25</v>
      </c>
      <c r="V1900" t="n">
        <v>30</v>
      </c>
      <c r="W1900" t="n">
        <v>15</v>
      </c>
      <c r="X1900" t="n">
        <v>38.66503866503866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10371</v>
      </c>
      <c r="AG1900" t="n">
        <v>170</v>
      </c>
      <c r="AH1900" t="inlineStr">
        <is>
          <t>PT. JALUR MANDIRI UTAMA - PPN (PDG)</t>
        </is>
      </c>
      <c r="AI1900" t="n">
        <v>487</v>
      </c>
      <c r="AJ1900" t="inlineStr">
        <is>
          <t>GLAMFIX</t>
        </is>
      </c>
      <c r="AK1900" t="n">
        <v>21</v>
      </c>
      <c r="AL1900" t="inlineStr">
        <is>
          <t>Miss Glam Damar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GLAMFIX</t>
        </is>
      </c>
      <c r="B1901" s="2">
        <f>"50100450535"</f>
        <v/>
      </c>
      <c r="C1901" t="inlineStr">
        <is>
          <t>GLAMFIX Wink Era Poppin' Glue-Free Cluster Eyelashes 03 Barbie Coded</t>
        </is>
      </c>
      <c r="D1901" t="inlineStr">
        <is>
          <t>Miss Glam Damar</t>
        </is>
      </c>
      <c r="E1901" t="n">
        <v>46</v>
      </c>
      <c r="F1901" t="n">
        <v>0.2821</v>
      </c>
      <c r="G1901" t="n">
        <v>1.82</v>
      </c>
      <c r="H1901" t="n">
        <v>2</v>
      </c>
      <c r="I1901" t="n">
        <v>9</v>
      </c>
      <c r="J1901" t="n">
        <v>1</v>
      </c>
      <c r="K1901" t="n">
        <v>0</v>
      </c>
      <c r="L1901" t="n">
        <v>36720</v>
      </c>
      <c r="M1901" t="n">
        <v>45900</v>
      </c>
      <c r="N1901" t="n">
        <v>91</v>
      </c>
      <c r="O1901" t="n">
        <v>0.91</v>
      </c>
      <c r="P1901" t="n">
        <v>1</v>
      </c>
      <c r="Q1901" t="n">
        <v>0.32</v>
      </c>
      <c r="R1901" t="n">
        <v>4</v>
      </c>
      <c r="S1901" t="n">
        <v>12948.39</v>
      </c>
      <c r="T1901" t="n">
        <v>16</v>
      </c>
      <c r="U1901" t="n">
        <v>17</v>
      </c>
      <c r="V1901" t="n">
        <v>30</v>
      </c>
      <c r="W1901" t="n">
        <v>9</v>
      </c>
      <c r="X1901" t="n">
        <v>163.062743707905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10371</v>
      </c>
      <c r="AG1901" t="n">
        <v>170</v>
      </c>
      <c r="AH1901" t="inlineStr">
        <is>
          <t>PT. JALUR MANDIRI UTAMA - PPN (PDG)</t>
        </is>
      </c>
      <c r="AI1901" t="n">
        <v>487</v>
      </c>
      <c r="AJ1901" t="inlineStr">
        <is>
          <t>GLAMFIX</t>
        </is>
      </c>
      <c r="AK1901" t="n">
        <v>21</v>
      </c>
      <c r="AL1901" t="inlineStr">
        <is>
          <t>Miss Glam Damar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GLAMFIX</t>
        </is>
      </c>
      <c r="B1902" s="2">
        <f>"50100450643"</f>
        <v/>
      </c>
      <c r="C1902" t="inlineStr">
        <is>
          <t>GLAMFIX Wink Era Poppin' Glue-Free Cluster Eyelashes 04 Main Character</t>
        </is>
      </c>
      <c r="D1902" t="inlineStr">
        <is>
          <t>Miss Glam Damar</t>
        </is>
      </c>
      <c r="E1902" t="n">
        <v>37</v>
      </c>
      <c r="F1902" t="n">
        <v>0.2457</v>
      </c>
      <c r="G1902" t="n">
        <v>2.73</v>
      </c>
      <c r="H1902" t="n">
        <v>2</v>
      </c>
      <c r="I1902" t="n">
        <v>9</v>
      </c>
      <c r="J1902" t="n">
        <v>1</v>
      </c>
      <c r="K1902" t="n">
        <v>0</v>
      </c>
      <c r="L1902" t="n">
        <v>36720</v>
      </c>
      <c r="M1902" t="n">
        <v>45900</v>
      </c>
      <c r="N1902" t="n">
        <v>91</v>
      </c>
      <c r="O1902" t="n">
        <v>0.91</v>
      </c>
      <c r="P1902" t="n">
        <v>1</v>
      </c>
      <c r="Q1902" t="n">
        <v>0.44</v>
      </c>
      <c r="R1902" t="n">
        <v>3</v>
      </c>
      <c r="S1902" t="n">
        <v>11277.63</v>
      </c>
      <c r="T1902" t="n">
        <v>25</v>
      </c>
      <c r="U1902" t="n">
        <v>26</v>
      </c>
      <c r="V1902" t="n">
        <v>30</v>
      </c>
      <c r="W1902" t="n">
        <v>8</v>
      </c>
      <c r="X1902" t="n">
        <v>150.5901505901506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10371</v>
      </c>
      <c r="AG1902" t="n">
        <v>170</v>
      </c>
      <c r="AH1902" t="inlineStr">
        <is>
          <t>PT. JALUR MANDIRI UTAMA - PPN (PDG)</t>
        </is>
      </c>
      <c r="AI1902" t="n">
        <v>487</v>
      </c>
      <c r="AJ1902" t="inlineStr">
        <is>
          <t>GLAMFIX</t>
        </is>
      </c>
      <c r="AK1902" t="n">
        <v>21</v>
      </c>
      <c r="AL1902" t="inlineStr">
        <is>
          <t>Miss Glam Damar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GLAMFIX</t>
        </is>
      </c>
      <c r="B1903" s="2">
        <f>"50100450729"</f>
        <v/>
      </c>
      <c r="C1903" t="inlineStr">
        <is>
          <t>GLAMFIX Wink Era Poppin' Glue-Free Cluster Eyelashes 05 Witty Fox</t>
        </is>
      </c>
      <c r="D1903" t="inlineStr">
        <is>
          <t>Miss Glam Damar</t>
        </is>
      </c>
      <c r="E1903" t="n">
        <v>52</v>
      </c>
      <c r="F1903" t="n">
        <v>0.2457</v>
      </c>
      <c r="G1903" t="n">
        <v>1.82</v>
      </c>
      <c r="H1903" t="n">
        <v>2</v>
      </c>
      <c r="I1903" t="n">
        <v>9</v>
      </c>
      <c r="J1903" t="n">
        <v>1</v>
      </c>
      <c r="K1903" t="n">
        <v>0</v>
      </c>
      <c r="L1903" t="n">
        <v>36720</v>
      </c>
      <c r="M1903" t="n">
        <v>45900</v>
      </c>
      <c r="N1903" t="n">
        <v>91</v>
      </c>
      <c r="O1903" t="n">
        <v>0.91</v>
      </c>
      <c r="P1903" t="n">
        <v>1</v>
      </c>
      <c r="Q1903" t="n">
        <v>0.29</v>
      </c>
      <c r="R1903" t="n">
        <v>2</v>
      </c>
      <c r="S1903" t="n">
        <v>11277.63</v>
      </c>
      <c r="T1903" t="n">
        <v>16</v>
      </c>
      <c r="U1903" t="n">
        <v>17</v>
      </c>
      <c r="V1903" t="n">
        <v>30</v>
      </c>
      <c r="W1903" t="n">
        <v>8</v>
      </c>
      <c r="X1903" t="n">
        <v>211.6402116402116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10371</v>
      </c>
      <c r="AG1903" t="n">
        <v>170</v>
      </c>
      <c r="AH1903" t="inlineStr">
        <is>
          <t>PT. JALUR MANDIRI UTAMA - PPN (PDG)</t>
        </is>
      </c>
      <c r="AI1903" t="n">
        <v>487</v>
      </c>
      <c r="AJ1903" t="inlineStr">
        <is>
          <t>GLAMFIX</t>
        </is>
      </c>
      <c r="AK1903" t="n">
        <v>21</v>
      </c>
      <c r="AL1903" t="inlineStr">
        <is>
          <t>Miss Glam Damar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GLAMFIX</t>
        </is>
      </c>
      <c r="B1904" s="2">
        <f>"50100450842"</f>
        <v/>
      </c>
      <c r="C1904" t="inlineStr">
        <is>
          <t>GLAMFIX Wink Era Press-On False Eyelashes 02 Magic Wink</t>
        </is>
      </c>
      <c r="D1904" t="inlineStr">
        <is>
          <t>Miss Glam Damar</t>
        </is>
      </c>
      <c r="E1904" t="n">
        <v>12</v>
      </c>
      <c r="F1904" t="n">
        <v>0.2002</v>
      </c>
      <c r="G1904" t="n">
        <v>3.64</v>
      </c>
      <c r="H1904" t="n">
        <v>2</v>
      </c>
      <c r="I1904" t="n">
        <v>9</v>
      </c>
      <c r="J1904" t="n">
        <v>1</v>
      </c>
      <c r="K1904" t="n">
        <v>0</v>
      </c>
      <c r="L1904" t="n">
        <v>28720</v>
      </c>
      <c r="M1904" t="n">
        <v>35900</v>
      </c>
      <c r="N1904" t="n">
        <v>91</v>
      </c>
      <c r="O1904" t="n">
        <v>0.91</v>
      </c>
      <c r="P1904" t="n">
        <v>1</v>
      </c>
      <c r="Q1904" t="n">
        <v>0.44</v>
      </c>
      <c r="R1904" t="n">
        <v>2</v>
      </c>
      <c r="S1904" t="n">
        <v>7187.18</v>
      </c>
      <c r="T1904" t="n">
        <v>33</v>
      </c>
      <c r="U1904" t="n">
        <v>34</v>
      </c>
      <c r="V1904" t="n">
        <v>30</v>
      </c>
      <c r="W1904" t="n">
        <v>7</v>
      </c>
      <c r="X1904" t="n">
        <v>59.94005994005993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10371</v>
      </c>
      <c r="AG1904" t="n">
        <v>170</v>
      </c>
      <c r="AH1904" t="inlineStr">
        <is>
          <t>PT. JALUR MANDIRI UTAMA - PPN (PDG)</t>
        </is>
      </c>
      <c r="AI1904" t="n">
        <v>487</v>
      </c>
      <c r="AJ1904" t="inlineStr">
        <is>
          <t>GLAMFIX</t>
        </is>
      </c>
      <c r="AK1904" t="n">
        <v>21</v>
      </c>
      <c r="AL1904" t="inlineStr">
        <is>
          <t>Miss Glam Damar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GLAMFIX</t>
        </is>
      </c>
      <c r="B1905" s="2">
        <f>"50100450914"</f>
        <v/>
      </c>
      <c r="C1905" t="inlineStr">
        <is>
          <t>GLAMFIX Wink Era Press-On False Eyelashes 04 First Date</t>
        </is>
      </c>
      <c r="D1905" t="inlineStr">
        <is>
          <t>Miss Glam Damar</t>
        </is>
      </c>
      <c r="E1905" t="n">
        <v>17</v>
      </c>
      <c r="F1905" t="n">
        <v>0.1092</v>
      </c>
      <c r="G1905" t="n">
        <v>1.82</v>
      </c>
      <c r="H1905" t="n">
        <v>2</v>
      </c>
      <c r="I1905" t="n">
        <v>9</v>
      </c>
      <c r="J1905" t="n">
        <v>1</v>
      </c>
      <c r="K1905" t="n">
        <v>0</v>
      </c>
      <c r="L1905" t="n">
        <v>28720</v>
      </c>
      <c r="M1905" t="n">
        <v>35900</v>
      </c>
      <c r="N1905" t="n">
        <v>91</v>
      </c>
      <c r="O1905" t="n">
        <v>0.91</v>
      </c>
      <c r="P1905" t="n">
        <v>1</v>
      </c>
      <c r="Q1905" t="n">
        <v>0.42</v>
      </c>
      <c r="R1905" t="n">
        <v>3</v>
      </c>
      <c r="S1905" t="n">
        <v>3920.28</v>
      </c>
      <c r="T1905" t="n">
        <v>17</v>
      </c>
      <c r="U1905" t="n">
        <v>18</v>
      </c>
      <c r="V1905" t="n">
        <v>30</v>
      </c>
      <c r="W1905" t="n">
        <v>4</v>
      </c>
      <c r="X1905" t="n">
        <v>155.6776556776557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10371</v>
      </c>
      <c r="AG1905" t="n">
        <v>170</v>
      </c>
      <c r="AH1905" t="inlineStr">
        <is>
          <t>PT. JALUR MANDIRI UTAMA - PPN (PDG)</t>
        </is>
      </c>
      <c r="AI1905" t="n">
        <v>487</v>
      </c>
      <c r="AJ1905" t="inlineStr">
        <is>
          <t>GLAMFIX</t>
        </is>
      </c>
      <c r="AK1905" t="n">
        <v>21</v>
      </c>
      <c r="AL1905" t="inlineStr">
        <is>
          <t>Miss Glam Damar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GLAMFIX</t>
        </is>
      </c>
      <c r="B1906" s="2">
        <f>"50100451014"</f>
        <v/>
      </c>
      <c r="C1906" t="inlineStr">
        <is>
          <t>GLAMFIX Wink Era Press-On False Eyelashes 09 Dazzling Gaze</t>
        </is>
      </c>
      <c r="D1906" t="inlineStr">
        <is>
          <t>Miss Glam Damar</t>
        </is>
      </c>
      <c r="E1906" t="n">
        <v>28</v>
      </c>
      <c r="F1906" t="n">
        <v>0.2184</v>
      </c>
      <c r="G1906" t="n">
        <v>1.82</v>
      </c>
      <c r="H1906" t="n">
        <v>2</v>
      </c>
      <c r="I1906" t="n">
        <v>9</v>
      </c>
      <c r="J1906" t="n">
        <v>1</v>
      </c>
      <c r="K1906" t="n">
        <v>0</v>
      </c>
      <c r="L1906" t="n">
        <v>28720</v>
      </c>
      <c r="M1906" t="n">
        <v>35900</v>
      </c>
      <c r="N1906" t="n">
        <v>91</v>
      </c>
      <c r="O1906" t="n">
        <v>0.91</v>
      </c>
      <c r="P1906" t="n">
        <v>1</v>
      </c>
      <c r="Q1906" t="n">
        <v>0.49</v>
      </c>
      <c r="R1906" t="n">
        <v>2</v>
      </c>
      <c r="S1906" t="n">
        <v>7840.56</v>
      </c>
      <c r="T1906" t="n">
        <v>16</v>
      </c>
      <c r="U1906" t="n">
        <v>17</v>
      </c>
      <c r="V1906" t="n">
        <v>30</v>
      </c>
      <c r="W1906" t="n">
        <v>7</v>
      </c>
      <c r="X1906" t="n">
        <v>128.2051282051282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10371</v>
      </c>
      <c r="AG1906" t="n">
        <v>170</v>
      </c>
      <c r="AH1906" t="inlineStr">
        <is>
          <t>PT. JALUR MANDIRI UTAMA - PPN (PDG)</t>
        </is>
      </c>
      <c r="AI1906" t="n">
        <v>487</v>
      </c>
      <c r="AJ1906" t="inlineStr">
        <is>
          <t>GLAMFIX</t>
        </is>
      </c>
      <c r="AK1906" t="n">
        <v>21</v>
      </c>
      <c r="AL1906" t="inlineStr">
        <is>
          <t>Miss Glam Damar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GLAMFIX</t>
        </is>
      </c>
      <c r="B1907" s="2">
        <f>"50100316717"</f>
        <v/>
      </c>
      <c r="C1907" t="inlineStr">
        <is>
          <t>GLAMFIXGlam My Lash Curler-Comb-in</t>
        </is>
      </c>
      <c r="D1907" t="inlineStr">
        <is>
          <t>Miss Glam Damar</t>
        </is>
      </c>
      <c r="E1907" t="n">
        <v>36</v>
      </c>
      <c r="F1907" t="n">
        <v>0.5733</v>
      </c>
      <c r="G1907" t="n">
        <v>3.64</v>
      </c>
      <c r="H1907" t="n">
        <v>2</v>
      </c>
      <c r="I1907" t="n">
        <v>9</v>
      </c>
      <c r="J1907" t="n">
        <v>1</v>
      </c>
      <c r="K1907" t="n">
        <v>0</v>
      </c>
      <c r="L1907" t="n">
        <v>26320</v>
      </c>
      <c r="M1907" t="n">
        <v>32900</v>
      </c>
      <c r="N1907" t="n">
        <v>91</v>
      </c>
      <c r="O1907" t="n">
        <v>0.91</v>
      </c>
      <c r="P1907" t="n">
        <v>1</v>
      </c>
      <c r="Q1907" t="n">
        <v>1.19</v>
      </c>
      <c r="R1907" t="n">
        <v>5</v>
      </c>
      <c r="S1907" t="n">
        <v>18861.57</v>
      </c>
      <c r="T1907" t="n">
        <v>32</v>
      </c>
      <c r="U1907" t="n">
        <v>34</v>
      </c>
      <c r="V1907" t="n">
        <v>30</v>
      </c>
      <c r="W1907" t="n">
        <v>18</v>
      </c>
      <c r="X1907" t="n">
        <v>62.79434850863422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10371</v>
      </c>
      <c r="AG1907" t="n">
        <v>170</v>
      </c>
      <c r="AH1907" t="inlineStr">
        <is>
          <t>PT. JALUR MANDIRI UTAMA - PPN (PDG)</t>
        </is>
      </c>
      <c r="AI1907" t="n">
        <v>487</v>
      </c>
      <c r="AJ1907" t="inlineStr">
        <is>
          <t>GLAMFIX</t>
        </is>
      </c>
      <c r="AK1907" t="n">
        <v>21</v>
      </c>
      <c r="AL1907" t="inlineStr">
        <is>
          <t>Miss Glam Damar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GLOOWBI</t>
        </is>
      </c>
      <c r="B1908" s="2">
        <f>"10300146854"</f>
        <v/>
      </c>
      <c r="C1908" t="inlineStr">
        <is>
          <t>GLOOWBI Bright Skin Tone Up Day Cream 15ml</t>
        </is>
      </c>
      <c r="D1908" t="inlineStr">
        <is>
          <t>Miss Glam Damar</t>
        </is>
      </c>
      <c r="E1908" t="n">
        <v>7</v>
      </c>
      <c r="F1908" t="n">
        <v>0.3367</v>
      </c>
      <c r="G1908" t="n">
        <v>1.82</v>
      </c>
      <c r="H1908" t="n">
        <v>4</v>
      </c>
      <c r="I1908" t="n">
        <v>6</v>
      </c>
      <c r="J1908" t="n">
        <v>1</v>
      </c>
      <c r="K1908" t="n">
        <v>0</v>
      </c>
      <c r="L1908" t="n">
        <v>27903</v>
      </c>
      <c r="M1908" t="n">
        <v>33500</v>
      </c>
      <c r="N1908" t="n">
        <v>91</v>
      </c>
      <c r="O1908" t="n">
        <v>0.91</v>
      </c>
      <c r="P1908" t="n">
        <v>1</v>
      </c>
      <c r="Q1908" t="n">
        <v>0.05</v>
      </c>
      <c r="R1908" t="n">
        <v>1</v>
      </c>
      <c r="S1908" t="n">
        <v>11279.45</v>
      </c>
      <c r="T1908" t="n">
        <v>10</v>
      </c>
      <c r="U1908" t="n">
        <v>12</v>
      </c>
      <c r="V1908" t="n">
        <v>30</v>
      </c>
      <c r="W1908" t="n">
        <v>11</v>
      </c>
      <c r="X1908" t="n">
        <v>20.79002079002079</v>
      </c>
      <c r="Y1908" t="n">
        <v>1</v>
      </c>
      <c r="Z1908" t="n">
        <v>4</v>
      </c>
      <c r="AA1908" t="n">
        <v>0</v>
      </c>
      <c r="AB1908" t="n">
        <v>4</v>
      </c>
      <c r="AC1908" t="n">
        <v>4</v>
      </c>
      <c r="AD1908" t="n">
        <v>0</v>
      </c>
      <c r="AE1908" t="n">
        <v>111612</v>
      </c>
      <c r="AF1908" t="n">
        <v>2092</v>
      </c>
      <c r="AG1908" t="n">
        <v>3317</v>
      </c>
      <c r="AH1908" t="inlineStr">
        <is>
          <t>PT GREAT DELI FARMA (PKU)</t>
        </is>
      </c>
      <c r="AI1908" t="n">
        <v>2119</v>
      </c>
      <c r="AJ1908" t="inlineStr">
        <is>
          <t>GLOOWBI</t>
        </is>
      </c>
      <c r="AK1908" t="n">
        <v>21</v>
      </c>
      <c r="AL1908" t="inlineStr">
        <is>
          <t>Miss Glam Damar</t>
        </is>
      </c>
      <c r="AM1908" t="n">
        <v>3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GLOOWBI</t>
        </is>
      </c>
      <c r="B1909" s="2">
        <f>"10400514701"</f>
        <v/>
      </c>
      <c r="C1909" t="inlineStr">
        <is>
          <t>GLOOWBI Glass Skin Sunscreen SPF 40 PA+++ 50ml</t>
        </is>
      </c>
      <c r="D1909" t="inlineStr">
        <is>
          <t>Miss Glam Damar</t>
        </is>
      </c>
      <c r="E1909" t="n">
        <v>35</v>
      </c>
      <c r="F1909" t="n">
        <v>4.4772</v>
      </c>
      <c r="G1909" t="n">
        <v>14.56</v>
      </c>
      <c r="H1909" t="n">
        <v>4</v>
      </c>
      <c r="I1909" t="n">
        <v>6</v>
      </c>
      <c r="J1909" t="n">
        <v>3</v>
      </c>
      <c r="K1909" t="n">
        <v>24</v>
      </c>
      <c r="L1909" t="n">
        <v>45088</v>
      </c>
      <c r="M1909" t="n">
        <v>65000</v>
      </c>
      <c r="N1909" t="n">
        <v>91</v>
      </c>
      <c r="O1909" t="n">
        <v>0.91</v>
      </c>
      <c r="P1909" t="n">
        <v>1</v>
      </c>
      <c r="Q1909" t="n">
        <v>1.88</v>
      </c>
      <c r="R1909" t="n">
        <v>8</v>
      </c>
      <c r="S1909" t="n">
        <v>291018</v>
      </c>
      <c r="T1909" t="n">
        <v>70</v>
      </c>
      <c r="U1909" t="n">
        <v>88</v>
      </c>
      <c r="V1909" t="n">
        <v>30</v>
      </c>
      <c r="W1909" t="n">
        <v>135</v>
      </c>
      <c r="X1909" t="n">
        <v>7.817385866166354</v>
      </c>
      <c r="Y1909" t="n">
        <v>1</v>
      </c>
      <c r="Z1909" t="n">
        <v>76</v>
      </c>
      <c r="AA1909" t="n">
        <v>0</v>
      </c>
      <c r="AB1909" t="n">
        <v>76</v>
      </c>
      <c r="AC1909" t="n">
        <v>76</v>
      </c>
      <c r="AD1909" t="n">
        <v>0</v>
      </c>
      <c r="AE1909" t="n">
        <v>3426688</v>
      </c>
      <c r="AF1909" t="n">
        <v>2092</v>
      </c>
      <c r="AG1909" t="n">
        <v>3317</v>
      </c>
      <c r="AH1909" t="inlineStr">
        <is>
          <t>PT GREAT DELI FARMA (PKU)</t>
        </is>
      </c>
      <c r="AI1909" t="n">
        <v>2119</v>
      </c>
      <c r="AJ1909" t="inlineStr">
        <is>
          <t>GLOOWBI</t>
        </is>
      </c>
      <c r="AK1909" t="n">
        <v>21</v>
      </c>
      <c r="AL1909" t="inlineStr">
        <is>
          <t>Miss Glam Damar</t>
        </is>
      </c>
      <c r="AM1909" t="n">
        <v>3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GLOOWBI</t>
        </is>
      </c>
      <c r="B1910" s="2">
        <f>"101001114918"</f>
        <v/>
      </c>
      <c r="C1910" t="inlineStr">
        <is>
          <t>GLOOWBI Low Ph Bright Facial Wash Cleanse Your Skin Centella Asiatica Extract Niacinamide 120ml</t>
        </is>
      </c>
      <c r="D1910" t="inlineStr">
        <is>
          <t>Miss Glam Damar</t>
        </is>
      </c>
      <c r="E1910" t="n">
        <v>6</v>
      </c>
      <c r="F1910" t="n">
        <v>0.5733</v>
      </c>
      <c r="G1910" t="n">
        <v>2.73</v>
      </c>
      <c r="H1910" t="n">
        <v>4</v>
      </c>
      <c r="I1910" t="n">
        <v>6</v>
      </c>
      <c r="J1910" t="n">
        <v>1</v>
      </c>
      <c r="K1910" t="n">
        <v>3</v>
      </c>
      <c r="L1910" t="n">
        <v>27917</v>
      </c>
      <c r="M1910" t="n">
        <v>33000</v>
      </c>
      <c r="N1910" t="n">
        <v>91</v>
      </c>
      <c r="O1910" t="n">
        <v>0.91</v>
      </c>
      <c r="P1910" t="n">
        <v>1</v>
      </c>
      <c r="Q1910" t="n">
        <v>0.15</v>
      </c>
      <c r="R1910" t="n">
        <v>2</v>
      </c>
      <c r="S1910" t="n">
        <v>18918.9</v>
      </c>
      <c r="T1910" t="n">
        <v>15</v>
      </c>
      <c r="U1910" t="n">
        <v>18</v>
      </c>
      <c r="V1910" t="n">
        <v>30</v>
      </c>
      <c r="W1910" t="n">
        <v>18</v>
      </c>
      <c r="X1910" t="n">
        <v>10.46572475143904</v>
      </c>
      <c r="Y1910" t="n">
        <v>1</v>
      </c>
      <c r="Z1910" t="n">
        <v>9</v>
      </c>
      <c r="AA1910" t="n">
        <v>0</v>
      </c>
      <c r="AB1910" t="n">
        <v>9</v>
      </c>
      <c r="AC1910" t="n">
        <v>9</v>
      </c>
      <c r="AD1910" t="n">
        <v>0</v>
      </c>
      <c r="AE1910" t="n">
        <v>251253</v>
      </c>
      <c r="AF1910" t="n">
        <v>2092</v>
      </c>
      <c r="AG1910" t="n">
        <v>3317</v>
      </c>
      <c r="AH1910" t="inlineStr">
        <is>
          <t>PT GREAT DELI FARMA (PKU)</t>
        </is>
      </c>
      <c r="AI1910" t="n">
        <v>2119</v>
      </c>
      <c r="AJ1910" t="inlineStr">
        <is>
          <t>GLOOWBI</t>
        </is>
      </c>
      <c r="AK1910" t="n">
        <v>21</v>
      </c>
      <c r="AL1910" t="inlineStr">
        <is>
          <t>Miss Glam Damar</t>
        </is>
      </c>
      <c r="AM1910" t="n">
        <v>3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GLOW &amp; LOVELY</t>
        </is>
      </c>
      <c r="B1911" s="2">
        <f>"8999999007799"</f>
        <v/>
      </c>
      <c r="C1911" t="inlineStr">
        <is>
          <t>GLOW &amp; LOVELY Derma Glow Multivitamin Cream 50gr</t>
        </is>
      </c>
      <c r="D1911" t="inlineStr">
        <is>
          <t>Miss Glam Damar</t>
        </is>
      </c>
      <c r="E1911" t="n">
        <v>4</v>
      </c>
      <c r="F1911" t="n">
        <v>0.2457</v>
      </c>
      <c r="G1911" t="n">
        <v>1.82</v>
      </c>
      <c r="H1911" t="n">
        <v>3</v>
      </c>
      <c r="I1911" t="n">
        <v>5</v>
      </c>
      <c r="J1911" t="n">
        <v>3</v>
      </c>
      <c r="K1911" t="n">
        <v>0</v>
      </c>
      <c r="L1911" t="n">
        <v>34895</v>
      </c>
      <c r="M1911" t="n">
        <v>41500</v>
      </c>
      <c r="N1911" t="n">
        <v>91</v>
      </c>
      <c r="O1911" t="n">
        <v>0.91</v>
      </c>
      <c r="P1911" t="n">
        <v>1</v>
      </c>
      <c r="Q1911" t="n">
        <v>0.1</v>
      </c>
      <c r="R1911" t="n">
        <v>2</v>
      </c>
      <c r="S1911" t="n">
        <v>10196.55</v>
      </c>
      <c r="T1911" t="n">
        <v>9</v>
      </c>
      <c r="U1911" t="n">
        <v>10</v>
      </c>
      <c r="V1911" t="n">
        <v>30</v>
      </c>
      <c r="W1911" t="n">
        <v>8</v>
      </c>
      <c r="X1911" t="n">
        <v>16.28001628001628</v>
      </c>
      <c r="Y1911" t="n">
        <v>1</v>
      </c>
      <c r="Z1911" t="n">
        <v>4</v>
      </c>
      <c r="AA1911" t="n">
        <v>0</v>
      </c>
      <c r="AB1911" t="n">
        <v>4</v>
      </c>
      <c r="AC1911" t="n">
        <v>4</v>
      </c>
      <c r="AD1911" t="n">
        <v>0</v>
      </c>
      <c r="AE1911" t="n">
        <v>139580</v>
      </c>
      <c r="AF1911" t="n">
        <v>1543</v>
      </c>
      <c r="AG1911" t="n">
        <v>361</v>
      </c>
      <c r="AH1911" t="inlineStr">
        <is>
          <t>CV. SERBA SERBI - PPN (PDG)</t>
        </is>
      </c>
      <c r="AI1911" t="n">
        <v>1659</v>
      </c>
      <c r="AJ1911" t="inlineStr">
        <is>
          <t>GLOW &amp; LOVELY</t>
        </is>
      </c>
      <c r="AK1911" t="n">
        <v>21</v>
      </c>
      <c r="AL1911" t="inlineStr">
        <is>
          <t>Miss Glam Damar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GLOW &amp; LOVELY</t>
        </is>
      </c>
      <c r="B1912" s="2">
        <f>"8999999566654"</f>
        <v/>
      </c>
      <c r="C1912" t="inlineStr">
        <is>
          <t>GLOW &amp; LOVELY Facial Foam Vitamin C 100ml</t>
        </is>
      </c>
      <c r="D1912" t="inlineStr">
        <is>
          <t>Miss Glam Damar</t>
        </is>
      </c>
      <c r="E1912" t="n">
        <v>20</v>
      </c>
      <c r="F1912" t="n">
        <v>0.3549</v>
      </c>
      <c r="G1912" t="n">
        <v>2.73</v>
      </c>
      <c r="H1912" t="n">
        <v>3</v>
      </c>
      <c r="I1912" t="n">
        <v>5</v>
      </c>
      <c r="J1912" t="n">
        <v>3</v>
      </c>
      <c r="K1912" t="n">
        <v>0</v>
      </c>
      <c r="L1912" t="n">
        <v>26360</v>
      </c>
      <c r="M1912" t="n">
        <v>31500</v>
      </c>
      <c r="N1912" t="n">
        <v>91</v>
      </c>
      <c r="O1912" t="n">
        <v>0.91</v>
      </c>
      <c r="P1912" t="n">
        <v>1</v>
      </c>
      <c r="Q1912" t="n">
        <v>0.49</v>
      </c>
      <c r="R1912" t="n">
        <v>2</v>
      </c>
      <c r="S1912" t="n">
        <v>11179.35</v>
      </c>
      <c r="T1912" t="n">
        <v>13</v>
      </c>
      <c r="U1912" t="n">
        <v>15</v>
      </c>
      <c r="V1912" t="n">
        <v>30</v>
      </c>
      <c r="W1912" t="n">
        <v>11</v>
      </c>
      <c r="X1912" t="n">
        <v>56.35390250774866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1543</v>
      </c>
      <c r="AG1912" t="n">
        <v>361</v>
      </c>
      <c r="AH1912" t="inlineStr">
        <is>
          <t>CV. SERBA SERBI - PPN (PDG)</t>
        </is>
      </c>
      <c r="AI1912" t="n">
        <v>1659</v>
      </c>
      <c r="AJ1912" t="inlineStr">
        <is>
          <t>GLOW &amp; LOVELY</t>
        </is>
      </c>
      <c r="AK1912" t="n">
        <v>21</v>
      </c>
      <c r="AL1912" t="inlineStr">
        <is>
          <t>Miss Glam Damar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GLOW &amp; LOVELY</t>
        </is>
      </c>
      <c r="B1913" s="2">
        <f>"10300726514"</f>
        <v/>
      </c>
      <c r="C1913" t="inlineStr">
        <is>
          <t>GLOW &amp; LOVELY Glassbright Cream 30gr</t>
        </is>
      </c>
      <c r="D1913" t="inlineStr">
        <is>
          <t>Miss Glam Damar</t>
        </is>
      </c>
      <c r="E1913" t="n">
        <v>3</v>
      </c>
      <c r="F1913" t="n">
        <v>0.04550000000000001</v>
      </c>
      <c r="G1913" t="n">
        <v>1.82</v>
      </c>
      <c r="H1913" t="n">
        <v>3</v>
      </c>
      <c r="I1913" t="n">
        <v>5</v>
      </c>
      <c r="J1913" t="n">
        <v>1</v>
      </c>
      <c r="K1913" t="n">
        <v>0</v>
      </c>
      <c r="L1913" t="n">
        <v>28825</v>
      </c>
      <c r="M1913" t="n">
        <v>34500</v>
      </c>
      <c r="N1913" t="n">
        <v>91</v>
      </c>
      <c r="O1913" t="n">
        <v>0.91</v>
      </c>
      <c r="P1913" t="n">
        <v>1</v>
      </c>
      <c r="Q1913" t="n">
        <v>0.05</v>
      </c>
      <c r="R1913" t="n">
        <v>1</v>
      </c>
      <c r="S1913" t="n">
        <v>1569.75</v>
      </c>
      <c r="T1913" t="n">
        <v>9</v>
      </c>
      <c r="U1913" t="n">
        <v>10</v>
      </c>
      <c r="V1913" t="n">
        <v>30</v>
      </c>
      <c r="W1913" t="n">
        <v>2</v>
      </c>
      <c r="X1913" t="n">
        <v>65.93406593406593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1543</v>
      </c>
      <c r="AG1913" t="n">
        <v>361</v>
      </c>
      <c r="AH1913" t="inlineStr">
        <is>
          <t>CV. SERBA SERBI - PPN (PDG)</t>
        </is>
      </c>
      <c r="AI1913" t="n">
        <v>1659</v>
      </c>
      <c r="AJ1913" t="inlineStr">
        <is>
          <t>GLOW &amp; LOVELY</t>
        </is>
      </c>
      <c r="AK1913" t="n">
        <v>21</v>
      </c>
      <c r="AL1913" t="inlineStr">
        <is>
          <t>Miss Glam Damar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GLOW FX</t>
        </is>
      </c>
      <c r="B1914" s="2">
        <f>"11200314533"</f>
        <v/>
      </c>
      <c r="C1914" t="inlineStr">
        <is>
          <t>GLOW FX - 17% Total Acids CeraCapsule Peeling Solution 20ml</t>
        </is>
      </c>
      <c r="D1914" t="inlineStr">
        <is>
          <t>Miss Glam Damar</t>
        </is>
      </c>
      <c r="E1914" t="n">
        <v>3</v>
      </c>
      <c r="F1914" t="n">
        <v>0.2184</v>
      </c>
      <c r="G1914" t="n">
        <v>0.91</v>
      </c>
      <c r="H1914" t="n">
        <v>4</v>
      </c>
      <c r="I1914" t="n">
        <v>21</v>
      </c>
      <c r="J1914" t="n">
        <v>1</v>
      </c>
      <c r="K1914" t="n">
        <v>0</v>
      </c>
      <c r="L1914" t="n">
        <v>59663</v>
      </c>
      <c r="M1914" t="n">
        <v>75000</v>
      </c>
      <c r="N1914" t="n">
        <v>91</v>
      </c>
      <c r="O1914" t="n">
        <v>0.91</v>
      </c>
      <c r="P1914" t="n">
        <v>1</v>
      </c>
      <c r="Q1914" t="n">
        <v>0.14</v>
      </c>
      <c r="R1914" t="n">
        <v>1</v>
      </c>
      <c r="S1914" t="n">
        <v>16380</v>
      </c>
      <c r="T1914" t="n">
        <v>19</v>
      </c>
      <c r="U1914" t="n">
        <v>20</v>
      </c>
      <c r="V1914" t="n">
        <v>30</v>
      </c>
      <c r="W1914" t="n">
        <v>7</v>
      </c>
      <c r="X1914" t="n">
        <v>13.73626373626374</v>
      </c>
      <c r="Y1914" t="n">
        <v>1</v>
      </c>
      <c r="Z1914" t="n">
        <v>4</v>
      </c>
      <c r="AA1914" t="n">
        <v>2</v>
      </c>
      <c r="AB1914" t="n">
        <v>2</v>
      </c>
      <c r="AC1914" t="n">
        <v>2</v>
      </c>
      <c r="AD1914" t="n">
        <v>119326</v>
      </c>
      <c r="AE1914" t="n">
        <v>119326</v>
      </c>
      <c r="AF1914" t="n">
        <v>5185</v>
      </c>
      <c r="AG1914" t="n">
        <v>1</v>
      </c>
      <c r="AH1914" t="inlineStr">
        <is>
          <t>PT. BERSAMA DISTRIVERSA INDONESIA (DC CIPUTAT)</t>
        </is>
      </c>
      <c r="AI1914" t="n">
        <v>2276</v>
      </c>
      <c r="AJ1914" t="inlineStr">
        <is>
          <t>GLOW FX</t>
        </is>
      </c>
      <c r="AK1914" t="n">
        <v>21</v>
      </c>
      <c r="AL1914" t="inlineStr">
        <is>
          <t>Miss Glam Damar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GLOW FX</t>
        </is>
      </c>
      <c r="B1915" s="2">
        <f>"11200218756"</f>
        <v/>
      </c>
      <c r="C1915" t="inlineStr">
        <is>
          <t>GLOW FX Acne Pure Serum 20ml</t>
        </is>
      </c>
      <c r="D1915" t="inlineStr">
        <is>
          <t>Miss Glam Damar</t>
        </is>
      </c>
      <c r="E1915" t="n">
        <v>5</v>
      </c>
      <c r="F1915" t="n">
        <v>0.5824</v>
      </c>
      <c r="G1915" t="n">
        <v>2.73</v>
      </c>
      <c r="H1915" t="n">
        <v>4</v>
      </c>
      <c r="I1915" t="n">
        <v>21</v>
      </c>
      <c r="J1915" t="n">
        <v>1</v>
      </c>
      <c r="K1915" t="n">
        <v>0</v>
      </c>
      <c r="L1915" t="n">
        <v>55618</v>
      </c>
      <c r="M1915" t="n">
        <v>79000</v>
      </c>
      <c r="N1915" t="n">
        <v>91</v>
      </c>
      <c r="O1915" t="n">
        <v>0.91</v>
      </c>
      <c r="P1915" t="n">
        <v>1</v>
      </c>
      <c r="Q1915" t="n">
        <v>0.32</v>
      </c>
      <c r="R1915" t="n">
        <v>2</v>
      </c>
      <c r="S1915" t="n">
        <v>46009.60000000001</v>
      </c>
      <c r="T1915" t="n">
        <v>56</v>
      </c>
      <c r="U1915" t="n">
        <v>59</v>
      </c>
      <c r="V1915" t="n">
        <v>30</v>
      </c>
      <c r="W1915" t="n">
        <v>18</v>
      </c>
      <c r="X1915" t="n">
        <v>8.585164835164834</v>
      </c>
      <c r="Y1915" t="n">
        <v>1</v>
      </c>
      <c r="Z1915" t="n">
        <v>13</v>
      </c>
      <c r="AA1915" t="n">
        <v>8</v>
      </c>
      <c r="AB1915" t="n">
        <v>5</v>
      </c>
      <c r="AC1915" t="n">
        <v>5</v>
      </c>
      <c r="AD1915" t="n">
        <v>444944</v>
      </c>
      <c r="AE1915" t="n">
        <v>278090</v>
      </c>
      <c r="AF1915" t="n">
        <v>5185</v>
      </c>
      <c r="AG1915" t="n">
        <v>1</v>
      </c>
      <c r="AH1915" t="inlineStr">
        <is>
          <t>PT. BERSAMA DISTRIVERSA INDONESIA (DC CIPUTAT)</t>
        </is>
      </c>
      <c r="AI1915" t="n">
        <v>2276</v>
      </c>
      <c r="AJ1915" t="inlineStr">
        <is>
          <t>GLOW FX</t>
        </is>
      </c>
      <c r="AK1915" t="n">
        <v>21</v>
      </c>
      <c r="AL1915" t="inlineStr">
        <is>
          <t>Miss Glam Damar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GLOW FX</t>
        </is>
      </c>
      <c r="B1916" s="2">
        <f>"11200148148"</f>
        <v/>
      </c>
      <c r="C1916" t="inlineStr">
        <is>
          <t>GLOW FX Glow Bomb Serum 20ml</t>
        </is>
      </c>
      <c r="D1916" t="inlineStr">
        <is>
          <t>Miss Glam Damar</t>
        </is>
      </c>
      <c r="E1916" t="n">
        <v>19</v>
      </c>
      <c r="F1916" t="n">
        <v>1.6835</v>
      </c>
      <c r="G1916" t="n">
        <v>6.37</v>
      </c>
      <c r="H1916" t="n">
        <v>4</v>
      </c>
      <c r="I1916" t="n">
        <v>21</v>
      </c>
      <c r="J1916" t="n">
        <v>1</v>
      </c>
      <c r="K1916" t="n">
        <v>0</v>
      </c>
      <c r="L1916" t="n">
        <v>56650</v>
      </c>
      <c r="M1916" t="n">
        <v>79000</v>
      </c>
      <c r="N1916" t="n">
        <v>91</v>
      </c>
      <c r="O1916" t="n">
        <v>0.91</v>
      </c>
      <c r="P1916" t="n">
        <v>1</v>
      </c>
      <c r="Q1916" t="n">
        <v>1.15</v>
      </c>
      <c r="R1916" t="n">
        <v>7</v>
      </c>
      <c r="S1916" t="n">
        <v>132996.5</v>
      </c>
      <c r="T1916" t="n">
        <v>128</v>
      </c>
      <c r="U1916" t="n">
        <v>135</v>
      </c>
      <c r="V1916" t="n">
        <v>30</v>
      </c>
      <c r="W1916" t="n">
        <v>51</v>
      </c>
      <c r="X1916" t="n">
        <v>11.28601128601128</v>
      </c>
      <c r="Y1916" t="n">
        <v>1</v>
      </c>
      <c r="Z1916" t="n">
        <v>32</v>
      </c>
      <c r="AA1916" t="n">
        <v>17</v>
      </c>
      <c r="AB1916" t="n">
        <v>15</v>
      </c>
      <c r="AC1916" t="n">
        <v>15</v>
      </c>
      <c r="AD1916" t="n">
        <v>963050</v>
      </c>
      <c r="AE1916" t="n">
        <v>849750</v>
      </c>
      <c r="AF1916" t="n">
        <v>5185</v>
      </c>
      <c r="AG1916" t="n">
        <v>1</v>
      </c>
      <c r="AH1916" t="inlineStr">
        <is>
          <t>PT. BERSAMA DISTRIVERSA INDONESIA (DC CIPUTAT)</t>
        </is>
      </c>
      <c r="AI1916" t="n">
        <v>2276</v>
      </c>
      <c r="AJ1916" t="inlineStr">
        <is>
          <t>GLOW FX</t>
        </is>
      </c>
      <c r="AK1916" t="n">
        <v>21</v>
      </c>
      <c r="AL1916" t="inlineStr">
        <is>
          <t>Miss Glam Damar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GLOWSICHA</t>
        </is>
      </c>
      <c r="B1917" s="2">
        <f>"10300146206"</f>
        <v/>
      </c>
      <c r="C1917" t="inlineStr">
        <is>
          <t>GLOWSICHA Bright Day Cream 15gr</t>
        </is>
      </c>
      <c r="D1917" t="inlineStr">
        <is>
          <t>Miss Glam Damar</t>
        </is>
      </c>
      <c r="E1917" t="n">
        <v>0</v>
      </c>
      <c r="F1917" t="n">
        <v>0.1001</v>
      </c>
      <c r="G1917" t="n">
        <v>1.82</v>
      </c>
      <c r="H1917" t="n">
        <v>4</v>
      </c>
      <c r="I1917" t="n">
        <v>21</v>
      </c>
      <c r="J1917" t="n">
        <v>3</v>
      </c>
      <c r="K1917" t="n">
        <v>0</v>
      </c>
      <c r="L1917" t="n">
        <v>40801</v>
      </c>
      <c r="M1917" t="n">
        <v>59000</v>
      </c>
      <c r="N1917" t="n">
        <v>91</v>
      </c>
      <c r="O1917" t="n">
        <v>0.91</v>
      </c>
      <c r="P1917" t="n">
        <v>1</v>
      </c>
      <c r="Q1917" t="n">
        <v>0.18</v>
      </c>
      <c r="R1917" t="n">
        <v>1</v>
      </c>
      <c r="S1917" t="n">
        <v>5905.900000000001</v>
      </c>
      <c r="T1917" t="n">
        <v>38</v>
      </c>
      <c r="U1917" t="n">
        <v>39</v>
      </c>
      <c r="V1917" t="n">
        <v>30</v>
      </c>
      <c r="W1917" t="n">
        <v>4</v>
      </c>
      <c r="X1917" t="n">
        <v>0</v>
      </c>
      <c r="Y1917" t="n">
        <v>1</v>
      </c>
      <c r="Z1917" t="n">
        <v>4</v>
      </c>
      <c r="AA1917" t="n">
        <v>3</v>
      </c>
      <c r="AB1917" t="n">
        <v>1</v>
      </c>
      <c r="AC1917" t="n">
        <v>3</v>
      </c>
      <c r="AD1917" t="n">
        <v>122403</v>
      </c>
      <c r="AE1917" t="n">
        <v>122403</v>
      </c>
      <c r="AF1917" t="n">
        <v>5251</v>
      </c>
      <c r="AG1917" t="n">
        <v>1</v>
      </c>
      <c r="AH1917" t="inlineStr">
        <is>
          <t>PT. BERSAMA DISTRIVERSA INDONESIA (DC CIPUTAT)</t>
        </is>
      </c>
      <c r="AI1917" t="n">
        <v>2255</v>
      </c>
      <c r="AJ1917" t="inlineStr">
        <is>
          <t>GLOWSICHA</t>
        </is>
      </c>
      <c r="AK1917" t="n">
        <v>21</v>
      </c>
      <c r="AL1917" t="inlineStr">
        <is>
          <t>Miss Glam Damar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GLOWSICHA</t>
        </is>
      </c>
      <c r="B1918" s="2">
        <f>"10200161851"</f>
        <v/>
      </c>
      <c r="C1918" t="inlineStr">
        <is>
          <t>GLOWSICHA Brightening Essence Toner 100ml</t>
        </is>
      </c>
      <c r="D1918" t="inlineStr">
        <is>
          <t>Miss Glam Damar</t>
        </is>
      </c>
      <c r="E1918" t="n">
        <v>11</v>
      </c>
      <c r="F1918" t="n">
        <v>0.0273</v>
      </c>
      <c r="G1918" t="n">
        <v>0.91</v>
      </c>
      <c r="H1918" t="n">
        <v>4</v>
      </c>
      <c r="I1918" t="n">
        <v>21</v>
      </c>
      <c r="J1918" t="n">
        <v>1</v>
      </c>
      <c r="K1918" t="n">
        <v>0</v>
      </c>
      <c r="L1918" t="n">
        <v>49301</v>
      </c>
      <c r="M1918" t="n">
        <v>60500</v>
      </c>
      <c r="N1918" t="n">
        <v>91</v>
      </c>
      <c r="O1918" t="n">
        <v>0.91</v>
      </c>
      <c r="P1918" t="n">
        <v>1</v>
      </c>
      <c r="Q1918" t="n">
        <v>0.02</v>
      </c>
      <c r="R1918" t="n">
        <v>1</v>
      </c>
      <c r="S1918" t="n">
        <v>1651.65</v>
      </c>
      <c r="T1918" t="n">
        <v>20</v>
      </c>
      <c r="U1918" t="n">
        <v>21</v>
      </c>
      <c r="V1918" t="n">
        <v>30</v>
      </c>
      <c r="W1918" t="n">
        <v>1</v>
      </c>
      <c r="X1918" t="n">
        <v>402.9304029304029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5251</v>
      </c>
      <c r="AG1918" t="n">
        <v>1</v>
      </c>
      <c r="AH1918" t="inlineStr">
        <is>
          <t>PT. BERSAMA DISTRIVERSA INDONESIA (DC CIPUTAT)</t>
        </is>
      </c>
      <c r="AI1918" t="n">
        <v>2255</v>
      </c>
      <c r="AJ1918" t="inlineStr">
        <is>
          <t>GLOWSICHA</t>
        </is>
      </c>
      <c r="AK1918" t="n">
        <v>21</v>
      </c>
      <c r="AL1918" t="inlineStr">
        <is>
          <t>Miss Glam Damar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GLOWSICHA</t>
        </is>
      </c>
      <c r="B1919" s="2">
        <f>"10300218439"</f>
        <v/>
      </c>
      <c r="C1919" t="inlineStr">
        <is>
          <t>GLOWSICHA Night Cream Jelly Booster 15gr</t>
        </is>
      </c>
      <c r="D1919" t="inlineStr">
        <is>
          <t>Miss Glam Damar</t>
        </is>
      </c>
      <c r="E1919" t="n">
        <v>11</v>
      </c>
      <c r="F1919" t="n">
        <v>0.09100000000000001</v>
      </c>
      <c r="G1919" t="n">
        <v>0.91</v>
      </c>
      <c r="H1919" t="n">
        <v>4</v>
      </c>
      <c r="I1919" t="n">
        <v>21</v>
      </c>
      <c r="J1919" t="n">
        <v>3</v>
      </c>
      <c r="K1919" t="n">
        <v>0</v>
      </c>
      <c r="L1919" t="n">
        <v>41847</v>
      </c>
      <c r="M1919" t="n">
        <v>55000</v>
      </c>
      <c r="N1919" t="n">
        <v>91</v>
      </c>
      <c r="O1919" t="n">
        <v>0.91</v>
      </c>
      <c r="P1919" t="n">
        <v>1</v>
      </c>
      <c r="Q1919" t="n">
        <v>0.07000000000000001</v>
      </c>
      <c r="R1919" t="n">
        <v>2</v>
      </c>
      <c r="S1919" t="n">
        <v>5005.000000000001</v>
      </c>
      <c r="T1919" t="n">
        <v>19</v>
      </c>
      <c r="U1919" t="n">
        <v>20</v>
      </c>
      <c r="V1919" t="n">
        <v>30</v>
      </c>
      <c r="W1919" t="n">
        <v>3</v>
      </c>
      <c r="X1919" t="n">
        <v>120.8791208791209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5251</v>
      </c>
      <c r="AG1919" t="n">
        <v>1</v>
      </c>
      <c r="AH1919" t="inlineStr">
        <is>
          <t>PT. BERSAMA DISTRIVERSA INDONESIA (DC CIPUTAT)</t>
        </is>
      </c>
      <c r="AI1919" t="n">
        <v>2255</v>
      </c>
      <c r="AJ1919" t="inlineStr">
        <is>
          <t>GLOWSICHA</t>
        </is>
      </c>
      <c r="AK1919" t="n">
        <v>21</v>
      </c>
      <c r="AL1919" t="inlineStr">
        <is>
          <t>Miss Glam Damar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GLOWSOPHY</t>
        </is>
      </c>
      <c r="B1920" s="2">
        <f>"10400617021"</f>
        <v/>
      </c>
      <c r="C1920" t="inlineStr">
        <is>
          <t>GLOWSOPHY Bearberry Tinted Sunscreen Spf 40 30ml</t>
        </is>
      </c>
      <c r="D1920" t="inlineStr">
        <is>
          <t>Miss Glam Damar</t>
        </is>
      </c>
      <c r="E1920" t="n">
        <v>50</v>
      </c>
      <c r="F1920" t="n">
        <v>1.3377</v>
      </c>
      <c r="G1920" t="n">
        <v>5.46</v>
      </c>
      <c r="H1920" t="n">
        <v>3</v>
      </c>
      <c r="I1920" t="n">
        <v>11</v>
      </c>
      <c r="J1920" t="n">
        <v>1</v>
      </c>
      <c r="K1920" t="n">
        <v>0</v>
      </c>
      <c r="L1920" t="n">
        <v>35700</v>
      </c>
      <c r="M1920" t="n">
        <v>42000</v>
      </c>
      <c r="N1920" t="n">
        <v>91</v>
      </c>
      <c r="O1920" t="n">
        <v>0.91</v>
      </c>
      <c r="P1920" t="n">
        <v>1</v>
      </c>
      <c r="Q1920" t="n">
        <v>0.98</v>
      </c>
      <c r="R1920" t="n">
        <v>4</v>
      </c>
      <c r="S1920" t="n">
        <v>56183.4</v>
      </c>
      <c r="T1920" t="n">
        <v>57</v>
      </c>
      <c r="U1920" t="n">
        <v>62</v>
      </c>
      <c r="V1920" t="n">
        <v>30</v>
      </c>
      <c r="W1920" t="n">
        <v>41</v>
      </c>
      <c r="X1920" t="n">
        <v>37.37758839799656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10030</v>
      </c>
      <c r="AG1920" t="n">
        <v>78</v>
      </c>
      <c r="AH1920" t="inlineStr">
        <is>
          <t>PT. GLORIENTA P.H - PPN (PDG)</t>
        </is>
      </c>
      <c r="AI1920" t="n">
        <v>1327</v>
      </c>
      <c r="AJ1920" t="inlineStr">
        <is>
          <t>GLOWSOPHY</t>
        </is>
      </c>
      <c r="AK1920" t="n">
        <v>21</v>
      </c>
      <c r="AL1920" t="inlineStr">
        <is>
          <t>Miss Glam Damar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GLOWSOPHY</t>
        </is>
      </c>
      <c r="B1921" s="2">
        <f>"20100468747"</f>
        <v/>
      </c>
      <c r="C1921" t="inlineStr">
        <is>
          <t>GLOWSOPHY Birch Cover Fit Serum Cushion 11gr</t>
        </is>
      </c>
      <c r="D1921" t="inlineStr">
        <is>
          <t>Miss Glam Damar</t>
        </is>
      </c>
      <c r="E1921" t="n">
        <v>4</v>
      </c>
      <c r="F1921" t="n">
        <v>0.4277</v>
      </c>
      <c r="G1921" t="n">
        <v>1.82</v>
      </c>
      <c r="H1921" t="n">
        <v>3</v>
      </c>
      <c r="I1921" t="n">
        <v>11</v>
      </c>
      <c r="J1921" t="n">
        <v>1</v>
      </c>
      <c r="K1921" t="n">
        <v>0</v>
      </c>
      <c r="L1921" t="n">
        <v>49552</v>
      </c>
      <c r="M1921" t="n">
        <v>75000</v>
      </c>
      <c r="N1921" t="n">
        <v>91</v>
      </c>
      <c r="O1921" t="n">
        <v>0.91</v>
      </c>
      <c r="P1921" t="n">
        <v>1</v>
      </c>
      <c r="Q1921" t="n">
        <v>0.12</v>
      </c>
      <c r="R1921" t="n">
        <v>2</v>
      </c>
      <c r="S1921" t="n">
        <v>32077.5</v>
      </c>
      <c r="T1921" t="n">
        <v>19</v>
      </c>
      <c r="U1921" t="n">
        <v>21</v>
      </c>
      <c r="V1921" t="n">
        <v>30</v>
      </c>
      <c r="W1921" t="n">
        <v>13</v>
      </c>
      <c r="X1921" t="n">
        <v>9.352349777881694</v>
      </c>
      <c r="Y1921" t="n">
        <v>1</v>
      </c>
      <c r="Z1921" t="n">
        <v>9</v>
      </c>
      <c r="AA1921" t="n">
        <v>1</v>
      </c>
      <c r="AB1921" t="n">
        <v>8</v>
      </c>
      <c r="AC1921" t="n">
        <v>8</v>
      </c>
      <c r="AD1921" t="n">
        <v>49552</v>
      </c>
      <c r="AE1921" t="n">
        <v>396416</v>
      </c>
      <c r="AF1921" t="n">
        <v>10030</v>
      </c>
      <c r="AG1921" t="n">
        <v>78</v>
      </c>
      <c r="AH1921" t="inlineStr">
        <is>
          <t>PT. GLORIENTA P.H - PPN (PDG)</t>
        </is>
      </c>
      <c r="AI1921" t="n">
        <v>1327</v>
      </c>
      <c r="AJ1921" t="inlineStr">
        <is>
          <t>GLOWSOPHY</t>
        </is>
      </c>
      <c r="AK1921" t="n">
        <v>21</v>
      </c>
      <c r="AL1921" t="inlineStr">
        <is>
          <t>Miss Glam Damar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GLOWSOPHY</t>
        </is>
      </c>
      <c r="B1922" s="2">
        <f>"10400618209"</f>
        <v/>
      </c>
      <c r="C1922" t="inlineStr">
        <is>
          <t>GLOWSOPHY Cica Daily Light Sunscreen Spf 35 30ml</t>
        </is>
      </c>
      <c r="D1922" t="inlineStr">
        <is>
          <t>Miss Glam Damar</t>
        </is>
      </c>
      <c r="E1922" t="n">
        <v>0</v>
      </c>
      <c r="F1922" t="n">
        <v>0.29</v>
      </c>
      <c r="G1922" t="n">
        <v>4</v>
      </c>
      <c r="H1922" t="n">
        <v>3</v>
      </c>
      <c r="I1922" t="n">
        <v>11</v>
      </c>
      <c r="J1922" t="n">
        <v>1</v>
      </c>
      <c r="K1922" t="n">
        <v>0</v>
      </c>
      <c r="L1922" t="n">
        <v>21506</v>
      </c>
      <c r="M1922" t="n">
        <v>25500</v>
      </c>
      <c r="N1922" t="n">
        <v>91</v>
      </c>
      <c r="O1922" t="n">
        <v>0.91</v>
      </c>
      <c r="P1922" t="n">
        <v>0</v>
      </c>
      <c r="Q1922" t="n">
        <v>0.29</v>
      </c>
      <c r="R1922" t="n">
        <v>4</v>
      </c>
      <c r="S1922" t="n">
        <v>7394.999999999999</v>
      </c>
      <c r="T1922" t="n">
        <v>44</v>
      </c>
      <c r="U1922" t="n">
        <v>45</v>
      </c>
      <c r="V1922" t="n">
        <v>30</v>
      </c>
      <c r="W1922" t="n">
        <v>9</v>
      </c>
      <c r="X1922" t="n">
        <v>0</v>
      </c>
      <c r="Y1922" t="n">
        <v>1</v>
      </c>
      <c r="Z1922" t="n">
        <v>9</v>
      </c>
      <c r="AA1922" t="n">
        <v>4</v>
      </c>
      <c r="AB1922" t="n">
        <v>5</v>
      </c>
      <c r="AC1922" t="n">
        <v>5</v>
      </c>
      <c r="AD1922" t="n">
        <v>86024</v>
      </c>
      <c r="AE1922" t="n">
        <v>107530</v>
      </c>
      <c r="AF1922" t="n">
        <v>10030</v>
      </c>
      <c r="AG1922" t="n">
        <v>78</v>
      </c>
      <c r="AH1922" t="inlineStr">
        <is>
          <t>PT. GLORIENTA P.H - PPN (PDG)</t>
        </is>
      </c>
      <c r="AI1922" t="n">
        <v>1327</v>
      </c>
      <c r="AJ1922" t="inlineStr">
        <is>
          <t>GLOWSOPHY</t>
        </is>
      </c>
      <c r="AK1922" t="n">
        <v>21</v>
      </c>
      <c r="AL1922" t="inlineStr">
        <is>
          <t>Miss Glam Damar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GLOWSOPHY</t>
        </is>
      </c>
      <c r="B1923" s="2">
        <f>"10300722230"</f>
        <v/>
      </c>
      <c r="C1923" t="inlineStr">
        <is>
          <t>GLOWSOPHY Cica Panthenol Soothing Moisturizer 100ml</t>
        </is>
      </c>
      <c r="D1923" t="inlineStr">
        <is>
          <t>Miss Glam Damar</t>
        </is>
      </c>
      <c r="E1923" t="n">
        <v>19</v>
      </c>
      <c r="F1923" t="n">
        <v>2.1112</v>
      </c>
      <c r="G1923" t="n">
        <v>5.46</v>
      </c>
      <c r="H1923" t="n">
        <v>3</v>
      </c>
      <c r="I1923" t="n">
        <v>11</v>
      </c>
      <c r="J1923" t="n">
        <v>1</v>
      </c>
      <c r="K1923" t="n">
        <v>0</v>
      </c>
      <c r="L1923" t="n">
        <v>39100</v>
      </c>
      <c r="M1923" t="n">
        <v>50000</v>
      </c>
      <c r="N1923" t="n">
        <v>91</v>
      </c>
      <c r="O1923" t="n">
        <v>0.91</v>
      </c>
      <c r="P1923" t="n">
        <v>1</v>
      </c>
      <c r="Q1923" t="n">
        <v>1.02</v>
      </c>
      <c r="R1923" t="n">
        <v>5</v>
      </c>
      <c r="S1923" t="n">
        <v>105560</v>
      </c>
      <c r="T1923" t="n">
        <v>54</v>
      </c>
      <c r="U1923" t="n">
        <v>61</v>
      </c>
      <c r="V1923" t="n">
        <v>30</v>
      </c>
      <c r="W1923" t="n">
        <v>64</v>
      </c>
      <c r="X1923" t="n">
        <v>8.999621068586587</v>
      </c>
      <c r="Y1923" t="n">
        <v>1</v>
      </c>
      <c r="Z1923" t="n">
        <v>45</v>
      </c>
      <c r="AA1923" t="n">
        <v>5</v>
      </c>
      <c r="AB1923" t="n">
        <v>40</v>
      </c>
      <c r="AC1923" t="n">
        <v>40</v>
      </c>
      <c r="AD1923" t="n">
        <v>195500</v>
      </c>
      <c r="AE1923" t="n">
        <v>1564000</v>
      </c>
      <c r="AF1923" t="n">
        <v>10030</v>
      </c>
      <c r="AG1923" t="n">
        <v>78</v>
      </c>
      <c r="AH1923" t="inlineStr">
        <is>
          <t>PT. GLORIENTA P.H - PPN (PDG)</t>
        </is>
      </c>
      <c r="AI1923" t="n">
        <v>1327</v>
      </c>
      <c r="AJ1923" t="inlineStr">
        <is>
          <t>GLOWSOPHY</t>
        </is>
      </c>
      <c r="AK1923" t="n">
        <v>21</v>
      </c>
      <c r="AL1923" t="inlineStr">
        <is>
          <t>Miss Glam Damar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GLOWSOPHY</t>
        </is>
      </c>
      <c r="B1924" s="2">
        <f>"20100468608"</f>
        <v/>
      </c>
      <c r="C1924" t="inlineStr">
        <is>
          <t>GLOWSOPHY Maple Cover Fit Serum Cushion 11gr</t>
        </is>
      </c>
      <c r="D1924" t="inlineStr">
        <is>
          <t>Miss Glam Damar</t>
        </is>
      </c>
      <c r="E1924" t="n">
        <v>11</v>
      </c>
      <c r="F1924" t="n">
        <v>0.5369</v>
      </c>
      <c r="G1924" t="n">
        <v>2.73</v>
      </c>
      <c r="H1924" t="n">
        <v>3</v>
      </c>
      <c r="I1924" t="n">
        <v>11</v>
      </c>
      <c r="J1924" t="n">
        <v>1</v>
      </c>
      <c r="K1924" t="n">
        <v>0</v>
      </c>
      <c r="L1924" t="n">
        <v>49301</v>
      </c>
      <c r="M1924" t="n">
        <v>75000</v>
      </c>
      <c r="N1924" t="n">
        <v>91</v>
      </c>
      <c r="O1924" t="n">
        <v>0.91</v>
      </c>
      <c r="P1924" t="n">
        <v>1</v>
      </c>
      <c r="Q1924" t="n">
        <v>0.36</v>
      </c>
      <c r="R1924" t="n">
        <v>3</v>
      </c>
      <c r="S1924" t="n">
        <v>40267.5</v>
      </c>
      <c r="T1924" t="n">
        <v>29</v>
      </c>
      <c r="U1924" t="n">
        <v>31</v>
      </c>
      <c r="V1924" t="n">
        <v>30</v>
      </c>
      <c r="W1924" t="n">
        <v>17</v>
      </c>
      <c r="X1924" t="n">
        <v>20.4879865896815</v>
      </c>
      <c r="Y1924" t="n">
        <v>1</v>
      </c>
      <c r="Z1924" t="n">
        <v>6</v>
      </c>
      <c r="AA1924" t="n">
        <v>0</v>
      </c>
      <c r="AB1924" t="n">
        <v>6</v>
      </c>
      <c r="AC1924" t="n">
        <v>6</v>
      </c>
      <c r="AD1924" t="n">
        <v>0</v>
      </c>
      <c r="AE1924" t="n">
        <v>295806</v>
      </c>
      <c r="AF1924" t="n">
        <v>10030</v>
      </c>
      <c r="AG1924" t="n">
        <v>78</v>
      </c>
      <c r="AH1924" t="inlineStr">
        <is>
          <t>PT. GLORIENTA P.H - PPN (PDG)</t>
        </is>
      </c>
      <c r="AI1924" t="n">
        <v>1327</v>
      </c>
      <c r="AJ1924" t="inlineStr">
        <is>
          <t>GLOWSOPHY</t>
        </is>
      </c>
      <c r="AK1924" t="n">
        <v>21</v>
      </c>
      <c r="AL1924" t="inlineStr">
        <is>
          <t>Miss Glam Damar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GLOWSOPHY</t>
        </is>
      </c>
      <c r="B1925" s="2">
        <f>"20100468531"</f>
        <v/>
      </c>
      <c r="C1925" t="inlineStr">
        <is>
          <t>GLOWSOPHY Pine Cover Fit Serum Cushion 11gr</t>
        </is>
      </c>
      <c r="D1925" t="inlineStr">
        <is>
          <t>Miss Glam Damar</t>
        </is>
      </c>
      <c r="E1925" t="n">
        <v>1</v>
      </c>
      <c r="F1925" t="n">
        <v>0.6279</v>
      </c>
      <c r="G1925" t="n">
        <v>3.64</v>
      </c>
      <c r="H1925" t="n">
        <v>3</v>
      </c>
      <c r="I1925" t="n">
        <v>11</v>
      </c>
      <c r="J1925" t="n">
        <v>1</v>
      </c>
      <c r="K1925" t="n">
        <v>0</v>
      </c>
      <c r="L1925" t="n">
        <v>49300</v>
      </c>
      <c r="M1925" t="n">
        <v>58000</v>
      </c>
      <c r="N1925" t="n">
        <v>91</v>
      </c>
      <c r="O1925" t="n">
        <v>0.91</v>
      </c>
      <c r="P1925" t="n">
        <v>1</v>
      </c>
      <c r="Q1925" t="n">
        <v>0.19</v>
      </c>
      <c r="R1925" t="n">
        <v>2</v>
      </c>
      <c r="S1925" t="n">
        <v>36418.2</v>
      </c>
      <c r="T1925" t="n">
        <v>39</v>
      </c>
      <c r="U1925" t="n">
        <v>41</v>
      </c>
      <c r="V1925" t="n">
        <v>30</v>
      </c>
      <c r="W1925" t="n">
        <v>19</v>
      </c>
      <c r="X1925" t="n">
        <v>1.592610288262462</v>
      </c>
      <c r="Y1925" t="n">
        <v>1</v>
      </c>
      <c r="Z1925" t="n">
        <v>18</v>
      </c>
      <c r="AA1925" t="n">
        <v>6</v>
      </c>
      <c r="AB1925" t="n">
        <v>12</v>
      </c>
      <c r="AC1925" t="n">
        <v>12</v>
      </c>
      <c r="AD1925" t="n">
        <v>295800</v>
      </c>
      <c r="AE1925" t="n">
        <v>591600</v>
      </c>
      <c r="AF1925" t="n">
        <v>10030</v>
      </c>
      <c r="AG1925" t="n">
        <v>78</v>
      </c>
      <c r="AH1925" t="inlineStr">
        <is>
          <t>PT. GLORIENTA P.H - PPN (PDG)</t>
        </is>
      </c>
      <c r="AI1925" t="n">
        <v>1327</v>
      </c>
      <c r="AJ1925" t="inlineStr">
        <is>
          <t>GLOWSOPHY</t>
        </is>
      </c>
      <c r="AK1925" t="n">
        <v>21</v>
      </c>
      <c r="AL1925" t="inlineStr">
        <is>
          <t>Miss Glam Damar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GLOWSOPHY</t>
        </is>
      </c>
      <c r="B1926" s="2">
        <f>"792649106211"</f>
        <v/>
      </c>
      <c r="C1926" t="inlineStr">
        <is>
          <t>GLOWSOPHY Watermelon Brightening  Moisturizer 100ml</t>
        </is>
      </c>
      <c r="D1926" t="inlineStr">
        <is>
          <t>Miss Glam Damar</t>
        </is>
      </c>
      <c r="E1926" t="n">
        <v>39</v>
      </c>
      <c r="F1926" t="n">
        <v>7.789600000000001</v>
      </c>
      <c r="G1926" t="n">
        <v>20.93</v>
      </c>
      <c r="H1926" t="n">
        <v>3</v>
      </c>
      <c r="I1926" t="n">
        <v>11</v>
      </c>
      <c r="J1926" t="n">
        <v>3</v>
      </c>
      <c r="K1926" t="n">
        <v>0</v>
      </c>
      <c r="L1926" t="n">
        <v>40760</v>
      </c>
      <c r="M1926" t="n">
        <v>53000</v>
      </c>
      <c r="N1926" t="n">
        <v>91</v>
      </c>
      <c r="O1926" t="n">
        <v>0.91</v>
      </c>
      <c r="P1926" t="n">
        <v>1</v>
      </c>
      <c r="Q1926" t="n">
        <v>4.12</v>
      </c>
      <c r="R1926" t="n">
        <v>11</v>
      </c>
      <c r="S1926" t="n">
        <v>412848.8</v>
      </c>
      <c r="T1926" t="n">
        <v>207</v>
      </c>
      <c r="U1926" t="n">
        <v>231</v>
      </c>
      <c r="V1926" t="n">
        <v>30</v>
      </c>
      <c r="W1926" t="n">
        <v>234</v>
      </c>
      <c r="X1926" t="n">
        <v>5.006675567423231</v>
      </c>
      <c r="Y1926" t="n">
        <v>1</v>
      </c>
      <c r="Z1926" t="n">
        <v>195</v>
      </c>
      <c r="AA1926" t="n">
        <v>47</v>
      </c>
      <c r="AB1926" t="n">
        <v>148</v>
      </c>
      <c r="AC1926" t="n">
        <v>148</v>
      </c>
      <c r="AD1926" t="n">
        <v>1915720</v>
      </c>
      <c r="AE1926" t="n">
        <v>6032480</v>
      </c>
      <c r="AF1926" t="n">
        <v>10030</v>
      </c>
      <c r="AG1926" t="n">
        <v>78</v>
      </c>
      <c r="AH1926" t="inlineStr">
        <is>
          <t>PT. GLORIENTA P.H - PPN (PDG)</t>
        </is>
      </c>
      <c r="AI1926" t="n">
        <v>1327</v>
      </c>
      <c r="AJ1926" t="inlineStr">
        <is>
          <t>GLOWSOPHY</t>
        </is>
      </c>
      <c r="AK1926" t="n">
        <v>21</v>
      </c>
      <c r="AL1926" t="inlineStr">
        <is>
          <t>Miss Glam Damar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GLOWSOPHY</t>
        </is>
      </c>
      <c r="B1927" s="2">
        <f>"101001110105"</f>
        <v/>
      </c>
      <c r="C1927" t="inlineStr">
        <is>
          <t>GLOWSOPHY Watermelon Low pH Gentle Cleanser 120ml</t>
        </is>
      </c>
      <c r="D1927" t="inlineStr">
        <is>
          <t>Miss Glam Damar</t>
        </is>
      </c>
      <c r="E1927" t="n">
        <v>9</v>
      </c>
      <c r="F1927" t="n">
        <v>0.2275</v>
      </c>
      <c r="G1927" t="n">
        <v>2.73</v>
      </c>
      <c r="H1927" t="n">
        <v>3</v>
      </c>
      <c r="I1927" t="n">
        <v>11</v>
      </c>
      <c r="J1927" t="n">
        <v>1</v>
      </c>
      <c r="K1927" t="n">
        <v>0</v>
      </c>
      <c r="L1927" t="n">
        <v>32300</v>
      </c>
      <c r="M1927" t="n">
        <v>45000</v>
      </c>
      <c r="N1927" t="n">
        <v>91</v>
      </c>
      <c r="O1927" t="n">
        <v>0.91</v>
      </c>
      <c r="P1927" t="n">
        <v>1</v>
      </c>
      <c r="Q1927" t="n">
        <v>0.22</v>
      </c>
      <c r="R1927" t="n">
        <v>2</v>
      </c>
      <c r="S1927" t="n">
        <v>10237.5</v>
      </c>
      <c r="T1927" t="n">
        <v>30</v>
      </c>
      <c r="U1927" t="n">
        <v>31</v>
      </c>
      <c r="V1927" t="n">
        <v>30</v>
      </c>
      <c r="W1927" t="n">
        <v>7</v>
      </c>
      <c r="X1927" t="n">
        <v>39.56043956043956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10030</v>
      </c>
      <c r="AG1927" t="n">
        <v>78</v>
      </c>
      <c r="AH1927" t="inlineStr">
        <is>
          <t>PT. GLORIENTA P.H - PPN (PDG)</t>
        </is>
      </c>
      <c r="AI1927" t="n">
        <v>1327</v>
      </c>
      <c r="AJ1927" t="inlineStr">
        <is>
          <t>GLOWSOPHY</t>
        </is>
      </c>
      <c r="AK1927" t="n">
        <v>21</v>
      </c>
      <c r="AL1927" t="inlineStr">
        <is>
          <t>Miss Glam Damar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GLUGHAVA</t>
        </is>
      </c>
      <c r="B1928" s="2">
        <f>"30200425456"</f>
        <v/>
      </c>
      <c r="C1928" t="inlineStr">
        <is>
          <t>GLUGHAVA Body Serum Body Whitening Glowup 10% Niacinamide 3% Tranexamic acid 50ml</t>
        </is>
      </c>
      <c r="D1928" t="inlineStr">
        <is>
          <t>Miss Glam Damar</t>
        </is>
      </c>
      <c r="E1928" t="n">
        <v>4</v>
      </c>
      <c r="F1928" t="n">
        <v>0.03</v>
      </c>
      <c r="G1928" t="n">
        <v>0</v>
      </c>
      <c r="H1928" t="n">
        <v>4</v>
      </c>
      <c r="I1928" t="n">
        <v>21</v>
      </c>
      <c r="J1928" t="n">
        <v>1</v>
      </c>
      <c r="K1928" t="n">
        <v>0</v>
      </c>
      <c r="L1928" t="n">
        <v>56650</v>
      </c>
      <c r="M1928" t="n">
        <v>80000</v>
      </c>
      <c r="N1928" t="n">
        <v>91</v>
      </c>
      <c r="O1928" t="n">
        <v>0.91</v>
      </c>
      <c r="P1928" t="n">
        <v>0</v>
      </c>
      <c r="Q1928" t="n">
        <v>0.03</v>
      </c>
      <c r="R1928" t="n">
        <v>0</v>
      </c>
      <c r="S1928" t="n">
        <v>2400</v>
      </c>
      <c r="T1928" t="n">
        <v>0</v>
      </c>
      <c r="U1928" t="n">
        <v>1</v>
      </c>
      <c r="V1928" t="n">
        <v>30</v>
      </c>
      <c r="W1928" t="n">
        <v>1</v>
      </c>
      <c r="X1928" t="n">
        <v>133.3333333333333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5284</v>
      </c>
      <c r="AG1928" t="n">
        <v>1</v>
      </c>
      <c r="AH1928" t="inlineStr">
        <is>
          <t>PT. BERSAMA DISTRIVERSA INDONESIA (DC CIPUTAT)</t>
        </is>
      </c>
      <c r="AI1928" t="n">
        <v>1333</v>
      </c>
      <c r="AJ1928" t="inlineStr">
        <is>
          <t>GLUGHAVA</t>
        </is>
      </c>
      <c r="AK1928" t="n">
        <v>21</v>
      </c>
      <c r="AL1928" t="inlineStr">
        <is>
          <t>Miss Glam Damar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GMEELAN</t>
        </is>
      </c>
      <c r="B1929" s="2">
        <f>"6974203220746"</f>
        <v/>
      </c>
      <c r="C1929" t="inlineStr">
        <is>
          <t>GMEELAN Orange Enzymes Exfoliating Brightening Gel 50gr</t>
        </is>
      </c>
      <c r="D1929" t="inlineStr">
        <is>
          <t>Miss Glam Damar</t>
        </is>
      </c>
      <c r="E1929" t="n">
        <v>6</v>
      </c>
      <c r="F1929" t="n">
        <v>0.04550000000000001</v>
      </c>
      <c r="G1929" t="n">
        <v>1.82</v>
      </c>
      <c r="H1929" t="n">
        <v>4</v>
      </c>
      <c r="I1929" t="n">
        <v>21</v>
      </c>
      <c r="J1929" t="n">
        <v>3</v>
      </c>
      <c r="K1929" t="n">
        <v>0</v>
      </c>
      <c r="L1929" t="n">
        <v>29870</v>
      </c>
      <c r="M1929" t="n">
        <v>40000</v>
      </c>
      <c r="N1929" t="n">
        <v>91</v>
      </c>
      <c r="O1929" t="n">
        <v>0.91</v>
      </c>
      <c r="P1929" t="n">
        <v>1</v>
      </c>
      <c r="Q1929" t="n">
        <v>0.07000000000000001</v>
      </c>
      <c r="R1929" t="n">
        <v>1</v>
      </c>
      <c r="S1929" t="n">
        <v>1820</v>
      </c>
      <c r="T1929" t="n">
        <v>39</v>
      </c>
      <c r="U1929" t="n">
        <v>40</v>
      </c>
      <c r="V1929" t="n">
        <v>30</v>
      </c>
      <c r="W1929" t="n">
        <v>2</v>
      </c>
      <c r="X1929" t="n">
        <v>131.8681318681319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5317</v>
      </c>
      <c r="AG1929" t="n">
        <v>1</v>
      </c>
      <c r="AH1929" t="inlineStr">
        <is>
          <t>PT. BERSAMA DISTRIVERSA INDONESIA (DC CIPUTAT)</t>
        </is>
      </c>
      <c r="AI1929" t="n">
        <v>1630</v>
      </c>
      <c r="AJ1929" t="inlineStr">
        <is>
          <t>GMEELAN</t>
        </is>
      </c>
      <c r="AK1929" t="n">
        <v>21</v>
      </c>
      <c r="AL1929" t="inlineStr">
        <is>
          <t>Miss Glam Damar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GOLDEN VIERA</t>
        </is>
      </c>
      <c r="B1930" s="2">
        <f>"10100805253"</f>
        <v/>
      </c>
      <c r="C1930" t="inlineStr">
        <is>
          <t>GOLDEN VIERA Soap 35gr</t>
        </is>
      </c>
      <c r="D1930" t="inlineStr">
        <is>
          <t>Miss Glam Damar</t>
        </is>
      </c>
      <c r="E1930" t="n">
        <v>35</v>
      </c>
      <c r="F1930" t="n">
        <v>0.0182</v>
      </c>
      <c r="G1930" t="n">
        <v>0</v>
      </c>
      <c r="H1930" t="n">
        <v>4</v>
      </c>
      <c r="I1930" t="n">
        <v>21</v>
      </c>
      <c r="J1930" t="n">
        <v>3</v>
      </c>
      <c r="K1930" t="n">
        <v>0</v>
      </c>
      <c r="L1930" t="n">
        <v>32960</v>
      </c>
      <c r="M1930" t="n">
        <v>40500</v>
      </c>
      <c r="N1930" t="n">
        <v>91</v>
      </c>
      <c r="O1930" t="n">
        <v>0.91</v>
      </c>
      <c r="P1930" t="n">
        <v>1</v>
      </c>
      <c r="Q1930" t="n">
        <v>0.02</v>
      </c>
      <c r="R1930" t="n">
        <v>1</v>
      </c>
      <c r="S1930" t="n">
        <v>737.1</v>
      </c>
      <c r="T1930" t="n">
        <v>0</v>
      </c>
      <c r="U1930" t="n">
        <v>1</v>
      </c>
      <c r="V1930" t="n">
        <v>30</v>
      </c>
      <c r="W1930" t="n">
        <v>1</v>
      </c>
      <c r="X1930" t="n">
        <v>1923.076923076923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5383</v>
      </c>
      <c r="AG1930" t="n">
        <v>1</v>
      </c>
      <c r="AH1930" t="inlineStr">
        <is>
          <t>PT. BERSAMA DISTRIVERSA INDONESIA (DC CIPUTAT)</t>
        </is>
      </c>
      <c r="AI1930" t="n">
        <v>339</v>
      </c>
      <c r="AJ1930" t="inlineStr">
        <is>
          <t>GOLDEN VIERA</t>
        </is>
      </c>
      <c r="AK1930" t="n">
        <v>21</v>
      </c>
      <c r="AL1930" t="inlineStr">
        <is>
          <t>Miss Glam Damar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GOUTE</t>
        </is>
      </c>
      <c r="B1931" s="2">
        <f>"8997220242469"</f>
        <v/>
      </c>
      <c r="C1931" t="inlineStr">
        <is>
          <t>GOUTE Brow 01 Charcoal Grey 0.3gr</t>
        </is>
      </c>
      <c r="D1931" t="inlineStr">
        <is>
          <t>Miss Glam Damar</t>
        </is>
      </c>
      <c r="E1931" t="n">
        <v>5</v>
      </c>
      <c r="F1931" t="n">
        <v>0.0273</v>
      </c>
      <c r="G1931" t="n">
        <v>0.91</v>
      </c>
      <c r="H1931" t="n">
        <v>2</v>
      </c>
      <c r="I1931" t="n">
        <v>4</v>
      </c>
      <c r="J1931" t="n">
        <v>3</v>
      </c>
      <c r="K1931" t="n">
        <v>0</v>
      </c>
      <c r="L1931" t="n">
        <v>19550</v>
      </c>
      <c r="M1931" t="n">
        <v>23000</v>
      </c>
      <c r="N1931" t="n">
        <v>91</v>
      </c>
      <c r="O1931" t="n">
        <v>0.91</v>
      </c>
      <c r="P1931" t="n">
        <v>1</v>
      </c>
      <c r="Q1931" t="n">
        <v>0.03</v>
      </c>
      <c r="R1931" t="n">
        <v>1</v>
      </c>
      <c r="S1931" t="n">
        <v>627.9</v>
      </c>
      <c r="T1931" t="n">
        <v>4</v>
      </c>
      <c r="U1931" t="n">
        <v>5</v>
      </c>
      <c r="V1931" t="n">
        <v>30</v>
      </c>
      <c r="W1931" t="n">
        <v>1</v>
      </c>
      <c r="X1931" t="n">
        <v>183.1501831501832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815</v>
      </c>
      <c r="AG1931" t="n">
        <v>2286</v>
      </c>
      <c r="AH1931" t="inlineStr">
        <is>
          <t>CV. DELTA MITRA SEJATI - PPN (PKU)</t>
        </is>
      </c>
      <c r="AI1931" t="n">
        <v>1828</v>
      </c>
      <c r="AJ1931" t="inlineStr">
        <is>
          <t>GOUTE</t>
        </is>
      </c>
      <c r="AK1931" t="n">
        <v>21</v>
      </c>
      <c r="AL1931" t="inlineStr">
        <is>
          <t>Miss Glam Damar</t>
        </is>
      </c>
      <c r="AM1931" t="n">
        <v>4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GOUTE</t>
        </is>
      </c>
      <c r="B1932" s="2">
        <f>"8997220242476"</f>
        <v/>
      </c>
      <c r="C1932" t="inlineStr">
        <is>
          <t>GOUTE Brow 02 Ebony Brown 0.3gr</t>
        </is>
      </c>
      <c r="D1932" t="inlineStr">
        <is>
          <t>Miss Glam Damar</t>
        </is>
      </c>
      <c r="E1932" t="n">
        <v>2</v>
      </c>
      <c r="F1932" t="n">
        <v>0.14</v>
      </c>
      <c r="G1932" t="n">
        <v>1</v>
      </c>
      <c r="H1932" t="n">
        <v>2</v>
      </c>
      <c r="I1932" t="n">
        <v>4</v>
      </c>
      <c r="J1932" t="n">
        <v>3</v>
      </c>
      <c r="K1932" t="n">
        <v>0</v>
      </c>
      <c r="L1932" t="n">
        <v>19550</v>
      </c>
      <c r="M1932" t="n">
        <v>23000</v>
      </c>
      <c r="N1932" t="n">
        <v>91</v>
      </c>
      <c r="O1932" t="n">
        <v>0.91</v>
      </c>
      <c r="P1932" t="n">
        <v>0</v>
      </c>
      <c r="Q1932" t="n">
        <v>0.14</v>
      </c>
      <c r="R1932" t="n">
        <v>1</v>
      </c>
      <c r="S1932" t="n">
        <v>3220</v>
      </c>
      <c r="T1932" t="n">
        <v>4</v>
      </c>
      <c r="U1932" t="n">
        <v>5</v>
      </c>
      <c r="V1932" t="n">
        <v>30</v>
      </c>
      <c r="W1932" t="n">
        <v>5</v>
      </c>
      <c r="X1932" t="n">
        <v>14.28571428571428</v>
      </c>
      <c r="Y1932" t="n">
        <v>1</v>
      </c>
      <c r="Z1932" t="n">
        <v>3</v>
      </c>
      <c r="AA1932" t="n">
        <v>0</v>
      </c>
      <c r="AB1932" t="n">
        <v>3</v>
      </c>
      <c r="AC1932" t="n">
        <v>3</v>
      </c>
      <c r="AD1932" t="n">
        <v>0</v>
      </c>
      <c r="AE1932" t="n">
        <v>58650</v>
      </c>
      <c r="AF1932" t="n">
        <v>815</v>
      </c>
      <c r="AG1932" t="n">
        <v>2286</v>
      </c>
      <c r="AH1932" t="inlineStr">
        <is>
          <t>CV. DELTA MITRA SEJATI - PPN (PKU)</t>
        </is>
      </c>
      <c r="AI1932" t="n">
        <v>1828</v>
      </c>
      <c r="AJ1932" t="inlineStr">
        <is>
          <t>GOUTE</t>
        </is>
      </c>
      <c r="AK1932" t="n">
        <v>21</v>
      </c>
      <c r="AL1932" t="inlineStr">
        <is>
          <t>Miss Glam Damar</t>
        </is>
      </c>
      <c r="AM1932" t="n">
        <v>4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GOUTE</t>
        </is>
      </c>
      <c r="B1933" s="2">
        <f>"8997220242407"</f>
        <v/>
      </c>
      <c r="C1933" t="inlineStr">
        <is>
          <t>GOUTE Cream Blush 01 Sunset Boulevard 10gr</t>
        </is>
      </c>
      <c r="D1933" t="inlineStr">
        <is>
          <t>Miss Glam Damar</t>
        </is>
      </c>
      <c r="E1933" t="n">
        <v>4</v>
      </c>
      <c r="F1933" t="n">
        <v>0.0182</v>
      </c>
      <c r="G1933" t="n">
        <v>0.91</v>
      </c>
      <c r="H1933" t="n">
        <v>2</v>
      </c>
      <c r="I1933" t="n">
        <v>4</v>
      </c>
      <c r="J1933" t="n">
        <v>3</v>
      </c>
      <c r="K1933" t="n">
        <v>0</v>
      </c>
      <c r="L1933" t="n">
        <v>28050</v>
      </c>
      <c r="M1933" t="n">
        <v>35000</v>
      </c>
      <c r="N1933" t="n">
        <v>91</v>
      </c>
      <c r="O1933" t="n">
        <v>0.91</v>
      </c>
      <c r="P1933" t="n">
        <v>1</v>
      </c>
      <c r="Q1933" t="n">
        <v>0.1</v>
      </c>
      <c r="R1933" t="n">
        <v>1</v>
      </c>
      <c r="S1933" t="n">
        <v>637</v>
      </c>
      <c r="T1933" t="n">
        <v>4</v>
      </c>
      <c r="U1933" t="n">
        <v>5</v>
      </c>
      <c r="V1933" t="n">
        <v>30</v>
      </c>
      <c r="W1933" t="n">
        <v>1</v>
      </c>
      <c r="X1933" t="n">
        <v>219.7802197802198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815</v>
      </c>
      <c r="AG1933" t="n">
        <v>2286</v>
      </c>
      <c r="AH1933" t="inlineStr">
        <is>
          <t>CV. DELTA MITRA SEJATI - PPN (PKU)</t>
        </is>
      </c>
      <c r="AI1933" t="n">
        <v>1828</v>
      </c>
      <c r="AJ1933" t="inlineStr">
        <is>
          <t>GOUTE</t>
        </is>
      </c>
      <c r="AK1933" t="n">
        <v>21</v>
      </c>
      <c r="AL1933" t="inlineStr">
        <is>
          <t>Miss Glam Damar</t>
        </is>
      </c>
      <c r="AM1933" t="n">
        <v>4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GOUTE</t>
        </is>
      </c>
      <c r="B1934" s="2">
        <f>"20100968931"</f>
        <v/>
      </c>
      <c r="C1934" t="inlineStr">
        <is>
          <t>GOUTE Cream Blush 02 Neon Arcade 10gr</t>
        </is>
      </c>
      <c r="D1934" t="inlineStr">
        <is>
          <t>Miss Glam Damar</t>
        </is>
      </c>
      <c r="E1934" t="n">
        <v>3</v>
      </c>
      <c r="F1934" t="n">
        <v>0.1001</v>
      </c>
      <c r="G1934" t="n">
        <v>1.82</v>
      </c>
      <c r="H1934" t="n">
        <v>2</v>
      </c>
      <c r="I1934" t="n">
        <v>4</v>
      </c>
      <c r="J1934" t="n">
        <v>1</v>
      </c>
      <c r="K1934" t="n">
        <v>0</v>
      </c>
      <c r="L1934" t="n">
        <v>28050</v>
      </c>
      <c r="M1934" t="n">
        <v>33000</v>
      </c>
      <c r="N1934" t="n">
        <v>91</v>
      </c>
      <c r="O1934" t="n">
        <v>0.91</v>
      </c>
      <c r="P1934" t="n">
        <v>1</v>
      </c>
      <c r="Q1934" t="n">
        <v>0.07000000000000001</v>
      </c>
      <c r="R1934" t="n">
        <v>1</v>
      </c>
      <c r="S1934" t="n">
        <v>3303.3</v>
      </c>
      <c r="T1934" t="n">
        <v>8</v>
      </c>
      <c r="U1934" t="n">
        <v>9</v>
      </c>
      <c r="V1934" t="n">
        <v>30</v>
      </c>
      <c r="W1934" t="n">
        <v>4</v>
      </c>
      <c r="X1934" t="n">
        <v>29.97002997002997</v>
      </c>
      <c r="Y1934" t="n">
        <v>1</v>
      </c>
      <c r="Z1934" t="n">
        <v>1</v>
      </c>
      <c r="AA1934" t="n">
        <v>0</v>
      </c>
      <c r="AB1934" t="n">
        <v>1</v>
      </c>
      <c r="AC1934" t="n">
        <v>1</v>
      </c>
      <c r="AD1934" t="n">
        <v>0</v>
      </c>
      <c r="AE1934" t="n">
        <v>28050</v>
      </c>
      <c r="AF1934" t="n">
        <v>815</v>
      </c>
      <c r="AG1934" t="n">
        <v>2286</v>
      </c>
      <c r="AH1934" t="inlineStr">
        <is>
          <t>CV. DELTA MITRA SEJATI - PPN (PKU)</t>
        </is>
      </c>
      <c r="AI1934" t="n">
        <v>1828</v>
      </c>
      <c r="AJ1934" t="inlineStr">
        <is>
          <t>GOUTE</t>
        </is>
      </c>
      <c r="AK1934" t="n">
        <v>21</v>
      </c>
      <c r="AL1934" t="inlineStr">
        <is>
          <t>Miss Glam Damar</t>
        </is>
      </c>
      <c r="AM1934" t="n">
        <v>4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GOUTE</t>
        </is>
      </c>
      <c r="B1935" s="2">
        <f>"8997220242421"</f>
        <v/>
      </c>
      <c r="C1935" t="inlineStr">
        <is>
          <t>GOUTE Cream Blush 03 Caramel Town 10gr</t>
        </is>
      </c>
      <c r="D1935" t="inlineStr">
        <is>
          <t>Miss Glam Damar</t>
        </is>
      </c>
      <c r="E1935" t="n">
        <v>6</v>
      </c>
      <c r="F1935" t="n">
        <v>0.0273</v>
      </c>
      <c r="G1935" t="n">
        <v>0.91</v>
      </c>
      <c r="H1935" t="n">
        <v>2</v>
      </c>
      <c r="I1935" t="n">
        <v>4</v>
      </c>
      <c r="J1935" t="n">
        <v>3</v>
      </c>
      <c r="K1935" t="n">
        <v>0</v>
      </c>
      <c r="L1935" t="n">
        <v>28050</v>
      </c>
      <c r="M1935" t="n">
        <v>37000</v>
      </c>
      <c r="N1935" t="n">
        <v>91</v>
      </c>
      <c r="O1935" t="n">
        <v>0.91</v>
      </c>
      <c r="P1935" t="n">
        <v>1</v>
      </c>
      <c r="Q1935" t="n">
        <v>0.1</v>
      </c>
      <c r="R1935" t="n">
        <v>1</v>
      </c>
      <c r="S1935" t="n">
        <v>1010.1</v>
      </c>
      <c r="T1935" t="n">
        <v>4</v>
      </c>
      <c r="U1935" t="n">
        <v>5</v>
      </c>
      <c r="V1935" t="n">
        <v>30</v>
      </c>
      <c r="W1935" t="n">
        <v>1</v>
      </c>
      <c r="X1935" t="n">
        <v>219.7802197802198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815</v>
      </c>
      <c r="AG1935" t="n">
        <v>2286</v>
      </c>
      <c r="AH1935" t="inlineStr">
        <is>
          <t>CV. DELTA MITRA SEJATI - PPN (PKU)</t>
        </is>
      </c>
      <c r="AI1935" t="n">
        <v>1828</v>
      </c>
      <c r="AJ1935" t="inlineStr">
        <is>
          <t>GOUTE</t>
        </is>
      </c>
      <c r="AK1935" t="n">
        <v>21</v>
      </c>
      <c r="AL1935" t="inlineStr">
        <is>
          <t>Miss Glam Damar</t>
        </is>
      </c>
      <c r="AM1935" t="n">
        <v>4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GOUTE</t>
        </is>
      </c>
      <c r="B1936" s="2">
        <f>"20100969018"</f>
        <v/>
      </c>
      <c r="C1936" t="inlineStr">
        <is>
          <t>GOUTE Cream Blush 04 Pink Street 10gr</t>
        </is>
      </c>
      <c r="D1936" t="inlineStr">
        <is>
          <t>Miss Glam Damar</t>
        </is>
      </c>
      <c r="E1936" t="n">
        <v>0</v>
      </c>
      <c r="F1936" t="n">
        <v>0.09100000000000001</v>
      </c>
      <c r="G1936" t="n">
        <v>0.91</v>
      </c>
      <c r="H1936" t="n">
        <v>2</v>
      </c>
      <c r="I1936" t="n">
        <v>4</v>
      </c>
      <c r="J1936" t="n">
        <v>1</v>
      </c>
      <c r="K1936" t="n">
        <v>0</v>
      </c>
      <c r="L1936" t="n">
        <v>28050</v>
      </c>
      <c r="M1936" t="n">
        <v>33000</v>
      </c>
      <c r="N1936" t="n">
        <v>91</v>
      </c>
      <c r="O1936" t="n">
        <v>0.91</v>
      </c>
      <c r="P1936" t="n">
        <v>1</v>
      </c>
      <c r="Q1936" t="n">
        <v>0.54</v>
      </c>
      <c r="R1936" t="n">
        <v>5</v>
      </c>
      <c r="S1936" t="n">
        <v>3003</v>
      </c>
      <c r="T1936" t="n">
        <v>4</v>
      </c>
      <c r="U1936" t="n">
        <v>5</v>
      </c>
      <c r="V1936" t="n">
        <v>30</v>
      </c>
      <c r="W1936" t="n">
        <v>3</v>
      </c>
      <c r="X1936" t="n">
        <v>0</v>
      </c>
      <c r="Y1936" t="n">
        <v>1</v>
      </c>
      <c r="Z1936" t="n">
        <v>3</v>
      </c>
      <c r="AA1936" t="n">
        <v>1</v>
      </c>
      <c r="AB1936" t="n">
        <v>2</v>
      </c>
      <c r="AC1936" t="n">
        <v>2</v>
      </c>
      <c r="AD1936" t="n">
        <v>28050</v>
      </c>
      <c r="AE1936" t="n">
        <v>56100</v>
      </c>
      <c r="AF1936" t="n">
        <v>815</v>
      </c>
      <c r="AG1936" t="n">
        <v>2286</v>
      </c>
      <c r="AH1936" t="inlineStr">
        <is>
          <t>CV. DELTA MITRA SEJATI - PPN (PKU)</t>
        </is>
      </c>
      <c r="AI1936" t="n">
        <v>1828</v>
      </c>
      <c r="AJ1936" t="inlineStr">
        <is>
          <t>GOUTE</t>
        </is>
      </c>
      <c r="AK1936" t="n">
        <v>21</v>
      </c>
      <c r="AL1936" t="inlineStr">
        <is>
          <t>Miss Glam Damar</t>
        </is>
      </c>
      <c r="AM1936" t="n">
        <v>4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GOUTE</t>
        </is>
      </c>
      <c r="B1937" s="2">
        <f>"8997220242353"</f>
        <v/>
      </c>
      <c r="C1937" t="inlineStr">
        <is>
          <t>GOUTE Cushion 02 Beige Line 15gr</t>
        </is>
      </c>
      <c r="D1937" t="inlineStr">
        <is>
          <t>Miss Glam Damar</t>
        </is>
      </c>
      <c r="E1937" t="n">
        <v>14</v>
      </c>
      <c r="F1937" t="n">
        <v>0.1092</v>
      </c>
      <c r="G1937" t="n">
        <v>2.73</v>
      </c>
      <c r="H1937" t="n">
        <v>2</v>
      </c>
      <c r="I1937" t="n">
        <v>4</v>
      </c>
      <c r="J1937" t="n">
        <v>3</v>
      </c>
      <c r="K1937" t="n">
        <v>0</v>
      </c>
      <c r="L1937" t="n">
        <v>56100</v>
      </c>
      <c r="M1937" t="n">
        <v>66000</v>
      </c>
      <c r="N1937" t="n">
        <v>91</v>
      </c>
      <c r="O1937" t="n">
        <v>0.91</v>
      </c>
      <c r="P1937" t="n">
        <v>1</v>
      </c>
      <c r="Q1937" t="n">
        <v>0.03</v>
      </c>
      <c r="R1937" t="n">
        <v>1</v>
      </c>
      <c r="S1937" t="n">
        <v>7207.200000000001</v>
      </c>
      <c r="T1937" t="n">
        <v>11</v>
      </c>
      <c r="U1937" t="n">
        <v>12</v>
      </c>
      <c r="V1937" t="n">
        <v>30</v>
      </c>
      <c r="W1937" t="n">
        <v>4</v>
      </c>
      <c r="X1937" t="n">
        <v>128.2051282051282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815</v>
      </c>
      <c r="AG1937" t="n">
        <v>2286</v>
      </c>
      <c r="AH1937" t="inlineStr">
        <is>
          <t>CV. DELTA MITRA SEJATI - PPN (PKU)</t>
        </is>
      </c>
      <c r="AI1937" t="n">
        <v>1828</v>
      </c>
      <c r="AJ1937" t="inlineStr">
        <is>
          <t>GOUTE</t>
        </is>
      </c>
      <c r="AK1937" t="n">
        <v>21</v>
      </c>
      <c r="AL1937" t="inlineStr">
        <is>
          <t>Miss Glam Damar</t>
        </is>
      </c>
      <c r="AM1937" t="n">
        <v>4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GOUTE</t>
        </is>
      </c>
      <c r="B1938" s="2">
        <f>"8997220242360"</f>
        <v/>
      </c>
      <c r="C1938" t="inlineStr">
        <is>
          <t>GOUTE Cushion 03 Natural Route 15gr</t>
        </is>
      </c>
      <c r="D1938" t="inlineStr">
        <is>
          <t>Miss Glam Damar</t>
        </is>
      </c>
      <c r="E1938" t="n">
        <v>11</v>
      </c>
      <c r="F1938" t="n">
        <v>0.0182</v>
      </c>
      <c r="G1938" t="n">
        <v>0.91</v>
      </c>
      <c r="H1938" t="n">
        <v>2</v>
      </c>
      <c r="I1938" t="n">
        <v>4</v>
      </c>
      <c r="J1938" t="n">
        <v>3</v>
      </c>
      <c r="K1938" t="n">
        <v>0</v>
      </c>
      <c r="L1938" t="n">
        <v>56100</v>
      </c>
      <c r="M1938" t="n">
        <v>66000</v>
      </c>
      <c r="N1938" t="n">
        <v>91</v>
      </c>
      <c r="O1938" t="n">
        <v>0.91</v>
      </c>
      <c r="P1938" t="n">
        <v>1</v>
      </c>
      <c r="Q1938" t="n">
        <v>0.07000000000000001</v>
      </c>
      <c r="R1938" t="n">
        <v>1</v>
      </c>
      <c r="S1938" t="n">
        <v>1201.2</v>
      </c>
      <c r="T1938" t="n">
        <v>4</v>
      </c>
      <c r="U1938" t="n">
        <v>5</v>
      </c>
      <c r="V1938" t="n">
        <v>30</v>
      </c>
      <c r="W1938" t="n">
        <v>1</v>
      </c>
      <c r="X1938" t="n">
        <v>604.3956043956043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815</v>
      </c>
      <c r="AG1938" t="n">
        <v>2286</v>
      </c>
      <c r="AH1938" t="inlineStr">
        <is>
          <t>CV. DELTA MITRA SEJATI - PPN (PKU)</t>
        </is>
      </c>
      <c r="AI1938" t="n">
        <v>1828</v>
      </c>
      <c r="AJ1938" t="inlineStr">
        <is>
          <t>GOUTE</t>
        </is>
      </c>
      <c r="AK1938" t="n">
        <v>21</v>
      </c>
      <c r="AL1938" t="inlineStr">
        <is>
          <t>Miss Glam Damar</t>
        </is>
      </c>
      <c r="AM1938" t="n">
        <v>4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GOUTE</t>
        </is>
      </c>
      <c r="B1939" s="2">
        <f>"8997220242438"</f>
        <v/>
      </c>
      <c r="C1939" t="inlineStr">
        <is>
          <t>GOUTE Liner 01 Granite Black 1gr</t>
        </is>
      </c>
      <c r="D1939" t="inlineStr">
        <is>
          <t>Miss Glam Damar</t>
        </is>
      </c>
      <c r="E1939" t="n">
        <v>5</v>
      </c>
      <c r="F1939" t="n">
        <v>0.0182</v>
      </c>
      <c r="G1939" t="n">
        <v>0</v>
      </c>
      <c r="H1939" t="n">
        <v>2</v>
      </c>
      <c r="I1939" t="n">
        <v>4</v>
      </c>
      <c r="J1939" t="n">
        <v>3</v>
      </c>
      <c r="K1939" t="n">
        <v>0</v>
      </c>
      <c r="L1939" t="n">
        <v>28050</v>
      </c>
      <c r="M1939" t="n">
        <v>33000</v>
      </c>
      <c r="N1939" t="n">
        <v>91</v>
      </c>
      <c r="O1939" t="n">
        <v>0.91</v>
      </c>
      <c r="P1939" t="n">
        <v>1</v>
      </c>
      <c r="Q1939" t="n">
        <v>0.03</v>
      </c>
      <c r="R1939" t="n">
        <v>1</v>
      </c>
      <c r="S1939" t="n">
        <v>600.6</v>
      </c>
      <c r="T1939" t="n">
        <v>0</v>
      </c>
      <c r="U1939" t="n">
        <v>1</v>
      </c>
      <c r="V1939" t="n">
        <v>30</v>
      </c>
      <c r="W1939" t="n">
        <v>1</v>
      </c>
      <c r="X1939" t="n">
        <v>274.7252747252747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815</v>
      </c>
      <c r="AG1939" t="n">
        <v>2286</v>
      </c>
      <c r="AH1939" t="inlineStr">
        <is>
          <t>CV. DELTA MITRA SEJATI - PPN (PKU)</t>
        </is>
      </c>
      <c r="AI1939" t="n">
        <v>1828</v>
      </c>
      <c r="AJ1939" t="inlineStr">
        <is>
          <t>GOUTE</t>
        </is>
      </c>
      <c r="AK1939" t="n">
        <v>21</v>
      </c>
      <c r="AL1939" t="inlineStr">
        <is>
          <t>Miss Glam Damar</t>
        </is>
      </c>
      <c r="AM1939" t="n">
        <v>4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GRACE AND GLOW</t>
        </is>
      </c>
      <c r="B1940" s="2">
        <f>"745604686181"</f>
        <v/>
      </c>
      <c r="C1940" t="inlineStr">
        <is>
          <t>GRACE AND GLOW Bightening Sun Body Serum 100ml</t>
        </is>
      </c>
      <c r="D1940" t="inlineStr">
        <is>
          <t>Miss Glam Damar</t>
        </is>
      </c>
      <c r="E1940" t="n">
        <v>41</v>
      </c>
      <c r="F1940" t="n">
        <v>7.9625</v>
      </c>
      <c r="G1940" t="n">
        <v>17.29</v>
      </c>
      <c r="H1940" t="n">
        <v>2</v>
      </c>
      <c r="I1940" t="n">
        <v>16</v>
      </c>
      <c r="J1940" t="n">
        <v>3</v>
      </c>
      <c r="K1940" t="n">
        <v>0</v>
      </c>
      <c r="L1940" t="n">
        <v>33060</v>
      </c>
      <c r="M1940" t="n">
        <v>38000</v>
      </c>
      <c r="N1940" t="n">
        <v>91</v>
      </c>
      <c r="O1940" t="n">
        <v>0.91</v>
      </c>
      <c r="P1940" t="n">
        <v>1</v>
      </c>
      <c r="Q1940" t="n">
        <v>1.36</v>
      </c>
      <c r="R1940" t="n">
        <v>15</v>
      </c>
      <c r="S1940" t="n">
        <v>302575</v>
      </c>
      <c r="T1940" t="n">
        <v>261</v>
      </c>
      <c r="U1940" t="n">
        <v>277</v>
      </c>
      <c r="V1940" t="n">
        <v>30</v>
      </c>
      <c r="W1940" t="n">
        <v>239</v>
      </c>
      <c r="X1940" t="n">
        <v>5.149136577708006</v>
      </c>
      <c r="Y1940" t="n">
        <v>1</v>
      </c>
      <c r="Z1940" t="n">
        <v>198</v>
      </c>
      <c r="AA1940" t="n">
        <v>87</v>
      </c>
      <c r="AB1940" t="n">
        <v>111</v>
      </c>
      <c r="AC1940" t="n">
        <v>111</v>
      </c>
      <c r="AD1940" t="n">
        <v>2876220</v>
      </c>
      <c r="AE1940" t="n">
        <v>3669660</v>
      </c>
      <c r="AF1940" t="n">
        <v>542</v>
      </c>
      <c r="AG1940" t="n">
        <v>107</v>
      </c>
      <c r="AH1940" t="inlineStr">
        <is>
          <t xml:space="preserve">CV. DAHLIA - PPN (PDG) </t>
        </is>
      </c>
      <c r="AI1940" t="n">
        <v>1198</v>
      </c>
      <c r="AJ1940" t="inlineStr">
        <is>
          <t>GRACE AND GLOW</t>
        </is>
      </c>
      <c r="AK1940" t="n">
        <v>21</v>
      </c>
      <c r="AL1940" t="inlineStr">
        <is>
          <t>Miss Glam Damar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GRACE AND GLOW</t>
        </is>
      </c>
      <c r="B1941" s="2">
        <f>"764460290752"</f>
        <v/>
      </c>
      <c r="C1941" t="inlineStr">
        <is>
          <t>GRACE AND GLOW Black Opium Body Serum 300ml</t>
        </is>
      </c>
      <c r="D1941" t="inlineStr">
        <is>
          <t>Miss Glam Damar</t>
        </is>
      </c>
      <c r="E1941" t="n">
        <v>32</v>
      </c>
      <c r="F1941" t="n">
        <v>0.4914000000000001</v>
      </c>
      <c r="G1941" t="n">
        <v>1.82</v>
      </c>
      <c r="H1941" t="n">
        <v>2</v>
      </c>
      <c r="I1941" t="n">
        <v>16</v>
      </c>
      <c r="J1941" t="n">
        <v>3</v>
      </c>
      <c r="K1941" t="n">
        <v>0</v>
      </c>
      <c r="L1941" t="n">
        <v>55273</v>
      </c>
      <c r="M1941" t="n">
        <v>69700</v>
      </c>
      <c r="N1941" t="n">
        <v>91</v>
      </c>
      <c r="O1941" t="n">
        <v>0.91</v>
      </c>
      <c r="P1941" t="n">
        <v>1</v>
      </c>
      <c r="Q1941" t="n">
        <v>0.64</v>
      </c>
      <c r="R1941" t="n">
        <v>3</v>
      </c>
      <c r="S1941" t="n">
        <v>34250.58</v>
      </c>
      <c r="T1941" t="n">
        <v>29</v>
      </c>
      <c r="U1941" t="n">
        <v>30</v>
      </c>
      <c r="V1941" t="n">
        <v>30</v>
      </c>
      <c r="W1941" t="n">
        <v>15</v>
      </c>
      <c r="X1941" t="n">
        <v>65.12006512006511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542</v>
      </c>
      <c r="AG1941" t="n">
        <v>107</v>
      </c>
      <c r="AH1941" t="inlineStr">
        <is>
          <t xml:space="preserve">CV. DAHLIA - PPN (PDG) </t>
        </is>
      </c>
      <c r="AI1941" t="n">
        <v>1198</v>
      </c>
      <c r="AJ1941" t="inlineStr">
        <is>
          <t>GRACE AND GLOW</t>
        </is>
      </c>
      <c r="AK1941" t="n">
        <v>21</v>
      </c>
      <c r="AL1941" t="inlineStr">
        <is>
          <t>Miss Glam Damar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GRACE AND GLOW</t>
        </is>
      </c>
      <c r="B1942" s="2">
        <f>"745240572886"</f>
        <v/>
      </c>
      <c r="C1942" t="inlineStr">
        <is>
          <t>GRACE AND GLOW Black Opium Brightening Body Wash 400ml</t>
        </is>
      </c>
      <c r="D1942" t="inlineStr">
        <is>
          <t>Miss Glam Damar</t>
        </is>
      </c>
      <c r="E1942" t="n">
        <v>24</v>
      </c>
      <c r="F1942" t="n">
        <v>0.3822</v>
      </c>
      <c r="G1942" t="n">
        <v>3.64</v>
      </c>
      <c r="H1942" t="n">
        <v>2</v>
      </c>
      <c r="I1942" t="n">
        <v>16</v>
      </c>
      <c r="J1942" t="n">
        <v>6</v>
      </c>
      <c r="K1942" t="n">
        <v>0</v>
      </c>
      <c r="L1942" t="n">
        <v>46980</v>
      </c>
      <c r="M1942" t="n">
        <v>54500</v>
      </c>
      <c r="N1942" t="n">
        <v>91</v>
      </c>
      <c r="O1942" t="n">
        <v>0.91</v>
      </c>
      <c r="P1942" t="n">
        <v>1</v>
      </c>
      <c r="Q1942" t="n">
        <v>0.51</v>
      </c>
      <c r="R1942" t="n">
        <v>4</v>
      </c>
      <c r="S1942" t="n">
        <v>20829.9</v>
      </c>
      <c r="T1942" t="n">
        <v>58</v>
      </c>
      <c r="U1942" t="n">
        <v>59</v>
      </c>
      <c r="V1942" t="n">
        <v>30</v>
      </c>
      <c r="W1942" t="n">
        <v>12</v>
      </c>
      <c r="X1942" t="n">
        <v>62.79434850863422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542</v>
      </c>
      <c r="AG1942" t="n">
        <v>107</v>
      </c>
      <c r="AH1942" t="inlineStr">
        <is>
          <t xml:space="preserve">CV. DAHLIA - PPN (PDG) </t>
        </is>
      </c>
      <c r="AI1942" t="n">
        <v>1198</v>
      </c>
      <c r="AJ1942" t="inlineStr">
        <is>
          <t>GRACE AND GLOW</t>
        </is>
      </c>
      <c r="AK1942" t="n">
        <v>21</v>
      </c>
      <c r="AL1942" t="inlineStr">
        <is>
          <t>Miss Glam Damar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GRACE AND GLOW</t>
        </is>
      </c>
      <c r="B1943" s="2">
        <f>"725765154026"</f>
        <v/>
      </c>
      <c r="C1943" t="inlineStr">
        <is>
          <t>GRACE AND GLOW Black Opium Silky Hair Mist 100ml</t>
        </is>
      </c>
      <c r="D1943" t="inlineStr">
        <is>
          <t>Miss Glam Damar</t>
        </is>
      </c>
      <c r="E1943" t="n">
        <v>10</v>
      </c>
      <c r="F1943" t="n">
        <v>0.2002</v>
      </c>
      <c r="G1943" t="n">
        <v>1.82</v>
      </c>
      <c r="H1943" t="n">
        <v>2</v>
      </c>
      <c r="I1943" t="n">
        <v>16</v>
      </c>
      <c r="J1943" t="n">
        <v>3</v>
      </c>
      <c r="K1943" t="n">
        <v>0</v>
      </c>
      <c r="L1943" t="n">
        <v>37410</v>
      </c>
      <c r="M1943" t="n">
        <v>53500</v>
      </c>
      <c r="N1943" t="n">
        <v>91</v>
      </c>
      <c r="O1943" t="n">
        <v>0.91</v>
      </c>
      <c r="P1943" t="n">
        <v>1</v>
      </c>
      <c r="Q1943" t="n">
        <v>0.29</v>
      </c>
      <c r="R1943" t="n">
        <v>2</v>
      </c>
      <c r="S1943" t="n">
        <v>10710.7</v>
      </c>
      <c r="T1943" t="n">
        <v>29</v>
      </c>
      <c r="U1943" t="n">
        <v>30</v>
      </c>
      <c r="V1943" t="n">
        <v>30</v>
      </c>
      <c r="W1943" t="n">
        <v>7</v>
      </c>
      <c r="X1943" t="n">
        <v>49.95004995004994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542</v>
      </c>
      <c r="AG1943" t="n">
        <v>107</v>
      </c>
      <c r="AH1943" t="inlineStr">
        <is>
          <t xml:space="preserve">CV. DAHLIA - PPN (PDG) </t>
        </is>
      </c>
      <c r="AI1943" t="n">
        <v>1198</v>
      </c>
      <c r="AJ1943" t="inlineStr">
        <is>
          <t>GRACE AND GLOW</t>
        </is>
      </c>
      <c r="AK1943" t="n">
        <v>21</v>
      </c>
      <c r="AL1943" t="inlineStr">
        <is>
          <t>Miss Glam Damar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GRACE AND GLOW</t>
        </is>
      </c>
      <c r="B1944" s="2">
        <f>"764460290745"</f>
        <v/>
      </c>
      <c r="C1944" t="inlineStr">
        <is>
          <t>GRACE AND GLOW Black Opium Smooth Deodorant Serum 50ml</t>
        </is>
      </c>
      <c r="D1944" t="inlineStr">
        <is>
          <t>Miss Glam Damar</t>
        </is>
      </c>
      <c r="E1944" t="n">
        <v>19</v>
      </c>
      <c r="F1944" t="n">
        <v>0.5096000000000001</v>
      </c>
      <c r="G1944" t="n">
        <v>1.82</v>
      </c>
      <c r="H1944" t="n">
        <v>2</v>
      </c>
      <c r="I1944" t="n">
        <v>16</v>
      </c>
      <c r="J1944" t="n">
        <v>3</v>
      </c>
      <c r="K1944" t="n">
        <v>0</v>
      </c>
      <c r="L1944" t="n">
        <v>40799</v>
      </c>
      <c r="M1944" t="n">
        <v>53500</v>
      </c>
      <c r="N1944" t="n">
        <v>91</v>
      </c>
      <c r="O1944" t="n">
        <v>0.91</v>
      </c>
      <c r="P1944" t="n">
        <v>1</v>
      </c>
      <c r="Q1944" t="n">
        <v>0.51</v>
      </c>
      <c r="R1944" t="n">
        <v>3</v>
      </c>
      <c r="S1944" t="n">
        <v>27263.6</v>
      </c>
      <c r="T1944" t="n">
        <v>29</v>
      </c>
      <c r="U1944" t="n">
        <v>31</v>
      </c>
      <c r="V1944" t="n">
        <v>30</v>
      </c>
      <c r="W1944" t="n">
        <v>16</v>
      </c>
      <c r="X1944" t="n">
        <v>37.28414442700156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542</v>
      </c>
      <c r="AG1944" t="n">
        <v>107</v>
      </c>
      <c r="AH1944" t="inlineStr">
        <is>
          <t xml:space="preserve">CV. DAHLIA - PPN (PDG) </t>
        </is>
      </c>
      <c r="AI1944" t="n">
        <v>1198</v>
      </c>
      <c r="AJ1944" t="inlineStr">
        <is>
          <t>GRACE AND GLOW</t>
        </is>
      </c>
      <c r="AK1944" t="n">
        <v>21</v>
      </c>
      <c r="AL1944" t="inlineStr">
        <is>
          <t>Miss Glam Damar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GRACE AND GLOW</t>
        </is>
      </c>
      <c r="B1945" s="2">
        <f>"745240573005"</f>
        <v/>
      </c>
      <c r="C1945" t="inlineStr">
        <is>
          <t>GRACE AND GLOW Daisy Hair Vitamin Mist 100ml</t>
        </is>
      </c>
      <c r="D1945" t="inlineStr">
        <is>
          <t>Miss Glam Damar</t>
        </is>
      </c>
      <c r="E1945" t="n">
        <v>0</v>
      </c>
      <c r="F1945" t="n">
        <v>0.0273</v>
      </c>
      <c r="G1945" t="n">
        <v>0.91</v>
      </c>
      <c r="H1945" t="n">
        <v>2</v>
      </c>
      <c r="I1945" t="n">
        <v>16</v>
      </c>
      <c r="J1945" t="n">
        <v>3</v>
      </c>
      <c r="K1945" t="n">
        <v>0</v>
      </c>
      <c r="L1945" t="n">
        <v>36000</v>
      </c>
      <c r="M1945" t="n">
        <v>49000</v>
      </c>
      <c r="N1945" t="n">
        <v>91</v>
      </c>
      <c r="O1945" t="n">
        <v>0.91</v>
      </c>
      <c r="P1945" t="n">
        <v>1</v>
      </c>
      <c r="Q1945" t="n">
        <v>0.03</v>
      </c>
      <c r="R1945" t="n">
        <v>1</v>
      </c>
      <c r="S1945" t="n">
        <v>1337.7</v>
      </c>
      <c r="T1945" t="n">
        <v>15</v>
      </c>
      <c r="U1945" t="n">
        <v>16</v>
      </c>
      <c r="V1945" t="n">
        <v>30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n">
        <v>0</v>
      </c>
      <c r="AC1945" t="n">
        <v>0</v>
      </c>
      <c r="AD1945" t="n">
        <v>36000</v>
      </c>
      <c r="AE1945" t="n">
        <v>0</v>
      </c>
      <c r="AF1945" t="n">
        <v>542</v>
      </c>
      <c r="AG1945" t="n">
        <v>107</v>
      </c>
      <c r="AH1945" t="inlineStr">
        <is>
          <t xml:space="preserve">CV. DAHLIA - PPN (PDG) </t>
        </is>
      </c>
      <c r="AI1945" t="n">
        <v>1198</v>
      </c>
      <c r="AJ1945" t="inlineStr">
        <is>
          <t>GRACE AND GLOW</t>
        </is>
      </c>
      <c r="AK1945" t="n">
        <v>21</v>
      </c>
      <c r="AL1945" t="inlineStr">
        <is>
          <t>Miss Glam Damar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GRACE AND GLOW</t>
        </is>
      </c>
      <c r="B1946" s="2">
        <f>"745240572893"</f>
        <v/>
      </c>
      <c r="C1946" t="inlineStr">
        <is>
          <t>GRACE AND GLOW English Pear And Freesia  Body Wash 400ml</t>
        </is>
      </c>
      <c r="D1946" t="inlineStr">
        <is>
          <t>Miss Glam Damar</t>
        </is>
      </c>
      <c r="E1946" t="n">
        <v>23</v>
      </c>
      <c r="F1946" t="n">
        <v>0.5824</v>
      </c>
      <c r="G1946" t="n">
        <v>4.55</v>
      </c>
      <c r="H1946" t="n">
        <v>2</v>
      </c>
      <c r="I1946" t="n">
        <v>16</v>
      </c>
      <c r="J1946" t="n">
        <v>6</v>
      </c>
      <c r="K1946" t="n">
        <v>0</v>
      </c>
      <c r="L1946" t="n">
        <v>46964</v>
      </c>
      <c r="M1946" t="n">
        <v>60000</v>
      </c>
      <c r="N1946" t="n">
        <v>91</v>
      </c>
      <c r="O1946" t="n">
        <v>0.91</v>
      </c>
      <c r="P1946" t="n">
        <v>1</v>
      </c>
      <c r="Q1946" t="n">
        <v>0.41</v>
      </c>
      <c r="R1946" t="n">
        <v>3</v>
      </c>
      <c r="S1946" t="n">
        <v>34944</v>
      </c>
      <c r="T1946" t="n">
        <v>72</v>
      </c>
      <c r="U1946" t="n">
        <v>74</v>
      </c>
      <c r="V1946" t="n">
        <v>30</v>
      </c>
      <c r="W1946" t="n">
        <v>18</v>
      </c>
      <c r="X1946" t="n">
        <v>39.49175824175824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542</v>
      </c>
      <c r="AG1946" t="n">
        <v>107</v>
      </c>
      <c r="AH1946" t="inlineStr">
        <is>
          <t xml:space="preserve">CV. DAHLIA - PPN (PDG) </t>
        </is>
      </c>
      <c r="AI1946" t="n">
        <v>1198</v>
      </c>
      <c r="AJ1946" t="inlineStr">
        <is>
          <t>GRACE AND GLOW</t>
        </is>
      </c>
      <c r="AK1946" t="n">
        <v>21</v>
      </c>
      <c r="AL1946" t="inlineStr">
        <is>
          <t>Miss Glam Damar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GRACE AND GLOW</t>
        </is>
      </c>
      <c r="B1947" s="2">
        <f>"725765154019"</f>
        <v/>
      </c>
      <c r="C1947" t="inlineStr">
        <is>
          <t>GRACE AND GLOW English Pear And Fressia Comfort Deodorant 50ml</t>
        </is>
      </c>
      <c r="D1947" t="inlineStr">
        <is>
          <t>Miss Glam Damar</t>
        </is>
      </c>
      <c r="E1947" t="n">
        <v>0</v>
      </c>
      <c r="F1947" t="n">
        <v>0.06370000000000001</v>
      </c>
      <c r="G1947" t="n">
        <v>0.91</v>
      </c>
      <c r="H1947" t="n">
        <v>2</v>
      </c>
      <c r="I1947" t="n">
        <v>16</v>
      </c>
      <c r="J1947" t="n">
        <v>3</v>
      </c>
      <c r="K1947" t="n">
        <v>0</v>
      </c>
      <c r="L1947" t="n">
        <v>39749</v>
      </c>
      <c r="M1947" t="n">
        <v>55400</v>
      </c>
      <c r="N1947" t="n">
        <v>91</v>
      </c>
      <c r="O1947" t="n">
        <v>0.91</v>
      </c>
      <c r="P1947" t="n">
        <v>1</v>
      </c>
      <c r="Q1947" t="n">
        <v>0.08</v>
      </c>
      <c r="R1947" t="n">
        <v>2</v>
      </c>
      <c r="S1947" t="n">
        <v>3528.98</v>
      </c>
      <c r="T1947" t="n">
        <v>15</v>
      </c>
      <c r="U1947" t="n">
        <v>16</v>
      </c>
      <c r="V1947" t="n">
        <v>30</v>
      </c>
      <c r="W1947" t="n">
        <v>2</v>
      </c>
      <c r="X1947" t="n">
        <v>0</v>
      </c>
      <c r="Y1947" t="n">
        <v>1</v>
      </c>
      <c r="Z1947" t="n">
        <v>2</v>
      </c>
      <c r="AA1947" t="n">
        <v>2</v>
      </c>
      <c r="AB1947" t="n">
        <v>0</v>
      </c>
      <c r="AC1947" t="n">
        <v>0</v>
      </c>
      <c r="AD1947" t="n">
        <v>79498</v>
      </c>
      <c r="AE1947" t="n">
        <v>0</v>
      </c>
      <c r="AF1947" t="n">
        <v>542</v>
      </c>
      <c r="AG1947" t="n">
        <v>107</v>
      </c>
      <c r="AH1947" t="inlineStr">
        <is>
          <t xml:space="preserve">CV. DAHLIA - PPN (PDG) </t>
        </is>
      </c>
      <c r="AI1947" t="n">
        <v>1198</v>
      </c>
      <c r="AJ1947" t="inlineStr">
        <is>
          <t>GRACE AND GLOW</t>
        </is>
      </c>
      <c r="AK1947" t="n">
        <v>21</v>
      </c>
      <c r="AL1947" t="inlineStr">
        <is>
          <t>Miss Glam Damar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GRACE AND GLOW</t>
        </is>
      </c>
      <c r="B1948" s="2">
        <f>"30400519016"</f>
        <v/>
      </c>
      <c r="C1948" t="inlineStr">
        <is>
          <t>GRACE AND GLOW Invisible Smooth Antiperspirant Roll On 20ml</t>
        </is>
      </c>
      <c r="D1948" t="inlineStr">
        <is>
          <t>Miss Glam Damar</t>
        </is>
      </c>
      <c r="E1948" t="n">
        <v>0</v>
      </c>
      <c r="F1948" t="n">
        <v>0.03</v>
      </c>
      <c r="G1948" t="n">
        <v>1</v>
      </c>
      <c r="H1948" t="n">
        <v>2</v>
      </c>
      <c r="I1948" t="n">
        <v>16</v>
      </c>
      <c r="J1948" t="n">
        <v>1</v>
      </c>
      <c r="K1948" t="n">
        <v>0</v>
      </c>
      <c r="L1948" t="n">
        <v>70270</v>
      </c>
      <c r="M1948" t="n">
        <v>86500</v>
      </c>
      <c r="N1948" t="n">
        <v>91</v>
      </c>
      <c r="O1948" t="n">
        <v>0.91</v>
      </c>
      <c r="P1948" t="n">
        <v>0</v>
      </c>
      <c r="Q1948" t="n">
        <v>0.03</v>
      </c>
      <c r="R1948" t="n">
        <v>1</v>
      </c>
      <c r="S1948" t="n">
        <v>2595</v>
      </c>
      <c r="T1948" t="n">
        <v>16</v>
      </c>
      <c r="U1948" t="n">
        <v>17</v>
      </c>
      <c r="V1948" t="n">
        <v>30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n">
        <v>0</v>
      </c>
      <c r="AC1948" t="n">
        <v>0</v>
      </c>
      <c r="AD1948" t="n">
        <v>70270</v>
      </c>
      <c r="AE1948" t="n">
        <v>0</v>
      </c>
      <c r="AF1948" t="n">
        <v>542</v>
      </c>
      <c r="AG1948" t="n">
        <v>107</v>
      </c>
      <c r="AH1948" t="inlineStr">
        <is>
          <t xml:space="preserve">CV. DAHLIA - PPN (PDG) </t>
        </is>
      </c>
      <c r="AI1948" t="n">
        <v>1198</v>
      </c>
      <c r="AJ1948" t="inlineStr">
        <is>
          <t>GRACE AND GLOW</t>
        </is>
      </c>
      <c r="AK1948" t="n">
        <v>21</v>
      </c>
      <c r="AL1948" t="inlineStr">
        <is>
          <t>Miss Glam Damar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GRACE AND GLOW</t>
        </is>
      </c>
      <c r="B1949" s="2">
        <f>"745240572985"</f>
        <v/>
      </c>
      <c r="C1949" t="inlineStr">
        <is>
          <t>GRACE AND GLOW Miss Moisture &amp; Glow Solution Body Wash 400ml</t>
        </is>
      </c>
      <c r="D1949" t="inlineStr">
        <is>
          <t>Miss Glam Damar</t>
        </is>
      </c>
      <c r="E1949" t="n">
        <v>0</v>
      </c>
      <c r="F1949" t="n">
        <v>0.05</v>
      </c>
      <c r="G1949" t="n">
        <v>1</v>
      </c>
      <c r="H1949" t="n">
        <v>2</v>
      </c>
      <c r="I1949" t="n">
        <v>16</v>
      </c>
      <c r="J1949" t="n">
        <v>3</v>
      </c>
      <c r="K1949" t="n">
        <v>0</v>
      </c>
      <c r="L1949" t="n">
        <v>45000</v>
      </c>
      <c r="M1949" t="n">
        <v>59400</v>
      </c>
      <c r="N1949" t="n">
        <v>91</v>
      </c>
      <c r="O1949" t="n">
        <v>0.91</v>
      </c>
      <c r="P1949" t="n">
        <v>0</v>
      </c>
      <c r="Q1949" t="n">
        <v>0.05</v>
      </c>
      <c r="R1949" t="n">
        <v>1</v>
      </c>
      <c r="S1949" t="n">
        <v>2970</v>
      </c>
      <c r="T1949" t="n">
        <v>16</v>
      </c>
      <c r="U1949" t="n">
        <v>17</v>
      </c>
      <c r="V1949" t="n">
        <v>30</v>
      </c>
      <c r="W1949" t="n">
        <v>2</v>
      </c>
      <c r="X1949" t="n">
        <v>0</v>
      </c>
      <c r="Y1949" t="n">
        <v>1</v>
      </c>
      <c r="Z1949" t="n">
        <v>2</v>
      </c>
      <c r="AA1949" t="n">
        <v>1</v>
      </c>
      <c r="AB1949" t="n">
        <v>1</v>
      </c>
      <c r="AC1949" t="n">
        <v>3</v>
      </c>
      <c r="AD1949" t="n">
        <v>45000</v>
      </c>
      <c r="AE1949" t="n">
        <v>135000</v>
      </c>
      <c r="AF1949" t="n">
        <v>542</v>
      </c>
      <c r="AG1949" t="n">
        <v>107</v>
      </c>
      <c r="AH1949" t="inlineStr">
        <is>
          <t xml:space="preserve">CV. DAHLIA - PPN (PDG) </t>
        </is>
      </c>
      <c r="AI1949" t="n">
        <v>1198</v>
      </c>
      <c r="AJ1949" t="inlineStr">
        <is>
          <t>GRACE AND GLOW</t>
        </is>
      </c>
      <c r="AK1949" t="n">
        <v>21</v>
      </c>
      <c r="AL1949" t="inlineStr">
        <is>
          <t>Miss Glam Damar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GRACE AND GLOW</t>
        </is>
      </c>
      <c r="B1950" s="2">
        <f>"745240572947"</f>
        <v/>
      </c>
      <c r="C1950" t="inlineStr">
        <is>
          <t>GRACE AND GLOW Rouge 540 Brightening Clay Body Scrub</t>
        </is>
      </c>
      <c r="D1950" t="inlineStr">
        <is>
          <t>Miss Glam Damar</t>
        </is>
      </c>
      <c r="E1950" t="n">
        <v>4</v>
      </c>
      <c r="F1950" t="n">
        <v>0.0273</v>
      </c>
      <c r="G1950" t="n">
        <v>0.91</v>
      </c>
      <c r="H1950" t="n">
        <v>2</v>
      </c>
      <c r="I1950" t="n">
        <v>16</v>
      </c>
      <c r="J1950" t="n">
        <v>3</v>
      </c>
      <c r="K1950" t="n">
        <v>0</v>
      </c>
      <c r="L1950" t="n">
        <v>67860</v>
      </c>
      <c r="M1950" t="n">
        <v>80000</v>
      </c>
      <c r="N1950" t="n">
        <v>91</v>
      </c>
      <c r="O1950" t="n">
        <v>0.91</v>
      </c>
      <c r="P1950" t="n">
        <v>1</v>
      </c>
      <c r="Q1950" t="n">
        <v>0.03</v>
      </c>
      <c r="R1950" t="n">
        <v>1</v>
      </c>
      <c r="S1950" t="n">
        <v>2184</v>
      </c>
      <c r="T1950" t="n">
        <v>15</v>
      </c>
      <c r="U1950" t="n">
        <v>16</v>
      </c>
      <c r="V1950" t="n">
        <v>30</v>
      </c>
      <c r="W1950" t="n">
        <v>1</v>
      </c>
      <c r="X1950" t="n">
        <v>146.5201465201465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542</v>
      </c>
      <c r="AG1950" t="n">
        <v>107</v>
      </c>
      <c r="AH1950" t="inlineStr">
        <is>
          <t xml:space="preserve">CV. DAHLIA - PPN (PDG) </t>
        </is>
      </c>
      <c r="AI1950" t="n">
        <v>1198</v>
      </c>
      <c r="AJ1950" t="inlineStr">
        <is>
          <t>GRACE AND GLOW</t>
        </is>
      </c>
      <c r="AK1950" t="n">
        <v>21</v>
      </c>
      <c r="AL1950" t="inlineStr">
        <is>
          <t>Miss Glam Damar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GRACE AND GLOW</t>
        </is>
      </c>
      <c r="B1951" s="2">
        <f>"745240572909"</f>
        <v/>
      </c>
      <c r="C1951" t="inlineStr">
        <is>
          <t>GRACE AND GLOW Rouge 540 Glow &amp; Firm Body Wash 400ml</t>
        </is>
      </c>
      <c r="D1951" t="inlineStr">
        <is>
          <t>Miss Glam Damar</t>
        </is>
      </c>
      <c r="E1951" t="n">
        <v>14</v>
      </c>
      <c r="F1951" t="n">
        <v>0.7280000000000001</v>
      </c>
      <c r="G1951" t="n">
        <v>2.73</v>
      </c>
      <c r="H1951" t="n">
        <v>2</v>
      </c>
      <c r="I1951" t="n">
        <v>16</v>
      </c>
      <c r="J1951" t="n">
        <v>3</v>
      </c>
      <c r="K1951" t="n">
        <v>0</v>
      </c>
      <c r="L1951" t="n">
        <v>46981</v>
      </c>
      <c r="M1951" t="n">
        <v>59800</v>
      </c>
      <c r="N1951" t="n">
        <v>91</v>
      </c>
      <c r="O1951" t="n">
        <v>0.91</v>
      </c>
      <c r="P1951" t="n">
        <v>1</v>
      </c>
      <c r="Q1951" t="n">
        <v>0.5600000000000001</v>
      </c>
      <c r="R1951" t="n">
        <v>3</v>
      </c>
      <c r="S1951" t="n">
        <v>43534.40000000001</v>
      </c>
      <c r="T1951" t="n">
        <v>43</v>
      </c>
      <c r="U1951" t="n">
        <v>45</v>
      </c>
      <c r="V1951" t="n">
        <v>30</v>
      </c>
      <c r="W1951" t="n">
        <v>22</v>
      </c>
      <c r="X1951" t="n">
        <v>19.23076923076923</v>
      </c>
      <c r="Y1951" t="n">
        <v>1</v>
      </c>
      <c r="Z1951" t="n">
        <v>8</v>
      </c>
      <c r="AA1951" t="n">
        <v>0</v>
      </c>
      <c r="AB1951" t="n">
        <v>8</v>
      </c>
      <c r="AC1951" t="n">
        <v>8</v>
      </c>
      <c r="AD1951" t="n">
        <v>0</v>
      </c>
      <c r="AE1951" t="n">
        <v>375848</v>
      </c>
      <c r="AF1951" t="n">
        <v>542</v>
      </c>
      <c r="AG1951" t="n">
        <v>107</v>
      </c>
      <c r="AH1951" t="inlineStr">
        <is>
          <t xml:space="preserve">CV. DAHLIA - PPN (PDG) </t>
        </is>
      </c>
      <c r="AI1951" t="n">
        <v>1198</v>
      </c>
      <c r="AJ1951" t="inlineStr">
        <is>
          <t>GRACE AND GLOW</t>
        </is>
      </c>
      <c r="AK1951" t="n">
        <v>21</v>
      </c>
      <c r="AL1951" t="inlineStr">
        <is>
          <t>Miss Glam Damar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GRACE AND GLOW</t>
        </is>
      </c>
      <c r="B1952" s="2">
        <f>"40100204145"</f>
        <v/>
      </c>
      <c r="C1952" t="inlineStr">
        <is>
          <t>GRACE AND GLOW Velvet Breeze Dry Shampoo 150ml</t>
        </is>
      </c>
      <c r="D1952" t="inlineStr">
        <is>
          <t>Miss Glam Damar</t>
        </is>
      </c>
      <c r="E1952" t="n">
        <v>8</v>
      </c>
      <c r="F1952" t="n">
        <v>0.3822</v>
      </c>
      <c r="G1952" t="n">
        <v>1.82</v>
      </c>
      <c r="H1952" t="n">
        <v>2</v>
      </c>
      <c r="I1952" t="n">
        <v>16</v>
      </c>
      <c r="J1952" t="n">
        <v>1</v>
      </c>
      <c r="K1952" t="n">
        <v>0</v>
      </c>
      <c r="L1952" t="n">
        <v>62734</v>
      </c>
      <c r="M1952" t="n">
        <v>79500</v>
      </c>
      <c r="N1952" t="n">
        <v>91</v>
      </c>
      <c r="O1952" t="n">
        <v>0.91</v>
      </c>
      <c r="P1952" t="n">
        <v>1</v>
      </c>
      <c r="Q1952" t="n">
        <v>0.37</v>
      </c>
      <c r="R1952" t="n">
        <v>3</v>
      </c>
      <c r="S1952" t="n">
        <v>30384.9</v>
      </c>
      <c r="T1952" t="n">
        <v>29</v>
      </c>
      <c r="U1952" t="n">
        <v>30</v>
      </c>
      <c r="V1952" t="n">
        <v>30</v>
      </c>
      <c r="W1952" t="n">
        <v>12</v>
      </c>
      <c r="X1952" t="n">
        <v>20.93144950287807</v>
      </c>
      <c r="Y1952" t="n">
        <v>1</v>
      </c>
      <c r="Z1952" t="n">
        <v>4</v>
      </c>
      <c r="AA1952" t="n">
        <v>0</v>
      </c>
      <c r="AB1952" t="n">
        <v>4</v>
      </c>
      <c r="AC1952" t="n">
        <v>4</v>
      </c>
      <c r="AD1952" t="n">
        <v>0</v>
      </c>
      <c r="AE1952" t="n">
        <v>250936</v>
      </c>
      <c r="AF1952" t="n">
        <v>542</v>
      </c>
      <c r="AG1952" t="n">
        <v>107</v>
      </c>
      <c r="AH1952" t="inlineStr">
        <is>
          <t xml:space="preserve">CV. DAHLIA - PPN (PDG) </t>
        </is>
      </c>
      <c r="AI1952" t="n">
        <v>1198</v>
      </c>
      <c r="AJ1952" t="inlineStr">
        <is>
          <t>GRACE AND GLOW</t>
        </is>
      </c>
      <c r="AK1952" t="n">
        <v>21</v>
      </c>
      <c r="AL1952" t="inlineStr">
        <is>
          <t>Miss Glam Damar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GRACE AND GLOW</t>
        </is>
      </c>
      <c r="B1953" s="2">
        <f>"745604686242"</f>
        <v/>
      </c>
      <c r="C1953" t="inlineStr">
        <is>
          <t>GRACE AND GLOW White B3 Clay Body Scrub 220gr</t>
        </is>
      </c>
      <c r="D1953" t="inlineStr">
        <is>
          <t>Miss Glam Damar</t>
        </is>
      </c>
      <c r="E1953" t="n">
        <v>1</v>
      </c>
      <c r="F1953" t="n">
        <v>0.0182</v>
      </c>
      <c r="G1953" t="n">
        <v>0.91</v>
      </c>
      <c r="H1953" t="n">
        <v>2</v>
      </c>
      <c r="I1953" t="n">
        <v>16</v>
      </c>
      <c r="J1953" t="n">
        <v>6</v>
      </c>
      <c r="K1953" t="n">
        <v>0</v>
      </c>
      <c r="L1953" t="n">
        <v>68731</v>
      </c>
      <c r="M1953" t="n">
        <v>79000</v>
      </c>
      <c r="N1953" t="n">
        <v>91</v>
      </c>
      <c r="O1953" t="n">
        <v>0.91</v>
      </c>
      <c r="P1953" t="n">
        <v>1</v>
      </c>
      <c r="Q1953" t="n">
        <v>0.07000000000000001</v>
      </c>
      <c r="R1953" t="n">
        <v>2</v>
      </c>
      <c r="S1953" t="n">
        <v>1437.8</v>
      </c>
      <c r="T1953" t="n">
        <v>15</v>
      </c>
      <c r="U1953" t="n">
        <v>16</v>
      </c>
      <c r="V1953" t="n">
        <v>30</v>
      </c>
      <c r="W1953" t="n">
        <v>1</v>
      </c>
      <c r="X1953" t="n">
        <v>54.94505494505494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542</v>
      </c>
      <c r="AG1953" t="n">
        <v>107</v>
      </c>
      <c r="AH1953" t="inlineStr">
        <is>
          <t xml:space="preserve">CV. DAHLIA - PPN (PDG) </t>
        </is>
      </c>
      <c r="AI1953" t="n">
        <v>1198</v>
      </c>
      <c r="AJ1953" t="inlineStr">
        <is>
          <t>GRACE AND GLOW</t>
        </is>
      </c>
      <c r="AK1953" t="n">
        <v>21</v>
      </c>
      <c r="AL1953" t="inlineStr">
        <is>
          <t>Miss Glam Damar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HADALABO</t>
        </is>
      </c>
      <c r="B1954" s="2">
        <f>"8992821104055"</f>
        <v/>
      </c>
      <c r="C1954" t="inlineStr">
        <is>
          <t>HADALABO Gokujyun Premium Ultimate Anti Aging Serum 20ml</t>
        </is>
      </c>
      <c r="D1954" t="inlineStr">
        <is>
          <t>Miss Glam Damar</t>
        </is>
      </c>
      <c r="E1954" t="n">
        <v>1</v>
      </c>
      <c r="F1954" t="n">
        <v>0.12</v>
      </c>
      <c r="G1954" t="n">
        <v>2</v>
      </c>
      <c r="H1954" t="n">
        <v>3</v>
      </c>
      <c r="I1954" t="n">
        <v>14</v>
      </c>
      <c r="J1954" t="n">
        <v>3</v>
      </c>
      <c r="K1954" t="n">
        <v>0</v>
      </c>
      <c r="L1954" t="n">
        <v>99940</v>
      </c>
      <c r="M1954" t="n">
        <v>135000</v>
      </c>
      <c r="N1954" t="n">
        <v>91</v>
      </c>
      <c r="O1954" t="n">
        <v>0.91</v>
      </c>
      <c r="P1954" t="n">
        <v>0</v>
      </c>
      <c r="Q1954" t="n">
        <v>0.12</v>
      </c>
      <c r="R1954" t="n">
        <v>2</v>
      </c>
      <c r="S1954" t="n">
        <v>16200</v>
      </c>
      <c r="T1954" t="n">
        <v>28</v>
      </c>
      <c r="U1954" t="n">
        <v>29</v>
      </c>
      <c r="V1954" t="n">
        <v>30</v>
      </c>
      <c r="W1954" t="n">
        <v>4</v>
      </c>
      <c r="X1954" t="n">
        <v>8.333333333333334</v>
      </c>
      <c r="Y1954" t="n">
        <v>1</v>
      </c>
      <c r="Z1954" t="n">
        <v>3</v>
      </c>
      <c r="AA1954" t="n">
        <v>1</v>
      </c>
      <c r="AB1954" t="n">
        <v>2</v>
      </c>
      <c r="AC1954" t="n">
        <v>3</v>
      </c>
      <c r="AD1954" t="n">
        <v>99940</v>
      </c>
      <c r="AE1954" t="n">
        <v>299820</v>
      </c>
      <c r="AF1954" t="n">
        <v>11000</v>
      </c>
      <c r="AG1954" t="n">
        <v>33</v>
      </c>
      <c r="AH1954" t="inlineStr">
        <is>
          <t>PT. MENSA BINASUKSES - PPN (PDG)</t>
        </is>
      </c>
      <c r="AI1954" t="n">
        <v>301</v>
      </c>
      <c r="AJ1954" t="inlineStr">
        <is>
          <t>HADALABO</t>
        </is>
      </c>
      <c r="AK1954" t="n">
        <v>21</v>
      </c>
      <c r="AL1954" t="inlineStr">
        <is>
          <t>Miss Glam Damar</t>
        </is>
      </c>
      <c r="AM1954" t="n">
        <v>3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HADALABO</t>
        </is>
      </c>
      <c r="B1955" s="2">
        <f>"8992821104031"</f>
        <v/>
      </c>
      <c r="C1955" t="inlineStr">
        <is>
          <t>HADALABO Gokujyun Premium Ultimate Moisturizing 20ml</t>
        </is>
      </c>
      <c r="D1955" t="inlineStr">
        <is>
          <t>Miss Glam Damar</t>
        </is>
      </c>
      <c r="E1955" t="n">
        <v>3</v>
      </c>
      <c r="F1955" t="n">
        <v>0.0273</v>
      </c>
      <c r="G1955" t="n">
        <v>0.91</v>
      </c>
      <c r="H1955" t="n">
        <v>3</v>
      </c>
      <c r="I1955" t="n">
        <v>14</v>
      </c>
      <c r="J1955" t="n">
        <v>3</v>
      </c>
      <c r="K1955" t="n">
        <v>0</v>
      </c>
      <c r="L1955" t="n">
        <v>83556</v>
      </c>
      <c r="M1955" t="n">
        <v>112000</v>
      </c>
      <c r="N1955" t="n">
        <v>91</v>
      </c>
      <c r="O1955" t="n">
        <v>0.91</v>
      </c>
      <c r="P1955" t="n">
        <v>1</v>
      </c>
      <c r="Q1955" t="n">
        <v>0.05</v>
      </c>
      <c r="R1955" t="n">
        <v>1</v>
      </c>
      <c r="S1955" t="n">
        <v>3057.6</v>
      </c>
      <c r="T1955" t="n">
        <v>13</v>
      </c>
      <c r="U1955" t="n">
        <v>14</v>
      </c>
      <c r="V1955" t="n">
        <v>30</v>
      </c>
      <c r="W1955" t="n">
        <v>1</v>
      </c>
      <c r="X1955" t="n">
        <v>109.8901098901099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11000</v>
      </c>
      <c r="AG1955" t="n">
        <v>33</v>
      </c>
      <c r="AH1955" t="inlineStr">
        <is>
          <t>PT. MENSA BINASUKSES - PPN (PDG)</t>
        </is>
      </c>
      <c r="AI1955" t="n">
        <v>301</v>
      </c>
      <c r="AJ1955" t="inlineStr">
        <is>
          <t>HADALABO</t>
        </is>
      </c>
      <c r="AK1955" t="n">
        <v>21</v>
      </c>
      <c r="AL1955" t="inlineStr">
        <is>
          <t>Miss Glam Damar</t>
        </is>
      </c>
      <c r="AM1955" t="n">
        <v>3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HADALABO</t>
        </is>
      </c>
      <c r="B1956" s="2">
        <f>"8992821104062"</f>
        <v/>
      </c>
      <c r="C1956" t="inlineStr">
        <is>
          <t>HADALABO Gokujyun Premium Ultimate Moisturizing Eye Cream 15gr</t>
        </is>
      </c>
      <c r="D1956" t="inlineStr">
        <is>
          <t>Miss Glam Damar</t>
        </is>
      </c>
      <c r="E1956" t="n">
        <v>3</v>
      </c>
      <c r="F1956" t="n">
        <v>0.05</v>
      </c>
      <c r="G1956" t="n">
        <v>1</v>
      </c>
      <c r="H1956" t="n">
        <v>3</v>
      </c>
      <c r="I1956" t="n">
        <v>14</v>
      </c>
      <c r="J1956" t="n">
        <v>3</v>
      </c>
      <c r="K1956" t="n">
        <v>0</v>
      </c>
      <c r="L1956" t="n">
        <v>94206</v>
      </c>
      <c r="M1956" t="n">
        <v>124000</v>
      </c>
      <c r="N1956" t="n">
        <v>91</v>
      </c>
      <c r="O1956" t="n">
        <v>0.91</v>
      </c>
      <c r="P1956" t="n">
        <v>0</v>
      </c>
      <c r="Q1956" t="n">
        <v>0.05</v>
      </c>
      <c r="R1956" t="n">
        <v>1</v>
      </c>
      <c r="S1956" t="n">
        <v>6200</v>
      </c>
      <c r="T1956" t="n">
        <v>14</v>
      </c>
      <c r="U1956" t="n">
        <v>15</v>
      </c>
      <c r="V1956" t="n">
        <v>30</v>
      </c>
      <c r="W1956" t="n">
        <v>2</v>
      </c>
      <c r="X1956" t="n">
        <v>60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11000</v>
      </c>
      <c r="AG1956" t="n">
        <v>33</v>
      </c>
      <c r="AH1956" t="inlineStr">
        <is>
          <t>PT. MENSA BINASUKSES - PPN (PDG)</t>
        </is>
      </c>
      <c r="AI1956" t="n">
        <v>301</v>
      </c>
      <c r="AJ1956" t="inlineStr">
        <is>
          <t>HADALABO</t>
        </is>
      </c>
      <c r="AK1956" t="n">
        <v>21</v>
      </c>
      <c r="AL1956" t="inlineStr">
        <is>
          <t>Miss Glam Damar</t>
        </is>
      </c>
      <c r="AM1956" t="n">
        <v>3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HADALABO</t>
        </is>
      </c>
      <c r="B1957" s="2">
        <f>"8992821103522"</f>
        <v/>
      </c>
      <c r="C1957" t="inlineStr">
        <is>
          <t>HADALABO Gokujyun Premium Ultimate Moisturizing Lotion 100ml</t>
        </is>
      </c>
      <c r="D1957" t="inlineStr">
        <is>
          <t>Miss Glam Damar</t>
        </is>
      </c>
      <c r="E1957" t="n">
        <v>8</v>
      </c>
      <c r="F1957" t="n">
        <v>0.2639</v>
      </c>
      <c r="G1957" t="n">
        <v>1.82</v>
      </c>
      <c r="H1957" t="n">
        <v>3</v>
      </c>
      <c r="I1957" t="n">
        <v>14</v>
      </c>
      <c r="J1957" t="n">
        <v>3</v>
      </c>
      <c r="K1957" t="n">
        <v>0</v>
      </c>
      <c r="L1957" t="n">
        <v>70859</v>
      </c>
      <c r="M1957" t="n">
        <v>91000</v>
      </c>
      <c r="N1957" t="n">
        <v>91</v>
      </c>
      <c r="O1957" t="n">
        <v>0.91</v>
      </c>
      <c r="P1957" t="n">
        <v>1</v>
      </c>
      <c r="Q1957" t="n">
        <v>0.42</v>
      </c>
      <c r="R1957" t="n">
        <v>3</v>
      </c>
      <c r="S1957" t="n">
        <v>24014.9</v>
      </c>
      <c r="T1957" t="n">
        <v>25</v>
      </c>
      <c r="U1957" t="n">
        <v>26</v>
      </c>
      <c r="V1957" t="n">
        <v>30</v>
      </c>
      <c r="W1957" t="n">
        <v>8</v>
      </c>
      <c r="X1957" t="n">
        <v>30.31451307313377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11000</v>
      </c>
      <c r="AG1957" t="n">
        <v>33</v>
      </c>
      <c r="AH1957" t="inlineStr">
        <is>
          <t>PT. MENSA BINASUKSES - PPN (PDG)</t>
        </is>
      </c>
      <c r="AI1957" t="n">
        <v>301</v>
      </c>
      <c r="AJ1957" t="inlineStr">
        <is>
          <t>HADALABO</t>
        </is>
      </c>
      <c r="AK1957" t="n">
        <v>21</v>
      </c>
      <c r="AL1957" t="inlineStr">
        <is>
          <t>Miss Glam Damar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HADALABO</t>
        </is>
      </c>
      <c r="B1958" s="2">
        <f>"8992821102457"</f>
        <v/>
      </c>
      <c r="C1958" t="inlineStr">
        <is>
          <t>HADALABO Gokujyun Ultimate Antiaging Lotion 100ml</t>
        </is>
      </c>
      <c r="D1958" t="inlineStr">
        <is>
          <t>Miss Glam Damar</t>
        </is>
      </c>
      <c r="E1958" t="n">
        <v>8</v>
      </c>
      <c r="F1958" t="n">
        <v>0.06370000000000001</v>
      </c>
      <c r="G1958" t="n">
        <v>0.91</v>
      </c>
      <c r="H1958" t="n">
        <v>3</v>
      </c>
      <c r="I1958" t="n">
        <v>14</v>
      </c>
      <c r="J1958" t="n">
        <v>3</v>
      </c>
      <c r="K1958" t="n">
        <v>0</v>
      </c>
      <c r="L1958" t="n">
        <v>47103</v>
      </c>
      <c r="M1958" t="n">
        <v>57500</v>
      </c>
      <c r="N1958" t="n">
        <v>91</v>
      </c>
      <c r="O1958" t="n">
        <v>0.91</v>
      </c>
      <c r="P1958" t="n">
        <v>1</v>
      </c>
      <c r="Q1958" t="n">
        <v>0.12</v>
      </c>
      <c r="R1958" t="n">
        <v>1</v>
      </c>
      <c r="S1958" t="n">
        <v>3662.75</v>
      </c>
      <c r="T1958" t="n">
        <v>13</v>
      </c>
      <c r="U1958" t="n">
        <v>14</v>
      </c>
      <c r="V1958" t="n">
        <v>30</v>
      </c>
      <c r="W1958" t="n">
        <v>2</v>
      </c>
      <c r="X1958" t="n">
        <v>125.5886970172684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11000</v>
      </c>
      <c r="AG1958" t="n">
        <v>33</v>
      </c>
      <c r="AH1958" t="inlineStr">
        <is>
          <t>PT. MENSA BINASUKSES - PPN (PDG)</t>
        </is>
      </c>
      <c r="AI1958" t="n">
        <v>301</v>
      </c>
      <c r="AJ1958" t="inlineStr">
        <is>
          <t>HADALABO</t>
        </is>
      </c>
      <c r="AK1958" t="n">
        <v>21</v>
      </c>
      <c r="AL1958" t="inlineStr">
        <is>
          <t>Miss Glam Damar</t>
        </is>
      </c>
      <c r="AM1958" t="n">
        <v>3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HADALABO</t>
        </is>
      </c>
      <c r="B1959" s="2">
        <f>"8992821102464"</f>
        <v/>
      </c>
      <c r="C1959" t="inlineStr">
        <is>
          <t>HADALABO Gokujyun Ultimate Antiaging Milk 100ml</t>
        </is>
      </c>
      <c r="D1959" t="inlineStr">
        <is>
          <t>Miss Glam Damar</t>
        </is>
      </c>
      <c r="E1959" t="n">
        <v>0</v>
      </c>
      <c r="F1959" t="n">
        <v>0.1092</v>
      </c>
      <c r="G1959" t="n">
        <v>0.91</v>
      </c>
      <c r="H1959" t="n">
        <v>3</v>
      </c>
      <c r="I1959" t="n">
        <v>14</v>
      </c>
      <c r="J1959" t="n">
        <v>3</v>
      </c>
      <c r="K1959" t="n">
        <v>0</v>
      </c>
      <c r="L1959" t="n">
        <v>53247</v>
      </c>
      <c r="M1959" t="n">
        <v>65000</v>
      </c>
      <c r="N1959" t="n">
        <v>91</v>
      </c>
      <c r="O1959" t="n">
        <v>0.91</v>
      </c>
      <c r="P1959" t="n">
        <v>1</v>
      </c>
      <c r="Q1959" t="n">
        <v>0.13</v>
      </c>
      <c r="R1959" t="n">
        <v>1</v>
      </c>
      <c r="S1959" t="n">
        <v>7098</v>
      </c>
      <c r="T1959" t="n">
        <v>13</v>
      </c>
      <c r="U1959" t="n">
        <v>14</v>
      </c>
      <c r="V1959" t="n">
        <v>30</v>
      </c>
      <c r="W1959" t="n">
        <v>4</v>
      </c>
      <c r="X1959" t="n">
        <v>0</v>
      </c>
      <c r="Y1959" t="n">
        <v>1</v>
      </c>
      <c r="Z1959" t="n">
        <v>4</v>
      </c>
      <c r="AA1959" t="n">
        <v>2</v>
      </c>
      <c r="AB1959" t="n">
        <v>2</v>
      </c>
      <c r="AC1959" t="n">
        <v>3</v>
      </c>
      <c r="AD1959" t="n">
        <v>106494</v>
      </c>
      <c r="AE1959" t="n">
        <v>159741</v>
      </c>
      <c r="AF1959" t="n">
        <v>11000</v>
      </c>
      <c r="AG1959" t="n">
        <v>33</v>
      </c>
      <c r="AH1959" t="inlineStr">
        <is>
          <t>PT. MENSA BINASUKSES - PPN (PDG)</t>
        </is>
      </c>
      <c r="AI1959" t="n">
        <v>301</v>
      </c>
      <c r="AJ1959" t="inlineStr">
        <is>
          <t>HADALABO</t>
        </is>
      </c>
      <c r="AK1959" t="n">
        <v>21</v>
      </c>
      <c r="AL1959" t="inlineStr">
        <is>
          <t>Miss Glam Damar</t>
        </is>
      </c>
      <c r="AM1959" t="n">
        <v>3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HADALABO</t>
        </is>
      </c>
      <c r="B1960" s="2">
        <f>"8992821102730"</f>
        <v/>
      </c>
      <c r="C1960" t="inlineStr">
        <is>
          <t>HADALABO Gokujyun Ultimate Moisturizing Cleansing Oil 100ml</t>
        </is>
      </c>
      <c r="D1960" t="inlineStr">
        <is>
          <t>Miss Glam Damar</t>
        </is>
      </c>
      <c r="E1960" t="n">
        <v>30</v>
      </c>
      <c r="F1960" t="n">
        <v>0.7280000000000001</v>
      </c>
      <c r="G1960" t="n">
        <v>3.64</v>
      </c>
      <c r="H1960" t="n">
        <v>3</v>
      </c>
      <c r="I1960" t="n">
        <v>14</v>
      </c>
      <c r="J1960" t="n">
        <v>3</v>
      </c>
      <c r="K1960" t="n">
        <v>0</v>
      </c>
      <c r="L1960" t="n">
        <v>56933</v>
      </c>
      <c r="M1960" t="n">
        <v>70000</v>
      </c>
      <c r="N1960" t="n">
        <v>91</v>
      </c>
      <c r="O1960" t="n">
        <v>0.91</v>
      </c>
      <c r="P1960" t="n">
        <v>1</v>
      </c>
      <c r="Q1960" t="n">
        <v>0.59</v>
      </c>
      <c r="R1960" t="n">
        <v>3</v>
      </c>
      <c r="S1960" t="n">
        <v>50960.00000000001</v>
      </c>
      <c r="T1960" t="n">
        <v>49</v>
      </c>
      <c r="U1960" t="n">
        <v>52</v>
      </c>
      <c r="V1960" t="n">
        <v>30</v>
      </c>
      <c r="W1960" t="n">
        <v>22</v>
      </c>
      <c r="X1960" t="n">
        <v>41.2087912087912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11000</v>
      </c>
      <c r="AG1960" t="n">
        <v>33</v>
      </c>
      <c r="AH1960" t="inlineStr">
        <is>
          <t>PT. MENSA BINASUKSES - PPN (PDG)</t>
        </is>
      </c>
      <c r="AI1960" t="n">
        <v>301</v>
      </c>
      <c r="AJ1960" t="inlineStr">
        <is>
          <t>HADALABO</t>
        </is>
      </c>
      <c r="AK1960" t="n">
        <v>21</v>
      </c>
      <c r="AL1960" t="inlineStr">
        <is>
          <t>Miss Glam Damar</t>
        </is>
      </c>
      <c r="AM1960" t="n">
        <v>3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HADALABO</t>
        </is>
      </c>
      <c r="B1961" s="2">
        <f>"8992821101689"</f>
        <v/>
      </c>
      <c r="C1961" t="inlineStr">
        <is>
          <t>HADALABO Gokujyun Ultimate Moisturizing Face Wash 100gr</t>
        </is>
      </c>
      <c r="D1961" t="inlineStr">
        <is>
          <t>Miss Glam Damar</t>
        </is>
      </c>
      <c r="E1961" t="n">
        <v>91</v>
      </c>
      <c r="F1961" t="n">
        <v>12.922</v>
      </c>
      <c r="G1961" t="n">
        <v>40.04</v>
      </c>
      <c r="H1961" t="n">
        <v>3</v>
      </c>
      <c r="I1961" t="n">
        <v>14</v>
      </c>
      <c r="J1961" t="n">
        <v>3</v>
      </c>
      <c r="K1961" t="n">
        <v>0</v>
      </c>
      <c r="L1961" t="n">
        <v>36290</v>
      </c>
      <c r="M1961" t="n">
        <v>44500</v>
      </c>
      <c r="N1961" t="n">
        <v>91</v>
      </c>
      <c r="O1961" t="n">
        <v>0.91</v>
      </c>
      <c r="P1961" t="n">
        <v>1</v>
      </c>
      <c r="Q1961" t="n">
        <v>7.88</v>
      </c>
      <c r="R1961" t="n">
        <v>19</v>
      </c>
      <c r="S1961" t="n">
        <v>575029</v>
      </c>
      <c r="T1961" t="n">
        <v>522</v>
      </c>
      <c r="U1961" t="n">
        <v>561</v>
      </c>
      <c r="V1961" t="n">
        <v>30</v>
      </c>
      <c r="W1961" t="n">
        <v>388</v>
      </c>
      <c r="X1961" t="n">
        <v>7.04225352112676</v>
      </c>
      <c r="Y1961" t="n">
        <v>1</v>
      </c>
      <c r="Z1961" t="n">
        <v>297</v>
      </c>
      <c r="AA1961" t="n">
        <v>90</v>
      </c>
      <c r="AB1961" t="n">
        <v>207</v>
      </c>
      <c r="AC1961" t="n">
        <v>207</v>
      </c>
      <c r="AD1961" t="n">
        <v>3266100</v>
      </c>
      <c r="AE1961" t="n">
        <v>7512030</v>
      </c>
      <c r="AF1961" t="n">
        <v>11000</v>
      </c>
      <c r="AG1961" t="n">
        <v>33</v>
      </c>
      <c r="AH1961" t="inlineStr">
        <is>
          <t>PT. MENSA BINASUKSES - PPN (PDG)</t>
        </is>
      </c>
      <c r="AI1961" t="n">
        <v>301</v>
      </c>
      <c r="AJ1961" t="inlineStr">
        <is>
          <t>HADALABO</t>
        </is>
      </c>
      <c r="AK1961" t="n">
        <v>21</v>
      </c>
      <c r="AL1961" t="inlineStr">
        <is>
          <t>Miss Glam Damar</t>
        </is>
      </c>
      <c r="AM1961" t="n">
        <v>3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HADALABO</t>
        </is>
      </c>
      <c r="B1962" s="2">
        <f>"8992821101672"</f>
        <v/>
      </c>
      <c r="C1962" t="inlineStr">
        <is>
          <t>HADALABO Gokujyun Ultimate Moisturizing Face Wash 50gr</t>
        </is>
      </c>
      <c r="D1962" t="inlineStr">
        <is>
          <t>Miss Glam Damar</t>
        </is>
      </c>
      <c r="E1962" t="n">
        <v>40</v>
      </c>
      <c r="F1962" t="n">
        <v>9.327500000000001</v>
      </c>
      <c r="G1962" t="n">
        <v>19.11</v>
      </c>
      <c r="H1962" t="n">
        <v>3</v>
      </c>
      <c r="I1962" t="n">
        <v>14</v>
      </c>
      <c r="J1962" t="n">
        <v>3</v>
      </c>
      <c r="K1962" t="n">
        <v>0</v>
      </c>
      <c r="L1962" t="n">
        <v>22118</v>
      </c>
      <c r="M1962" t="n">
        <v>27000</v>
      </c>
      <c r="N1962" t="n">
        <v>91</v>
      </c>
      <c r="O1962" t="n">
        <v>0.91</v>
      </c>
      <c r="P1962" t="n">
        <v>1</v>
      </c>
      <c r="Q1962" t="n">
        <v>6.24</v>
      </c>
      <c r="R1962" t="n">
        <v>17</v>
      </c>
      <c r="S1962" t="n">
        <v>251842.5</v>
      </c>
      <c r="T1962" t="n">
        <v>240</v>
      </c>
      <c r="U1962" t="n">
        <v>268</v>
      </c>
      <c r="V1962" t="n">
        <v>30</v>
      </c>
      <c r="W1962" t="n">
        <v>280</v>
      </c>
      <c r="X1962" t="n">
        <v>4.288394532296971</v>
      </c>
      <c r="Y1962" t="n">
        <v>1</v>
      </c>
      <c r="Z1962" t="n">
        <v>240</v>
      </c>
      <c r="AA1962" t="n">
        <v>91</v>
      </c>
      <c r="AB1962" t="n">
        <v>149</v>
      </c>
      <c r="AC1962" t="n">
        <v>149</v>
      </c>
      <c r="AD1962" t="n">
        <v>2012738</v>
      </c>
      <c r="AE1962" t="n">
        <v>3295582</v>
      </c>
      <c r="AF1962" t="n">
        <v>11000</v>
      </c>
      <c r="AG1962" t="n">
        <v>33</v>
      </c>
      <c r="AH1962" t="inlineStr">
        <is>
          <t>PT. MENSA BINASUKSES - PPN (PDG)</t>
        </is>
      </c>
      <c r="AI1962" t="n">
        <v>301</v>
      </c>
      <c r="AJ1962" t="inlineStr">
        <is>
          <t>HADALABO</t>
        </is>
      </c>
      <c r="AK1962" t="n">
        <v>21</v>
      </c>
      <c r="AL1962" t="inlineStr">
        <is>
          <t>Miss Glam Damar</t>
        </is>
      </c>
      <c r="AM1962" t="n">
        <v>3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HADALABO</t>
        </is>
      </c>
      <c r="B1963" s="2">
        <f>"8992821102501"</f>
        <v/>
      </c>
      <c r="C1963" t="inlineStr">
        <is>
          <t>HADALABO Gokujyun Ultimate Moisturizing Light Lotion for Oily Skin 100ml</t>
        </is>
      </c>
      <c r="D1963" t="inlineStr">
        <is>
          <t>Miss Glam Damar</t>
        </is>
      </c>
      <c r="E1963" t="n">
        <v>9</v>
      </c>
      <c r="F1963" t="n">
        <v>1.3923</v>
      </c>
      <c r="G1963" t="n">
        <v>4.55</v>
      </c>
      <c r="H1963" t="n">
        <v>3</v>
      </c>
      <c r="I1963" t="n">
        <v>14</v>
      </c>
      <c r="J1963" t="n">
        <v>3</v>
      </c>
      <c r="K1963" t="n">
        <v>0</v>
      </c>
      <c r="L1963" t="n">
        <v>38092</v>
      </c>
      <c r="M1963" t="n">
        <v>46000</v>
      </c>
      <c r="N1963" t="n">
        <v>91</v>
      </c>
      <c r="O1963" t="n">
        <v>0.91</v>
      </c>
      <c r="P1963" t="n">
        <v>1</v>
      </c>
      <c r="Q1963" t="n">
        <v>0.78</v>
      </c>
      <c r="R1963" t="n">
        <v>4</v>
      </c>
      <c r="S1963" t="n">
        <v>64045.8</v>
      </c>
      <c r="T1963" t="n">
        <v>60</v>
      </c>
      <c r="U1963" t="n">
        <v>65</v>
      </c>
      <c r="V1963" t="n">
        <v>30</v>
      </c>
      <c r="W1963" t="n">
        <v>42</v>
      </c>
      <c r="X1963" t="n">
        <v>6.464124111182934</v>
      </c>
      <c r="Y1963" t="n">
        <v>1</v>
      </c>
      <c r="Z1963" t="n">
        <v>33</v>
      </c>
      <c r="AA1963" t="n">
        <v>11</v>
      </c>
      <c r="AB1963" t="n">
        <v>22</v>
      </c>
      <c r="AC1963" t="n">
        <v>22</v>
      </c>
      <c r="AD1963" t="n">
        <v>419012</v>
      </c>
      <c r="AE1963" t="n">
        <v>838024</v>
      </c>
      <c r="AF1963" t="n">
        <v>11000</v>
      </c>
      <c r="AG1963" t="n">
        <v>33</v>
      </c>
      <c r="AH1963" t="inlineStr">
        <is>
          <t>PT. MENSA BINASUKSES - PPN (PDG)</t>
        </is>
      </c>
      <c r="AI1963" t="n">
        <v>301</v>
      </c>
      <c r="AJ1963" t="inlineStr">
        <is>
          <t>HADALABO</t>
        </is>
      </c>
      <c r="AK1963" t="n">
        <v>21</v>
      </c>
      <c r="AL1963" t="inlineStr">
        <is>
          <t>Miss Glam Damar</t>
        </is>
      </c>
      <c r="AM1963" t="n">
        <v>3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HADALABO</t>
        </is>
      </c>
      <c r="B1964" s="2">
        <f>"8992821101696"</f>
        <v/>
      </c>
      <c r="C1964" t="inlineStr">
        <is>
          <t>HADALABO Gokujyun Ultimate Moisturizing Lotion for Dry Normal Skin 100ml</t>
        </is>
      </c>
      <c r="D1964" t="inlineStr">
        <is>
          <t>Miss Glam Damar</t>
        </is>
      </c>
      <c r="E1964" t="n">
        <v>19</v>
      </c>
      <c r="F1964" t="n">
        <v>1.1739</v>
      </c>
      <c r="G1964" t="n">
        <v>5.46</v>
      </c>
      <c r="H1964" t="n">
        <v>3</v>
      </c>
      <c r="I1964" t="n">
        <v>14</v>
      </c>
      <c r="J1964" t="n">
        <v>3</v>
      </c>
      <c r="K1964" t="n">
        <v>0</v>
      </c>
      <c r="L1964" t="n">
        <v>38092</v>
      </c>
      <c r="M1964" t="n">
        <v>46000</v>
      </c>
      <c r="N1964" t="n">
        <v>91</v>
      </c>
      <c r="O1964" t="n">
        <v>0.91</v>
      </c>
      <c r="P1964" t="n">
        <v>1</v>
      </c>
      <c r="Q1964" t="n">
        <v>0.93</v>
      </c>
      <c r="R1964" t="n">
        <v>3</v>
      </c>
      <c r="S1964" t="n">
        <v>53999.40000000001</v>
      </c>
      <c r="T1964" t="n">
        <v>73</v>
      </c>
      <c r="U1964" t="n">
        <v>77</v>
      </c>
      <c r="V1964" t="n">
        <v>30</v>
      </c>
      <c r="W1964" t="n">
        <v>36</v>
      </c>
      <c r="X1964" t="n">
        <v>16.18536502257432</v>
      </c>
      <c r="Y1964" t="n">
        <v>1</v>
      </c>
      <c r="Z1964" t="n">
        <v>17</v>
      </c>
      <c r="AA1964" t="n">
        <v>0</v>
      </c>
      <c r="AB1964" t="n">
        <v>17</v>
      </c>
      <c r="AC1964" t="n">
        <v>17</v>
      </c>
      <c r="AD1964" t="n">
        <v>0</v>
      </c>
      <c r="AE1964" t="n">
        <v>647564</v>
      </c>
      <c r="AF1964" t="n">
        <v>11000</v>
      </c>
      <c r="AG1964" t="n">
        <v>33</v>
      </c>
      <c r="AH1964" t="inlineStr">
        <is>
          <t>PT. MENSA BINASUKSES - PPN (PDG)</t>
        </is>
      </c>
      <c r="AI1964" t="n">
        <v>301</v>
      </c>
      <c r="AJ1964" t="inlineStr">
        <is>
          <t>HADALABO</t>
        </is>
      </c>
      <c r="AK1964" t="n">
        <v>21</v>
      </c>
      <c r="AL1964" t="inlineStr">
        <is>
          <t>Miss Glam Damar</t>
        </is>
      </c>
      <c r="AM1964" t="n">
        <v>3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HADALABO</t>
        </is>
      </c>
      <c r="B1965" s="2">
        <f>"8992821101702"</f>
        <v/>
      </c>
      <c r="C1965" t="inlineStr">
        <is>
          <t>HADALABO Gokujyun Ultimate Moisturizing Milk 100ml</t>
        </is>
      </c>
      <c r="D1965" t="inlineStr">
        <is>
          <t>Miss Glam Damar</t>
        </is>
      </c>
      <c r="E1965" t="n">
        <v>35</v>
      </c>
      <c r="F1965" t="n">
        <v>2.2022</v>
      </c>
      <c r="G1965" t="n">
        <v>7.28</v>
      </c>
      <c r="H1965" t="n">
        <v>3</v>
      </c>
      <c r="I1965" t="n">
        <v>14</v>
      </c>
      <c r="J1965" t="n">
        <v>3</v>
      </c>
      <c r="K1965" t="n">
        <v>0</v>
      </c>
      <c r="L1965" t="n">
        <v>46284</v>
      </c>
      <c r="M1965" t="n">
        <v>56000</v>
      </c>
      <c r="N1965" t="n">
        <v>91</v>
      </c>
      <c r="O1965" t="n">
        <v>0.91</v>
      </c>
      <c r="P1965" t="n">
        <v>1</v>
      </c>
      <c r="Q1965" t="n">
        <v>1.47</v>
      </c>
      <c r="R1965" t="n">
        <v>7</v>
      </c>
      <c r="S1965" t="n">
        <v>123323.2</v>
      </c>
      <c r="T1965" t="n">
        <v>96</v>
      </c>
      <c r="U1965" t="n">
        <v>103</v>
      </c>
      <c r="V1965" t="n">
        <v>30</v>
      </c>
      <c r="W1965" t="n">
        <v>67</v>
      </c>
      <c r="X1965" t="n">
        <v>15.89319771137953</v>
      </c>
      <c r="Y1965" t="n">
        <v>1</v>
      </c>
      <c r="Z1965" t="n">
        <v>32</v>
      </c>
      <c r="AA1965" t="n">
        <v>0</v>
      </c>
      <c r="AB1965" t="n">
        <v>32</v>
      </c>
      <c r="AC1965" t="n">
        <v>32</v>
      </c>
      <c r="AD1965" t="n">
        <v>0</v>
      </c>
      <c r="AE1965" t="n">
        <v>1481088</v>
      </c>
      <c r="AF1965" t="n">
        <v>11000</v>
      </c>
      <c r="AG1965" t="n">
        <v>33</v>
      </c>
      <c r="AH1965" t="inlineStr">
        <is>
          <t>PT. MENSA BINASUKSES - PPN (PDG)</t>
        </is>
      </c>
      <c r="AI1965" t="n">
        <v>301</v>
      </c>
      <c r="AJ1965" t="inlineStr">
        <is>
          <t>HADALABO</t>
        </is>
      </c>
      <c r="AK1965" t="n">
        <v>21</v>
      </c>
      <c r="AL1965" t="inlineStr">
        <is>
          <t>Miss Glam Damar</t>
        </is>
      </c>
      <c r="AM1965" t="n">
        <v>3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HADALABO</t>
        </is>
      </c>
      <c r="B1966" s="2">
        <f>"8992821103935"</f>
        <v/>
      </c>
      <c r="C1966" t="inlineStr">
        <is>
          <t>HADALABO Gokujyung a Premium Ultimate Anti Aging Lotion 100ml</t>
        </is>
      </c>
      <c r="D1966" t="inlineStr">
        <is>
          <t>Miss Glam Damar</t>
        </is>
      </c>
      <c r="E1966" t="n">
        <v>10</v>
      </c>
      <c r="F1966" t="n">
        <v>0.0182</v>
      </c>
      <c r="G1966" t="n">
        <v>0.91</v>
      </c>
      <c r="H1966" t="n">
        <v>3</v>
      </c>
      <c r="I1966" t="n">
        <v>14</v>
      </c>
      <c r="J1966" t="n">
        <v>3</v>
      </c>
      <c r="K1966" t="n">
        <v>0</v>
      </c>
      <c r="L1966" t="n">
        <v>83556</v>
      </c>
      <c r="M1966" t="n">
        <v>102000</v>
      </c>
      <c r="N1966" t="n">
        <v>91</v>
      </c>
      <c r="O1966" t="n">
        <v>0.91</v>
      </c>
      <c r="P1966" t="n">
        <v>1</v>
      </c>
      <c r="Q1966" t="n">
        <v>0.1</v>
      </c>
      <c r="R1966" t="n">
        <v>1</v>
      </c>
      <c r="S1966" t="n">
        <v>1856.4</v>
      </c>
      <c r="T1966" t="n">
        <v>13</v>
      </c>
      <c r="U1966" t="n">
        <v>14</v>
      </c>
      <c r="V1966" t="n">
        <v>30</v>
      </c>
      <c r="W1966" t="n">
        <v>1</v>
      </c>
      <c r="X1966" t="n">
        <v>549.4505494505494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11000</v>
      </c>
      <c r="AG1966" t="n">
        <v>33</v>
      </c>
      <c r="AH1966" t="inlineStr">
        <is>
          <t>PT. MENSA BINASUKSES - PPN (PDG)</t>
        </is>
      </c>
      <c r="AI1966" t="n">
        <v>301</v>
      </c>
      <c r="AJ1966" t="inlineStr">
        <is>
          <t>HADALABO</t>
        </is>
      </c>
      <c r="AK1966" t="n">
        <v>21</v>
      </c>
      <c r="AL1966" t="inlineStr">
        <is>
          <t>Miss Glam Damar</t>
        </is>
      </c>
      <c r="AM1966" t="n">
        <v>3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HADALABO</t>
        </is>
      </c>
      <c r="B1967" s="2">
        <f>"8992821103010"</f>
        <v/>
      </c>
      <c r="C1967" t="inlineStr">
        <is>
          <t>HADALABO Perfect 3D Gel 40gr</t>
        </is>
      </c>
      <c r="D1967" t="inlineStr">
        <is>
          <t>Miss Glam Damar</t>
        </is>
      </c>
      <c r="E1967" t="n">
        <v>16</v>
      </c>
      <c r="F1967" t="n">
        <v>0.4823000000000001</v>
      </c>
      <c r="G1967" t="n">
        <v>2.73</v>
      </c>
      <c r="H1967" t="n">
        <v>3</v>
      </c>
      <c r="I1967" t="n">
        <v>14</v>
      </c>
      <c r="J1967" t="n">
        <v>3</v>
      </c>
      <c r="K1967" t="n">
        <v>0</v>
      </c>
      <c r="L1967" t="n">
        <v>93387</v>
      </c>
      <c r="M1967" t="n">
        <v>114000</v>
      </c>
      <c r="N1967" t="n">
        <v>91</v>
      </c>
      <c r="O1967" t="n">
        <v>0.91</v>
      </c>
      <c r="P1967" t="n">
        <v>1</v>
      </c>
      <c r="Q1967" t="n">
        <v>0.58</v>
      </c>
      <c r="R1967" t="n">
        <v>2</v>
      </c>
      <c r="S1967" t="n">
        <v>54982.2</v>
      </c>
      <c r="T1967" t="n">
        <v>37</v>
      </c>
      <c r="U1967" t="n">
        <v>39</v>
      </c>
      <c r="V1967" t="n">
        <v>30</v>
      </c>
      <c r="W1967" t="n">
        <v>15</v>
      </c>
      <c r="X1967" t="n">
        <v>33.1743727970143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11000</v>
      </c>
      <c r="AG1967" t="n">
        <v>33</v>
      </c>
      <c r="AH1967" t="inlineStr">
        <is>
          <t>PT. MENSA BINASUKSES - PPN (PDG)</t>
        </is>
      </c>
      <c r="AI1967" t="n">
        <v>301</v>
      </c>
      <c r="AJ1967" t="inlineStr">
        <is>
          <t>HADALABO</t>
        </is>
      </c>
      <c r="AK1967" t="n">
        <v>21</v>
      </c>
      <c r="AL1967" t="inlineStr">
        <is>
          <t>Miss Glam Damar</t>
        </is>
      </c>
      <c r="AM1967" t="n">
        <v>3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HADALABO</t>
        </is>
      </c>
      <c r="B1968" s="2">
        <f>"8992821102716"</f>
        <v/>
      </c>
      <c r="C1968" t="inlineStr">
        <is>
          <t>HADALABO perfect x simple Starter Pack Gokujyun Alpha Ultimate Anti Aging</t>
        </is>
      </c>
      <c r="D1968" t="inlineStr">
        <is>
          <t>Miss Glam Damar</t>
        </is>
      </c>
      <c r="E1968" t="n">
        <v>12</v>
      </c>
      <c r="F1968" t="n">
        <v>0.1547</v>
      </c>
      <c r="G1968" t="n">
        <v>1.82</v>
      </c>
      <c r="H1968" t="n">
        <v>3</v>
      </c>
      <c r="I1968" t="n">
        <v>14</v>
      </c>
      <c r="J1968" t="n">
        <v>3</v>
      </c>
      <c r="K1968" t="n">
        <v>0</v>
      </c>
      <c r="L1968" t="n">
        <v>37682</v>
      </c>
      <c r="M1968" t="n">
        <v>47500</v>
      </c>
      <c r="N1968" t="n">
        <v>91</v>
      </c>
      <c r="O1968" t="n">
        <v>0.91</v>
      </c>
      <c r="P1968" t="n">
        <v>1</v>
      </c>
      <c r="Q1968" t="n">
        <v>0.12</v>
      </c>
      <c r="R1968" t="n">
        <v>1</v>
      </c>
      <c r="S1968" t="n">
        <v>7348.25</v>
      </c>
      <c r="T1968" t="n">
        <v>26</v>
      </c>
      <c r="U1968" t="n">
        <v>27</v>
      </c>
      <c r="V1968" t="n">
        <v>30</v>
      </c>
      <c r="W1968" t="n">
        <v>5</v>
      </c>
      <c r="X1968" t="n">
        <v>77.56948933419521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11000</v>
      </c>
      <c r="AG1968" t="n">
        <v>33</v>
      </c>
      <c r="AH1968" t="inlineStr">
        <is>
          <t>PT. MENSA BINASUKSES - PPN (PDG)</t>
        </is>
      </c>
      <c r="AI1968" t="n">
        <v>301</v>
      </c>
      <c r="AJ1968" t="inlineStr">
        <is>
          <t>HADALABO</t>
        </is>
      </c>
      <c r="AK1968" t="n">
        <v>21</v>
      </c>
      <c r="AL1968" t="inlineStr">
        <is>
          <t>Miss Glam Damar</t>
        </is>
      </c>
      <c r="AM1968" t="n">
        <v>3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HADALABO</t>
        </is>
      </c>
      <c r="B1969" s="2">
        <f>"8992821104048"</f>
        <v/>
      </c>
      <c r="C1969" t="inlineStr">
        <is>
          <t>HADALABO Shirojyun Premium Ultimate Whitening Serum 20ml</t>
        </is>
      </c>
      <c r="D1969" t="inlineStr">
        <is>
          <t>Miss Glam Damar</t>
        </is>
      </c>
      <c r="E1969" t="n">
        <v>4</v>
      </c>
      <c r="F1969" t="n">
        <v>0.1274</v>
      </c>
      <c r="G1969" t="n">
        <v>1.82</v>
      </c>
      <c r="H1969" t="n">
        <v>3</v>
      </c>
      <c r="I1969" t="n">
        <v>14</v>
      </c>
      <c r="J1969" t="n">
        <v>3</v>
      </c>
      <c r="K1969" t="n">
        <v>0</v>
      </c>
      <c r="L1969" t="n">
        <v>83556</v>
      </c>
      <c r="M1969" t="n">
        <v>112000</v>
      </c>
      <c r="N1969" t="n">
        <v>91</v>
      </c>
      <c r="O1969" t="n">
        <v>0.91</v>
      </c>
      <c r="P1969" t="n">
        <v>1</v>
      </c>
      <c r="Q1969" t="n">
        <v>0.05</v>
      </c>
      <c r="R1969" t="n">
        <v>1</v>
      </c>
      <c r="S1969" t="n">
        <v>14268.8</v>
      </c>
      <c r="T1969" t="n">
        <v>26</v>
      </c>
      <c r="U1969" t="n">
        <v>27</v>
      </c>
      <c r="V1969" t="n">
        <v>30</v>
      </c>
      <c r="W1969" t="n">
        <v>4</v>
      </c>
      <c r="X1969" t="n">
        <v>31.39717425431711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11000</v>
      </c>
      <c r="AG1969" t="n">
        <v>33</v>
      </c>
      <c r="AH1969" t="inlineStr">
        <is>
          <t>PT. MENSA BINASUKSES - PPN (PDG)</t>
        </is>
      </c>
      <c r="AI1969" t="n">
        <v>301</v>
      </c>
      <c r="AJ1969" t="inlineStr">
        <is>
          <t>HADALABO</t>
        </is>
      </c>
      <c r="AK1969" t="n">
        <v>21</v>
      </c>
      <c r="AL1969" t="inlineStr">
        <is>
          <t>Miss Glam Damar</t>
        </is>
      </c>
      <c r="AM1969" t="n">
        <v>3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HADALABO</t>
        </is>
      </c>
      <c r="B1970" s="2">
        <f>"8992821102600"</f>
        <v/>
      </c>
      <c r="C1970" t="inlineStr">
        <is>
          <t>HADALABO Shirojyun Ultimate Whitening Cream 40g</t>
        </is>
      </c>
      <c r="D1970" t="inlineStr">
        <is>
          <t>Miss Glam Damar</t>
        </is>
      </c>
      <c r="E1970" t="n">
        <v>9</v>
      </c>
      <c r="F1970" t="n">
        <v>0.17</v>
      </c>
      <c r="G1970" t="n">
        <v>2</v>
      </c>
      <c r="H1970" t="n">
        <v>3</v>
      </c>
      <c r="I1970" t="n">
        <v>14</v>
      </c>
      <c r="J1970" t="n">
        <v>3</v>
      </c>
      <c r="K1970" t="n">
        <v>0</v>
      </c>
      <c r="L1970" t="n">
        <v>68811</v>
      </c>
      <c r="M1970" t="n">
        <v>84000</v>
      </c>
      <c r="N1970" t="n">
        <v>91</v>
      </c>
      <c r="O1970" t="n">
        <v>0.91</v>
      </c>
      <c r="P1970" t="n">
        <v>0</v>
      </c>
      <c r="Q1970" t="n">
        <v>0.17</v>
      </c>
      <c r="R1970" t="n">
        <v>2</v>
      </c>
      <c r="S1970" t="n">
        <v>14280</v>
      </c>
      <c r="T1970" t="n">
        <v>28</v>
      </c>
      <c r="U1970" t="n">
        <v>29</v>
      </c>
      <c r="V1970" t="n">
        <v>30</v>
      </c>
      <c r="W1970" t="n">
        <v>6</v>
      </c>
      <c r="X1970" t="n">
        <v>52.94117647058823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11000</v>
      </c>
      <c r="AG1970" t="n">
        <v>33</v>
      </c>
      <c r="AH1970" t="inlineStr">
        <is>
          <t>PT. MENSA BINASUKSES - PPN (PDG)</t>
        </is>
      </c>
      <c r="AI1970" t="n">
        <v>301</v>
      </c>
      <c r="AJ1970" t="inlineStr">
        <is>
          <t>HADALABO</t>
        </is>
      </c>
      <c r="AK1970" t="n">
        <v>21</v>
      </c>
      <c r="AL1970" t="inlineStr">
        <is>
          <t>Miss Glam Damar</t>
        </is>
      </c>
      <c r="AM1970" t="n">
        <v>3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HADALABO</t>
        </is>
      </c>
      <c r="B1971" s="2">
        <f>"8992821101771"</f>
        <v/>
      </c>
      <c r="C1971" t="inlineStr">
        <is>
          <t>HADALABO Shirojyun Ultimate Whitening Essence 30g</t>
        </is>
      </c>
      <c r="D1971" t="inlineStr">
        <is>
          <t>Miss Glam Damar</t>
        </is>
      </c>
      <c r="E1971" t="n">
        <v>6</v>
      </c>
      <c r="F1971" t="n">
        <v>0.0273</v>
      </c>
      <c r="G1971" t="n">
        <v>0.91</v>
      </c>
      <c r="H1971" t="n">
        <v>3</v>
      </c>
      <c r="I1971" t="n">
        <v>14</v>
      </c>
      <c r="J1971" t="n">
        <v>3</v>
      </c>
      <c r="K1971" t="n">
        <v>0</v>
      </c>
      <c r="L1971" t="n">
        <v>114685</v>
      </c>
      <c r="M1971" t="n">
        <v>140000</v>
      </c>
      <c r="N1971" t="n">
        <v>91</v>
      </c>
      <c r="O1971" t="n">
        <v>0.91</v>
      </c>
      <c r="P1971" t="n">
        <v>1</v>
      </c>
      <c r="Q1971" t="n">
        <v>0.02</v>
      </c>
      <c r="R1971" t="n">
        <v>1</v>
      </c>
      <c r="S1971" t="n">
        <v>3822</v>
      </c>
      <c r="T1971" t="n">
        <v>13</v>
      </c>
      <c r="U1971" t="n">
        <v>14</v>
      </c>
      <c r="V1971" t="n">
        <v>30</v>
      </c>
      <c r="W1971" t="n">
        <v>1</v>
      </c>
      <c r="X1971" t="n">
        <v>219.7802197802198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11000</v>
      </c>
      <c r="AG1971" t="n">
        <v>33</v>
      </c>
      <c r="AH1971" t="inlineStr">
        <is>
          <t>PT. MENSA BINASUKSES - PPN (PDG)</t>
        </is>
      </c>
      <c r="AI1971" t="n">
        <v>301</v>
      </c>
      <c r="AJ1971" t="inlineStr">
        <is>
          <t>HADALABO</t>
        </is>
      </c>
      <c r="AK1971" t="n">
        <v>21</v>
      </c>
      <c r="AL1971" t="inlineStr">
        <is>
          <t>Miss Glam Damar</t>
        </is>
      </c>
      <c r="AM1971" t="n">
        <v>3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HADALABO</t>
        </is>
      </c>
      <c r="B1972" s="2">
        <f>"8992821101757"</f>
        <v/>
      </c>
      <c r="C1972" t="inlineStr">
        <is>
          <t>HADALABO Shirojyun Ultimate Whitening Face Wash 100gr</t>
        </is>
      </c>
      <c r="D1972" t="inlineStr">
        <is>
          <t>Miss Glam Damar</t>
        </is>
      </c>
      <c r="E1972" t="n">
        <v>49</v>
      </c>
      <c r="F1972" t="n">
        <v>6.8341</v>
      </c>
      <c r="G1972" t="n">
        <v>15.47</v>
      </c>
      <c r="H1972" t="n">
        <v>3</v>
      </c>
      <c r="I1972" t="n">
        <v>14</v>
      </c>
      <c r="J1972" t="n">
        <v>3</v>
      </c>
      <c r="K1972" t="n">
        <v>0</v>
      </c>
      <c r="L1972" t="n">
        <v>36290</v>
      </c>
      <c r="M1972" t="n">
        <v>44500</v>
      </c>
      <c r="N1972" t="n">
        <v>91</v>
      </c>
      <c r="O1972" t="n">
        <v>0.91</v>
      </c>
      <c r="P1972" t="n">
        <v>1</v>
      </c>
      <c r="Q1972" t="n">
        <v>3.58</v>
      </c>
      <c r="R1972" t="n">
        <v>11</v>
      </c>
      <c r="S1972" t="n">
        <v>304117.45</v>
      </c>
      <c r="T1972" t="n">
        <v>197</v>
      </c>
      <c r="U1972" t="n">
        <v>218</v>
      </c>
      <c r="V1972" t="n">
        <v>30</v>
      </c>
      <c r="W1972" t="n">
        <v>206</v>
      </c>
      <c r="X1972" t="n">
        <v>7.16992727645191</v>
      </c>
      <c r="Y1972" t="n">
        <v>1</v>
      </c>
      <c r="Z1972" t="n">
        <v>157</v>
      </c>
      <c r="AA1972" t="n">
        <v>47</v>
      </c>
      <c r="AB1972" t="n">
        <v>110</v>
      </c>
      <c r="AC1972" t="n">
        <v>110</v>
      </c>
      <c r="AD1972" t="n">
        <v>1705630</v>
      </c>
      <c r="AE1972" t="n">
        <v>3991900</v>
      </c>
      <c r="AF1972" t="n">
        <v>11000</v>
      </c>
      <c r="AG1972" t="n">
        <v>33</v>
      </c>
      <c r="AH1972" t="inlineStr">
        <is>
          <t>PT. MENSA BINASUKSES - PPN (PDG)</t>
        </is>
      </c>
      <c r="AI1972" t="n">
        <v>301</v>
      </c>
      <c r="AJ1972" t="inlineStr">
        <is>
          <t>HADALABO</t>
        </is>
      </c>
      <c r="AK1972" t="n">
        <v>21</v>
      </c>
      <c r="AL1972" t="inlineStr">
        <is>
          <t>Miss Glam Damar</t>
        </is>
      </c>
      <c r="AM1972" t="n">
        <v>3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HADALABO</t>
        </is>
      </c>
      <c r="B1973" s="2">
        <f>"8992821101740"</f>
        <v/>
      </c>
      <c r="C1973" t="inlineStr">
        <is>
          <t>HADALABO Shirojyun Ultimate Whitening Face Wash 50gr</t>
        </is>
      </c>
      <c r="D1973" t="inlineStr">
        <is>
          <t>Miss Glam Damar</t>
        </is>
      </c>
      <c r="E1973" t="n">
        <v>33</v>
      </c>
      <c r="F1973" t="n">
        <v>8.590400000000001</v>
      </c>
      <c r="G1973" t="n">
        <v>17.29</v>
      </c>
      <c r="H1973" t="n">
        <v>3</v>
      </c>
      <c r="I1973" t="n">
        <v>14</v>
      </c>
      <c r="J1973" t="n">
        <v>3</v>
      </c>
      <c r="K1973" t="n">
        <v>0</v>
      </c>
      <c r="L1973" t="n">
        <v>22118</v>
      </c>
      <c r="M1973" t="n">
        <v>27000</v>
      </c>
      <c r="N1973" t="n">
        <v>91</v>
      </c>
      <c r="O1973" t="n">
        <v>0.91</v>
      </c>
      <c r="P1973" t="n">
        <v>1</v>
      </c>
      <c r="Q1973" t="n">
        <v>4.68</v>
      </c>
      <c r="R1973" t="n">
        <v>10</v>
      </c>
      <c r="S1973" t="n">
        <v>231940.8</v>
      </c>
      <c r="T1973" t="n">
        <v>217</v>
      </c>
      <c r="U1973" t="n">
        <v>243</v>
      </c>
      <c r="V1973" t="n">
        <v>30</v>
      </c>
      <c r="W1973" t="n">
        <v>258</v>
      </c>
      <c r="X1973" t="n">
        <v>3.841497485565282</v>
      </c>
      <c r="Y1973" t="n">
        <v>1</v>
      </c>
      <c r="Z1973" t="n">
        <v>225</v>
      </c>
      <c r="AA1973" t="n">
        <v>88</v>
      </c>
      <c r="AB1973" t="n">
        <v>137</v>
      </c>
      <c r="AC1973" t="n">
        <v>137</v>
      </c>
      <c r="AD1973" t="n">
        <v>1946384</v>
      </c>
      <c r="AE1973" t="n">
        <v>3030166</v>
      </c>
      <c r="AF1973" t="n">
        <v>11000</v>
      </c>
      <c r="AG1973" t="n">
        <v>33</v>
      </c>
      <c r="AH1973" t="inlineStr">
        <is>
          <t>PT. MENSA BINASUKSES - PPN (PDG)</t>
        </is>
      </c>
      <c r="AI1973" t="n">
        <v>301</v>
      </c>
      <c r="AJ1973" t="inlineStr">
        <is>
          <t>HADALABO</t>
        </is>
      </c>
      <c r="AK1973" t="n">
        <v>21</v>
      </c>
      <c r="AL1973" t="inlineStr">
        <is>
          <t>Miss Glam Damar</t>
        </is>
      </c>
      <c r="AM1973" t="n">
        <v>3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HADALABO</t>
        </is>
      </c>
      <c r="B1974" s="2">
        <f>"8992821101764"</f>
        <v/>
      </c>
      <c r="C1974" t="inlineStr">
        <is>
          <t>HADALABO Shirojyun Ultimate Whitening Lotion 100ml</t>
        </is>
      </c>
      <c r="D1974" t="inlineStr">
        <is>
          <t>Miss Glam Damar</t>
        </is>
      </c>
      <c r="E1974" t="n">
        <v>19</v>
      </c>
      <c r="F1974" t="n">
        <v>0.4823000000000001</v>
      </c>
      <c r="G1974" t="n">
        <v>2.73</v>
      </c>
      <c r="H1974" t="n">
        <v>3</v>
      </c>
      <c r="I1974" t="n">
        <v>14</v>
      </c>
      <c r="J1974" t="n">
        <v>3</v>
      </c>
      <c r="K1974" t="n">
        <v>0</v>
      </c>
      <c r="L1974" t="n">
        <v>46693</v>
      </c>
      <c r="M1974" t="n">
        <v>57000</v>
      </c>
      <c r="N1974" t="n">
        <v>91</v>
      </c>
      <c r="O1974" t="n">
        <v>0.91</v>
      </c>
      <c r="P1974" t="n">
        <v>1</v>
      </c>
      <c r="Q1974" t="n">
        <v>0.64</v>
      </c>
      <c r="R1974" t="n">
        <v>5</v>
      </c>
      <c r="S1974" t="n">
        <v>27491.1</v>
      </c>
      <c r="T1974" t="n">
        <v>37</v>
      </c>
      <c r="U1974" t="n">
        <v>39</v>
      </c>
      <c r="V1974" t="n">
        <v>30</v>
      </c>
      <c r="W1974" t="n">
        <v>15</v>
      </c>
      <c r="X1974" t="n">
        <v>39.39456769645449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11000</v>
      </c>
      <c r="AG1974" t="n">
        <v>33</v>
      </c>
      <c r="AH1974" t="inlineStr">
        <is>
          <t>PT. MENSA BINASUKSES - PPN (PDG)</t>
        </is>
      </c>
      <c r="AI1974" t="n">
        <v>301</v>
      </c>
      <c r="AJ1974" t="inlineStr">
        <is>
          <t>HADALABO</t>
        </is>
      </c>
      <c r="AK1974" t="n">
        <v>21</v>
      </c>
      <c r="AL1974" t="inlineStr">
        <is>
          <t>Miss Glam Damar</t>
        </is>
      </c>
      <c r="AM1974" t="n">
        <v>3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HADALABO</t>
        </is>
      </c>
      <c r="B1975" s="2">
        <f>"8992821101788"</f>
        <v/>
      </c>
      <c r="C1975" t="inlineStr">
        <is>
          <t>HADALABO Shirojyun Ultimate Whitening Milk 100ml</t>
        </is>
      </c>
      <c r="D1975" t="inlineStr">
        <is>
          <t>Miss Glam Damar</t>
        </is>
      </c>
      <c r="E1975" t="n">
        <v>3</v>
      </c>
      <c r="F1975" t="n">
        <v>1.2194</v>
      </c>
      <c r="G1975" t="n">
        <v>4.55</v>
      </c>
      <c r="H1975" t="n">
        <v>3</v>
      </c>
      <c r="I1975" t="n">
        <v>14</v>
      </c>
      <c r="J1975" t="n">
        <v>3</v>
      </c>
      <c r="K1975" t="n">
        <v>0</v>
      </c>
      <c r="L1975" t="n">
        <v>54885</v>
      </c>
      <c r="M1975" t="n">
        <v>67000</v>
      </c>
      <c r="N1975" t="n">
        <v>91</v>
      </c>
      <c r="O1975" t="n">
        <v>0.91</v>
      </c>
      <c r="P1975" t="n">
        <v>1</v>
      </c>
      <c r="Q1975" t="n">
        <v>0.58</v>
      </c>
      <c r="R1975" t="n">
        <v>4</v>
      </c>
      <c r="S1975" t="n">
        <v>81699.8</v>
      </c>
      <c r="T1975" t="n">
        <v>61</v>
      </c>
      <c r="U1975" t="n">
        <v>65</v>
      </c>
      <c r="V1975" t="n">
        <v>30</v>
      </c>
      <c r="W1975" t="n">
        <v>37</v>
      </c>
      <c r="X1975" t="n">
        <v>2.460226340823356</v>
      </c>
      <c r="Y1975" t="n">
        <v>1</v>
      </c>
      <c r="Z1975" t="n">
        <v>34</v>
      </c>
      <c r="AA1975" t="n">
        <v>15</v>
      </c>
      <c r="AB1975" t="n">
        <v>19</v>
      </c>
      <c r="AC1975" t="n">
        <v>19</v>
      </c>
      <c r="AD1975" t="n">
        <v>823275</v>
      </c>
      <c r="AE1975" t="n">
        <v>1042815</v>
      </c>
      <c r="AF1975" t="n">
        <v>11000</v>
      </c>
      <c r="AG1975" t="n">
        <v>33</v>
      </c>
      <c r="AH1975" t="inlineStr">
        <is>
          <t>PT. MENSA BINASUKSES - PPN (PDG)</t>
        </is>
      </c>
      <c r="AI1975" t="n">
        <v>301</v>
      </c>
      <c r="AJ1975" t="inlineStr">
        <is>
          <t>HADALABO</t>
        </is>
      </c>
      <c r="AK1975" t="n">
        <v>21</v>
      </c>
      <c r="AL1975" t="inlineStr">
        <is>
          <t>Miss Glam Damar</t>
        </is>
      </c>
      <c r="AM1975" t="n">
        <v>3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HADALABO</t>
        </is>
      </c>
      <c r="B1976" s="2">
        <f>"8992821102709"</f>
        <v/>
      </c>
      <c r="C1976" t="inlineStr">
        <is>
          <t>HADALABO Starter Pack Shirojyun  Whitening 20g</t>
        </is>
      </c>
      <c r="D1976" t="inlineStr">
        <is>
          <t>Miss Glam Damar</t>
        </is>
      </c>
      <c r="E1976" t="n">
        <v>4</v>
      </c>
      <c r="F1976" t="n">
        <v>0.5277999999999999</v>
      </c>
      <c r="G1976" t="n">
        <v>3.64</v>
      </c>
      <c r="H1976" t="n">
        <v>3</v>
      </c>
      <c r="I1976" t="n">
        <v>14</v>
      </c>
      <c r="J1976" t="n">
        <v>3</v>
      </c>
      <c r="K1976" t="n">
        <v>0</v>
      </c>
      <c r="L1976" t="n">
        <v>37682</v>
      </c>
      <c r="M1976" t="n">
        <v>46000</v>
      </c>
      <c r="N1976" t="n">
        <v>91</v>
      </c>
      <c r="O1976" t="n">
        <v>0.91</v>
      </c>
      <c r="P1976" t="n">
        <v>1</v>
      </c>
      <c r="Q1976" t="n">
        <v>0.49</v>
      </c>
      <c r="R1976" t="n">
        <v>2</v>
      </c>
      <c r="S1976" t="n">
        <v>24278.8</v>
      </c>
      <c r="T1976" t="n">
        <v>50</v>
      </c>
      <c r="U1976" t="n">
        <v>52</v>
      </c>
      <c r="V1976" t="n">
        <v>30</v>
      </c>
      <c r="W1976" t="n">
        <v>16</v>
      </c>
      <c r="X1976" t="n">
        <v>7.578628268283442</v>
      </c>
      <c r="Y1976" t="n">
        <v>1</v>
      </c>
      <c r="Z1976" t="n">
        <v>12</v>
      </c>
      <c r="AA1976" t="n">
        <v>4</v>
      </c>
      <c r="AB1976" t="n">
        <v>8</v>
      </c>
      <c r="AC1976" t="n">
        <v>8</v>
      </c>
      <c r="AD1976" t="n">
        <v>150728</v>
      </c>
      <c r="AE1976" t="n">
        <v>301456</v>
      </c>
      <c r="AF1976" t="n">
        <v>11000</v>
      </c>
      <c r="AG1976" t="n">
        <v>33</v>
      </c>
      <c r="AH1976" t="inlineStr">
        <is>
          <t>PT. MENSA BINASUKSES - PPN (PDG)</t>
        </is>
      </c>
      <c r="AI1976" t="n">
        <v>301</v>
      </c>
      <c r="AJ1976" t="inlineStr">
        <is>
          <t>HADALABO</t>
        </is>
      </c>
      <c r="AK1976" t="n">
        <v>21</v>
      </c>
      <c r="AL1976" t="inlineStr">
        <is>
          <t>Miss Glam Damar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HADALABO</t>
        </is>
      </c>
      <c r="B1977" s="2">
        <f>"8992821102815"</f>
        <v/>
      </c>
      <c r="C1977" t="inlineStr">
        <is>
          <t>HADALABO Tamagohada Lotion Mild Peeling 100ml</t>
        </is>
      </c>
      <c r="D1977" t="inlineStr">
        <is>
          <t>Miss Glam Damar</t>
        </is>
      </c>
      <c r="E1977" t="n">
        <v>7</v>
      </c>
      <c r="F1977" t="n">
        <v>0.1547</v>
      </c>
      <c r="G1977" t="n">
        <v>1.82</v>
      </c>
      <c r="H1977" t="n">
        <v>3</v>
      </c>
      <c r="I1977" t="n">
        <v>14</v>
      </c>
      <c r="J1977" t="n">
        <v>3</v>
      </c>
      <c r="K1977" t="n">
        <v>0</v>
      </c>
      <c r="L1977" t="n">
        <v>44236</v>
      </c>
      <c r="M1977" t="n">
        <v>54000</v>
      </c>
      <c r="N1977" t="n">
        <v>91</v>
      </c>
      <c r="O1977" t="n">
        <v>0.91</v>
      </c>
      <c r="P1977" t="n">
        <v>1</v>
      </c>
      <c r="Q1977" t="n">
        <v>0.07000000000000001</v>
      </c>
      <c r="R1977" t="n">
        <v>1</v>
      </c>
      <c r="S1977" t="n">
        <v>8353.800000000001</v>
      </c>
      <c r="T1977" t="n">
        <v>26</v>
      </c>
      <c r="U1977" t="n">
        <v>27</v>
      </c>
      <c r="V1977" t="n">
        <v>30</v>
      </c>
      <c r="W1977" t="n">
        <v>5</v>
      </c>
      <c r="X1977" t="n">
        <v>45.24886877828054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11000</v>
      </c>
      <c r="AG1977" t="n">
        <v>33</v>
      </c>
      <c r="AH1977" t="inlineStr">
        <is>
          <t>PT. MENSA BINASUKSES - PPN (PDG)</t>
        </is>
      </c>
      <c r="AI1977" t="n">
        <v>301</v>
      </c>
      <c r="AJ1977" t="inlineStr">
        <is>
          <t>HADALABO</t>
        </is>
      </c>
      <c r="AK1977" t="n">
        <v>21</v>
      </c>
      <c r="AL1977" t="inlineStr">
        <is>
          <t>Miss Glam Damar</t>
        </is>
      </c>
      <c r="AM1977" t="n">
        <v>3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HADALABO</t>
        </is>
      </c>
      <c r="B1978" s="2">
        <f>"8992821101795"</f>
        <v/>
      </c>
      <c r="C1978" t="inlineStr">
        <is>
          <t>HADALABO Tamagohada Mild Peeling AHA BHA Face Wash 50gr</t>
        </is>
      </c>
      <c r="D1978" t="inlineStr">
        <is>
          <t>Miss Glam Damar</t>
        </is>
      </c>
      <c r="E1978" t="n">
        <v>40</v>
      </c>
      <c r="F1978" t="n">
        <v>1.3104</v>
      </c>
      <c r="G1978" t="n">
        <v>4.55</v>
      </c>
      <c r="H1978" t="n">
        <v>3</v>
      </c>
      <c r="I1978" t="n">
        <v>14</v>
      </c>
      <c r="J1978" t="n">
        <v>3</v>
      </c>
      <c r="K1978" t="n">
        <v>0</v>
      </c>
      <c r="L1978" t="n">
        <v>27033</v>
      </c>
      <c r="M1978" t="n">
        <v>32000</v>
      </c>
      <c r="N1978" t="n">
        <v>91</v>
      </c>
      <c r="O1978" t="n">
        <v>0.91</v>
      </c>
      <c r="P1978" t="n">
        <v>1</v>
      </c>
      <c r="Q1978" t="n">
        <v>1.03</v>
      </c>
      <c r="R1978" t="n">
        <v>5</v>
      </c>
      <c r="S1978" t="n">
        <v>41932.8</v>
      </c>
      <c r="T1978" t="n">
        <v>60</v>
      </c>
      <c r="U1978" t="n">
        <v>64</v>
      </c>
      <c r="V1978" t="n">
        <v>30</v>
      </c>
      <c r="W1978" t="n">
        <v>40</v>
      </c>
      <c r="X1978" t="n">
        <v>30.52503052503052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11000</v>
      </c>
      <c r="AG1978" t="n">
        <v>33</v>
      </c>
      <c r="AH1978" t="inlineStr">
        <is>
          <t>PT. MENSA BINASUKSES - PPN (PDG)</t>
        </is>
      </c>
      <c r="AI1978" t="n">
        <v>301</v>
      </c>
      <c r="AJ1978" t="inlineStr">
        <is>
          <t>HADALABO</t>
        </is>
      </c>
      <c r="AK1978" t="n">
        <v>21</v>
      </c>
      <c r="AL1978" t="inlineStr">
        <is>
          <t>Miss Glam Damar</t>
        </is>
      </c>
      <c r="AM1978" t="n">
        <v>3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HADALABO</t>
        </is>
      </c>
      <c r="B1979" s="2">
        <f>"8992821102440"</f>
        <v/>
      </c>
      <c r="C1979" t="inlineStr">
        <is>
          <t>HADALABO Tamagohada Mild Peeling AHA BHA Makeup Remover 100gr</t>
        </is>
      </c>
      <c r="D1979" t="inlineStr">
        <is>
          <t>Miss Glam Damar</t>
        </is>
      </c>
      <c r="E1979" t="n">
        <v>22</v>
      </c>
      <c r="F1979" t="n">
        <v>0.6279</v>
      </c>
      <c r="G1979" t="n">
        <v>3.64</v>
      </c>
      <c r="H1979" t="n">
        <v>3</v>
      </c>
      <c r="I1979" t="n">
        <v>14</v>
      </c>
      <c r="J1979" t="n">
        <v>3</v>
      </c>
      <c r="K1979" t="n">
        <v>0</v>
      </c>
      <c r="L1979" t="n">
        <v>51608</v>
      </c>
      <c r="M1979" t="n">
        <v>62000</v>
      </c>
      <c r="N1979" t="n">
        <v>91</v>
      </c>
      <c r="O1979" t="n">
        <v>0.91</v>
      </c>
      <c r="P1979" t="n">
        <v>1</v>
      </c>
      <c r="Q1979" t="n">
        <v>0.88</v>
      </c>
      <c r="R1979" t="n">
        <v>4</v>
      </c>
      <c r="S1979" t="n">
        <v>38929.8</v>
      </c>
      <c r="T1979" t="n">
        <v>50</v>
      </c>
      <c r="U1979" t="n">
        <v>52</v>
      </c>
      <c r="V1979" t="n">
        <v>30</v>
      </c>
      <c r="W1979" t="n">
        <v>19</v>
      </c>
      <c r="X1979" t="n">
        <v>35.03742634177416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11000</v>
      </c>
      <c r="AG1979" t="n">
        <v>33</v>
      </c>
      <c r="AH1979" t="inlineStr">
        <is>
          <t>PT. MENSA BINASUKSES - PPN (PDG)</t>
        </is>
      </c>
      <c r="AI1979" t="n">
        <v>301</v>
      </c>
      <c r="AJ1979" t="inlineStr">
        <is>
          <t>HADALABO</t>
        </is>
      </c>
      <c r="AK1979" t="n">
        <v>21</v>
      </c>
      <c r="AL1979" t="inlineStr">
        <is>
          <t>Miss Glam Damar</t>
        </is>
      </c>
      <c r="AM1979" t="n">
        <v>3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HADALABO</t>
        </is>
      </c>
      <c r="B1980" s="2">
        <f>"8992821101801"</f>
        <v/>
      </c>
      <c r="C1980" t="inlineStr">
        <is>
          <t>HADALABO Tamagohada Mild Peeling Aha+Bha Facial Wash 100gr</t>
        </is>
      </c>
      <c r="D1980" t="inlineStr">
        <is>
          <t>Miss Glam Damar</t>
        </is>
      </c>
      <c r="E1980" t="n">
        <v>18</v>
      </c>
      <c r="F1980" t="n">
        <v>1.2012</v>
      </c>
      <c r="G1980" t="n">
        <v>6.37</v>
      </c>
      <c r="H1980" t="n">
        <v>3</v>
      </c>
      <c r="I1980" t="n">
        <v>14</v>
      </c>
      <c r="J1980" t="n">
        <v>3</v>
      </c>
      <c r="K1980" t="n">
        <v>0</v>
      </c>
      <c r="L1980" t="n">
        <v>44453</v>
      </c>
      <c r="M1980" t="n">
        <v>54000</v>
      </c>
      <c r="N1980" t="n">
        <v>91</v>
      </c>
      <c r="O1980" t="n">
        <v>0.91</v>
      </c>
      <c r="P1980" t="n">
        <v>1</v>
      </c>
      <c r="Q1980" t="n">
        <v>0.88</v>
      </c>
      <c r="R1980" t="n">
        <v>4</v>
      </c>
      <c r="S1980" t="n">
        <v>64864.8</v>
      </c>
      <c r="T1980" t="n">
        <v>86</v>
      </c>
      <c r="U1980" t="n">
        <v>90</v>
      </c>
      <c r="V1980" t="n">
        <v>30</v>
      </c>
      <c r="W1980" t="n">
        <v>37</v>
      </c>
      <c r="X1980" t="n">
        <v>14.98501498501498</v>
      </c>
      <c r="Y1980" t="n">
        <v>1</v>
      </c>
      <c r="Z1980" t="n">
        <v>19</v>
      </c>
      <c r="AA1980" t="n">
        <v>0</v>
      </c>
      <c r="AB1980" t="n">
        <v>19</v>
      </c>
      <c r="AC1980" t="n">
        <v>19</v>
      </c>
      <c r="AD1980" t="n">
        <v>0</v>
      </c>
      <c r="AE1980" t="n">
        <v>844607</v>
      </c>
      <c r="AF1980" t="n">
        <v>11000</v>
      </c>
      <c r="AG1980" t="n">
        <v>33</v>
      </c>
      <c r="AH1980" t="inlineStr">
        <is>
          <t>PT. MENSA BINASUKSES - PPN (PDG)</t>
        </is>
      </c>
      <c r="AI1980" t="n">
        <v>301</v>
      </c>
      <c r="AJ1980" t="inlineStr">
        <is>
          <t>HADALABO</t>
        </is>
      </c>
      <c r="AK1980" t="n">
        <v>21</v>
      </c>
      <c r="AL1980" t="inlineStr">
        <is>
          <t>Miss Glam Damar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HADALABO</t>
        </is>
      </c>
      <c r="B1981" s="2">
        <f>"8992821102433"</f>
        <v/>
      </c>
      <c r="C1981" t="inlineStr">
        <is>
          <t>HADALABO Tamagohada Mild Peeling Face Wash Make up Remover 50gr</t>
        </is>
      </c>
      <c r="D1981" t="inlineStr">
        <is>
          <t>Miss Glam Damar</t>
        </is>
      </c>
      <c r="E1981" t="n">
        <v>19</v>
      </c>
      <c r="F1981" t="n">
        <v>1.0374</v>
      </c>
      <c r="G1981" t="n">
        <v>5.46</v>
      </c>
      <c r="H1981" t="n">
        <v>3</v>
      </c>
      <c r="I1981" t="n">
        <v>14</v>
      </c>
      <c r="J1981" t="n">
        <v>3</v>
      </c>
      <c r="K1981" t="n">
        <v>0</v>
      </c>
      <c r="L1981" t="n">
        <v>31088</v>
      </c>
      <c r="M1981" t="n">
        <v>37500</v>
      </c>
      <c r="N1981" t="n">
        <v>91</v>
      </c>
      <c r="O1981" t="n">
        <v>0.91</v>
      </c>
      <c r="P1981" t="n">
        <v>1</v>
      </c>
      <c r="Q1981" t="n">
        <v>0.8100000000000001</v>
      </c>
      <c r="R1981" t="n">
        <v>4</v>
      </c>
      <c r="S1981" t="n">
        <v>38902.49999999999</v>
      </c>
      <c r="T1981" t="n">
        <v>74</v>
      </c>
      <c r="U1981" t="n">
        <v>78</v>
      </c>
      <c r="V1981" t="n">
        <v>30</v>
      </c>
      <c r="W1981" t="n">
        <v>32</v>
      </c>
      <c r="X1981" t="n">
        <v>18.31501831501832</v>
      </c>
      <c r="Y1981" t="n">
        <v>1</v>
      </c>
      <c r="Z1981" t="n">
        <v>13</v>
      </c>
      <c r="AA1981" t="n">
        <v>0</v>
      </c>
      <c r="AB1981" t="n">
        <v>13</v>
      </c>
      <c r="AC1981" t="n">
        <v>13</v>
      </c>
      <c r="AD1981" t="n">
        <v>0</v>
      </c>
      <c r="AE1981" t="n">
        <v>404144</v>
      </c>
      <c r="AF1981" t="n">
        <v>11000</v>
      </c>
      <c r="AG1981" t="n">
        <v>33</v>
      </c>
      <c r="AH1981" t="inlineStr">
        <is>
          <t>PT. MENSA BINASUKSES - PPN (PDG)</t>
        </is>
      </c>
      <c r="AI1981" t="n">
        <v>301</v>
      </c>
      <c r="AJ1981" t="inlineStr">
        <is>
          <t>HADALABO</t>
        </is>
      </c>
      <c r="AK1981" t="n">
        <v>21</v>
      </c>
      <c r="AL1981" t="inlineStr">
        <is>
          <t>Miss Glam Damar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HAIRMONY</t>
        </is>
      </c>
      <c r="B1982" s="2">
        <f>"745604025041"</f>
        <v/>
      </c>
      <c r="C1982" t="inlineStr">
        <is>
          <t>HAIRMONY Voluminous &amp; Grow Scalp Hair Tonic Serum 100ml</t>
        </is>
      </c>
      <c r="D1982" t="inlineStr">
        <is>
          <t>Miss Glam Damar</t>
        </is>
      </c>
      <c r="E1982" t="n">
        <v>0</v>
      </c>
      <c r="F1982" t="n">
        <v>0.04550000000000001</v>
      </c>
      <c r="G1982" t="n">
        <v>1.82</v>
      </c>
      <c r="H1982" t="n">
        <v>4</v>
      </c>
      <c r="I1982" t="n">
        <v>21</v>
      </c>
      <c r="J1982" t="n">
        <v>3</v>
      </c>
      <c r="K1982" t="n">
        <v>0</v>
      </c>
      <c r="L1982" t="n">
        <v>98018</v>
      </c>
      <c r="M1982" t="n">
        <v>138000</v>
      </c>
      <c r="N1982" t="n">
        <v>91</v>
      </c>
      <c r="O1982" t="n">
        <v>0.91</v>
      </c>
      <c r="P1982" t="n">
        <v>1</v>
      </c>
      <c r="Q1982" t="n">
        <v>0.03</v>
      </c>
      <c r="R1982" t="n">
        <v>1</v>
      </c>
      <c r="S1982" t="n">
        <v>6279.000000000001</v>
      </c>
      <c r="T1982" t="n">
        <v>39</v>
      </c>
      <c r="U1982" t="n">
        <v>40</v>
      </c>
      <c r="V1982" t="n">
        <v>30</v>
      </c>
      <c r="W1982" t="n">
        <v>2</v>
      </c>
      <c r="X1982" t="n">
        <v>0</v>
      </c>
      <c r="Y1982" t="n">
        <v>1</v>
      </c>
      <c r="Z1982" t="n">
        <v>2</v>
      </c>
      <c r="AA1982" t="n">
        <v>1</v>
      </c>
      <c r="AB1982" t="n">
        <v>1</v>
      </c>
      <c r="AC1982" t="n">
        <v>3</v>
      </c>
      <c r="AD1982" t="n">
        <v>98018</v>
      </c>
      <c r="AE1982" t="n">
        <v>294054</v>
      </c>
      <c r="AF1982" t="n">
        <v>5515</v>
      </c>
      <c r="AG1982" t="n">
        <v>1</v>
      </c>
      <c r="AH1982" t="inlineStr">
        <is>
          <t>PT. BERSAMA DISTRIVERSA INDONESIA (DC CIPUTAT)</t>
        </is>
      </c>
      <c r="AI1982" t="n">
        <v>1868</v>
      </c>
      <c r="AJ1982" t="inlineStr">
        <is>
          <t>HAIRMONY</t>
        </is>
      </c>
      <c r="AK1982" t="n">
        <v>21</v>
      </c>
      <c r="AL1982" t="inlineStr">
        <is>
          <t>Miss Glam Damar</t>
        </is>
      </c>
      <c r="AM1982" t="n">
        <v>4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HAIRMONY</t>
        </is>
      </c>
      <c r="B1983" s="2">
        <f>"745604025062"</f>
        <v/>
      </c>
      <c r="C1983" t="inlineStr">
        <is>
          <t>HAIRMONY Volumize &amp; Textured Hair Parfum Magnificent 30ml</t>
        </is>
      </c>
      <c r="D1983" t="inlineStr">
        <is>
          <t>Miss Glam Damar</t>
        </is>
      </c>
      <c r="E1983" t="n">
        <v>6</v>
      </c>
      <c r="F1983" t="n">
        <v>0.02</v>
      </c>
      <c r="G1983" t="n">
        <v>1</v>
      </c>
      <c r="H1983" t="n">
        <v>4</v>
      </c>
      <c r="I1983" t="n">
        <v>21</v>
      </c>
      <c r="J1983" t="n">
        <v>3</v>
      </c>
      <c r="K1983" t="n">
        <v>0</v>
      </c>
      <c r="L1983" t="n">
        <v>56435</v>
      </c>
      <c r="M1983" t="n">
        <v>73000</v>
      </c>
      <c r="N1983" t="n">
        <v>91</v>
      </c>
      <c r="O1983" t="n">
        <v>0.91</v>
      </c>
      <c r="P1983" t="n">
        <v>0</v>
      </c>
      <c r="Q1983" t="n">
        <v>0.02</v>
      </c>
      <c r="R1983" t="n">
        <v>1</v>
      </c>
      <c r="S1983" t="n">
        <v>1460</v>
      </c>
      <c r="T1983" t="n">
        <v>21</v>
      </c>
      <c r="U1983" t="n">
        <v>22</v>
      </c>
      <c r="V1983" t="n">
        <v>30</v>
      </c>
      <c r="W1983" t="n">
        <v>1</v>
      </c>
      <c r="X1983" t="n">
        <v>300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5515</v>
      </c>
      <c r="AG1983" t="n">
        <v>1</v>
      </c>
      <c r="AH1983" t="inlineStr">
        <is>
          <t>PT. BERSAMA DISTRIVERSA INDONESIA (DC CIPUTAT)</t>
        </is>
      </c>
      <c r="AI1983" t="n">
        <v>1868</v>
      </c>
      <c r="AJ1983" t="inlineStr">
        <is>
          <t>HAIRMONY</t>
        </is>
      </c>
      <c r="AK1983" t="n">
        <v>21</v>
      </c>
      <c r="AL1983" t="inlineStr">
        <is>
          <t>Miss Glam Damar</t>
        </is>
      </c>
      <c r="AM1983" t="n">
        <v>4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HANASUI</t>
        </is>
      </c>
      <c r="B1984" s="2">
        <f>"8998824551735"</f>
        <v/>
      </c>
      <c r="C1984" t="inlineStr">
        <is>
          <t>HANASUI  SWANA Eau De Parfume Sunshine</t>
        </is>
      </c>
      <c r="D1984" t="inlineStr">
        <is>
          <t>Miss Glam Damar</t>
        </is>
      </c>
      <c r="E1984" t="n">
        <v>1</v>
      </c>
      <c r="F1984" t="n">
        <v>0.1274</v>
      </c>
      <c r="G1984" t="n">
        <v>1.82</v>
      </c>
      <c r="H1984" t="n">
        <v>3</v>
      </c>
      <c r="I1984" t="n">
        <v>11</v>
      </c>
      <c r="J1984" t="n">
        <v>3</v>
      </c>
      <c r="K1984" t="n">
        <v>0</v>
      </c>
      <c r="L1984" t="n">
        <v>10103</v>
      </c>
      <c r="M1984" t="n">
        <v>13000</v>
      </c>
      <c r="N1984" t="n">
        <v>91</v>
      </c>
      <c r="O1984" t="n">
        <v>0.91</v>
      </c>
      <c r="P1984" t="n">
        <v>1</v>
      </c>
      <c r="Q1984" t="n">
        <v>0.07000000000000001</v>
      </c>
      <c r="R1984" t="n">
        <v>1</v>
      </c>
      <c r="S1984" t="n">
        <v>1656.2</v>
      </c>
      <c r="T1984" t="n">
        <v>20</v>
      </c>
      <c r="U1984" t="n">
        <v>21</v>
      </c>
      <c r="V1984" t="n">
        <v>30</v>
      </c>
      <c r="W1984" t="n">
        <v>4</v>
      </c>
      <c r="X1984" t="n">
        <v>7.849293563579277</v>
      </c>
      <c r="Y1984" t="n">
        <v>1</v>
      </c>
      <c r="Z1984" t="n">
        <v>3</v>
      </c>
      <c r="AA1984" t="n">
        <v>1</v>
      </c>
      <c r="AB1984" t="n">
        <v>2</v>
      </c>
      <c r="AC1984" t="n">
        <v>3</v>
      </c>
      <c r="AD1984" t="n">
        <v>10103</v>
      </c>
      <c r="AE1984" t="n">
        <v>30309</v>
      </c>
      <c r="AF1984" t="n">
        <v>12831</v>
      </c>
      <c r="AG1984" t="n">
        <v>2122</v>
      </c>
      <c r="AH1984" t="inlineStr">
        <is>
          <t>PT. SINAR PADANG LESTARI - PPN (PDG)</t>
        </is>
      </c>
      <c r="AI1984" t="n">
        <v>78</v>
      </c>
      <c r="AJ1984" t="inlineStr">
        <is>
          <t>HANASUI</t>
        </is>
      </c>
      <c r="AK1984" t="n">
        <v>21</v>
      </c>
      <c r="AL1984" t="inlineStr">
        <is>
          <t>Miss Glam Damar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HANASUI</t>
        </is>
      </c>
      <c r="B1985" s="2">
        <f>"8998824552268"</f>
        <v/>
      </c>
      <c r="C1985" t="inlineStr">
        <is>
          <t>HANASUI Acne Expert Treatment Day Cream 15gr</t>
        </is>
      </c>
      <c r="D1985" t="inlineStr">
        <is>
          <t>Miss Glam Damar</t>
        </is>
      </c>
      <c r="E1985" t="n">
        <v>13</v>
      </c>
      <c r="F1985" t="n">
        <v>0.1729</v>
      </c>
      <c r="G1985" t="n">
        <v>1.82</v>
      </c>
      <c r="H1985" t="n">
        <v>3</v>
      </c>
      <c r="I1985" t="n">
        <v>11</v>
      </c>
      <c r="J1985" t="n">
        <v>3</v>
      </c>
      <c r="K1985" t="n">
        <v>0</v>
      </c>
      <c r="L1985" t="n">
        <v>23989</v>
      </c>
      <c r="M1985" t="n">
        <v>30000</v>
      </c>
      <c r="N1985" t="n">
        <v>91</v>
      </c>
      <c r="O1985" t="n">
        <v>0.91</v>
      </c>
      <c r="P1985" t="n">
        <v>1</v>
      </c>
      <c r="Q1985" t="n">
        <v>0.22</v>
      </c>
      <c r="R1985" t="n">
        <v>2</v>
      </c>
      <c r="S1985" t="n">
        <v>5187</v>
      </c>
      <c r="T1985" t="n">
        <v>20</v>
      </c>
      <c r="U1985" t="n">
        <v>21</v>
      </c>
      <c r="V1985" t="n">
        <v>30</v>
      </c>
      <c r="W1985" t="n">
        <v>6</v>
      </c>
      <c r="X1985" t="n">
        <v>75.18796992481204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12831</v>
      </c>
      <c r="AG1985" t="n">
        <v>2122</v>
      </c>
      <c r="AH1985" t="inlineStr">
        <is>
          <t>PT. SINAR PADANG LESTARI - PPN (PDG)</t>
        </is>
      </c>
      <c r="AI1985" t="n">
        <v>78</v>
      </c>
      <c r="AJ1985" t="inlineStr">
        <is>
          <t>HANASUI</t>
        </is>
      </c>
      <c r="AK1985" t="n">
        <v>21</v>
      </c>
      <c r="AL1985" t="inlineStr">
        <is>
          <t>Miss Glam Damar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HANASUI</t>
        </is>
      </c>
      <c r="B1986" s="2">
        <f>"8998824552299"</f>
        <v/>
      </c>
      <c r="C1986" t="inlineStr">
        <is>
          <t>HANASUI Acne Expert Treatment Gentle Cleanser 60gr</t>
        </is>
      </c>
      <c r="D1986" t="inlineStr">
        <is>
          <t>Miss Glam Damar</t>
        </is>
      </c>
      <c r="E1986" t="n">
        <v>6</v>
      </c>
      <c r="F1986" t="n">
        <v>0.5096000000000001</v>
      </c>
      <c r="G1986" t="n">
        <v>2.73</v>
      </c>
      <c r="H1986" t="n">
        <v>3</v>
      </c>
      <c r="I1986" t="n">
        <v>11</v>
      </c>
      <c r="J1986" t="n">
        <v>3</v>
      </c>
      <c r="K1986" t="n">
        <v>0</v>
      </c>
      <c r="L1986" t="n">
        <v>20400</v>
      </c>
      <c r="M1986" t="n">
        <v>25500</v>
      </c>
      <c r="N1986" t="n">
        <v>91</v>
      </c>
      <c r="O1986" t="n">
        <v>0.91</v>
      </c>
      <c r="P1986" t="n">
        <v>1</v>
      </c>
      <c r="Q1986" t="n">
        <v>0.22</v>
      </c>
      <c r="R1986" t="n">
        <v>2</v>
      </c>
      <c r="S1986" t="n">
        <v>12994.8</v>
      </c>
      <c r="T1986" t="n">
        <v>29</v>
      </c>
      <c r="U1986" t="n">
        <v>31</v>
      </c>
      <c r="V1986" t="n">
        <v>30</v>
      </c>
      <c r="W1986" t="n">
        <v>16</v>
      </c>
      <c r="X1986" t="n">
        <v>11.77394034536892</v>
      </c>
      <c r="Y1986" t="n">
        <v>1</v>
      </c>
      <c r="Z1986" t="n">
        <v>10</v>
      </c>
      <c r="AA1986" t="n">
        <v>0</v>
      </c>
      <c r="AB1986" t="n">
        <v>10</v>
      </c>
      <c r="AC1986" t="n">
        <v>10</v>
      </c>
      <c r="AD1986" t="n">
        <v>0</v>
      </c>
      <c r="AE1986" t="n">
        <v>204000</v>
      </c>
      <c r="AF1986" t="n">
        <v>12831</v>
      </c>
      <c r="AG1986" t="n">
        <v>2122</v>
      </c>
      <c r="AH1986" t="inlineStr">
        <is>
          <t>PT. SINAR PADANG LESTARI - PPN (PDG)</t>
        </is>
      </c>
      <c r="AI1986" t="n">
        <v>78</v>
      </c>
      <c r="AJ1986" t="inlineStr">
        <is>
          <t>HANASUI</t>
        </is>
      </c>
      <c r="AK1986" t="n">
        <v>21</v>
      </c>
      <c r="AL1986" t="inlineStr">
        <is>
          <t>Miss Glam Damar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HANASUI</t>
        </is>
      </c>
      <c r="B1987" s="2">
        <f>"8998824552800"</f>
        <v/>
      </c>
      <c r="C1987" t="inlineStr">
        <is>
          <t>HANASUI Acne Expert Treatment Night Cream 15gr</t>
        </is>
      </c>
      <c r="D1987" t="inlineStr">
        <is>
          <t>Miss Glam Damar</t>
        </is>
      </c>
      <c r="E1987" t="n">
        <v>4</v>
      </c>
      <c r="F1987" t="n">
        <v>0.2457</v>
      </c>
      <c r="G1987" t="n">
        <v>2.73</v>
      </c>
      <c r="H1987" t="n">
        <v>3</v>
      </c>
      <c r="I1987" t="n">
        <v>11</v>
      </c>
      <c r="J1987" t="n">
        <v>3</v>
      </c>
      <c r="K1987" t="n">
        <v>0</v>
      </c>
      <c r="L1987" t="n">
        <v>27973</v>
      </c>
      <c r="M1987" t="n">
        <v>35000</v>
      </c>
      <c r="N1987" t="n">
        <v>91</v>
      </c>
      <c r="O1987" t="n">
        <v>0.91</v>
      </c>
      <c r="P1987" t="n">
        <v>1</v>
      </c>
      <c r="Q1987" t="n">
        <v>0.12</v>
      </c>
      <c r="R1987" t="n">
        <v>1</v>
      </c>
      <c r="S1987" t="n">
        <v>8599.500000000002</v>
      </c>
      <c r="T1987" t="n">
        <v>30</v>
      </c>
      <c r="U1987" t="n">
        <v>31</v>
      </c>
      <c r="V1987" t="n">
        <v>30</v>
      </c>
      <c r="W1987" t="n">
        <v>8</v>
      </c>
      <c r="X1987" t="n">
        <v>16.28001628001628</v>
      </c>
      <c r="Y1987" t="n">
        <v>1</v>
      </c>
      <c r="Z1987" t="n">
        <v>4</v>
      </c>
      <c r="AA1987" t="n">
        <v>0</v>
      </c>
      <c r="AB1987" t="n">
        <v>4</v>
      </c>
      <c r="AC1987" t="n">
        <v>4</v>
      </c>
      <c r="AD1987" t="n">
        <v>0</v>
      </c>
      <c r="AE1987" t="n">
        <v>111892</v>
      </c>
      <c r="AF1987" t="n">
        <v>12831</v>
      </c>
      <c r="AG1987" t="n">
        <v>2122</v>
      </c>
      <c r="AH1987" t="inlineStr">
        <is>
          <t>PT. SINAR PADANG LESTARI - PPN (PDG)</t>
        </is>
      </c>
      <c r="AI1987" t="n">
        <v>78</v>
      </c>
      <c r="AJ1987" t="inlineStr">
        <is>
          <t>HANASUI</t>
        </is>
      </c>
      <c r="AK1987" t="n">
        <v>21</v>
      </c>
      <c r="AL1987" t="inlineStr">
        <is>
          <t>Miss Glam Damar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HANASUI</t>
        </is>
      </c>
      <c r="B1988" s="2">
        <f>"8998824552794"</f>
        <v/>
      </c>
      <c r="C1988" t="inlineStr">
        <is>
          <t>HANASUI Acne Expert Treatment Power Essence 100ml</t>
        </is>
      </c>
      <c r="D1988" t="inlineStr">
        <is>
          <t>Miss Glam Damar</t>
        </is>
      </c>
      <c r="E1988" t="n">
        <v>5</v>
      </c>
      <c r="F1988" t="n">
        <v>0.1274</v>
      </c>
      <c r="G1988" t="n">
        <v>0.91</v>
      </c>
      <c r="H1988" t="n">
        <v>3</v>
      </c>
      <c r="I1988" t="n">
        <v>11</v>
      </c>
      <c r="J1988" t="n">
        <v>3</v>
      </c>
      <c r="K1988" t="n">
        <v>0</v>
      </c>
      <c r="L1988" t="n">
        <v>22000</v>
      </c>
      <c r="M1988" t="n">
        <v>27500</v>
      </c>
      <c r="N1988" t="n">
        <v>91</v>
      </c>
      <c r="O1988" t="n">
        <v>0.91</v>
      </c>
      <c r="P1988" t="n">
        <v>1</v>
      </c>
      <c r="Q1988" t="n">
        <v>0.1</v>
      </c>
      <c r="R1988" t="n">
        <v>1</v>
      </c>
      <c r="S1988" t="n">
        <v>3503.5</v>
      </c>
      <c r="T1988" t="n">
        <v>10</v>
      </c>
      <c r="U1988" t="n">
        <v>11</v>
      </c>
      <c r="V1988" t="n">
        <v>30</v>
      </c>
      <c r="W1988" t="n">
        <v>4</v>
      </c>
      <c r="X1988" t="n">
        <v>39.24646781789639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12831</v>
      </c>
      <c r="AG1988" t="n">
        <v>2122</v>
      </c>
      <c r="AH1988" t="inlineStr">
        <is>
          <t>PT. SINAR PADANG LESTARI - PPN (PDG)</t>
        </is>
      </c>
      <c r="AI1988" t="n">
        <v>78</v>
      </c>
      <c r="AJ1988" t="inlineStr">
        <is>
          <t>HANASUI</t>
        </is>
      </c>
      <c r="AK1988" t="n">
        <v>21</v>
      </c>
      <c r="AL1988" t="inlineStr">
        <is>
          <t>Miss Glam Damar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HANASUI</t>
        </is>
      </c>
      <c r="B1989" s="2">
        <f>"8998824552305"</f>
        <v/>
      </c>
      <c r="C1989" t="inlineStr">
        <is>
          <t>HANASUI Acne Treatment Spot Gel 15gr</t>
        </is>
      </c>
      <c r="D1989" t="inlineStr">
        <is>
          <t>Miss Glam Damar</t>
        </is>
      </c>
      <c r="E1989" t="n">
        <v>6</v>
      </c>
      <c r="F1989" t="n">
        <v>0.1</v>
      </c>
      <c r="G1989" t="n">
        <v>1</v>
      </c>
      <c r="H1989" t="n">
        <v>3</v>
      </c>
      <c r="I1989" t="n">
        <v>11</v>
      </c>
      <c r="J1989" t="n">
        <v>3</v>
      </c>
      <c r="K1989" t="n">
        <v>0</v>
      </c>
      <c r="L1989" t="n">
        <v>19601</v>
      </c>
      <c r="M1989" t="n">
        <v>24500</v>
      </c>
      <c r="N1989" t="n">
        <v>91</v>
      </c>
      <c r="O1989" t="n">
        <v>0.91</v>
      </c>
      <c r="P1989" t="n">
        <v>0</v>
      </c>
      <c r="Q1989" t="n">
        <v>0.1</v>
      </c>
      <c r="R1989" t="n">
        <v>1</v>
      </c>
      <c r="S1989" t="n">
        <v>2450</v>
      </c>
      <c r="T1989" t="n">
        <v>11</v>
      </c>
      <c r="U1989" t="n">
        <v>12</v>
      </c>
      <c r="V1989" t="n">
        <v>30</v>
      </c>
      <c r="W1989" t="n">
        <v>3</v>
      </c>
      <c r="X1989" t="n">
        <v>60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12831</v>
      </c>
      <c r="AG1989" t="n">
        <v>2122</v>
      </c>
      <c r="AH1989" t="inlineStr">
        <is>
          <t>PT. SINAR PADANG LESTARI - PPN (PDG)</t>
        </is>
      </c>
      <c r="AI1989" t="n">
        <v>78</v>
      </c>
      <c r="AJ1989" t="inlineStr">
        <is>
          <t>HANASUI</t>
        </is>
      </c>
      <c r="AK1989" t="n">
        <v>21</v>
      </c>
      <c r="AL1989" t="inlineStr">
        <is>
          <t>Miss Glam Damar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HANASUI</t>
        </is>
      </c>
      <c r="B1990" s="2">
        <f>"8998824554842"</f>
        <v/>
      </c>
      <c r="C1990" t="inlineStr">
        <is>
          <t>HANASUI Advance Exfoliating Serum 20ml</t>
        </is>
      </c>
      <c r="D1990" t="inlineStr">
        <is>
          <t>Miss Glam Damar</t>
        </is>
      </c>
      <c r="E1990" t="n">
        <v>9</v>
      </c>
      <c r="F1990" t="n">
        <v>0.4641</v>
      </c>
      <c r="G1990" t="n">
        <v>1.82</v>
      </c>
      <c r="H1990" t="n">
        <v>3</v>
      </c>
      <c r="I1990" t="n">
        <v>11</v>
      </c>
      <c r="J1990" t="n">
        <v>3</v>
      </c>
      <c r="K1990" t="n">
        <v>0</v>
      </c>
      <c r="L1990" t="n">
        <v>17760</v>
      </c>
      <c r="M1990" t="n">
        <v>23500</v>
      </c>
      <c r="N1990" t="n">
        <v>91</v>
      </c>
      <c r="O1990" t="n">
        <v>0.91</v>
      </c>
      <c r="P1990" t="n">
        <v>1</v>
      </c>
      <c r="Q1990" t="n">
        <v>0.31</v>
      </c>
      <c r="R1990" t="n">
        <v>3</v>
      </c>
      <c r="S1990" t="n">
        <v>10906.35</v>
      </c>
      <c r="T1990" t="n">
        <v>19</v>
      </c>
      <c r="U1990" t="n">
        <v>21</v>
      </c>
      <c r="V1990" t="n">
        <v>30</v>
      </c>
      <c r="W1990" t="n">
        <v>14</v>
      </c>
      <c r="X1990" t="n">
        <v>19.3923723335488</v>
      </c>
      <c r="Y1990" t="n">
        <v>1</v>
      </c>
      <c r="Z1990" t="n">
        <v>5</v>
      </c>
      <c r="AA1990" t="n">
        <v>0</v>
      </c>
      <c r="AB1990" t="n">
        <v>5</v>
      </c>
      <c r="AC1990" t="n">
        <v>5</v>
      </c>
      <c r="AD1990" t="n">
        <v>0</v>
      </c>
      <c r="AE1990" t="n">
        <v>88800</v>
      </c>
      <c r="AF1990" t="n">
        <v>12831</v>
      </c>
      <c r="AG1990" t="n">
        <v>2122</v>
      </c>
      <c r="AH1990" t="inlineStr">
        <is>
          <t>PT. SINAR PADANG LESTARI - PPN (PDG)</t>
        </is>
      </c>
      <c r="AI1990" t="n">
        <v>78</v>
      </c>
      <c r="AJ1990" t="inlineStr">
        <is>
          <t>HANASUI</t>
        </is>
      </c>
      <c r="AK1990" t="n">
        <v>21</v>
      </c>
      <c r="AL1990" t="inlineStr">
        <is>
          <t>Miss Glam Damar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HANASUI</t>
        </is>
      </c>
      <c r="B1991" s="2">
        <f>"8998824554835"</f>
        <v/>
      </c>
      <c r="C1991" t="inlineStr">
        <is>
          <t>HANASUI Advance Retinol Serum 20ml</t>
        </is>
      </c>
      <c r="D1991" t="inlineStr">
        <is>
          <t>Miss Glam Damar</t>
        </is>
      </c>
      <c r="E1991" t="n">
        <v>21</v>
      </c>
      <c r="F1991" t="n">
        <v>0.68</v>
      </c>
      <c r="G1991" t="n">
        <v>4</v>
      </c>
      <c r="H1991" t="n">
        <v>3</v>
      </c>
      <c r="I1991" t="n">
        <v>11</v>
      </c>
      <c r="J1991" t="n">
        <v>3</v>
      </c>
      <c r="K1991" t="n">
        <v>0</v>
      </c>
      <c r="L1991" t="n">
        <v>18303</v>
      </c>
      <c r="M1991" t="n">
        <v>23500</v>
      </c>
      <c r="N1991" t="n">
        <v>91</v>
      </c>
      <c r="O1991" t="n">
        <v>0.91</v>
      </c>
      <c r="P1991" t="n">
        <v>0</v>
      </c>
      <c r="Q1991" t="n">
        <v>0.68</v>
      </c>
      <c r="R1991" t="n">
        <v>4</v>
      </c>
      <c r="S1991" t="n">
        <v>15980</v>
      </c>
      <c r="T1991" t="n">
        <v>42</v>
      </c>
      <c r="U1991" t="n">
        <v>45</v>
      </c>
      <c r="V1991" t="n">
        <v>30</v>
      </c>
      <c r="W1991" t="n">
        <v>21</v>
      </c>
      <c r="X1991" t="n">
        <v>30.88235294117647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12831</v>
      </c>
      <c r="AG1991" t="n">
        <v>2122</v>
      </c>
      <c r="AH1991" t="inlineStr">
        <is>
          <t>PT. SINAR PADANG LESTARI - PPN (PDG)</t>
        </is>
      </c>
      <c r="AI1991" t="n">
        <v>78</v>
      </c>
      <c r="AJ1991" t="inlineStr">
        <is>
          <t>HANASUI</t>
        </is>
      </c>
      <c r="AK1991" t="n">
        <v>21</v>
      </c>
      <c r="AL1991" t="inlineStr">
        <is>
          <t>Miss Glam Damar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HANASUI</t>
        </is>
      </c>
      <c r="B1992" s="2">
        <f>"8998824551599"</f>
        <v/>
      </c>
      <c r="C1992" t="inlineStr">
        <is>
          <t>HANASUI Aloe Vera Soap 60gr</t>
        </is>
      </c>
      <c r="D1992" t="inlineStr">
        <is>
          <t>Miss Glam Damar</t>
        </is>
      </c>
      <c r="E1992" t="n">
        <v>10</v>
      </c>
      <c r="F1992" t="n">
        <v>0.3276</v>
      </c>
      <c r="G1992" t="n">
        <v>2.73</v>
      </c>
      <c r="H1992" t="n">
        <v>3</v>
      </c>
      <c r="I1992" t="n">
        <v>11</v>
      </c>
      <c r="J1992" t="n">
        <v>3</v>
      </c>
      <c r="K1992" t="n">
        <v>0</v>
      </c>
      <c r="L1992" t="n">
        <v>7092</v>
      </c>
      <c r="M1992" t="n">
        <v>9000</v>
      </c>
      <c r="N1992" t="n">
        <v>91</v>
      </c>
      <c r="O1992" t="n">
        <v>0.91</v>
      </c>
      <c r="P1992" t="n">
        <v>1</v>
      </c>
      <c r="Q1992" t="n">
        <v>0.46</v>
      </c>
      <c r="R1992" t="n">
        <v>3</v>
      </c>
      <c r="S1992" t="n">
        <v>2948.4</v>
      </c>
      <c r="T1992" t="n">
        <v>30</v>
      </c>
      <c r="U1992" t="n">
        <v>31</v>
      </c>
      <c r="V1992" t="n">
        <v>30</v>
      </c>
      <c r="W1992" t="n">
        <v>10</v>
      </c>
      <c r="X1992" t="n">
        <v>30.52503052503052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12831</v>
      </c>
      <c r="AG1992" t="n">
        <v>2122</v>
      </c>
      <c r="AH1992" t="inlineStr">
        <is>
          <t>PT. SINAR PADANG LESTARI - PPN (PDG)</t>
        </is>
      </c>
      <c r="AI1992" t="n">
        <v>78</v>
      </c>
      <c r="AJ1992" t="inlineStr">
        <is>
          <t>HANASUI</t>
        </is>
      </c>
      <c r="AK1992" t="n">
        <v>21</v>
      </c>
      <c r="AL1992" t="inlineStr">
        <is>
          <t>Miss Glam Damar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HANASUI</t>
        </is>
      </c>
      <c r="B1993" s="2">
        <f>"8998824551261"</f>
        <v/>
      </c>
      <c r="C1993" t="inlineStr">
        <is>
          <t>HANASUI Anti Acne Serum 20ml</t>
        </is>
      </c>
      <c r="D1993" t="inlineStr">
        <is>
          <t>Miss Glam Damar</t>
        </is>
      </c>
      <c r="E1993" t="n">
        <v>17</v>
      </c>
      <c r="F1993" t="n">
        <v>2.3569</v>
      </c>
      <c r="G1993" t="n">
        <v>5.46</v>
      </c>
      <c r="H1993" t="n">
        <v>3</v>
      </c>
      <c r="I1993" t="n">
        <v>11</v>
      </c>
      <c r="J1993" t="n">
        <v>3</v>
      </c>
      <c r="K1993" t="n">
        <v>0</v>
      </c>
      <c r="L1993" t="n">
        <v>18222</v>
      </c>
      <c r="M1993" t="n">
        <v>23500</v>
      </c>
      <c r="N1993" t="n">
        <v>91</v>
      </c>
      <c r="O1993" t="n">
        <v>0.91</v>
      </c>
      <c r="P1993" t="n">
        <v>1</v>
      </c>
      <c r="Q1993" t="n">
        <v>0.8</v>
      </c>
      <c r="R1993" t="n">
        <v>3</v>
      </c>
      <c r="S1993" t="n">
        <v>55387.15</v>
      </c>
      <c r="T1993" t="n">
        <v>53</v>
      </c>
      <c r="U1993" t="n">
        <v>61</v>
      </c>
      <c r="V1993" t="n">
        <v>30</v>
      </c>
      <c r="W1993" t="n">
        <v>71</v>
      </c>
      <c r="X1993" t="n">
        <v>7.212864355721498</v>
      </c>
      <c r="Y1993" t="n">
        <v>1</v>
      </c>
      <c r="Z1993" t="n">
        <v>54</v>
      </c>
      <c r="AA1993" t="n">
        <v>9</v>
      </c>
      <c r="AB1993" t="n">
        <v>45</v>
      </c>
      <c r="AC1993" t="n">
        <v>45</v>
      </c>
      <c r="AD1993" t="n">
        <v>163998</v>
      </c>
      <c r="AE1993" t="n">
        <v>819990</v>
      </c>
      <c r="AF1993" t="n">
        <v>12831</v>
      </c>
      <c r="AG1993" t="n">
        <v>2122</v>
      </c>
      <c r="AH1993" t="inlineStr">
        <is>
          <t>PT. SINAR PADANG LESTARI - PPN (PDG)</t>
        </is>
      </c>
      <c r="AI1993" t="n">
        <v>78</v>
      </c>
      <c r="AJ1993" t="inlineStr">
        <is>
          <t>HANASUI</t>
        </is>
      </c>
      <c r="AK1993" t="n">
        <v>21</v>
      </c>
      <c r="AL1993" t="inlineStr">
        <is>
          <t>Miss Glam Damar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HANASUI</t>
        </is>
      </c>
      <c r="B1994" s="2">
        <f>"8998824552558"</f>
        <v/>
      </c>
      <c r="C1994" t="inlineStr">
        <is>
          <t>HANASUI Asian Heritage Mineral Mud Mask 7gr</t>
        </is>
      </c>
      <c r="D1994" t="inlineStr">
        <is>
          <t>Miss Glam Damar</t>
        </is>
      </c>
      <c r="E1994" t="n">
        <v>27</v>
      </c>
      <c r="F1994" t="n">
        <v>1.3741</v>
      </c>
      <c r="G1994" t="n">
        <v>5.46</v>
      </c>
      <c r="H1994" t="n">
        <v>3</v>
      </c>
      <c r="I1994" t="n">
        <v>11</v>
      </c>
      <c r="J1994" t="n">
        <v>3</v>
      </c>
      <c r="K1994" t="n">
        <v>0</v>
      </c>
      <c r="L1994" t="n">
        <v>2341</v>
      </c>
      <c r="M1994" t="n">
        <v>3000</v>
      </c>
      <c r="N1994" t="n">
        <v>91</v>
      </c>
      <c r="O1994" t="n">
        <v>0.91</v>
      </c>
      <c r="P1994" t="n">
        <v>1</v>
      </c>
      <c r="Q1994" t="n">
        <v>0.73</v>
      </c>
      <c r="R1994" t="n">
        <v>4</v>
      </c>
      <c r="S1994" t="n">
        <v>4122.3</v>
      </c>
      <c r="T1994" t="n">
        <v>56</v>
      </c>
      <c r="U1994" t="n">
        <v>61</v>
      </c>
      <c r="V1994" t="n">
        <v>30</v>
      </c>
      <c r="W1994" t="n">
        <v>42</v>
      </c>
      <c r="X1994" t="n">
        <v>19.64922494723819</v>
      </c>
      <c r="Y1994" t="n">
        <v>1</v>
      </c>
      <c r="Z1994" t="n">
        <v>15</v>
      </c>
      <c r="AA1994" t="n">
        <v>0</v>
      </c>
      <c r="AB1994" t="n">
        <v>15</v>
      </c>
      <c r="AC1994" t="n">
        <v>15</v>
      </c>
      <c r="AD1994" t="n">
        <v>0</v>
      </c>
      <c r="AE1994" t="n">
        <v>35115</v>
      </c>
      <c r="AF1994" t="n">
        <v>12831</v>
      </c>
      <c r="AG1994" t="n">
        <v>2122</v>
      </c>
      <c r="AH1994" t="inlineStr">
        <is>
          <t>PT. SINAR PADANG LESTARI - PPN (PDG)</t>
        </is>
      </c>
      <c r="AI1994" t="n">
        <v>78</v>
      </c>
      <c r="AJ1994" t="inlineStr">
        <is>
          <t>HANASUI</t>
        </is>
      </c>
      <c r="AK1994" t="n">
        <v>21</v>
      </c>
      <c r="AL1994" t="inlineStr">
        <is>
          <t>Miss Glam Damar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HANASUI</t>
        </is>
      </c>
      <c r="B1995" s="2">
        <f>"10500639224"</f>
        <v/>
      </c>
      <c r="C1995" t="inlineStr">
        <is>
          <t>HANASUI Blackhead Purifying Clay Stick 19gr</t>
        </is>
      </c>
      <c r="D1995" t="inlineStr">
        <is>
          <t>Miss Glam Damar</t>
        </is>
      </c>
      <c r="E1995" t="n">
        <v>3</v>
      </c>
      <c r="F1995" t="n">
        <v>0.0273</v>
      </c>
      <c r="G1995" t="n">
        <v>1.82</v>
      </c>
      <c r="H1995" t="n">
        <v>3</v>
      </c>
      <c r="I1995" t="n">
        <v>11</v>
      </c>
      <c r="J1995" t="n">
        <v>1</v>
      </c>
      <c r="K1995" t="n">
        <v>0</v>
      </c>
      <c r="L1995" t="n">
        <v>33600</v>
      </c>
      <c r="M1995" t="n">
        <v>42000</v>
      </c>
      <c r="N1995" t="n">
        <v>91</v>
      </c>
      <c r="O1995" t="n">
        <v>0.91</v>
      </c>
      <c r="P1995" t="n">
        <v>1</v>
      </c>
      <c r="Q1995" t="n">
        <v>0.05</v>
      </c>
      <c r="R1995" t="n">
        <v>1</v>
      </c>
      <c r="S1995" t="n">
        <v>1146.6</v>
      </c>
      <c r="T1995" t="n">
        <v>20</v>
      </c>
      <c r="U1995" t="n">
        <v>21</v>
      </c>
      <c r="V1995" t="n">
        <v>30</v>
      </c>
      <c r="W1995" t="n">
        <v>1</v>
      </c>
      <c r="X1995" t="n">
        <v>109.8901098901099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12831</v>
      </c>
      <c r="AG1995" t="n">
        <v>2122</v>
      </c>
      <c r="AH1995" t="inlineStr">
        <is>
          <t>PT. SINAR PADANG LESTARI - PPN (PDG)</t>
        </is>
      </c>
      <c r="AI1995" t="n">
        <v>78</v>
      </c>
      <c r="AJ1995" t="inlineStr">
        <is>
          <t>HANASUI</t>
        </is>
      </c>
      <c r="AK1995" t="n">
        <v>21</v>
      </c>
      <c r="AL1995" t="inlineStr">
        <is>
          <t>Miss Glam Damar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HANASUI</t>
        </is>
      </c>
      <c r="B1996" s="2">
        <f>"8998824551612"</f>
        <v/>
      </c>
      <c r="C1996" t="inlineStr">
        <is>
          <t>HANASUI Body Lotion Brightening Paris 180ml</t>
        </is>
      </c>
      <c r="D1996" t="inlineStr">
        <is>
          <t>Miss Glam Damar</t>
        </is>
      </c>
      <c r="E1996" t="n">
        <v>1</v>
      </c>
      <c r="F1996" t="n">
        <v>0.3549</v>
      </c>
      <c r="G1996" t="n">
        <v>1.82</v>
      </c>
      <c r="H1996" t="n">
        <v>3</v>
      </c>
      <c r="I1996" t="n">
        <v>11</v>
      </c>
      <c r="J1996" t="n">
        <v>3</v>
      </c>
      <c r="K1996" t="n">
        <v>0</v>
      </c>
      <c r="L1996" t="n">
        <v>18224</v>
      </c>
      <c r="M1996" t="n">
        <v>23000</v>
      </c>
      <c r="N1996" t="n">
        <v>91</v>
      </c>
      <c r="O1996" t="n">
        <v>0.91</v>
      </c>
      <c r="P1996" t="n">
        <v>1</v>
      </c>
      <c r="Q1996" t="n">
        <v>0.2</v>
      </c>
      <c r="R1996" t="n">
        <v>2</v>
      </c>
      <c r="S1996" t="n">
        <v>8162.700000000001</v>
      </c>
      <c r="T1996" t="n">
        <v>19</v>
      </c>
      <c r="U1996" t="n">
        <v>21</v>
      </c>
      <c r="V1996" t="n">
        <v>30</v>
      </c>
      <c r="W1996" t="n">
        <v>11</v>
      </c>
      <c r="X1996" t="n">
        <v>2.817695125387432</v>
      </c>
      <c r="Y1996" t="n">
        <v>1</v>
      </c>
      <c r="Z1996" t="n">
        <v>10</v>
      </c>
      <c r="AA1996" t="n">
        <v>3</v>
      </c>
      <c r="AB1996" t="n">
        <v>7</v>
      </c>
      <c r="AC1996" t="n">
        <v>7</v>
      </c>
      <c r="AD1996" t="n">
        <v>54672</v>
      </c>
      <c r="AE1996" t="n">
        <v>127568</v>
      </c>
      <c r="AF1996" t="n">
        <v>12831</v>
      </c>
      <c r="AG1996" t="n">
        <v>2122</v>
      </c>
      <c r="AH1996" t="inlineStr">
        <is>
          <t>PT. SINAR PADANG LESTARI - PPN (PDG)</t>
        </is>
      </c>
      <c r="AI1996" t="n">
        <v>78</v>
      </c>
      <c r="AJ1996" t="inlineStr">
        <is>
          <t>HANASUI</t>
        </is>
      </c>
      <c r="AK1996" t="n">
        <v>21</v>
      </c>
      <c r="AL1996" t="inlineStr">
        <is>
          <t>Miss Glam Damar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HANASUI</t>
        </is>
      </c>
      <c r="B1997" s="2">
        <f>"8998824551636"</f>
        <v/>
      </c>
      <c r="C1997" t="inlineStr">
        <is>
          <t>HANASUI Body Lotion Brightening Sydney 180ml</t>
        </is>
      </c>
      <c r="D1997" t="inlineStr">
        <is>
          <t>Miss Glam Damar</t>
        </is>
      </c>
      <c r="E1997" t="n">
        <v>2</v>
      </c>
      <c r="F1997" t="n">
        <v>0.2639</v>
      </c>
      <c r="G1997" t="n">
        <v>2.73</v>
      </c>
      <c r="H1997" t="n">
        <v>3</v>
      </c>
      <c r="I1997" t="n">
        <v>11</v>
      </c>
      <c r="J1997" t="n">
        <v>3</v>
      </c>
      <c r="K1997" t="n">
        <v>0</v>
      </c>
      <c r="L1997" t="n">
        <v>18224</v>
      </c>
      <c r="M1997" t="n">
        <v>23000</v>
      </c>
      <c r="N1997" t="n">
        <v>91</v>
      </c>
      <c r="O1997" t="n">
        <v>0.91</v>
      </c>
      <c r="P1997" t="n">
        <v>1</v>
      </c>
      <c r="Q1997" t="n">
        <v>0.1</v>
      </c>
      <c r="R1997" t="n">
        <v>1</v>
      </c>
      <c r="S1997" t="n">
        <v>6069.699999999999</v>
      </c>
      <c r="T1997" t="n">
        <v>30</v>
      </c>
      <c r="U1997" t="n">
        <v>31</v>
      </c>
      <c r="V1997" t="n">
        <v>30</v>
      </c>
      <c r="W1997" t="n">
        <v>8</v>
      </c>
      <c r="X1997" t="n">
        <v>7.578628268283442</v>
      </c>
      <c r="Y1997" t="n">
        <v>1</v>
      </c>
      <c r="Z1997" t="n">
        <v>6</v>
      </c>
      <c r="AA1997" t="n">
        <v>1</v>
      </c>
      <c r="AB1997" t="n">
        <v>5</v>
      </c>
      <c r="AC1997" t="n">
        <v>5</v>
      </c>
      <c r="AD1997" t="n">
        <v>18224</v>
      </c>
      <c r="AE1997" t="n">
        <v>91120</v>
      </c>
      <c r="AF1997" t="n">
        <v>12831</v>
      </c>
      <c r="AG1997" t="n">
        <v>2122</v>
      </c>
      <c r="AH1997" t="inlineStr">
        <is>
          <t>PT. SINAR PADANG LESTARI - PPN (PDG)</t>
        </is>
      </c>
      <c r="AI1997" t="n">
        <v>78</v>
      </c>
      <c r="AJ1997" t="inlineStr">
        <is>
          <t>HANASUI</t>
        </is>
      </c>
      <c r="AK1997" t="n">
        <v>21</v>
      </c>
      <c r="AL1997" t="inlineStr">
        <is>
          <t>Miss Glam Damar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HANASUI</t>
        </is>
      </c>
      <c r="B1998" s="2">
        <f>"10100725157"</f>
        <v/>
      </c>
      <c r="C1998" t="inlineStr">
        <is>
          <t>HANASUI Bright &amp; Clear Micellar Water 300ml</t>
        </is>
      </c>
      <c r="D1998" t="inlineStr">
        <is>
          <t>Miss Glam Damar</t>
        </is>
      </c>
      <c r="E1998" t="n">
        <v>1</v>
      </c>
      <c r="F1998" t="n">
        <v>0.0728</v>
      </c>
      <c r="G1998" t="n">
        <v>1.82</v>
      </c>
      <c r="H1998" t="n">
        <v>3</v>
      </c>
      <c r="I1998" t="n">
        <v>11</v>
      </c>
      <c r="J1998" t="n">
        <v>1</v>
      </c>
      <c r="K1998" t="n">
        <v>0</v>
      </c>
      <c r="L1998" t="n">
        <v>37600</v>
      </c>
      <c r="M1998" t="n">
        <v>47000</v>
      </c>
      <c r="N1998" t="n">
        <v>91</v>
      </c>
      <c r="O1998" t="n">
        <v>0.91</v>
      </c>
      <c r="P1998" t="n">
        <v>1</v>
      </c>
      <c r="Q1998" t="n">
        <v>0.14</v>
      </c>
      <c r="R1998" t="n">
        <v>2</v>
      </c>
      <c r="S1998" t="n">
        <v>3421.6</v>
      </c>
      <c r="T1998" t="n">
        <v>20</v>
      </c>
      <c r="U1998" t="n">
        <v>21</v>
      </c>
      <c r="V1998" t="n">
        <v>30</v>
      </c>
      <c r="W1998" t="n">
        <v>3</v>
      </c>
      <c r="X1998" t="n">
        <v>13.73626373626374</v>
      </c>
      <c r="Y1998" t="n">
        <v>1</v>
      </c>
      <c r="Z1998" t="n">
        <v>2</v>
      </c>
      <c r="AA1998" t="n">
        <v>0</v>
      </c>
      <c r="AB1998" t="n">
        <v>2</v>
      </c>
      <c r="AC1998" t="n">
        <v>2</v>
      </c>
      <c r="AD1998" t="n">
        <v>0</v>
      </c>
      <c r="AE1998" t="n">
        <v>75200</v>
      </c>
      <c r="AF1998" t="n">
        <v>12831</v>
      </c>
      <c r="AG1998" t="n">
        <v>2122</v>
      </c>
      <c r="AH1998" t="inlineStr">
        <is>
          <t>PT. SINAR PADANG LESTARI - PPN (PDG)</t>
        </is>
      </c>
      <c r="AI1998" t="n">
        <v>78</v>
      </c>
      <c r="AJ1998" t="inlineStr">
        <is>
          <t>HANASUI</t>
        </is>
      </c>
      <c r="AK1998" t="n">
        <v>21</v>
      </c>
      <c r="AL1998" t="inlineStr">
        <is>
          <t>Miss Glam Damar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HANASUI</t>
        </is>
      </c>
      <c r="B1999" s="2">
        <f>"10300514517"</f>
        <v/>
      </c>
      <c r="C1999" t="inlineStr">
        <is>
          <t>HANASUI Bright Expert Moisturizer 30gr</t>
        </is>
      </c>
      <c r="D1999" t="inlineStr">
        <is>
          <t>Miss Glam Damar</t>
        </is>
      </c>
      <c r="E1999" t="n">
        <v>33</v>
      </c>
      <c r="F1999" t="n">
        <v>2.002</v>
      </c>
      <c r="G1999" t="n">
        <v>5.46</v>
      </c>
      <c r="H1999" t="n">
        <v>3</v>
      </c>
      <c r="I1999" t="n">
        <v>11</v>
      </c>
      <c r="J1999" t="n">
        <v>1</v>
      </c>
      <c r="K1999" t="n">
        <v>0</v>
      </c>
      <c r="L1999" t="n">
        <v>33600</v>
      </c>
      <c r="M1999" t="n">
        <v>42000</v>
      </c>
      <c r="N1999" t="n">
        <v>91</v>
      </c>
      <c r="O1999" t="n">
        <v>0.91</v>
      </c>
      <c r="P1999" t="n">
        <v>1</v>
      </c>
      <c r="Q1999" t="n">
        <v>1.41</v>
      </c>
      <c r="R1999" t="n">
        <v>5</v>
      </c>
      <c r="S1999" t="n">
        <v>84084.00000000001</v>
      </c>
      <c r="T1999" t="n">
        <v>55</v>
      </c>
      <c r="U1999" t="n">
        <v>62</v>
      </c>
      <c r="V1999" t="n">
        <v>30</v>
      </c>
      <c r="W1999" t="n">
        <v>61</v>
      </c>
      <c r="X1999" t="n">
        <v>16.48351648351648</v>
      </c>
      <c r="Y1999" t="n">
        <v>1</v>
      </c>
      <c r="Z1999" t="n">
        <v>28</v>
      </c>
      <c r="AA1999" t="n">
        <v>0</v>
      </c>
      <c r="AB1999" t="n">
        <v>28</v>
      </c>
      <c r="AC1999" t="n">
        <v>28</v>
      </c>
      <c r="AD1999" t="n">
        <v>0</v>
      </c>
      <c r="AE1999" t="n">
        <v>940800</v>
      </c>
      <c r="AF1999" t="n">
        <v>12831</v>
      </c>
      <c r="AG1999" t="n">
        <v>2122</v>
      </c>
      <c r="AH1999" t="inlineStr">
        <is>
          <t>PT. SINAR PADANG LESTARI - PPN (PDG)</t>
        </is>
      </c>
      <c r="AI1999" t="n">
        <v>78</v>
      </c>
      <c r="AJ1999" t="inlineStr">
        <is>
          <t>HANASUI</t>
        </is>
      </c>
      <c r="AK1999" t="n">
        <v>21</v>
      </c>
      <c r="AL1999" t="inlineStr">
        <is>
          <t>Miss Glam Damar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HANASUI</t>
        </is>
      </c>
      <c r="B2000" s="2">
        <f>"10500639141"</f>
        <v/>
      </c>
      <c r="C2000" t="inlineStr">
        <is>
          <t>HANASUI Bright Refining Clay Stick 19gr</t>
        </is>
      </c>
      <c r="D2000" t="inlineStr">
        <is>
          <t>Miss Glam Damar</t>
        </is>
      </c>
      <c r="E2000" t="n">
        <v>3</v>
      </c>
      <c r="F2000" t="n">
        <v>0.0273</v>
      </c>
      <c r="G2000" t="n">
        <v>0.91</v>
      </c>
      <c r="H2000" t="n">
        <v>3</v>
      </c>
      <c r="I2000" t="n">
        <v>11</v>
      </c>
      <c r="J2000" t="n">
        <v>1</v>
      </c>
      <c r="K2000" t="n">
        <v>0</v>
      </c>
      <c r="L2000" t="n">
        <v>33600</v>
      </c>
      <c r="M2000" t="n">
        <v>42000</v>
      </c>
      <c r="N2000" t="n">
        <v>91</v>
      </c>
      <c r="O2000" t="n">
        <v>0.91</v>
      </c>
      <c r="P2000" t="n">
        <v>1</v>
      </c>
      <c r="Q2000" t="n">
        <v>0.05</v>
      </c>
      <c r="R2000" t="n">
        <v>1</v>
      </c>
      <c r="S2000" t="n">
        <v>1146.6</v>
      </c>
      <c r="T2000" t="n">
        <v>10</v>
      </c>
      <c r="U2000" t="n">
        <v>11</v>
      </c>
      <c r="V2000" t="n">
        <v>30</v>
      </c>
      <c r="W2000" t="n">
        <v>1</v>
      </c>
      <c r="X2000" t="n">
        <v>109.8901098901099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12831</v>
      </c>
      <c r="AG2000" t="n">
        <v>2122</v>
      </c>
      <c r="AH2000" t="inlineStr">
        <is>
          <t>PT. SINAR PADANG LESTARI - PPN (PDG)</t>
        </is>
      </c>
      <c r="AI2000" t="n">
        <v>78</v>
      </c>
      <c r="AJ2000" t="inlineStr">
        <is>
          <t>HANASUI</t>
        </is>
      </c>
      <c r="AK2000" t="n">
        <v>21</v>
      </c>
      <c r="AL2000" t="inlineStr">
        <is>
          <t>Miss Glam Damar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HANASUI</t>
        </is>
      </c>
      <c r="B2001" s="2">
        <f>"30100241013"</f>
        <v/>
      </c>
      <c r="C2001" t="inlineStr">
        <is>
          <t>HANASUI Brightening Body Scrub Cheerful Bliss 200gr</t>
        </is>
      </c>
      <c r="D2001" t="inlineStr">
        <is>
          <t>Miss Glam Damar</t>
        </is>
      </c>
      <c r="E2001" t="n">
        <v>11</v>
      </c>
      <c r="F2001" t="n">
        <v>0.8372000000000001</v>
      </c>
      <c r="G2001" t="n">
        <v>3.64</v>
      </c>
      <c r="H2001" t="n">
        <v>3</v>
      </c>
      <c r="I2001" t="n">
        <v>11</v>
      </c>
      <c r="J2001" t="n">
        <v>3</v>
      </c>
      <c r="K2001" t="n">
        <v>0</v>
      </c>
      <c r="L2001" t="n">
        <v>15170</v>
      </c>
      <c r="M2001" t="n">
        <v>19000</v>
      </c>
      <c r="N2001" t="n">
        <v>91</v>
      </c>
      <c r="O2001" t="n">
        <v>0.91</v>
      </c>
      <c r="P2001" t="n">
        <v>1</v>
      </c>
      <c r="Q2001" t="n">
        <v>0.46</v>
      </c>
      <c r="R2001" t="n">
        <v>2</v>
      </c>
      <c r="S2001" t="n">
        <v>15906.8</v>
      </c>
      <c r="T2001" t="n">
        <v>38</v>
      </c>
      <c r="U2001" t="n">
        <v>41</v>
      </c>
      <c r="V2001" t="n">
        <v>30</v>
      </c>
      <c r="W2001" t="n">
        <v>26</v>
      </c>
      <c r="X2001" t="n">
        <v>13.13903487816531</v>
      </c>
      <c r="Y2001" t="n">
        <v>1</v>
      </c>
      <c r="Z2001" t="n">
        <v>15</v>
      </c>
      <c r="AA2001" t="n">
        <v>0</v>
      </c>
      <c r="AB2001" t="n">
        <v>15</v>
      </c>
      <c r="AC2001" t="n">
        <v>15</v>
      </c>
      <c r="AD2001" t="n">
        <v>0</v>
      </c>
      <c r="AE2001" t="n">
        <v>227550</v>
      </c>
      <c r="AF2001" t="n">
        <v>12831</v>
      </c>
      <c r="AG2001" t="n">
        <v>2122</v>
      </c>
      <c r="AH2001" t="inlineStr">
        <is>
          <t>PT. SINAR PADANG LESTARI - PPN (PDG)</t>
        </is>
      </c>
      <c r="AI2001" t="n">
        <v>78</v>
      </c>
      <c r="AJ2001" t="inlineStr">
        <is>
          <t>HANASUI</t>
        </is>
      </c>
      <c r="AK2001" t="n">
        <v>21</v>
      </c>
      <c r="AL2001" t="inlineStr">
        <is>
          <t>Miss Glam Damar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HANASUI</t>
        </is>
      </c>
      <c r="B2002" s="2">
        <f>"30100241342"</f>
        <v/>
      </c>
      <c r="C2002" t="inlineStr">
        <is>
          <t>HANASUI Brightening Body Scrub Happy Vibes 200gr</t>
        </is>
      </c>
      <c r="D2002" t="inlineStr">
        <is>
          <t>Miss Glam Damar</t>
        </is>
      </c>
      <c r="E2002" t="n">
        <v>13</v>
      </c>
      <c r="F2002" t="n">
        <v>0.3094</v>
      </c>
      <c r="G2002" t="n">
        <v>3.64</v>
      </c>
      <c r="H2002" t="n">
        <v>3</v>
      </c>
      <c r="I2002" t="n">
        <v>11</v>
      </c>
      <c r="J2002" t="n">
        <v>3</v>
      </c>
      <c r="K2002" t="n">
        <v>0</v>
      </c>
      <c r="L2002" t="n">
        <v>15194</v>
      </c>
      <c r="M2002" t="n">
        <v>19000</v>
      </c>
      <c r="N2002" t="n">
        <v>91</v>
      </c>
      <c r="O2002" t="n">
        <v>0.91</v>
      </c>
      <c r="P2002" t="n">
        <v>1</v>
      </c>
      <c r="Q2002" t="n">
        <v>0.17</v>
      </c>
      <c r="R2002" t="n">
        <v>1</v>
      </c>
      <c r="S2002" t="n">
        <v>5878.6</v>
      </c>
      <c r="T2002" t="n">
        <v>40</v>
      </c>
      <c r="U2002" t="n">
        <v>41</v>
      </c>
      <c r="V2002" t="n">
        <v>30</v>
      </c>
      <c r="W2002" t="n">
        <v>10</v>
      </c>
      <c r="X2002" t="n">
        <v>42.01680672268908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12831</v>
      </c>
      <c r="AG2002" t="n">
        <v>2122</v>
      </c>
      <c r="AH2002" t="inlineStr">
        <is>
          <t>PT. SINAR PADANG LESTARI - PPN (PDG)</t>
        </is>
      </c>
      <c r="AI2002" t="n">
        <v>78</v>
      </c>
      <c r="AJ2002" t="inlineStr">
        <is>
          <t>HANASUI</t>
        </is>
      </c>
      <c r="AK2002" t="n">
        <v>21</v>
      </c>
      <c r="AL2002" t="inlineStr">
        <is>
          <t>Miss Glam Damar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HANASUI</t>
        </is>
      </c>
      <c r="B2003" s="2">
        <f>"30100241148"</f>
        <v/>
      </c>
      <c r="C2003" t="inlineStr">
        <is>
          <t>HANASUI Brightening Body Scrub Joyful Days 200gr</t>
        </is>
      </c>
      <c r="D2003" t="inlineStr">
        <is>
          <t>Miss Glam Damar</t>
        </is>
      </c>
      <c r="E2003" t="n">
        <v>7</v>
      </c>
      <c r="F2003" t="n">
        <v>0.3822</v>
      </c>
      <c r="G2003" t="n">
        <v>1.82</v>
      </c>
      <c r="H2003" t="n">
        <v>3</v>
      </c>
      <c r="I2003" t="n">
        <v>11</v>
      </c>
      <c r="J2003" t="n">
        <v>3</v>
      </c>
      <c r="K2003" t="n">
        <v>0</v>
      </c>
      <c r="L2003" t="n">
        <v>15120</v>
      </c>
      <c r="M2003" t="n">
        <v>19000</v>
      </c>
      <c r="N2003" t="n">
        <v>91</v>
      </c>
      <c r="O2003" t="n">
        <v>0.91</v>
      </c>
      <c r="P2003" t="n">
        <v>1</v>
      </c>
      <c r="Q2003" t="n">
        <v>0.24</v>
      </c>
      <c r="R2003" t="n">
        <v>2</v>
      </c>
      <c r="S2003" t="n">
        <v>7261.799999999999</v>
      </c>
      <c r="T2003" t="n">
        <v>19</v>
      </c>
      <c r="U2003" t="n">
        <v>21</v>
      </c>
      <c r="V2003" t="n">
        <v>30</v>
      </c>
      <c r="W2003" t="n">
        <v>12</v>
      </c>
      <c r="X2003" t="n">
        <v>18.31501831501832</v>
      </c>
      <c r="Y2003" t="n">
        <v>1</v>
      </c>
      <c r="Z2003" t="n">
        <v>5</v>
      </c>
      <c r="AA2003" t="n">
        <v>0</v>
      </c>
      <c r="AB2003" t="n">
        <v>5</v>
      </c>
      <c r="AC2003" t="n">
        <v>5</v>
      </c>
      <c r="AD2003" t="n">
        <v>0</v>
      </c>
      <c r="AE2003" t="n">
        <v>75600</v>
      </c>
      <c r="AF2003" t="n">
        <v>12831</v>
      </c>
      <c r="AG2003" t="n">
        <v>2122</v>
      </c>
      <c r="AH2003" t="inlineStr">
        <is>
          <t>PT. SINAR PADANG LESTARI - PPN (PDG)</t>
        </is>
      </c>
      <c r="AI2003" t="n">
        <v>78</v>
      </c>
      <c r="AJ2003" t="inlineStr">
        <is>
          <t>HANASUI</t>
        </is>
      </c>
      <c r="AK2003" t="n">
        <v>21</v>
      </c>
      <c r="AL2003" t="inlineStr">
        <is>
          <t>Miss Glam Damar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HANASUI</t>
        </is>
      </c>
      <c r="B2004" s="2">
        <f>"30100241214"</f>
        <v/>
      </c>
      <c r="C2004" t="inlineStr">
        <is>
          <t>HANASUI Brightening Body Scrub Sunshine Glow 200gr</t>
        </is>
      </c>
      <c r="D2004" t="inlineStr">
        <is>
          <t>Miss Glam Damar</t>
        </is>
      </c>
      <c r="E2004" t="n">
        <v>7</v>
      </c>
      <c r="F2004" t="n">
        <v>0.5096000000000001</v>
      </c>
      <c r="G2004" t="n">
        <v>1.82</v>
      </c>
      <c r="H2004" t="n">
        <v>3</v>
      </c>
      <c r="I2004" t="n">
        <v>11</v>
      </c>
      <c r="J2004" t="n">
        <v>3</v>
      </c>
      <c r="K2004" t="n">
        <v>0</v>
      </c>
      <c r="L2004" t="n">
        <v>15120</v>
      </c>
      <c r="M2004" t="n">
        <v>19000</v>
      </c>
      <c r="N2004" t="n">
        <v>91</v>
      </c>
      <c r="O2004" t="n">
        <v>0.91</v>
      </c>
      <c r="P2004" t="n">
        <v>1</v>
      </c>
      <c r="Q2004" t="n">
        <v>0.22</v>
      </c>
      <c r="R2004" t="n">
        <v>2</v>
      </c>
      <c r="S2004" t="n">
        <v>9682.400000000001</v>
      </c>
      <c r="T2004" t="n">
        <v>19</v>
      </c>
      <c r="U2004" t="n">
        <v>21</v>
      </c>
      <c r="V2004" t="n">
        <v>30</v>
      </c>
      <c r="W2004" t="n">
        <v>16</v>
      </c>
      <c r="X2004" t="n">
        <v>13.73626373626374</v>
      </c>
      <c r="Y2004" t="n">
        <v>1</v>
      </c>
      <c r="Z2004" t="n">
        <v>9</v>
      </c>
      <c r="AA2004" t="n">
        <v>0</v>
      </c>
      <c r="AB2004" t="n">
        <v>9</v>
      </c>
      <c r="AC2004" t="n">
        <v>9</v>
      </c>
      <c r="AD2004" t="n">
        <v>0</v>
      </c>
      <c r="AE2004" t="n">
        <v>136080</v>
      </c>
      <c r="AF2004" t="n">
        <v>12831</v>
      </c>
      <c r="AG2004" t="n">
        <v>2122</v>
      </c>
      <c r="AH2004" t="inlineStr">
        <is>
          <t>PT. SINAR PADANG LESTARI - PPN (PDG)</t>
        </is>
      </c>
      <c r="AI2004" t="n">
        <v>78</v>
      </c>
      <c r="AJ2004" t="inlineStr">
        <is>
          <t>HANASUI</t>
        </is>
      </c>
      <c r="AK2004" t="n">
        <v>21</v>
      </c>
      <c r="AL2004" t="inlineStr">
        <is>
          <t>Miss Glam Damar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HANASUI</t>
        </is>
      </c>
      <c r="B2005" s="2">
        <f>"8998824554859"</f>
        <v/>
      </c>
      <c r="C2005" t="inlineStr">
        <is>
          <t>HANASUI Brightening Body Serum Cheerful Bliss 180ml</t>
        </is>
      </c>
      <c r="D2005" t="inlineStr">
        <is>
          <t>Miss Glam Damar</t>
        </is>
      </c>
      <c r="E2005" t="n">
        <v>7</v>
      </c>
      <c r="F2005" t="n">
        <v>0.9555000000000001</v>
      </c>
      <c r="G2005" t="n">
        <v>2.73</v>
      </c>
      <c r="H2005" t="n">
        <v>3</v>
      </c>
      <c r="I2005" t="n">
        <v>11</v>
      </c>
      <c r="J2005" t="n">
        <v>3</v>
      </c>
      <c r="K2005" t="n">
        <v>0</v>
      </c>
      <c r="L2005" t="n">
        <v>22399</v>
      </c>
      <c r="M2005" t="n">
        <v>28000</v>
      </c>
      <c r="N2005" t="n">
        <v>91</v>
      </c>
      <c r="O2005" t="n">
        <v>0.91</v>
      </c>
      <c r="P2005" t="n">
        <v>1</v>
      </c>
      <c r="Q2005" t="n">
        <v>0.61</v>
      </c>
      <c r="R2005" t="n">
        <v>3</v>
      </c>
      <c r="S2005" t="n">
        <v>26754</v>
      </c>
      <c r="T2005" t="n">
        <v>28</v>
      </c>
      <c r="U2005" t="n">
        <v>31</v>
      </c>
      <c r="V2005" t="n">
        <v>30</v>
      </c>
      <c r="W2005" t="n">
        <v>29</v>
      </c>
      <c r="X2005" t="n">
        <v>7.326007326007325</v>
      </c>
      <c r="Y2005" t="n">
        <v>1</v>
      </c>
      <c r="Z2005" t="n">
        <v>22</v>
      </c>
      <c r="AA2005" t="n">
        <v>4</v>
      </c>
      <c r="AB2005" t="n">
        <v>18</v>
      </c>
      <c r="AC2005" t="n">
        <v>18</v>
      </c>
      <c r="AD2005" t="n">
        <v>89596</v>
      </c>
      <c r="AE2005" t="n">
        <v>403182</v>
      </c>
      <c r="AF2005" t="n">
        <v>12831</v>
      </c>
      <c r="AG2005" t="n">
        <v>2122</v>
      </c>
      <c r="AH2005" t="inlineStr">
        <is>
          <t>PT. SINAR PADANG LESTARI - PPN (PDG)</t>
        </is>
      </c>
      <c r="AI2005" t="n">
        <v>78</v>
      </c>
      <c r="AJ2005" t="inlineStr">
        <is>
          <t>HANASUI</t>
        </is>
      </c>
      <c r="AK2005" t="n">
        <v>21</v>
      </c>
      <c r="AL2005" t="inlineStr">
        <is>
          <t>Miss Glam Damar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HANASUI</t>
        </is>
      </c>
      <c r="B2006" s="2">
        <f>"8998824554880"</f>
        <v/>
      </c>
      <c r="C2006" t="inlineStr">
        <is>
          <t>HANASUI Brightening Body Serum Happy Vibes 180ml</t>
        </is>
      </c>
      <c r="D2006" t="inlineStr">
        <is>
          <t>Miss Glam Damar</t>
        </is>
      </c>
      <c r="E2006" t="n">
        <v>7</v>
      </c>
      <c r="F2006" t="n">
        <v>0.2275</v>
      </c>
      <c r="G2006" t="n">
        <v>2.73</v>
      </c>
      <c r="H2006" t="n">
        <v>3</v>
      </c>
      <c r="I2006" t="n">
        <v>11</v>
      </c>
      <c r="J2006" t="n">
        <v>3</v>
      </c>
      <c r="K2006" t="n">
        <v>0</v>
      </c>
      <c r="L2006" t="n">
        <v>22399</v>
      </c>
      <c r="M2006" t="n">
        <v>28000</v>
      </c>
      <c r="N2006" t="n">
        <v>91</v>
      </c>
      <c r="O2006" t="n">
        <v>0.91</v>
      </c>
      <c r="P2006" t="n">
        <v>1</v>
      </c>
      <c r="Q2006" t="n">
        <v>0.17</v>
      </c>
      <c r="R2006" t="n">
        <v>2</v>
      </c>
      <c r="S2006" t="n">
        <v>6370</v>
      </c>
      <c r="T2006" t="n">
        <v>30</v>
      </c>
      <c r="U2006" t="n">
        <v>31</v>
      </c>
      <c r="V2006" t="n">
        <v>30</v>
      </c>
      <c r="W2006" t="n">
        <v>7</v>
      </c>
      <c r="X2006" t="n">
        <v>30.76923076923077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12831</v>
      </c>
      <c r="AG2006" t="n">
        <v>2122</v>
      </c>
      <c r="AH2006" t="inlineStr">
        <is>
          <t>PT. SINAR PADANG LESTARI - PPN (PDG)</t>
        </is>
      </c>
      <c r="AI2006" t="n">
        <v>78</v>
      </c>
      <c r="AJ2006" t="inlineStr">
        <is>
          <t>HANASUI</t>
        </is>
      </c>
      <c r="AK2006" t="n">
        <v>21</v>
      </c>
      <c r="AL2006" t="inlineStr">
        <is>
          <t>Miss Glam Damar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HANASUI</t>
        </is>
      </c>
      <c r="B2007" s="2">
        <f>"8998824554873"</f>
        <v/>
      </c>
      <c r="C2007" t="inlineStr">
        <is>
          <t>HANASUI Brightening Body Serum Joyful Days 180ml</t>
        </is>
      </c>
      <c r="D2007" t="inlineStr">
        <is>
          <t>Miss Glam Damar</t>
        </is>
      </c>
      <c r="E2007" t="n">
        <v>3</v>
      </c>
      <c r="F2007" t="n">
        <v>0.4186</v>
      </c>
      <c r="G2007" t="n">
        <v>1.82</v>
      </c>
      <c r="H2007" t="n">
        <v>3</v>
      </c>
      <c r="I2007" t="n">
        <v>11</v>
      </c>
      <c r="J2007" t="n">
        <v>3</v>
      </c>
      <c r="K2007" t="n">
        <v>0</v>
      </c>
      <c r="L2007" t="n">
        <v>22399</v>
      </c>
      <c r="M2007" t="n">
        <v>28000</v>
      </c>
      <c r="N2007" t="n">
        <v>91</v>
      </c>
      <c r="O2007" t="n">
        <v>0.91</v>
      </c>
      <c r="P2007" t="n">
        <v>1</v>
      </c>
      <c r="Q2007" t="n">
        <v>0.19</v>
      </c>
      <c r="R2007" t="n">
        <v>1</v>
      </c>
      <c r="S2007" t="n">
        <v>11720.8</v>
      </c>
      <c r="T2007" t="n">
        <v>19</v>
      </c>
      <c r="U2007" t="n">
        <v>21</v>
      </c>
      <c r="V2007" t="n">
        <v>30</v>
      </c>
      <c r="W2007" t="n">
        <v>13</v>
      </c>
      <c r="X2007" t="n">
        <v>7.16674629718108</v>
      </c>
      <c r="Y2007" t="n">
        <v>1</v>
      </c>
      <c r="Z2007" t="n">
        <v>10</v>
      </c>
      <c r="AA2007" t="n">
        <v>2</v>
      </c>
      <c r="AB2007" t="n">
        <v>8</v>
      </c>
      <c r="AC2007" t="n">
        <v>8</v>
      </c>
      <c r="AD2007" t="n">
        <v>44798</v>
      </c>
      <c r="AE2007" t="n">
        <v>179192</v>
      </c>
      <c r="AF2007" t="n">
        <v>12831</v>
      </c>
      <c r="AG2007" t="n">
        <v>2122</v>
      </c>
      <c r="AH2007" t="inlineStr">
        <is>
          <t>PT. SINAR PADANG LESTARI - PPN (PDG)</t>
        </is>
      </c>
      <c r="AI2007" t="n">
        <v>78</v>
      </c>
      <c r="AJ2007" t="inlineStr">
        <is>
          <t>HANASUI</t>
        </is>
      </c>
      <c r="AK2007" t="n">
        <v>21</v>
      </c>
      <c r="AL2007" t="inlineStr">
        <is>
          <t>Miss Glam Damar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HANASUI</t>
        </is>
      </c>
      <c r="B2008" s="2">
        <f>"8998824554866"</f>
        <v/>
      </c>
      <c r="C2008" t="inlineStr">
        <is>
          <t>HANASUI Brightening Body Serum Sunshine Glow 180ml</t>
        </is>
      </c>
      <c r="D2008" t="inlineStr">
        <is>
          <t>Miss Glam Damar</t>
        </is>
      </c>
      <c r="E2008" t="n">
        <v>6</v>
      </c>
      <c r="F2008" t="n">
        <v>0.6279</v>
      </c>
      <c r="G2008" t="n">
        <v>4.55</v>
      </c>
      <c r="H2008" t="n">
        <v>3</v>
      </c>
      <c r="I2008" t="n">
        <v>11</v>
      </c>
      <c r="J2008" t="n">
        <v>3</v>
      </c>
      <c r="K2008" t="n">
        <v>0</v>
      </c>
      <c r="L2008" t="n">
        <v>22399</v>
      </c>
      <c r="M2008" t="n">
        <v>28000</v>
      </c>
      <c r="N2008" t="n">
        <v>91</v>
      </c>
      <c r="O2008" t="n">
        <v>0.91</v>
      </c>
      <c r="P2008" t="n">
        <v>1</v>
      </c>
      <c r="Q2008" t="n">
        <v>0.37</v>
      </c>
      <c r="R2008" t="n">
        <v>2</v>
      </c>
      <c r="S2008" t="n">
        <v>17581.2</v>
      </c>
      <c r="T2008" t="n">
        <v>49</v>
      </c>
      <c r="U2008" t="n">
        <v>51</v>
      </c>
      <c r="V2008" t="n">
        <v>30</v>
      </c>
      <c r="W2008" t="n">
        <v>19</v>
      </c>
      <c r="X2008" t="n">
        <v>9.555661729574773</v>
      </c>
      <c r="Y2008" t="n">
        <v>1</v>
      </c>
      <c r="Z2008" t="n">
        <v>13</v>
      </c>
      <c r="AA2008" t="n">
        <v>1</v>
      </c>
      <c r="AB2008" t="n">
        <v>12</v>
      </c>
      <c r="AC2008" t="n">
        <v>12</v>
      </c>
      <c r="AD2008" t="n">
        <v>22399</v>
      </c>
      <c r="AE2008" t="n">
        <v>268788</v>
      </c>
      <c r="AF2008" t="n">
        <v>12831</v>
      </c>
      <c r="AG2008" t="n">
        <v>2122</v>
      </c>
      <c r="AH2008" t="inlineStr">
        <is>
          <t>PT. SINAR PADANG LESTARI - PPN (PDG)</t>
        </is>
      </c>
      <c r="AI2008" t="n">
        <v>78</v>
      </c>
      <c r="AJ2008" t="inlineStr">
        <is>
          <t>HANASUI</t>
        </is>
      </c>
      <c r="AK2008" t="n">
        <v>21</v>
      </c>
      <c r="AL2008" t="inlineStr">
        <is>
          <t>Miss Glam Damar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HANASUI</t>
        </is>
      </c>
      <c r="B2009" s="2">
        <f>"10100725256"</f>
        <v/>
      </c>
      <c r="C2009" t="inlineStr">
        <is>
          <t>HANASUI Calm &amp; Clear Micellar Water 300ml</t>
        </is>
      </c>
      <c r="D2009" t="inlineStr">
        <is>
          <t>Miss Glam Damar</t>
        </is>
      </c>
      <c r="E2009" t="n">
        <v>3</v>
      </c>
      <c r="F2009" t="n">
        <v>0.04550000000000001</v>
      </c>
      <c r="G2009" t="n">
        <v>1.82</v>
      </c>
      <c r="H2009" t="n">
        <v>3</v>
      </c>
      <c r="I2009" t="n">
        <v>11</v>
      </c>
      <c r="J2009" t="n">
        <v>1</v>
      </c>
      <c r="K2009" t="n">
        <v>0</v>
      </c>
      <c r="L2009" t="n">
        <v>39200</v>
      </c>
      <c r="M2009" t="n">
        <v>49000</v>
      </c>
      <c r="N2009" t="n">
        <v>91</v>
      </c>
      <c r="O2009" t="n">
        <v>0.91</v>
      </c>
      <c r="P2009" t="n">
        <v>1</v>
      </c>
      <c r="Q2009" t="n">
        <v>0.05</v>
      </c>
      <c r="R2009" t="n">
        <v>1</v>
      </c>
      <c r="S2009" t="n">
        <v>2229.5</v>
      </c>
      <c r="T2009" t="n">
        <v>20</v>
      </c>
      <c r="U2009" t="n">
        <v>21</v>
      </c>
      <c r="V2009" t="n">
        <v>30</v>
      </c>
      <c r="W2009" t="n">
        <v>2</v>
      </c>
      <c r="X2009" t="n">
        <v>65.93406593406593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12831</v>
      </c>
      <c r="AG2009" t="n">
        <v>2122</v>
      </c>
      <c r="AH2009" t="inlineStr">
        <is>
          <t>PT. SINAR PADANG LESTARI - PPN (PDG)</t>
        </is>
      </c>
      <c r="AI2009" t="n">
        <v>78</v>
      </c>
      <c r="AJ2009" t="inlineStr">
        <is>
          <t>HANASUI</t>
        </is>
      </c>
      <c r="AK2009" t="n">
        <v>21</v>
      </c>
      <c r="AL2009" t="inlineStr">
        <is>
          <t>Miss Glam Damar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HANASUI</t>
        </is>
      </c>
      <c r="B2010" s="2">
        <f>"8998824554828"</f>
        <v/>
      </c>
      <c r="C2010" t="inlineStr">
        <is>
          <t>HANASUI Ceramide Probiotic Peeling Gel 100ml</t>
        </is>
      </c>
      <c r="D2010" t="inlineStr">
        <is>
          <t>Miss Glam Damar</t>
        </is>
      </c>
      <c r="E2010" t="n">
        <v>6</v>
      </c>
      <c r="F2010" t="n">
        <v>0.3549</v>
      </c>
      <c r="G2010" t="n">
        <v>4.55</v>
      </c>
      <c r="H2010" t="n">
        <v>3</v>
      </c>
      <c r="I2010" t="n">
        <v>11</v>
      </c>
      <c r="J2010" t="n">
        <v>3</v>
      </c>
      <c r="K2010" t="n">
        <v>0</v>
      </c>
      <c r="L2010" t="n">
        <v>21200</v>
      </c>
      <c r="M2010" t="n">
        <v>27500</v>
      </c>
      <c r="N2010" t="n">
        <v>91</v>
      </c>
      <c r="O2010" t="n">
        <v>0.91</v>
      </c>
      <c r="P2010" t="n">
        <v>1</v>
      </c>
      <c r="Q2010" t="n">
        <v>0.32</v>
      </c>
      <c r="R2010" t="n">
        <v>2</v>
      </c>
      <c r="S2010" t="n">
        <v>9759.750000000002</v>
      </c>
      <c r="T2010" t="n">
        <v>49</v>
      </c>
      <c r="U2010" t="n">
        <v>51</v>
      </c>
      <c r="V2010" t="n">
        <v>30</v>
      </c>
      <c r="W2010" t="n">
        <v>11</v>
      </c>
      <c r="X2010" t="n">
        <v>16.90617075232459</v>
      </c>
      <c r="Y2010" t="n">
        <v>1</v>
      </c>
      <c r="Z2010" t="n">
        <v>5</v>
      </c>
      <c r="AA2010" t="n">
        <v>0</v>
      </c>
      <c r="AB2010" t="n">
        <v>5</v>
      </c>
      <c r="AC2010" t="n">
        <v>5</v>
      </c>
      <c r="AD2010" t="n">
        <v>0</v>
      </c>
      <c r="AE2010" t="n">
        <v>106000</v>
      </c>
      <c r="AF2010" t="n">
        <v>12831</v>
      </c>
      <c r="AG2010" t="n">
        <v>2122</v>
      </c>
      <c r="AH2010" t="inlineStr">
        <is>
          <t>PT. SINAR PADANG LESTARI - PPN (PDG)</t>
        </is>
      </c>
      <c r="AI2010" t="n">
        <v>78</v>
      </c>
      <c r="AJ2010" t="inlineStr">
        <is>
          <t>HANASUI</t>
        </is>
      </c>
      <c r="AK2010" t="n">
        <v>21</v>
      </c>
      <c r="AL2010" t="inlineStr">
        <is>
          <t>Miss Glam Damar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HANASUI</t>
        </is>
      </c>
      <c r="B2011" s="2">
        <f>"8998824554804"</f>
        <v/>
      </c>
      <c r="C2011" t="inlineStr">
        <is>
          <t>HANASUI Ceramide Probiotics Moisturizel Gel 30gr</t>
        </is>
      </c>
      <c r="D2011" t="inlineStr">
        <is>
          <t>Miss Glam Damar</t>
        </is>
      </c>
      <c r="E2011" t="n">
        <v>21</v>
      </c>
      <c r="F2011" t="n">
        <v>1.9929</v>
      </c>
      <c r="G2011" t="n">
        <v>6.37</v>
      </c>
      <c r="H2011" t="n">
        <v>3</v>
      </c>
      <c r="I2011" t="n">
        <v>11</v>
      </c>
      <c r="J2011" t="n">
        <v>3</v>
      </c>
      <c r="K2011" t="n">
        <v>0</v>
      </c>
      <c r="L2011" t="n">
        <v>30399</v>
      </c>
      <c r="M2011" t="n">
        <v>42000</v>
      </c>
      <c r="N2011" t="n">
        <v>91</v>
      </c>
      <c r="O2011" t="n">
        <v>0.91</v>
      </c>
      <c r="P2011" t="n">
        <v>1</v>
      </c>
      <c r="Q2011" t="n">
        <v>1</v>
      </c>
      <c r="R2011" t="n">
        <v>5</v>
      </c>
      <c r="S2011" t="n">
        <v>83701.8</v>
      </c>
      <c r="T2011" t="n">
        <v>65</v>
      </c>
      <c r="U2011" t="n">
        <v>71</v>
      </c>
      <c r="V2011" t="n">
        <v>30</v>
      </c>
      <c r="W2011" t="n">
        <v>60</v>
      </c>
      <c r="X2011" t="n">
        <v>10.53740779768177</v>
      </c>
      <c r="Y2011" t="n">
        <v>1</v>
      </c>
      <c r="Z2011" t="n">
        <v>39</v>
      </c>
      <c r="AA2011" t="n">
        <v>1</v>
      </c>
      <c r="AB2011" t="n">
        <v>38</v>
      </c>
      <c r="AC2011" t="n">
        <v>38</v>
      </c>
      <c r="AD2011" t="n">
        <v>30399</v>
      </c>
      <c r="AE2011" t="n">
        <v>1155162</v>
      </c>
      <c r="AF2011" t="n">
        <v>12831</v>
      </c>
      <c r="AG2011" t="n">
        <v>2122</v>
      </c>
      <c r="AH2011" t="inlineStr">
        <is>
          <t>PT. SINAR PADANG LESTARI - PPN (PDG)</t>
        </is>
      </c>
      <c r="AI2011" t="n">
        <v>78</v>
      </c>
      <c r="AJ2011" t="inlineStr">
        <is>
          <t>HANASUI</t>
        </is>
      </c>
      <c r="AK2011" t="n">
        <v>21</v>
      </c>
      <c r="AL2011" t="inlineStr">
        <is>
          <t>Miss Glam Damar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HANASUI</t>
        </is>
      </c>
      <c r="B2012" s="2">
        <f>"8998824551520"</f>
        <v/>
      </c>
      <c r="C2012" t="inlineStr">
        <is>
          <t>HANASUI Coffee Soap Withe Scrub 60gr</t>
        </is>
      </c>
      <c r="D2012" t="inlineStr">
        <is>
          <t>Miss Glam Damar</t>
        </is>
      </c>
      <c r="E2012" t="n">
        <v>12</v>
      </c>
      <c r="F2012" t="n">
        <v>0.4823000000000001</v>
      </c>
      <c r="G2012" t="n">
        <v>2.73</v>
      </c>
      <c r="H2012" t="n">
        <v>3</v>
      </c>
      <c r="I2012" t="n">
        <v>11</v>
      </c>
      <c r="J2012" t="n">
        <v>3</v>
      </c>
      <c r="K2012" t="n">
        <v>0</v>
      </c>
      <c r="L2012" t="n">
        <v>6862</v>
      </c>
      <c r="M2012" t="n">
        <v>9000</v>
      </c>
      <c r="N2012" t="n">
        <v>91</v>
      </c>
      <c r="O2012" t="n">
        <v>0.91</v>
      </c>
      <c r="P2012" t="n">
        <v>1</v>
      </c>
      <c r="Q2012" t="n">
        <v>0.37</v>
      </c>
      <c r="R2012" t="n">
        <v>3</v>
      </c>
      <c r="S2012" t="n">
        <v>4340.700000000001</v>
      </c>
      <c r="T2012" t="n">
        <v>29</v>
      </c>
      <c r="U2012" t="n">
        <v>31</v>
      </c>
      <c r="V2012" t="n">
        <v>30</v>
      </c>
      <c r="W2012" t="n">
        <v>15</v>
      </c>
      <c r="X2012" t="n">
        <v>24.88077959776072</v>
      </c>
      <c r="Y2012" t="n">
        <v>1</v>
      </c>
      <c r="Z2012" t="n">
        <v>3</v>
      </c>
      <c r="AA2012" t="n">
        <v>0</v>
      </c>
      <c r="AB2012" t="n">
        <v>3</v>
      </c>
      <c r="AC2012" t="n">
        <v>3</v>
      </c>
      <c r="AD2012" t="n">
        <v>0</v>
      </c>
      <c r="AE2012" t="n">
        <v>20586</v>
      </c>
      <c r="AF2012" t="n">
        <v>12831</v>
      </c>
      <c r="AG2012" t="n">
        <v>2122</v>
      </c>
      <c r="AH2012" t="inlineStr">
        <is>
          <t>PT. SINAR PADANG LESTARI - PPN (PDG)</t>
        </is>
      </c>
      <c r="AI2012" t="n">
        <v>78</v>
      </c>
      <c r="AJ2012" t="inlineStr">
        <is>
          <t>HANASUI</t>
        </is>
      </c>
      <c r="AK2012" t="n">
        <v>21</v>
      </c>
      <c r="AL2012" t="inlineStr">
        <is>
          <t>Miss Glam Damar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HANASUI</t>
        </is>
      </c>
      <c r="B2013" s="2">
        <f>"8998824552961"</f>
        <v/>
      </c>
      <c r="C2013" t="inlineStr">
        <is>
          <t>HANASUI Collagen Micellar Cleansing Water 100ml</t>
        </is>
      </c>
      <c r="D2013" t="inlineStr">
        <is>
          <t>Miss Glam Damar</t>
        </is>
      </c>
      <c r="E2013" t="n">
        <v>9</v>
      </c>
      <c r="F2013" t="n">
        <v>1.1375</v>
      </c>
      <c r="G2013" t="n">
        <v>3.64</v>
      </c>
      <c r="H2013" t="n">
        <v>3</v>
      </c>
      <c r="I2013" t="n">
        <v>11</v>
      </c>
      <c r="J2013" t="n">
        <v>3</v>
      </c>
      <c r="K2013" t="n">
        <v>0</v>
      </c>
      <c r="L2013" t="n">
        <v>19320</v>
      </c>
      <c r="M2013" t="n">
        <v>29000</v>
      </c>
      <c r="N2013" t="n">
        <v>91</v>
      </c>
      <c r="O2013" t="n">
        <v>0.91</v>
      </c>
      <c r="P2013" t="n">
        <v>1</v>
      </c>
      <c r="Q2013" t="n">
        <v>0.27</v>
      </c>
      <c r="R2013" t="n">
        <v>3</v>
      </c>
      <c r="S2013" t="n">
        <v>32987.5</v>
      </c>
      <c r="T2013" t="n">
        <v>37</v>
      </c>
      <c r="U2013" t="n">
        <v>41</v>
      </c>
      <c r="V2013" t="n">
        <v>30</v>
      </c>
      <c r="W2013" t="n">
        <v>35</v>
      </c>
      <c r="X2013" t="n">
        <v>7.912087912087912</v>
      </c>
      <c r="Y2013" t="n">
        <v>1</v>
      </c>
      <c r="Z2013" t="n">
        <v>26</v>
      </c>
      <c r="AA2013" t="n">
        <v>4</v>
      </c>
      <c r="AB2013" t="n">
        <v>22</v>
      </c>
      <c r="AC2013" t="n">
        <v>22</v>
      </c>
      <c r="AD2013" t="n">
        <v>77280</v>
      </c>
      <c r="AE2013" t="n">
        <v>425040</v>
      </c>
      <c r="AF2013" t="n">
        <v>12831</v>
      </c>
      <c r="AG2013" t="n">
        <v>2122</v>
      </c>
      <c r="AH2013" t="inlineStr">
        <is>
          <t>PT. SINAR PADANG LESTARI - PPN (PDG)</t>
        </is>
      </c>
      <c r="AI2013" t="n">
        <v>78</v>
      </c>
      <c r="AJ2013" t="inlineStr">
        <is>
          <t>HANASUI</t>
        </is>
      </c>
      <c r="AK2013" t="n">
        <v>21</v>
      </c>
      <c r="AL2013" t="inlineStr">
        <is>
          <t>Miss Glam Damar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HANASUI</t>
        </is>
      </c>
      <c r="B2014" s="2">
        <f>"8998824552398"</f>
        <v/>
      </c>
      <c r="C2014" t="inlineStr">
        <is>
          <t>HANASUI Collagen Water Sunscreen SPF 30+ PA +++</t>
        </is>
      </c>
      <c r="D2014" t="inlineStr">
        <is>
          <t>Miss Glam Damar</t>
        </is>
      </c>
      <c r="E2014" t="n">
        <v>45</v>
      </c>
      <c r="F2014" t="n">
        <v>4.6592</v>
      </c>
      <c r="G2014" t="n">
        <v>11.83</v>
      </c>
      <c r="H2014" t="n">
        <v>3</v>
      </c>
      <c r="I2014" t="n">
        <v>11</v>
      </c>
      <c r="J2014" t="n">
        <v>3</v>
      </c>
      <c r="K2014" t="n">
        <v>0</v>
      </c>
      <c r="L2014" t="n">
        <v>18892</v>
      </c>
      <c r="M2014" t="n">
        <v>24000</v>
      </c>
      <c r="N2014" t="n">
        <v>91</v>
      </c>
      <c r="O2014" t="n">
        <v>0.91</v>
      </c>
      <c r="P2014" t="n">
        <v>1</v>
      </c>
      <c r="Q2014" t="n">
        <v>1.95</v>
      </c>
      <c r="R2014" t="n">
        <v>8</v>
      </c>
      <c r="S2014" t="n">
        <v>111820.8</v>
      </c>
      <c r="T2014" t="n">
        <v>117</v>
      </c>
      <c r="U2014" t="n">
        <v>131</v>
      </c>
      <c r="V2014" t="n">
        <v>30</v>
      </c>
      <c r="W2014" t="n">
        <v>140</v>
      </c>
      <c r="X2014" t="n">
        <v>9.65831043956044</v>
      </c>
      <c r="Y2014" t="n">
        <v>1</v>
      </c>
      <c r="Z2014" t="n">
        <v>95</v>
      </c>
      <c r="AA2014" t="n">
        <v>7</v>
      </c>
      <c r="AB2014" t="n">
        <v>88</v>
      </c>
      <c r="AC2014" t="n">
        <v>88</v>
      </c>
      <c r="AD2014" t="n">
        <v>132244</v>
      </c>
      <c r="AE2014" t="n">
        <v>1662496</v>
      </c>
      <c r="AF2014" t="n">
        <v>12831</v>
      </c>
      <c r="AG2014" t="n">
        <v>2122</v>
      </c>
      <c r="AH2014" t="inlineStr">
        <is>
          <t>PT. SINAR PADANG LESTARI - PPN (PDG)</t>
        </is>
      </c>
      <c r="AI2014" t="n">
        <v>78</v>
      </c>
      <c r="AJ2014" t="inlineStr">
        <is>
          <t>HANASUI</t>
        </is>
      </c>
      <c r="AK2014" t="n">
        <v>21</v>
      </c>
      <c r="AL2014" t="inlineStr">
        <is>
          <t>Miss Glam Damar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HANASUI</t>
        </is>
      </c>
      <c r="B2015" s="2">
        <f>"8998824551223"</f>
        <v/>
      </c>
      <c r="C2015" t="inlineStr">
        <is>
          <t>HANASUI Egg White Peel Off Mask 80gr</t>
        </is>
      </c>
      <c r="D2015" t="inlineStr">
        <is>
          <t>Miss Glam Damar</t>
        </is>
      </c>
      <c r="E2015" t="n">
        <v>0</v>
      </c>
      <c r="F2015" t="n">
        <v>0.3094</v>
      </c>
      <c r="G2015" t="n">
        <v>1.82</v>
      </c>
      <c r="H2015" t="n">
        <v>3</v>
      </c>
      <c r="I2015" t="n">
        <v>11</v>
      </c>
      <c r="J2015" t="n">
        <v>3</v>
      </c>
      <c r="K2015" t="n">
        <v>0</v>
      </c>
      <c r="L2015" t="n">
        <v>12121</v>
      </c>
      <c r="M2015" t="n">
        <v>16000</v>
      </c>
      <c r="N2015" t="n">
        <v>91</v>
      </c>
      <c r="O2015" t="n">
        <v>0.91</v>
      </c>
      <c r="P2015" t="n">
        <v>1</v>
      </c>
      <c r="Q2015" t="n">
        <v>0.14</v>
      </c>
      <c r="R2015" t="n">
        <v>1</v>
      </c>
      <c r="S2015" t="n">
        <v>4950.400000000001</v>
      </c>
      <c r="T2015" t="n">
        <v>20</v>
      </c>
      <c r="U2015" t="n">
        <v>21</v>
      </c>
      <c r="V2015" t="n">
        <v>30</v>
      </c>
      <c r="W2015" t="n">
        <v>10</v>
      </c>
      <c r="X2015" t="n">
        <v>0</v>
      </c>
      <c r="Y2015" t="n">
        <v>1</v>
      </c>
      <c r="Z2015" t="n">
        <v>10</v>
      </c>
      <c r="AA2015" t="n">
        <v>4</v>
      </c>
      <c r="AB2015" t="n">
        <v>6</v>
      </c>
      <c r="AC2015" t="n">
        <v>6</v>
      </c>
      <c r="AD2015" t="n">
        <v>48484</v>
      </c>
      <c r="AE2015" t="n">
        <v>72726</v>
      </c>
      <c r="AF2015" t="n">
        <v>12831</v>
      </c>
      <c r="AG2015" t="n">
        <v>2122</v>
      </c>
      <c r="AH2015" t="inlineStr">
        <is>
          <t>PT. SINAR PADANG LESTARI - PPN (PDG)</t>
        </is>
      </c>
      <c r="AI2015" t="n">
        <v>78</v>
      </c>
      <c r="AJ2015" t="inlineStr">
        <is>
          <t>HANASUI</t>
        </is>
      </c>
      <c r="AK2015" t="n">
        <v>21</v>
      </c>
      <c r="AL2015" t="inlineStr">
        <is>
          <t>Miss Glam Damar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HANASUI</t>
        </is>
      </c>
      <c r="B2016" s="2">
        <f>"8998824551537"</f>
        <v/>
      </c>
      <c r="C2016" t="inlineStr">
        <is>
          <t>HANASUI Extra Bamboo Charcoal Soap 60gr</t>
        </is>
      </c>
      <c r="D2016" t="inlineStr">
        <is>
          <t>Miss Glam Damar</t>
        </is>
      </c>
      <c r="E2016" t="n">
        <v>8</v>
      </c>
      <c r="F2016" t="n">
        <v>0.4004</v>
      </c>
      <c r="G2016" t="n">
        <v>3.64</v>
      </c>
      <c r="H2016" t="n">
        <v>3</v>
      </c>
      <c r="I2016" t="n">
        <v>11</v>
      </c>
      <c r="J2016" t="n">
        <v>3</v>
      </c>
      <c r="K2016" t="n">
        <v>0</v>
      </c>
      <c r="L2016" t="n">
        <v>6660</v>
      </c>
      <c r="M2016" t="n">
        <v>9000</v>
      </c>
      <c r="N2016" t="n">
        <v>91</v>
      </c>
      <c r="O2016" t="n">
        <v>0.91</v>
      </c>
      <c r="P2016" t="n">
        <v>1</v>
      </c>
      <c r="Q2016" t="n">
        <v>0.34</v>
      </c>
      <c r="R2016" t="n">
        <v>3</v>
      </c>
      <c r="S2016" t="n">
        <v>3603.6</v>
      </c>
      <c r="T2016" t="n">
        <v>39</v>
      </c>
      <c r="U2016" t="n">
        <v>41</v>
      </c>
      <c r="V2016" t="n">
        <v>30</v>
      </c>
      <c r="W2016" t="n">
        <v>13</v>
      </c>
      <c r="X2016" t="n">
        <v>19.98001998001998</v>
      </c>
      <c r="Y2016" t="n">
        <v>1</v>
      </c>
      <c r="Z2016" t="n">
        <v>5</v>
      </c>
      <c r="AA2016" t="n">
        <v>0</v>
      </c>
      <c r="AB2016" t="n">
        <v>5</v>
      </c>
      <c r="AC2016" t="n">
        <v>5</v>
      </c>
      <c r="AD2016" t="n">
        <v>0</v>
      </c>
      <c r="AE2016" t="n">
        <v>33300</v>
      </c>
      <c r="AF2016" t="n">
        <v>12831</v>
      </c>
      <c r="AG2016" t="n">
        <v>2122</v>
      </c>
      <c r="AH2016" t="inlineStr">
        <is>
          <t>PT. SINAR PADANG LESTARI - PPN (PDG)</t>
        </is>
      </c>
      <c r="AI2016" t="n">
        <v>78</v>
      </c>
      <c r="AJ2016" t="inlineStr">
        <is>
          <t>HANASUI</t>
        </is>
      </c>
      <c r="AK2016" t="n">
        <v>21</v>
      </c>
      <c r="AL2016" t="inlineStr">
        <is>
          <t>Miss Glam Damar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HANASUI</t>
        </is>
      </c>
      <c r="B2017" s="2">
        <f>"8998824552770"</f>
        <v/>
      </c>
      <c r="C2017" t="inlineStr">
        <is>
          <t>HANASUI Eyebrowtiful Pencil Black 1.6gr</t>
        </is>
      </c>
      <c r="D2017" t="inlineStr">
        <is>
          <t>Miss Glam Damar</t>
        </is>
      </c>
      <c r="E2017" t="n">
        <v>4</v>
      </c>
      <c r="F2017" t="n">
        <v>1.0374</v>
      </c>
      <c r="G2017" t="n">
        <v>4.55</v>
      </c>
      <c r="H2017" t="n">
        <v>3</v>
      </c>
      <c r="I2017" t="n">
        <v>11</v>
      </c>
      <c r="J2017" t="n">
        <v>3</v>
      </c>
      <c r="K2017" t="n">
        <v>0</v>
      </c>
      <c r="L2017" t="n">
        <v>10800</v>
      </c>
      <c r="M2017" t="n">
        <v>16500</v>
      </c>
      <c r="N2017" t="n">
        <v>91</v>
      </c>
      <c r="O2017" t="n">
        <v>0.91</v>
      </c>
      <c r="P2017" t="n">
        <v>1</v>
      </c>
      <c r="Q2017" t="n">
        <v>0.14</v>
      </c>
      <c r="R2017" t="n">
        <v>1</v>
      </c>
      <c r="S2017" t="n">
        <v>17117.1</v>
      </c>
      <c r="T2017" t="n">
        <v>47</v>
      </c>
      <c r="U2017" t="n">
        <v>51</v>
      </c>
      <c r="V2017" t="n">
        <v>30</v>
      </c>
      <c r="W2017" t="n">
        <v>32</v>
      </c>
      <c r="X2017" t="n">
        <v>3.855793329477541</v>
      </c>
      <c r="Y2017" t="n">
        <v>1</v>
      </c>
      <c r="Z2017" t="n">
        <v>28</v>
      </c>
      <c r="AA2017" t="n">
        <v>8</v>
      </c>
      <c r="AB2017" t="n">
        <v>20</v>
      </c>
      <c r="AC2017" t="n">
        <v>20</v>
      </c>
      <c r="AD2017" t="n">
        <v>86400</v>
      </c>
      <c r="AE2017" t="n">
        <v>216000</v>
      </c>
      <c r="AF2017" t="n">
        <v>12831</v>
      </c>
      <c r="AG2017" t="n">
        <v>2122</v>
      </c>
      <c r="AH2017" t="inlineStr">
        <is>
          <t>PT. SINAR PADANG LESTARI - PPN (PDG)</t>
        </is>
      </c>
      <c r="AI2017" t="n">
        <v>78</v>
      </c>
      <c r="AJ2017" t="inlineStr">
        <is>
          <t>HANASUI</t>
        </is>
      </c>
      <c r="AK2017" t="n">
        <v>21</v>
      </c>
      <c r="AL2017" t="inlineStr">
        <is>
          <t>Miss Glam Damar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HANASUI</t>
        </is>
      </c>
      <c r="B2018" s="2">
        <f>"8998824552756"</f>
        <v/>
      </c>
      <c r="C2018" t="inlineStr">
        <is>
          <t>HANASUI Eyebrowtiful Pencil Brown 1.6gr</t>
        </is>
      </c>
      <c r="D2018" t="inlineStr">
        <is>
          <t>Miss Glam Damar</t>
        </is>
      </c>
      <c r="E2018" t="n">
        <v>13</v>
      </c>
      <c r="F2018" t="n">
        <v>0.24</v>
      </c>
      <c r="G2018" t="n">
        <v>2</v>
      </c>
      <c r="H2018" t="n">
        <v>3</v>
      </c>
      <c r="I2018" t="n">
        <v>11</v>
      </c>
      <c r="J2018" t="n">
        <v>3</v>
      </c>
      <c r="K2018" t="n">
        <v>0</v>
      </c>
      <c r="L2018" t="n">
        <v>12494</v>
      </c>
      <c r="M2018" t="n">
        <v>16500</v>
      </c>
      <c r="N2018" t="n">
        <v>91</v>
      </c>
      <c r="O2018" t="n">
        <v>0.91</v>
      </c>
      <c r="P2018" t="n">
        <v>0</v>
      </c>
      <c r="Q2018" t="n">
        <v>0.24</v>
      </c>
      <c r="R2018" t="n">
        <v>2</v>
      </c>
      <c r="S2018" t="n">
        <v>3960</v>
      </c>
      <c r="T2018" t="n">
        <v>22</v>
      </c>
      <c r="U2018" t="n">
        <v>23</v>
      </c>
      <c r="V2018" t="n">
        <v>30</v>
      </c>
      <c r="W2018" t="n">
        <v>8</v>
      </c>
      <c r="X2018" t="n">
        <v>54.16666666666667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12831</v>
      </c>
      <c r="AG2018" t="n">
        <v>2122</v>
      </c>
      <c r="AH2018" t="inlineStr">
        <is>
          <t>PT. SINAR PADANG LESTARI - PPN (PDG)</t>
        </is>
      </c>
      <c r="AI2018" t="n">
        <v>78</v>
      </c>
      <c r="AJ2018" t="inlineStr">
        <is>
          <t>HANASUI</t>
        </is>
      </c>
      <c r="AK2018" t="n">
        <v>21</v>
      </c>
      <c r="AL2018" t="inlineStr">
        <is>
          <t>Miss Glam Damar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HANASUI</t>
        </is>
      </c>
      <c r="B2019" s="2">
        <f>"8998824553296"</f>
        <v/>
      </c>
      <c r="C2019" t="inlineStr">
        <is>
          <t>HANASUI Eyebrowtiful Pencil Light Brown 1.6gr</t>
        </is>
      </c>
      <c r="D2019" t="inlineStr">
        <is>
          <t>Miss Glam Damar</t>
        </is>
      </c>
      <c r="E2019" t="n">
        <v>24</v>
      </c>
      <c r="F2019" t="n">
        <v>1.9929</v>
      </c>
      <c r="G2019" t="n">
        <v>8.19</v>
      </c>
      <c r="H2019" t="n">
        <v>3</v>
      </c>
      <c r="I2019" t="n">
        <v>11</v>
      </c>
      <c r="J2019" t="n">
        <v>3</v>
      </c>
      <c r="K2019" t="n">
        <v>0</v>
      </c>
      <c r="L2019" t="n">
        <v>12446</v>
      </c>
      <c r="M2019" t="n">
        <v>16500</v>
      </c>
      <c r="N2019" t="n">
        <v>91</v>
      </c>
      <c r="O2019" t="n">
        <v>0.91</v>
      </c>
      <c r="P2019" t="n">
        <v>1</v>
      </c>
      <c r="Q2019" t="n">
        <v>0.92</v>
      </c>
      <c r="R2019" t="n">
        <v>6</v>
      </c>
      <c r="S2019" t="n">
        <v>32882.85</v>
      </c>
      <c r="T2019" t="n">
        <v>85</v>
      </c>
      <c r="U2019" t="n">
        <v>91</v>
      </c>
      <c r="V2019" t="n">
        <v>30</v>
      </c>
      <c r="W2019" t="n">
        <v>60</v>
      </c>
      <c r="X2019" t="n">
        <v>12.04275176877917</v>
      </c>
      <c r="Y2019" t="n">
        <v>1</v>
      </c>
      <c r="Z2019" t="n">
        <v>36</v>
      </c>
      <c r="AA2019" t="n">
        <v>0</v>
      </c>
      <c r="AB2019" t="n">
        <v>36</v>
      </c>
      <c r="AC2019" t="n">
        <v>36</v>
      </c>
      <c r="AD2019" t="n">
        <v>0</v>
      </c>
      <c r="AE2019" t="n">
        <v>448056</v>
      </c>
      <c r="AF2019" t="n">
        <v>12831</v>
      </c>
      <c r="AG2019" t="n">
        <v>2122</v>
      </c>
      <c r="AH2019" t="inlineStr">
        <is>
          <t>PT. SINAR PADANG LESTARI - PPN (PDG)</t>
        </is>
      </c>
      <c r="AI2019" t="n">
        <v>78</v>
      </c>
      <c r="AJ2019" t="inlineStr">
        <is>
          <t>HANASUI</t>
        </is>
      </c>
      <c r="AK2019" t="n">
        <v>21</v>
      </c>
      <c r="AL2019" t="inlineStr">
        <is>
          <t>Miss Glam Damar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HANASUI</t>
        </is>
      </c>
      <c r="B2020" s="2">
        <f>"8998824552381"</f>
        <v/>
      </c>
      <c r="C2020" t="inlineStr">
        <is>
          <t>HANASUI Eyedorable Mascara 0.8ml</t>
        </is>
      </c>
      <c r="D2020" t="inlineStr">
        <is>
          <t>Miss Glam Damar</t>
        </is>
      </c>
      <c r="E2020" t="n">
        <v>3</v>
      </c>
      <c r="F2020" t="n">
        <v>0.3822</v>
      </c>
      <c r="G2020" t="n">
        <v>2.73</v>
      </c>
      <c r="H2020" t="n">
        <v>3</v>
      </c>
      <c r="I2020" t="n">
        <v>11</v>
      </c>
      <c r="J2020" t="n">
        <v>3</v>
      </c>
      <c r="K2020" t="n">
        <v>0</v>
      </c>
      <c r="L2020" t="n">
        <v>30450</v>
      </c>
      <c r="M2020" t="n">
        <v>38500</v>
      </c>
      <c r="N2020" t="n">
        <v>91</v>
      </c>
      <c r="O2020" t="n">
        <v>0.91</v>
      </c>
      <c r="P2020" t="n">
        <v>1</v>
      </c>
      <c r="Q2020" t="n">
        <v>0.22</v>
      </c>
      <c r="R2020" t="n">
        <v>3</v>
      </c>
      <c r="S2020" t="n">
        <v>14714.7</v>
      </c>
      <c r="T2020" t="n">
        <v>29</v>
      </c>
      <c r="U2020" t="n">
        <v>31</v>
      </c>
      <c r="V2020" t="n">
        <v>30</v>
      </c>
      <c r="W2020" t="n">
        <v>12</v>
      </c>
      <c r="X2020" t="n">
        <v>7.849293563579278</v>
      </c>
      <c r="Y2020" t="n">
        <v>1</v>
      </c>
      <c r="Z2020" t="n">
        <v>9</v>
      </c>
      <c r="AA2020" t="n">
        <v>2</v>
      </c>
      <c r="AB2020" t="n">
        <v>7</v>
      </c>
      <c r="AC2020" t="n">
        <v>7</v>
      </c>
      <c r="AD2020" t="n">
        <v>60900</v>
      </c>
      <c r="AE2020" t="n">
        <v>213150</v>
      </c>
      <c r="AF2020" t="n">
        <v>12831</v>
      </c>
      <c r="AG2020" t="n">
        <v>2122</v>
      </c>
      <c r="AH2020" t="inlineStr">
        <is>
          <t>PT. SINAR PADANG LESTARI - PPN (PDG)</t>
        </is>
      </c>
      <c r="AI2020" t="n">
        <v>78</v>
      </c>
      <c r="AJ2020" t="inlineStr">
        <is>
          <t>HANASUI</t>
        </is>
      </c>
      <c r="AK2020" t="n">
        <v>21</v>
      </c>
      <c r="AL2020" t="inlineStr">
        <is>
          <t>Miss Glam Damar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HANASUI</t>
        </is>
      </c>
      <c r="B2021" s="2">
        <f>"8998824552824"</f>
        <v/>
      </c>
      <c r="C2021" t="inlineStr">
        <is>
          <t>HANASUI Eyetractive Liner Pen Black 0.8ml</t>
        </is>
      </c>
      <c r="D2021" t="inlineStr">
        <is>
          <t>Miss Glam Damar</t>
        </is>
      </c>
      <c r="E2021" t="n">
        <v>8</v>
      </c>
      <c r="F2021" t="n">
        <v>0.5551</v>
      </c>
      <c r="G2021" t="n">
        <v>1.82</v>
      </c>
      <c r="H2021" t="n">
        <v>3</v>
      </c>
      <c r="I2021" t="n">
        <v>11</v>
      </c>
      <c r="J2021" t="n">
        <v>3</v>
      </c>
      <c r="K2021" t="n">
        <v>0</v>
      </c>
      <c r="L2021" t="n">
        <v>25157</v>
      </c>
      <c r="M2021" t="n">
        <v>31500</v>
      </c>
      <c r="N2021" t="n">
        <v>91</v>
      </c>
      <c r="O2021" t="n">
        <v>0.91</v>
      </c>
      <c r="P2021" t="n">
        <v>1</v>
      </c>
      <c r="Q2021" t="n">
        <v>0.39</v>
      </c>
      <c r="R2021" t="n">
        <v>3</v>
      </c>
      <c r="S2021" t="n">
        <v>17485.65</v>
      </c>
      <c r="T2021" t="n">
        <v>19</v>
      </c>
      <c r="U2021" t="n">
        <v>21</v>
      </c>
      <c r="V2021" t="n">
        <v>30</v>
      </c>
      <c r="W2021" t="n">
        <v>17</v>
      </c>
      <c r="X2021" t="n">
        <v>14.41181769050621</v>
      </c>
      <c r="Y2021" t="n">
        <v>1</v>
      </c>
      <c r="Z2021" t="n">
        <v>9</v>
      </c>
      <c r="AA2021" t="n">
        <v>0</v>
      </c>
      <c r="AB2021" t="n">
        <v>9</v>
      </c>
      <c r="AC2021" t="n">
        <v>9</v>
      </c>
      <c r="AD2021" t="n">
        <v>0</v>
      </c>
      <c r="AE2021" t="n">
        <v>226413</v>
      </c>
      <c r="AF2021" t="n">
        <v>12831</v>
      </c>
      <c r="AG2021" t="n">
        <v>2122</v>
      </c>
      <c r="AH2021" t="inlineStr">
        <is>
          <t>PT. SINAR PADANG LESTARI - PPN (PDG)</t>
        </is>
      </c>
      <c r="AI2021" t="n">
        <v>78</v>
      </c>
      <c r="AJ2021" t="inlineStr">
        <is>
          <t>HANASUI</t>
        </is>
      </c>
      <c r="AK2021" t="n">
        <v>21</v>
      </c>
      <c r="AL2021" t="inlineStr">
        <is>
          <t>Miss Glam Damar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HANASUI</t>
        </is>
      </c>
      <c r="B2022" s="2">
        <f>"8998824552978"</f>
        <v/>
      </c>
      <c r="C2022" t="inlineStr">
        <is>
          <t>HANASUI Fix &amp; Glow Setting Spray 60ml</t>
        </is>
      </c>
      <c r="D2022" t="inlineStr">
        <is>
          <t>Miss Glam Damar</t>
        </is>
      </c>
      <c r="E2022" t="n">
        <v>12</v>
      </c>
      <c r="F2022" t="n">
        <v>1.3923</v>
      </c>
      <c r="G2022" t="n">
        <v>5.46</v>
      </c>
      <c r="H2022" t="n">
        <v>3</v>
      </c>
      <c r="I2022" t="n">
        <v>11</v>
      </c>
      <c r="J2022" t="n">
        <v>3</v>
      </c>
      <c r="K2022" t="n">
        <v>0</v>
      </c>
      <c r="L2022" t="n">
        <v>22713</v>
      </c>
      <c r="M2022" t="n">
        <v>29500</v>
      </c>
      <c r="N2022" t="n">
        <v>91</v>
      </c>
      <c r="O2022" t="n">
        <v>0.91</v>
      </c>
      <c r="P2022" t="n">
        <v>1</v>
      </c>
      <c r="Q2022" t="n">
        <v>0.47</v>
      </c>
      <c r="R2022" t="n">
        <v>2</v>
      </c>
      <c r="S2022" t="n">
        <v>41072.85000000001</v>
      </c>
      <c r="T2022" t="n">
        <v>56</v>
      </c>
      <c r="U2022" t="n">
        <v>61</v>
      </c>
      <c r="V2022" t="n">
        <v>30</v>
      </c>
      <c r="W2022" t="n">
        <v>42</v>
      </c>
      <c r="X2022" t="n">
        <v>8.618832148243913</v>
      </c>
      <c r="Y2022" t="n">
        <v>1</v>
      </c>
      <c r="Z2022" t="n">
        <v>30</v>
      </c>
      <c r="AA2022" t="n">
        <v>4</v>
      </c>
      <c r="AB2022" t="n">
        <v>26</v>
      </c>
      <c r="AC2022" t="n">
        <v>26</v>
      </c>
      <c r="AD2022" t="n">
        <v>90852</v>
      </c>
      <c r="AE2022" t="n">
        <v>590538</v>
      </c>
      <c r="AF2022" t="n">
        <v>12831</v>
      </c>
      <c r="AG2022" t="n">
        <v>2122</v>
      </c>
      <c r="AH2022" t="inlineStr">
        <is>
          <t>PT. SINAR PADANG LESTARI - PPN (PDG)</t>
        </is>
      </c>
      <c r="AI2022" t="n">
        <v>78</v>
      </c>
      <c r="AJ2022" t="inlineStr">
        <is>
          <t>HANASUI</t>
        </is>
      </c>
      <c r="AK2022" t="n">
        <v>21</v>
      </c>
      <c r="AL2022" t="inlineStr">
        <is>
          <t>Miss Glam Damar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HANASUI</t>
        </is>
      </c>
      <c r="B2023" s="2">
        <f>"10300514604"</f>
        <v/>
      </c>
      <c r="C2023" t="inlineStr">
        <is>
          <t>HANASUI Gentle Retinol Moisturizer 30gr</t>
        </is>
      </c>
      <c r="D2023" t="inlineStr">
        <is>
          <t>Miss Glam Damar</t>
        </is>
      </c>
      <c r="E2023" t="n">
        <v>9</v>
      </c>
      <c r="F2023" t="n">
        <v>0.4004</v>
      </c>
      <c r="G2023" t="n">
        <v>2.73</v>
      </c>
      <c r="H2023" t="n">
        <v>3</v>
      </c>
      <c r="I2023" t="n">
        <v>11</v>
      </c>
      <c r="J2023" t="n">
        <v>1</v>
      </c>
      <c r="K2023" t="n">
        <v>0</v>
      </c>
      <c r="L2023" t="n">
        <v>38401</v>
      </c>
      <c r="M2023" t="n">
        <v>48000</v>
      </c>
      <c r="N2023" t="n">
        <v>91</v>
      </c>
      <c r="O2023" t="n">
        <v>0.91</v>
      </c>
      <c r="P2023" t="n">
        <v>1</v>
      </c>
      <c r="Q2023" t="n">
        <v>0.29</v>
      </c>
      <c r="R2023" t="n">
        <v>2</v>
      </c>
      <c r="S2023" t="n">
        <v>19219.2</v>
      </c>
      <c r="T2023" t="n">
        <v>29</v>
      </c>
      <c r="U2023" t="n">
        <v>31</v>
      </c>
      <c r="V2023" t="n">
        <v>30</v>
      </c>
      <c r="W2023" t="n">
        <v>13</v>
      </c>
      <c r="X2023" t="n">
        <v>22.47752247752248</v>
      </c>
      <c r="Y2023" t="n">
        <v>1</v>
      </c>
      <c r="Z2023" t="n">
        <v>4</v>
      </c>
      <c r="AA2023" t="n">
        <v>0</v>
      </c>
      <c r="AB2023" t="n">
        <v>4</v>
      </c>
      <c r="AC2023" t="n">
        <v>4</v>
      </c>
      <c r="AD2023" t="n">
        <v>0</v>
      </c>
      <c r="AE2023" t="n">
        <v>153604</v>
      </c>
      <c r="AF2023" t="n">
        <v>12831</v>
      </c>
      <c r="AG2023" t="n">
        <v>2122</v>
      </c>
      <c r="AH2023" t="inlineStr">
        <is>
          <t>PT. SINAR PADANG LESTARI - PPN (PDG)</t>
        </is>
      </c>
      <c r="AI2023" t="n">
        <v>78</v>
      </c>
      <c r="AJ2023" t="inlineStr">
        <is>
          <t>HANASUI</t>
        </is>
      </c>
      <c r="AK2023" t="n">
        <v>21</v>
      </c>
      <c r="AL2023" t="inlineStr">
        <is>
          <t>Miss Glam Damar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HANASUI</t>
        </is>
      </c>
      <c r="B2024" s="2">
        <f>"8998824554590"</f>
        <v/>
      </c>
      <c r="C2024" t="inlineStr">
        <is>
          <t>HANASUI Glazedorable Vinly Stain Bless Me #04 4gr</t>
        </is>
      </c>
      <c r="D2024" t="inlineStr">
        <is>
          <t>Miss Glam Damar</t>
        </is>
      </c>
      <c r="E2024" t="n">
        <v>3</v>
      </c>
      <c r="F2024" t="n">
        <v>0.8008000000000001</v>
      </c>
      <c r="G2024" t="n">
        <v>4.55</v>
      </c>
      <c r="H2024" t="n">
        <v>3</v>
      </c>
      <c r="I2024" t="n">
        <v>11</v>
      </c>
      <c r="J2024" t="n">
        <v>3</v>
      </c>
      <c r="K2024" t="n">
        <v>0</v>
      </c>
      <c r="L2024" t="n">
        <v>27999</v>
      </c>
      <c r="M2024" t="n">
        <v>37000</v>
      </c>
      <c r="N2024" t="n">
        <v>91</v>
      </c>
      <c r="O2024" t="n">
        <v>0.91</v>
      </c>
      <c r="P2024" t="n">
        <v>1</v>
      </c>
      <c r="Q2024" t="n">
        <v>0.24</v>
      </c>
      <c r="R2024" t="n">
        <v>2</v>
      </c>
      <c r="S2024" t="n">
        <v>29629.6</v>
      </c>
      <c r="T2024" t="n">
        <v>48</v>
      </c>
      <c r="U2024" t="n">
        <v>51</v>
      </c>
      <c r="V2024" t="n">
        <v>30</v>
      </c>
      <c r="W2024" t="n">
        <v>25</v>
      </c>
      <c r="X2024" t="n">
        <v>3.746253746253746</v>
      </c>
      <c r="Y2024" t="n">
        <v>1</v>
      </c>
      <c r="Z2024" t="n">
        <v>22</v>
      </c>
      <c r="AA2024" t="n">
        <v>6</v>
      </c>
      <c r="AB2024" t="n">
        <v>16</v>
      </c>
      <c r="AC2024" t="n">
        <v>16</v>
      </c>
      <c r="AD2024" t="n">
        <v>167994</v>
      </c>
      <c r="AE2024" t="n">
        <v>447984</v>
      </c>
      <c r="AF2024" t="n">
        <v>12831</v>
      </c>
      <c r="AG2024" t="n">
        <v>2122</v>
      </c>
      <c r="AH2024" t="inlineStr">
        <is>
          <t>PT. SINAR PADANG LESTARI - PPN (PDG)</t>
        </is>
      </c>
      <c r="AI2024" t="n">
        <v>78</v>
      </c>
      <c r="AJ2024" t="inlineStr">
        <is>
          <t>HANASUI</t>
        </is>
      </c>
      <c r="AK2024" t="n">
        <v>21</v>
      </c>
      <c r="AL2024" t="inlineStr">
        <is>
          <t>Miss Glam Damar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HANASUI</t>
        </is>
      </c>
      <c r="B2025" s="2">
        <f>"8998824554538"</f>
        <v/>
      </c>
      <c r="C2025" t="inlineStr">
        <is>
          <t>HANASUI Glazedorable Vinly Stain Not Today #01 4gr</t>
        </is>
      </c>
      <c r="D2025" t="inlineStr">
        <is>
          <t>Miss Glam Damar</t>
        </is>
      </c>
      <c r="E2025" t="n">
        <v>6</v>
      </c>
      <c r="F2025" t="n">
        <v>1.0192</v>
      </c>
      <c r="G2025" t="n">
        <v>3.64</v>
      </c>
      <c r="H2025" t="n">
        <v>3</v>
      </c>
      <c r="I2025" t="n">
        <v>11</v>
      </c>
      <c r="J2025" t="n">
        <v>3</v>
      </c>
      <c r="K2025" t="n">
        <v>0</v>
      </c>
      <c r="L2025" t="n">
        <v>29129</v>
      </c>
      <c r="M2025" t="n">
        <v>37000</v>
      </c>
      <c r="N2025" t="n">
        <v>91</v>
      </c>
      <c r="O2025" t="n">
        <v>0.91</v>
      </c>
      <c r="P2025" t="n">
        <v>1</v>
      </c>
      <c r="Q2025" t="n">
        <v>0.37</v>
      </c>
      <c r="R2025" t="n">
        <v>2</v>
      </c>
      <c r="S2025" t="n">
        <v>37710.4</v>
      </c>
      <c r="T2025" t="n">
        <v>37</v>
      </c>
      <c r="U2025" t="n">
        <v>41</v>
      </c>
      <c r="V2025" t="n">
        <v>30</v>
      </c>
      <c r="W2025" t="n">
        <v>31</v>
      </c>
      <c r="X2025" t="n">
        <v>5.886970172684458</v>
      </c>
      <c r="Y2025" t="n">
        <v>1</v>
      </c>
      <c r="Z2025" t="n">
        <v>25</v>
      </c>
      <c r="AA2025" t="n">
        <v>6</v>
      </c>
      <c r="AB2025" t="n">
        <v>19</v>
      </c>
      <c r="AC2025" t="n">
        <v>19</v>
      </c>
      <c r="AD2025" t="n">
        <v>174774</v>
      </c>
      <c r="AE2025" t="n">
        <v>553451</v>
      </c>
      <c r="AF2025" t="n">
        <v>12831</v>
      </c>
      <c r="AG2025" t="n">
        <v>2122</v>
      </c>
      <c r="AH2025" t="inlineStr">
        <is>
          <t>PT. SINAR PADANG LESTARI - PPN (PDG)</t>
        </is>
      </c>
      <c r="AI2025" t="n">
        <v>78</v>
      </c>
      <c r="AJ2025" t="inlineStr">
        <is>
          <t>HANASUI</t>
        </is>
      </c>
      <c r="AK2025" t="n">
        <v>21</v>
      </c>
      <c r="AL2025" t="inlineStr">
        <is>
          <t>Miss Glam Damar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HANASUI</t>
        </is>
      </c>
      <c r="B2026" s="2">
        <f>"8998824554613"</f>
        <v/>
      </c>
      <c r="C2026" t="inlineStr">
        <is>
          <t>HANASUI Glazedorable Vinly Stain Speechless #05 4gr</t>
        </is>
      </c>
      <c r="D2026" t="inlineStr">
        <is>
          <t>Miss Glam Damar</t>
        </is>
      </c>
      <c r="E2026" t="n">
        <v>9</v>
      </c>
      <c r="F2026" t="n">
        <v>0.4914000000000001</v>
      </c>
      <c r="G2026" t="n">
        <v>2.73</v>
      </c>
      <c r="H2026" t="n">
        <v>3</v>
      </c>
      <c r="I2026" t="n">
        <v>11</v>
      </c>
      <c r="J2026" t="n">
        <v>3</v>
      </c>
      <c r="K2026" t="n">
        <v>0</v>
      </c>
      <c r="L2026" t="n">
        <v>29477</v>
      </c>
      <c r="M2026" t="n">
        <v>37000</v>
      </c>
      <c r="N2026" t="n">
        <v>91</v>
      </c>
      <c r="O2026" t="n">
        <v>0.91</v>
      </c>
      <c r="P2026" t="n">
        <v>1</v>
      </c>
      <c r="Q2026" t="n">
        <v>0.31</v>
      </c>
      <c r="R2026" t="n">
        <v>4</v>
      </c>
      <c r="S2026" t="n">
        <v>18181.8</v>
      </c>
      <c r="T2026" t="n">
        <v>29</v>
      </c>
      <c r="U2026" t="n">
        <v>31</v>
      </c>
      <c r="V2026" t="n">
        <v>30</v>
      </c>
      <c r="W2026" t="n">
        <v>15</v>
      </c>
      <c r="X2026" t="n">
        <v>18.31501831501831</v>
      </c>
      <c r="Y2026" t="n">
        <v>1</v>
      </c>
      <c r="Z2026" t="n">
        <v>6</v>
      </c>
      <c r="AA2026" t="n">
        <v>0</v>
      </c>
      <c r="AB2026" t="n">
        <v>6</v>
      </c>
      <c r="AC2026" t="n">
        <v>6</v>
      </c>
      <c r="AD2026" t="n">
        <v>0</v>
      </c>
      <c r="AE2026" t="n">
        <v>176862</v>
      </c>
      <c r="AF2026" t="n">
        <v>12831</v>
      </c>
      <c r="AG2026" t="n">
        <v>2122</v>
      </c>
      <c r="AH2026" t="inlineStr">
        <is>
          <t>PT. SINAR PADANG LESTARI - PPN (PDG)</t>
        </is>
      </c>
      <c r="AI2026" t="n">
        <v>78</v>
      </c>
      <c r="AJ2026" t="inlineStr">
        <is>
          <t>HANASUI</t>
        </is>
      </c>
      <c r="AK2026" t="n">
        <v>21</v>
      </c>
      <c r="AL2026" t="inlineStr">
        <is>
          <t>Miss Glam Damar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HANASUI</t>
        </is>
      </c>
      <c r="B2027" s="2">
        <f>"8998824554637"</f>
        <v/>
      </c>
      <c r="C2027" t="inlineStr">
        <is>
          <t>HANASUI Glazedorable Vinly Stain Stay Cool #06 4gr</t>
        </is>
      </c>
      <c r="D2027" t="inlineStr">
        <is>
          <t>Miss Glam Damar</t>
        </is>
      </c>
      <c r="E2027" t="n">
        <v>7</v>
      </c>
      <c r="F2027" t="n">
        <v>0.4823000000000001</v>
      </c>
      <c r="G2027" t="n">
        <v>3.64</v>
      </c>
      <c r="H2027" t="n">
        <v>3</v>
      </c>
      <c r="I2027" t="n">
        <v>11</v>
      </c>
      <c r="J2027" t="n">
        <v>3</v>
      </c>
      <c r="K2027" t="n">
        <v>0</v>
      </c>
      <c r="L2027" t="n">
        <v>29371</v>
      </c>
      <c r="M2027" t="n">
        <v>37000</v>
      </c>
      <c r="N2027" t="n">
        <v>91</v>
      </c>
      <c r="O2027" t="n">
        <v>0.91</v>
      </c>
      <c r="P2027" t="n">
        <v>1</v>
      </c>
      <c r="Q2027" t="n">
        <v>0.15</v>
      </c>
      <c r="R2027" t="n">
        <v>2</v>
      </c>
      <c r="S2027" t="n">
        <v>17845.1</v>
      </c>
      <c r="T2027" t="n">
        <v>39</v>
      </c>
      <c r="U2027" t="n">
        <v>41</v>
      </c>
      <c r="V2027" t="n">
        <v>30</v>
      </c>
      <c r="W2027" t="n">
        <v>15</v>
      </c>
      <c r="X2027" t="n">
        <v>14.51378809869376</v>
      </c>
      <c r="Y2027" t="n">
        <v>1</v>
      </c>
      <c r="Z2027" t="n">
        <v>8</v>
      </c>
      <c r="AA2027" t="n">
        <v>0</v>
      </c>
      <c r="AB2027" t="n">
        <v>8</v>
      </c>
      <c r="AC2027" t="n">
        <v>8</v>
      </c>
      <c r="AD2027" t="n">
        <v>0</v>
      </c>
      <c r="AE2027" t="n">
        <v>234968</v>
      </c>
      <c r="AF2027" t="n">
        <v>12831</v>
      </c>
      <c r="AG2027" t="n">
        <v>2122</v>
      </c>
      <c r="AH2027" t="inlineStr">
        <is>
          <t>PT. SINAR PADANG LESTARI - PPN (PDG)</t>
        </is>
      </c>
      <c r="AI2027" t="n">
        <v>78</v>
      </c>
      <c r="AJ2027" t="inlineStr">
        <is>
          <t>HANASUI</t>
        </is>
      </c>
      <c r="AK2027" t="n">
        <v>21</v>
      </c>
      <c r="AL2027" t="inlineStr">
        <is>
          <t>Miss Glam Damar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HANASUI</t>
        </is>
      </c>
      <c r="B2028" s="2">
        <f>"8998824554576"</f>
        <v/>
      </c>
      <c r="C2028" t="inlineStr">
        <is>
          <t>HANASUI Glazedorable Vinly Stain Thank You #03 4gr</t>
        </is>
      </c>
      <c r="D2028" t="inlineStr">
        <is>
          <t>Miss Glam Damar</t>
        </is>
      </c>
      <c r="E2028" t="n">
        <v>46</v>
      </c>
      <c r="F2028" t="n">
        <v>1.638</v>
      </c>
      <c r="G2028" t="n">
        <v>6.37</v>
      </c>
      <c r="H2028" t="n">
        <v>3</v>
      </c>
      <c r="I2028" t="n">
        <v>11</v>
      </c>
      <c r="J2028" t="n">
        <v>3</v>
      </c>
      <c r="K2028" t="n">
        <v>0</v>
      </c>
      <c r="L2028" t="n">
        <v>29541</v>
      </c>
      <c r="M2028" t="n">
        <v>37000</v>
      </c>
      <c r="N2028" t="n">
        <v>91</v>
      </c>
      <c r="O2028" t="n">
        <v>0.91</v>
      </c>
      <c r="P2028" t="n">
        <v>1</v>
      </c>
      <c r="Q2028" t="n">
        <v>0.98</v>
      </c>
      <c r="R2028" t="n">
        <v>5</v>
      </c>
      <c r="S2028" t="n">
        <v>60606.00000000001</v>
      </c>
      <c r="T2028" t="n">
        <v>66</v>
      </c>
      <c r="U2028" t="n">
        <v>71</v>
      </c>
      <c r="V2028" t="n">
        <v>30</v>
      </c>
      <c r="W2028" t="n">
        <v>50</v>
      </c>
      <c r="X2028" t="n">
        <v>28.08302808302808</v>
      </c>
      <c r="Y2028" t="n">
        <v>1</v>
      </c>
      <c r="Z2028" t="n">
        <v>4</v>
      </c>
      <c r="AA2028" t="n">
        <v>0</v>
      </c>
      <c r="AB2028" t="n">
        <v>4</v>
      </c>
      <c r="AC2028" t="n">
        <v>4</v>
      </c>
      <c r="AD2028" t="n">
        <v>0</v>
      </c>
      <c r="AE2028" t="n">
        <v>118164</v>
      </c>
      <c r="AF2028" t="n">
        <v>12831</v>
      </c>
      <c r="AG2028" t="n">
        <v>2122</v>
      </c>
      <c r="AH2028" t="inlineStr">
        <is>
          <t>PT. SINAR PADANG LESTARI - PPN (PDG)</t>
        </is>
      </c>
      <c r="AI2028" t="n">
        <v>78</v>
      </c>
      <c r="AJ2028" t="inlineStr">
        <is>
          <t>HANASUI</t>
        </is>
      </c>
      <c r="AK2028" t="n">
        <v>21</v>
      </c>
      <c r="AL2028" t="inlineStr">
        <is>
          <t>Miss Glam Damar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HANASUI</t>
        </is>
      </c>
      <c r="B2029" s="2">
        <f>"8998824554545"</f>
        <v/>
      </c>
      <c r="C2029" t="inlineStr">
        <is>
          <t>HANASUI Glazedorable Vinyl Stain 02 Yes Honey 4gr</t>
        </is>
      </c>
      <c r="D2029" t="inlineStr">
        <is>
          <t>Miss Glam Damar</t>
        </is>
      </c>
      <c r="E2029" t="n">
        <v>10</v>
      </c>
      <c r="F2029" t="n">
        <v>2.6572</v>
      </c>
      <c r="G2029" t="n">
        <v>7.28</v>
      </c>
      <c r="H2029" t="n">
        <v>3</v>
      </c>
      <c r="I2029" t="n">
        <v>11</v>
      </c>
      <c r="J2029" t="n">
        <v>3</v>
      </c>
      <c r="K2029" t="n">
        <v>0</v>
      </c>
      <c r="L2029" t="n">
        <v>28711</v>
      </c>
      <c r="M2029" t="n">
        <v>37000</v>
      </c>
      <c r="N2029" t="n">
        <v>91</v>
      </c>
      <c r="O2029" t="n">
        <v>0.91</v>
      </c>
      <c r="P2029" t="n">
        <v>1</v>
      </c>
      <c r="Q2029" t="n">
        <v>0.64</v>
      </c>
      <c r="R2029" t="n">
        <v>3</v>
      </c>
      <c r="S2029" t="n">
        <v>98316.39999999999</v>
      </c>
      <c r="T2029" t="n">
        <v>73</v>
      </c>
      <c r="U2029" t="n">
        <v>81</v>
      </c>
      <c r="V2029" t="n">
        <v>30</v>
      </c>
      <c r="W2029" t="n">
        <v>80</v>
      </c>
      <c r="X2029" t="n">
        <v>3.763359927743489</v>
      </c>
      <c r="Y2029" t="n">
        <v>1</v>
      </c>
      <c r="Z2029" t="n">
        <v>70</v>
      </c>
      <c r="AA2029" t="n">
        <v>20</v>
      </c>
      <c r="AB2029" t="n">
        <v>50</v>
      </c>
      <c r="AC2029" t="n">
        <v>50</v>
      </c>
      <c r="AD2029" t="n">
        <v>574220</v>
      </c>
      <c r="AE2029" t="n">
        <v>1435550</v>
      </c>
      <c r="AF2029" t="n">
        <v>12831</v>
      </c>
      <c r="AG2029" t="n">
        <v>2122</v>
      </c>
      <c r="AH2029" t="inlineStr">
        <is>
          <t>PT. SINAR PADANG LESTARI - PPN (PDG)</t>
        </is>
      </c>
      <c r="AI2029" t="n">
        <v>78</v>
      </c>
      <c r="AJ2029" t="inlineStr">
        <is>
          <t>HANASUI</t>
        </is>
      </c>
      <c r="AK2029" t="n">
        <v>21</v>
      </c>
      <c r="AL2029" t="inlineStr">
        <is>
          <t>Miss Glam Damar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HANASUI</t>
        </is>
      </c>
      <c r="B2030" s="2">
        <f>"8998824552213"</f>
        <v/>
      </c>
      <c r="C2030" t="inlineStr">
        <is>
          <t>HANASUI Glow Expert Day Cream 15gr</t>
        </is>
      </c>
      <c r="D2030" t="inlineStr">
        <is>
          <t>Miss Glam Damar</t>
        </is>
      </c>
      <c r="E2030" t="n">
        <v>10</v>
      </c>
      <c r="F2030" t="n">
        <v>0.6461</v>
      </c>
      <c r="G2030" t="n">
        <v>2.73</v>
      </c>
      <c r="H2030" t="n">
        <v>3</v>
      </c>
      <c r="I2030" t="n">
        <v>11</v>
      </c>
      <c r="J2030" t="n">
        <v>3</v>
      </c>
      <c r="K2030" t="n">
        <v>0</v>
      </c>
      <c r="L2030" t="n">
        <v>22799</v>
      </c>
      <c r="M2030" t="n">
        <v>28500</v>
      </c>
      <c r="N2030" t="n">
        <v>91</v>
      </c>
      <c r="O2030" t="n">
        <v>0.91</v>
      </c>
      <c r="P2030" t="n">
        <v>1</v>
      </c>
      <c r="Q2030" t="n">
        <v>0.39</v>
      </c>
      <c r="R2030" t="n">
        <v>3</v>
      </c>
      <c r="S2030" t="n">
        <v>18413.85</v>
      </c>
      <c r="T2030" t="n">
        <v>29</v>
      </c>
      <c r="U2030" t="n">
        <v>31</v>
      </c>
      <c r="V2030" t="n">
        <v>30</v>
      </c>
      <c r="W2030" t="n">
        <v>20</v>
      </c>
      <c r="X2030" t="n">
        <v>15.47748026621266</v>
      </c>
      <c r="Y2030" t="n">
        <v>1</v>
      </c>
      <c r="Z2030" t="n">
        <v>10</v>
      </c>
      <c r="AA2030" t="n">
        <v>0</v>
      </c>
      <c r="AB2030" t="n">
        <v>10</v>
      </c>
      <c r="AC2030" t="n">
        <v>10</v>
      </c>
      <c r="AD2030" t="n">
        <v>0</v>
      </c>
      <c r="AE2030" t="n">
        <v>227990</v>
      </c>
      <c r="AF2030" t="n">
        <v>12831</v>
      </c>
      <c r="AG2030" t="n">
        <v>2122</v>
      </c>
      <c r="AH2030" t="inlineStr">
        <is>
          <t>PT. SINAR PADANG LESTARI - PPN (PDG)</t>
        </is>
      </c>
      <c r="AI2030" t="n">
        <v>78</v>
      </c>
      <c r="AJ2030" t="inlineStr">
        <is>
          <t>HANASUI</t>
        </is>
      </c>
      <c r="AK2030" t="n">
        <v>21</v>
      </c>
      <c r="AL2030" t="inlineStr">
        <is>
          <t>Miss Glam Damar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HANASUI</t>
        </is>
      </c>
      <c r="B2031" s="2">
        <f>"8998824552237"</f>
        <v/>
      </c>
      <c r="C2031" t="inlineStr">
        <is>
          <t>HANASUI Glow Expert Essence 105ml</t>
        </is>
      </c>
      <c r="D2031" t="inlineStr">
        <is>
          <t>Miss Glam Damar</t>
        </is>
      </c>
      <c r="E2031" t="n">
        <v>6</v>
      </c>
      <c r="F2031" t="n">
        <v>0.3549</v>
      </c>
      <c r="G2031" t="n">
        <v>2.73</v>
      </c>
      <c r="H2031" t="n">
        <v>3</v>
      </c>
      <c r="I2031" t="n">
        <v>11</v>
      </c>
      <c r="J2031" t="n">
        <v>3</v>
      </c>
      <c r="K2031" t="n">
        <v>0</v>
      </c>
      <c r="L2031" t="n">
        <v>21600</v>
      </c>
      <c r="M2031" t="n">
        <v>27000</v>
      </c>
      <c r="N2031" t="n">
        <v>91</v>
      </c>
      <c r="O2031" t="n">
        <v>0.91</v>
      </c>
      <c r="P2031" t="n">
        <v>1</v>
      </c>
      <c r="Q2031" t="n">
        <v>0.24</v>
      </c>
      <c r="R2031" t="n">
        <v>3</v>
      </c>
      <c r="S2031" t="n">
        <v>9582.300000000001</v>
      </c>
      <c r="T2031" t="n">
        <v>29</v>
      </c>
      <c r="U2031" t="n">
        <v>31</v>
      </c>
      <c r="V2031" t="n">
        <v>30</v>
      </c>
      <c r="W2031" t="n">
        <v>11</v>
      </c>
      <c r="X2031" t="n">
        <v>16.90617075232459</v>
      </c>
      <c r="Y2031" t="n">
        <v>1</v>
      </c>
      <c r="Z2031" t="n">
        <v>5</v>
      </c>
      <c r="AA2031" t="n">
        <v>0</v>
      </c>
      <c r="AB2031" t="n">
        <v>5</v>
      </c>
      <c r="AC2031" t="n">
        <v>5</v>
      </c>
      <c r="AD2031" t="n">
        <v>0</v>
      </c>
      <c r="AE2031" t="n">
        <v>108000</v>
      </c>
      <c r="AF2031" t="n">
        <v>12831</v>
      </c>
      <c r="AG2031" t="n">
        <v>2122</v>
      </c>
      <c r="AH2031" t="inlineStr">
        <is>
          <t>PT. SINAR PADANG LESTARI - PPN (PDG)</t>
        </is>
      </c>
      <c r="AI2031" t="n">
        <v>78</v>
      </c>
      <c r="AJ2031" t="inlineStr">
        <is>
          <t>HANASUI</t>
        </is>
      </c>
      <c r="AK2031" t="n">
        <v>21</v>
      </c>
      <c r="AL2031" t="inlineStr">
        <is>
          <t>Miss Glam Damar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HANASUI</t>
        </is>
      </c>
      <c r="B2032" s="2">
        <f>"8998824552251"</f>
        <v/>
      </c>
      <c r="C2032" t="inlineStr">
        <is>
          <t>HANASUI Glow Expert Gentle Cleanser 60gr</t>
        </is>
      </c>
      <c r="D2032" t="inlineStr">
        <is>
          <t>Miss Glam Damar</t>
        </is>
      </c>
      <c r="E2032" t="n">
        <v>24</v>
      </c>
      <c r="F2032" t="n">
        <v>0.9282</v>
      </c>
      <c r="G2032" t="n">
        <v>2.73</v>
      </c>
      <c r="H2032" t="n">
        <v>3</v>
      </c>
      <c r="I2032" t="n">
        <v>11</v>
      </c>
      <c r="J2032" t="n">
        <v>3</v>
      </c>
      <c r="K2032" t="n">
        <v>0</v>
      </c>
      <c r="L2032" t="n">
        <v>18800</v>
      </c>
      <c r="M2032" t="n">
        <v>23500</v>
      </c>
      <c r="N2032" t="n">
        <v>91</v>
      </c>
      <c r="O2032" t="n">
        <v>0.91</v>
      </c>
      <c r="P2032" t="n">
        <v>1</v>
      </c>
      <c r="Q2032" t="n">
        <v>0.66</v>
      </c>
      <c r="R2032" t="n">
        <v>4</v>
      </c>
      <c r="S2032" t="n">
        <v>21812.7</v>
      </c>
      <c r="T2032" t="n">
        <v>28</v>
      </c>
      <c r="U2032" t="n">
        <v>31</v>
      </c>
      <c r="V2032" t="n">
        <v>30</v>
      </c>
      <c r="W2032" t="n">
        <v>28</v>
      </c>
      <c r="X2032" t="n">
        <v>25.85649644473174</v>
      </c>
      <c r="Y2032" t="n">
        <v>1</v>
      </c>
      <c r="Z2032" t="n">
        <v>4</v>
      </c>
      <c r="AA2032" t="n">
        <v>0</v>
      </c>
      <c r="AB2032" t="n">
        <v>4</v>
      </c>
      <c r="AC2032" t="n">
        <v>4</v>
      </c>
      <c r="AD2032" t="n">
        <v>0</v>
      </c>
      <c r="AE2032" t="n">
        <v>75200</v>
      </c>
      <c r="AF2032" t="n">
        <v>12831</v>
      </c>
      <c r="AG2032" t="n">
        <v>2122</v>
      </c>
      <c r="AH2032" t="inlineStr">
        <is>
          <t>PT. SINAR PADANG LESTARI - PPN (PDG)</t>
        </is>
      </c>
      <c r="AI2032" t="n">
        <v>78</v>
      </c>
      <c r="AJ2032" t="inlineStr">
        <is>
          <t>HANASUI</t>
        </is>
      </c>
      <c r="AK2032" t="n">
        <v>21</v>
      </c>
      <c r="AL2032" t="inlineStr">
        <is>
          <t>Miss Glam Damar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HANASUI</t>
        </is>
      </c>
      <c r="B2033" s="2">
        <f>"8998824552220"</f>
        <v/>
      </c>
      <c r="C2033" t="inlineStr">
        <is>
          <t>HANASUI Glow Expert Night Cream 15gr</t>
        </is>
      </c>
      <c r="D2033" t="inlineStr">
        <is>
          <t>Miss Glam Damar</t>
        </is>
      </c>
      <c r="E2033" t="n">
        <v>12</v>
      </c>
      <c r="F2033" t="n">
        <v>0.5733</v>
      </c>
      <c r="G2033" t="n">
        <v>3.64</v>
      </c>
      <c r="H2033" t="n">
        <v>3</v>
      </c>
      <c r="I2033" t="n">
        <v>11</v>
      </c>
      <c r="J2033" t="n">
        <v>3</v>
      </c>
      <c r="K2033" t="n">
        <v>0</v>
      </c>
      <c r="L2033" t="n">
        <v>23856</v>
      </c>
      <c r="M2033" t="n">
        <v>28500</v>
      </c>
      <c r="N2033" t="n">
        <v>91</v>
      </c>
      <c r="O2033" t="n">
        <v>0.91</v>
      </c>
      <c r="P2033" t="n">
        <v>1</v>
      </c>
      <c r="Q2033" t="n">
        <v>0.32</v>
      </c>
      <c r="R2033" t="n">
        <v>2</v>
      </c>
      <c r="S2033" t="n">
        <v>16339.05</v>
      </c>
      <c r="T2033" t="n">
        <v>39</v>
      </c>
      <c r="U2033" t="n">
        <v>41</v>
      </c>
      <c r="V2033" t="n">
        <v>30</v>
      </c>
      <c r="W2033" t="n">
        <v>18</v>
      </c>
      <c r="X2033" t="n">
        <v>20.93144950287807</v>
      </c>
      <c r="Y2033" t="n">
        <v>1</v>
      </c>
      <c r="Z2033" t="n">
        <v>6</v>
      </c>
      <c r="AA2033" t="n">
        <v>0</v>
      </c>
      <c r="AB2033" t="n">
        <v>6</v>
      </c>
      <c r="AC2033" t="n">
        <v>6</v>
      </c>
      <c r="AD2033" t="n">
        <v>0</v>
      </c>
      <c r="AE2033" t="n">
        <v>143136</v>
      </c>
      <c r="AF2033" t="n">
        <v>12831</v>
      </c>
      <c r="AG2033" t="n">
        <v>2122</v>
      </c>
      <c r="AH2033" t="inlineStr">
        <is>
          <t>PT. SINAR PADANG LESTARI - PPN (PDG)</t>
        </is>
      </c>
      <c r="AI2033" t="n">
        <v>78</v>
      </c>
      <c r="AJ2033" t="inlineStr">
        <is>
          <t>HANASUI</t>
        </is>
      </c>
      <c r="AK2033" t="n">
        <v>21</v>
      </c>
      <c r="AL2033" t="inlineStr">
        <is>
          <t>Miss Glam Damar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HANASUI</t>
        </is>
      </c>
      <c r="B2034" s="2">
        <f>"8998824552510"</f>
        <v/>
      </c>
      <c r="C2034" t="inlineStr">
        <is>
          <t>HANASUI Japanesse Flower Mineral Mud Mask 7gr</t>
        </is>
      </c>
      <c r="D2034" t="inlineStr">
        <is>
          <t>Miss Glam Damar</t>
        </is>
      </c>
      <c r="E2034" t="n">
        <v>18</v>
      </c>
      <c r="F2034" t="n">
        <v>1.1284</v>
      </c>
      <c r="G2034" t="n">
        <v>6.37</v>
      </c>
      <c r="H2034" t="n">
        <v>3</v>
      </c>
      <c r="I2034" t="n">
        <v>11</v>
      </c>
      <c r="J2034" t="n">
        <v>3</v>
      </c>
      <c r="K2034" t="n">
        <v>0</v>
      </c>
      <c r="L2034" t="n">
        <v>2339</v>
      </c>
      <c r="M2034" t="n">
        <v>3000</v>
      </c>
      <c r="N2034" t="n">
        <v>91</v>
      </c>
      <c r="O2034" t="n">
        <v>0.91</v>
      </c>
      <c r="P2034" t="n">
        <v>1</v>
      </c>
      <c r="Q2034" t="n">
        <v>1.25</v>
      </c>
      <c r="R2034" t="n">
        <v>10</v>
      </c>
      <c r="S2034" t="n">
        <v>3385.2</v>
      </c>
      <c r="T2034" t="n">
        <v>67</v>
      </c>
      <c r="U2034" t="n">
        <v>71</v>
      </c>
      <c r="V2034" t="n">
        <v>30</v>
      </c>
      <c r="W2034" t="n">
        <v>34</v>
      </c>
      <c r="X2034" t="n">
        <v>15.95179014533853</v>
      </c>
      <c r="Y2034" t="n">
        <v>1</v>
      </c>
      <c r="Z2034" t="n">
        <v>16</v>
      </c>
      <c r="AA2034" t="n">
        <v>0</v>
      </c>
      <c r="AB2034" t="n">
        <v>16</v>
      </c>
      <c r="AC2034" t="n">
        <v>16</v>
      </c>
      <c r="AD2034" t="n">
        <v>0</v>
      </c>
      <c r="AE2034" t="n">
        <v>37424</v>
      </c>
      <c r="AF2034" t="n">
        <v>12831</v>
      </c>
      <c r="AG2034" t="n">
        <v>2122</v>
      </c>
      <c r="AH2034" t="inlineStr">
        <is>
          <t>PT. SINAR PADANG LESTARI - PPN (PDG)</t>
        </is>
      </c>
      <c r="AI2034" t="n">
        <v>78</v>
      </c>
      <c r="AJ2034" t="inlineStr">
        <is>
          <t>HANASUI</t>
        </is>
      </c>
      <c r="AK2034" t="n">
        <v>21</v>
      </c>
      <c r="AL2034" t="inlineStr">
        <is>
          <t>Miss Glam Damar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HANASUI</t>
        </is>
      </c>
      <c r="B2035" s="2">
        <f>"8998824552534"</f>
        <v/>
      </c>
      <c r="C2035" t="inlineStr">
        <is>
          <t>HANASUI Korean Herbal Mineral Mud Mask 7gr</t>
        </is>
      </c>
      <c r="D2035" t="inlineStr">
        <is>
          <t>Miss Glam Damar</t>
        </is>
      </c>
      <c r="E2035" t="n">
        <v>27</v>
      </c>
      <c r="F2035" t="n">
        <v>0.8644999999999999</v>
      </c>
      <c r="G2035" t="n">
        <v>4.55</v>
      </c>
      <c r="H2035" t="n">
        <v>3</v>
      </c>
      <c r="I2035" t="n">
        <v>11</v>
      </c>
      <c r="J2035" t="n">
        <v>3</v>
      </c>
      <c r="K2035" t="n">
        <v>0</v>
      </c>
      <c r="L2035" t="n">
        <v>2341</v>
      </c>
      <c r="M2035" t="n">
        <v>3000</v>
      </c>
      <c r="N2035" t="n">
        <v>91</v>
      </c>
      <c r="O2035" t="n">
        <v>0.91</v>
      </c>
      <c r="P2035" t="n">
        <v>1</v>
      </c>
      <c r="Q2035" t="n">
        <v>0.86</v>
      </c>
      <c r="R2035" t="n">
        <v>6</v>
      </c>
      <c r="S2035" t="n">
        <v>2593.5</v>
      </c>
      <c r="T2035" t="n">
        <v>48</v>
      </c>
      <c r="U2035" t="n">
        <v>51</v>
      </c>
      <c r="V2035" t="n">
        <v>30</v>
      </c>
      <c r="W2035" t="n">
        <v>26</v>
      </c>
      <c r="X2035" t="n">
        <v>31.23192596876808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12831</v>
      </c>
      <c r="AG2035" t="n">
        <v>2122</v>
      </c>
      <c r="AH2035" t="inlineStr">
        <is>
          <t>PT. SINAR PADANG LESTARI - PPN (PDG)</t>
        </is>
      </c>
      <c r="AI2035" t="n">
        <v>78</v>
      </c>
      <c r="AJ2035" t="inlineStr">
        <is>
          <t>HANASUI</t>
        </is>
      </c>
      <c r="AK2035" t="n">
        <v>21</v>
      </c>
      <c r="AL2035" t="inlineStr">
        <is>
          <t>Miss Glam Damar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HANASUI</t>
        </is>
      </c>
      <c r="B2036" s="2">
        <f>"8998824552039"</f>
        <v/>
      </c>
      <c r="C2036" t="inlineStr">
        <is>
          <t>HANASUI Lip Sleeping Serum Strawberry &amp; Honey 12gr</t>
        </is>
      </c>
      <c r="D2036" t="inlineStr">
        <is>
          <t>Miss Glam Damar</t>
        </is>
      </c>
      <c r="E2036" t="n">
        <v>13</v>
      </c>
      <c r="F2036" t="n">
        <v>0.8644999999999999</v>
      </c>
      <c r="G2036" t="n">
        <v>3.64</v>
      </c>
      <c r="H2036" t="n">
        <v>3</v>
      </c>
      <c r="I2036" t="n">
        <v>11</v>
      </c>
      <c r="J2036" t="n">
        <v>3</v>
      </c>
      <c r="K2036" t="n">
        <v>0</v>
      </c>
      <c r="L2036" t="n">
        <v>22787</v>
      </c>
      <c r="M2036" t="n">
        <v>29000</v>
      </c>
      <c r="N2036" t="n">
        <v>91</v>
      </c>
      <c r="O2036" t="n">
        <v>0.91</v>
      </c>
      <c r="P2036" t="n">
        <v>1</v>
      </c>
      <c r="Q2036" t="n">
        <v>0.44</v>
      </c>
      <c r="R2036" t="n">
        <v>3</v>
      </c>
      <c r="S2036" t="n">
        <v>25070.5</v>
      </c>
      <c r="T2036" t="n">
        <v>38</v>
      </c>
      <c r="U2036" t="n">
        <v>41</v>
      </c>
      <c r="V2036" t="n">
        <v>30</v>
      </c>
      <c r="W2036" t="n">
        <v>26</v>
      </c>
      <c r="X2036" t="n">
        <v>15.03759398496241</v>
      </c>
      <c r="Y2036" t="n">
        <v>1</v>
      </c>
      <c r="Z2036" t="n">
        <v>13</v>
      </c>
      <c r="AA2036" t="n">
        <v>0</v>
      </c>
      <c r="AB2036" t="n">
        <v>13</v>
      </c>
      <c r="AC2036" t="n">
        <v>13</v>
      </c>
      <c r="AD2036" t="n">
        <v>0</v>
      </c>
      <c r="AE2036" t="n">
        <v>296231</v>
      </c>
      <c r="AF2036" t="n">
        <v>12831</v>
      </c>
      <c r="AG2036" t="n">
        <v>2122</v>
      </c>
      <c r="AH2036" t="inlineStr">
        <is>
          <t>PT. SINAR PADANG LESTARI - PPN (PDG)</t>
        </is>
      </c>
      <c r="AI2036" t="n">
        <v>78</v>
      </c>
      <c r="AJ2036" t="inlineStr">
        <is>
          <t>HANASUI</t>
        </is>
      </c>
      <c r="AK2036" t="n">
        <v>21</v>
      </c>
      <c r="AL2036" t="inlineStr">
        <is>
          <t>Miss Glam Damar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HANASUI</t>
        </is>
      </c>
      <c r="B2037" s="2">
        <f>"8998824552985"</f>
        <v/>
      </c>
      <c r="C2037" t="inlineStr">
        <is>
          <t>HANASUI Makeup Remover+Collagen Water 100ml</t>
        </is>
      </c>
      <c r="D2037" t="inlineStr">
        <is>
          <t>Miss Glam Damar</t>
        </is>
      </c>
      <c r="E2037" t="n">
        <v>6</v>
      </c>
      <c r="F2037" t="n">
        <v>0.0728</v>
      </c>
      <c r="G2037" t="n">
        <v>0.91</v>
      </c>
      <c r="H2037" t="n">
        <v>3</v>
      </c>
      <c r="I2037" t="n">
        <v>11</v>
      </c>
      <c r="J2037" t="n">
        <v>3</v>
      </c>
      <c r="K2037" t="n">
        <v>0</v>
      </c>
      <c r="L2037" t="n">
        <v>26880</v>
      </c>
      <c r="M2037" t="n">
        <v>35500</v>
      </c>
      <c r="N2037" t="n">
        <v>91</v>
      </c>
      <c r="O2037" t="n">
        <v>0.91</v>
      </c>
      <c r="P2037" t="n">
        <v>1</v>
      </c>
      <c r="Q2037" t="n">
        <v>0.1</v>
      </c>
      <c r="R2037" t="n">
        <v>2</v>
      </c>
      <c r="S2037" t="n">
        <v>2584.4</v>
      </c>
      <c r="T2037" t="n">
        <v>10</v>
      </c>
      <c r="U2037" t="n">
        <v>11</v>
      </c>
      <c r="V2037" t="n">
        <v>30</v>
      </c>
      <c r="W2037" t="n">
        <v>3</v>
      </c>
      <c r="X2037" t="n">
        <v>82.41758241758241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12831</v>
      </c>
      <c r="AG2037" t="n">
        <v>2122</v>
      </c>
      <c r="AH2037" t="inlineStr">
        <is>
          <t>PT. SINAR PADANG LESTARI - PPN (PDG)</t>
        </is>
      </c>
      <c r="AI2037" t="n">
        <v>78</v>
      </c>
      <c r="AJ2037" t="inlineStr">
        <is>
          <t>HANASUI</t>
        </is>
      </c>
      <c r="AK2037" t="n">
        <v>21</v>
      </c>
      <c r="AL2037" t="inlineStr">
        <is>
          <t>Miss Glam Damar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HANASUI</t>
        </is>
      </c>
      <c r="B2038" s="2">
        <f>"8998824551766"</f>
        <v/>
      </c>
      <c r="C2038" t="inlineStr">
        <is>
          <t>HANASUI Mattedorable Lip Cream 01 Kiss 4gr</t>
        </is>
      </c>
      <c r="D2038" t="inlineStr">
        <is>
          <t>Miss Glam Damar</t>
        </is>
      </c>
      <c r="E2038" t="n">
        <v>46</v>
      </c>
      <c r="F2038" t="n">
        <v>1.6653</v>
      </c>
      <c r="G2038" t="n">
        <v>8.19</v>
      </c>
      <c r="H2038" t="n">
        <v>3</v>
      </c>
      <c r="I2038" t="n">
        <v>11</v>
      </c>
      <c r="J2038" t="n">
        <v>3</v>
      </c>
      <c r="K2038" t="n">
        <v>0</v>
      </c>
      <c r="L2038" t="n">
        <v>21200</v>
      </c>
      <c r="M2038" t="n">
        <v>26500</v>
      </c>
      <c r="N2038" t="n">
        <v>91</v>
      </c>
      <c r="O2038" t="n">
        <v>0.91</v>
      </c>
      <c r="P2038" t="n">
        <v>1</v>
      </c>
      <c r="Q2038" t="n">
        <v>1.44</v>
      </c>
      <c r="R2038" t="n">
        <v>6</v>
      </c>
      <c r="S2038" t="n">
        <v>44130.45</v>
      </c>
      <c r="T2038" t="n">
        <v>86</v>
      </c>
      <c r="U2038" t="n">
        <v>91</v>
      </c>
      <c r="V2038" t="n">
        <v>30</v>
      </c>
      <c r="W2038" t="n">
        <v>50</v>
      </c>
      <c r="X2038" t="n">
        <v>27.62265057347024</v>
      </c>
      <c r="Y2038" t="n">
        <v>1</v>
      </c>
      <c r="Z2038" t="n">
        <v>4</v>
      </c>
      <c r="AA2038" t="n">
        <v>0</v>
      </c>
      <c r="AB2038" t="n">
        <v>4</v>
      </c>
      <c r="AC2038" t="n">
        <v>4</v>
      </c>
      <c r="AD2038" t="n">
        <v>0</v>
      </c>
      <c r="AE2038" t="n">
        <v>84800</v>
      </c>
      <c r="AF2038" t="n">
        <v>12831</v>
      </c>
      <c r="AG2038" t="n">
        <v>2122</v>
      </c>
      <c r="AH2038" t="inlineStr">
        <is>
          <t>PT. SINAR PADANG LESTARI - PPN (PDG)</t>
        </is>
      </c>
      <c r="AI2038" t="n">
        <v>78</v>
      </c>
      <c r="AJ2038" t="inlineStr">
        <is>
          <t>HANASUI</t>
        </is>
      </c>
      <c r="AK2038" t="n">
        <v>21</v>
      </c>
      <c r="AL2038" t="inlineStr">
        <is>
          <t>Miss Glam Damar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HANASUI</t>
        </is>
      </c>
      <c r="B2039" s="2">
        <f>"8998824551773"</f>
        <v/>
      </c>
      <c r="C2039" t="inlineStr">
        <is>
          <t>HANASUI Mattedorable Lip Cream 02 Posh 4gr</t>
        </is>
      </c>
      <c r="D2039" t="inlineStr">
        <is>
          <t>Miss Glam Damar</t>
        </is>
      </c>
      <c r="E2039" t="n">
        <v>5</v>
      </c>
      <c r="F2039" t="n">
        <v>0.4914000000000001</v>
      </c>
      <c r="G2039" t="n">
        <v>1.82</v>
      </c>
      <c r="H2039" t="n">
        <v>3</v>
      </c>
      <c r="I2039" t="n">
        <v>11</v>
      </c>
      <c r="J2039" t="n">
        <v>3</v>
      </c>
      <c r="K2039" t="n">
        <v>0</v>
      </c>
      <c r="L2039" t="n">
        <v>21191</v>
      </c>
      <c r="M2039" t="n">
        <v>26500</v>
      </c>
      <c r="N2039" t="n">
        <v>91</v>
      </c>
      <c r="O2039" t="n">
        <v>0.91</v>
      </c>
      <c r="P2039" t="n">
        <v>1</v>
      </c>
      <c r="Q2039" t="n">
        <v>0.32</v>
      </c>
      <c r="R2039" t="n">
        <v>2</v>
      </c>
      <c r="S2039" t="n">
        <v>13022.1</v>
      </c>
      <c r="T2039" t="n">
        <v>19</v>
      </c>
      <c r="U2039" t="n">
        <v>21</v>
      </c>
      <c r="V2039" t="n">
        <v>30</v>
      </c>
      <c r="W2039" t="n">
        <v>15</v>
      </c>
      <c r="X2039" t="n">
        <v>10.17501017501017</v>
      </c>
      <c r="Y2039" t="n">
        <v>1</v>
      </c>
      <c r="Z2039" t="n">
        <v>10</v>
      </c>
      <c r="AA2039" t="n">
        <v>1</v>
      </c>
      <c r="AB2039" t="n">
        <v>9</v>
      </c>
      <c r="AC2039" t="n">
        <v>9</v>
      </c>
      <c r="AD2039" t="n">
        <v>21191</v>
      </c>
      <c r="AE2039" t="n">
        <v>190719</v>
      </c>
      <c r="AF2039" t="n">
        <v>12831</v>
      </c>
      <c r="AG2039" t="n">
        <v>2122</v>
      </c>
      <c r="AH2039" t="inlineStr">
        <is>
          <t>PT. SINAR PADANG LESTARI - PPN (PDG)</t>
        </is>
      </c>
      <c r="AI2039" t="n">
        <v>78</v>
      </c>
      <c r="AJ2039" t="inlineStr">
        <is>
          <t>HANASUI</t>
        </is>
      </c>
      <c r="AK2039" t="n">
        <v>21</v>
      </c>
      <c r="AL2039" t="inlineStr">
        <is>
          <t>Miss Glam Damar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HANASUI</t>
        </is>
      </c>
      <c r="B2040" s="2">
        <f>"8998824551780"</f>
        <v/>
      </c>
      <c r="C2040" t="inlineStr">
        <is>
          <t>HANASUI Mattedorable Lip Cream 03 Star 4gr</t>
        </is>
      </c>
      <c r="D2040" t="inlineStr">
        <is>
          <t>Miss Glam Damar</t>
        </is>
      </c>
      <c r="E2040" t="n">
        <v>23</v>
      </c>
      <c r="F2040" t="n">
        <v>0.7280000000000001</v>
      </c>
      <c r="G2040" t="n">
        <v>4.55</v>
      </c>
      <c r="H2040" t="n">
        <v>3</v>
      </c>
      <c r="I2040" t="n">
        <v>11</v>
      </c>
      <c r="J2040" t="n">
        <v>3</v>
      </c>
      <c r="K2040" t="n">
        <v>0</v>
      </c>
      <c r="L2040" t="n">
        <v>21200</v>
      </c>
      <c r="M2040" t="n">
        <v>26500</v>
      </c>
      <c r="N2040" t="n">
        <v>91</v>
      </c>
      <c r="O2040" t="n">
        <v>0.91</v>
      </c>
      <c r="P2040" t="n">
        <v>1</v>
      </c>
      <c r="Q2040" t="n">
        <v>0.59</v>
      </c>
      <c r="R2040" t="n">
        <v>3</v>
      </c>
      <c r="S2040" t="n">
        <v>19292</v>
      </c>
      <c r="T2040" t="n">
        <v>48</v>
      </c>
      <c r="U2040" t="n">
        <v>51</v>
      </c>
      <c r="V2040" t="n">
        <v>30</v>
      </c>
      <c r="W2040" t="n">
        <v>22</v>
      </c>
      <c r="X2040" t="n">
        <v>31.59340659340659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12831</v>
      </c>
      <c r="AG2040" t="n">
        <v>2122</v>
      </c>
      <c r="AH2040" t="inlineStr">
        <is>
          <t>PT. SINAR PADANG LESTARI - PPN (PDG)</t>
        </is>
      </c>
      <c r="AI2040" t="n">
        <v>78</v>
      </c>
      <c r="AJ2040" t="inlineStr">
        <is>
          <t>HANASUI</t>
        </is>
      </c>
      <c r="AK2040" t="n">
        <v>21</v>
      </c>
      <c r="AL2040" t="inlineStr">
        <is>
          <t>Miss Glam Damar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HANASUI</t>
        </is>
      </c>
      <c r="B2041" s="2">
        <f>"8998824551797"</f>
        <v/>
      </c>
      <c r="C2041" t="inlineStr">
        <is>
          <t>HANASUI Mattedorable Lip Cream 04 Chic 4gr</t>
        </is>
      </c>
      <c r="D2041" t="inlineStr">
        <is>
          <t>Miss Glam Damar</t>
        </is>
      </c>
      <c r="E2041" t="n">
        <v>48</v>
      </c>
      <c r="F2041" t="n">
        <v>2.1021</v>
      </c>
      <c r="G2041" t="n">
        <v>6.37</v>
      </c>
      <c r="H2041" t="n">
        <v>3</v>
      </c>
      <c r="I2041" t="n">
        <v>11</v>
      </c>
      <c r="J2041" t="n">
        <v>3</v>
      </c>
      <c r="K2041" t="n">
        <v>0</v>
      </c>
      <c r="L2041" t="n">
        <v>21200</v>
      </c>
      <c r="M2041" t="n">
        <v>26500</v>
      </c>
      <c r="N2041" t="n">
        <v>91</v>
      </c>
      <c r="O2041" t="n">
        <v>0.91</v>
      </c>
      <c r="P2041" t="n">
        <v>1</v>
      </c>
      <c r="Q2041" t="n">
        <v>0.92</v>
      </c>
      <c r="R2041" t="n">
        <v>4</v>
      </c>
      <c r="S2041" t="n">
        <v>55705.65</v>
      </c>
      <c r="T2041" t="n">
        <v>64</v>
      </c>
      <c r="U2041" t="n">
        <v>71</v>
      </c>
      <c r="V2041" t="n">
        <v>30</v>
      </c>
      <c r="W2041" t="n">
        <v>64</v>
      </c>
      <c r="X2041" t="n">
        <v>22.83430854859426</v>
      </c>
      <c r="Y2041" t="n">
        <v>1</v>
      </c>
      <c r="Z2041" t="n">
        <v>16</v>
      </c>
      <c r="AA2041" t="n">
        <v>0</v>
      </c>
      <c r="AB2041" t="n">
        <v>16</v>
      </c>
      <c r="AC2041" t="n">
        <v>16</v>
      </c>
      <c r="AD2041" t="n">
        <v>0</v>
      </c>
      <c r="AE2041" t="n">
        <v>339200</v>
      </c>
      <c r="AF2041" t="n">
        <v>12831</v>
      </c>
      <c r="AG2041" t="n">
        <v>2122</v>
      </c>
      <c r="AH2041" t="inlineStr">
        <is>
          <t>PT. SINAR PADANG LESTARI - PPN (PDG)</t>
        </is>
      </c>
      <c r="AI2041" t="n">
        <v>78</v>
      </c>
      <c r="AJ2041" t="inlineStr">
        <is>
          <t>HANASUI</t>
        </is>
      </c>
      <c r="AK2041" t="n">
        <v>21</v>
      </c>
      <c r="AL2041" t="inlineStr">
        <is>
          <t>Miss Glam Damar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HANASUI</t>
        </is>
      </c>
      <c r="B2042" s="2">
        <f>"8998824551964"</f>
        <v/>
      </c>
      <c r="C2042" t="inlineStr">
        <is>
          <t>HANASUI Mattedorable Lip Cream 05 Classy 4gr</t>
        </is>
      </c>
      <c r="D2042" t="inlineStr">
        <is>
          <t>Miss Glam Damar</t>
        </is>
      </c>
      <c r="E2042" t="n">
        <v>22</v>
      </c>
      <c r="F2042" t="n">
        <v>1.9747</v>
      </c>
      <c r="G2042" t="n">
        <v>7.28</v>
      </c>
      <c r="H2042" t="n">
        <v>3</v>
      </c>
      <c r="I2042" t="n">
        <v>11</v>
      </c>
      <c r="J2042" t="n">
        <v>3</v>
      </c>
      <c r="K2042" t="n">
        <v>0</v>
      </c>
      <c r="L2042" t="n">
        <v>21196</v>
      </c>
      <c r="M2042" t="n">
        <v>26500</v>
      </c>
      <c r="N2042" t="n">
        <v>91</v>
      </c>
      <c r="O2042" t="n">
        <v>0.91</v>
      </c>
      <c r="P2042" t="n">
        <v>1</v>
      </c>
      <c r="Q2042" t="n">
        <v>1.73</v>
      </c>
      <c r="R2042" t="n">
        <v>5</v>
      </c>
      <c r="S2042" t="n">
        <v>52329.55</v>
      </c>
      <c r="T2042" t="n">
        <v>75</v>
      </c>
      <c r="U2042" t="n">
        <v>81</v>
      </c>
      <c r="V2042" t="n">
        <v>30</v>
      </c>
      <c r="W2042" t="n">
        <v>60</v>
      </c>
      <c r="X2042" t="n">
        <v>11.14093279991897</v>
      </c>
      <c r="Y2042" t="n">
        <v>1</v>
      </c>
      <c r="Z2042" t="n">
        <v>38</v>
      </c>
      <c r="AA2042" t="n">
        <v>0</v>
      </c>
      <c r="AB2042" t="n">
        <v>38</v>
      </c>
      <c r="AC2042" t="n">
        <v>38</v>
      </c>
      <c r="AD2042" t="n">
        <v>0</v>
      </c>
      <c r="AE2042" t="n">
        <v>805448</v>
      </c>
      <c r="AF2042" t="n">
        <v>12831</v>
      </c>
      <c r="AG2042" t="n">
        <v>2122</v>
      </c>
      <c r="AH2042" t="inlineStr">
        <is>
          <t>PT. SINAR PADANG LESTARI - PPN (PDG)</t>
        </is>
      </c>
      <c r="AI2042" t="n">
        <v>78</v>
      </c>
      <c r="AJ2042" t="inlineStr">
        <is>
          <t>HANASUI</t>
        </is>
      </c>
      <c r="AK2042" t="n">
        <v>21</v>
      </c>
      <c r="AL2042" t="inlineStr">
        <is>
          <t>Miss Glam Damar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HANASUI</t>
        </is>
      </c>
      <c r="B2043" s="2">
        <f>"8998824551971"</f>
        <v/>
      </c>
      <c r="C2043" t="inlineStr">
        <is>
          <t>HANASUI Mattedorable Lip Cream 06 Ritz 4gr</t>
        </is>
      </c>
      <c r="D2043" t="inlineStr">
        <is>
          <t>Miss Glam Damar</t>
        </is>
      </c>
      <c r="E2043" t="n">
        <v>27</v>
      </c>
      <c r="F2043" t="n">
        <v>1.2831</v>
      </c>
      <c r="G2043" t="n">
        <v>5.46</v>
      </c>
      <c r="H2043" t="n">
        <v>3</v>
      </c>
      <c r="I2043" t="n">
        <v>11</v>
      </c>
      <c r="J2043" t="n">
        <v>3</v>
      </c>
      <c r="K2043" t="n">
        <v>0</v>
      </c>
      <c r="L2043" t="n">
        <v>21199</v>
      </c>
      <c r="M2043" t="n">
        <v>26500</v>
      </c>
      <c r="N2043" t="n">
        <v>91</v>
      </c>
      <c r="O2043" t="n">
        <v>0.91</v>
      </c>
      <c r="P2043" t="n">
        <v>1</v>
      </c>
      <c r="Q2043" t="n">
        <v>1.12</v>
      </c>
      <c r="R2043" t="n">
        <v>5</v>
      </c>
      <c r="S2043" t="n">
        <v>34002.14999999999</v>
      </c>
      <c r="T2043" t="n">
        <v>57</v>
      </c>
      <c r="U2043" t="n">
        <v>61</v>
      </c>
      <c r="V2043" t="n">
        <v>30</v>
      </c>
      <c r="W2043" t="n">
        <v>39</v>
      </c>
      <c r="X2043" t="n">
        <v>21.04278700023381</v>
      </c>
      <c r="Y2043" t="n">
        <v>1</v>
      </c>
      <c r="Z2043" t="n">
        <v>12</v>
      </c>
      <c r="AA2043" t="n">
        <v>0</v>
      </c>
      <c r="AB2043" t="n">
        <v>12</v>
      </c>
      <c r="AC2043" t="n">
        <v>12</v>
      </c>
      <c r="AD2043" t="n">
        <v>0</v>
      </c>
      <c r="AE2043" t="n">
        <v>254388</v>
      </c>
      <c r="AF2043" t="n">
        <v>12831</v>
      </c>
      <c r="AG2043" t="n">
        <v>2122</v>
      </c>
      <c r="AH2043" t="inlineStr">
        <is>
          <t>PT. SINAR PADANG LESTARI - PPN (PDG)</t>
        </is>
      </c>
      <c r="AI2043" t="n">
        <v>78</v>
      </c>
      <c r="AJ2043" t="inlineStr">
        <is>
          <t>HANASUI</t>
        </is>
      </c>
      <c r="AK2043" t="n">
        <v>21</v>
      </c>
      <c r="AL2043" t="inlineStr">
        <is>
          <t>Miss Glam Damar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HANASUI</t>
        </is>
      </c>
      <c r="B2044" s="2">
        <f>"8998824551988"</f>
        <v/>
      </c>
      <c r="C2044" t="inlineStr">
        <is>
          <t>HANASUI Mattedorable Lip Cream 07 Spark 4gr</t>
        </is>
      </c>
      <c r="D2044" t="inlineStr">
        <is>
          <t>Miss Glam Damar</t>
        </is>
      </c>
      <c r="E2044" t="n">
        <v>44</v>
      </c>
      <c r="F2044" t="n">
        <v>3.7037</v>
      </c>
      <c r="G2044" t="n">
        <v>12.74</v>
      </c>
      <c r="H2044" t="n">
        <v>3</v>
      </c>
      <c r="I2044" t="n">
        <v>11</v>
      </c>
      <c r="J2044" t="n">
        <v>3</v>
      </c>
      <c r="K2044" t="n">
        <v>0</v>
      </c>
      <c r="L2044" t="n">
        <v>21199</v>
      </c>
      <c r="M2044" t="n">
        <v>26500</v>
      </c>
      <c r="N2044" t="n">
        <v>91</v>
      </c>
      <c r="O2044" t="n">
        <v>0.91</v>
      </c>
      <c r="P2044" t="n">
        <v>1</v>
      </c>
      <c r="Q2044" t="n">
        <v>2.41</v>
      </c>
      <c r="R2044" t="n">
        <v>5</v>
      </c>
      <c r="S2044" t="n">
        <v>98148.05000000002</v>
      </c>
      <c r="T2044" t="n">
        <v>130</v>
      </c>
      <c r="U2044" t="n">
        <v>142</v>
      </c>
      <c r="V2044" t="n">
        <v>30</v>
      </c>
      <c r="W2044" t="n">
        <v>112</v>
      </c>
      <c r="X2044" t="n">
        <v>11.88001188001188</v>
      </c>
      <c r="Y2044" t="n">
        <v>1</v>
      </c>
      <c r="Z2044" t="n">
        <v>68</v>
      </c>
      <c r="AA2044" t="n">
        <v>0</v>
      </c>
      <c r="AB2044" t="n">
        <v>68</v>
      </c>
      <c r="AC2044" t="n">
        <v>68</v>
      </c>
      <c r="AD2044" t="n">
        <v>0</v>
      </c>
      <c r="AE2044" t="n">
        <v>1441532</v>
      </c>
      <c r="AF2044" t="n">
        <v>12831</v>
      </c>
      <c r="AG2044" t="n">
        <v>2122</v>
      </c>
      <c r="AH2044" t="inlineStr">
        <is>
          <t>PT. SINAR PADANG LESTARI - PPN (PDG)</t>
        </is>
      </c>
      <c r="AI2044" t="n">
        <v>78</v>
      </c>
      <c r="AJ2044" t="inlineStr">
        <is>
          <t>HANASUI</t>
        </is>
      </c>
      <c r="AK2044" t="n">
        <v>21</v>
      </c>
      <c r="AL2044" t="inlineStr">
        <is>
          <t>Miss Glam Damar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HANASUI</t>
        </is>
      </c>
      <c r="B2045" s="2">
        <f>"8998824551995"</f>
        <v/>
      </c>
      <c r="C2045" t="inlineStr">
        <is>
          <t>HANASUI Mattedorable Lip Cream 08 Fancy 4gr</t>
        </is>
      </c>
      <c r="D2045" t="inlineStr">
        <is>
          <t>Miss Glam Damar</t>
        </is>
      </c>
      <c r="E2045" t="n">
        <v>29</v>
      </c>
      <c r="F2045" t="n">
        <v>1.5743</v>
      </c>
      <c r="G2045" t="n">
        <v>4.55</v>
      </c>
      <c r="H2045" t="n">
        <v>3</v>
      </c>
      <c r="I2045" t="n">
        <v>11</v>
      </c>
      <c r="J2045" t="n">
        <v>3</v>
      </c>
      <c r="K2045" t="n">
        <v>0</v>
      </c>
      <c r="L2045" t="n">
        <v>21197</v>
      </c>
      <c r="M2045" t="n">
        <v>26500</v>
      </c>
      <c r="N2045" t="n">
        <v>91</v>
      </c>
      <c r="O2045" t="n">
        <v>0.91</v>
      </c>
      <c r="P2045" t="n">
        <v>1</v>
      </c>
      <c r="Q2045" t="n">
        <v>1.59</v>
      </c>
      <c r="R2045" t="n">
        <v>5</v>
      </c>
      <c r="S2045" t="n">
        <v>41718.95</v>
      </c>
      <c r="T2045" t="n">
        <v>46</v>
      </c>
      <c r="U2045" t="n">
        <v>51</v>
      </c>
      <c r="V2045" t="n">
        <v>30</v>
      </c>
      <c r="W2045" t="n">
        <v>48</v>
      </c>
      <c r="X2045" t="n">
        <v>18.42088547290859</v>
      </c>
      <c r="Y2045" t="n">
        <v>1</v>
      </c>
      <c r="Z2045" t="n">
        <v>19</v>
      </c>
      <c r="AA2045" t="n">
        <v>0</v>
      </c>
      <c r="AB2045" t="n">
        <v>19</v>
      </c>
      <c r="AC2045" t="n">
        <v>19</v>
      </c>
      <c r="AD2045" t="n">
        <v>0</v>
      </c>
      <c r="AE2045" t="n">
        <v>402743</v>
      </c>
      <c r="AF2045" t="n">
        <v>12831</v>
      </c>
      <c r="AG2045" t="n">
        <v>2122</v>
      </c>
      <c r="AH2045" t="inlineStr">
        <is>
          <t>PT. SINAR PADANG LESTARI - PPN (PDG)</t>
        </is>
      </c>
      <c r="AI2045" t="n">
        <v>78</v>
      </c>
      <c r="AJ2045" t="inlineStr">
        <is>
          <t>HANASUI</t>
        </is>
      </c>
      <c r="AK2045" t="n">
        <v>21</v>
      </c>
      <c r="AL2045" t="inlineStr">
        <is>
          <t>Miss Glam Damar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HANASUI</t>
        </is>
      </c>
      <c r="B2046" s="2">
        <f>"8998824553173"</f>
        <v/>
      </c>
      <c r="C2046" t="inlineStr">
        <is>
          <t>HANASUI Mattedorable Lip Cream 09 Fame 4gr</t>
        </is>
      </c>
      <c r="D2046" t="inlineStr">
        <is>
          <t>Miss Glam Damar</t>
        </is>
      </c>
      <c r="E2046" t="n">
        <v>6</v>
      </c>
      <c r="F2046" t="n">
        <v>0.2184</v>
      </c>
      <c r="G2046" t="n">
        <v>2.73</v>
      </c>
      <c r="H2046" t="n">
        <v>3</v>
      </c>
      <c r="I2046" t="n">
        <v>11</v>
      </c>
      <c r="J2046" t="n">
        <v>3</v>
      </c>
      <c r="K2046" t="n">
        <v>0</v>
      </c>
      <c r="L2046" t="n">
        <v>21200</v>
      </c>
      <c r="M2046" t="n">
        <v>26500</v>
      </c>
      <c r="N2046" t="n">
        <v>91</v>
      </c>
      <c r="O2046" t="n">
        <v>0.91</v>
      </c>
      <c r="P2046" t="n">
        <v>1</v>
      </c>
      <c r="Q2046" t="n">
        <v>0.1</v>
      </c>
      <c r="R2046" t="n">
        <v>2</v>
      </c>
      <c r="S2046" t="n">
        <v>5787.6</v>
      </c>
      <c r="T2046" t="n">
        <v>30</v>
      </c>
      <c r="U2046" t="n">
        <v>31</v>
      </c>
      <c r="V2046" t="n">
        <v>30</v>
      </c>
      <c r="W2046" t="n">
        <v>7</v>
      </c>
      <c r="X2046" t="n">
        <v>27.47252747252747</v>
      </c>
      <c r="Y2046" t="n">
        <v>1</v>
      </c>
      <c r="Z2046" t="n">
        <v>1</v>
      </c>
      <c r="AA2046" t="n">
        <v>0</v>
      </c>
      <c r="AB2046" t="n">
        <v>1</v>
      </c>
      <c r="AC2046" t="n">
        <v>3</v>
      </c>
      <c r="AD2046" t="n">
        <v>0</v>
      </c>
      <c r="AE2046" t="n">
        <v>63600</v>
      </c>
      <c r="AF2046" t="n">
        <v>12831</v>
      </c>
      <c r="AG2046" t="n">
        <v>2122</v>
      </c>
      <c r="AH2046" t="inlineStr">
        <is>
          <t>PT. SINAR PADANG LESTARI - PPN (PDG)</t>
        </is>
      </c>
      <c r="AI2046" t="n">
        <v>78</v>
      </c>
      <c r="AJ2046" t="inlineStr">
        <is>
          <t>HANASUI</t>
        </is>
      </c>
      <c r="AK2046" t="n">
        <v>21</v>
      </c>
      <c r="AL2046" t="inlineStr">
        <is>
          <t>Miss Glam Damar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HANASUI</t>
        </is>
      </c>
      <c r="B2047" s="2">
        <f>"8998824553180"</f>
        <v/>
      </c>
      <c r="C2047" t="inlineStr">
        <is>
          <t>HANASUI Mattedorable Lip Cream 10 Allure 4gr</t>
        </is>
      </c>
      <c r="D2047" t="inlineStr">
        <is>
          <t>Miss Glam Damar</t>
        </is>
      </c>
      <c r="E2047" t="n">
        <v>34</v>
      </c>
      <c r="F2047" t="n">
        <v>1.1284</v>
      </c>
      <c r="G2047" t="n">
        <v>6.37</v>
      </c>
      <c r="H2047" t="n">
        <v>3</v>
      </c>
      <c r="I2047" t="n">
        <v>11</v>
      </c>
      <c r="J2047" t="n">
        <v>3</v>
      </c>
      <c r="K2047" t="n">
        <v>0</v>
      </c>
      <c r="L2047" t="n">
        <v>21200</v>
      </c>
      <c r="M2047" t="n">
        <v>26500</v>
      </c>
      <c r="N2047" t="n">
        <v>91</v>
      </c>
      <c r="O2047" t="n">
        <v>0.91</v>
      </c>
      <c r="P2047" t="n">
        <v>1</v>
      </c>
      <c r="Q2047" t="n">
        <v>0.86</v>
      </c>
      <c r="R2047" t="n">
        <v>3</v>
      </c>
      <c r="S2047" t="n">
        <v>29902.6</v>
      </c>
      <c r="T2047" t="n">
        <v>67</v>
      </c>
      <c r="U2047" t="n">
        <v>71</v>
      </c>
      <c r="V2047" t="n">
        <v>30</v>
      </c>
      <c r="W2047" t="n">
        <v>34</v>
      </c>
      <c r="X2047" t="n">
        <v>30.13115916341723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12831</v>
      </c>
      <c r="AG2047" t="n">
        <v>2122</v>
      </c>
      <c r="AH2047" t="inlineStr">
        <is>
          <t>PT. SINAR PADANG LESTARI - PPN (PDG)</t>
        </is>
      </c>
      <c r="AI2047" t="n">
        <v>78</v>
      </c>
      <c r="AJ2047" t="inlineStr">
        <is>
          <t>HANASUI</t>
        </is>
      </c>
      <c r="AK2047" t="n">
        <v>21</v>
      </c>
      <c r="AL2047" t="inlineStr">
        <is>
          <t>Miss Glam Damar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HANASUI</t>
        </is>
      </c>
      <c r="B2048" s="2">
        <f>"8998824553197"</f>
        <v/>
      </c>
      <c r="C2048" t="inlineStr">
        <is>
          <t>HANASUI Mattedorable Lip Cream 11 Brick 4gr</t>
        </is>
      </c>
      <c r="D2048" t="inlineStr">
        <is>
          <t>Miss Glam Damar</t>
        </is>
      </c>
      <c r="E2048" t="n">
        <v>23</v>
      </c>
      <c r="F2048" t="n">
        <v>1.7563</v>
      </c>
      <c r="G2048" t="n">
        <v>5.46</v>
      </c>
      <c r="H2048" t="n">
        <v>3</v>
      </c>
      <c r="I2048" t="n">
        <v>11</v>
      </c>
      <c r="J2048" t="n">
        <v>3</v>
      </c>
      <c r="K2048" t="n">
        <v>0</v>
      </c>
      <c r="L2048" t="n">
        <v>21195</v>
      </c>
      <c r="M2048" t="n">
        <v>26500</v>
      </c>
      <c r="N2048" t="n">
        <v>91</v>
      </c>
      <c r="O2048" t="n">
        <v>0.91</v>
      </c>
      <c r="P2048" t="n">
        <v>1</v>
      </c>
      <c r="Q2048" t="n">
        <v>0.75</v>
      </c>
      <c r="R2048" t="n">
        <v>3</v>
      </c>
      <c r="S2048" t="n">
        <v>46541.95</v>
      </c>
      <c r="T2048" t="n">
        <v>55</v>
      </c>
      <c r="U2048" t="n">
        <v>61</v>
      </c>
      <c r="V2048" t="n">
        <v>30</v>
      </c>
      <c r="W2048" t="n">
        <v>53</v>
      </c>
      <c r="X2048" t="n">
        <v>13.09571257757786</v>
      </c>
      <c r="Y2048" t="n">
        <v>1</v>
      </c>
      <c r="Z2048" t="n">
        <v>30</v>
      </c>
      <c r="AA2048" t="n">
        <v>0</v>
      </c>
      <c r="AB2048" t="n">
        <v>30</v>
      </c>
      <c r="AC2048" t="n">
        <v>30</v>
      </c>
      <c r="AD2048" t="n">
        <v>0</v>
      </c>
      <c r="AE2048" t="n">
        <v>635850</v>
      </c>
      <c r="AF2048" t="n">
        <v>12831</v>
      </c>
      <c r="AG2048" t="n">
        <v>2122</v>
      </c>
      <c r="AH2048" t="inlineStr">
        <is>
          <t>PT. SINAR PADANG LESTARI - PPN (PDG)</t>
        </is>
      </c>
      <c r="AI2048" t="n">
        <v>78</v>
      </c>
      <c r="AJ2048" t="inlineStr">
        <is>
          <t>HANASUI</t>
        </is>
      </c>
      <c r="AK2048" t="n">
        <v>21</v>
      </c>
      <c r="AL2048" t="inlineStr">
        <is>
          <t>Miss Glam Damar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HANASUI</t>
        </is>
      </c>
      <c r="B2049" s="2">
        <f>"8998824553203"</f>
        <v/>
      </c>
      <c r="C2049" t="inlineStr">
        <is>
          <t>HANASUI Mattedorable Lip Cream 12 Amaze 4gr</t>
        </is>
      </c>
      <c r="D2049" t="inlineStr">
        <is>
          <t>Miss Glam Damar</t>
        </is>
      </c>
      <c r="E2049" t="n">
        <v>20</v>
      </c>
      <c r="F2049" t="n">
        <v>1.4469</v>
      </c>
      <c r="G2049" t="n">
        <v>4.55</v>
      </c>
      <c r="H2049" t="n">
        <v>3</v>
      </c>
      <c r="I2049" t="n">
        <v>11</v>
      </c>
      <c r="J2049" t="n">
        <v>3</v>
      </c>
      <c r="K2049" t="n">
        <v>0</v>
      </c>
      <c r="L2049" t="n">
        <v>21197</v>
      </c>
      <c r="M2049" t="n">
        <v>26500</v>
      </c>
      <c r="N2049" t="n">
        <v>91</v>
      </c>
      <c r="O2049" t="n">
        <v>0.91</v>
      </c>
      <c r="P2049" t="n">
        <v>1</v>
      </c>
      <c r="Q2049" t="n">
        <v>1.22</v>
      </c>
      <c r="R2049" t="n">
        <v>5</v>
      </c>
      <c r="S2049" t="n">
        <v>38342.85</v>
      </c>
      <c r="T2049" t="n">
        <v>46</v>
      </c>
      <c r="U2049" t="n">
        <v>51</v>
      </c>
      <c r="V2049" t="n">
        <v>30</v>
      </c>
      <c r="W2049" t="n">
        <v>44</v>
      </c>
      <c r="X2049" t="n">
        <v>13.82265533208929</v>
      </c>
      <c r="Y2049" t="n">
        <v>1</v>
      </c>
      <c r="Z2049" t="n">
        <v>24</v>
      </c>
      <c r="AA2049" t="n">
        <v>0</v>
      </c>
      <c r="AB2049" t="n">
        <v>24</v>
      </c>
      <c r="AC2049" t="n">
        <v>24</v>
      </c>
      <c r="AD2049" t="n">
        <v>0</v>
      </c>
      <c r="AE2049" t="n">
        <v>508728</v>
      </c>
      <c r="AF2049" t="n">
        <v>12831</v>
      </c>
      <c r="AG2049" t="n">
        <v>2122</v>
      </c>
      <c r="AH2049" t="inlineStr">
        <is>
          <t>PT. SINAR PADANG LESTARI - PPN (PDG)</t>
        </is>
      </c>
      <c r="AI2049" t="n">
        <v>78</v>
      </c>
      <c r="AJ2049" t="inlineStr">
        <is>
          <t>HANASUI</t>
        </is>
      </c>
      <c r="AK2049" t="n">
        <v>21</v>
      </c>
      <c r="AL2049" t="inlineStr">
        <is>
          <t>Miss Glam Damar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HANASUI</t>
        </is>
      </c>
      <c r="B2050" s="2">
        <f>"8998824553210"</f>
        <v/>
      </c>
      <c r="C2050" t="inlineStr">
        <is>
          <t>HANASUI Mattedorable Lip Cream 13 Adore 4gr</t>
        </is>
      </c>
      <c r="D2050" t="inlineStr">
        <is>
          <t>Miss Glam Damar</t>
        </is>
      </c>
      <c r="E2050" t="n">
        <v>14</v>
      </c>
      <c r="F2050" t="n">
        <v>0.6006</v>
      </c>
      <c r="G2050" t="n">
        <v>3.64</v>
      </c>
      <c r="H2050" t="n">
        <v>3</v>
      </c>
      <c r="I2050" t="n">
        <v>11</v>
      </c>
      <c r="J2050" t="n">
        <v>3</v>
      </c>
      <c r="K2050" t="n">
        <v>0</v>
      </c>
      <c r="L2050" t="n">
        <v>21199</v>
      </c>
      <c r="M2050" t="n">
        <v>26500</v>
      </c>
      <c r="N2050" t="n">
        <v>91</v>
      </c>
      <c r="O2050" t="n">
        <v>0.91</v>
      </c>
      <c r="P2050" t="n">
        <v>1</v>
      </c>
      <c r="Q2050" t="n">
        <v>0.46</v>
      </c>
      <c r="R2050" t="n">
        <v>3</v>
      </c>
      <c r="S2050" t="n">
        <v>15915.9</v>
      </c>
      <c r="T2050" t="n">
        <v>39</v>
      </c>
      <c r="U2050" t="n">
        <v>41</v>
      </c>
      <c r="V2050" t="n">
        <v>30</v>
      </c>
      <c r="W2050" t="n">
        <v>19</v>
      </c>
      <c r="X2050" t="n">
        <v>23.31002331002331</v>
      </c>
      <c r="Y2050" t="n">
        <v>1</v>
      </c>
      <c r="Z2050" t="n">
        <v>5</v>
      </c>
      <c r="AA2050" t="n">
        <v>0</v>
      </c>
      <c r="AB2050" t="n">
        <v>5</v>
      </c>
      <c r="AC2050" t="n">
        <v>5</v>
      </c>
      <c r="AD2050" t="n">
        <v>0</v>
      </c>
      <c r="AE2050" t="n">
        <v>105995</v>
      </c>
      <c r="AF2050" t="n">
        <v>12831</v>
      </c>
      <c r="AG2050" t="n">
        <v>2122</v>
      </c>
      <c r="AH2050" t="inlineStr">
        <is>
          <t>PT. SINAR PADANG LESTARI - PPN (PDG)</t>
        </is>
      </c>
      <c r="AI2050" t="n">
        <v>78</v>
      </c>
      <c r="AJ2050" t="inlineStr">
        <is>
          <t>HANASUI</t>
        </is>
      </c>
      <c r="AK2050" t="n">
        <v>21</v>
      </c>
      <c r="AL2050" t="inlineStr">
        <is>
          <t>Miss Glam Damar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HANASUI</t>
        </is>
      </c>
      <c r="B2051" s="2">
        <f>"8998824553111"</f>
        <v/>
      </c>
      <c r="C2051" t="inlineStr">
        <is>
          <t>HANASUI Mattedorable Lip Cream 14 Dusty 4gr</t>
        </is>
      </c>
      <c r="D2051" t="inlineStr">
        <is>
          <t>Miss Glam Damar</t>
        </is>
      </c>
      <c r="E2051" t="n">
        <v>7</v>
      </c>
      <c r="F2051" t="n">
        <v>0.6279</v>
      </c>
      <c r="G2051" t="n">
        <v>2.73</v>
      </c>
      <c r="H2051" t="n">
        <v>3</v>
      </c>
      <c r="I2051" t="n">
        <v>11</v>
      </c>
      <c r="J2051" t="n">
        <v>3</v>
      </c>
      <c r="K2051" t="n">
        <v>0</v>
      </c>
      <c r="L2051" t="n">
        <v>21191</v>
      </c>
      <c r="M2051" t="n">
        <v>26500</v>
      </c>
      <c r="N2051" t="n">
        <v>91</v>
      </c>
      <c r="O2051" t="n">
        <v>0.91</v>
      </c>
      <c r="P2051" t="n">
        <v>1</v>
      </c>
      <c r="Q2051" t="n">
        <v>0.47</v>
      </c>
      <c r="R2051" t="n">
        <v>2</v>
      </c>
      <c r="S2051" t="n">
        <v>16639.35</v>
      </c>
      <c r="T2051" t="n">
        <v>29</v>
      </c>
      <c r="U2051" t="n">
        <v>31</v>
      </c>
      <c r="V2051" t="n">
        <v>30</v>
      </c>
      <c r="W2051" t="n">
        <v>19</v>
      </c>
      <c r="X2051" t="n">
        <v>11.14827201783723</v>
      </c>
      <c r="Y2051" t="n">
        <v>1</v>
      </c>
      <c r="Z2051" t="n">
        <v>12</v>
      </c>
      <c r="AA2051" t="n">
        <v>0</v>
      </c>
      <c r="AB2051" t="n">
        <v>12</v>
      </c>
      <c r="AC2051" t="n">
        <v>12</v>
      </c>
      <c r="AD2051" t="n">
        <v>0</v>
      </c>
      <c r="AE2051" t="n">
        <v>254292</v>
      </c>
      <c r="AF2051" t="n">
        <v>12831</v>
      </c>
      <c r="AG2051" t="n">
        <v>2122</v>
      </c>
      <c r="AH2051" t="inlineStr">
        <is>
          <t>PT. SINAR PADANG LESTARI - PPN (PDG)</t>
        </is>
      </c>
      <c r="AI2051" t="n">
        <v>78</v>
      </c>
      <c r="AJ2051" t="inlineStr">
        <is>
          <t>HANASUI</t>
        </is>
      </c>
      <c r="AK2051" t="n">
        <v>21</v>
      </c>
      <c r="AL2051" t="inlineStr">
        <is>
          <t>Miss Glam Damar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HANASUI</t>
        </is>
      </c>
      <c r="B2052" s="2">
        <f>"8998824553135"</f>
        <v/>
      </c>
      <c r="C2052" t="inlineStr">
        <is>
          <t>HANASUI Mattedorable Lip Cream 15 Flame 4gr</t>
        </is>
      </c>
      <c r="D2052" t="inlineStr">
        <is>
          <t>Miss Glam Damar</t>
        </is>
      </c>
      <c r="E2052" t="n">
        <v>6</v>
      </c>
      <c r="F2052" t="n">
        <v>1.001</v>
      </c>
      <c r="G2052" t="n">
        <v>4.55</v>
      </c>
      <c r="H2052" t="n">
        <v>3</v>
      </c>
      <c r="I2052" t="n">
        <v>11</v>
      </c>
      <c r="J2052" t="n">
        <v>3</v>
      </c>
      <c r="K2052" t="n">
        <v>0</v>
      </c>
      <c r="L2052" t="n">
        <v>21196</v>
      </c>
      <c r="M2052" t="n">
        <v>26500</v>
      </c>
      <c r="N2052" t="n">
        <v>91</v>
      </c>
      <c r="O2052" t="n">
        <v>0.91</v>
      </c>
      <c r="P2052" t="n">
        <v>1</v>
      </c>
      <c r="Q2052" t="n">
        <v>0.51</v>
      </c>
      <c r="R2052" t="n">
        <v>3</v>
      </c>
      <c r="S2052" t="n">
        <v>26526.5</v>
      </c>
      <c r="T2052" t="n">
        <v>48</v>
      </c>
      <c r="U2052" t="n">
        <v>52</v>
      </c>
      <c r="V2052" t="n">
        <v>30</v>
      </c>
      <c r="W2052" t="n">
        <v>31</v>
      </c>
      <c r="X2052" t="n">
        <v>5.994005994005994</v>
      </c>
      <c r="Y2052" t="n">
        <v>1</v>
      </c>
      <c r="Z2052" t="n">
        <v>25</v>
      </c>
      <c r="AA2052" t="n">
        <v>6</v>
      </c>
      <c r="AB2052" t="n">
        <v>19</v>
      </c>
      <c r="AC2052" t="n">
        <v>19</v>
      </c>
      <c r="AD2052" t="n">
        <v>127176</v>
      </c>
      <c r="AE2052" t="n">
        <v>402724</v>
      </c>
      <c r="AF2052" t="n">
        <v>12831</v>
      </c>
      <c r="AG2052" t="n">
        <v>2122</v>
      </c>
      <c r="AH2052" t="inlineStr">
        <is>
          <t>PT. SINAR PADANG LESTARI - PPN (PDG)</t>
        </is>
      </c>
      <c r="AI2052" t="n">
        <v>78</v>
      </c>
      <c r="AJ2052" t="inlineStr">
        <is>
          <t>HANASUI</t>
        </is>
      </c>
      <c r="AK2052" t="n">
        <v>21</v>
      </c>
      <c r="AL2052" t="inlineStr">
        <is>
          <t>Miss Glam Damar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HANASUI</t>
        </is>
      </c>
      <c r="B2053" s="2">
        <f>"8998824553159"</f>
        <v/>
      </c>
      <c r="C2053" t="inlineStr">
        <is>
          <t>HANASUI Mattedorable Lip Cream 16 Glam 4gr</t>
        </is>
      </c>
      <c r="D2053" t="inlineStr">
        <is>
          <t>Miss Glam Damar</t>
        </is>
      </c>
      <c r="E2053" t="n">
        <v>55</v>
      </c>
      <c r="F2053" t="n">
        <v>4.8867</v>
      </c>
      <c r="G2053" t="n">
        <v>11.83</v>
      </c>
      <c r="H2053" t="n">
        <v>3</v>
      </c>
      <c r="I2053" t="n">
        <v>11</v>
      </c>
      <c r="J2053" t="n">
        <v>3</v>
      </c>
      <c r="K2053" t="n">
        <v>0</v>
      </c>
      <c r="L2053" t="n">
        <v>21199</v>
      </c>
      <c r="M2053" t="n">
        <v>26500</v>
      </c>
      <c r="N2053" t="n">
        <v>91</v>
      </c>
      <c r="O2053" t="n">
        <v>0.91</v>
      </c>
      <c r="P2053" t="n">
        <v>1</v>
      </c>
      <c r="Q2053" t="n">
        <v>2.46</v>
      </c>
      <c r="R2053" t="n">
        <v>7</v>
      </c>
      <c r="S2053" t="n">
        <v>129497.55</v>
      </c>
      <c r="T2053" t="n">
        <v>116</v>
      </c>
      <c r="U2053" t="n">
        <v>131</v>
      </c>
      <c r="V2053" t="n">
        <v>30</v>
      </c>
      <c r="W2053" t="n">
        <v>147</v>
      </c>
      <c r="X2053" t="n">
        <v>11.25503918800008</v>
      </c>
      <c r="Y2053" t="n">
        <v>1</v>
      </c>
      <c r="Z2053" t="n">
        <v>92</v>
      </c>
      <c r="AA2053" t="n">
        <v>0</v>
      </c>
      <c r="AB2053" t="n">
        <v>92</v>
      </c>
      <c r="AC2053" t="n">
        <v>92</v>
      </c>
      <c r="AD2053" t="n">
        <v>0</v>
      </c>
      <c r="AE2053" t="n">
        <v>1950308</v>
      </c>
      <c r="AF2053" t="n">
        <v>12831</v>
      </c>
      <c r="AG2053" t="n">
        <v>2122</v>
      </c>
      <c r="AH2053" t="inlineStr">
        <is>
          <t>PT. SINAR PADANG LESTARI - PPN (PDG)</t>
        </is>
      </c>
      <c r="AI2053" t="n">
        <v>78</v>
      </c>
      <c r="AJ2053" t="inlineStr">
        <is>
          <t>HANASUI</t>
        </is>
      </c>
      <c r="AK2053" t="n">
        <v>21</v>
      </c>
      <c r="AL2053" t="inlineStr">
        <is>
          <t>Miss Glam Damar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HANASUI</t>
        </is>
      </c>
      <c r="B2054" s="2">
        <f>"8998824552459"</f>
        <v/>
      </c>
      <c r="C2054" t="inlineStr">
        <is>
          <t>HANASUI Mattedorable Lip Cream Boba 01 Forest Berry 4gr</t>
        </is>
      </c>
      <c r="D2054" t="inlineStr">
        <is>
          <t>Miss Glam Damar</t>
        </is>
      </c>
      <c r="E2054" t="n">
        <v>23</v>
      </c>
      <c r="F2054" t="n">
        <v>0.7553</v>
      </c>
      <c r="G2054" t="n">
        <v>2.73</v>
      </c>
      <c r="H2054" t="n">
        <v>3</v>
      </c>
      <c r="I2054" t="n">
        <v>11</v>
      </c>
      <c r="J2054" t="n">
        <v>3</v>
      </c>
      <c r="K2054" t="n">
        <v>0</v>
      </c>
      <c r="L2054" t="n">
        <v>21191</v>
      </c>
      <c r="M2054" t="n">
        <v>26500</v>
      </c>
      <c r="N2054" t="n">
        <v>91</v>
      </c>
      <c r="O2054" t="n">
        <v>0.91</v>
      </c>
      <c r="P2054" t="n">
        <v>1</v>
      </c>
      <c r="Q2054" t="n">
        <v>0.93</v>
      </c>
      <c r="R2054" t="n">
        <v>3</v>
      </c>
      <c r="S2054" t="n">
        <v>20015.45</v>
      </c>
      <c r="T2054" t="n">
        <v>28</v>
      </c>
      <c r="U2054" t="n">
        <v>31</v>
      </c>
      <c r="V2054" t="n">
        <v>30</v>
      </c>
      <c r="W2054" t="n">
        <v>23</v>
      </c>
      <c r="X2054" t="n">
        <v>30.45147623460877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12831</v>
      </c>
      <c r="AG2054" t="n">
        <v>2122</v>
      </c>
      <c r="AH2054" t="inlineStr">
        <is>
          <t>PT. SINAR PADANG LESTARI - PPN (PDG)</t>
        </is>
      </c>
      <c r="AI2054" t="n">
        <v>78</v>
      </c>
      <c r="AJ2054" t="inlineStr">
        <is>
          <t>HANASUI</t>
        </is>
      </c>
      <c r="AK2054" t="n">
        <v>21</v>
      </c>
      <c r="AL2054" t="inlineStr">
        <is>
          <t>Miss Glam Damar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HANASUI</t>
        </is>
      </c>
      <c r="B2055" s="2">
        <f>"8998824552473"</f>
        <v/>
      </c>
      <c r="C2055" t="inlineStr">
        <is>
          <t>HANASUI Mattedorable Lip Cream Boba 02 Brown Sugar 4gr</t>
        </is>
      </c>
      <c r="D2055" t="inlineStr">
        <is>
          <t>Miss Glam Damar</t>
        </is>
      </c>
      <c r="E2055" t="n">
        <v>62</v>
      </c>
      <c r="F2055" t="n">
        <v>6.6976</v>
      </c>
      <c r="G2055" t="n">
        <v>14.56</v>
      </c>
      <c r="H2055" t="n">
        <v>3</v>
      </c>
      <c r="I2055" t="n">
        <v>11</v>
      </c>
      <c r="J2055" t="n">
        <v>3</v>
      </c>
      <c r="K2055" t="n">
        <v>0</v>
      </c>
      <c r="L2055" t="n">
        <v>21195</v>
      </c>
      <c r="M2055" t="n">
        <v>26500</v>
      </c>
      <c r="N2055" t="n">
        <v>91</v>
      </c>
      <c r="O2055" t="n">
        <v>0.91</v>
      </c>
      <c r="P2055" t="n">
        <v>1</v>
      </c>
      <c r="Q2055" t="n">
        <v>4.19</v>
      </c>
      <c r="R2055" t="n">
        <v>10</v>
      </c>
      <c r="S2055" t="n">
        <v>177486.4</v>
      </c>
      <c r="T2055" t="n">
        <v>141</v>
      </c>
      <c r="U2055" t="n">
        <v>162</v>
      </c>
      <c r="V2055" t="n">
        <v>30</v>
      </c>
      <c r="W2055" t="n">
        <v>201</v>
      </c>
      <c r="X2055" t="n">
        <v>9.25704730052556</v>
      </c>
      <c r="Y2055" t="n">
        <v>1</v>
      </c>
      <c r="Z2055" t="n">
        <v>139</v>
      </c>
      <c r="AA2055" t="n">
        <v>12</v>
      </c>
      <c r="AB2055" t="n">
        <v>127</v>
      </c>
      <c r="AC2055" t="n">
        <v>127</v>
      </c>
      <c r="AD2055" t="n">
        <v>254340</v>
      </c>
      <c r="AE2055" t="n">
        <v>2691765</v>
      </c>
      <c r="AF2055" t="n">
        <v>12831</v>
      </c>
      <c r="AG2055" t="n">
        <v>2122</v>
      </c>
      <c r="AH2055" t="inlineStr">
        <is>
          <t>PT. SINAR PADANG LESTARI - PPN (PDG)</t>
        </is>
      </c>
      <c r="AI2055" t="n">
        <v>78</v>
      </c>
      <c r="AJ2055" t="inlineStr">
        <is>
          <t>HANASUI</t>
        </is>
      </c>
      <c r="AK2055" t="n">
        <v>21</v>
      </c>
      <c r="AL2055" t="inlineStr">
        <is>
          <t>Miss Glam Damar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HANASUI</t>
        </is>
      </c>
      <c r="B2056" s="2">
        <f>"8998824552497"</f>
        <v/>
      </c>
      <c r="C2056" t="inlineStr">
        <is>
          <t>HANASUI Mattedorable Lip Cream Boba 03 Salted Caramel 4gr</t>
        </is>
      </c>
      <c r="D2056" t="inlineStr">
        <is>
          <t>Miss Glam Damar</t>
        </is>
      </c>
      <c r="E2056" t="n">
        <v>37</v>
      </c>
      <c r="F2056" t="n">
        <v>3.7128</v>
      </c>
      <c r="G2056" t="n">
        <v>7.28</v>
      </c>
      <c r="H2056" t="n">
        <v>3</v>
      </c>
      <c r="I2056" t="n">
        <v>11</v>
      </c>
      <c r="J2056" t="n">
        <v>12</v>
      </c>
      <c r="K2056" t="n">
        <v>0</v>
      </c>
      <c r="L2056" t="n">
        <v>21196</v>
      </c>
      <c r="M2056" t="n">
        <v>26500</v>
      </c>
      <c r="N2056" t="n">
        <v>91</v>
      </c>
      <c r="O2056" t="n">
        <v>0.91</v>
      </c>
      <c r="P2056" t="n">
        <v>1</v>
      </c>
      <c r="Q2056" t="n">
        <v>2.78</v>
      </c>
      <c r="R2056" t="n">
        <v>7</v>
      </c>
      <c r="S2056" t="n">
        <v>98389.2</v>
      </c>
      <c r="T2056" t="n">
        <v>69</v>
      </c>
      <c r="U2056" t="n">
        <v>81</v>
      </c>
      <c r="V2056" t="n">
        <v>30</v>
      </c>
      <c r="W2056" t="n">
        <v>112</v>
      </c>
      <c r="X2056" t="n">
        <v>9.965524671407024</v>
      </c>
      <c r="Y2056" t="n">
        <v>1</v>
      </c>
      <c r="Z2056" t="n">
        <v>75</v>
      </c>
      <c r="AA2056" t="n">
        <v>4</v>
      </c>
      <c r="AB2056" t="n">
        <v>71</v>
      </c>
      <c r="AC2056" t="n">
        <v>71</v>
      </c>
      <c r="AD2056" t="n">
        <v>84784</v>
      </c>
      <c r="AE2056" t="n">
        <v>1504916</v>
      </c>
      <c r="AF2056" t="n">
        <v>12831</v>
      </c>
      <c r="AG2056" t="n">
        <v>2122</v>
      </c>
      <c r="AH2056" t="inlineStr">
        <is>
          <t>PT. SINAR PADANG LESTARI - PPN (PDG)</t>
        </is>
      </c>
      <c r="AI2056" t="n">
        <v>78</v>
      </c>
      <c r="AJ2056" t="inlineStr">
        <is>
          <t>HANASUI</t>
        </is>
      </c>
      <c r="AK2056" t="n">
        <v>21</v>
      </c>
      <c r="AL2056" t="inlineStr">
        <is>
          <t>Miss Glam Damar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HANASUI</t>
        </is>
      </c>
      <c r="B2057" s="2">
        <f>"8998824553227"</f>
        <v/>
      </c>
      <c r="C2057" t="inlineStr">
        <is>
          <t>HANASUI Mattedorable Lip Cream Boba 04 Pink Lava 4gr</t>
        </is>
      </c>
      <c r="D2057" t="inlineStr">
        <is>
          <t>Miss Glam Damar</t>
        </is>
      </c>
      <c r="E2057" t="n">
        <v>9</v>
      </c>
      <c r="F2057" t="n">
        <v>0.3367</v>
      </c>
      <c r="G2057" t="n">
        <v>2.73</v>
      </c>
      <c r="H2057" t="n">
        <v>3</v>
      </c>
      <c r="I2057" t="n">
        <v>11</v>
      </c>
      <c r="J2057" t="n">
        <v>3</v>
      </c>
      <c r="K2057" t="n">
        <v>0</v>
      </c>
      <c r="L2057" t="n">
        <v>21194</v>
      </c>
      <c r="M2057" t="n">
        <v>26500</v>
      </c>
      <c r="N2057" t="n">
        <v>91</v>
      </c>
      <c r="O2057" t="n">
        <v>0.91</v>
      </c>
      <c r="P2057" t="n">
        <v>1</v>
      </c>
      <c r="Q2057" t="n">
        <v>0.53</v>
      </c>
      <c r="R2057" t="n">
        <v>2</v>
      </c>
      <c r="S2057" t="n">
        <v>8922.549999999999</v>
      </c>
      <c r="T2057" t="n">
        <v>30</v>
      </c>
      <c r="U2057" t="n">
        <v>32</v>
      </c>
      <c r="V2057" t="n">
        <v>30</v>
      </c>
      <c r="W2057" t="n">
        <v>11</v>
      </c>
      <c r="X2057" t="n">
        <v>26.73002673002673</v>
      </c>
      <c r="Y2057" t="n">
        <v>1</v>
      </c>
      <c r="Z2057" t="n">
        <v>2</v>
      </c>
      <c r="AA2057" t="n">
        <v>0</v>
      </c>
      <c r="AB2057" t="n">
        <v>2</v>
      </c>
      <c r="AC2057" t="n">
        <v>3</v>
      </c>
      <c r="AD2057" t="n">
        <v>0</v>
      </c>
      <c r="AE2057" t="n">
        <v>63582</v>
      </c>
      <c r="AF2057" t="n">
        <v>12831</v>
      </c>
      <c r="AG2057" t="n">
        <v>2122</v>
      </c>
      <c r="AH2057" t="inlineStr">
        <is>
          <t>PT. SINAR PADANG LESTARI - PPN (PDG)</t>
        </is>
      </c>
      <c r="AI2057" t="n">
        <v>78</v>
      </c>
      <c r="AJ2057" t="inlineStr">
        <is>
          <t>HANASUI</t>
        </is>
      </c>
      <c r="AK2057" t="n">
        <v>21</v>
      </c>
      <c r="AL2057" t="inlineStr">
        <is>
          <t>Miss Glam Damar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HANASUI</t>
        </is>
      </c>
      <c r="B2058" s="2">
        <f>"8998824553258"</f>
        <v/>
      </c>
      <c r="C2058" t="inlineStr">
        <is>
          <t>HANASUI Mattedorable Lip Cream Boba 05 Creamy Peach 4gr</t>
        </is>
      </c>
      <c r="D2058" t="inlineStr">
        <is>
          <t>Miss Glam Damar</t>
        </is>
      </c>
      <c r="E2058" t="n">
        <v>57</v>
      </c>
      <c r="F2058" t="n">
        <v>2.5116</v>
      </c>
      <c r="G2058" t="n">
        <v>10.01</v>
      </c>
      <c r="H2058" t="n">
        <v>3</v>
      </c>
      <c r="I2058" t="n">
        <v>11</v>
      </c>
      <c r="J2058" t="n">
        <v>3</v>
      </c>
      <c r="K2058" t="n">
        <v>0</v>
      </c>
      <c r="L2058" t="n">
        <v>21199</v>
      </c>
      <c r="M2058" t="n">
        <v>26500</v>
      </c>
      <c r="N2058" t="n">
        <v>91</v>
      </c>
      <c r="O2058" t="n">
        <v>0.91</v>
      </c>
      <c r="P2058" t="n">
        <v>1</v>
      </c>
      <c r="Q2058" t="n">
        <v>2.12</v>
      </c>
      <c r="R2058" t="n">
        <v>8</v>
      </c>
      <c r="S2058" t="n">
        <v>66557.39999999999</v>
      </c>
      <c r="T2058" t="n">
        <v>103</v>
      </c>
      <c r="U2058" t="n">
        <v>111</v>
      </c>
      <c r="V2058" t="n">
        <v>30</v>
      </c>
      <c r="W2058" t="n">
        <v>76</v>
      </c>
      <c r="X2058" t="n">
        <v>22.69469660774008</v>
      </c>
      <c r="Y2058" t="n">
        <v>1</v>
      </c>
      <c r="Z2058" t="n">
        <v>19</v>
      </c>
      <c r="AA2058" t="n">
        <v>0</v>
      </c>
      <c r="AB2058" t="n">
        <v>19</v>
      </c>
      <c r="AC2058" t="n">
        <v>19</v>
      </c>
      <c r="AD2058" t="n">
        <v>0</v>
      </c>
      <c r="AE2058" t="n">
        <v>402781</v>
      </c>
      <c r="AF2058" t="n">
        <v>12831</v>
      </c>
      <c r="AG2058" t="n">
        <v>2122</v>
      </c>
      <c r="AH2058" t="inlineStr">
        <is>
          <t>PT. SINAR PADANG LESTARI - PPN (PDG)</t>
        </is>
      </c>
      <c r="AI2058" t="n">
        <v>78</v>
      </c>
      <c r="AJ2058" t="inlineStr">
        <is>
          <t>HANASUI</t>
        </is>
      </c>
      <c r="AK2058" t="n">
        <v>21</v>
      </c>
      <c r="AL2058" t="inlineStr">
        <is>
          <t>Miss Glam Damar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HANASUI</t>
        </is>
      </c>
      <c r="B2059" s="2">
        <f>"8998824553326"</f>
        <v/>
      </c>
      <c r="C2059" t="inlineStr">
        <is>
          <t>HANASUI Mattedorable Lip Cream Boba 06 Hazelnut Latte 4gr</t>
        </is>
      </c>
      <c r="D2059" t="inlineStr">
        <is>
          <t>Miss Glam Damar</t>
        </is>
      </c>
      <c r="E2059" t="n">
        <v>45</v>
      </c>
      <c r="F2059" t="n">
        <v>3.8857</v>
      </c>
      <c r="G2059" t="n">
        <v>10.01</v>
      </c>
      <c r="H2059" t="n">
        <v>3</v>
      </c>
      <c r="I2059" t="n">
        <v>11</v>
      </c>
      <c r="J2059" t="n">
        <v>3</v>
      </c>
      <c r="K2059" t="n">
        <v>0</v>
      </c>
      <c r="L2059" t="n">
        <v>21198</v>
      </c>
      <c r="M2059" t="n">
        <v>26500</v>
      </c>
      <c r="N2059" t="n">
        <v>91</v>
      </c>
      <c r="O2059" t="n">
        <v>0.91</v>
      </c>
      <c r="P2059" t="n">
        <v>1</v>
      </c>
      <c r="Q2059" t="n">
        <v>2.36</v>
      </c>
      <c r="R2059" t="n">
        <v>7</v>
      </c>
      <c r="S2059" t="n">
        <v>102971.05</v>
      </c>
      <c r="T2059" t="n">
        <v>99</v>
      </c>
      <c r="U2059" t="n">
        <v>111</v>
      </c>
      <c r="V2059" t="n">
        <v>30</v>
      </c>
      <c r="W2059" t="n">
        <v>117</v>
      </c>
      <c r="X2059" t="n">
        <v>11.58092492987107</v>
      </c>
      <c r="Y2059" t="n">
        <v>1</v>
      </c>
      <c r="Z2059" t="n">
        <v>72</v>
      </c>
      <c r="AA2059" t="n">
        <v>0</v>
      </c>
      <c r="AB2059" t="n">
        <v>72</v>
      </c>
      <c r="AC2059" t="n">
        <v>72</v>
      </c>
      <c r="AD2059" t="n">
        <v>0</v>
      </c>
      <c r="AE2059" t="n">
        <v>1526256</v>
      </c>
      <c r="AF2059" t="n">
        <v>12831</v>
      </c>
      <c r="AG2059" t="n">
        <v>2122</v>
      </c>
      <c r="AH2059" t="inlineStr">
        <is>
          <t>PT. SINAR PADANG LESTARI - PPN (PDG)</t>
        </is>
      </c>
      <c r="AI2059" t="n">
        <v>78</v>
      </c>
      <c r="AJ2059" t="inlineStr">
        <is>
          <t>HANASUI</t>
        </is>
      </c>
      <c r="AK2059" t="n">
        <v>21</v>
      </c>
      <c r="AL2059" t="inlineStr">
        <is>
          <t>Miss Glam Damar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HANASUI</t>
        </is>
      </c>
      <c r="B2060" s="2">
        <f>"8998824554651"</f>
        <v/>
      </c>
      <c r="C2060" t="inlineStr">
        <is>
          <t>HANASUI Mattedorable Lip Cream Matcha Latte Edition 01 Matchalicious</t>
        </is>
      </c>
      <c r="D2060" t="inlineStr">
        <is>
          <t>Miss Glam Damar</t>
        </is>
      </c>
      <c r="E2060" t="n">
        <v>10</v>
      </c>
      <c r="F2060" t="n">
        <v>0.4186</v>
      </c>
      <c r="G2060" t="n">
        <v>2.73</v>
      </c>
      <c r="H2060" t="n">
        <v>3</v>
      </c>
      <c r="I2060" t="n">
        <v>11</v>
      </c>
      <c r="J2060" t="n">
        <v>3</v>
      </c>
      <c r="K2060" t="n">
        <v>0</v>
      </c>
      <c r="L2060" t="n">
        <v>21197</v>
      </c>
      <c r="M2060" t="n">
        <v>26500</v>
      </c>
      <c r="N2060" t="n">
        <v>91</v>
      </c>
      <c r="O2060" t="n">
        <v>0.91</v>
      </c>
      <c r="P2060" t="n">
        <v>1</v>
      </c>
      <c r="Q2060" t="n">
        <v>0.47</v>
      </c>
      <c r="R2060" t="n">
        <v>2</v>
      </c>
      <c r="S2060" t="n">
        <v>11092.9</v>
      </c>
      <c r="T2060" t="n">
        <v>29</v>
      </c>
      <c r="U2060" t="n">
        <v>31</v>
      </c>
      <c r="V2060" t="n">
        <v>30</v>
      </c>
      <c r="W2060" t="n">
        <v>13</v>
      </c>
      <c r="X2060" t="n">
        <v>23.88915432393693</v>
      </c>
      <c r="Y2060" t="n">
        <v>1</v>
      </c>
      <c r="Z2060" t="n">
        <v>3</v>
      </c>
      <c r="AA2060" t="n">
        <v>0</v>
      </c>
      <c r="AB2060" t="n">
        <v>3</v>
      </c>
      <c r="AC2060" t="n">
        <v>3</v>
      </c>
      <c r="AD2060" t="n">
        <v>0</v>
      </c>
      <c r="AE2060" t="n">
        <v>63591</v>
      </c>
      <c r="AF2060" t="n">
        <v>12831</v>
      </c>
      <c r="AG2060" t="n">
        <v>2122</v>
      </c>
      <c r="AH2060" t="inlineStr">
        <is>
          <t>PT. SINAR PADANG LESTARI - PPN (PDG)</t>
        </is>
      </c>
      <c r="AI2060" t="n">
        <v>78</v>
      </c>
      <c r="AJ2060" t="inlineStr">
        <is>
          <t>HANASUI</t>
        </is>
      </c>
      <c r="AK2060" t="n">
        <v>21</v>
      </c>
      <c r="AL2060" t="inlineStr">
        <is>
          <t>Miss Glam Damar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HANASUI</t>
        </is>
      </c>
      <c r="B2061" s="2">
        <f>"8998824554170"</f>
        <v/>
      </c>
      <c r="C2061" t="inlineStr">
        <is>
          <t>HANASUI Mattedorable Lipstick Cinnamon #110 2gr</t>
        </is>
      </c>
      <c r="D2061" t="inlineStr">
        <is>
          <t>Miss Glam Damar</t>
        </is>
      </c>
      <c r="E2061" t="n">
        <v>2</v>
      </c>
      <c r="F2061" t="n">
        <v>0.1547</v>
      </c>
      <c r="G2061" t="n">
        <v>0.91</v>
      </c>
      <c r="H2061" t="n">
        <v>3</v>
      </c>
      <c r="I2061" t="n">
        <v>11</v>
      </c>
      <c r="J2061" t="n">
        <v>3</v>
      </c>
      <c r="K2061" t="n">
        <v>0</v>
      </c>
      <c r="L2061" t="n">
        <v>23601</v>
      </c>
      <c r="M2061" t="n">
        <v>31000</v>
      </c>
      <c r="N2061" t="n">
        <v>91</v>
      </c>
      <c r="O2061" t="n">
        <v>0.91</v>
      </c>
      <c r="P2061" t="n">
        <v>1</v>
      </c>
      <c r="Q2061" t="n">
        <v>0.07000000000000001</v>
      </c>
      <c r="R2061" t="n">
        <v>1</v>
      </c>
      <c r="S2061" t="n">
        <v>4795.7</v>
      </c>
      <c r="T2061" t="n">
        <v>10</v>
      </c>
      <c r="U2061" t="n">
        <v>11</v>
      </c>
      <c r="V2061" t="n">
        <v>30</v>
      </c>
      <c r="W2061" t="n">
        <v>5</v>
      </c>
      <c r="X2061" t="n">
        <v>12.92824822236587</v>
      </c>
      <c r="Y2061" t="n">
        <v>1</v>
      </c>
      <c r="Z2061" t="n">
        <v>3</v>
      </c>
      <c r="AA2061" t="n">
        <v>0</v>
      </c>
      <c r="AB2061" t="n">
        <v>3</v>
      </c>
      <c r="AC2061" t="n">
        <v>3</v>
      </c>
      <c r="AD2061" t="n">
        <v>0</v>
      </c>
      <c r="AE2061" t="n">
        <v>70803</v>
      </c>
      <c r="AF2061" t="n">
        <v>12831</v>
      </c>
      <c r="AG2061" t="n">
        <v>2122</v>
      </c>
      <c r="AH2061" t="inlineStr">
        <is>
          <t>PT. SINAR PADANG LESTARI - PPN (PDG)</t>
        </is>
      </c>
      <c r="AI2061" t="n">
        <v>78</v>
      </c>
      <c r="AJ2061" t="inlineStr">
        <is>
          <t>HANASUI</t>
        </is>
      </c>
      <c r="AK2061" t="n">
        <v>21</v>
      </c>
      <c r="AL2061" t="inlineStr">
        <is>
          <t>Miss Glam Damar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HANASUI</t>
        </is>
      </c>
      <c r="B2062" s="2">
        <f>"8998824554323"</f>
        <v/>
      </c>
      <c r="C2062" t="inlineStr">
        <is>
          <t>HANASUI Mattedorable Lipstick Jayzy #117 2gr</t>
        </is>
      </c>
      <c r="D2062" t="inlineStr">
        <is>
          <t>Miss Glam Damar</t>
        </is>
      </c>
      <c r="E2062" t="n">
        <v>3</v>
      </c>
      <c r="F2062" t="n">
        <v>0.04550000000000001</v>
      </c>
      <c r="G2062" t="n">
        <v>0.91</v>
      </c>
      <c r="H2062" t="n">
        <v>3</v>
      </c>
      <c r="I2062" t="n">
        <v>11</v>
      </c>
      <c r="J2062" t="n">
        <v>3</v>
      </c>
      <c r="K2062" t="n">
        <v>0</v>
      </c>
      <c r="L2062" t="n">
        <v>23600</v>
      </c>
      <c r="M2062" t="n">
        <v>31000</v>
      </c>
      <c r="N2062" t="n">
        <v>91</v>
      </c>
      <c r="O2062" t="n">
        <v>0.91</v>
      </c>
      <c r="P2062" t="n">
        <v>1</v>
      </c>
      <c r="Q2062" t="n">
        <v>0.08</v>
      </c>
      <c r="R2062" t="n">
        <v>1</v>
      </c>
      <c r="S2062" t="n">
        <v>1410.5</v>
      </c>
      <c r="T2062" t="n">
        <v>10</v>
      </c>
      <c r="U2062" t="n">
        <v>11</v>
      </c>
      <c r="V2062" t="n">
        <v>30</v>
      </c>
      <c r="W2062" t="n">
        <v>2</v>
      </c>
      <c r="X2062" t="n">
        <v>65.93406593406593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12831</v>
      </c>
      <c r="AG2062" t="n">
        <v>2122</v>
      </c>
      <c r="AH2062" t="inlineStr">
        <is>
          <t>PT. SINAR PADANG LESTARI - PPN (PDG)</t>
        </is>
      </c>
      <c r="AI2062" t="n">
        <v>78</v>
      </c>
      <c r="AJ2062" t="inlineStr">
        <is>
          <t>HANASUI</t>
        </is>
      </c>
      <c r="AK2062" t="n">
        <v>21</v>
      </c>
      <c r="AL2062" t="inlineStr">
        <is>
          <t>Miss Glam Damar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HANASUI</t>
        </is>
      </c>
      <c r="B2063" s="2">
        <f>"8998824554071"</f>
        <v/>
      </c>
      <c r="C2063" t="inlineStr">
        <is>
          <t>HANASUI Mattedorable Lipstick Noona #I05 2gr</t>
        </is>
      </c>
      <c r="D2063" t="inlineStr">
        <is>
          <t>Miss Glam Damar</t>
        </is>
      </c>
      <c r="E2063" t="n">
        <v>3</v>
      </c>
      <c r="F2063" t="n">
        <v>0.1729</v>
      </c>
      <c r="G2063" t="n">
        <v>1.82</v>
      </c>
      <c r="H2063" t="n">
        <v>3</v>
      </c>
      <c r="I2063" t="n">
        <v>11</v>
      </c>
      <c r="J2063" t="n">
        <v>3</v>
      </c>
      <c r="K2063" t="n">
        <v>0</v>
      </c>
      <c r="L2063" t="n">
        <v>24500</v>
      </c>
      <c r="M2063" t="n">
        <v>31000</v>
      </c>
      <c r="N2063" t="n">
        <v>91</v>
      </c>
      <c r="O2063" t="n">
        <v>0.91</v>
      </c>
      <c r="P2063" t="n">
        <v>1</v>
      </c>
      <c r="Q2063" t="n">
        <v>0.2</v>
      </c>
      <c r="R2063" t="n">
        <v>2</v>
      </c>
      <c r="S2063" t="n">
        <v>5359.9</v>
      </c>
      <c r="T2063" t="n">
        <v>20</v>
      </c>
      <c r="U2063" t="n">
        <v>21</v>
      </c>
      <c r="V2063" t="n">
        <v>30</v>
      </c>
      <c r="W2063" t="n">
        <v>6</v>
      </c>
      <c r="X2063" t="n">
        <v>17.35106998264893</v>
      </c>
      <c r="Y2063" t="n">
        <v>1</v>
      </c>
      <c r="Z2063" t="n">
        <v>3</v>
      </c>
      <c r="AA2063" t="n">
        <v>0</v>
      </c>
      <c r="AB2063" t="n">
        <v>3</v>
      </c>
      <c r="AC2063" t="n">
        <v>3</v>
      </c>
      <c r="AD2063" t="n">
        <v>0</v>
      </c>
      <c r="AE2063" t="n">
        <v>73500</v>
      </c>
      <c r="AF2063" t="n">
        <v>12831</v>
      </c>
      <c r="AG2063" t="n">
        <v>2122</v>
      </c>
      <c r="AH2063" t="inlineStr">
        <is>
          <t>PT. SINAR PADANG LESTARI - PPN (PDG)</t>
        </is>
      </c>
      <c r="AI2063" t="n">
        <v>78</v>
      </c>
      <c r="AJ2063" t="inlineStr">
        <is>
          <t>HANASUI</t>
        </is>
      </c>
      <c r="AK2063" t="n">
        <v>21</v>
      </c>
      <c r="AL2063" t="inlineStr">
        <is>
          <t>Miss Glam Damar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HANASUI</t>
        </is>
      </c>
      <c r="B2064" s="2">
        <f>"8998824554194"</f>
        <v/>
      </c>
      <c r="C2064" t="inlineStr">
        <is>
          <t>HANASUI Mattedorable Lipstick Peony #111 2gr</t>
        </is>
      </c>
      <c r="D2064" t="inlineStr">
        <is>
          <t>Miss Glam Damar</t>
        </is>
      </c>
      <c r="E2064" t="n">
        <v>15</v>
      </c>
      <c r="F2064" t="n">
        <v>0.2457</v>
      </c>
      <c r="G2064" t="n">
        <v>1.82</v>
      </c>
      <c r="H2064" t="n">
        <v>3</v>
      </c>
      <c r="I2064" t="n">
        <v>11</v>
      </c>
      <c r="J2064" t="n">
        <v>3</v>
      </c>
      <c r="K2064" t="n">
        <v>0</v>
      </c>
      <c r="L2064" t="n">
        <v>23601</v>
      </c>
      <c r="M2064" t="n">
        <v>31000</v>
      </c>
      <c r="N2064" t="n">
        <v>91</v>
      </c>
      <c r="O2064" t="n">
        <v>0.91</v>
      </c>
      <c r="P2064" t="n">
        <v>1</v>
      </c>
      <c r="Q2064" t="n">
        <v>0.15</v>
      </c>
      <c r="R2064" t="n">
        <v>2</v>
      </c>
      <c r="S2064" t="n">
        <v>7616.700000000001</v>
      </c>
      <c r="T2064" t="n">
        <v>20</v>
      </c>
      <c r="U2064" t="n">
        <v>21</v>
      </c>
      <c r="V2064" t="n">
        <v>30</v>
      </c>
      <c r="W2064" t="n">
        <v>8</v>
      </c>
      <c r="X2064" t="n">
        <v>61.05006105006104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12831</v>
      </c>
      <c r="AG2064" t="n">
        <v>2122</v>
      </c>
      <c r="AH2064" t="inlineStr">
        <is>
          <t>PT. SINAR PADANG LESTARI - PPN (PDG)</t>
        </is>
      </c>
      <c r="AI2064" t="n">
        <v>78</v>
      </c>
      <c r="AJ2064" t="inlineStr">
        <is>
          <t>HANASUI</t>
        </is>
      </c>
      <c r="AK2064" t="n">
        <v>21</v>
      </c>
      <c r="AL2064" t="inlineStr">
        <is>
          <t>Miss Glam Damar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HANASUI</t>
        </is>
      </c>
      <c r="B2065" s="2">
        <f>"8998824554118"</f>
        <v/>
      </c>
      <c r="C2065" t="inlineStr">
        <is>
          <t>HANASUI Mattedorable Lipstick Pop #107 2gr</t>
        </is>
      </c>
      <c r="D2065" t="inlineStr">
        <is>
          <t>Miss Glam Damar</t>
        </is>
      </c>
      <c r="E2065" t="n">
        <v>8</v>
      </c>
      <c r="F2065" t="n">
        <v>0.3276</v>
      </c>
      <c r="G2065" t="n">
        <v>1.82</v>
      </c>
      <c r="H2065" t="n">
        <v>3</v>
      </c>
      <c r="I2065" t="n">
        <v>11</v>
      </c>
      <c r="J2065" t="n">
        <v>3</v>
      </c>
      <c r="K2065" t="n">
        <v>0</v>
      </c>
      <c r="L2065" t="n">
        <v>24400</v>
      </c>
      <c r="M2065" t="n">
        <v>31000</v>
      </c>
      <c r="N2065" t="n">
        <v>91</v>
      </c>
      <c r="O2065" t="n">
        <v>0.91</v>
      </c>
      <c r="P2065" t="n">
        <v>1</v>
      </c>
      <c r="Q2065" t="n">
        <v>0.24</v>
      </c>
      <c r="R2065" t="n">
        <v>1</v>
      </c>
      <c r="S2065" t="n">
        <v>10155.6</v>
      </c>
      <c r="T2065" t="n">
        <v>20</v>
      </c>
      <c r="U2065" t="n">
        <v>21</v>
      </c>
      <c r="V2065" t="n">
        <v>30</v>
      </c>
      <c r="W2065" t="n">
        <v>10</v>
      </c>
      <c r="X2065" t="n">
        <v>24.42002442002442</v>
      </c>
      <c r="Y2065" t="n">
        <v>1</v>
      </c>
      <c r="Z2065" t="n">
        <v>2</v>
      </c>
      <c r="AA2065" t="n">
        <v>0</v>
      </c>
      <c r="AB2065" t="n">
        <v>2</v>
      </c>
      <c r="AC2065" t="n">
        <v>3</v>
      </c>
      <c r="AD2065" t="n">
        <v>0</v>
      </c>
      <c r="AE2065" t="n">
        <v>73200</v>
      </c>
      <c r="AF2065" t="n">
        <v>12831</v>
      </c>
      <c r="AG2065" t="n">
        <v>2122</v>
      </c>
      <c r="AH2065" t="inlineStr">
        <is>
          <t>PT. SINAR PADANG LESTARI - PPN (PDG)</t>
        </is>
      </c>
      <c r="AI2065" t="n">
        <v>78</v>
      </c>
      <c r="AJ2065" t="inlineStr">
        <is>
          <t>HANASUI</t>
        </is>
      </c>
      <c r="AK2065" t="n">
        <v>21</v>
      </c>
      <c r="AL2065" t="inlineStr">
        <is>
          <t>Miss Glam Damar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HANASUI</t>
        </is>
      </c>
      <c r="B2066" s="2">
        <f>"8998824554347"</f>
        <v/>
      </c>
      <c r="C2066" t="inlineStr">
        <is>
          <t>HANASUI Mattedorable Lipstick Retro #118 2gr</t>
        </is>
      </c>
      <c r="D2066" t="inlineStr">
        <is>
          <t>Miss Glam Damar</t>
        </is>
      </c>
      <c r="E2066" t="n">
        <v>8</v>
      </c>
      <c r="F2066" t="n">
        <v>0.0182</v>
      </c>
      <c r="G2066" t="n">
        <v>0.91</v>
      </c>
      <c r="H2066" t="n">
        <v>3</v>
      </c>
      <c r="I2066" t="n">
        <v>11</v>
      </c>
      <c r="J2066" t="n">
        <v>3</v>
      </c>
      <c r="K2066" t="n">
        <v>0</v>
      </c>
      <c r="L2066" t="n">
        <v>23600</v>
      </c>
      <c r="M2066" t="n">
        <v>31000</v>
      </c>
      <c r="N2066" t="n">
        <v>91</v>
      </c>
      <c r="O2066" t="n">
        <v>0.91</v>
      </c>
      <c r="P2066" t="n">
        <v>1</v>
      </c>
      <c r="Q2066" t="n">
        <v>0.03</v>
      </c>
      <c r="R2066" t="n">
        <v>1</v>
      </c>
      <c r="S2066" t="n">
        <v>564.2</v>
      </c>
      <c r="T2066" t="n">
        <v>10</v>
      </c>
      <c r="U2066" t="n">
        <v>11</v>
      </c>
      <c r="V2066" t="n">
        <v>30</v>
      </c>
      <c r="W2066" t="n">
        <v>1</v>
      </c>
      <c r="X2066" t="n">
        <v>439.5604395604395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12831</v>
      </c>
      <c r="AG2066" t="n">
        <v>2122</v>
      </c>
      <c r="AH2066" t="inlineStr">
        <is>
          <t>PT. SINAR PADANG LESTARI - PPN (PDG)</t>
        </is>
      </c>
      <c r="AI2066" t="n">
        <v>78</v>
      </c>
      <c r="AJ2066" t="inlineStr">
        <is>
          <t>HANASUI</t>
        </is>
      </c>
      <c r="AK2066" t="n">
        <v>21</v>
      </c>
      <c r="AL2066" t="inlineStr">
        <is>
          <t>Miss Glam Damar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HANASUI</t>
        </is>
      </c>
      <c r="B2067" s="2">
        <f>"8998824554262"</f>
        <v/>
      </c>
      <c r="C2067" t="inlineStr">
        <is>
          <t>HANASUI Mattedorable Lipstick Sandstone 1I5 gr</t>
        </is>
      </c>
      <c r="D2067" t="inlineStr">
        <is>
          <t>Miss Glam Damar</t>
        </is>
      </c>
      <c r="E2067" t="n">
        <v>17</v>
      </c>
      <c r="F2067" t="n">
        <v>0.3367</v>
      </c>
      <c r="G2067" t="n">
        <v>1.82</v>
      </c>
      <c r="H2067" t="n">
        <v>3</v>
      </c>
      <c r="I2067" t="n">
        <v>11</v>
      </c>
      <c r="J2067" t="n">
        <v>3</v>
      </c>
      <c r="K2067" t="n">
        <v>0</v>
      </c>
      <c r="L2067" t="n">
        <v>24447</v>
      </c>
      <c r="M2067" t="n">
        <v>31000</v>
      </c>
      <c r="N2067" t="n">
        <v>91</v>
      </c>
      <c r="O2067" t="n">
        <v>0.91</v>
      </c>
      <c r="P2067" t="n">
        <v>1</v>
      </c>
      <c r="Q2067" t="n">
        <v>0.42</v>
      </c>
      <c r="R2067" t="n">
        <v>3</v>
      </c>
      <c r="S2067" t="n">
        <v>10437.7</v>
      </c>
      <c r="T2067" t="n">
        <v>20</v>
      </c>
      <c r="U2067" t="n">
        <v>22</v>
      </c>
      <c r="V2067" t="n">
        <v>30</v>
      </c>
      <c r="W2067" t="n">
        <v>11</v>
      </c>
      <c r="X2067" t="n">
        <v>50.49005049005049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12831</v>
      </c>
      <c r="AG2067" t="n">
        <v>2122</v>
      </c>
      <c r="AH2067" t="inlineStr">
        <is>
          <t>PT. SINAR PADANG LESTARI - PPN (PDG)</t>
        </is>
      </c>
      <c r="AI2067" t="n">
        <v>78</v>
      </c>
      <c r="AJ2067" t="inlineStr">
        <is>
          <t>HANASUI</t>
        </is>
      </c>
      <c r="AK2067" t="n">
        <v>21</v>
      </c>
      <c r="AL2067" t="inlineStr">
        <is>
          <t>Miss Glam Damar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HANASUI</t>
        </is>
      </c>
      <c r="B2068" s="2">
        <f>"8998824553999"</f>
        <v/>
      </c>
      <c r="C2068" t="inlineStr">
        <is>
          <t>HANASUI Mattedorable Lipstick Superstar #101 2gr</t>
        </is>
      </c>
      <c r="D2068" t="inlineStr">
        <is>
          <t>Miss Glam Damar</t>
        </is>
      </c>
      <c r="E2068" t="n">
        <v>15</v>
      </c>
      <c r="F2068" t="n">
        <v>0.2275</v>
      </c>
      <c r="G2068" t="n">
        <v>2.73</v>
      </c>
      <c r="H2068" t="n">
        <v>3</v>
      </c>
      <c r="I2068" t="n">
        <v>11</v>
      </c>
      <c r="J2068" t="n">
        <v>3</v>
      </c>
      <c r="K2068" t="n">
        <v>0</v>
      </c>
      <c r="L2068" t="n">
        <v>24447</v>
      </c>
      <c r="M2068" t="n">
        <v>31000</v>
      </c>
      <c r="N2068" t="n">
        <v>91</v>
      </c>
      <c r="O2068" t="n">
        <v>0.91</v>
      </c>
      <c r="P2068" t="n">
        <v>1</v>
      </c>
      <c r="Q2068" t="n">
        <v>0.27</v>
      </c>
      <c r="R2068" t="n">
        <v>2</v>
      </c>
      <c r="S2068" t="n">
        <v>7052.5</v>
      </c>
      <c r="T2068" t="n">
        <v>30</v>
      </c>
      <c r="U2068" t="n">
        <v>31</v>
      </c>
      <c r="V2068" t="n">
        <v>30</v>
      </c>
      <c r="W2068" t="n">
        <v>7</v>
      </c>
      <c r="X2068" t="n">
        <v>65.93406593406593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12831</v>
      </c>
      <c r="AG2068" t="n">
        <v>2122</v>
      </c>
      <c r="AH2068" t="inlineStr">
        <is>
          <t>PT. SINAR PADANG LESTARI - PPN (PDG)</t>
        </is>
      </c>
      <c r="AI2068" t="n">
        <v>78</v>
      </c>
      <c r="AJ2068" t="inlineStr">
        <is>
          <t>HANASUI</t>
        </is>
      </c>
      <c r="AK2068" t="n">
        <v>21</v>
      </c>
      <c r="AL2068" t="inlineStr">
        <is>
          <t>Miss Glam Damar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HANASUI</t>
        </is>
      </c>
      <c r="B2069" s="2">
        <f>"8998824554033"</f>
        <v/>
      </c>
      <c r="C2069" t="inlineStr">
        <is>
          <t>HANASUI Mattedorable Lipstick Sway #103 2gr</t>
        </is>
      </c>
      <c r="D2069" t="inlineStr">
        <is>
          <t>Miss Glam Damar</t>
        </is>
      </c>
      <c r="E2069" t="n">
        <v>10</v>
      </c>
      <c r="F2069" t="n">
        <v>0.2457</v>
      </c>
      <c r="G2069" t="n">
        <v>1.82</v>
      </c>
      <c r="H2069" t="n">
        <v>3</v>
      </c>
      <c r="I2069" t="n">
        <v>11</v>
      </c>
      <c r="J2069" t="n">
        <v>3</v>
      </c>
      <c r="K2069" t="n">
        <v>0</v>
      </c>
      <c r="L2069" t="n">
        <v>23600</v>
      </c>
      <c r="M2069" t="n">
        <v>31000</v>
      </c>
      <c r="N2069" t="n">
        <v>91</v>
      </c>
      <c r="O2069" t="n">
        <v>0.91</v>
      </c>
      <c r="P2069" t="n">
        <v>1</v>
      </c>
      <c r="Q2069" t="n">
        <v>0.15</v>
      </c>
      <c r="R2069" t="n">
        <v>1</v>
      </c>
      <c r="S2069" t="n">
        <v>7616.700000000001</v>
      </c>
      <c r="T2069" t="n">
        <v>20</v>
      </c>
      <c r="U2069" t="n">
        <v>21</v>
      </c>
      <c r="V2069" t="n">
        <v>30</v>
      </c>
      <c r="W2069" t="n">
        <v>8</v>
      </c>
      <c r="X2069" t="n">
        <v>40.7000407000407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12831</v>
      </c>
      <c r="AG2069" t="n">
        <v>2122</v>
      </c>
      <c r="AH2069" t="inlineStr">
        <is>
          <t>PT. SINAR PADANG LESTARI - PPN (PDG)</t>
        </is>
      </c>
      <c r="AI2069" t="n">
        <v>78</v>
      </c>
      <c r="AJ2069" t="inlineStr">
        <is>
          <t>HANASUI</t>
        </is>
      </c>
      <c r="AK2069" t="n">
        <v>21</v>
      </c>
      <c r="AL2069" t="inlineStr">
        <is>
          <t>Miss Glam Damar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HANASUI</t>
        </is>
      </c>
      <c r="B2070" s="2">
        <f>"8998824554248"</f>
        <v/>
      </c>
      <c r="C2070" t="inlineStr">
        <is>
          <t>HANASUI Mattedorable Lipstick Tropical #113 2gr</t>
        </is>
      </c>
      <c r="D2070" t="inlineStr">
        <is>
          <t>Miss Glam Damar</t>
        </is>
      </c>
      <c r="E2070" t="n">
        <v>2</v>
      </c>
      <c r="F2070" t="n">
        <v>0.2639</v>
      </c>
      <c r="G2070" t="n">
        <v>1.82</v>
      </c>
      <c r="H2070" t="n">
        <v>3</v>
      </c>
      <c r="I2070" t="n">
        <v>11</v>
      </c>
      <c r="J2070" t="n">
        <v>3</v>
      </c>
      <c r="K2070" t="n">
        <v>0</v>
      </c>
      <c r="L2070" t="n">
        <v>23601</v>
      </c>
      <c r="M2070" t="n">
        <v>31000</v>
      </c>
      <c r="N2070" t="n">
        <v>91</v>
      </c>
      <c r="O2070" t="n">
        <v>0.91</v>
      </c>
      <c r="P2070" t="n">
        <v>1</v>
      </c>
      <c r="Q2070" t="n">
        <v>0.2</v>
      </c>
      <c r="R2070" t="n">
        <v>2</v>
      </c>
      <c r="S2070" t="n">
        <v>8180.899999999999</v>
      </c>
      <c r="T2070" t="n">
        <v>20</v>
      </c>
      <c r="U2070" t="n">
        <v>21</v>
      </c>
      <c r="V2070" t="n">
        <v>30</v>
      </c>
      <c r="W2070" t="n">
        <v>8</v>
      </c>
      <c r="X2070" t="n">
        <v>7.578628268283442</v>
      </c>
      <c r="Y2070" t="n">
        <v>1</v>
      </c>
      <c r="Z2070" t="n">
        <v>6</v>
      </c>
      <c r="AA2070" t="n">
        <v>1</v>
      </c>
      <c r="AB2070" t="n">
        <v>5</v>
      </c>
      <c r="AC2070" t="n">
        <v>5</v>
      </c>
      <c r="AD2070" t="n">
        <v>23601</v>
      </c>
      <c r="AE2070" t="n">
        <v>118005</v>
      </c>
      <c r="AF2070" t="n">
        <v>12831</v>
      </c>
      <c r="AG2070" t="n">
        <v>2122</v>
      </c>
      <c r="AH2070" t="inlineStr">
        <is>
          <t>PT. SINAR PADANG LESTARI - PPN (PDG)</t>
        </is>
      </c>
      <c r="AI2070" t="n">
        <v>78</v>
      </c>
      <c r="AJ2070" t="inlineStr">
        <is>
          <t>HANASUI</t>
        </is>
      </c>
      <c r="AK2070" t="n">
        <v>21</v>
      </c>
      <c r="AL2070" t="inlineStr">
        <is>
          <t>Miss Glam Damar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HANASUI</t>
        </is>
      </c>
      <c r="B2071" s="2">
        <f>"8998824552312"</f>
        <v/>
      </c>
      <c r="C2071" t="inlineStr">
        <is>
          <t>HANASUI Men Bright Active Serum 20ml</t>
        </is>
      </c>
      <c r="D2071" t="inlineStr">
        <is>
          <t>Miss Glam Damar</t>
        </is>
      </c>
      <c r="E2071" t="n">
        <v>3</v>
      </c>
      <c r="F2071" t="n">
        <v>0.2275</v>
      </c>
      <c r="G2071" t="n">
        <v>1.82</v>
      </c>
      <c r="H2071" t="n">
        <v>3</v>
      </c>
      <c r="I2071" t="n">
        <v>11</v>
      </c>
      <c r="J2071" t="n">
        <v>3</v>
      </c>
      <c r="K2071" t="n">
        <v>0</v>
      </c>
      <c r="L2071" t="n">
        <v>17760</v>
      </c>
      <c r="M2071" t="n">
        <v>23500</v>
      </c>
      <c r="N2071" t="n">
        <v>91</v>
      </c>
      <c r="O2071" t="n">
        <v>0.91</v>
      </c>
      <c r="P2071" t="n">
        <v>1</v>
      </c>
      <c r="Q2071" t="n">
        <v>0.24</v>
      </c>
      <c r="R2071" t="n">
        <v>3</v>
      </c>
      <c r="S2071" t="n">
        <v>5346.25</v>
      </c>
      <c r="T2071" t="n">
        <v>20</v>
      </c>
      <c r="U2071" t="n">
        <v>21</v>
      </c>
      <c r="V2071" t="n">
        <v>30</v>
      </c>
      <c r="W2071" t="n">
        <v>7</v>
      </c>
      <c r="X2071" t="n">
        <v>13.18681318681319</v>
      </c>
      <c r="Y2071" t="n">
        <v>1</v>
      </c>
      <c r="Z2071" t="n">
        <v>4</v>
      </c>
      <c r="AA2071" t="n">
        <v>0</v>
      </c>
      <c r="AB2071" t="n">
        <v>4</v>
      </c>
      <c r="AC2071" t="n">
        <v>4</v>
      </c>
      <c r="AD2071" t="n">
        <v>0</v>
      </c>
      <c r="AE2071" t="n">
        <v>71040</v>
      </c>
      <c r="AF2071" t="n">
        <v>12831</v>
      </c>
      <c r="AG2071" t="n">
        <v>2122</v>
      </c>
      <c r="AH2071" t="inlineStr">
        <is>
          <t>PT. SINAR PADANG LESTARI - PPN (PDG)</t>
        </is>
      </c>
      <c r="AI2071" t="n">
        <v>78</v>
      </c>
      <c r="AJ2071" t="inlineStr">
        <is>
          <t>HANASUI</t>
        </is>
      </c>
      <c r="AK2071" t="n">
        <v>21</v>
      </c>
      <c r="AL2071" t="inlineStr">
        <is>
          <t>Miss Glam Damar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HANASUI</t>
        </is>
      </c>
      <c r="B2072" s="2">
        <f>"8998824551292"</f>
        <v/>
      </c>
      <c r="C2072" t="inlineStr">
        <is>
          <t>HANASUI Milky Lotion 240ml</t>
        </is>
      </c>
      <c r="D2072" t="inlineStr">
        <is>
          <t>Miss Glam Damar</t>
        </is>
      </c>
      <c r="E2072" t="n">
        <v>10</v>
      </c>
      <c r="F2072" t="n">
        <v>0.2184</v>
      </c>
      <c r="G2072" t="n">
        <v>1.82</v>
      </c>
      <c r="H2072" t="n">
        <v>3</v>
      </c>
      <c r="I2072" t="n">
        <v>11</v>
      </c>
      <c r="J2072" t="n">
        <v>3</v>
      </c>
      <c r="K2072" t="n">
        <v>0</v>
      </c>
      <c r="L2072" t="n">
        <v>14800</v>
      </c>
      <c r="M2072" t="n">
        <v>18500</v>
      </c>
      <c r="N2072" t="n">
        <v>91</v>
      </c>
      <c r="O2072" t="n">
        <v>0.91</v>
      </c>
      <c r="P2072" t="n">
        <v>1</v>
      </c>
      <c r="Q2072" t="n">
        <v>0.15</v>
      </c>
      <c r="R2072" t="n">
        <v>4</v>
      </c>
      <c r="S2072" t="n">
        <v>4040.4</v>
      </c>
      <c r="T2072" t="n">
        <v>20</v>
      </c>
      <c r="U2072" t="n">
        <v>21</v>
      </c>
      <c r="V2072" t="n">
        <v>30</v>
      </c>
      <c r="W2072" t="n">
        <v>7</v>
      </c>
      <c r="X2072" t="n">
        <v>45.78754578754579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12831</v>
      </c>
      <c r="AG2072" t="n">
        <v>2122</v>
      </c>
      <c r="AH2072" t="inlineStr">
        <is>
          <t>PT. SINAR PADANG LESTARI - PPN (PDG)</t>
        </is>
      </c>
      <c r="AI2072" t="n">
        <v>78</v>
      </c>
      <c r="AJ2072" t="inlineStr">
        <is>
          <t>HANASUI</t>
        </is>
      </c>
      <c r="AK2072" t="n">
        <v>21</v>
      </c>
      <c r="AL2072" t="inlineStr">
        <is>
          <t>Miss Glam Damar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HANASUI</t>
        </is>
      </c>
      <c r="B2073" s="2">
        <f>"8998824551346"</f>
        <v/>
      </c>
      <c r="C2073" t="inlineStr">
        <is>
          <t>HANASUI Naturgo Gold Mask</t>
        </is>
      </c>
      <c r="D2073" t="inlineStr">
        <is>
          <t>Miss Glam Damar</t>
        </is>
      </c>
      <c r="E2073" t="n">
        <v>59</v>
      </c>
      <c r="F2073" t="n">
        <v>1.6198</v>
      </c>
      <c r="G2073" t="n">
        <v>9.1</v>
      </c>
      <c r="H2073" t="n">
        <v>3</v>
      </c>
      <c r="I2073" t="n">
        <v>11</v>
      </c>
      <c r="J2073" t="n">
        <v>3</v>
      </c>
      <c r="K2073" t="n">
        <v>0</v>
      </c>
      <c r="L2073" t="n">
        <v>1659</v>
      </c>
      <c r="M2073" t="n">
        <v>2000</v>
      </c>
      <c r="N2073" t="n">
        <v>91</v>
      </c>
      <c r="O2073" t="n">
        <v>0.91</v>
      </c>
      <c r="P2073" t="n">
        <v>1</v>
      </c>
      <c r="Q2073" t="n">
        <v>2.51</v>
      </c>
      <c r="R2073" t="n">
        <v>11</v>
      </c>
      <c r="S2073" t="n">
        <v>3239.6</v>
      </c>
      <c r="T2073" t="n">
        <v>96</v>
      </c>
      <c r="U2073" t="n">
        <v>101</v>
      </c>
      <c r="V2073" t="n">
        <v>30</v>
      </c>
      <c r="W2073" t="n">
        <v>49</v>
      </c>
      <c r="X2073" t="n">
        <v>36.42424990739597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12831</v>
      </c>
      <c r="AG2073" t="n">
        <v>2122</v>
      </c>
      <c r="AH2073" t="inlineStr">
        <is>
          <t>PT. SINAR PADANG LESTARI - PPN (PDG)</t>
        </is>
      </c>
      <c r="AI2073" t="n">
        <v>78</v>
      </c>
      <c r="AJ2073" t="inlineStr">
        <is>
          <t>HANASUI</t>
        </is>
      </c>
      <c r="AK2073" t="n">
        <v>21</v>
      </c>
      <c r="AL2073" t="inlineStr">
        <is>
          <t>Miss Glam Damar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HANASUI</t>
        </is>
      </c>
      <c r="B2074" s="2">
        <f>"8998823551248"</f>
        <v/>
      </c>
      <c r="C2074" t="inlineStr">
        <is>
          <t>HANASUI Naturgo Peel Off Mask</t>
        </is>
      </c>
      <c r="D2074" t="inlineStr">
        <is>
          <t>Miss Glam Damar</t>
        </is>
      </c>
      <c r="E2074" t="n">
        <v>0</v>
      </c>
      <c r="F2074" t="n">
        <v>6.4155</v>
      </c>
      <c r="G2074" t="n">
        <v>20.93</v>
      </c>
      <c r="H2074" t="n">
        <v>3</v>
      </c>
      <c r="I2074" t="n">
        <v>11</v>
      </c>
      <c r="J2074" t="n">
        <v>3</v>
      </c>
      <c r="K2074" t="n">
        <v>0</v>
      </c>
      <c r="L2074" t="n">
        <v>1483</v>
      </c>
      <c r="M2074" t="n">
        <v>2000</v>
      </c>
      <c r="N2074" t="n">
        <v>91</v>
      </c>
      <c r="O2074" t="n">
        <v>0.91</v>
      </c>
      <c r="P2074" t="n">
        <v>1</v>
      </c>
      <c r="Q2074" t="n">
        <v>0.83</v>
      </c>
      <c r="R2074" t="n">
        <v>7</v>
      </c>
      <c r="S2074" t="n">
        <v>12831</v>
      </c>
      <c r="T2074" t="n">
        <v>211</v>
      </c>
      <c r="U2074" t="n">
        <v>231</v>
      </c>
      <c r="V2074" t="n">
        <v>30</v>
      </c>
      <c r="W2074" t="n">
        <v>193</v>
      </c>
      <c r="X2074" t="n">
        <v>0</v>
      </c>
      <c r="Y2074" t="n">
        <v>1</v>
      </c>
      <c r="Z2074" t="n">
        <v>193</v>
      </c>
      <c r="AA2074" t="n">
        <v>71</v>
      </c>
      <c r="AB2074" t="n">
        <v>122</v>
      </c>
      <c r="AC2074" t="n">
        <v>122</v>
      </c>
      <c r="AD2074" t="n">
        <v>105293</v>
      </c>
      <c r="AE2074" t="n">
        <v>180926</v>
      </c>
      <c r="AF2074" t="n">
        <v>12831</v>
      </c>
      <c r="AG2074" t="n">
        <v>2122</v>
      </c>
      <c r="AH2074" t="inlineStr">
        <is>
          <t>PT. SINAR PADANG LESTARI - PPN (PDG)</t>
        </is>
      </c>
      <c r="AI2074" t="n">
        <v>78</v>
      </c>
      <c r="AJ2074" t="inlineStr">
        <is>
          <t>HANASUI</t>
        </is>
      </c>
      <c r="AK2074" t="n">
        <v>21</v>
      </c>
      <c r="AL2074" t="inlineStr">
        <is>
          <t>Miss Glam Damar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HANASUI</t>
        </is>
      </c>
      <c r="B2075" s="2">
        <f>"8998824551483"</f>
        <v/>
      </c>
      <c r="C2075" t="inlineStr">
        <is>
          <t>HANASUI Naturgo Peel Off Mask 60gr</t>
        </is>
      </c>
      <c r="D2075" t="inlineStr">
        <is>
          <t>Miss Glam Damar</t>
        </is>
      </c>
      <c r="E2075" t="n">
        <v>10</v>
      </c>
      <c r="F2075" t="n">
        <v>0.4186</v>
      </c>
      <c r="G2075" t="n">
        <v>2.73</v>
      </c>
      <c r="H2075" t="n">
        <v>3</v>
      </c>
      <c r="I2075" t="n">
        <v>11</v>
      </c>
      <c r="J2075" t="n">
        <v>3</v>
      </c>
      <c r="K2075" t="n">
        <v>0</v>
      </c>
      <c r="L2075" t="n">
        <v>17600</v>
      </c>
      <c r="M2075" t="n">
        <v>22000</v>
      </c>
      <c r="N2075" t="n">
        <v>91</v>
      </c>
      <c r="O2075" t="n">
        <v>0.91</v>
      </c>
      <c r="P2075" t="n">
        <v>1</v>
      </c>
      <c r="Q2075" t="n">
        <v>0.24</v>
      </c>
      <c r="R2075" t="n">
        <v>2</v>
      </c>
      <c r="S2075" t="n">
        <v>9209.200000000001</v>
      </c>
      <c r="T2075" t="n">
        <v>29</v>
      </c>
      <c r="U2075" t="n">
        <v>31</v>
      </c>
      <c r="V2075" t="n">
        <v>30</v>
      </c>
      <c r="W2075" t="n">
        <v>13</v>
      </c>
      <c r="X2075" t="n">
        <v>23.88915432393693</v>
      </c>
      <c r="Y2075" t="n">
        <v>1</v>
      </c>
      <c r="Z2075" t="n">
        <v>3</v>
      </c>
      <c r="AA2075" t="n">
        <v>0</v>
      </c>
      <c r="AB2075" t="n">
        <v>3</v>
      </c>
      <c r="AC2075" t="n">
        <v>3</v>
      </c>
      <c r="AD2075" t="n">
        <v>0</v>
      </c>
      <c r="AE2075" t="n">
        <v>52800</v>
      </c>
      <c r="AF2075" t="n">
        <v>12831</v>
      </c>
      <c r="AG2075" t="n">
        <v>2122</v>
      </c>
      <c r="AH2075" t="inlineStr">
        <is>
          <t>PT. SINAR PADANG LESTARI - PPN (PDG)</t>
        </is>
      </c>
      <c r="AI2075" t="n">
        <v>78</v>
      </c>
      <c r="AJ2075" t="inlineStr">
        <is>
          <t>HANASUI</t>
        </is>
      </c>
      <c r="AK2075" t="n">
        <v>21</v>
      </c>
      <c r="AL2075" t="inlineStr">
        <is>
          <t>Miss Glam Damar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HANASUI</t>
        </is>
      </c>
      <c r="B2076" s="2">
        <f>"20300397230"</f>
        <v/>
      </c>
      <c r="C2076" t="inlineStr">
        <is>
          <t>HANASUI Next Level Blurry Tint Muffeel #03 2.5g</t>
        </is>
      </c>
      <c r="D2076" t="inlineStr">
        <is>
          <t>Miss Glam Damar</t>
        </is>
      </c>
      <c r="E2076" t="n">
        <v>17</v>
      </c>
      <c r="F2076" t="n">
        <v>0.9828000000000001</v>
      </c>
      <c r="G2076" t="n">
        <v>4.55</v>
      </c>
      <c r="H2076" t="n">
        <v>3</v>
      </c>
      <c r="I2076" t="n">
        <v>11</v>
      </c>
      <c r="J2076" t="n">
        <v>1</v>
      </c>
      <c r="K2076" t="n">
        <v>0</v>
      </c>
      <c r="L2076" t="n">
        <v>25200</v>
      </c>
      <c r="M2076" t="n">
        <v>31500</v>
      </c>
      <c r="N2076" t="n">
        <v>91</v>
      </c>
      <c r="O2076" t="n">
        <v>0.91</v>
      </c>
      <c r="P2076" t="n">
        <v>1</v>
      </c>
      <c r="Q2076" t="n">
        <v>0.66</v>
      </c>
      <c r="R2076" t="n">
        <v>4</v>
      </c>
      <c r="S2076" t="n">
        <v>30958.2</v>
      </c>
      <c r="T2076" t="n">
        <v>48</v>
      </c>
      <c r="U2076" t="n">
        <v>51</v>
      </c>
      <c r="V2076" t="n">
        <v>30</v>
      </c>
      <c r="W2076" t="n">
        <v>30</v>
      </c>
      <c r="X2076" t="n">
        <v>17.2975172975173</v>
      </c>
      <c r="Y2076" t="n">
        <v>1</v>
      </c>
      <c r="Z2076" t="n">
        <v>13</v>
      </c>
      <c r="AA2076" t="n">
        <v>0</v>
      </c>
      <c r="AB2076" t="n">
        <v>13</v>
      </c>
      <c r="AC2076" t="n">
        <v>13</v>
      </c>
      <c r="AD2076" t="n">
        <v>0</v>
      </c>
      <c r="AE2076" t="n">
        <v>327600</v>
      </c>
      <c r="AF2076" t="n">
        <v>12831</v>
      </c>
      <c r="AG2076" t="n">
        <v>2122</v>
      </c>
      <c r="AH2076" t="inlineStr">
        <is>
          <t>PT. SINAR PADANG LESTARI - PPN (PDG)</t>
        </is>
      </c>
      <c r="AI2076" t="n">
        <v>78</v>
      </c>
      <c r="AJ2076" t="inlineStr">
        <is>
          <t>HANASUI</t>
        </is>
      </c>
      <c r="AK2076" t="n">
        <v>21</v>
      </c>
      <c r="AL2076" t="inlineStr">
        <is>
          <t>Miss Glam Damar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HANASUI</t>
        </is>
      </c>
      <c r="B2077" s="2">
        <f>"20300397331"</f>
        <v/>
      </c>
      <c r="C2077" t="inlineStr">
        <is>
          <t>HANASUI Next Level Blurry Tint Ollieboy #04 2.5g</t>
        </is>
      </c>
      <c r="D2077" t="inlineStr">
        <is>
          <t>Miss Glam Damar</t>
        </is>
      </c>
      <c r="E2077" t="n">
        <v>11</v>
      </c>
      <c r="F2077" t="n">
        <v>0.2002</v>
      </c>
      <c r="G2077" t="n">
        <v>0.91</v>
      </c>
      <c r="H2077" t="n">
        <v>3</v>
      </c>
      <c r="I2077" t="n">
        <v>11</v>
      </c>
      <c r="J2077" t="n">
        <v>1</v>
      </c>
      <c r="K2077" t="n">
        <v>0</v>
      </c>
      <c r="L2077" t="n">
        <v>25200</v>
      </c>
      <c r="M2077" t="n">
        <v>31500</v>
      </c>
      <c r="N2077" t="n">
        <v>91</v>
      </c>
      <c r="O2077" t="n">
        <v>0.91</v>
      </c>
      <c r="P2077" t="n">
        <v>1</v>
      </c>
      <c r="Q2077" t="n">
        <v>0.19</v>
      </c>
      <c r="R2077" t="n">
        <v>1</v>
      </c>
      <c r="S2077" t="n">
        <v>6306.3</v>
      </c>
      <c r="T2077" t="n">
        <v>10</v>
      </c>
      <c r="U2077" t="n">
        <v>11</v>
      </c>
      <c r="V2077" t="n">
        <v>30</v>
      </c>
      <c r="W2077" t="n">
        <v>7</v>
      </c>
      <c r="X2077" t="n">
        <v>54.94505494505494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12831</v>
      </c>
      <c r="AG2077" t="n">
        <v>2122</v>
      </c>
      <c r="AH2077" t="inlineStr">
        <is>
          <t>PT. SINAR PADANG LESTARI - PPN (PDG)</t>
        </is>
      </c>
      <c r="AI2077" t="n">
        <v>78</v>
      </c>
      <c r="AJ2077" t="inlineStr">
        <is>
          <t>HANASUI</t>
        </is>
      </c>
      <c r="AK2077" t="n">
        <v>21</v>
      </c>
      <c r="AL2077" t="inlineStr">
        <is>
          <t>Miss Glam Damar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HANASUI</t>
        </is>
      </c>
      <c r="B2078" s="2">
        <f>"20300397457"</f>
        <v/>
      </c>
      <c r="C2078" t="inlineStr">
        <is>
          <t>HANASUI Next Level Blurry Tint Pavlover #05 2.5g</t>
        </is>
      </c>
      <c r="D2078" t="inlineStr">
        <is>
          <t>Miss Glam Damar</t>
        </is>
      </c>
      <c r="E2078" t="n">
        <v>33</v>
      </c>
      <c r="F2078" t="n">
        <v>0.5733</v>
      </c>
      <c r="G2078" t="n">
        <v>2.73</v>
      </c>
      <c r="H2078" t="n">
        <v>3</v>
      </c>
      <c r="I2078" t="n">
        <v>11</v>
      </c>
      <c r="J2078" t="n">
        <v>1</v>
      </c>
      <c r="K2078" t="n">
        <v>0</v>
      </c>
      <c r="L2078" t="n">
        <v>25200</v>
      </c>
      <c r="M2078" t="n">
        <v>31500</v>
      </c>
      <c r="N2078" t="n">
        <v>91</v>
      </c>
      <c r="O2078" t="n">
        <v>0.91</v>
      </c>
      <c r="P2078" t="n">
        <v>1</v>
      </c>
      <c r="Q2078" t="n">
        <v>0.75</v>
      </c>
      <c r="R2078" t="n">
        <v>4</v>
      </c>
      <c r="S2078" t="n">
        <v>18058.95</v>
      </c>
      <c r="T2078" t="n">
        <v>29</v>
      </c>
      <c r="U2078" t="n">
        <v>31</v>
      </c>
      <c r="V2078" t="n">
        <v>30</v>
      </c>
      <c r="W2078" t="n">
        <v>18</v>
      </c>
      <c r="X2078" t="n">
        <v>57.5614861329147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12831</v>
      </c>
      <c r="AG2078" t="n">
        <v>2122</v>
      </c>
      <c r="AH2078" t="inlineStr">
        <is>
          <t>PT. SINAR PADANG LESTARI - PPN (PDG)</t>
        </is>
      </c>
      <c r="AI2078" t="n">
        <v>78</v>
      </c>
      <c r="AJ2078" t="inlineStr">
        <is>
          <t>HANASUI</t>
        </is>
      </c>
      <c r="AK2078" t="n">
        <v>21</v>
      </c>
      <c r="AL2078" t="inlineStr">
        <is>
          <t>Miss Glam Damar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HANASUI</t>
        </is>
      </c>
      <c r="B2079" s="2">
        <f>"20300397511"</f>
        <v/>
      </c>
      <c r="C2079" t="inlineStr">
        <is>
          <t>HANASUI Next Level Blurry Tint PistaseeU #06 2.5g</t>
        </is>
      </c>
      <c r="D2079" t="inlineStr">
        <is>
          <t>Miss Glam Damar</t>
        </is>
      </c>
      <c r="E2079" t="n">
        <v>15</v>
      </c>
      <c r="F2079" t="n">
        <v>1.0647</v>
      </c>
      <c r="G2079" t="n">
        <v>4.55</v>
      </c>
      <c r="H2079" t="n">
        <v>3</v>
      </c>
      <c r="I2079" t="n">
        <v>11</v>
      </c>
      <c r="J2079" t="n">
        <v>1</v>
      </c>
      <c r="K2079" t="n">
        <v>0</v>
      </c>
      <c r="L2079" t="n">
        <v>25200</v>
      </c>
      <c r="M2079" t="n">
        <v>31500</v>
      </c>
      <c r="N2079" t="n">
        <v>91</v>
      </c>
      <c r="O2079" t="n">
        <v>0.91</v>
      </c>
      <c r="P2079" t="n">
        <v>1</v>
      </c>
      <c r="Q2079" t="n">
        <v>0.64</v>
      </c>
      <c r="R2079" t="n">
        <v>3</v>
      </c>
      <c r="S2079" t="n">
        <v>33538.05</v>
      </c>
      <c r="T2079" t="n">
        <v>47</v>
      </c>
      <c r="U2079" t="n">
        <v>51</v>
      </c>
      <c r="V2079" t="n">
        <v>30</v>
      </c>
      <c r="W2079" t="n">
        <v>32</v>
      </c>
      <c r="X2079" t="n">
        <v>14.08847562693717</v>
      </c>
      <c r="Y2079" t="n">
        <v>1</v>
      </c>
      <c r="Z2079" t="n">
        <v>17</v>
      </c>
      <c r="AA2079" t="n">
        <v>0</v>
      </c>
      <c r="AB2079" t="n">
        <v>17</v>
      </c>
      <c r="AC2079" t="n">
        <v>17</v>
      </c>
      <c r="AD2079" t="n">
        <v>0</v>
      </c>
      <c r="AE2079" t="n">
        <v>428400</v>
      </c>
      <c r="AF2079" t="n">
        <v>12831</v>
      </c>
      <c r="AG2079" t="n">
        <v>2122</v>
      </c>
      <c r="AH2079" t="inlineStr">
        <is>
          <t>PT. SINAR PADANG LESTARI - PPN (PDG)</t>
        </is>
      </c>
      <c r="AI2079" t="n">
        <v>78</v>
      </c>
      <c r="AJ2079" t="inlineStr">
        <is>
          <t>HANASUI</t>
        </is>
      </c>
      <c r="AK2079" t="n">
        <v>21</v>
      </c>
      <c r="AL2079" t="inlineStr">
        <is>
          <t>Miss Glam Damar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HANASUI</t>
        </is>
      </c>
      <c r="B2080" s="2">
        <f>"203002186505"</f>
        <v/>
      </c>
      <c r="C2080" t="inlineStr">
        <is>
          <t>HANASUI Next Level Blurry Tint Redveluv #01 2.5g</t>
        </is>
      </c>
      <c r="D2080" t="inlineStr">
        <is>
          <t>Miss Glam Damar</t>
        </is>
      </c>
      <c r="E2080" t="n">
        <v>16</v>
      </c>
      <c r="F2080" t="n">
        <v>1.911</v>
      </c>
      <c r="G2080" t="n">
        <v>6.37</v>
      </c>
      <c r="H2080" t="n">
        <v>3</v>
      </c>
      <c r="I2080" t="n">
        <v>11</v>
      </c>
      <c r="J2080" t="n">
        <v>1</v>
      </c>
      <c r="K2080" t="n">
        <v>0</v>
      </c>
      <c r="L2080" t="n">
        <v>25200</v>
      </c>
      <c r="M2080" t="n">
        <v>31500</v>
      </c>
      <c r="N2080" t="n">
        <v>91</v>
      </c>
      <c r="O2080" t="n">
        <v>0.91</v>
      </c>
      <c r="P2080" t="n">
        <v>1</v>
      </c>
      <c r="Q2080" t="n">
        <v>1.54</v>
      </c>
      <c r="R2080" t="n">
        <v>9</v>
      </c>
      <c r="S2080" t="n">
        <v>60196.50000000001</v>
      </c>
      <c r="T2080" t="n">
        <v>65</v>
      </c>
      <c r="U2080" t="n">
        <v>71</v>
      </c>
      <c r="V2080" t="n">
        <v>30</v>
      </c>
      <c r="W2080" t="n">
        <v>58</v>
      </c>
      <c r="X2080" t="n">
        <v>8.372579801151229</v>
      </c>
      <c r="Y2080" t="n">
        <v>1</v>
      </c>
      <c r="Z2080" t="n">
        <v>42</v>
      </c>
      <c r="AA2080" t="n">
        <v>6</v>
      </c>
      <c r="AB2080" t="n">
        <v>36</v>
      </c>
      <c r="AC2080" t="n">
        <v>36</v>
      </c>
      <c r="AD2080" t="n">
        <v>151200</v>
      </c>
      <c r="AE2080" t="n">
        <v>907200</v>
      </c>
      <c r="AF2080" t="n">
        <v>12831</v>
      </c>
      <c r="AG2080" t="n">
        <v>2122</v>
      </c>
      <c r="AH2080" t="inlineStr">
        <is>
          <t>PT. SINAR PADANG LESTARI - PPN (PDG)</t>
        </is>
      </c>
      <c r="AI2080" t="n">
        <v>78</v>
      </c>
      <c r="AJ2080" t="inlineStr">
        <is>
          <t>HANASUI</t>
        </is>
      </c>
      <c r="AK2080" t="n">
        <v>21</v>
      </c>
      <c r="AL2080" t="inlineStr">
        <is>
          <t>Miss Glam Damar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HANASUI</t>
        </is>
      </c>
      <c r="B2081" s="2">
        <f>"20300397108"</f>
        <v/>
      </c>
      <c r="C2081" t="inlineStr">
        <is>
          <t>HANASUI Next Level Blurry Tint Sorbae #02 2.5g</t>
        </is>
      </c>
      <c r="D2081" t="inlineStr">
        <is>
          <t>Miss Glam Damar</t>
        </is>
      </c>
      <c r="E2081" t="n">
        <v>19</v>
      </c>
      <c r="F2081" t="n">
        <v>3.1759</v>
      </c>
      <c r="G2081" t="n">
        <v>8.19</v>
      </c>
      <c r="H2081" t="n">
        <v>3</v>
      </c>
      <c r="I2081" t="n">
        <v>11</v>
      </c>
      <c r="J2081" t="n">
        <v>1</v>
      </c>
      <c r="K2081" t="n">
        <v>0</v>
      </c>
      <c r="L2081" t="n">
        <v>25200</v>
      </c>
      <c r="M2081" t="n">
        <v>31500</v>
      </c>
      <c r="N2081" t="n">
        <v>91</v>
      </c>
      <c r="O2081" t="n">
        <v>0.91</v>
      </c>
      <c r="P2081" t="n">
        <v>1</v>
      </c>
      <c r="Q2081" t="n">
        <v>1.75</v>
      </c>
      <c r="R2081" t="n">
        <v>7</v>
      </c>
      <c r="S2081" t="n">
        <v>100040.85</v>
      </c>
      <c r="T2081" t="n">
        <v>81</v>
      </c>
      <c r="U2081" t="n">
        <v>91</v>
      </c>
      <c r="V2081" t="n">
        <v>30</v>
      </c>
      <c r="W2081" t="n">
        <v>96</v>
      </c>
      <c r="X2081" t="n">
        <v>5.982556125822601</v>
      </c>
      <c r="Y2081" t="n">
        <v>1</v>
      </c>
      <c r="Z2081" t="n">
        <v>77</v>
      </c>
      <c r="AA2081" t="n">
        <v>16</v>
      </c>
      <c r="AB2081" t="n">
        <v>61</v>
      </c>
      <c r="AC2081" t="n">
        <v>61</v>
      </c>
      <c r="AD2081" t="n">
        <v>403200</v>
      </c>
      <c r="AE2081" t="n">
        <v>1537200</v>
      </c>
      <c r="AF2081" t="n">
        <v>12831</v>
      </c>
      <c r="AG2081" t="n">
        <v>2122</v>
      </c>
      <c r="AH2081" t="inlineStr">
        <is>
          <t>PT. SINAR PADANG LESTARI - PPN (PDG)</t>
        </is>
      </c>
      <c r="AI2081" t="n">
        <v>78</v>
      </c>
      <c r="AJ2081" t="inlineStr">
        <is>
          <t>HANASUI</t>
        </is>
      </c>
      <c r="AK2081" t="n">
        <v>21</v>
      </c>
      <c r="AL2081" t="inlineStr">
        <is>
          <t>Miss Glam Damar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HANASUI</t>
        </is>
      </c>
      <c r="B2082" s="2">
        <f>"20100960449"</f>
        <v/>
      </c>
      <c r="C2082" t="inlineStr">
        <is>
          <t>HANASUI Next Level Bouncy Blush Evolet #03 8.5g</t>
        </is>
      </c>
      <c r="D2082" t="inlineStr">
        <is>
          <t>Miss Glam Damar</t>
        </is>
      </c>
      <c r="E2082" t="n">
        <v>12</v>
      </c>
      <c r="F2082" t="n">
        <v>0.3731</v>
      </c>
      <c r="G2082" t="n">
        <v>1.82</v>
      </c>
      <c r="H2082" t="n">
        <v>3</v>
      </c>
      <c r="I2082" t="n">
        <v>11</v>
      </c>
      <c r="J2082" t="n">
        <v>1</v>
      </c>
      <c r="K2082" t="n">
        <v>0</v>
      </c>
      <c r="L2082" t="n">
        <v>31059</v>
      </c>
      <c r="M2082" t="n">
        <v>40000</v>
      </c>
      <c r="N2082" t="n">
        <v>91</v>
      </c>
      <c r="O2082" t="n">
        <v>0.91</v>
      </c>
      <c r="P2082" t="n">
        <v>1</v>
      </c>
      <c r="Q2082" t="n">
        <v>0.42</v>
      </c>
      <c r="R2082" t="n">
        <v>4</v>
      </c>
      <c r="S2082" t="n">
        <v>14924</v>
      </c>
      <c r="T2082" t="n">
        <v>19</v>
      </c>
      <c r="U2082" t="n">
        <v>21</v>
      </c>
      <c r="V2082" t="n">
        <v>30</v>
      </c>
      <c r="W2082" t="n">
        <v>12</v>
      </c>
      <c r="X2082" t="n">
        <v>32.16295899222729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12831</v>
      </c>
      <c r="AG2082" t="n">
        <v>2122</v>
      </c>
      <c r="AH2082" t="inlineStr">
        <is>
          <t>PT. SINAR PADANG LESTARI - PPN (PDG)</t>
        </is>
      </c>
      <c r="AI2082" t="n">
        <v>78</v>
      </c>
      <c r="AJ2082" t="inlineStr">
        <is>
          <t>HANASUI</t>
        </is>
      </c>
      <c r="AK2082" t="n">
        <v>21</v>
      </c>
      <c r="AL2082" t="inlineStr">
        <is>
          <t>Miss Glam Damar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HANASUI</t>
        </is>
      </c>
      <c r="B2083" s="2">
        <f>"20100960319"</f>
        <v/>
      </c>
      <c r="C2083" t="inlineStr">
        <is>
          <t>HANASUI Next Level Bouncy Blush Roseate #02 8.5g</t>
        </is>
      </c>
      <c r="D2083" t="inlineStr">
        <is>
          <t>Miss Glam Damar</t>
        </is>
      </c>
      <c r="E2083" t="n">
        <v>29</v>
      </c>
      <c r="F2083" t="n">
        <v>0.9373</v>
      </c>
      <c r="G2083" t="n">
        <v>5.46</v>
      </c>
      <c r="H2083" t="n">
        <v>3</v>
      </c>
      <c r="I2083" t="n">
        <v>11</v>
      </c>
      <c r="J2083" t="n">
        <v>1</v>
      </c>
      <c r="K2083" t="n">
        <v>0</v>
      </c>
      <c r="L2083" t="n">
        <v>28801</v>
      </c>
      <c r="M2083" t="n">
        <v>40000</v>
      </c>
      <c r="N2083" t="n">
        <v>91</v>
      </c>
      <c r="O2083" t="n">
        <v>0.91</v>
      </c>
      <c r="P2083" t="n">
        <v>1</v>
      </c>
      <c r="Q2083" t="n">
        <v>0.63</v>
      </c>
      <c r="R2083" t="n">
        <v>4</v>
      </c>
      <c r="S2083" t="n">
        <v>37492</v>
      </c>
      <c r="T2083" t="n">
        <v>58</v>
      </c>
      <c r="U2083" t="n">
        <v>61</v>
      </c>
      <c r="V2083" t="n">
        <v>30</v>
      </c>
      <c r="W2083" t="n">
        <v>29</v>
      </c>
      <c r="X2083" t="n">
        <v>30.93993385255521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12831</v>
      </c>
      <c r="AG2083" t="n">
        <v>2122</v>
      </c>
      <c r="AH2083" t="inlineStr">
        <is>
          <t>PT. SINAR PADANG LESTARI - PPN (PDG)</t>
        </is>
      </c>
      <c r="AI2083" t="n">
        <v>78</v>
      </c>
      <c r="AJ2083" t="inlineStr">
        <is>
          <t>HANASUI</t>
        </is>
      </c>
      <c r="AK2083" t="n">
        <v>21</v>
      </c>
      <c r="AL2083" t="inlineStr">
        <is>
          <t>Miss Glam Damar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HANASUI</t>
        </is>
      </c>
      <c r="B2084" s="2">
        <f>"20100960251"</f>
        <v/>
      </c>
      <c r="C2084" t="inlineStr">
        <is>
          <t>HANASUI Next Level Bouncy Blush Sundaze #01 8.5g</t>
        </is>
      </c>
      <c r="D2084" t="inlineStr">
        <is>
          <t>Miss Glam Damar</t>
        </is>
      </c>
      <c r="E2084" t="n">
        <v>16</v>
      </c>
      <c r="F2084" t="n">
        <v>0.4823000000000001</v>
      </c>
      <c r="G2084" t="n">
        <v>3.64</v>
      </c>
      <c r="H2084" t="n">
        <v>3</v>
      </c>
      <c r="I2084" t="n">
        <v>11</v>
      </c>
      <c r="J2084" t="n">
        <v>1</v>
      </c>
      <c r="K2084" t="n">
        <v>0</v>
      </c>
      <c r="L2084" t="n">
        <v>30629</v>
      </c>
      <c r="M2084" t="n">
        <v>40000</v>
      </c>
      <c r="N2084" t="n">
        <v>91</v>
      </c>
      <c r="O2084" t="n">
        <v>0.91</v>
      </c>
      <c r="P2084" t="n">
        <v>1</v>
      </c>
      <c r="Q2084" t="n">
        <v>0.51</v>
      </c>
      <c r="R2084" t="n">
        <v>2</v>
      </c>
      <c r="S2084" t="n">
        <v>19292</v>
      </c>
      <c r="T2084" t="n">
        <v>39</v>
      </c>
      <c r="U2084" t="n">
        <v>41</v>
      </c>
      <c r="V2084" t="n">
        <v>30</v>
      </c>
      <c r="W2084" t="n">
        <v>15</v>
      </c>
      <c r="X2084" t="n">
        <v>33.1743727970143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12831</v>
      </c>
      <c r="AG2084" t="n">
        <v>2122</v>
      </c>
      <c r="AH2084" t="inlineStr">
        <is>
          <t>PT. SINAR PADANG LESTARI - PPN (PDG)</t>
        </is>
      </c>
      <c r="AI2084" t="n">
        <v>78</v>
      </c>
      <c r="AJ2084" t="inlineStr">
        <is>
          <t>HANASUI</t>
        </is>
      </c>
      <c r="AK2084" t="n">
        <v>21</v>
      </c>
      <c r="AL2084" t="inlineStr">
        <is>
          <t>Miss Glam Damar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HANASUI</t>
        </is>
      </c>
      <c r="B2085" s="2">
        <f>"20300397629"</f>
        <v/>
      </c>
      <c r="C2085" t="inlineStr">
        <is>
          <t>HANASUI Next Level Butter Balm Tint Nerdy #01 3.5g</t>
        </is>
      </c>
      <c r="D2085" t="inlineStr">
        <is>
          <t>Miss Glam Damar</t>
        </is>
      </c>
      <c r="E2085" t="n">
        <v>23</v>
      </c>
      <c r="F2085" t="n">
        <v>1.4196</v>
      </c>
      <c r="G2085" t="n">
        <v>7.28</v>
      </c>
      <c r="H2085" t="n">
        <v>3</v>
      </c>
      <c r="I2085" t="n">
        <v>11</v>
      </c>
      <c r="J2085" t="n">
        <v>1</v>
      </c>
      <c r="K2085" t="n">
        <v>0</v>
      </c>
      <c r="L2085" t="n">
        <v>26400</v>
      </c>
      <c r="M2085" t="n">
        <v>33000</v>
      </c>
      <c r="N2085" t="n">
        <v>91</v>
      </c>
      <c r="O2085" t="n">
        <v>0.91</v>
      </c>
      <c r="P2085" t="n">
        <v>1</v>
      </c>
      <c r="Q2085" t="n">
        <v>0.68</v>
      </c>
      <c r="R2085" t="n">
        <v>4</v>
      </c>
      <c r="S2085" t="n">
        <v>46846.8</v>
      </c>
      <c r="T2085" t="n">
        <v>76</v>
      </c>
      <c r="U2085" t="n">
        <v>81</v>
      </c>
      <c r="V2085" t="n">
        <v>30</v>
      </c>
      <c r="W2085" t="n">
        <v>43</v>
      </c>
      <c r="X2085" t="n">
        <v>16.20174697097774</v>
      </c>
      <c r="Y2085" t="n">
        <v>1</v>
      </c>
      <c r="Z2085" t="n">
        <v>20</v>
      </c>
      <c r="AA2085" t="n">
        <v>0</v>
      </c>
      <c r="AB2085" t="n">
        <v>20</v>
      </c>
      <c r="AC2085" t="n">
        <v>20</v>
      </c>
      <c r="AD2085" t="n">
        <v>0</v>
      </c>
      <c r="AE2085" t="n">
        <v>528000</v>
      </c>
      <c r="AF2085" t="n">
        <v>12831</v>
      </c>
      <c r="AG2085" t="n">
        <v>2122</v>
      </c>
      <c r="AH2085" t="inlineStr">
        <is>
          <t>PT. SINAR PADANG LESTARI - PPN (PDG)</t>
        </is>
      </c>
      <c r="AI2085" t="n">
        <v>78</v>
      </c>
      <c r="AJ2085" t="inlineStr">
        <is>
          <t>HANASUI</t>
        </is>
      </c>
      <c r="AK2085" t="n">
        <v>21</v>
      </c>
      <c r="AL2085" t="inlineStr">
        <is>
          <t>Miss Glam Damar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HANASUI</t>
        </is>
      </c>
      <c r="B2086" s="2">
        <f>"20300397830"</f>
        <v/>
      </c>
      <c r="C2086" t="inlineStr">
        <is>
          <t>HANASUI Next Level Butter Balm Tint Sassy #03 3.5g</t>
        </is>
      </c>
      <c r="D2086" t="inlineStr">
        <is>
          <t>Miss Glam Damar</t>
        </is>
      </c>
      <c r="E2086" t="n">
        <v>41</v>
      </c>
      <c r="F2086" t="n">
        <v>2.5116</v>
      </c>
      <c r="G2086" t="n">
        <v>8.19</v>
      </c>
      <c r="H2086" t="n">
        <v>3</v>
      </c>
      <c r="I2086" t="n">
        <v>11</v>
      </c>
      <c r="J2086" t="n">
        <v>1</v>
      </c>
      <c r="K2086" t="n">
        <v>0</v>
      </c>
      <c r="L2086" t="n">
        <v>26400</v>
      </c>
      <c r="M2086" t="n">
        <v>33000</v>
      </c>
      <c r="N2086" t="n">
        <v>91</v>
      </c>
      <c r="O2086" t="n">
        <v>0.91</v>
      </c>
      <c r="P2086" t="n">
        <v>1</v>
      </c>
      <c r="Q2086" t="n">
        <v>1.34</v>
      </c>
      <c r="R2086" t="n">
        <v>7</v>
      </c>
      <c r="S2086" t="n">
        <v>82882.8</v>
      </c>
      <c r="T2086" t="n">
        <v>83</v>
      </c>
      <c r="U2086" t="n">
        <v>91</v>
      </c>
      <c r="V2086" t="n">
        <v>30</v>
      </c>
      <c r="W2086" t="n">
        <v>76</v>
      </c>
      <c r="X2086" t="n">
        <v>16.32425545469024</v>
      </c>
      <c r="Y2086" t="n">
        <v>1</v>
      </c>
      <c r="Z2086" t="n">
        <v>35</v>
      </c>
      <c r="AA2086" t="n">
        <v>0</v>
      </c>
      <c r="AB2086" t="n">
        <v>35</v>
      </c>
      <c r="AC2086" t="n">
        <v>35</v>
      </c>
      <c r="AD2086" t="n">
        <v>0</v>
      </c>
      <c r="AE2086" t="n">
        <v>924000</v>
      </c>
      <c r="AF2086" t="n">
        <v>12831</v>
      </c>
      <c r="AG2086" t="n">
        <v>2122</v>
      </c>
      <c r="AH2086" t="inlineStr">
        <is>
          <t>PT. SINAR PADANG LESTARI - PPN (PDG)</t>
        </is>
      </c>
      <c r="AI2086" t="n">
        <v>78</v>
      </c>
      <c r="AJ2086" t="inlineStr">
        <is>
          <t>HANASUI</t>
        </is>
      </c>
      <c r="AK2086" t="n">
        <v>21</v>
      </c>
      <c r="AL2086" t="inlineStr">
        <is>
          <t>Miss Glam Damar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HANASUI</t>
        </is>
      </c>
      <c r="B2087" s="2">
        <f>"20300397946"</f>
        <v/>
      </c>
      <c r="C2087" t="inlineStr">
        <is>
          <t>HANASUI Next Level Butter Balm Tint Whimsy #04 3.5g</t>
        </is>
      </c>
      <c r="D2087" t="inlineStr">
        <is>
          <t>Miss Glam Damar</t>
        </is>
      </c>
      <c r="E2087" t="n">
        <v>20</v>
      </c>
      <c r="F2087" t="n">
        <v>1.3377</v>
      </c>
      <c r="G2087" t="n">
        <v>5.46</v>
      </c>
      <c r="H2087" t="n">
        <v>3</v>
      </c>
      <c r="I2087" t="n">
        <v>11</v>
      </c>
      <c r="J2087" t="n">
        <v>1</v>
      </c>
      <c r="K2087" t="n">
        <v>0</v>
      </c>
      <c r="L2087" t="n">
        <v>26400</v>
      </c>
      <c r="M2087" t="n">
        <v>33000</v>
      </c>
      <c r="N2087" t="n">
        <v>91</v>
      </c>
      <c r="O2087" t="n">
        <v>0.91</v>
      </c>
      <c r="P2087" t="n">
        <v>1</v>
      </c>
      <c r="Q2087" t="n">
        <v>0.88</v>
      </c>
      <c r="R2087" t="n">
        <v>6</v>
      </c>
      <c r="S2087" t="n">
        <v>44144.10000000001</v>
      </c>
      <c r="T2087" t="n">
        <v>57</v>
      </c>
      <c r="U2087" t="n">
        <v>62</v>
      </c>
      <c r="V2087" t="n">
        <v>30</v>
      </c>
      <c r="W2087" t="n">
        <v>41</v>
      </c>
      <c r="X2087" t="n">
        <v>14.95103535919862</v>
      </c>
      <c r="Y2087" t="n">
        <v>1</v>
      </c>
      <c r="Z2087" t="n">
        <v>21</v>
      </c>
      <c r="AA2087" t="n">
        <v>0</v>
      </c>
      <c r="AB2087" t="n">
        <v>21</v>
      </c>
      <c r="AC2087" t="n">
        <v>21</v>
      </c>
      <c r="AD2087" t="n">
        <v>0</v>
      </c>
      <c r="AE2087" t="n">
        <v>554400</v>
      </c>
      <c r="AF2087" t="n">
        <v>12831</v>
      </c>
      <c r="AG2087" t="n">
        <v>2122</v>
      </c>
      <c r="AH2087" t="inlineStr">
        <is>
          <t>PT. SINAR PADANG LESTARI - PPN (PDG)</t>
        </is>
      </c>
      <c r="AI2087" t="n">
        <v>78</v>
      </c>
      <c r="AJ2087" t="inlineStr">
        <is>
          <t>HANASUI</t>
        </is>
      </c>
      <c r="AK2087" t="n">
        <v>21</v>
      </c>
      <c r="AL2087" t="inlineStr">
        <is>
          <t>Miss Glam Damar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HANASUI</t>
        </is>
      </c>
      <c r="B2088" s="2">
        <f>"20300397709"</f>
        <v/>
      </c>
      <c r="C2088" t="inlineStr">
        <is>
          <t>HANASUI Next Level Butter Balm Tint Witty #02 3.5g</t>
        </is>
      </c>
      <c r="D2088" t="inlineStr">
        <is>
          <t>Miss Glam Damar</t>
        </is>
      </c>
      <c r="E2088" t="n">
        <v>35</v>
      </c>
      <c r="F2088" t="n">
        <v>2.0839</v>
      </c>
      <c r="G2088" t="n">
        <v>8.19</v>
      </c>
      <c r="H2088" t="n">
        <v>3</v>
      </c>
      <c r="I2088" t="n">
        <v>11</v>
      </c>
      <c r="J2088" t="n">
        <v>1</v>
      </c>
      <c r="K2088" t="n">
        <v>0</v>
      </c>
      <c r="L2088" t="n">
        <v>26400</v>
      </c>
      <c r="M2088" t="n">
        <v>33000</v>
      </c>
      <c r="N2088" t="n">
        <v>91</v>
      </c>
      <c r="O2088" t="n">
        <v>0.91</v>
      </c>
      <c r="P2088" t="n">
        <v>1</v>
      </c>
      <c r="Q2088" t="n">
        <v>1.81</v>
      </c>
      <c r="R2088" t="n">
        <v>6</v>
      </c>
      <c r="S2088" t="n">
        <v>68768.70000000001</v>
      </c>
      <c r="T2088" t="n">
        <v>84</v>
      </c>
      <c r="U2088" t="n">
        <v>91</v>
      </c>
      <c r="V2088" t="n">
        <v>30</v>
      </c>
      <c r="W2088" t="n">
        <v>63</v>
      </c>
      <c r="X2088" t="n">
        <v>16.79543164259321</v>
      </c>
      <c r="Y2088" t="n">
        <v>1</v>
      </c>
      <c r="Z2088" t="n">
        <v>28</v>
      </c>
      <c r="AA2088" t="n">
        <v>0</v>
      </c>
      <c r="AB2088" t="n">
        <v>28</v>
      </c>
      <c r="AC2088" t="n">
        <v>28</v>
      </c>
      <c r="AD2088" t="n">
        <v>0</v>
      </c>
      <c r="AE2088" t="n">
        <v>739200</v>
      </c>
      <c r="AF2088" t="n">
        <v>12831</v>
      </c>
      <c r="AG2088" t="n">
        <v>2122</v>
      </c>
      <c r="AH2088" t="inlineStr">
        <is>
          <t>PT. SINAR PADANG LESTARI - PPN (PDG)</t>
        </is>
      </c>
      <c r="AI2088" t="n">
        <v>78</v>
      </c>
      <c r="AJ2088" t="inlineStr">
        <is>
          <t>HANASUI</t>
        </is>
      </c>
      <c r="AK2088" t="n">
        <v>21</v>
      </c>
      <c r="AL2088" t="inlineStr">
        <is>
          <t>Miss Glam Damar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HANASUI</t>
        </is>
      </c>
      <c r="B2089" s="2">
        <f>"20100577451"</f>
        <v/>
      </c>
      <c r="C2089" t="inlineStr">
        <is>
          <t>HANASUI Next Level Coverlock Powder Foundation #N20 Natural Ivory 50gr</t>
        </is>
      </c>
      <c r="D2089" t="inlineStr">
        <is>
          <t>Miss Glam Damar</t>
        </is>
      </c>
      <c r="E2089" t="n">
        <v>5</v>
      </c>
      <c r="F2089" t="n">
        <v>0.02</v>
      </c>
      <c r="G2089" t="n">
        <v>1</v>
      </c>
      <c r="H2089" t="n">
        <v>3</v>
      </c>
      <c r="I2089" t="n">
        <v>11</v>
      </c>
      <c r="J2089" t="n">
        <v>1</v>
      </c>
      <c r="K2089" t="n">
        <v>0</v>
      </c>
      <c r="L2089" t="n">
        <v>68000</v>
      </c>
      <c r="M2089" t="n">
        <v>85000</v>
      </c>
      <c r="N2089" t="n">
        <v>91</v>
      </c>
      <c r="O2089" t="n">
        <v>0.91</v>
      </c>
      <c r="P2089" t="n">
        <v>0</v>
      </c>
      <c r="Q2089" t="n">
        <v>0.02</v>
      </c>
      <c r="R2089" t="n">
        <v>1</v>
      </c>
      <c r="S2089" t="n">
        <v>1700</v>
      </c>
      <c r="T2089" t="n">
        <v>11</v>
      </c>
      <c r="U2089" t="n">
        <v>12</v>
      </c>
      <c r="V2089" t="n">
        <v>30</v>
      </c>
      <c r="W2089" t="n">
        <v>1</v>
      </c>
      <c r="X2089" t="n">
        <v>250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12831</v>
      </c>
      <c r="AG2089" t="n">
        <v>2122</v>
      </c>
      <c r="AH2089" t="inlineStr">
        <is>
          <t>PT. SINAR PADANG LESTARI - PPN (PDG)</t>
        </is>
      </c>
      <c r="AI2089" t="n">
        <v>78</v>
      </c>
      <c r="AJ2089" t="inlineStr">
        <is>
          <t>HANASUI</t>
        </is>
      </c>
      <c r="AK2089" t="n">
        <v>21</v>
      </c>
      <c r="AL2089" t="inlineStr">
        <is>
          <t>Miss Glam Damar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HANASUI</t>
        </is>
      </c>
      <c r="B2090" s="2">
        <f>"20101211135"</f>
        <v/>
      </c>
      <c r="C2090" t="inlineStr">
        <is>
          <t>HANASUI Next Level Glow &amp; Lock Setting Spray 90ml</t>
        </is>
      </c>
      <c r="D2090" t="inlineStr">
        <is>
          <t>Miss Glam Damar</t>
        </is>
      </c>
      <c r="E2090" t="n">
        <v>5</v>
      </c>
      <c r="F2090" t="n">
        <v>0.09100000000000001</v>
      </c>
      <c r="G2090" t="n">
        <v>0.91</v>
      </c>
      <c r="H2090" t="n">
        <v>3</v>
      </c>
      <c r="I2090" t="n">
        <v>11</v>
      </c>
      <c r="J2090" t="n">
        <v>1</v>
      </c>
      <c r="K2090" t="n">
        <v>0</v>
      </c>
      <c r="L2090" t="n">
        <v>51200</v>
      </c>
      <c r="M2090" t="n">
        <v>64000</v>
      </c>
      <c r="N2090" t="n">
        <v>91</v>
      </c>
      <c r="O2090" t="n">
        <v>0.91</v>
      </c>
      <c r="P2090" t="n">
        <v>1</v>
      </c>
      <c r="Q2090" t="n">
        <v>0.02</v>
      </c>
      <c r="R2090" t="n">
        <v>1</v>
      </c>
      <c r="S2090" t="n">
        <v>5824.000000000001</v>
      </c>
      <c r="T2090" t="n">
        <v>10</v>
      </c>
      <c r="U2090" t="n">
        <v>11</v>
      </c>
      <c r="V2090" t="n">
        <v>30</v>
      </c>
      <c r="W2090" t="n">
        <v>3</v>
      </c>
      <c r="X2090" t="n">
        <v>54.94505494505494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12831</v>
      </c>
      <c r="AG2090" t="n">
        <v>2122</v>
      </c>
      <c r="AH2090" t="inlineStr">
        <is>
          <t>PT. SINAR PADANG LESTARI - PPN (PDG)</t>
        </is>
      </c>
      <c r="AI2090" t="n">
        <v>78</v>
      </c>
      <c r="AJ2090" t="inlineStr">
        <is>
          <t>HANASUI</t>
        </is>
      </c>
      <c r="AK2090" t="n">
        <v>21</v>
      </c>
      <c r="AL2090" t="inlineStr">
        <is>
          <t>Miss Glam Damar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HANASUI</t>
        </is>
      </c>
      <c r="B2091" s="2">
        <f>"20300398004"</f>
        <v/>
      </c>
      <c r="C2091" t="inlineStr">
        <is>
          <t>HANASUI Next Level Liplast Cream Girlboss #01 3g</t>
        </is>
      </c>
      <c r="D2091" t="inlineStr">
        <is>
          <t>Miss Glam Damar</t>
        </is>
      </c>
      <c r="E2091" t="n">
        <v>63</v>
      </c>
      <c r="F2091" t="n">
        <v>1.6198</v>
      </c>
      <c r="G2091" t="n">
        <v>4.55</v>
      </c>
      <c r="H2091" t="n">
        <v>3</v>
      </c>
      <c r="I2091" t="n">
        <v>11</v>
      </c>
      <c r="J2091" t="n">
        <v>1</v>
      </c>
      <c r="K2091" t="n">
        <v>0</v>
      </c>
      <c r="L2091" t="n">
        <v>24000</v>
      </c>
      <c r="M2091" t="n">
        <v>30000</v>
      </c>
      <c r="N2091" t="n">
        <v>91</v>
      </c>
      <c r="O2091" t="n">
        <v>0.91</v>
      </c>
      <c r="P2091" t="n">
        <v>1</v>
      </c>
      <c r="Q2091" t="n">
        <v>1.12</v>
      </c>
      <c r="R2091" t="n">
        <v>4</v>
      </c>
      <c r="S2091" t="n">
        <v>48594.00000000001</v>
      </c>
      <c r="T2091" t="n">
        <v>46</v>
      </c>
      <c r="U2091" t="n">
        <v>51</v>
      </c>
      <c r="V2091" t="n">
        <v>30</v>
      </c>
      <c r="W2091" t="n">
        <v>49</v>
      </c>
      <c r="X2091" t="n">
        <v>38.89369057908383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12831</v>
      </c>
      <c r="AG2091" t="n">
        <v>2122</v>
      </c>
      <c r="AH2091" t="inlineStr">
        <is>
          <t>PT. SINAR PADANG LESTARI - PPN (PDG)</t>
        </is>
      </c>
      <c r="AI2091" t="n">
        <v>78</v>
      </c>
      <c r="AJ2091" t="inlineStr">
        <is>
          <t>HANASUI</t>
        </is>
      </c>
      <c r="AK2091" t="n">
        <v>21</v>
      </c>
      <c r="AL2091" t="inlineStr">
        <is>
          <t>Miss Glam Damar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HANASUI</t>
        </is>
      </c>
      <c r="B2092" s="2">
        <f>"20300398103"</f>
        <v/>
      </c>
      <c r="C2092" t="inlineStr">
        <is>
          <t>HANASUI Next Level Liplast Cream Her Rules #03 3g</t>
        </is>
      </c>
      <c r="D2092" t="inlineStr">
        <is>
          <t>Miss Glam Damar</t>
        </is>
      </c>
      <c r="E2092" t="n">
        <v>38</v>
      </c>
      <c r="F2092" t="n">
        <v>1.092</v>
      </c>
      <c r="G2092" t="n">
        <v>4.55</v>
      </c>
      <c r="H2092" t="n">
        <v>3</v>
      </c>
      <c r="I2092" t="n">
        <v>11</v>
      </c>
      <c r="J2092" t="n">
        <v>1</v>
      </c>
      <c r="K2092" t="n">
        <v>0</v>
      </c>
      <c r="L2092" t="n">
        <v>24000</v>
      </c>
      <c r="M2092" t="n">
        <v>30000</v>
      </c>
      <c r="N2092" t="n">
        <v>91</v>
      </c>
      <c r="O2092" t="n">
        <v>0.91</v>
      </c>
      <c r="P2092" t="n">
        <v>1</v>
      </c>
      <c r="Q2092" t="n">
        <v>0.6899999999999999</v>
      </c>
      <c r="R2092" t="n">
        <v>3</v>
      </c>
      <c r="S2092" t="n">
        <v>32760</v>
      </c>
      <c r="T2092" t="n">
        <v>47</v>
      </c>
      <c r="U2092" t="n">
        <v>51</v>
      </c>
      <c r="V2092" t="n">
        <v>30</v>
      </c>
      <c r="W2092" t="n">
        <v>33</v>
      </c>
      <c r="X2092" t="n">
        <v>34.7985347985348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12831</v>
      </c>
      <c r="AG2092" t="n">
        <v>2122</v>
      </c>
      <c r="AH2092" t="inlineStr">
        <is>
          <t>PT. SINAR PADANG LESTARI - PPN (PDG)</t>
        </is>
      </c>
      <c r="AI2092" t="n">
        <v>78</v>
      </c>
      <c r="AJ2092" t="inlineStr">
        <is>
          <t>HANASUI</t>
        </is>
      </c>
      <c r="AK2092" t="n">
        <v>21</v>
      </c>
      <c r="AL2092" t="inlineStr">
        <is>
          <t>Miss Glam Damar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HANASUI</t>
        </is>
      </c>
      <c r="B2093" s="2">
        <f>"203002186744"</f>
        <v/>
      </c>
      <c r="C2093" t="inlineStr">
        <is>
          <t>HANASUI Next Level Liplast Cream PresDear #05 3g</t>
        </is>
      </c>
      <c r="D2093" t="inlineStr">
        <is>
          <t>Miss Glam Damar</t>
        </is>
      </c>
      <c r="E2093" t="n">
        <v>5</v>
      </c>
      <c r="F2093" t="n">
        <v>0.14</v>
      </c>
      <c r="G2093" t="n">
        <v>1</v>
      </c>
      <c r="H2093" t="n">
        <v>3</v>
      </c>
      <c r="I2093" t="n">
        <v>11</v>
      </c>
      <c r="J2093" t="n">
        <v>1</v>
      </c>
      <c r="K2093" t="n">
        <v>0</v>
      </c>
      <c r="L2093" t="n">
        <v>24000</v>
      </c>
      <c r="M2093" t="n">
        <v>30000</v>
      </c>
      <c r="N2093" t="n">
        <v>91</v>
      </c>
      <c r="O2093" t="n">
        <v>0.91</v>
      </c>
      <c r="P2093" t="n">
        <v>0</v>
      </c>
      <c r="Q2093" t="n">
        <v>0.14</v>
      </c>
      <c r="R2093" t="n">
        <v>1</v>
      </c>
      <c r="S2093" t="n">
        <v>4200</v>
      </c>
      <c r="T2093" t="n">
        <v>11</v>
      </c>
      <c r="U2093" t="n">
        <v>12</v>
      </c>
      <c r="V2093" t="n">
        <v>30</v>
      </c>
      <c r="W2093" t="n">
        <v>5</v>
      </c>
      <c r="X2093" t="n">
        <v>35.71428571428571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12831</v>
      </c>
      <c r="AG2093" t="n">
        <v>2122</v>
      </c>
      <c r="AH2093" t="inlineStr">
        <is>
          <t>PT. SINAR PADANG LESTARI - PPN (PDG)</t>
        </is>
      </c>
      <c r="AI2093" t="n">
        <v>78</v>
      </c>
      <c r="AJ2093" t="inlineStr">
        <is>
          <t>HANASUI</t>
        </is>
      </c>
      <c r="AK2093" t="n">
        <v>21</v>
      </c>
      <c r="AL2093" t="inlineStr">
        <is>
          <t>Miss Glam Damar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HANASUI</t>
        </is>
      </c>
      <c r="B2094" s="2">
        <f>"203002186635"</f>
        <v/>
      </c>
      <c r="C2094" t="inlineStr">
        <is>
          <t>HANASUI Next Level Liplast Cream Queen Bee #02 3g</t>
        </is>
      </c>
      <c r="D2094" t="inlineStr">
        <is>
          <t>Miss Glam Damar</t>
        </is>
      </c>
      <c r="E2094" t="n">
        <v>37</v>
      </c>
      <c r="F2094" t="n">
        <v>0.6552</v>
      </c>
      <c r="G2094" t="n">
        <v>3.64</v>
      </c>
      <c r="H2094" t="n">
        <v>3</v>
      </c>
      <c r="I2094" t="n">
        <v>11</v>
      </c>
      <c r="J2094" t="n">
        <v>1</v>
      </c>
      <c r="K2094" t="n">
        <v>0</v>
      </c>
      <c r="L2094" t="n">
        <v>24000</v>
      </c>
      <c r="M2094" t="n">
        <v>30000</v>
      </c>
      <c r="N2094" t="n">
        <v>91</v>
      </c>
      <c r="O2094" t="n">
        <v>0.91</v>
      </c>
      <c r="P2094" t="n">
        <v>1</v>
      </c>
      <c r="Q2094" t="n">
        <v>0.73</v>
      </c>
      <c r="R2094" t="n">
        <v>4</v>
      </c>
      <c r="S2094" t="n">
        <v>19656</v>
      </c>
      <c r="T2094" t="n">
        <v>39</v>
      </c>
      <c r="U2094" t="n">
        <v>41</v>
      </c>
      <c r="V2094" t="n">
        <v>30</v>
      </c>
      <c r="W2094" t="n">
        <v>20</v>
      </c>
      <c r="X2094" t="n">
        <v>56.47130647130647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12831</v>
      </c>
      <c r="AG2094" t="n">
        <v>2122</v>
      </c>
      <c r="AH2094" t="inlineStr">
        <is>
          <t>PT. SINAR PADANG LESTARI - PPN (PDG)</t>
        </is>
      </c>
      <c r="AI2094" t="n">
        <v>78</v>
      </c>
      <c r="AJ2094" t="inlineStr">
        <is>
          <t>HANASUI</t>
        </is>
      </c>
      <c r="AK2094" t="n">
        <v>21</v>
      </c>
      <c r="AL2094" t="inlineStr">
        <is>
          <t>Miss Glam Damar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HANASUI</t>
        </is>
      </c>
      <c r="B2095" s="2">
        <f>"203002186914"</f>
        <v/>
      </c>
      <c r="C2095" t="inlineStr">
        <is>
          <t>HANASUI Next Level Liplast Cream She-EO #06 3g</t>
        </is>
      </c>
      <c r="D2095" t="inlineStr">
        <is>
          <t>Miss Glam Damar</t>
        </is>
      </c>
      <c r="E2095" t="n">
        <v>19</v>
      </c>
      <c r="F2095" t="n">
        <v>0.4277</v>
      </c>
      <c r="G2095" t="n">
        <v>2.73</v>
      </c>
      <c r="H2095" t="n">
        <v>3</v>
      </c>
      <c r="I2095" t="n">
        <v>11</v>
      </c>
      <c r="J2095" t="n">
        <v>1</v>
      </c>
      <c r="K2095" t="n">
        <v>0</v>
      </c>
      <c r="L2095" t="n">
        <v>24000</v>
      </c>
      <c r="M2095" t="n">
        <v>30000</v>
      </c>
      <c r="N2095" t="n">
        <v>91</v>
      </c>
      <c r="O2095" t="n">
        <v>0.91</v>
      </c>
      <c r="P2095" t="n">
        <v>1</v>
      </c>
      <c r="Q2095" t="n">
        <v>0.68</v>
      </c>
      <c r="R2095" t="n">
        <v>4</v>
      </c>
      <c r="S2095" t="n">
        <v>12831</v>
      </c>
      <c r="T2095" t="n">
        <v>29</v>
      </c>
      <c r="U2095" t="n">
        <v>31</v>
      </c>
      <c r="V2095" t="n">
        <v>30</v>
      </c>
      <c r="W2095" t="n">
        <v>13</v>
      </c>
      <c r="X2095" t="n">
        <v>44.42366144493804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12831</v>
      </c>
      <c r="AG2095" t="n">
        <v>2122</v>
      </c>
      <c r="AH2095" t="inlineStr">
        <is>
          <t>PT. SINAR PADANG LESTARI - PPN (PDG)</t>
        </is>
      </c>
      <c r="AI2095" t="n">
        <v>78</v>
      </c>
      <c r="AJ2095" t="inlineStr">
        <is>
          <t>HANASUI</t>
        </is>
      </c>
      <c r="AK2095" t="n">
        <v>21</v>
      </c>
      <c r="AL2095" t="inlineStr">
        <is>
          <t>Miss Glam Damar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HANASUI</t>
        </is>
      </c>
      <c r="B2096" s="2">
        <f>"20101211055"</f>
        <v/>
      </c>
      <c r="C2096" t="inlineStr">
        <is>
          <t>HANASUI Next Level Matte &amp; Lock Setting Spray 90ml</t>
        </is>
      </c>
      <c r="D2096" t="inlineStr">
        <is>
          <t>Miss Glam Damar</t>
        </is>
      </c>
      <c r="E2096" t="n">
        <v>4</v>
      </c>
      <c r="F2096" t="n">
        <v>0.03</v>
      </c>
      <c r="G2096" t="n">
        <v>1</v>
      </c>
      <c r="H2096" t="n">
        <v>3</v>
      </c>
      <c r="I2096" t="n">
        <v>11</v>
      </c>
      <c r="J2096" t="n">
        <v>1</v>
      </c>
      <c r="K2096" t="n">
        <v>0</v>
      </c>
      <c r="L2096" t="n">
        <v>51200</v>
      </c>
      <c r="M2096" t="n">
        <v>64000</v>
      </c>
      <c r="N2096" t="n">
        <v>91</v>
      </c>
      <c r="O2096" t="n">
        <v>0.91</v>
      </c>
      <c r="P2096" t="n">
        <v>0</v>
      </c>
      <c r="Q2096" t="n">
        <v>0.03</v>
      </c>
      <c r="R2096" t="n">
        <v>1</v>
      </c>
      <c r="S2096" t="n">
        <v>1920</v>
      </c>
      <c r="T2096" t="n">
        <v>11</v>
      </c>
      <c r="U2096" t="n">
        <v>12</v>
      </c>
      <c r="V2096" t="n">
        <v>30</v>
      </c>
      <c r="W2096" t="n">
        <v>1</v>
      </c>
      <c r="X2096" t="n">
        <v>133.3333333333333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12831</v>
      </c>
      <c r="AG2096" t="n">
        <v>2122</v>
      </c>
      <c r="AH2096" t="inlineStr">
        <is>
          <t>PT. SINAR PADANG LESTARI - PPN (PDG)</t>
        </is>
      </c>
      <c r="AI2096" t="n">
        <v>78</v>
      </c>
      <c r="AJ2096" t="inlineStr">
        <is>
          <t>HANASUI</t>
        </is>
      </c>
      <c r="AK2096" t="n">
        <v>21</v>
      </c>
      <c r="AL2096" t="inlineStr">
        <is>
          <t>Miss Glam Damar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HANASUI</t>
        </is>
      </c>
      <c r="B2097" s="2">
        <f>"8998824552954"</f>
        <v/>
      </c>
      <c r="C2097" t="inlineStr">
        <is>
          <t>HANASUI Perfect Cheeck Blush &amp; Go 01 Pink 2,5gr</t>
        </is>
      </c>
      <c r="D2097" t="inlineStr">
        <is>
          <t>Miss Glam Damar</t>
        </is>
      </c>
      <c r="E2097" t="n">
        <v>25</v>
      </c>
      <c r="F2097" t="n">
        <v>2.3933</v>
      </c>
      <c r="G2097" t="n">
        <v>7.28</v>
      </c>
      <c r="H2097" t="n">
        <v>3</v>
      </c>
      <c r="I2097" t="n">
        <v>11</v>
      </c>
      <c r="J2097" t="n">
        <v>3</v>
      </c>
      <c r="K2097" t="n">
        <v>0</v>
      </c>
      <c r="L2097" t="n">
        <v>29021</v>
      </c>
      <c r="M2097" t="n">
        <v>39500</v>
      </c>
      <c r="N2097" t="n">
        <v>91</v>
      </c>
      <c r="O2097" t="n">
        <v>0.91</v>
      </c>
      <c r="P2097" t="n">
        <v>1</v>
      </c>
      <c r="Q2097" t="n">
        <v>1.51</v>
      </c>
      <c r="R2097" t="n">
        <v>7</v>
      </c>
      <c r="S2097" t="n">
        <v>94535.35000000001</v>
      </c>
      <c r="T2097" t="n">
        <v>73</v>
      </c>
      <c r="U2097" t="n">
        <v>81</v>
      </c>
      <c r="V2097" t="n">
        <v>30</v>
      </c>
      <c r="W2097" t="n">
        <v>72</v>
      </c>
      <c r="X2097" t="n">
        <v>10.44582793632223</v>
      </c>
      <c r="Y2097" t="n">
        <v>1</v>
      </c>
      <c r="Z2097" t="n">
        <v>47</v>
      </c>
      <c r="AA2097" t="n">
        <v>2</v>
      </c>
      <c r="AB2097" t="n">
        <v>45</v>
      </c>
      <c r="AC2097" t="n">
        <v>45</v>
      </c>
      <c r="AD2097" t="n">
        <v>58042</v>
      </c>
      <c r="AE2097" t="n">
        <v>1305945</v>
      </c>
      <c r="AF2097" t="n">
        <v>12831</v>
      </c>
      <c r="AG2097" t="n">
        <v>2122</v>
      </c>
      <c r="AH2097" t="inlineStr">
        <is>
          <t>PT. SINAR PADANG LESTARI - PPN (PDG)</t>
        </is>
      </c>
      <c r="AI2097" t="n">
        <v>78</v>
      </c>
      <c r="AJ2097" t="inlineStr">
        <is>
          <t>HANASUI</t>
        </is>
      </c>
      <c r="AK2097" t="n">
        <v>21</v>
      </c>
      <c r="AL2097" t="inlineStr">
        <is>
          <t>Miss Glam Damar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HANASUI</t>
        </is>
      </c>
      <c r="B2098" s="2">
        <f>"8998824552817"</f>
        <v/>
      </c>
      <c r="C2098" t="inlineStr">
        <is>
          <t>HANASUI Perfect Cheeck Blush &amp; Go 02 Peach 2,5gr</t>
        </is>
      </c>
      <c r="D2098" t="inlineStr">
        <is>
          <t>Miss Glam Damar</t>
        </is>
      </c>
      <c r="E2098" t="n">
        <v>51</v>
      </c>
      <c r="F2098" t="n">
        <v>3.3943</v>
      </c>
      <c r="G2098" t="n">
        <v>10.92</v>
      </c>
      <c r="H2098" t="n">
        <v>3</v>
      </c>
      <c r="I2098" t="n">
        <v>11</v>
      </c>
      <c r="J2098" t="n">
        <v>3</v>
      </c>
      <c r="K2098" t="n">
        <v>0</v>
      </c>
      <c r="L2098" t="n">
        <v>31600</v>
      </c>
      <c r="M2098" t="n">
        <v>39500</v>
      </c>
      <c r="N2098" t="n">
        <v>91</v>
      </c>
      <c r="O2098" t="n">
        <v>0.91</v>
      </c>
      <c r="P2098" t="n">
        <v>1</v>
      </c>
      <c r="Q2098" t="n">
        <v>1.68</v>
      </c>
      <c r="R2098" t="n">
        <v>8</v>
      </c>
      <c r="S2098" t="n">
        <v>134074.85</v>
      </c>
      <c r="T2098" t="n">
        <v>110</v>
      </c>
      <c r="U2098" t="n">
        <v>121</v>
      </c>
      <c r="V2098" t="n">
        <v>30</v>
      </c>
      <c r="W2098" t="n">
        <v>102</v>
      </c>
      <c r="X2098" t="n">
        <v>15.02518928792387</v>
      </c>
      <c r="Y2098" t="n">
        <v>1</v>
      </c>
      <c r="Z2098" t="n">
        <v>51</v>
      </c>
      <c r="AA2098" t="n">
        <v>0</v>
      </c>
      <c r="AB2098" t="n">
        <v>51</v>
      </c>
      <c r="AC2098" t="n">
        <v>51</v>
      </c>
      <c r="AD2098" t="n">
        <v>0</v>
      </c>
      <c r="AE2098" t="n">
        <v>1611600</v>
      </c>
      <c r="AF2098" t="n">
        <v>12831</v>
      </c>
      <c r="AG2098" t="n">
        <v>2122</v>
      </c>
      <c r="AH2098" t="inlineStr">
        <is>
          <t>PT. SINAR PADANG LESTARI - PPN (PDG)</t>
        </is>
      </c>
      <c r="AI2098" t="n">
        <v>78</v>
      </c>
      <c r="AJ2098" t="inlineStr">
        <is>
          <t>HANASUI</t>
        </is>
      </c>
      <c r="AK2098" t="n">
        <v>21</v>
      </c>
      <c r="AL2098" t="inlineStr">
        <is>
          <t>Miss Glam Damar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HANASUI</t>
        </is>
      </c>
      <c r="B2099" s="2">
        <f>"8998824553982"</f>
        <v/>
      </c>
      <c r="C2099" t="inlineStr">
        <is>
          <t>HANASUI Perfect Cover Concealer 03 Caramel</t>
        </is>
      </c>
      <c r="D2099" t="inlineStr">
        <is>
          <t>Miss Glam Damar</t>
        </is>
      </c>
      <c r="E2099" t="n">
        <v>5</v>
      </c>
      <c r="F2099" t="n">
        <v>0.06370000000000001</v>
      </c>
      <c r="G2099" t="n">
        <v>0.91</v>
      </c>
      <c r="H2099" t="n">
        <v>3</v>
      </c>
      <c r="I2099" t="n">
        <v>11</v>
      </c>
      <c r="J2099" t="n">
        <v>3</v>
      </c>
      <c r="K2099" t="n">
        <v>0</v>
      </c>
      <c r="L2099" t="n">
        <v>25600</v>
      </c>
      <c r="M2099" t="n">
        <v>35500</v>
      </c>
      <c r="N2099" t="n">
        <v>91</v>
      </c>
      <c r="O2099" t="n">
        <v>0.91</v>
      </c>
      <c r="P2099" t="n">
        <v>1</v>
      </c>
      <c r="Q2099" t="n">
        <v>0.02</v>
      </c>
      <c r="R2099" t="n">
        <v>1</v>
      </c>
      <c r="S2099" t="n">
        <v>2261.35</v>
      </c>
      <c r="T2099" t="n">
        <v>10</v>
      </c>
      <c r="U2099" t="n">
        <v>11</v>
      </c>
      <c r="V2099" t="n">
        <v>30</v>
      </c>
      <c r="W2099" t="n">
        <v>2</v>
      </c>
      <c r="X2099" t="n">
        <v>78.49293563579278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12831</v>
      </c>
      <c r="AG2099" t="n">
        <v>2122</v>
      </c>
      <c r="AH2099" t="inlineStr">
        <is>
          <t>PT. SINAR PADANG LESTARI - PPN (PDG)</t>
        </is>
      </c>
      <c r="AI2099" t="n">
        <v>78</v>
      </c>
      <c r="AJ2099" t="inlineStr">
        <is>
          <t>HANASUI</t>
        </is>
      </c>
      <c r="AK2099" t="n">
        <v>21</v>
      </c>
      <c r="AL2099" t="inlineStr">
        <is>
          <t>Miss Glam Damar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HANASUI</t>
        </is>
      </c>
      <c r="B2100" s="2">
        <f>"8998824553753"</f>
        <v/>
      </c>
      <c r="C2100" t="inlineStr">
        <is>
          <t>HANASUI Perfect Fit Powder Foundation 05 Classy Ivory 12.5gr</t>
        </is>
      </c>
      <c r="D2100" t="inlineStr">
        <is>
          <t>Miss Glam Damar</t>
        </is>
      </c>
      <c r="E2100" t="n">
        <v>1</v>
      </c>
      <c r="F2100" t="n">
        <v>0.1274</v>
      </c>
      <c r="G2100" t="n">
        <v>1.82</v>
      </c>
      <c r="H2100" t="n">
        <v>3</v>
      </c>
      <c r="I2100" t="n">
        <v>11</v>
      </c>
      <c r="J2100" t="n">
        <v>3</v>
      </c>
      <c r="K2100" t="n">
        <v>0</v>
      </c>
      <c r="L2100" t="n">
        <v>41160</v>
      </c>
      <c r="M2100" t="n">
        <v>54500</v>
      </c>
      <c r="N2100" t="n">
        <v>91</v>
      </c>
      <c r="O2100" t="n">
        <v>0.91</v>
      </c>
      <c r="P2100" t="n">
        <v>1</v>
      </c>
      <c r="Q2100" t="n">
        <v>0.03</v>
      </c>
      <c r="R2100" t="n">
        <v>1</v>
      </c>
      <c r="S2100" t="n">
        <v>6943.300000000001</v>
      </c>
      <c r="T2100" t="n">
        <v>20</v>
      </c>
      <c r="U2100" t="n">
        <v>21</v>
      </c>
      <c r="V2100" t="n">
        <v>30</v>
      </c>
      <c r="W2100" t="n">
        <v>4</v>
      </c>
      <c r="X2100" t="n">
        <v>7.849293563579277</v>
      </c>
      <c r="Y2100" t="n">
        <v>1</v>
      </c>
      <c r="Z2100" t="n">
        <v>3</v>
      </c>
      <c r="AA2100" t="n">
        <v>1</v>
      </c>
      <c r="AB2100" t="n">
        <v>2</v>
      </c>
      <c r="AC2100" t="n">
        <v>3</v>
      </c>
      <c r="AD2100" t="n">
        <v>41160</v>
      </c>
      <c r="AE2100" t="n">
        <v>123480</v>
      </c>
      <c r="AF2100" t="n">
        <v>12831</v>
      </c>
      <c r="AG2100" t="n">
        <v>2122</v>
      </c>
      <c r="AH2100" t="inlineStr">
        <is>
          <t>PT. SINAR PADANG LESTARI - PPN (PDG)</t>
        </is>
      </c>
      <c r="AI2100" t="n">
        <v>78</v>
      </c>
      <c r="AJ2100" t="inlineStr">
        <is>
          <t>HANASUI</t>
        </is>
      </c>
      <c r="AK2100" t="n">
        <v>21</v>
      </c>
      <c r="AL2100" t="inlineStr">
        <is>
          <t>Miss Glam Damar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HANASUI</t>
        </is>
      </c>
      <c r="B2101" s="2">
        <f>"8998824552831"</f>
        <v/>
      </c>
      <c r="C2101" t="inlineStr">
        <is>
          <t>HANASUI Perfect Fit Setting Powder 01 Light 12gr</t>
        </is>
      </c>
      <c r="D2101" t="inlineStr">
        <is>
          <t>Miss Glam Damar</t>
        </is>
      </c>
      <c r="E2101" t="n">
        <v>5</v>
      </c>
      <c r="F2101" t="n">
        <v>0.6006</v>
      </c>
      <c r="G2101" t="n">
        <v>2.73</v>
      </c>
      <c r="H2101" t="n">
        <v>3</v>
      </c>
      <c r="I2101" t="n">
        <v>11</v>
      </c>
      <c r="J2101" t="n">
        <v>3</v>
      </c>
      <c r="K2101" t="n">
        <v>0</v>
      </c>
      <c r="L2101" t="n">
        <v>31696</v>
      </c>
      <c r="M2101" t="n">
        <v>43000</v>
      </c>
      <c r="N2101" t="n">
        <v>91</v>
      </c>
      <c r="O2101" t="n">
        <v>0.91</v>
      </c>
      <c r="P2101" t="n">
        <v>1</v>
      </c>
      <c r="Q2101" t="n">
        <v>0.27</v>
      </c>
      <c r="R2101" t="n">
        <v>1</v>
      </c>
      <c r="S2101" t="n">
        <v>25825.8</v>
      </c>
      <c r="T2101" t="n">
        <v>29</v>
      </c>
      <c r="U2101" t="n">
        <v>31</v>
      </c>
      <c r="V2101" t="n">
        <v>30</v>
      </c>
      <c r="W2101" t="n">
        <v>19</v>
      </c>
      <c r="X2101" t="n">
        <v>8.325008325008325</v>
      </c>
      <c r="Y2101" t="n">
        <v>1</v>
      </c>
      <c r="Z2101" t="n">
        <v>14</v>
      </c>
      <c r="AA2101" t="n">
        <v>2</v>
      </c>
      <c r="AB2101" t="n">
        <v>12</v>
      </c>
      <c r="AC2101" t="n">
        <v>12</v>
      </c>
      <c r="AD2101" t="n">
        <v>63392</v>
      </c>
      <c r="AE2101" t="n">
        <v>380352</v>
      </c>
      <c r="AF2101" t="n">
        <v>12831</v>
      </c>
      <c r="AG2101" t="n">
        <v>2122</v>
      </c>
      <c r="AH2101" t="inlineStr">
        <is>
          <t>PT. SINAR PADANG LESTARI - PPN (PDG)</t>
        </is>
      </c>
      <c r="AI2101" t="n">
        <v>78</v>
      </c>
      <c r="AJ2101" t="inlineStr">
        <is>
          <t>HANASUI</t>
        </is>
      </c>
      <c r="AK2101" t="n">
        <v>21</v>
      </c>
      <c r="AL2101" t="inlineStr">
        <is>
          <t>Miss Glam Damar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HANASUI</t>
        </is>
      </c>
      <c r="B2102" s="2">
        <f>"8998824553777"</f>
        <v/>
      </c>
      <c r="C2102" t="inlineStr">
        <is>
          <t>HANASUI Poreless Mattifying Primer 20gr</t>
        </is>
      </c>
      <c r="D2102" t="inlineStr">
        <is>
          <t>Miss Glam Damar</t>
        </is>
      </c>
      <c r="E2102" t="n">
        <v>20</v>
      </c>
      <c r="F2102" t="n">
        <v>0.3276</v>
      </c>
      <c r="G2102" t="n">
        <v>1.82</v>
      </c>
      <c r="H2102" t="n">
        <v>3</v>
      </c>
      <c r="I2102" t="n">
        <v>11</v>
      </c>
      <c r="J2102" t="n">
        <v>3</v>
      </c>
      <c r="K2102" t="n">
        <v>0</v>
      </c>
      <c r="L2102" t="n">
        <v>27199</v>
      </c>
      <c r="M2102" t="n">
        <v>36000</v>
      </c>
      <c r="N2102" t="n">
        <v>91</v>
      </c>
      <c r="O2102" t="n">
        <v>0.91</v>
      </c>
      <c r="P2102" t="n">
        <v>1</v>
      </c>
      <c r="Q2102" t="n">
        <v>0.29</v>
      </c>
      <c r="R2102" t="n">
        <v>6</v>
      </c>
      <c r="S2102" t="n">
        <v>11793.6</v>
      </c>
      <c r="T2102" t="n">
        <v>20</v>
      </c>
      <c r="U2102" t="n">
        <v>21</v>
      </c>
      <c r="V2102" t="n">
        <v>30</v>
      </c>
      <c r="W2102" t="n">
        <v>10</v>
      </c>
      <c r="X2102" t="n">
        <v>61.05006105006105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12831</v>
      </c>
      <c r="AG2102" t="n">
        <v>2122</v>
      </c>
      <c r="AH2102" t="inlineStr">
        <is>
          <t>PT. SINAR PADANG LESTARI - PPN (PDG)</t>
        </is>
      </c>
      <c r="AI2102" t="n">
        <v>78</v>
      </c>
      <c r="AJ2102" t="inlineStr">
        <is>
          <t>HANASUI</t>
        </is>
      </c>
      <c r="AK2102" t="n">
        <v>21</v>
      </c>
      <c r="AL2102" t="inlineStr">
        <is>
          <t>Miss Glam Damar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HANASUI</t>
        </is>
      </c>
      <c r="B2103" s="2">
        <f>"8998824553456"</f>
        <v/>
      </c>
      <c r="C2103" t="inlineStr">
        <is>
          <t>HANASUI Power Acne Serum 20ml</t>
        </is>
      </c>
      <c r="D2103" t="inlineStr">
        <is>
          <t>Miss Glam Damar</t>
        </is>
      </c>
      <c r="E2103" t="n">
        <v>20</v>
      </c>
      <c r="F2103" t="n">
        <v>0.5551</v>
      </c>
      <c r="G2103" t="n">
        <v>3.64</v>
      </c>
      <c r="H2103" t="n">
        <v>3</v>
      </c>
      <c r="I2103" t="n">
        <v>11</v>
      </c>
      <c r="J2103" t="n">
        <v>3</v>
      </c>
      <c r="K2103" t="n">
        <v>0</v>
      </c>
      <c r="L2103" t="n">
        <v>21455</v>
      </c>
      <c r="M2103" t="n">
        <v>27500</v>
      </c>
      <c r="N2103" t="n">
        <v>91</v>
      </c>
      <c r="O2103" t="n">
        <v>0.91</v>
      </c>
      <c r="P2103" t="n">
        <v>1</v>
      </c>
      <c r="Q2103" t="n">
        <v>0.9</v>
      </c>
      <c r="R2103" t="n">
        <v>5</v>
      </c>
      <c r="S2103" t="n">
        <v>15265.25</v>
      </c>
      <c r="T2103" t="n">
        <v>39</v>
      </c>
      <c r="U2103" t="n">
        <v>41</v>
      </c>
      <c r="V2103" t="n">
        <v>30</v>
      </c>
      <c r="W2103" t="n">
        <v>17</v>
      </c>
      <c r="X2103" t="n">
        <v>36.02954422626554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12831</v>
      </c>
      <c r="AG2103" t="n">
        <v>2122</v>
      </c>
      <c r="AH2103" t="inlineStr">
        <is>
          <t>PT. SINAR PADANG LESTARI - PPN (PDG)</t>
        </is>
      </c>
      <c r="AI2103" t="n">
        <v>78</v>
      </c>
      <c r="AJ2103" t="inlineStr">
        <is>
          <t>HANASUI</t>
        </is>
      </c>
      <c r="AK2103" t="n">
        <v>21</v>
      </c>
      <c r="AL2103" t="inlineStr">
        <is>
          <t>Miss Glam Damar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HANASUI</t>
        </is>
      </c>
      <c r="B2104" s="2">
        <f>"8998824553432"</f>
        <v/>
      </c>
      <c r="C2104" t="inlineStr">
        <is>
          <t>HANASUI Power Bakuchiol Serum 20ml</t>
        </is>
      </c>
      <c r="D2104" t="inlineStr">
        <is>
          <t>Miss Glam Damar</t>
        </is>
      </c>
      <c r="E2104" t="n">
        <v>5</v>
      </c>
      <c r="F2104" t="n">
        <v>0.1092</v>
      </c>
      <c r="G2104" t="n">
        <v>0.91</v>
      </c>
      <c r="H2104" t="n">
        <v>3</v>
      </c>
      <c r="I2104" t="n">
        <v>11</v>
      </c>
      <c r="J2104" t="n">
        <v>3</v>
      </c>
      <c r="K2104" t="n">
        <v>0</v>
      </c>
      <c r="L2104" t="n">
        <v>21334</v>
      </c>
      <c r="M2104" t="n">
        <v>27500</v>
      </c>
      <c r="N2104" t="n">
        <v>91</v>
      </c>
      <c r="O2104" t="n">
        <v>0.91</v>
      </c>
      <c r="P2104" t="n">
        <v>1</v>
      </c>
      <c r="Q2104" t="n">
        <v>0.1</v>
      </c>
      <c r="R2104" t="n">
        <v>1</v>
      </c>
      <c r="S2104" t="n">
        <v>3003</v>
      </c>
      <c r="T2104" t="n">
        <v>10</v>
      </c>
      <c r="U2104" t="n">
        <v>11</v>
      </c>
      <c r="V2104" t="n">
        <v>30</v>
      </c>
      <c r="W2104" t="n">
        <v>4</v>
      </c>
      <c r="X2104" t="n">
        <v>45.78754578754579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12831</v>
      </c>
      <c r="AG2104" t="n">
        <v>2122</v>
      </c>
      <c r="AH2104" t="inlineStr">
        <is>
          <t>PT. SINAR PADANG LESTARI - PPN (PDG)</t>
        </is>
      </c>
      <c r="AI2104" t="n">
        <v>78</v>
      </c>
      <c r="AJ2104" t="inlineStr">
        <is>
          <t>HANASUI</t>
        </is>
      </c>
      <c r="AK2104" t="n">
        <v>21</v>
      </c>
      <c r="AL2104" t="inlineStr">
        <is>
          <t>Miss Glam Damar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HANASUI</t>
        </is>
      </c>
      <c r="B2105" s="2">
        <f>"8998824553425"</f>
        <v/>
      </c>
      <c r="C2105" t="inlineStr">
        <is>
          <t>HANASUI Power Barrier Serum 20ml</t>
        </is>
      </c>
      <c r="D2105" t="inlineStr">
        <is>
          <t>Miss Glam Damar</t>
        </is>
      </c>
      <c r="E2105" t="n">
        <v>10</v>
      </c>
      <c r="F2105" t="n">
        <v>0.2821</v>
      </c>
      <c r="G2105" t="n">
        <v>2.73</v>
      </c>
      <c r="H2105" t="n">
        <v>3</v>
      </c>
      <c r="I2105" t="n">
        <v>11</v>
      </c>
      <c r="J2105" t="n">
        <v>3</v>
      </c>
      <c r="K2105" t="n">
        <v>0</v>
      </c>
      <c r="L2105" t="n">
        <v>20000</v>
      </c>
      <c r="M2105" t="n">
        <v>27500</v>
      </c>
      <c r="N2105" t="n">
        <v>91</v>
      </c>
      <c r="O2105" t="n">
        <v>0.91</v>
      </c>
      <c r="P2105" t="n">
        <v>1</v>
      </c>
      <c r="Q2105" t="n">
        <v>0.24</v>
      </c>
      <c r="R2105" t="n">
        <v>2</v>
      </c>
      <c r="S2105" t="n">
        <v>7757.750000000001</v>
      </c>
      <c r="T2105" t="n">
        <v>30</v>
      </c>
      <c r="U2105" t="n">
        <v>31</v>
      </c>
      <c r="V2105" t="n">
        <v>30</v>
      </c>
      <c r="W2105" t="n">
        <v>9</v>
      </c>
      <c r="X2105" t="n">
        <v>35.44842254519673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12831</v>
      </c>
      <c r="AG2105" t="n">
        <v>2122</v>
      </c>
      <c r="AH2105" t="inlineStr">
        <is>
          <t>PT. SINAR PADANG LESTARI - PPN (PDG)</t>
        </is>
      </c>
      <c r="AI2105" t="n">
        <v>78</v>
      </c>
      <c r="AJ2105" t="inlineStr">
        <is>
          <t>HANASUI</t>
        </is>
      </c>
      <c r="AK2105" t="n">
        <v>21</v>
      </c>
      <c r="AL2105" t="inlineStr">
        <is>
          <t>Miss Glam Damar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HANASUI</t>
        </is>
      </c>
      <c r="B2106" s="2">
        <f>"8998824553012"</f>
        <v/>
      </c>
      <c r="C2106" t="inlineStr">
        <is>
          <t>HANASUI Power Bright Expert Serum 20ml</t>
        </is>
      </c>
      <c r="D2106" t="inlineStr">
        <is>
          <t>Miss Glam Damar</t>
        </is>
      </c>
      <c r="E2106" t="n">
        <v>49</v>
      </c>
      <c r="F2106" t="n">
        <v>9.027200000000001</v>
      </c>
      <c r="G2106" t="n">
        <v>19.11</v>
      </c>
      <c r="H2106" t="n">
        <v>3</v>
      </c>
      <c r="I2106" t="n">
        <v>11</v>
      </c>
      <c r="J2106" t="n">
        <v>3</v>
      </c>
      <c r="K2106" t="n">
        <v>0</v>
      </c>
      <c r="L2106" t="n">
        <v>21803</v>
      </c>
      <c r="M2106" t="n">
        <v>27500</v>
      </c>
      <c r="N2106" t="n">
        <v>91</v>
      </c>
      <c r="O2106" t="n">
        <v>0.91</v>
      </c>
      <c r="P2106" t="n">
        <v>1</v>
      </c>
      <c r="Q2106" t="n">
        <v>3.05</v>
      </c>
      <c r="R2106" t="n">
        <v>11</v>
      </c>
      <c r="S2106" t="n">
        <v>248248</v>
      </c>
      <c r="T2106" t="n">
        <v>184</v>
      </c>
      <c r="U2106" t="n">
        <v>212</v>
      </c>
      <c r="V2106" t="n">
        <v>30</v>
      </c>
      <c r="W2106" t="n">
        <v>271</v>
      </c>
      <c r="X2106" t="n">
        <v>5.42803970223325</v>
      </c>
      <c r="Y2106" t="n">
        <v>1</v>
      </c>
      <c r="Z2106" t="n">
        <v>222</v>
      </c>
      <c r="AA2106" t="n">
        <v>51</v>
      </c>
      <c r="AB2106" t="n">
        <v>171</v>
      </c>
      <c r="AC2106" t="n">
        <v>171</v>
      </c>
      <c r="AD2106" t="n">
        <v>1111953</v>
      </c>
      <c r="AE2106" t="n">
        <v>3728313</v>
      </c>
      <c r="AF2106" t="n">
        <v>12831</v>
      </c>
      <c r="AG2106" t="n">
        <v>2122</v>
      </c>
      <c r="AH2106" t="inlineStr">
        <is>
          <t>PT. SINAR PADANG LESTARI - PPN (PDG)</t>
        </is>
      </c>
      <c r="AI2106" t="n">
        <v>78</v>
      </c>
      <c r="AJ2106" t="inlineStr">
        <is>
          <t>HANASUI</t>
        </is>
      </c>
      <c r="AK2106" t="n">
        <v>21</v>
      </c>
      <c r="AL2106" t="inlineStr">
        <is>
          <t>Miss Glam Damar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HANASUI</t>
        </is>
      </c>
      <c r="B2107" s="2">
        <f>"8998824553005"</f>
        <v/>
      </c>
      <c r="C2107" t="inlineStr">
        <is>
          <t>HANASUI Power Bright Serum 20ml</t>
        </is>
      </c>
      <c r="D2107" t="inlineStr">
        <is>
          <t>Miss Glam Damar</t>
        </is>
      </c>
      <c r="E2107" t="n">
        <v>27</v>
      </c>
      <c r="F2107" t="n">
        <v>0.8918</v>
      </c>
      <c r="G2107" t="n">
        <v>3.64</v>
      </c>
      <c r="H2107" t="n">
        <v>3</v>
      </c>
      <c r="I2107" t="n">
        <v>11</v>
      </c>
      <c r="J2107" t="n">
        <v>3</v>
      </c>
      <c r="K2107" t="n">
        <v>0</v>
      </c>
      <c r="L2107" t="n">
        <v>21412</v>
      </c>
      <c r="M2107" t="n">
        <v>27500</v>
      </c>
      <c r="N2107" t="n">
        <v>91</v>
      </c>
      <c r="O2107" t="n">
        <v>0.91</v>
      </c>
      <c r="P2107" t="n">
        <v>1</v>
      </c>
      <c r="Q2107" t="n">
        <v>0.76</v>
      </c>
      <c r="R2107" t="n">
        <v>4</v>
      </c>
      <c r="S2107" t="n">
        <v>24524.5</v>
      </c>
      <c r="T2107" t="n">
        <v>38</v>
      </c>
      <c r="U2107" t="n">
        <v>41</v>
      </c>
      <c r="V2107" t="n">
        <v>30</v>
      </c>
      <c r="W2107" t="n">
        <v>27</v>
      </c>
      <c r="X2107" t="n">
        <v>30.27584660237721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12831</v>
      </c>
      <c r="AG2107" t="n">
        <v>2122</v>
      </c>
      <c r="AH2107" t="inlineStr">
        <is>
          <t>PT. SINAR PADANG LESTARI - PPN (PDG)</t>
        </is>
      </c>
      <c r="AI2107" t="n">
        <v>78</v>
      </c>
      <c r="AJ2107" t="inlineStr">
        <is>
          <t>HANASUI</t>
        </is>
      </c>
      <c r="AK2107" t="n">
        <v>21</v>
      </c>
      <c r="AL2107" t="inlineStr">
        <is>
          <t>Miss Glam Damar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HANASUI</t>
        </is>
      </c>
      <c r="B2108" s="2">
        <f>"8998824553029"</f>
        <v/>
      </c>
      <c r="C2108" t="inlineStr">
        <is>
          <t>HANASUI Power Mini Pore Serum 20ml</t>
        </is>
      </c>
      <c r="D2108" t="inlineStr">
        <is>
          <t>Miss Glam Damar</t>
        </is>
      </c>
      <c r="E2108" t="n">
        <v>6</v>
      </c>
      <c r="F2108" t="n">
        <v>0.3731</v>
      </c>
      <c r="G2108" t="n">
        <v>1.82</v>
      </c>
      <c r="H2108" t="n">
        <v>3</v>
      </c>
      <c r="I2108" t="n">
        <v>11</v>
      </c>
      <c r="J2108" t="n">
        <v>3</v>
      </c>
      <c r="K2108" t="n">
        <v>0</v>
      </c>
      <c r="L2108" t="n">
        <v>21000</v>
      </c>
      <c r="M2108" t="n">
        <v>27500</v>
      </c>
      <c r="N2108" t="n">
        <v>91</v>
      </c>
      <c r="O2108" t="n">
        <v>0.91</v>
      </c>
      <c r="P2108" t="n">
        <v>1</v>
      </c>
      <c r="Q2108" t="n">
        <v>0.41</v>
      </c>
      <c r="R2108" t="n">
        <v>3</v>
      </c>
      <c r="S2108" t="n">
        <v>10260.25</v>
      </c>
      <c r="T2108" t="n">
        <v>19</v>
      </c>
      <c r="U2108" t="n">
        <v>21</v>
      </c>
      <c r="V2108" t="n">
        <v>30</v>
      </c>
      <c r="W2108" t="n">
        <v>12</v>
      </c>
      <c r="X2108" t="n">
        <v>16.08147949611364</v>
      </c>
      <c r="Y2108" t="n">
        <v>1</v>
      </c>
      <c r="Z2108" t="n">
        <v>6</v>
      </c>
      <c r="AA2108" t="n">
        <v>0</v>
      </c>
      <c r="AB2108" t="n">
        <v>6</v>
      </c>
      <c r="AC2108" t="n">
        <v>6</v>
      </c>
      <c r="AD2108" t="n">
        <v>0</v>
      </c>
      <c r="AE2108" t="n">
        <v>126000</v>
      </c>
      <c r="AF2108" t="n">
        <v>12831</v>
      </c>
      <c r="AG2108" t="n">
        <v>2122</v>
      </c>
      <c r="AH2108" t="inlineStr">
        <is>
          <t>PT. SINAR PADANG LESTARI - PPN (PDG)</t>
        </is>
      </c>
      <c r="AI2108" t="n">
        <v>78</v>
      </c>
      <c r="AJ2108" t="inlineStr">
        <is>
          <t>HANASUI</t>
        </is>
      </c>
      <c r="AK2108" t="n">
        <v>21</v>
      </c>
      <c r="AL2108" t="inlineStr">
        <is>
          <t>Miss Glam Damar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HANASUI</t>
        </is>
      </c>
      <c r="B2109" s="2">
        <f>"8998824553418"</f>
        <v/>
      </c>
      <c r="C2109" t="inlineStr">
        <is>
          <t>HANASUI Power Peeling Serum 20ml</t>
        </is>
      </c>
      <c r="D2109" t="inlineStr">
        <is>
          <t>Miss Glam Damar</t>
        </is>
      </c>
      <c r="E2109" t="n">
        <v>19</v>
      </c>
      <c r="F2109" t="n">
        <v>1.5288</v>
      </c>
      <c r="G2109" t="n">
        <v>5.46</v>
      </c>
      <c r="H2109" t="n">
        <v>3</v>
      </c>
      <c r="I2109" t="n">
        <v>11</v>
      </c>
      <c r="J2109" t="n">
        <v>3</v>
      </c>
      <c r="K2109" t="n">
        <v>0</v>
      </c>
      <c r="L2109" t="n">
        <v>20686</v>
      </c>
      <c r="M2109" t="n">
        <v>27500</v>
      </c>
      <c r="N2109" t="n">
        <v>91</v>
      </c>
      <c r="O2109" t="n">
        <v>0.91</v>
      </c>
      <c r="P2109" t="n">
        <v>1</v>
      </c>
      <c r="Q2109" t="n">
        <v>1.12</v>
      </c>
      <c r="R2109" t="n">
        <v>5</v>
      </c>
      <c r="S2109" t="n">
        <v>42042</v>
      </c>
      <c r="T2109" t="n">
        <v>56</v>
      </c>
      <c r="U2109" t="n">
        <v>61</v>
      </c>
      <c r="V2109" t="n">
        <v>30</v>
      </c>
      <c r="W2109" t="n">
        <v>46</v>
      </c>
      <c r="X2109" t="n">
        <v>12.42804814233386</v>
      </c>
      <c r="Y2109" t="n">
        <v>1</v>
      </c>
      <c r="Z2109" t="n">
        <v>27</v>
      </c>
      <c r="AA2109" t="n">
        <v>0</v>
      </c>
      <c r="AB2109" t="n">
        <v>27</v>
      </c>
      <c r="AC2109" t="n">
        <v>27</v>
      </c>
      <c r="AD2109" t="n">
        <v>0</v>
      </c>
      <c r="AE2109" t="n">
        <v>558522</v>
      </c>
      <c r="AF2109" t="n">
        <v>12831</v>
      </c>
      <c r="AG2109" t="n">
        <v>2122</v>
      </c>
      <c r="AH2109" t="inlineStr">
        <is>
          <t>PT. SINAR PADANG LESTARI - PPN (PDG)</t>
        </is>
      </c>
      <c r="AI2109" t="n">
        <v>78</v>
      </c>
      <c r="AJ2109" t="inlineStr">
        <is>
          <t>HANASUI</t>
        </is>
      </c>
      <c r="AK2109" t="n">
        <v>21</v>
      </c>
      <c r="AL2109" t="inlineStr">
        <is>
          <t>Miss Glam Damar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HANASUI</t>
        </is>
      </c>
      <c r="B2110" s="2">
        <f>"8998824553463"</f>
        <v/>
      </c>
      <c r="C2110" t="inlineStr">
        <is>
          <t>HANASUI Power Post Acne Serum 20ml</t>
        </is>
      </c>
      <c r="D2110" t="inlineStr">
        <is>
          <t>Miss Glam Damar</t>
        </is>
      </c>
      <c r="E2110" t="n">
        <v>5</v>
      </c>
      <c r="F2110" t="n">
        <v>0.9828000000000001</v>
      </c>
      <c r="G2110" t="n">
        <v>5.46</v>
      </c>
      <c r="H2110" t="n">
        <v>3</v>
      </c>
      <c r="I2110" t="n">
        <v>11</v>
      </c>
      <c r="J2110" t="n">
        <v>3</v>
      </c>
      <c r="K2110" t="n">
        <v>0</v>
      </c>
      <c r="L2110" t="n">
        <v>20000</v>
      </c>
      <c r="M2110" t="n">
        <v>27500</v>
      </c>
      <c r="N2110" t="n">
        <v>91</v>
      </c>
      <c r="O2110" t="n">
        <v>0.91</v>
      </c>
      <c r="P2110" t="n">
        <v>1</v>
      </c>
      <c r="Q2110" t="n">
        <v>0.2</v>
      </c>
      <c r="R2110" t="n">
        <v>2</v>
      </c>
      <c r="S2110" t="n">
        <v>27027</v>
      </c>
      <c r="T2110" t="n">
        <v>58</v>
      </c>
      <c r="U2110" t="n">
        <v>61</v>
      </c>
      <c r="V2110" t="n">
        <v>30</v>
      </c>
      <c r="W2110" t="n">
        <v>30</v>
      </c>
      <c r="X2110" t="n">
        <v>5.087505087505087</v>
      </c>
      <c r="Y2110" t="n">
        <v>1</v>
      </c>
      <c r="Z2110" t="n">
        <v>25</v>
      </c>
      <c r="AA2110" t="n">
        <v>6</v>
      </c>
      <c r="AB2110" t="n">
        <v>19</v>
      </c>
      <c r="AC2110" t="n">
        <v>19</v>
      </c>
      <c r="AD2110" t="n">
        <v>120000</v>
      </c>
      <c r="AE2110" t="n">
        <v>380000</v>
      </c>
      <c r="AF2110" t="n">
        <v>12831</v>
      </c>
      <c r="AG2110" t="n">
        <v>2122</v>
      </c>
      <c r="AH2110" t="inlineStr">
        <is>
          <t>PT. SINAR PADANG LESTARI - PPN (PDG)</t>
        </is>
      </c>
      <c r="AI2110" t="n">
        <v>78</v>
      </c>
      <c r="AJ2110" t="inlineStr">
        <is>
          <t>HANASUI</t>
        </is>
      </c>
      <c r="AK2110" t="n">
        <v>21</v>
      </c>
      <c r="AL2110" t="inlineStr">
        <is>
          <t>Miss Glam Damar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HANASUI</t>
        </is>
      </c>
      <c r="B2111" s="2">
        <f>"11200315305"</f>
        <v/>
      </c>
      <c r="C2111" t="inlineStr">
        <is>
          <t>HANASUI Power Retinol Expert Serum 20ml</t>
        </is>
      </c>
      <c r="D2111" t="inlineStr">
        <is>
          <t>Miss Glam Damar</t>
        </is>
      </c>
      <c r="E2111" t="n">
        <v>7</v>
      </c>
      <c r="F2111" t="n">
        <v>1.6198</v>
      </c>
      <c r="G2111" t="n">
        <v>6.37</v>
      </c>
      <c r="H2111" t="n">
        <v>3</v>
      </c>
      <c r="I2111" t="n">
        <v>11</v>
      </c>
      <c r="J2111" t="n">
        <v>1</v>
      </c>
      <c r="K2111" t="n">
        <v>0</v>
      </c>
      <c r="L2111" t="n">
        <v>30400</v>
      </c>
      <c r="M2111" t="n">
        <v>38000</v>
      </c>
      <c r="N2111" t="n">
        <v>91</v>
      </c>
      <c r="O2111" t="n">
        <v>0.91</v>
      </c>
      <c r="P2111" t="n">
        <v>1</v>
      </c>
      <c r="Q2111" t="n">
        <v>0.63</v>
      </c>
      <c r="R2111" t="n">
        <v>4</v>
      </c>
      <c r="S2111" t="n">
        <v>61552.4</v>
      </c>
      <c r="T2111" t="n">
        <v>66</v>
      </c>
      <c r="U2111" t="n">
        <v>71</v>
      </c>
      <c r="V2111" t="n">
        <v>30</v>
      </c>
      <c r="W2111" t="n">
        <v>49</v>
      </c>
      <c r="X2111" t="n">
        <v>4.32152117545376</v>
      </c>
      <c r="Y2111" t="n">
        <v>1</v>
      </c>
      <c r="Z2111" t="n">
        <v>42</v>
      </c>
      <c r="AA2111" t="n">
        <v>11</v>
      </c>
      <c r="AB2111" t="n">
        <v>31</v>
      </c>
      <c r="AC2111" t="n">
        <v>31</v>
      </c>
      <c r="AD2111" t="n">
        <v>334400</v>
      </c>
      <c r="AE2111" t="n">
        <v>942400</v>
      </c>
      <c r="AF2111" t="n">
        <v>12831</v>
      </c>
      <c r="AG2111" t="n">
        <v>2122</v>
      </c>
      <c r="AH2111" t="inlineStr">
        <is>
          <t>PT. SINAR PADANG LESTARI - PPN (PDG)</t>
        </is>
      </c>
      <c r="AI2111" t="n">
        <v>78</v>
      </c>
      <c r="AJ2111" t="inlineStr">
        <is>
          <t>HANASUI</t>
        </is>
      </c>
      <c r="AK2111" t="n">
        <v>21</v>
      </c>
      <c r="AL2111" t="inlineStr">
        <is>
          <t>Miss Glam Damar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HANASUI</t>
        </is>
      </c>
      <c r="B2112" s="2">
        <f>"8998824552589"</f>
        <v/>
      </c>
      <c r="C2112" t="inlineStr">
        <is>
          <t>HANASUI Serum Cushion 01 Light 15gr</t>
        </is>
      </c>
      <c r="D2112" t="inlineStr">
        <is>
          <t>Miss Glam Damar</t>
        </is>
      </c>
      <c r="E2112" t="n">
        <v>4</v>
      </c>
      <c r="F2112" t="n">
        <v>0.1547</v>
      </c>
      <c r="G2112" t="n">
        <v>0.91</v>
      </c>
      <c r="H2112" t="n">
        <v>3</v>
      </c>
      <c r="I2112" t="n">
        <v>11</v>
      </c>
      <c r="J2112" t="n">
        <v>3</v>
      </c>
      <c r="K2112" t="n">
        <v>0</v>
      </c>
      <c r="L2112" t="n">
        <v>56792</v>
      </c>
      <c r="M2112" t="n">
        <v>71000</v>
      </c>
      <c r="N2112" t="n">
        <v>91</v>
      </c>
      <c r="O2112" t="n">
        <v>0.91</v>
      </c>
      <c r="P2112" t="n">
        <v>1</v>
      </c>
      <c r="Q2112" t="n">
        <v>0.07000000000000001</v>
      </c>
      <c r="R2112" t="n">
        <v>1</v>
      </c>
      <c r="S2112" t="n">
        <v>10983.7</v>
      </c>
      <c r="T2112" t="n">
        <v>10</v>
      </c>
      <c r="U2112" t="n">
        <v>11</v>
      </c>
      <c r="V2112" t="n">
        <v>30</v>
      </c>
      <c r="W2112" t="n">
        <v>5</v>
      </c>
      <c r="X2112" t="n">
        <v>25.85649644473174</v>
      </c>
      <c r="Y2112" t="n">
        <v>1</v>
      </c>
      <c r="Z2112" t="n">
        <v>1</v>
      </c>
      <c r="AA2112" t="n">
        <v>0</v>
      </c>
      <c r="AB2112" t="n">
        <v>1</v>
      </c>
      <c r="AC2112" t="n">
        <v>3</v>
      </c>
      <c r="AD2112" t="n">
        <v>0</v>
      </c>
      <c r="AE2112" t="n">
        <v>170376</v>
      </c>
      <c r="AF2112" t="n">
        <v>12831</v>
      </c>
      <c r="AG2112" t="n">
        <v>2122</v>
      </c>
      <c r="AH2112" t="inlineStr">
        <is>
          <t>PT. SINAR PADANG LESTARI - PPN (PDG)</t>
        </is>
      </c>
      <c r="AI2112" t="n">
        <v>78</v>
      </c>
      <c r="AJ2112" t="inlineStr">
        <is>
          <t>HANASUI</t>
        </is>
      </c>
      <c r="AK2112" t="n">
        <v>21</v>
      </c>
      <c r="AL2112" t="inlineStr">
        <is>
          <t>Miss Glam Damar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HANASUI</t>
        </is>
      </c>
      <c r="B2113" s="2">
        <f>"8998824552596"</f>
        <v/>
      </c>
      <c r="C2113" t="inlineStr">
        <is>
          <t>HANASUI Serum Cushion 02 Natural 15gr</t>
        </is>
      </c>
      <c r="D2113" t="inlineStr">
        <is>
          <t>Miss Glam Damar</t>
        </is>
      </c>
      <c r="E2113" t="n">
        <v>4</v>
      </c>
      <c r="F2113" t="n">
        <v>0.3094</v>
      </c>
      <c r="G2113" t="n">
        <v>2.73</v>
      </c>
      <c r="H2113" t="n">
        <v>3</v>
      </c>
      <c r="I2113" t="n">
        <v>11</v>
      </c>
      <c r="J2113" t="n">
        <v>3</v>
      </c>
      <c r="K2113" t="n">
        <v>0</v>
      </c>
      <c r="L2113" t="n">
        <v>56792</v>
      </c>
      <c r="M2113" t="n">
        <v>71000</v>
      </c>
      <c r="N2113" t="n">
        <v>91</v>
      </c>
      <c r="O2113" t="n">
        <v>0.91</v>
      </c>
      <c r="P2113" t="n">
        <v>1</v>
      </c>
      <c r="Q2113" t="n">
        <v>0.34</v>
      </c>
      <c r="R2113" t="n">
        <v>2</v>
      </c>
      <c r="S2113" t="n">
        <v>21967.4</v>
      </c>
      <c r="T2113" t="n">
        <v>30</v>
      </c>
      <c r="U2113" t="n">
        <v>31</v>
      </c>
      <c r="V2113" t="n">
        <v>30</v>
      </c>
      <c r="W2113" t="n">
        <v>10</v>
      </c>
      <c r="X2113" t="n">
        <v>12.92824822236587</v>
      </c>
      <c r="Y2113" t="n">
        <v>1</v>
      </c>
      <c r="Z2113" t="n">
        <v>6</v>
      </c>
      <c r="AA2113" t="n">
        <v>0</v>
      </c>
      <c r="AB2113" t="n">
        <v>6</v>
      </c>
      <c r="AC2113" t="n">
        <v>6</v>
      </c>
      <c r="AD2113" t="n">
        <v>0</v>
      </c>
      <c r="AE2113" t="n">
        <v>340752</v>
      </c>
      <c r="AF2113" t="n">
        <v>12831</v>
      </c>
      <c r="AG2113" t="n">
        <v>2122</v>
      </c>
      <c r="AH2113" t="inlineStr">
        <is>
          <t>PT. SINAR PADANG LESTARI - PPN (PDG)</t>
        </is>
      </c>
      <c r="AI2113" t="n">
        <v>78</v>
      </c>
      <c r="AJ2113" t="inlineStr">
        <is>
          <t>HANASUI</t>
        </is>
      </c>
      <c r="AK2113" t="n">
        <v>21</v>
      </c>
      <c r="AL2113" t="inlineStr">
        <is>
          <t>Miss Glam Damar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HANASUI</t>
        </is>
      </c>
      <c r="B2114" s="2">
        <f>"8998824552602"</f>
        <v/>
      </c>
      <c r="C2114" t="inlineStr">
        <is>
          <t>HANASUI Serum Cushion 03 Medium 15gr</t>
        </is>
      </c>
      <c r="D2114" t="inlineStr">
        <is>
          <t>Miss Glam Damar</t>
        </is>
      </c>
      <c r="E2114" t="n">
        <v>1</v>
      </c>
      <c r="F2114" t="n">
        <v>0.1092</v>
      </c>
      <c r="G2114" t="n">
        <v>0.91</v>
      </c>
      <c r="H2114" t="n">
        <v>3</v>
      </c>
      <c r="I2114" t="n">
        <v>11</v>
      </c>
      <c r="J2114" t="n">
        <v>3</v>
      </c>
      <c r="K2114" t="n">
        <v>0</v>
      </c>
      <c r="L2114" t="n">
        <v>56792</v>
      </c>
      <c r="M2114" t="n">
        <v>71000</v>
      </c>
      <c r="N2114" t="n">
        <v>91</v>
      </c>
      <c r="O2114" t="n">
        <v>0.91</v>
      </c>
      <c r="P2114" t="n">
        <v>1</v>
      </c>
      <c r="Q2114" t="n">
        <v>0.05</v>
      </c>
      <c r="R2114" t="n">
        <v>1</v>
      </c>
      <c r="S2114" t="n">
        <v>7753.200000000001</v>
      </c>
      <c r="T2114" t="n">
        <v>10</v>
      </c>
      <c r="U2114" t="n">
        <v>11</v>
      </c>
      <c r="V2114" t="n">
        <v>30</v>
      </c>
      <c r="W2114" t="n">
        <v>4</v>
      </c>
      <c r="X2114" t="n">
        <v>9.157509157509157</v>
      </c>
      <c r="Y2114" t="n">
        <v>1</v>
      </c>
      <c r="Z2114" t="n">
        <v>3</v>
      </c>
      <c r="AA2114" t="n">
        <v>1</v>
      </c>
      <c r="AB2114" t="n">
        <v>2</v>
      </c>
      <c r="AC2114" t="n">
        <v>3</v>
      </c>
      <c r="AD2114" t="n">
        <v>56792</v>
      </c>
      <c r="AE2114" t="n">
        <v>170376</v>
      </c>
      <c r="AF2114" t="n">
        <v>12831</v>
      </c>
      <c r="AG2114" t="n">
        <v>2122</v>
      </c>
      <c r="AH2114" t="inlineStr">
        <is>
          <t>PT. SINAR PADANG LESTARI - PPN (PDG)</t>
        </is>
      </c>
      <c r="AI2114" t="n">
        <v>78</v>
      </c>
      <c r="AJ2114" t="inlineStr">
        <is>
          <t>HANASUI</t>
        </is>
      </c>
      <c r="AK2114" t="n">
        <v>21</v>
      </c>
      <c r="AL2114" t="inlineStr">
        <is>
          <t>Miss Glam Damar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HANASUI</t>
        </is>
      </c>
      <c r="B2115" s="2">
        <f>"8998824552718"</f>
        <v/>
      </c>
      <c r="C2115" t="inlineStr">
        <is>
          <t>HANASUI Serum Cushion 04 Pinkish 15gr</t>
        </is>
      </c>
      <c r="D2115" t="inlineStr">
        <is>
          <t>Miss Glam Damar</t>
        </is>
      </c>
      <c r="E2115" t="n">
        <v>11</v>
      </c>
      <c r="F2115" t="n">
        <v>0.2275</v>
      </c>
      <c r="G2115" t="n">
        <v>1.82</v>
      </c>
      <c r="H2115" t="n">
        <v>3</v>
      </c>
      <c r="I2115" t="n">
        <v>11</v>
      </c>
      <c r="J2115" t="n">
        <v>3</v>
      </c>
      <c r="K2115" t="n">
        <v>0</v>
      </c>
      <c r="L2115" t="n">
        <v>56800</v>
      </c>
      <c r="M2115" t="n">
        <v>71000</v>
      </c>
      <c r="N2115" t="n">
        <v>91</v>
      </c>
      <c r="O2115" t="n">
        <v>0.91</v>
      </c>
      <c r="P2115" t="n">
        <v>1</v>
      </c>
      <c r="Q2115" t="n">
        <v>0.07000000000000001</v>
      </c>
      <c r="R2115" t="n">
        <v>2</v>
      </c>
      <c r="S2115" t="n">
        <v>16152.5</v>
      </c>
      <c r="T2115" t="n">
        <v>20</v>
      </c>
      <c r="U2115" t="n">
        <v>21</v>
      </c>
      <c r="V2115" t="n">
        <v>30</v>
      </c>
      <c r="W2115" t="n">
        <v>7</v>
      </c>
      <c r="X2115" t="n">
        <v>48.35164835164835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12831</v>
      </c>
      <c r="AG2115" t="n">
        <v>2122</v>
      </c>
      <c r="AH2115" t="inlineStr">
        <is>
          <t>PT. SINAR PADANG LESTARI - PPN (PDG)</t>
        </is>
      </c>
      <c r="AI2115" t="n">
        <v>78</v>
      </c>
      <c r="AJ2115" t="inlineStr">
        <is>
          <t>HANASUI</t>
        </is>
      </c>
      <c r="AK2115" t="n">
        <v>21</v>
      </c>
      <c r="AL2115" t="inlineStr">
        <is>
          <t>Miss Glam Damar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HANASUI</t>
        </is>
      </c>
      <c r="B2116" s="2">
        <f>"8998824552077"</f>
        <v/>
      </c>
      <c r="C2116" t="inlineStr">
        <is>
          <t>HANASUI Serum Cushion 05 Fairy Pinkish 15gr</t>
        </is>
      </c>
      <c r="D2116" t="inlineStr">
        <is>
          <t>Miss Glam Damar</t>
        </is>
      </c>
      <c r="E2116" t="n">
        <v>3</v>
      </c>
      <c r="F2116" t="n">
        <v>0.1729</v>
      </c>
      <c r="G2116" t="n">
        <v>1.82</v>
      </c>
      <c r="H2116" t="n">
        <v>3</v>
      </c>
      <c r="I2116" t="n">
        <v>11</v>
      </c>
      <c r="J2116" t="n">
        <v>3</v>
      </c>
      <c r="K2116" t="n">
        <v>0</v>
      </c>
      <c r="L2116" t="n">
        <v>56792</v>
      </c>
      <c r="M2116" t="n">
        <v>71000</v>
      </c>
      <c r="N2116" t="n">
        <v>91</v>
      </c>
      <c r="O2116" t="n">
        <v>0.91</v>
      </c>
      <c r="P2116" t="n">
        <v>1</v>
      </c>
      <c r="Q2116" t="n">
        <v>0.03</v>
      </c>
      <c r="R2116" t="n">
        <v>1</v>
      </c>
      <c r="S2116" t="n">
        <v>12275.9</v>
      </c>
      <c r="T2116" t="n">
        <v>20</v>
      </c>
      <c r="U2116" t="n">
        <v>21</v>
      </c>
      <c r="V2116" t="n">
        <v>30</v>
      </c>
      <c r="W2116" t="n">
        <v>6</v>
      </c>
      <c r="X2116" t="n">
        <v>17.35106998264893</v>
      </c>
      <c r="Y2116" t="n">
        <v>1</v>
      </c>
      <c r="Z2116" t="n">
        <v>3</v>
      </c>
      <c r="AA2116" t="n">
        <v>0</v>
      </c>
      <c r="AB2116" t="n">
        <v>3</v>
      </c>
      <c r="AC2116" t="n">
        <v>3</v>
      </c>
      <c r="AD2116" t="n">
        <v>0</v>
      </c>
      <c r="AE2116" t="n">
        <v>170376</v>
      </c>
      <c r="AF2116" t="n">
        <v>12831</v>
      </c>
      <c r="AG2116" t="n">
        <v>2122</v>
      </c>
      <c r="AH2116" t="inlineStr">
        <is>
          <t>PT. SINAR PADANG LESTARI - PPN (PDG)</t>
        </is>
      </c>
      <c r="AI2116" t="n">
        <v>78</v>
      </c>
      <c r="AJ2116" t="inlineStr">
        <is>
          <t>HANASUI</t>
        </is>
      </c>
      <c r="AK2116" t="n">
        <v>21</v>
      </c>
      <c r="AL2116" t="inlineStr">
        <is>
          <t>Miss Glam Damar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HANASUI</t>
        </is>
      </c>
      <c r="B2117" s="2">
        <f>"8998824553609"</f>
        <v/>
      </c>
      <c r="C2117" t="inlineStr">
        <is>
          <t>HANASUI Serum Cushion 07 Light Ivory 15gr</t>
        </is>
      </c>
      <c r="D2117" t="inlineStr">
        <is>
          <t>Miss Glam Damar</t>
        </is>
      </c>
      <c r="E2117" t="n">
        <v>3</v>
      </c>
      <c r="F2117" t="n">
        <v>0.09100000000000001</v>
      </c>
      <c r="G2117" t="n">
        <v>1.82</v>
      </c>
      <c r="H2117" t="n">
        <v>3</v>
      </c>
      <c r="I2117" t="n">
        <v>11</v>
      </c>
      <c r="J2117" t="n">
        <v>3</v>
      </c>
      <c r="K2117" t="n">
        <v>0</v>
      </c>
      <c r="L2117" t="n">
        <v>56792</v>
      </c>
      <c r="M2117" t="n">
        <v>71000</v>
      </c>
      <c r="N2117" t="n">
        <v>91</v>
      </c>
      <c r="O2117" t="n">
        <v>0.91</v>
      </c>
      <c r="P2117" t="n">
        <v>1</v>
      </c>
      <c r="Q2117" t="n">
        <v>0.1</v>
      </c>
      <c r="R2117" t="n">
        <v>1</v>
      </c>
      <c r="S2117" t="n">
        <v>6461.000000000001</v>
      </c>
      <c r="T2117" t="n">
        <v>20</v>
      </c>
      <c r="U2117" t="n">
        <v>21</v>
      </c>
      <c r="V2117" t="n">
        <v>30</v>
      </c>
      <c r="W2117" t="n">
        <v>3</v>
      </c>
      <c r="X2117" t="n">
        <v>32.96703296703296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12831</v>
      </c>
      <c r="AG2117" t="n">
        <v>2122</v>
      </c>
      <c r="AH2117" t="inlineStr">
        <is>
          <t>PT. SINAR PADANG LESTARI - PPN (PDG)</t>
        </is>
      </c>
      <c r="AI2117" t="n">
        <v>78</v>
      </c>
      <c r="AJ2117" t="inlineStr">
        <is>
          <t>HANASUI</t>
        </is>
      </c>
      <c r="AK2117" t="n">
        <v>21</v>
      </c>
      <c r="AL2117" t="inlineStr">
        <is>
          <t>Miss Glam Damar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HANASUI</t>
        </is>
      </c>
      <c r="B2118" s="2">
        <f>"8998824553623"</f>
        <v/>
      </c>
      <c r="C2118" t="inlineStr">
        <is>
          <t>HANASUI Serum Cushion 08 Creamy Beige 15gr</t>
        </is>
      </c>
      <c r="D2118" t="inlineStr">
        <is>
          <t>Miss Glam Damar</t>
        </is>
      </c>
      <c r="E2118" t="n">
        <v>4</v>
      </c>
      <c r="F2118" t="n">
        <v>0.0273</v>
      </c>
      <c r="G2118" t="n">
        <v>0.91</v>
      </c>
      <c r="H2118" t="n">
        <v>3</v>
      </c>
      <c r="I2118" t="n">
        <v>11</v>
      </c>
      <c r="J2118" t="n">
        <v>3</v>
      </c>
      <c r="K2118" t="n">
        <v>0</v>
      </c>
      <c r="L2118" t="n">
        <v>56792</v>
      </c>
      <c r="M2118" t="n">
        <v>71000</v>
      </c>
      <c r="N2118" t="n">
        <v>91</v>
      </c>
      <c r="O2118" t="n">
        <v>0.91</v>
      </c>
      <c r="P2118" t="n">
        <v>1</v>
      </c>
      <c r="Q2118" t="n">
        <v>0.02</v>
      </c>
      <c r="R2118" t="n">
        <v>1</v>
      </c>
      <c r="S2118" t="n">
        <v>1938.3</v>
      </c>
      <c r="T2118" t="n">
        <v>10</v>
      </c>
      <c r="U2118" t="n">
        <v>11</v>
      </c>
      <c r="V2118" t="n">
        <v>30</v>
      </c>
      <c r="W2118" t="n">
        <v>1</v>
      </c>
      <c r="X2118" t="n">
        <v>146.5201465201465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12831</v>
      </c>
      <c r="AG2118" t="n">
        <v>2122</v>
      </c>
      <c r="AH2118" t="inlineStr">
        <is>
          <t>PT. SINAR PADANG LESTARI - PPN (PDG)</t>
        </is>
      </c>
      <c r="AI2118" t="n">
        <v>78</v>
      </c>
      <c r="AJ2118" t="inlineStr">
        <is>
          <t>HANASUI</t>
        </is>
      </c>
      <c r="AK2118" t="n">
        <v>21</v>
      </c>
      <c r="AL2118" t="inlineStr">
        <is>
          <t>Miss Glam Damar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HANASUI</t>
        </is>
      </c>
      <c r="B2119" s="2">
        <f>"8998824554897"</f>
        <v/>
      </c>
      <c r="C2119" t="inlineStr">
        <is>
          <t>HANASUI Serum Cushion Light 01 Refill 15g</t>
        </is>
      </c>
      <c r="D2119" t="inlineStr">
        <is>
          <t>Miss Glam Damar</t>
        </is>
      </c>
      <c r="E2119" t="n">
        <v>2</v>
      </c>
      <c r="F2119" t="n">
        <v>0.4823000000000001</v>
      </c>
      <c r="G2119" t="n">
        <v>3.64</v>
      </c>
      <c r="H2119" t="n">
        <v>3</v>
      </c>
      <c r="I2119" t="n">
        <v>11</v>
      </c>
      <c r="J2119" t="n">
        <v>3</v>
      </c>
      <c r="K2119" t="n">
        <v>0</v>
      </c>
      <c r="L2119" t="n">
        <v>41200</v>
      </c>
      <c r="M2119" t="n">
        <v>52500</v>
      </c>
      <c r="N2119" t="n">
        <v>91</v>
      </c>
      <c r="O2119" t="n">
        <v>0.91</v>
      </c>
      <c r="P2119" t="n">
        <v>1</v>
      </c>
      <c r="Q2119" t="n">
        <v>0.2</v>
      </c>
      <c r="R2119" t="n">
        <v>2</v>
      </c>
      <c r="S2119" t="n">
        <v>25320.75</v>
      </c>
      <c r="T2119" t="n">
        <v>39</v>
      </c>
      <c r="U2119" t="n">
        <v>41</v>
      </c>
      <c r="V2119" t="n">
        <v>30</v>
      </c>
      <c r="W2119" t="n">
        <v>15</v>
      </c>
      <c r="X2119" t="n">
        <v>4.146796599626787</v>
      </c>
      <c r="Y2119" t="n">
        <v>1</v>
      </c>
      <c r="Z2119" t="n">
        <v>13</v>
      </c>
      <c r="AA2119" t="n">
        <v>4</v>
      </c>
      <c r="AB2119" t="n">
        <v>9</v>
      </c>
      <c r="AC2119" t="n">
        <v>9</v>
      </c>
      <c r="AD2119" t="n">
        <v>164800</v>
      </c>
      <c r="AE2119" t="n">
        <v>370800</v>
      </c>
      <c r="AF2119" t="n">
        <v>12831</v>
      </c>
      <c r="AG2119" t="n">
        <v>2122</v>
      </c>
      <c r="AH2119" t="inlineStr">
        <is>
          <t>PT. SINAR PADANG LESTARI - PPN (PDG)</t>
        </is>
      </c>
      <c r="AI2119" t="n">
        <v>78</v>
      </c>
      <c r="AJ2119" t="inlineStr">
        <is>
          <t>HANASUI</t>
        </is>
      </c>
      <c r="AK2119" t="n">
        <v>21</v>
      </c>
      <c r="AL2119" t="inlineStr">
        <is>
          <t>Miss Glam Damar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HANASUI</t>
        </is>
      </c>
      <c r="B2120" s="2">
        <f>"8998824554903"</f>
        <v/>
      </c>
      <c r="C2120" t="inlineStr">
        <is>
          <t>HANASUI Serum Cushion Natural 02 Refill 15gr</t>
        </is>
      </c>
      <c r="D2120" t="inlineStr">
        <is>
          <t>Miss Glam Damar</t>
        </is>
      </c>
      <c r="E2120" t="n">
        <v>5</v>
      </c>
      <c r="F2120" t="n">
        <v>0.4459</v>
      </c>
      <c r="G2120" t="n">
        <v>2.73</v>
      </c>
      <c r="H2120" t="n">
        <v>3</v>
      </c>
      <c r="I2120" t="n">
        <v>11</v>
      </c>
      <c r="J2120" t="n">
        <v>3</v>
      </c>
      <c r="K2120" t="n">
        <v>0</v>
      </c>
      <c r="L2120" t="n">
        <v>41000</v>
      </c>
      <c r="M2120" t="n">
        <v>52500</v>
      </c>
      <c r="N2120" t="n">
        <v>91</v>
      </c>
      <c r="O2120" t="n">
        <v>0.91</v>
      </c>
      <c r="P2120" t="n">
        <v>1</v>
      </c>
      <c r="Q2120" t="n">
        <v>0.32</v>
      </c>
      <c r="R2120" t="n">
        <v>2</v>
      </c>
      <c r="S2120" t="n">
        <v>23409.75</v>
      </c>
      <c r="T2120" t="n">
        <v>29</v>
      </c>
      <c r="U2120" t="n">
        <v>31</v>
      </c>
      <c r="V2120" t="n">
        <v>30</v>
      </c>
      <c r="W2120" t="n">
        <v>14</v>
      </c>
      <c r="X2120" t="n">
        <v>11.21327651939897</v>
      </c>
      <c r="Y2120" t="n">
        <v>1</v>
      </c>
      <c r="Z2120" t="n">
        <v>9</v>
      </c>
      <c r="AA2120" t="n">
        <v>0</v>
      </c>
      <c r="AB2120" t="n">
        <v>9</v>
      </c>
      <c r="AC2120" t="n">
        <v>9</v>
      </c>
      <c r="AD2120" t="n">
        <v>0</v>
      </c>
      <c r="AE2120" t="n">
        <v>369000</v>
      </c>
      <c r="AF2120" t="n">
        <v>12831</v>
      </c>
      <c r="AG2120" t="n">
        <v>2122</v>
      </c>
      <c r="AH2120" t="inlineStr">
        <is>
          <t>PT. SINAR PADANG LESTARI - PPN (PDG)</t>
        </is>
      </c>
      <c r="AI2120" t="n">
        <v>78</v>
      </c>
      <c r="AJ2120" t="inlineStr">
        <is>
          <t>HANASUI</t>
        </is>
      </c>
      <c r="AK2120" t="n">
        <v>21</v>
      </c>
      <c r="AL2120" t="inlineStr">
        <is>
          <t>Miss Glam Damar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HANASUI</t>
        </is>
      </c>
      <c r="B2121" s="2">
        <f>"8998824553470"</f>
        <v/>
      </c>
      <c r="C2121" t="inlineStr">
        <is>
          <t>HANASUI Serum Cushion Soulmatte 101 Light 15g</t>
        </is>
      </c>
      <c r="D2121" t="inlineStr">
        <is>
          <t>Miss Glam Damar</t>
        </is>
      </c>
      <c r="E2121" t="n">
        <v>7</v>
      </c>
      <c r="F2121" t="n">
        <v>0.1547</v>
      </c>
      <c r="G2121" t="n">
        <v>1.82</v>
      </c>
      <c r="H2121" t="n">
        <v>3</v>
      </c>
      <c r="I2121" t="n">
        <v>11</v>
      </c>
      <c r="J2121" t="n">
        <v>3</v>
      </c>
      <c r="K2121" t="n">
        <v>0</v>
      </c>
      <c r="L2121" t="n">
        <v>56122</v>
      </c>
      <c r="M2121" t="n">
        <v>71000</v>
      </c>
      <c r="N2121" t="n">
        <v>91</v>
      </c>
      <c r="O2121" t="n">
        <v>0.91</v>
      </c>
      <c r="P2121" t="n">
        <v>1</v>
      </c>
      <c r="Q2121" t="n">
        <v>0.12</v>
      </c>
      <c r="R2121" t="n">
        <v>1</v>
      </c>
      <c r="S2121" t="n">
        <v>10983.7</v>
      </c>
      <c r="T2121" t="n">
        <v>20</v>
      </c>
      <c r="U2121" t="n">
        <v>21</v>
      </c>
      <c r="V2121" t="n">
        <v>30</v>
      </c>
      <c r="W2121" t="n">
        <v>5</v>
      </c>
      <c r="X2121" t="n">
        <v>45.24886877828054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12831</v>
      </c>
      <c r="AG2121" t="n">
        <v>2122</v>
      </c>
      <c r="AH2121" t="inlineStr">
        <is>
          <t>PT. SINAR PADANG LESTARI - PPN (PDG)</t>
        </is>
      </c>
      <c r="AI2121" t="n">
        <v>78</v>
      </c>
      <c r="AJ2121" t="inlineStr">
        <is>
          <t>HANASUI</t>
        </is>
      </c>
      <c r="AK2121" t="n">
        <v>21</v>
      </c>
      <c r="AL2121" t="inlineStr">
        <is>
          <t>Miss Glam Damar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HANASUI</t>
        </is>
      </c>
      <c r="B2122" s="2">
        <f>"8998824553494"</f>
        <v/>
      </c>
      <c r="C2122" t="inlineStr">
        <is>
          <t>HANASUI Serum Cushion Soulmatte 102 Natural 15gr</t>
        </is>
      </c>
      <c r="D2122" t="inlineStr">
        <is>
          <t>Miss Glam Damar</t>
        </is>
      </c>
      <c r="E2122" t="n">
        <v>4</v>
      </c>
      <c r="F2122" t="n">
        <v>0.2275</v>
      </c>
      <c r="G2122" t="n">
        <v>1.82</v>
      </c>
      <c r="H2122" t="n">
        <v>3</v>
      </c>
      <c r="I2122" t="n">
        <v>11</v>
      </c>
      <c r="J2122" t="n">
        <v>3</v>
      </c>
      <c r="K2122" t="n">
        <v>0</v>
      </c>
      <c r="L2122" t="n">
        <v>54087</v>
      </c>
      <c r="M2122" t="n">
        <v>71000</v>
      </c>
      <c r="N2122" t="n">
        <v>91</v>
      </c>
      <c r="O2122" t="n">
        <v>0.91</v>
      </c>
      <c r="P2122" t="n">
        <v>1</v>
      </c>
      <c r="Q2122" t="n">
        <v>0.05</v>
      </c>
      <c r="R2122" t="n">
        <v>1</v>
      </c>
      <c r="S2122" t="n">
        <v>16152.5</v>
      </c>
      <c r="T2122" t="n">
        <v>20</v>
      </c>
      <c r="U2122" t="n">
        <v>21</v>
      </c>
      <c r="V2122" t="n">
        <v>30</v>
      </c>
      <c r="W2122" t="n">
        <v>7</v>
      </c>
      <c r="X2122" t="n">
        <v>17.58241758241758</v>
      </c>
      <c r="Y2122" t="n">
        <v>1</v>
      </c>
      <c r="Z2122" t="n">
        <v>3</v>
      </c>
      <c r="AA2122" t="n">
        <v>0</v>
      </c>
      <c r="AB2122" t="n">
        <v>3</v>
      </c>
      <c r="AC2122" t="n">
        <v>3</v>
      </c>
      <c r="AD2122" t="n">
        <v>0</v>
      </c>
      <c r="AE2122" t="n">
        <v>162261</v>
      </c>
      <c r="AF2122" t="n">
        <v>12831</v>
      </c>
      <c r="AG2122" t="n">
        <v>2122</v>
      </c>
      <c r="AH2122" t="inlineStr">
        <is>
          <t>PT. SINAR PADANG LESTARI - PPN (PDG)</t>
        </is>
      </c>
      <c r="AI2122" t="n">
        <v>78</v>
      </c>
      <c r="AJ2122" t="inlineStr">
        <is>
          <t>HANASUI</t>
        </is>
      </c>
      <c r="AK2122" t="n">
        <v>21</v>
      </c>
      <c r="AL2122" t="inlineStr">
        <is>
          <t>Miss Glam Damar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HANASUI</t>
        </is>
      </c>
      <c r="B2123" s="2">
        <f>"8998824553500"</f>
        <v/>
      </c>
      <c r="C2123" t="inlineStr">
        <is>
          <t>HANASUI Serum Cushion Soulmatte 103 Medium 15g</t>
        </is>
      </c>
      <c r="D2123" t="inlineStr">
        <is>
          <t>Miss Glam Damar</t>
        </is>
      </c>
      <c r="E2123" t="n">
        <v>4</v>
      </c>
      <c r="F2123" t="n">
        <v>0.0728</v>
      </c>
      <c r="G2123" t="n">
        <v>0.91</v>
      </c>
      <c r="H2123" t="n">
        <v>3</v>
      </c>
      <c r="I2123" t="n">
        <v>11</v>
      </c>
      <c r="J2123" t="n">
        <v>3</v>
      </c>
      <c r="K2123" t="n">
        <v>0</v>
      </c>
      <c r="L2123" t="n">
        <v>54087</v>
      </c>
      <c r="M2123" t="n">
        <v>71000</v>
      </c>
      <c r="N2123" t="n">
        <v>91</v>
      </c>
      <c r="O2123" t="n">
        <v>0.91</v>
      </c>
      <c r="P2123" t="n">
        <v>1</v>
      </c>
      <c r="Q2123" t="n">
        <v>0.02</v>
      </c>
      <c r="R2123" t="n">
        <v>1</v>
      </c>
      <c r="S2123" t="n">
        <v>5168.8</v>
      </c>
      <c r="T2123" t="n">
        <v>10</v>
      </c>
      <c r="U2123" t="n">
        <v>11</v>
      </c>
      <c r="V2123" t="n">
        <v>30</v>
      </c>
      <c r="W2123" t="n">
        <v>3</v>
      </c>
      <c r="X2123" t="n">
        <v>54.94505494505494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12831</v>
      </c>
      <c r="AG2123" t="n">
        <v>2122</v>
      </c>
      <c r="AH2123" t="inlineStr">
        <is>
          <t>PT. SINAR PADANG LESTARI - PPN (PDG)</t>
        </is>
      </c>
      <c r="AI2123" t="n">
        <v>78</v>
      </c>
      <c r="AJ2123" t="inlineStr">
        <is>
          <t>HANASUI</t>
        </is>
      </c>
      <c r="AK2123" t="n">
        <v>21</v>
      </c>
      <c r="AL2123" t="inlineStr">
        <is>
          <t>Miss Glam Damar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HANASUI</t>
        </is>
      </c>
      <c r="B2124" s="2">
        <f>"8998824553517"</f>
        <v/>
      </c>
      <c r="C2124" t="inlineStr">
        <is>
          <t>HANASUI Serum Cushion Soulmatte 104 Pinkis 15gr</t>
        </is>
      </c>
      <c r="D2124" t="inlineStr">
        <is>
          <t>Miss Glam Damar</t>
        </is>
      </c>
      <c r="E2124" t="n">
        <v>6</v>
      </c>
      <c r="F2124" t="n">
        <v>0.06370000000000001</v>
      </c>
      <c r="G2124" t="n">
        <v>0.91</v>
      </c>
      <c r="H2124" t="n">
        <v>3</v>
      </c>
      <c r="I2124" t="n">
        <v>11</v>
      </c>
      <c r="J2124" t="n">
        <v>3</v>
      </c>
      <c r="K2124" t="n">
        <v>0</v>
      </c>
      <c r="L2124" t="n">
        <v>54087</v>
      </c>
      <c r="M2124" t="n">
        <v>71000</v>
      </c>
      <c r="N2124" t="n">
        <v>91</v>
      </c>
      <c r="O2124" t="n">
        <v>0.91</v>
      </c>
      <c r="P2124" t="n">
        <v>1</v>
      </c>
      <c r="Q2124" t="n">
        <v>0.05</v>
      </c>
      <c r="R2124" t="n">
        <v>1</v>
      </c>
      <c r="S2124" t="n">
        <v>4522.700000000001</v>
      </c>
      <c r="T2124" t="n">
        <v>10</v>
      </c>
      <c r="U2124" t="n">
        <v>11</v>
      </c>
      <c r="V2124" t="n">
        <v>30</v>
      </c>
      <c r="W2124" t="n">
        <v>2</v>
      </c>
      <c r="X2124" t="n">
        <v>94.19152276295132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12831</v>
      </c>
      <c r="AG2124" t="n">
        <v>2122</v>
      </c>
      <c r="AH2124" t="inlineStr">
        <is>
          <t>PT. SINAR PADANG LESTARI - PPN (PDG)</t>
        </is>
      </c>
      <c r="AI2124" t="n">
        <v>78</v>
      </c>
      <c r="AJ2124" t="inlineStr">
        <is>
          <t>HANASUI</t>
        </is>
      </c>
      <c r="AK2124" t="n">
        <v>21</v>
      </c>
      <c r="AL2124" t="inlineStr">
        <is>
          <t>Miss Glam Damar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HANASUI</t>
        </is>
      </c>
      <c r="B2125" s="2">
        <f>"8998824553531"</f>
        <v/>
      </c>
      <c r="C2125" t="inlineStr">
        <is>
          <t>HANASUI Serum Cushion Soulmatte 106 Porcelain 15g</t>
        </is>
      </c>
      <c r="D2125" t="inlineStr">
        <is>
          <t>Miss Glam Damar</t>
        </is>
      </c>
      <c r="E2125" t="n">
        <v>1</v>
      </c>
      <c r="F2125" t="n">
        <v>0.09100000000000001</v>
      </c>
      <c r="G2125" t="n">
        <v>1.82</v>
      </c>
      <c r="H2125" t="n">
        <v>3</v>
      </c>
      <c r="I2125" t="n">
        <v>11</v>
      </c>
      <c r="J2125" t="n">
        <v>3</v>
      </c>
      <c r="K2125" t="n">
        <v>0</v>
      </c>
      <c r="L2125" t="n">
        <v>54087</v>
      </c>
      <c r="M2125" t="n">
        <v>71000</v>
      </c>
      <c r="N2125" t="n">
        <v>91</v>
      </c>
      <c r="O2125" t="n">
        <v>0.91</v>
      </c>
      <c r="P2125" t="n">
        <v>1</v>
      </c>
      <c r="Q2125" t="n">
        <v>0.03</v>
      </c>
      <c r="R2125" t="n">
        <v>1</v>
      </c>
      <c r="S2125" t="n">
        <v>6461.000000000001</v>
      </c>
      <c r="T2125" t="n">
        <v>20</v>
      </c>
      <c r="U2125" t="n">
        <v>21</v>
      </c>
      <c r="V2125" t="n">
        <v>30</v>
      </c>
      <c r="W2125" t="n">
        <v>3</v>
      </c>
      <c r="X2125" t="n">
        <v>10.98901098901099</v>
      </c>
      <c r="Y2125" t="n">
        <v>1</v>
      </c>
      <c r="Z2125" t="n">
        <v>2</v>
      </c>
      <c r="AA2125" t="n">
        <v>1</v>
      </c>
      <c r="AB2125" t="n">
        <v>1</v>
      </c>
      <c r="AC2125" t="n">
        <v>3</v>
      </c>
      <c r="AD2125" t="n">
        <v>54087</v>
      </c>
      <c r="AE2125" t="n">
        <v>162261</v>
      </c>
      <c r="AF2125" t="n">
        <v>12831</v>
      </c>
      <c r="AG2125" t="n">
        <v>2122</v>
      </c>
      <c r="AH2125" t="inlineStr">
        <is>
          <t>PT. SINAR PADANG LESTARI - PPN (PDG)</t>
        </is>
      </c>
      <c r="AI2125" t="n">
        <v>78</v>
      </c>
      <c r="AJ2125" t="inlineStr">
        <is>
          <t>HANASUI</t>
        </is>
      </c>
      <c r="AK2125" t="n">
        <v>21</v>
      </c>
      <c r="AL2125" t="inlineStr">
        <is>
          <t>Miss Glam Damar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HANASUI</t>
        </is>
      </c>
      <c r="B2126" s="2">
        <f>"8998824553548"</f>
        <v/>
      </c>
      <c r="C2126" t="inlineStr">
        <is>
          <t>HANASUI Serum Cushion Soulmatte 107 Light Ivory 15gr</t>
        </is>
      </c>
      <c r="D2126" t="inlineStr">
        <is>
          <t>Miss Glam Damar</t>
        </is>
      </c>
      <c r="E2126" t="n">
        <v>5</v>
      </c>
      <c r="F2126" t="n">
        <v>0.04550000000000001</v>
      </c>
      <c r="G2126" t="n">
        <v>0.91</v>
      </c>
      <c r="H2126" t="n">
        <v>3</v>
      </c>
      <c r="I2126" t="n">
        <v>11</v>
      </c>
      <c r="J2126" t="n">
        <v>3</v>
      </c>
      <c r="K2126" t="n">
        <v>0</v>
      </c>
      <c r="L2126" t="n">
        <v>54087</v>
      </c>
      <c r="M2126" t="n">
        <v>71000</v>
      </c>
      <c r="N2126" t="n">
        <v>91</v>
      </c>
      <c r="O2126" t="n">
        <v>0.91</v>
      </c>
      <c r="P2126" t="n">
        <v>1</v>
      </c>
      <c r="Q2126" t="n">
        <v>0.08</v>
      </c>
      <c r="R2126" t="n">
        <v>1</v>
      </c>
      <c r="S2126" t="n">
        <v>3230.5</v>
      </c>
      <c r="T2126" t="n">
        <v>10</v>
      </c>
      <c r="U2126" t="n">
        <v>11</v>
      </c>
      <c r="V2126" t="n">
        <v>30</v>
      </c>
      <c r="W2126" t="n">
        <v>2</v>
      </c>
      <c r="X2126" t="n">
        <v>109.8901098901099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12831</v>
      </c>
      <c r="AG2126" t="n">
        <v>2122</v>
      </c>
      <c r="AH2126" t="inlineStr">
        <is>
          <t>PT. SINAR PADANG LESTARI - PPN (PDG)</t>
        </is>
      </c>
      <c r="AI2126" t="n">
        <v>78</v>
      </c>
      <c r="AJ2126" t="inlineStr">
        <is>
          <t>HANASUI</t>
        </is>
      </c>
      <c r="AK2126" t="n">
        <v>21</v>
      </c>
      <c r="AL2126" t="inlineStr">
        <is>
          <t>Miss Glam Damar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HANASUI</t>
        </is>
      </c>
      <c r="B2127" s="2">
        <f>"8998824553562"</f>
        <v/>
      </c>
      <c r="C2127" t="inlineStr">
        <is>
          <t>HANASUI Serum Cushion Soulmatte 108 Creamy Beige 15gr</t>
        </is>
      </c>
      <c r="D2127" t="inlineStr">
        <is>
          <t>Miss Glam Damar</t>
        </is>
      </c>
      <c r="E2127" t="n">
        <v>3</v>
      </c>
      <c r="F2127" t="n">
        <v>0.0728</v>
      </c>
      <c r="G2127" t="n">
        <v>1.82</v>
      </c>
      <c r="H2127" t="n">
        <v>3</v>
      </c>
      <c r="I2127" t="n">
        <v>11</v>
      </c>
      <c r="J2127" t="n">
        <v>3</v>
      </c>
      <c r="K2127" t="n">
        <v>0</v>
      </c>
      <c r="L2127" t="n">
        <v>54087</v>
      </c>
      <c r="M2127" t="n">
        <v>71000</v>
      </c>
      <c r="N2127" t="n">
        <v>91</v>
      </c>
      <c r="O2127" t="n">
        <v>0.91</v>
      </c>
      <c r="P2127" t="n">
        <v>1</v>
      </c>
      <c r="Q2127" t="n">
        <v>0.08</v>
      </c>
      <c r="R2127" t="n">
        <v>2</v>
      </c>
      <c r="S2127" t="n">
        <v>5168.8</v>
      </c>
      <c r="T2127" t="n">
        <v>20</v>
      </c>
      <c r="U2127" t="n">
        <v>21</v>
      </c>
      <c r="V2127" t="n">
        <v>30</v>
      </c>
      <c r="W2127" t="n">
        <v>3</v>
      </c>
      <c r="X2127" t="n">
        <v>41.2087912087912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12831</v>
      </c>
      <c r="AG2127" t="n">
        <v>2122</v>
      </c>
      <c r="AH2127" t="inlineStr">
        <is>
          <t>PT. SINAR PADANG LESTARI - PPN (PDG)</t>
        </is>
      </c>
      <c r="AI2127" t="n">
        <v>78</v>
      </c>
      <c r="AJ2127" t="inlineStr">
        <is>
          <t>HANASUI</t>
        </is>
      </c>
      <c r="AK2127" t="n">
        <v>21</v>
      </c>
      <c r="AL2127" t="inlineStr">
        <is>
          <t>Miss Glam Damar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HANASUI</t>
        </is>
      </c>
      <c r="B2128" s="2">
        <f>"8998824553586"</f>
        <v/>
      </c>
      <c r="C2128" t="inlineStr">
        <is>
          <t>HANASUI Serum Cushion Soulmatte 110 Classy Ivory 15g</t>
        </is>
      </c>
      <c r="D2128" t="inlineStr">
        <is>
          <t>Miss Glam Damar</t>
        </is>
      </c>
      <c r="E2128" t="n">
        <v>3</v>
      </c>
      <c r="F2128" t="n">
        <v>0.04550000000000001</v>
      </c>
      <c r="G2128" t="n">
        <v>0.91</v>
      </c>
      <c r="H2128" t="n">
        <v>3</v>
      </c>
      <c r="I2128" t="n">
        <v>11</v>
      </c>
      <c r="J2128" t="n">
        <v>3</v>
      </c>
      <c r="K2128" t="n">
        <v>0</v>
      </c>
      <c r="L2128" t="n">
        <v>54087</v>
      </c>
      <c r="M2128" t="n">
        <v>71000</v>
      </c>
      <c r="N2128" t="n">
        <v>91</v>
      </c>
      <c r="O2128" t="n">
        <v>0.91</v>
      </c>
      <c r="P2128" t="n">
        <v>1</v>
      </c>
      <c r="Q2128" t="n">
        <v>0.14</v>
      </c>
      <c r="R2128" t="n">
        <v>2</v>
      </c>
      <c r="S2128" t="n">
        <v>3230.5</v>
      </c>
      <c r="T2128" t="n">
        <v>10</v>
      </c>
      <c r="U2128" t="n">
        <v>11</v>
      </c>
      <c r="V2128" t="n">
        <v>30</v>
      </c>
      <c r="W2128" t="n">
        <v>2</v>
      </c>
      <c r="X2128" t="n">
        <v>65.93406593406593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12831</v>
      </c>
      <c r="AG2128" t="n">
        <v>2122</v>
      </c>
      <c r="AH2128" t="inlineStr">
        <is>
          <t>PT. SINAR PADANG LESTARI - PPN (PDG)</t>
        </is>
      </c>
      <c r="AI2128" t="n">
        <v>78</v>
      </c>
      <c r="AJ2128" t="inlineStr">
        <is>
          <t>HANASUI</t>
        </is>
      </c>
      <c r="AK2128" t="n">
        <v>21</v>
      </c>
      <c r="AL2128" t="inlineStr">
        <is>
          <t>Miss Glam Damar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HANASUI</t>
        </is>
      </c>
      <c r="B2129" s="2">
        <f>"8998824551940"</f>
        <v/>
      </c>
      <c r="C2129" t="inlineStr">
        <is>
          <t>HANASUI Serum Whitening Gold 20ml</t>
        </is>
      </c>
      <c r="D2129" t="inlineStr">
        <is>
          <t>Miss Glam Damar</t>
        </is>
      </c>
      <c r="E2129" t="n">
        <v>35</v>
      </c>
      <c r="F2129" t="n">
        <v>3.5945</v>
      </c>
      <c r="G2129" t="n">
        <v>10.92</v>
      </c>
      <c r="H2129" t="n">
        <v>3</v>
      </c>
      <c r="I2129" t="n">
        <v>11</v>
      </c>
      <c r="J2129" t="n">
        <v>3</v>
      </c>
      <c r="K2129" t="n">
        <v>0</v>
      </c>
      <c r="L2129" t="n">
        <v>18585</v>
      </c>
      <c r="M2129" t="n">
        <v>23500</v>
      </c>
      <c r="N2129" t="n">
        <v>91</v>
      </c>
      <c r="O2129" t="n">
        <v>0.91</v>
      </c>
      <c r="P2129" t="n">
        <v>1</v>
      </c>
      <c r="Q2129" t="n">
        <v>2.41</v>
      </c>
      <c r="R2129" t="n">
        <v>8</v>
      </c>
      <c r="S2129" t="n">
        <v>84470.75000000001</v>
      </c>
      <c r="T2129" t="n">
        <v>110</v>
      </c>
      <c r="U2129" t="n">
        <v>121</v>
      </c>
      <c r="V2129" t="n">
        <v>30</v>
      </c>
      <c r="W2129" t="n">
        <v>108</v>
      </c>
      <c r="X2129" t="n">
        <v>9.73709834469328</v>
      </c>
      <c r="Y2129" t="n">
        <v>1</v>
      </c>
      <c r="Z2129" t="n">
        <v>73</v>
      </c>
      <c r="AA2129" t="n">
        <v>5</v>
      </c>
      <c r="AB2129" t="n">
        <v>68</v>
      </c>
      <c r="AC2129" t="n">
        <v>68</v>
      </c>
      <c r="AD2129" t="n">
        <v>92925</v>
      </c>
      <c r="AE2129" t="n">
        <v>1263780</v>
      </c>
      <c r="AF2129" t="n">
        <v>12831</v>
      </c>
      <c r="AG2129" t="n">
        <v>2122</v>
      </c>
      <c r="AH2129" t="inlineStr">
        <is>
          <t>PT. SINAR PADANG LESTARI - PPN (PDG)</t>
        </is>
      </c>
      <c r="AI2129" t="n">
        <v>78</v>
      </c>
      <c r="AJ2129" t="inlineStr">
        <is>
          <t>HANASUI</t>
        </is>
      </c>
      <c r="AK2129" t="n">
        <v>21</v>
      </c>
      <c r="AL2129" t="inlineStr">
        <is>
          <t>Miss Glam Damar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HANASUI</t>
        </is>
      </c>
      <c r="B2130" s="2">
        <f>"10200522123"</f>
        <v/>
      </c>
      <c r="C2130" t="inlineStr">
        <is>
          <t>HANASUI Special Package Glow Expert + Power Bright Expert Serum 5pack</t>
        </is>
      </c>
      <c r="D2130" t="inlineStr">
        <is>
          <t>Miss Glam Damar</t>
        </is>
      </c>
      <c r="E2130" t="n">
        <v>4</v>
      </c>
      <c r="F2130" t="n">
        <v>0.1729</v>
      </c>
      <c r="G2130" t="n">
        <v>1.82</v>
      </c>
      <c r="H2130" t="n">
        <v>3</v>
      </c>
      <c r="I2130" t="n">
        <v>11</v>
      </c>
      <c r="J2130" t="n">
        <v>3</v>
      </c>
      <c r="K2130" t="n">
        <v>0</v>
      </c>
      <c r="L2130" t="n">
        <v>109200</v>
      </c>
      <c r="M2130" t="n">
        <v>136500</v>
      </c>
      <c r="N2130" t="n">
        <v>91</v>
      </c>
      <c r="O2130" t="n">
        <v>0.91</v>
      </c>
      <c r="P2130" t="n">
        <v>1</v>
      </c>
      <c r="Q2130" t="n">
        <v>0.15</v>
      </c>
      <c r="R2130" t="n">
        <v>1</v>
      </c>
      <c r="S2130" t="n">
        <v>23600.85</v>
      </c>
      <c r="T2130" t="n">
        <v>20</v>
      </c>
      <c r="U2130" t="n">
        <v>21</v>
      </c>
      <c r="V2130" t="n">
        <v>30</v>
      </c>
      <c r="W2130" t="n">
        <v>6</v>
      </c>
      <c r="X2130" t="n">
        <v>23.13475997686524</v>
      </c>
      <c r="Y2130" t="n">
        <v>1</v>
      </c>
      <c r="Z2130" t="n">
        <v>2</v>
      </c>
      <c r="AA2130" t="n">
        <v>0</v>
      </c>
      <c r="AB2130" t="n">
        <v>2</v>
      </c>
      <c r="AC2130" t="n">
        <v>3</v>
      </c>
      <c r="AD2130" t="n">
        <v>0</v>
      </c>
      <c r="AE2130" t="n">
        <v>327600</v>
      </c>
      <c r="AF2130" t="n">
        <v>12831</v>
      </c>
      <c r="AG2130" t="n">
        <v>2122</v>
      </c>
      <c r="AH2130" t="inlineStr">
        <is>
          <t>PT. SINAR PADANG LESTARI - PPN (PDG)</t>
        </is>
      </c>
      <c r="AI2130" t="n">
        <v>78</v>
      </c>
      <c r="AJ2130" t="inlineStr">
        <is>
          <t>HANASUI</t>
        </is>
      </c>
      <c r="AK2130" t="n">
        <v>21</v>
      </c>
      <c r="AL2130" t="inlineStr">
        <is>
          <t>Miss Glam Damar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HANASUI</t>
        </is>
      </c>
      <c r="B2131" s="2">
        <f>"8998824553340"</f>
        <v/>
      </c>
      <c r="C2131" t="inlineStr">
        <is>
          <t>HANASUI Sunscreen Collagen Water Spf 50 30ml</t>
        </is>
      </c>
      <c r="D2131" t="inlineStr">
        <is>
          <t>Miss Glam Damar</t>
        </is>
      </c>
      <c r="E2131" t="n">
        <v>29</v>
      </c>
      <c r="F2131" t="n">
        <v>5.2871</v>
      </c>
      <c r="G2131" t="n">
        <v>10.92</v>
      </c>
      <c r="H2131" t="n">
        <v>3</v>
      </c>
      <c r="I2131" t="n">
        <v>11</v>
      </c>
      <c r="J2131" t="n">
        <v>3</v>
      </c>
      <c r="K2131" t="n">
        <v>0</v>
      </c>
      <c r="L2131" t="n">
        <v>28255</v>
      </c>
      <c r="M2131" t="n">
        <v>35500</v>
      </c>
      <c r="N2131" t="n">
        <v>91</v>
      </c>
      <c r="O2131" t="n">
        <v>0.91</v>
      </c>
      <c r="P2131" t="n">
        <v>1</v>
      </c>
      <c r="Q2131" t="n">
        <v>2.34</v>
      </c>
      <c r="R2131" t="n">
        <v>10</v>
      </c>
      <c r="S2131" t="n">
        <v>187692.05</v>
      </c>
      <c r="T2131" t="n">
        <v>105</v>
      </c>
      <c r="U2131" t="n">
        <v>121</v>
      </c>
      <c r="V2131" t="n">
        <v>30</v>
      </c>
      <c r="W2131" t="n">
        <v>159</v>
      </c>
      <c r="X2131" t="n">
        <v>5.485048514308412</v>
      </c>
      <c r="Y2131" t="n">
        <v>1</v>
      </c>
      <c r="Z2131" t="n">
        <v>130</v>
      </c>
      <c r="AA2131" t="n">
        <v>30</v>
      </c>
      <c r="AB2131" t="n">
        <v>100</v>
      </c>
      <c r="AC2131" t="n">
        <v>100</v>
      </c>
      <c r="AD2131" t="n">
        <v>847650</v>
      </c>
      <c r="AE2131" t="n">
        <v>2825500</v>
      </c>
      <c r="AF2131" t="n">
        <v>12831</v>
      </c>
      <c r="AG2131" t="n">
        <v>2122</v>
      </c>
      <c r="AH2131" t="inlineStr">
        <is>
          <t>PT. SINAR PADANG LESTARI - PPN (PDG)</t>
        </is>
      </c>
      <c r="AI2131" t="n">
        <v>78</v>
      </c>
      <c r="AJ2131" t="inlineStr">
        <is>
          <t>HANASUI</t>
        </is>
      </c>
      <c r="AK2131" t="n">
        <v>21</v>
      </c>
      <c r="AL2131" t="inlineStr">
        <is>
          <t>Miss Glam Damar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HANASUI</t>
        </is>
      </c>
      <c r="B2132" s="2">
        <f>"10400618943"</f>
        <v/>
      </c>
      <c r="C2132" t="inlineStr">
        <is>
          <t>HANASUI Sunscreen Lightweight Pro Calming Spf 50 PA++ 30ml</t>
        </is>
      </c>
      <c r="D2132" t="inlineStr">
        <is>
          <t>Miss Glam Damar</t>
        </is>
      </c>
      <c r="E2132" t="n">
        <v>12</v>
      </c>
      <c r="F2132" t="n">
        <v>0.7280000000000001</v>
      </c>
      <c r="G2132" t="n">
        <v>5.46</v>
      </c>
      <c r="H2132" t="n">
        <v>3</v>
      </c>
      <c r="I2132" t="n">
        <v>11</v>
      </c>
      <c r="J2132" t="n">
        <v>1</v>
      </c>
      <c r="K2132" t="n">
        <v>0</v>
      </c>
      <c r="L2132" t="n">
        <v>32000</v>
      </c>
      <c r="M2132" t="n">
        <v>40000</v>
      </c>
      <c r="N2132" t="n">
        <v>91</v>
      </c>
      <c r="O2132" t="n">
        <v>0.91</v>
      </c>
      <c r="P2132" t="n">
        <v>1</v>
      </c>
      <c r="Q2132" t="n">
        <v>0.51</v>
      </c>
      <c r="R2132" t="n">
        <v>3</v>
      </c>
      <c r="S2132" t="n">
        <v>29120</v>
      </c>
      <c r="T2132" t="n">
        <v>58</v>
      </c>
      <c r="U2132" t="n">
        <v>61</v>
      </c>
      <c r="V2132" t="n">
        <v>30</v>
      </c>
      <c r="W2132" t="n">
        <v>22</v>
      </c>
      <c r="X2132" t="n">
        <v>16.48351648351648</v>
      </c>
      <c r="Y2132" t="n">
        <v>1</v>
      </c>
      <c r="Z2132" t="n">
        <v>10</v>
      </c>
      <c r="AA2132" t="n">
        <v>0</v>
      </c>
      <c r="AB2132" t="n">
        <v>10</v>
      </c>
      <c r="AC2132" t="n">
        <v>10</v>
      </c>
      <c r="AD2132" t="n">
        <v>0</v>
      </c>
      <c r="AE2132" t="n">
        <v>320000</v>
      </c>
      <c r="AF2132" t="n">
        <v>12831</v>
      </c>
      <c r="AG2132" t="n">
        <v>2122</v>
      </c>
      <c r="AH2132" t="inlineStr">
        <is>
          <t>PT. SINAR PADANG LESTARI - PPN (PDG)</t>
        </is>
      </c>
      <c r="AI2132" t="n">
        <v>78</v>
      </c>
      <c r="AJ2132" t="inlineStr">
        <is>
          <t>HANASUI</t>
        </is>
      </c>
      <c r="AK2132" t="n">
        <v>21</v>
      </c>
      <c r="AL2132" t="inlineStr">
        <is>
          <t>Miss Glam Damar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HANASUI</t>
        </is>
      </c>
      <c r="B2133" s="2">
        <f>"8998824551865"</f>
        <v/>
      </c>
      <c r="C2133" t="inlineStr">
        <is>
          <t>HANASUI SWANA Brightening Body Lotion Pomegranet 100ml</t>
        </is>
      </c>
      <c r="D2133" t="inlineStr">
        <is>
          <t>Miss Glam Damar</t>
        </is>
      </c>
      <c r="E2133" t="n">
        <v>8</v>
      </c>
      <c r="F2133" t="n">
        <v>0.1</v>
      </c>
      <c r="G2133" t="n">
        <v>2</v>
      </c>
      <c r="H2133" t="n">
        <v>3</v>
      </c>
      <c r="I2133" t="n">
        <v>11</v>
      </c>
      <c r="J2133" t="n">
        <v>3</v>
      </c>
      <c r="K2133" t="n">
        <v>0</v>
      </c>
      <c r="L2133" t="n">
        <v>11125</v>
      </c>
      <c r="M2133" t="n">
        <v>14000</v>
      </c>
      <c r="N2133" t="n">
        <v>91</v>
      </c>
      <c r="O2133" t="n">
        <v>0.91</v>
      </c>
      <c r="P2133" t="n">
        <v>0</v>
      </c>
      <c r="Q2133" t="n">
        <v>0.1</v>
      </c>
      <c r="R2133" t="n">
        <v>2</v>
      </c>
      <c r="S2133" t="n">
        <v>1400</v>
      </c>
      <c r="T2133" t="n">
        <v>22</v>
      </c>
      <c r="U2133" t="n">
        <v>23</v>
      </c>
      <c r="V2133" t="n">
        <v>30</v>
      </c>
      <c r="W2133" t="n">
        <v>3</v>
      </c>
      <c r="X2133" t="n">
        <v>80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12831</v>
      </c>
      <c r="AG2133" t="n">
        <v>2122</v>
      </c>
      <c r="AH2133" t="inlineStr">
        <is>
          <t>PT. SINAR PADANG LESTARI - PPN (PDG)</t>
        </is>
      </c>
      <c r="AI2133" t="n">
        <v>78</v>
      </c>
      <c r="AJ2133" t="inlineStr">
        <is>
          <t>HANASUI</t>
        </is>
      </c>
      <c r="AK2133" t="n">
        <v>21</v>
      </c>
      <c r="AL2133" t="inlineStr">
        <is>
          <t>Miss Glam Damar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HANASUI</t>
        </is>
      </c>
      <c r="B2134" s="2">
        <f>"8998824551742"</f>
        <v/>
      </c>
      <c r="C2134" t="inlineStr">
        <is>
          <t>HANASUI SWANA Eau De Parfume Moonlight</t>
        </is>
      </c>
      <c r="D2134" t="inlineStr">
        <is>
          <t>Miss Glam Damar</t>
        </is>
      </c>
      <c r="E2134" t="n">
        <v>0</v>
      </c>
      <c r="F2134" t="n">
        <v>0.05</v>
      </c>
      <c r="G2134" t="n">
        <v>1</v>
      </c>
      <c r="H2134" t="n">
        <v>3</v>
      </c>
      <c r="I2134" t="n">
        <v>11</v>
      </c>
      <c r="J2134" t="n">
        <v>3</v>
      </c>
      <c r="K2134" t="n">
        <v>0</v>
      </c>
      <c r="L2134" t="n">
        <v>10044</v>
      </c>
      <c r="M2134" t="n">
        <v>13000</v>
      </c>
      <c r="N2134" t="n">
        <v>91</v>
      </c>
      <c r="O2134" t="n">
        <v>0.91</v>
      </c>
      <c r="P2134" t="n">
        <v>0</v>
      </c>
      <c r="Q2134" t="n">
        <v>0.05</v>
      </c>
      <c r="R2134" t="n">
        <v>1</v>
      </c>
      <c r="S2134" t="n">
        <v>650</v>
      </c>
      <c r="T2134" t="n">
        <v>11</v>
      </c>
      <c r="U2134" t="n">
        <v>12</v>
      </c>
      <c r="V2134" t="n">
        <v>30</v>
      </c>
      <c r="W2134" t="n">
        <v>2</v>
      </c>
      <c r="X2134" t="n">
        <v>0</v>
      </c>
      <c r="Y2134" t="n">
        <v>1</v>
      </c>
      <c r="Z2134" t="n">
        <v>2</v>
      </c>
      <c r="AA2134" t="n">
        <v>1</v>
      </c>
      <c r="AB2134" t="n">
        <v>1</v>
      </c>
      <c r="AC2134" t="n">
        <v>3</v>
      </c>
      <c r="AD2134" t="n">
        <v>10044</v>
      </c>
      <c r="AE2134" t="n">
        <v>30132</v>
      </c>
      <c r="AF2134" t="n">
        <v>12831</v>
      </c>
      <c r="AG2134" t="n">
        <v>2122</v>
      </c>
      <c r="AH2134" t="inlineStr">
        <is>
          <t>PT. SINAR PADANG LESTARI - PPN (PDG)</t>
        </is>
      </c>
      <c r="AI2134" t="n">
        <v>78</v>
      </c>
      <c r="AJ2134" t="inlineStr">
        <is>
          <t>HANASUI</t>
        </is>
      </c>
      <c r="AK2134" t="n">
        <v>21</v>
      </c>
      <c r="AL2134" t="inlineStr">
        <is>
          <t>Miss Glam Damar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HANASUI</t>
        </is>
      </c>
      <c r="B2135" s="2">
        <f>"8998824552633"</f>
        <v/>
      </c>
      <c r="C2135" t="inlineStr">
        <is>
          <t>HANASUI Tintdorable Lip Stain 01 Cherry 3.5gr</t>
        </is>
      </c>
      <c r="D2135" t="inlineStr">
        <is>
          <t>Miss Glam Damar</t>
        </is>
      </c>
      <c r="E2135" t="n">
        <v>23</v>
      </c>
      <c r="F2135" t="n">
        <v>1.4378</v>
      </c>
      <c r="G2135" t="n">
        <v>4.55</v>
      </c>
      <c r="H2135" t="n">
        <v>3</v>
      </c>
      <c r="I2135" t="n">
        <v>11</v>
      </c>
      <c r="J2135" t="n">
        <v>3</v>
      </c>
      <c r="K2135" t="n">
        <v>0</v>
      </c>
      <c r="L2135" t="n">
        <v>15507</v>
      </c>
      <c r="M2135" t="n">
        <v>19500</v>
      </c>
      <c r="N2135" t="n">
        <v>91</v>
      </c>
      <c r="O2135" t="n">
        <v>0.91</v>
      </c>
      <c r="P2135" t="n">
        <v>1</v>
      </c>
      <c r="Q2135" t="n">
        <v>1.05</v>
      </c>
      <c r="R2135" t="n">
        <v>6</v>
      </c>
      <c r="S2135" t="n">
        <v>28037.1</v>
      </c>
      <c r="T2135" t="n">
        <v>46</v>
      </c>
      <c r="U2135" t="n">
        <v>51</v>
      </c>
      <c r="V2135" t="n">
        <v>30</v>
      </c>
      <c r="W2135" t="n">
        <v>44</v>
      </c>
      <c r="X2135" t="n">
        <v>15.99666156628182</v>
      </c>
      <c r="Y2135" t="n">
        <v>1</v>
      </c>
      <c r="Z2135" t="n">
        <v>21</v>
      </c>
      <c r="AA2135" t="n">
        <v>0</v>
      </c>
      <c r="AB2135" t="n">
        <v>21</v>
      </c>
      <c r="AC2135" t="n">
        <v>21</v>
      </c>
      <c r="AD2135" t="n">
        <v>0</v>
      </c>
      <c r="AE2135" t="n">
        <v>325647</v>
      </c>
      <c r="AF2135" t="n">
        <v>12831</v>
      </c>
      <c r="AG2135" t="n">
        <v>2122</v>
      </c>
      <c r="AH2135" t="inlineStr">
        <is>
          <t>PT. SINAR PADANG LESTARI - PPN (PDG)</t>
        </is>
      </c>
      <c r="AI2135" t="n">
        <v>78</v>
      </c>
      <c r="AJ2135" t="inlineStr">
        <is>
          <t>HANASUI</t>
        </is>
      </c>
      <c r="AK2135" t="n">
        <v>21</v>
      </c>
      <c r="AL2135" t="inlineStr">
        <is>
          <t>Miss Glam Damar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HANASUI</t>
        </is>
      </c>
      <c r="B2136" s="2">
        <f>"8998824552657"</f>
        <v/>
      </c>
      <c r="C2136" t="inlineStr">
        <is>
          <t>HANASUI Tintdorable Lip Stain 02 Peachy 3.5gr</t>
        </is>
      </c>
      <c r="D2136" t="inlineStr">
        <is>
          <t>Miss Glam Damar</t>
        </is>
      </c>
      <c r="E2136" t="n">
        <v>11</v>
      </c>
      <c r="F2136" t="n">
        <v>0.7735</v>
      </c>
      <c r="G2136" t="n">
        <v>3.64</v>
      </c>
      <c r="H2136" t="n">
        <v>3</v>
      </c>
      <c r="I2136" t="n">
        <v>11</v>
      </c>
      <c r="J2136" t="n">
        <v>3</v>
      </c>
      <c r="K2136" t="n">
        <v>0</v>
      </c>
      <c r="L2136" t="n">
        <v>15474</v>
      </c>
      <c r="M2136" t="n">
        <v>19500</v>
      </c>
      <c r="N2136" t="n">
        <v>91</v>
      </c>
      <c r="O2136" t="n">
        <v>0.91</v>
      </c>
      <c r="P2136" t="n">
        <v>1</v>
      </c>
      <c r="Q2136" t="n">
        <v>0.61</v>
      </c>
      <c r="R2136" t="n">
        <v>6</v>
      </c>
      <c r="S2136" t="n">
        <v>15083.25</v>
      </c>
      <c r="T2136" t="n">
        <v>38</v>
      </c>
      <c r="U2136" t="n">
        <v>41</v>
      </c>
      <c r="V2136" t="n">
        <v>30</v>
      </c>
      <c r="W2136" t="n">
        <v>24</v>
      </c>
      <c r="X2136" t="n">
        <v>14.22107304460246</v>
      </c>
      <c r="Y2136" t="n">
        <v>1</v>
      </c>
      <c r="Z2136" t="n">
        <v>13</v>
      </c>
      <c r="AA2136" t="n">
        <v>0</v>
      </c>
      <c r="AB2136" t="n">
        <v>13</v>
      </c>
      <c r="AC2136" t="n">
        <v>13</v>
      </c>
      <c r="AD2136" t="n">
        <v>0</v>
      </c>
      <c r="AE2136" t="n">
        <v>201162</v>
      </c>
      <c r="AF2136" t="n">
        <v>12831</v>
      </c>
      <c r="AG2136" t="n">
        <v>2122</v>
      </c>
      <c r="AH2136" t="inlineStr">
        <is>
          <t>PT. SINAR PADANG LESTARI - PPN (PDG)</t>
        </is>
      </c>
      <c r="AI2136" t="n">
        <v>78</v>
      </c>
      <c r="AJ2136" t="inlineStr">
        <is>
          <t>HANASUI</t>
        </is>
      </c>
      <c r="AK2136" t="n">
        <v>21</v>
      </c>
      <c r="AL2136" t="inlineStr">
        <is>
          <t>Miss Glam Damar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HANASUI</t>
        </is>
      </c>
      <c r="B2137" s="2">
        <f>"8998824552671"</f>
        <v/>
      </c>
      <c r="C2137" t="inlineStr">
        <is>
          <t>HANASUI Tintdorable Lip Stain 03 Ruby 3.5gr</t>
        </is>
      </c>
      <c r="D2137" t="inlineStr">
        <is>
          <t>Miss Glam Damar</t>
        </is>
      </c>
      <c r="E2137" t="n">
        <v>22</v>
      </c>
      <c r="F2137" t="n">
        <v>0.3094</v>
      </c>
      <c r="G2137" t="n">
        <v>2.73</v>
      </c>
      <c r="H2137" t="n">
        <v>3</v>
      </c>
      <c r="I2137" t="n">
        <v>11</v>
      </c>
      <c r="J2137" t="n">
        <v>3</v>
      </c>
      <c r="K2137" t="n">
        <v>0</v>
      </c>
      <c r="L2137" t="n">
        <v>15574</v>
      </c>
      <c r="M2137" t="n">
        <v>19500</v>
      </c>
      <c r="N2137" t="n">
        <v>91</v>
      </c>
      <c r="O2137" t="n">
        <v>0.91</v>
      </c>
      <c r="P2137" t="n">
        <v>1</v>
      </c>
      <c r="Q2137" t="n">
        <v>0.47</v>
      </c>
      <c r="R2137" t="n">
        <v>3</v>
      </c>
      <c r="S2137" t="n">
        <v>6033.3</v>
      </c>
      <c r="T2137" t="n">
        <v>30</v>
      </c>
      <c r="U2137" t="n">
        <v>31</v>
      </c>
      <c r="V2137" t="n">
        <v>30</v>
      </c>
      <c r="W2137" t="n">
        <v>10</v>
      </c>
      <c r="X2137" t="n">
        <v>71.10536522301229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12831</v>
      </c>
      <c r="AG2137" t="n">
        <v>2122</v>
      </c>
      <c r="AH2137" t="inlineStr">
        <is>
          <t>PT. SINAR PADANG LESTARI - PPN (PDG)</t>
        </is>
      </c>
      <c r="AI2137" t="n">
        <v>78</v>
      </c>
      <c r="AJ2137" t="inlineStr">
        <is>
          <t>HANASUI</t>
        </is>
      </c>
      <c r="AK2137" t="n">
        <v>21</v>
      </c>
      <c r="AL2137" t="inlineStr">
        <is>
          <t>Miss Glam Damar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HANASUI</t>
        </is>
      </c>
      <c r="B2138" s="2">
        <f>"8998824552695"</f>
        <v/>
      </c>
      <c r="C2138" t="inlineStr">
        <is>
          <t>HANASUI Tintdorable Lip Stain 04 Sweet 3.5gr</t>
        </is>
      </c>
      <c r="D2138" t="inlineStr">
        <is>
          <t>Miss Glam Damar</t>
        </is>
      </c>
      <c r="E2138" t="n">
        <v>3</v>
      </c>
      <c r="F2138" t="n">
        <v>0.8372000000000001</v>
      </c>
      <c r="G2138" t="n">
        <v>3.64</v>
      </c>
      <c r="H2138" t="n">
        <v>3</v>
      </c>
      <c r="I2138" t="n">
        <v>11</v>
      </c>
      <c r="J2138" t="n">
        <v>3</v>
      </c>
      <c r="K2138" t="n">
        <v>0</v>
      </c>
      <c r="L2138" t="n">
        <v>15258</v>
      </c>
      <c r="M2138" t="n">
        <v>19500</v>
      </c>
      <c r="N2138" t="n">
        <v>91</v>
      </c>
      <c r="O2138" t="n">
        <v>0.91</v>
      </c>
      <c r="P2138" t="n">
        <v>1</v>
      </c>
      <c r="Q2138" t="n">
        <v>0.15</v>
      </c>
      <c r="R2138" t="n">
        <v>1</v>
      </c>
      <c r="S2138" t="n">
        <v>16325.4</v>
      </c>
      <c r="T2138" t="n">
        <v>38</v>
      </c>
      <c r="U2138" t="n">
        <v>41</v>
      </c>
      <c r="V2138" t="n">
        <v>30</v>
      </c>
      <c r="W2138" t="n">
        <v>26</v>
      </c>
      <c r="X2138" t="n">
        <v>3.58337314859054</v>
      </c>
      <c r="Y2138" t="n">
        <v>1</v>
      </c>
      <c r="Z2138" t="n">
        <v>23</v>
      </c>
      <c r="AA2138" t="n">
        <v>7</v>
      </c>
      <c r="AB2138" t="n">
        <v>16</v>
      </c>
      <c r="AC2138" t="n">
        <v>16</v>
      </c>
      <c r="AD2138" t="n">
        <v>106806</v>
      </c>
      <c r="AE2138" t="n">
        <v>244128</v>
      </c>
      <c r="AF2138" t="n">
        <v>12831</v>
      </c>
      <c r="AG2138" t="n">
        <v>2122</v>
      </c>
      <c r="AH2138" t="inlineStr">
        <is>
          <t>PT. SINAR PADANG LESTARI - PPN (PDG)</t>
        </is>
      </c>
      <c r="AI2138" t="n">
        <v>78</v>
      </c>
      <c r="AJ2138" t="inlineStr">
        <is>
          <t>HANASUI</t>
        </is>
      </c>
      <c r="AK2138" t="n">
        <v>21</v>
      </c>
      <c r="AL2138" t="inlineStr">
        <is>
          <t>Miss Glam Damar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HANASUI</t>
        </is>
      </c>
      <c r="B2139" s="2">
        <f>"8998824552732"</f>
        <v/>
      </c>
      <c r="C2139" t="inlineStr">
        <is>
          <t>HANASUI Tintdorable Lip Stain 05 Coral 3.5gr</t>
        </is>
      </c>
      <c r="D2139" t="inlineStr">
        <is>
          <t>Miss Glam Damar</t>
        </is>
      </c>
      <c r="E2139" t="n">
        <v>10</v>
      </c>
      <c r="F2139" t="n">
        <v>0.7553</v>
      </c>
      <c r="G2139" t="n">
        <v>2.73</v>
      </c>
      <c r="H2139" t="n">
        <v>3</v>
      </c>
      <c r="I2139" t="n">
        <v>11</v>
      </c>
      <c r="J2139" t="n">
        <v>3</v>
      </c>
      <c r="K2139" t="n">
        <v>0</v>
      </c>
      <c r="L2139" t="n">
        <v>15416</v>
      </c>
      <c r="M2139" t="n">
        <v>19500</v>
      </c>
      <c r="N2139" t="n">
        <v>91</v>
      </c>
      <c r="O2139" t="n">
        <v>0.91</v>
      </c>
      <c r="P2139" t="n">
        <v>1</v>
      </c>
      <c r="Q2139" t="n">
        <v>0.32</v>
      </c>
      <c r="R2139" t="n">
        <v>2</v>
      </c>
      <c r="S2139" t="n">
        <v>14728.35</v>
      </c>
      <c r="T2139" t="n">
        <v>28</v>
      </c>
      <c r="U2139" t="n">
        <v>31</v>
      </c>
      <c r="V2139" t="n">
        <v>30</v>
      </c>
      <c r="W2139" t="n">
        <v>23</v>
      </c>
      <c r="X2139" t="n">
        <v>13.23977227591685</v>
      </c>
      <c r="Y2139" t="n">
        <v>1</v>
      </c>
      <c r="Z2139" t="n">
        <v>13</v>
      </c>
      <c r="AA2139" t="n">
        <v>0</v>
      </c>
      <c r="AB2139" t="n">
        <v>13</v>
      </c>
      <c r="AC2139" t="n">
        <v>13</v>
      </c>
      <c r="AD2139" t="n">
        <v>0</v>
      </c>
      <c r="AE2139" t="n">
        <v>200408</v>
      </c>
      <c r="AF2139" t="n">
        <v>12831</v>
      </c>
      <c r="AG2139" t="n">
        <v>2122</v>
      </c>
      <c r="AH2139" t="inlineStr">
        <is>
          <t>PT. SINAR PADANG LESTARI - PPN (PDG)</t>
        </is>
      </c>
      <c r="AI2139" t="n">
        <v>78</v>
      </c>
      <c r="AJ2139" t="inlineStr">
        <is>
          <t>HANASUI</t>
        </is>
      </c>
      <c r="AK2139" t="n">
        <v>21</v>
      </c>
      <c r="AL2139" t="inlineStr">
        <is>
          <t>Miss Glam Damar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HANASUI</t>
        </is>
      </c>
      <c r="B2140" s="2">
        <f>"8998824553272"</f>
        <v/>
      </c>
      <c r="C2140" t="inlineStr">
        <is>
          <t>HANASUI Tintdorable Lip Stain 06 Bloody 3.5gr</t>
        </is>
      </c>
      <c r="D2140" t="inlineStr">
        <is>
          <t>Miss Glam Damar</t>
        </is>
      </c>
      <c r="E2140" t="n">
        <v>4</v>
      </c>
      <c r="F2140" t="n">
        <v>0.2639</v>
      </c>
      <c r="G2140" t="n">
        <v>1.82</v>
      </c>
      <c r="H2140" t="n">
        <v>3</v>
      </c>
      <c r="I2140" t="n">
        <v>11</v>
      </c>
      <c r="J2140" t="n">
        <v>3</v>
      </c>
      <c r="K2140" t="n">
        <v>0</v>
      </c>
      <c r="L2140" t="n">
        <v>15258</v>
      </c>
      <c r="M2140" t="n">
        <v>19500</v>
      </c>
      <c r="N2140" t="n">
        <v>91</v>
      </c>
      <c r="O2140" t="n">
        <v>0.91</v>
      </c>
      <c r="P2140" t="n">
        <v>1</v>
      </c>
      <c r="Q2140" t="n">
        <v>0.12</v>
      </c>
      <c r="R2140" t="n">
        <v>2</v>
      </c>
      <c r="S2140" t="n">
        <v>5146.049999999999</v>
      </c>
      <c r="T2140" t="n">
        <v>20</v>
      </c>
      <c r="U2140" t="n">
        <v>21</v>
      </c>
      <c r="V2140" t="n">
        <v>30</v>
      </c>
      <c r="W2140" t="n">
        <v>8</v>
      </c>
      <c r="X2140" t="n">
        <v>15.15725653656688</v>
      </c>
      <c r="Y2140" t="n">
        <v>1</v>
      </c>
      <c r="Z2140" t="n">
        <v>4</v>
      </c>
      <c r="AA2140" t="n">
        <v>0</v>
      </c>
      <c r="AB2140" t="n">
        <v>4</v>
      </c>
      <c r="AC2140" t="n">
        <v>4</v>
      </c>
      <c r="AD2140" t="n">
        <v>0</v>
      </c>
      <c r="AE2140" t="n">
        <v>61032</v>
      </c>
      <c r="AF2140" t="n">
        <v>12831</v>
      </c>
      <c r="AG2140" t="n">
        <v>2122</v>
      </c>
      <c r="AH2140" t="inlineStr">
        <is>
          <t>PT. SINAR PADANG LESTARI - PPN (PDG)</t>
        </is>
      </c>
      <c r="AI2140" t="n">
        <v>78</v>
      </c>
      <c r="AJ2140" t="inlineStr">
        <is>
          <t>HANASUI</t>
        </is>
      </c>
      <c r="AK2140" t="n">
        <v>21</v>
      </c>
      <c r="AL2140" t="inlineStr">
        <is>
          <t>Miss Glam Damar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HANASUI</t>
        </is>
      </c>
      <c r="B2141" s="2">
        <f>"8998824553654"</f>
        <v/>
      </c>
      <c r="C2141" t="inlineStr">
        <is>
          <t>HANASUI Tintdorable Lip Stain 07 Copper 3.5gr</t>
        </is>
      </c>
      <c r="D2141" t="inlineStr">
        <is>
          <t>Miss Glam Damar</t>
        </is>
      </c>
      <c r="E2141" t="n">
        <v>5</v>
      </c>
      <c r="F2141" t="n">
        <v>0.2639</v>
      </c>
      <c r="G2141" t="n">
        <v>1.82</v>
      </c>
      <c r="H2141" t="n">
        <v>3</v>
      </c>
      <c r="I2141" t="n">
        <v>11</v>
      </c>
      <c r="J2141" t="n">
        <v>3</v>
      </c>
      <c r="K2141" t="n">
        <v>0</v>
      </c>
      <c r="L2141" t="n">
        <v>15258</v>
      </c>
      <c r="M2141" t="n">
        <v>19500</v>
      </c>
      <c r="N2141" t="n">
        <v>91</v>
      </c>
      <c r="O2141" t="n">
        <v>0.91</v>
      </c>
      <c r="P2141" t="n">
        <v>1</v>
      </c>
      <c r="Q2141" t="n">
        <v>0.36</v>
      </c>
      <c r="R2141" t="n">
        <v>2</v>
      </c>
      <c r="S2141" t="n">
        <v>5146.049999999999</v>
      </c>
      <c r="T2141" t="n">
        <v>20</v>
      </c>
      <c r="U2141" t="n">
        <v>21</v>
      </c>
      <c r="V2141" t="n">
        <v>30</v>
      </c>
      <c r="W2141" t="n">
        <v>8</v>
      </c>
      <c r="X2141" t="n">
        <v>18.9465706707086</v>
      </c>
      <c r="Y2141" t="n">
        <v>1</v>
      </c>
      <c r="Z2141" t="n">
        <v>3</v>
      </c>
      <c r="AA2141" t="n">
        <v>0</v>
      </c>
      <c r="AB2141" t="n">
        <v>3</v>
      </c>
      <c r="AC2141" t="n">
        <v>3</v>
      </c>
      <c r="AD2141" t="n">
        <v>0</v>
      </c>
      <c r="AE2141" t="n">
        <v>45774</v>
      </c>
      <c r="AF2141" t="n">
        <v>12831</v>
      </c>
      <c r="AG2141" t="n">
        <v>2122</v>
      </c>
      <c r="AH2141" t="inlineStr">
        <is>
          <t>PT. SINAR PADANG LESTARI - PPN (PDG)</t>
        </is>
      </c>
      <c r="AI2141" t="n">
        <v>78</v>
      </c>
      <c r="AJ2141" t="inlineStr">
        <is>
          <t>HANASUI</t>
        </is>
      </c>
      <c r="AK2141" t="n">
        <v>21</v>
      </c>
      <c r="AL2141" t="inlineStr">
        <is>
          <t>Miss Glam Damar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HANASUI</t>
        </is>
      </c>
      <c r="B2142" s="2">
        <f>"8998824553685"</f>
        <v/>
      </c>
      <c r="C2142" t="inlineStr">
        <is>
          <t>HANASUI Tintdorable Lip Stain 08 Rosy 3.5gr</t>
        </is>
      </c>
      <c r="D2142" t="inlineStr">
        <is>
          <t>Miss Glam Damar</t>
        </is>
      </c>
      <c r="E2142" t="n">
        <v>13</v>
      </c>
      <c r="F2142" t="n">
        <v>0.5369</v>
      </c>
      <c r="G2142" t="n">
        <v>1.82</v>
      </c>
      <c r="H2142" t="n">
        <v>3</v>
      </c>
      <c r="I2142" t="n">
        <v>11</v>
      </c>
      <c r="J2142" t="n">
        <v>3</v>
      </c>
      <c r="K2142" t="n">
        <v>0</v>
      </c>
      <c r="L2142" t="n">
        <v>15561</v>
      </c>
      <c r="M2142" t="n">
        <v>19500</v>
      </c>
      <c r="N2142" t="n">
        <v>91</v>
      </c>
      <c r="O2142" t="n">
        <v>0.91</v>
      </c>
      <c r="P2142" t="n">
        <v>1</v>
      </c>
      <c r="Q2142" t="n">
        <v>0.61</v>
      </c>
      <c r="R2142" t="n">
        <v>5</v>
      </c>
      <c r="S2142" t="n">
        <v>10469.55</v>
      </c>
      <c r="T2142" t="n">
        <v>19</v>
      </c>
      <c r="U2142" t="n">
        <v>21</v>
      </c>
      <c r="V2142" t="n">
        <v>30</v>
      </c>
      <c r="W2142" t="n">
        <v>17</v>
      </c>
      <c r="X2142" t="n">
        <v>24.21307506053268</v>
      </c>
      <c r="Y2142" t="n">
        <v>1</v>
      </c>
      <c r="Z2142" t="n">
        <v>4</v>
      </c>
      <c r="AA2142" t="n">
        <v>0</v>
      </c>
      <c r="AB2142" t="n">
        <v>4</v>
      </c>
      <c r="AC2142" t="n">
        <v>4</v>
      </c>
      <c r="AD2142" t="n">
        <v>0</v>
      </c>
      <c r="AE2142" t="n">
        <v>62244</v>
      </c>
      <c r="AF2142" t="n">
        <v>12831</v>
      </c>
      <c r="AG2142" t="n">
        <v>2122</v>
      </c>
      <c r="AH2142" t="inlineStr">
        <is>
          <t>PT. SINAR PADANG LESTARI - PPN (PDG)</t>
        </is>
      </c>
      <c r="AI2142" t="n">
        <v>78</v>
      </c>
      <c r="AJ2142" t="inlineStr">
        <is>
          <t>HANASUI</t>
        </is>
      </c>
      <c r="AK2142" t="n">
        <v>21</v>
      </c>
      <c r="AL2142" t="inlineStr">
        <is>
          <t>Miss Glam Damar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HANASUI</t>
        </is>
      </c>
      <c r="B2143" s="2">
        <f>"8998824553715"</f>
        <v/>
      </c>
      <c r="C2143" t="inlineStr">
        <is>
          <t>HANASUI Tintdorable Lip Stain 09 Dreamy 3.5gr</t>
        </is>
      </c>
      <c r="D2143" t="inlineStr">
        <is>
          <t>Miss Glam Damar</t>
        </is>
      </c>
      <c r="E2143" t="n">
        <v>11</v>
      </c>
      <c r="F2143" t="n">
        <v>0.3276</v>
      </c>
      <c r="G2143" t="n">
        <v>1.82</v>
      </c>
      <c r="H2143" t="n">
        <v>3</v>
      </c>
      <c r="I2143" t="n">
        <v>11</v>
      </c>
      <c r="J2143" t="n">
        <v>3</v>
      </c>
      <c r="K2143" t="n">
        <v>0</v>
      </c>
      <c r="L2143" t="n">
        <v>15515</v>
      </c>
      <c r="M2143" t="n">
        <v>19500</v>
      </c>
      <c r="N2143" t="n">
        <v>91</v>
      </c>
      <c r="O2143" t="n">
        <v>0.91</v>
      </c>
      <c r="P2143" t="n">
        <v>1</v>
      </c>
      <c r="Q2143" t="n">
        <v>0.31</v>
      </c>
      <c r="R2143" t="n">
        <v>2</v>
      </c>
      <c r="S2143" t="n">
        <v>6388.2</v>
      </c>
      <c r="T2143" t="n">
        <v>20</v>
      </c>
      <c r="U2143" t="n">
        <v>21</v>
      </c>
      <c r="V2143" t="n">
        <v>30</v>
      </c>
      <c r="W2143" t="n">
        <v>10</v>
      </c>
      <c r="X2143" t="n">
        <v>33.57753357753358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12831</v>
      </c>
      <c r="AG2143" t="n">
        <v>2122</v>
      </c>
      <c r="AH2143" t="inlineStr">
        <is>
          <t>PT. SINAR PADANG LESTARI - PPN (PDG)</t>
        </is>
      </c>
      <c r="AI2143" t="n">
        <v>78</v>
      </c>
      <c r="AJ2143" t="inlineStr">
        <is>
          <t>HANASUI</t>
        </is>
      </c>
      <c r="AK2143" t="n">
        <v>21</v>
      </c>
      <c r="AL2143" t="inlineStr">
        <is>
          <t>Miss Glam Damar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HANASUI</t>
        </is>
      </c>
      <c r="B2144" s="2">
        <f>"8998824551445"</f>
        <v/>
      </c>
      <c r="C2144" t="inlineStr">
        <is>
          <t>HANASUI Vita Smoothies Body Spa Exfoliating Gel Aloe Vera 180ml</t>
        </is>
      </c>
      <c r="D2144" t="inlineStr">
        <is>
          <t>Miss Glam Damar</t>
        </is>
      </c>
      <c r="E2144" t="n">
        <v>5</v>
      </c>
      <c r="F2144" t="n">
        <v>0.2184</v>
      </c>
      <c r="G2144" t="n">
        <v>2.73</v>
      </c>
      <c r="H2144" t="n">
        <v>3</v>
      </c>
      <c r="I2144" t="n">
        <v>11</v>
      </c>
      <c r="J2144" t="n">
        <v>3</v>
      </c>
      <c r="K2144" t="n">
        <v>0</v>
      </c>
      <c r="L2144" t="n">
        <v>15120</v>
      </c>
      <c r="M2144" t="n">
        <v>19000</v>
      </c>
      <c r="N2144" t="n">
        <v>91</v>
      </c>
      <c r="O2144" t="n">
        <v>0.91</v>
      </c>
      <c r="P2144" t="n">
        <v>1</v>
      </c>
      <c r="Q2144" t="n">
        <v>0.07000000000000001</v>
      </c>
      <c r="R2144" t="n">
        <v>2</v>
      </c>
      <c r="S2144" t="n">
        <v>4149.6</v>
      </c>
      <c r="T2144" t="n">
        <v>30</v>
      </c>
      <c r="U2144" t="n">
        <v>31</v>
      </c>
      <c r="V2144" t="n">
        <v>30</v>
      </c>
      <c r="W2144" t="n">
        <v>7</v>
      </c>
      <c r="X2144" t="n">
        <v>22.89377289377289</v>
      </c>
      <c r="Y2144" t="n">
        <v>1</v>
      </c>
      <c r="Z2144" t="n">
        <v>2</v>
      </c>
      <c r="AA2144" t="n">
        <v>0</v>
      </c>
      <c r="AB2144" t="n">
        <v>2</v>
      </c>
      <c r="AC2144" t="n">
        <v>3</v>
      </c>
      <c r="AD2144" t="n">
        <v>0</v>
      </c>
      <c r="AE2144" t="n">
        <v>45360</v>
      </c>
      <c r="AF2144" t="n">
        <v>12831</v>
      </c>
      <c r="AG2144" t="n">
        <v>2122</v>
      </c>
      <c r="AH2144" t="inlineStr">
        <is>
          <t>PT. SINAR PADANG LESTARI - PPN (PDG)</t>
        </is>
      </c>
      <c r="AI2144" t="n">
        <v>78</v>
      </c>
      <c r="AJ2144" t="inlineStr">
        <is>
          <t>HANASUI</t>
        </is>
      </c>
      <c r="AK2144" t="n">
        <v>21</v>
      </c>
      <c r="AL2144" t="inlineStr">
        <is>
          <t>Miss Glam Damar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HANASUI</t>
        </is>
      </c>
      <c r="B2145" s="2">
        <f>"8998824551452"</f>
        <v/>
      </c>
      <c r="C2145" t="inlineStr">
        <is>
          <t>HANASUI Vita Smoothies Body Spa Exfoliating Gel Cherry 180ml</t>
        </is>
      </c>
      <c r="D2145" t="inlineStr">
        <is>
          <t>Miss Glam Damar</t>
        </is>
      </c>
      <c r="E2145" t="n">
        <v>6</v>
      </c>
      <c r="F2145" t="n">
        <v>0.1365</v>
      </c>
      <c r="G2145" t="n">
        <v>1.82</v>
      </c>
      <c r="H2145" t="n">
        <v>3</v>
      </c>
      <c r="I2145" t="n">
        <v>11</v>
      </c>
      <c r="J2145" t="n">
        <v>3</v>
      </c>
      <c r="K2145" t="n">
        <v>0</v>
      </c>
      <c r="L2145" t="n">
        <v>15120</v>
      </c>
      <c r="M2145" t="n">
        <v>19000</v>
      </c>
      <c r="N2145" t="n">
        <v>91</v>
      </c>
      <c r="O2145" t="n">
        <v>0.91</v>
      </c>
      <c r="P2145" t="n">
        <v>1</v>
      </c>
      <c r="Q2145" t="n">
        <v>0.08</v>
      </c>
      <c r="R2145" t="n">
        <v>1</v>
      </c>
      <c r="S2145" t="n">
        <v>2593.5</v>
      </c>
      <c r="T2145" t="n">
        <v>20</v>
      </c>
      <c r="U2145" t="n">
        <v>21</v>
      </c>
      <c r="V2145" t="n">
        <v>30</v>
      </c>
      <c r="W2145" t="n">
        <v>5</v>
      </c>
      <c r="X2145" t="n">
        <v>43.95604395604396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12831</v>
      </c>
      <c r="AG2145" t="n">
        <v>2122</v>
      </c>
      <c r="AH2145" t="inlineStr">
        <is>
          <t>PT. SINAR PADANG LESTARI - PPN (PDG)</t>
        </is>
      </c>
      <c r="AI2145" t="n">
        <v>78</v>
      </c>
      <c r="AJ2145" t="inlineStr">
        <is>
          <t>HANASUI</t>
        </is>
      </c>
      <c r="AK2145" t="n">
        <v>21</v>
      </c>
      <c r="AL2145" t="inlineStr">
        <is>
          <t>Miss Glam Damar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HANASUI</t>
        </is>
      </c>
      <c r="B2146" s="2">
        <f>"8998824552114"</f>
        <v/>
      </c>
      <c r="C2146" t="inlineStr">
        <is>
          <t>HANASUI Vita Smoothies Body Spa Exfoliating Gel Coffee 180ml</t>
        </is>
      </c>
      <c r="D2146" t="inlineStr">
        <is>
          <t>Miss Glam Damar</t>
        </is>
      </c>
      <c r="E2146" t="n">
        <v>4</v>
      </c>
      <c r="F2146" t="n">
        <v>0.182</v>
      </c>
      <c r="G2146" t="n">
        <v>1.82</v>
      </c>
      <c r="H2146" t="n">
        <v>3</v>
      </c>
      <c r="I2146" t="n">
        <v>11</v>
      </c>
      <c r="J2146" t="n">
        <v>3</v>
      </c>
      <c r="K2146" t="n">
        <v>0</v>
      </c>
      <c r="L2146" t="n">
        <v>15121</v>
      </c>
      <c r="M2146" t="n">
        <v>19000</v>
      </c>
      <c r="N2146" t="n">
        <v>91</v>
      </c>
      <c r="O2146" t="n">
        <v>0.91</v>
      </c>
      <c r="P2146" t="n">
        <v>1</v>
      </c>
      <c r="Q2146" t="n">
        <v>0.1</v>
      </c>
      <c r="R2146" t="n">
        <v>2</v>
      </c>
      <c r="S2146" t="n">
        <v>3458</v>
      </c>
      <c r="T2146" t="n">
        <v>20</v>
      </c>
      <c r="U2146" t="n">
        <v>21</v>
      </c>
      <c r="V2146" t="n">
        <v>30</v>
      </c>
      <c r="W2146" t="n">
        <v>6</v>
      </c>
      <c r="X2146" t="n">
        <v>21.97802197802197</v>
      </c>
      <c r="Y2146" t="n">
        <v>1</v>
      </c>
      <c r="Z2146" t="n">
        <v>2</v>
      </c>
      <c r="AA2146" t="n">
        <v>0</v>
      </c>
      <c r="AB2146" t="n">
        <v>2</v>
      </c>
      <c r="AC2146" t="n">
        <v>3</v>
      </c>
      <c r="AD2146" t="n">
        <v>0</v>
      </c>
      <c r="AE2146" t="n">
        <v>45363</v>
      </c>
      <c r="AF2146" t="n">
        <v>12831</v>
      </c>
      <c r="AG2146" t="n">
        <v>2122</v>
      </c>
      <c r="AH2146" t="inlineStr">
        <is>
          <t>PT. SINAR PADANG LESTARI - PPN (PDG)</t>
        </is>
      </c>
      <c r="AI2146" t="n">
        <v>78</v>
      </c>
      <c r="AJ2146" t="inlineStr">
        <is>
          <t>HANASUI</t>
        </is>
      </c>
      <c r="AK2146" t="n">
        <v>21</v>
      </c>
      <c r="AL2146" t="inlineStr">
        <is>
          <t>Miss Glam Damar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HANASUI</t>
        </is>
      </c>
      <c r="B2147" s="2">
        <f>"8998824551438"</f>
        <v/>
      </c>
      <c r="C2147" t="inlineStr">
        <is>
          <t>HANASUI Vita Smoothies Body Spa Exfoliating Gel Lemon 180ml</t>
        </is>
      </c>
      <c r="D2147" t="inlineStr">
        <is>
          <t>Miss Glam Damar</t>
        </is>
      </c>
      <c r="E2147" t="n">
        <v>2</v>
      </c>
      <c r="F2147" t="n">
        <v>0.05</v>
      </c>
      <c r="G2147" t="n">
        <v>1</v>
      </c>
      <c r="H2147" t="n">
        <v>3</v>
      </c>
      <c r="I2147" t="n">
        <v>11</v>
      </c>
      <c r="J2147" t="n">
        <v>3</v>
      </c>
      <c r="K2147" t="n">
        <v>0</v>
      </c>
      <c r="L2147" t="n">
        <v>15120</v>
      </c>
      <c r="M2147" t="n">
        <v>19000</v>
      </c>
      <c r="N2147" t="n">
        <v>91</v>
      </c>
      <c r="O2147" t="n">
        <v>0.91</v>
      </c>
      <c r="P2147" t="n">
        <v>0</v>
      </c>
      <c r="Q2147" t="n">
        <v>0.05</v>
      </c>
      <c r="R2147" t="n">
        <v>1</v>
      </c>
      <c r="S2147" t="n">
        <v>950</v>
      </c>
      <c r="T2147" t="n">
        <v>11</v>
      </c>
      <c r="U2147" t="n">
        <v>12</v>
      </c>
      <c r="V2147" t="n">
        <v>30</v>
      </c>
      <c r="W2147" t="n">
        <v>2</v>
      </c>
      <c r="X2147" t="n">
        <v>40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12831</v>
      </c>
      <c r="AG2147" t="n">
        <v>2122</v>
      </c>
      <c r="AH2147" t="inlineStr">
        <is>
          <t>PT. SINAR PADANG LESTARI - PPN (PDG)</t>
        </is>
      </c>
      <c r="AI2147" t="n">
        <v>78</v>
      </c>
      <c r="AJ2147" t="inlineStr">
        <is>
          <t>HANASUI</t>
        </is>
      </c>
      <c r="AK2147" t="n">
        <v>21</v>
      </c>
      <c r="AL2147" t="inlineStr">
        <is>
          <t>Miss Glam Damar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HANASUI</t>
        </is>
      </c>
      <c r="B2148" s="2">
        <f>"8998824551421"</f>
        <v/>
      </c>
      <c r="C2148" t="inlineStr">
        <is>
          <t>HANASUI Vita Smoothies Body Spa Exfoliating Gel Orange 180ml</t>
        </is>
      </c>
      <c r="D2148" t="inlineStr">
        <is>
          <t>Miss Glam Damar</t>
        </is>
      </c>
      <c r="E2148" t="n">
        <v>6</v>
      </c>
      <c r="F2148" t="n">
        <v>0.09100000000000001</v>
      </c>
      <c r="G2148" t="n">
        <v>0.91</v>
      </c>
      <c r="H2148" t="n">
        <v>3</v>
      </c>
      <c r="I2148" t="n">
        <v>11</v>
      </c>
      <c r="J2148" t="n">
        <v>3</v>
      </c>
      <c r="K2148" t="n">
        <v>0</v>
      </c>
      <c r="L2148" t="n">
        <v>15120</v>
      </c>
      <c r="M2148" t="n">
        <v>19000</v>
      </c>
      <c r="N2148" t="n">
        <v>91</v>
      </c>
      <c r="O2148" t="n">
        <v>0.91</v>
      </c>
      <c r="P2148" t="n">
        <v>1</v>
      </c>
      <c r="Q2148" t="n">
        <v>0.03</v>
      </c>
      <c r="R2148" t="n">
        <v>1</v>
      </c>
      <c r="S2148" t="n">
        <v>1729</v>
      </c>
      <c r="T2148" t="n">
        <v>10</v>
      </c>
      <c r="U2148" t="n">
        <v>11</v>
      </c>
      <c r="V2148" t="n">
        <v>30</v>
      </c>
      <c r="W2148" t="n">
        <v>3</v>
      </c>
      <c r="X2148" t="n">
        <v>65.93406593406593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12831</v>
      </c>
      <c r="AG2148" t="n">
        <v>2122</v>
      </c>
      <c r="AH2148" t="inlineStr">
        <is>
          <t>PT. SINAR PADANG LESTARI - PPN (PDG)</t>
        </is>
      </c>
      <c r="AI2148" t="n">
        <v>78</v>
      </c>
      <c r="AJ2148" t="inlineStr">
        <is>
          <t>HANASUI</t>
        </is>
      </c>
      <c r="AK2148" t="n">
        <v>21</v>
      </c>
      <c r="AL2148" t="inlineStr">
        <is>
          <t>Miss Glam Damar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HANASUI</t>
        </is>
      </c>
      <c r="B2149" s="2">
        <f>"8998824551605"</f>
        <v/>
      </c>
      <c r="C2149" t="inlineStr">
        <is>
          <t>HANASUI Vita Smoothies Body Spa Exfoliating Gel Rainbow 180ml</t>
        </is>
      </c>
      <c r="D2149" t="inlineStr">
        <is>
          <t>Miss Glam Damar</t>
        </is>
      </c>
      <c r="E2149" t="n">
        <v>6</v>
      </c>
      <c r="F2149" t="n">
        <v>0.3822</v>
      </c>
      <c r="G2149" t="n">
        <v>2.73</v>
      </c>
      <c r="H2149" t="n">
        <v>3</v>
      </c>
      <c r="I2149" t="n">
        <v>11</v>
      </c>
      <c r="J2149" t="n">
        <v>3</v>
      </c>
      <c r="K2149" t="n">
        <v>0</v>
      </c>
      <c r="L2149" t="n">
        <v>15200</v>
      </c>
      <c r="M2149" t="n">
        <v>19000</v>
      </c>
      <c r="N2149" t="n">
        <v>91</v>
      </c>
      <c r="O2149" t="n">
        <v>0.91</v>
      </c>
      <c r="P2149" t="n">
        <v>1</v>
      </c>
      <c r="Q2149" t="n">
        <v>0.12</v>
      </c>
      <c r="R2149" t="n">
        <v>1</v>
      </c>
      <c r="S2149" t="n">
        <v>7261.799999999999</v>
      </c>
      <c r="T2149" t="n">
        <v>29</v>
      </c>
      <c r="U2149" t="n">
        <v>31</v>
      </c>
      <c r="V2149" t="n">
        <v>30</v>
      </c>
      <c r="W2149" t="n">
        <v>12</v>
      </c>
      <c r="X2149" t="n">
        <v>15.69858712715856</v>
      </c>
      <c r="Y2149" t="n">
        <v>1</v>
      </c>
      <c r="Z2149" t="n">
        <v>6</v>
      </c>
      <c r="AA2149" t="n">
        <v>0</v>
      </c>
      <c r="AB2149" t="n">
        <v>6</v>
      </c>
      <c r="AC2149" t="n">
        <v>6</v>
      </c>
      <c r="AD2149" t="n">
        <v>0</v>
      </c>
      <c r="AE2149" t="n">
        <v>91200</v>
      </c>
      <c r="AF2149" t="n">
        <v>12831</v>
      </c>
      <c r="AG2149" t="n">
        <v>2122</v>
      </c>
      <c r="AH2149" t="inlineStr">
        <is>
          <t>PT. SINAR PADANG LESTARI - PPN (PDG)</t>
        </is>
      </c>
      <c r="AI2149" t="n">
        <v>78</v>
      </c>
      <c r="AJ2149" t="inlineStr">
        <is>
          <t>HANASUI</t>
        </is>
      </c>
      <c r="AK2149" t="n">
        <v>21</v>
      </c>
      <c r="AL2149" t="inlineStr">
        <is>
          <t>Miss Glam Damar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HANASUI</t>
        </is>
      </c>
      <c r="B2150" s="2">
        <f>"8998824553388"</f>
        <v/>
      </c>
      <c r="C2150" t="inlineStr">
        <is>
          <t>HANASUI Vita Smoothies Body Spa Exfoliating Gel Rice 180ml</t>
        </is>
      </c>
      <c r="D2150" t="inlineStr">
        <is>
          <t>Miss Glam Damar</t>
        </is>
      </c>
      <c r="E2150" t="n">
        <v>9</v>
      </c>
      <c r="F2150" t="n">
        <v>0.2275</v>
      </c>
      <c r="G2150" t="n">
        <v>1.82</v>
      </c>
      <c r="H2150" t="n">
        <v>3</v>
      </c>
      <c r="I2150" t="n">
        <v>11</v>
      </c>
      <c r="J2150" t="n">
        <v>3</v>
      </c>
      <c r="K2150" t="n">
        <v>0</v>
      </c>
      <c r="L2150" t="n">
        <v>15120</v>
      </c>
      <c r="M2150" t="n">
        <v>19000</v>
      </c>
      <c r="N2150" t="n">
        <v>91</v>
      </c>
      <c r="O2150" t="n">
        <v>0.91</v>
      </c>
      <c r="P2150" t="n">
        <v>1</v>
      </c>
      <c r="Q2150" t="n">
        <v>0.17</v>
      </c>
      <c r="R2150" t="n">
        <v>2</v>
      </c>
      <c r="S2150" t="n">
        <v>4322.5</v>
      </c>
      <c r="T2150" t="n">
        <v>20</v>
      </c>
      <c r="U2150" t="n">
        <v>21</v>
      </c>
      <c r="V2150" t="n">
        <v>30</v>
      </c>
      <c r="W2150" t="n">
        <v>7</v>
      </c>
      <c r="X2150" t="n">
        <v>39.56043956043956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12831</v>
      </c>
      <c r="AG2150" t="n">
        <v>2122</v>
      </c>
      <c r="AH2150" t="inlineStr">
        <is>
          <t>PT. SINAR PADANG LESTARI - PPN (PDG)</t>
        </is>
      </c>
      <c r="AI2150" t="n">
        <v>78</v>
      </c>
      <c r="AJ2150" t="inlineStr">
        <is>
          <t>HANASUI</t>
        </is>
      </c>
      <c r="AK2150" t="n">
        <v>21</v>
      </c>
      <c r="AL2150" t="inlineStr">
        <is>
          <t>Miss Glam Damar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HANASUI</t>
        </is>
      </c>
      <c r="B2151" s="2">
        <f>"8998824551469"</f>
        <v/>
      </c>
      <c r="C2151" t="inlineStr">
        <is>
          <t>HANASUI Vita Smoothies Body Spa Exfoliating Gel Strawberry 180ml</t>
        </is>
      </c>
      <c r="D2151" t="inlineStr">
        <is>
          <t>Miss Glam Damar</t>
        </is>
      </c>
      <c r="E2151" t="n">
        <v>7</v>
      </c>
      <c r="F2151" t="n">
        <v>0.1092</v>
      </c>
      <c r="G2151" t="n">
        <v>0.91</v>
      </c>
      <c r="H2151" t="n">
        <v>3</v>
      </c>
      <c r="I2151" t="n">
        <v>11</v>
      </c>
      <c r="J2151" t="n">
        <v>3</v>
      </c>
      <c r="K2151" t="n">
        <v>0</v>
      </c>
      <c r="L2151" t="n">
        <v>15180</v>
      </c>
      <c r="M2151" t="n">
        <v>19000</v>
      </c>
      <c r="N2151" t="n">
        <v>91</v>
      </c>
      <c r="O2151" t="n">
        <v>0.91</v>
      </c>
      <c r="P2151" t="n">
        <v>1</v>
      </c>
      <c r="Q2151" t="n">
        <v>0.12</v>
      </c>
      <c r="R2151" t="n">
        <v>2</v>
      </c>
      <c r="S2151" t="n">
        <v>2074.8</v>
      </c>
      <c r="T2151" t="n">
        <v>10</v>
      </c>
      <c r="U2151" t="n">
        <v>11</v>
      </c>
      <c r="V2151" t="n">
        <v>30</v>
      </c>
      <c r="W2151" t="n">
        <v>4</v>
      </c>
      <c r="X2151" t="n">
        <v>64.1025641025641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12831</v>
      </c>
      <c r="AG2151" t="n">
        <v>2122</v>
      </c>
      <c r="AH2151" t="inlineStr">
        <is>
          <t>PT. SINAR PADANG LESTARI - PPN (PDG)</t>
        </is>
      </c>
      <c r="AI2151" t="n">
        <v>78</v>
      </c>
      <c r="AJ2151" t="inlineStr">
        <is>
          <t>HANASUI</t>
        </is>
      </c>
      <c r="AK2151" t="n">
        <v>21</v>
      </c>
      <c r="AL2151" t="inlineStr">
        <is>
          <t>Miss Glam Damar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HANASUI</t>
        </is>
      </c>
      <c r="B2152" s="2">
        <f>"8998824551278"</f>
        <v/>
      </c>
      <c r="C2152" t="inlineStr">
        <is>
          <t>HANASUI Vitamin C Serum + Collagen 20ml</t>
        </is>
      </c>
      <c r="D2152" t="inlineStr">
        <is>
          <t>Miss Glam Damar</t>
        </is>
      </c>
      <c r="E2152" t="n">
        <v>21</v>
      </c>
      <c r="F2152" t="n">
        <v>4.1951</v>
      </c>
      <c r="G2152" t="n">
        <v>10.01</v>
      </c>
      <c r="H2152" t="n">
        <v>3</v>
      </c>
      <c r="I2152" t="n">
        <v>11</v>
      </c>
      <c r="J2152" t="n">
        <v>3</v>
      </c>
      <c r="K2152" t="n">
        <v>0</v>
      </c>
      <c r="L2152" t="n">
        <v>18064</v>
      </c>
      <c r="M2152" t="n">
        <v>23500</v>
      </c>
      <c r="N2152" t="n">
        <v>91</v>
      </c>
      <c r="O2152" t="n">
        <v>0.91</v>
      </c>
      <c r="P2152" t="n">
        <v>1</v>
      </c>
      <c r="Q2152" t="n">
        <v>1.59</v>
      </c>
      <c r="R2152" t="n">
        <v>9</v>
      </c>
      <c r="S2152" t="n">
        <v>98584.85000000001</v>
      </c>
      <c r="T2152" t="n">
        <v>98</v>
      </c>
      <c r="U2152" t="n">
        <v>111</v>
      </c>
      <c r="V2152" t="n">
        <v>30</v>
      </c>
      <c r="W2152" t="n">
        <v>126</v>
      </c>
      <c r="X2152" t="n">
        <v>5.005840146837977</v>
      </c>
      <c r="Y2152" t="n">
        <v>1</v>
      </c>
      <c r="Z2152" t="n">
        <v>105</v>
      </c>
      <c r="AA2152" t="n">
        <v>26</v>
      </c>
      <c r="AB2152" t="n">
        <v>79</v>
      </c>
      <c r="AC2152" t="n">
        <v>79</v>
      </c>
      <c r="AD2152" t="n">
        <v>469664</v>
      </c>
      <c r="AE2152" t="n">
        <v>1427056</v>
      </c>
      <c r="AF2152" t="n">
        <v>12831</v>
      </c>
      <c r="AG2152" t="n">
        <v>2122</v>
      </c>
      <c r="AH2152" t="inlineStr">
        <is>
          <t>PT. SINAR PADANG LESTARI - PPN (PDG)</t>
        </is>
      </c>
      <c r="AI2152" t="n">
        <v>78</v>
      </c>
      <c r="AJ2152" t="inlineStr">
        <is>
          <t>HANASUI</t>
        </is>
      </c>
      <c r="AK2152" t="n">
        <v>21</v>
      </c>
      <c r="AL2152" t="inlineStr">
        <is>
          <t>Miss Glam Damar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HANASUI</t>
        </is>
      </c>
      <c r="B2153" s="2">
        <f>"8998824551285"</f>
        <v/>
      </c>
      <c r="C2153" t="inlineStr">
        <is>
          <t>HANASUI Vitamin C Serum 20ml</t>
        </is>
      </c>
      <c r="D2153" t="inlineStr">
        <is>
          <t>Miss Glam Damar</t>
        </is>
      </c>
      <c r="E2153" t="n">
        <v>61</v>
      </c>
      <c r="F2153" t="n">
        <v>8.0535</v>
      </c>
      <c r="G2153" t="n">
        <v>18.2</v>
      </c>
      <c r="H2153" t="n">
        <v>3</v>
      </c>
      <c r="I2153" t="n">
        <v>11</v>
      </c>
      <c r="J2153" t="n">
        <v>3</v>
      </c>
      <c r="K2153" t="n">
        <v>0</v>
      </c>
      <c r="L2153" t="n">
        <v>18541</v>
      </c>
      <c r="M2153" t="n">
        <v>23500</v>
      </c>
      <c r="N2153" t="n">
        <v>91</v>
      </c>
      <c r="O2153" t="n">
        <v>0.91</v>
      </c>
      <c r="P2153" t="n">
        <v>1</v>
      </c>
      <c r="Q2153" t="n">
        <v>3.44</v>
      </c>
      <c r="R2153" t="n">
        <v>13</v>
      </c>
      <c r="S2153" t="n">
        <v>189257.25</v>
      </c>
      <c r="T2153" t="n">
        <v>177</v>
      </c>
      <c r="U2153" t="n">
        <v>202</v>
      </c>
      <c r="V2153" t="n">
        <v>30</v>
      </c>
      <c r="W2153" t="n">
        <v>242</v>
      </c>
      <c r="X2153" t="n">
        <v>7.574346557397405</v>
      </c>
      <c r="Y2153" t="n">
        <v>1</v>
      </c>
      <c r="Z2153" t="n">
        <v>181</v>
      </c>
      <c r="AA2153" t="n">
        <v>28</v>
      </c>
      <c r="AB2153" t="n">
        <v>153</v>
      </c>
      <c r="AC2153" t="n">
        <v>153</v>
      </c>
      <c r="AD2153" t="n">
        <v>519148</v>
      </c>
      <c r="AE2153" t="n">
        <v>2836773</v>
      </c>
      <c r="AF2153" t="n">
        <v>12831</v>
      </c>
      <c r="AG2153" t="n">
        <v>2122</v>
      </c>
      <c r="AH2153" t="inlineStr">
        <is>
          <t>PT. SINAR PADANG LESTARI - PPN (PDG)</t>
        </is>
      </c>
      <c r="AI2153" t="n">
        <v>78</v>
      </c>
      <c r="AJ2153" t="inlineStr">
        <is>
          <t>HANASUI</t>
        </is>
      </c>
      <c r="AK2153" t="n">
        <v>21</v>
      </c>
      <c r="AL2153" t="inlineStr">
        <is>
          <t>Miss Glam Damar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HANASUI</t>
        </is>
      </c>
      <c r="B2154" s="2">
        <f>"8998824551674"</f>
        <v/>
      </c>
      <c r="C2154" t="inlineStr">
        <is>
          <t>HANASUI White And Flawless Body Lotion Sakura 200ml</t>
        </is>
      </c>
      <c r="D2154" t="inlineStr">
        <is>
          <t>Miss Glam Damar</t>
        </is>
      </c>
      <c r="E2154" t="n">
        <v>6</v>
      </c>
      <c r="F2154" t="n">
        <v>0.4004</v>
      </c>
      <c r="G2154" t="n">
        <v>1.82</v>
      </c>
      <c r="H2154" t="n">
        <v>3</v>
      </c>
      <c r="I2154" t="n">
        <v>11</v>
      </c>
      <c r="J2154" t="n">
        <v>3</v>
      </c>
      <c r="K2154" t="n">
        <v>0</v>
      </c>
      <c r="L2154" t="n">
        <v>19989</v>
      </c>
      <c r="M2154" t="n">
        <v>25000</v>
      </c>
      <c r="N2154" t="n">
        <v>91</v>
      </c>
      <c r="O2154" t="n">
        <v>0.91</v>
      </c>
      <c r="P2154" t="n">
        <v>1</v>
      </c>
      <c r="Q2154" t="n">
        <v>0.07000000000000001</v>
      </c>
      <c r="R2154" t="n">
        <v>1</v>
      </c>
      <c r="S2154" t="n">
        <v>10010</v>
      </c>
      <c r="T2154" t="n">
        <v>19</v>
      </c>
      <c r="U2154" t="n">
        <v>21</v>
      </c>
      <c r="V2154" t="n">
        <v>30</v>
      </c>
      <c r="W2154" t="n">
        <v>13</v>
      </c>
      <c r="X2154" t="n">
        <v>14.98501498501498</v>
      </c>
      <c r="Y2154" t="n">
        <v>1</v>
      </c>
      <c r="Z2154" t="n">
        <v>7</v>
      </c>
      <c r="AA2154" t="n">
        <v>0</v>
      </c>
      <c r="AB2154" t="n">
        <v>7</v>
      </c>
      <c r="AC2154" t="n">
        <v>7</v>
      </c>
      <c r="AD2154" t="n">
        <v>0</v>
      </c>
      <c r="AE2154" t="n">
        <v>139923</v>
      </c>
      <c r="AF2154" t="n">
        <v>12831</v>
      </c>
      <c r="AG2154" t="n">
        <v>2122</v>
      </c>
      <c r="AH2154" t="inlineStr">
        <is>
          <t>PT. SINAR PADANG LESTARI - PPN (PDG)</t>
        </is>
      </c>
      <c r="AI2154" t="n">
        <v>78</v>
      </c>
      <c r="AJ2154" t="inlineStr">
        <is>
          <t>HANASUI</t>
        </is>
      </c>
      <c r="AK2154" t="n">
        <v>21</v>
      </c>
      <c r="AL2154" t="inlineStr">
        <is>
          <t>Miss Glam Damar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HANASUI</t>
        </is>
      </c>
      <c r="B2155" s="2">
        <f>"8998824551544"</f>
        <v/>
      </c>
      <c r="C2155" t="inlineStr">
        <is>
          <t>HANASUI White Rice Soap 60gr</t>
        </is>
      </c>
      <c r="D2155" t="inlineStr">
        <is>
          <t>Miss Glam Damar</t>
        </is>
      </c>
      <c r="E2155" t="n">
        <v>3</v>
      </c>
      <c r="F2155" t="n">
        <v>0.5733</v>
      </c>
      <c r="G2155" t="n">
        <v>3.64</v>
      </c>
      <c r="H2155" t="n">
        <v>3</v>
      </c>
      <c r="I2155" t="n">
        <v>11</v>
      </c>
      <c r="J2155" t="n">
        <v>3</v>
      </c>
      <c r="K2155" t="n">
        <v>0</v>
      </c>
      <c r="L2155" t="n">
        <v>6930</v>
      </c>
      <c r="M2155" t="n">
        <v>9000</v>
      </c>
      <c r="N2155" t="n">
        <v>91</v>
      </c>
      <c r="O2155" t="n">
        <v>0.91</v>
      </c>
      <c r="P2155" t="n">
        <v>1</v>
      </c>
      <c r="Q2155" t="n">
        <v>0.49</v>
      </c>
      <c r="R2155" t="n">
        <v>3</v>
      </c>
      <c r="S2155" t="n">
        <v>5159.700000000001</v>
      </c>
      <c r="T2155" t="n">
        <v>39</v>
      </c>
      <c r="U2155" t="n">
        <v>41</v>
      </c>
      <c r="V2155" t="n">
        <v>30</v>
      </c>
      <c r="W2155" t="n">
        <v>18</v>
      </c>
      <c r="X2155" t="n">
        <v>5.232862375719519</v>
      </c>
      <c r="Y2155" t="n">
        <v>1</v>
      </c>
      <c r="Z2155" t="n">
        <v>15</v>
      </c>
      <c r="AA2155" t="n">
        <v>4</v>
      </c>
      <c r="AB2155" t="n">
        <v>11</v>
      </c>
      <c r="AC2155" t="n">
        <v>11</v>
      </c>
      <c r="AD2155" t="n">
        <v>27720</v>
      </c>
      <c r="AE2155" t="n">
        <v>76230</v>
      </c>
      <c r="AF2155" t="n">
        <v>12831</v>
      </c>
      <c r="AG2155" t="n">
        <v>2122</v>
      </c>
      <c r="AH2155" t="inlineStr">
        <is>
          <t>PT. SINAR PADANG LESTARI - PPN (PDG)</t>
        </is>
      </c>
      <c r="AI2155" t="n">
        <v>78</v>
      </c>
      <c r="AJ2155" t="inlineStr">
        <is>
          <t>HANASUI</t>
        </is>
      </c>
      <c r="AK2155" t="n">
        <v>21</v>
      </c>
      <c r="AL2155" t="inlineStr">
        <is>
          <t>Miss Glam Damar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HARLETTE</t>
        </is>
      </c>
      <c r="B2156" s="2">
        <f>"10400615011"</f>
        <v/>
      </c>
      <c r="C2156" t="inlineStr">
        <is>
          <t>HARLETTE Oat Probiotic Lightweight Sunscreen SPF 50 PA++++ 40gr</t>
        </is>
      </c>
      <c r="D2156" t="inlineStr">
        <is>
          <t>Miss Glam Damar</t>
        </is>
      </c>
      <c r="E2156" t="n">
        <v>7</v>
      </c>
      <c r="F2156" t="n">
        <v>0.2275</v>
      </c>
      <c r="G2156" t="n">
        <v>2.73</v>
      </c>
      <c r="H2156" t="n">
        <v>4</v>
      </c>
      <c r="I2156" t="n">
        <v>21</v>
      </c>
      <c r="J2156" t="n">
        <v>1</v>
      </c>
      <c r="K2156" t="n">
        <v>0</v>
      </c>
      <c r="L2156" t="n">
        <v>82318</v>
      </c>
      <c r="M2156" t="n">
        <v>105500</v>
      </c>
      <c r="N2156" t="n">
        <v>91</v>
      </c>
      <c r="O2156" t="n">
        <v>0.91</v>
      </c>
      <c r="P2156" t="n">
        <v>1</v>
      </c>
      <c r="Q2156" t="n">
        <v>0.1</v>
      </c>
      <c r="R2156" t="n">
        <v>2</v>
      </c>
      <c r="S2156" t="n">
        <v>24001.25</v>
      </c>
      <c r="T2156" t="n">
        <v>57</v>
      </c>
      <c r="U2156" t="n">
        <v>58</v>
      </c>
      <c r="V2156" t="n">
        <v>30</v>
      </c>
      <c r="W2156" t="n">
        <v>7</v>
      </c>
      <c r="X2156" t="n">
        <v>30.76923076923077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5614</v>
      </c>
      <c r="AG2156" t="n">
        <v>1</v>
      </c>
      <c r="AH2156" t="inlineStr">
        <is>
          <t>PT. BERSAMA DISTRIVERSA INDONESIA (DC CIPUTAT)</t>
        </is>
      </c>
      <c r="AI2156" t="n">
        <v>421</v>
      </c>
      <c r="AJ2156" t="inlineStr">
        <is>
          <t>HARLETTE</t>
        </is>
      </c>
      <c r="AK2156" t="n">
        <v>21</v>
      </c>
      <c r="AL2156" t="inlineStr">
        <is>
          <t>Miss Glam Damar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HARLETTE</t>
        </is>
      </c>
      <c r="B2157" s="2">
        <f>"10300146353"</f>
        <v/>
      </c>
      <c r="C2157" t="inlineStr">
        <is>
          <t>HARLETTE Oatmilk Day Crème 25gr</t>
        </is>
      </c>
      <c r="D2157" t="inlineStr">
        <is>
          <t>Miss Glam Damar</t>
        </is>
      </c>
      <c r="E2157" t="n">
        <v>5</v>
      </c>
      <c r="F2157" t="n">
        <v>0.1092</v>
      </c>
      <c r="G2157" t="n">
        <v>1.82</v>
      </c>
      <c r="H2157" t="n">
        <v>4</v>
      </c>
      <c r="I2157" t="n">
        <v>21</v>
      </c>
      <c r="J2157" t="n">
        <v>1</v>
      </c>
      <c r="K2157" t="n">
        <v>0</v>
      </c>
      <c r="L2157" t="n">
        <v>57806</v>
      </c>
      <c r="M2157" t="n">
        <v>72000</v>
      </c>
      <c r="N2157" t="n">
        <v>91</v>
      </c>
      <c r="O2157" t="n">
        <v>0.91</v>
      </c>
      <c r="P2157" t="n">
        <v>1</v>
      </c>
      <c r="Q2157" t="n">
        <v>0.03</v>
      </c>
      <c r="R2157" t="n">
        <v>1</v>
      </c>
      <c r="S2157" t="n">
        <v>7862.400000000001</v>
      </c>
      <c r="T2157" t="n">
        <v>38</v>
      </c>
      <c r="U2157" t="n">
        <v>39</v>
      </c>
      <c r="V2157" t="n">
        <v>30</v>
      </c>
      <c r="W2157" t="n">
        <v>4</v>
      </c>
      <c r="X2157" t="n">
        <v>45.78754578754579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5614</v>
      </c>
      <c r="AG2157" t="n">
        <v>1</v>
      </c>
      <c r="AH2157" t="inlineStr">
        <is>
          <t>PT. BERSAMA DISTRIVERSA INDONESIA (DC CIPUTAT)</t>
        </is>
      </c>
      <c r="AI2157" t="n">
        <v>421</v>
      </c>
      <c r="AJ2157" t="inlineStr">
        <is>
          <t>HARLETTE</t>
        </is>
      </c>
      <c r="AK2157" t="n">
        <v>21</v>
      </c>
      <c r="AL2157" t="inlineStr">
        <is>
          <t>Miss Glam Damar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HARLETTE</t>
        </is>
      </c>
      <c r="B2158" s="2">
        <f>"101001101419"</f>
        <v/>
      </c>
      <c r="C2158" t="inlineStr">
        <is>
          <t>HARLETTE Oatmilk Gentle Facial Wash 100gr</t>
        </is>
      </c>
      <c r="D2158" t="inlineStr">
        <is>
          <t>Miss Glam Damar</t>
        </is>
      </c>
      <c r="E2158" t="n">
        <v>2</v>
      </c>
      <c r="F2158" t="n">
        <v>0.06370000000000001</v>
      </c>
      <c r="G2158" t="n">
        <v>1.82</v>
      </c>
      <c r="H2158" t="n">
        <v>4</v>
      </c>
      <c r="I2158" t="n">
        <v>21</v>
      </c>
      <c r="J2158" t="n">
        <v>3</v>
      </c>
      <c r="K2158" t="n">
        <v>0</v>
      </c>
      <c r="L2158" t="n">
        <v>84147</v>
      </c>
      <c r="M2158" t="n">
        <v>111000</v>
      </c>
      <c r="N2158" t="n">
        <v>91</v>
      </c>
      <c r="O2158" t="n">
        <v>0.91</v>
      </c>
      <c r="P2158" t="n">
        <v>1</v>
      </c>
      <c r="Q2158" t="n">
        <v>0.07000000000000001</v>
      </c>
      <c r="R2158" t="n">
        <v>1</v>
      </c>
      <c r="S2158" t="n">
        <v>7070.700000000001</v>
      </c>
      <c r="T2158" t="n">
        <v>38</v>
      </c>
      <c r="U2158" t="n">
        <v>39</v>
      </c>
      <c r="V2158" t="n">
        <v>30</v>
      </c>
      <c r="W2158" t="n">
        <v>2</v>
      </c>
      <c r="X2158" t="n">
        <v>31.39717425431711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5614</v>
      </c>
      <c r="AG2158" t="n">
        <v>1</v>
      </c>
      <c r="AH2158" t="inlineStr">
        <is>
          <t>PT. BERSAMA DISTRIVERSA INDONESIA (DC CIPUTAT)</t>
        </is>
      </c>
      <c r="AI2158" t="n">
        <v>421</v>
      </c>
      <c r="AJ2158" t="inlineStr">
        <is>
          <t>HARLETTE</t>
        </is>
      </c>
      <c r="AK2158" t="n">
        <v>21</v>
      </c>
      <c r="AL2158" t="inlineStr">
        <is>
          <t>Miss Glam Damar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HARLETTE</t>
        </is>
      </c>
      <c r="B2159" s="2">
        <f>"10500403912"</f>
        <v/>
      </c>
      <c r="C2159" t="inlineStr">
        <is>
          <t>HARLETTE Oatmilk Sleeping Mask 30g</t>
        </is>
      </c>
      <c r="D2159" t="inlineStr">
        <is>
          <t>Miss Glam Damar</t>
        </is>
      </c>
      <c r="E2159" t="n">
        <v>0</v>
      </c>
      <c r="F2159" t="n">
        <v>0.0728</v>
      </c>
      <c r="G2159" t="n">
        <v>0.91</v>
      </c>
      <c r="H2159" t="n">
        <v>4</v>
      </c>
      <c r="I2159" t="n">
        <v>21</v>
      </c>
      <c r="J2159" t="n">
        <v>3</v>
      </c>
      <c r="K2159" t="n">
        <v>0</v>
      </c>
      <c r="L2159" t="n">
        <v>130270</v>
      </c>
      <c r="M2159" t="n">
        <v>179000</v>
      </c>
      <c r="N2159" t="n">
        <v>91</v>
      </c>
      <c r="O2159" t="n">
        <v>0.91</v>
      </c>
      <c r="P2159" t="n">
        <v>1</v>
      </c>
      <c r="Q2159" t="n">
        <v>0.04</v>
      </c>
      <c r="R2159" t="n">
        <v>1</v>
      </c>
      <c r="S2159" t="n">
        <v>13031.2</v>
      </c>
      <c r="T2159" t="n">
        <v>19</v>
      </c>
      <c r="U2159" t="n">
        <v>20</v>
      </c>
      <c r="V2159" t="n">
        <v>30</v>
      </c>
      <c r="W2159" t="n">
        <v>3</v>
      </c>
      <c r="X2159" t="n">
        <v>0</v>
      </c>
      <c r="Y2159" t="n">
        <v>1</v>
      </c>
      <c r="Z2159" t="n">
        <v>3</v>
      </c>
      <c r="AA2159" t="n">
        <v>2</v>
      </c>
      <c r="AB2159" t="n">
        <v>1</v>
      </c>
      <c r="AC2159" t="n">
        <v>3</v>
      </c>
      <c r="AD2159" t="n">
        <v>260540</v>
      </c>
      <c r="AE2159" t="n">
        <v>390810</v>
      </c>
      <c r="AF2159" t="n">
        <v>5614</v>
      </c>
      <c r="AG2159" t="n">
        <v>1</v>
      </c>
      <c r="AH2159" t="inlineStr">
        <is>
          <t>PT. BERSAMA DISTRIVERSA INDONESIA (DC CIPUTAT)</t>
        </is>
      </c>
      <c r="AI2159" t="n">
        <v>421</v>
      </c>
      <c r="AJ2159" t="inlineStr">
        <is>
          <t>HARLETTE</t>
        </is>
      </c>
      <c r="AK2159" t="n">
        <v>21</v>
      </c>
      <c r="AL2159" t="inlineStr">
        <is>
          <t>Miss Glam Damar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HERBAL ESSENCES</t>
        </is>
      </c>
      <c r="B2160" s="2">
        <f>"4902430517102"</f>
        <v/>
      </c>
      <c r="C2160" t="inlineStr">
        <is>
          <t>HERBAL ESSENCES Bio:Renew Argan Oil Of Morocco Conditioner 240ml</t>
        </is>
      </c>
      <c r="D2160" t="inlineStr">
        <is>
          <t>Miss Glam Damar</t>
        </is>
      </c>
      <c r="E2160" t="n">
        <v>0</v>
      </c>
      <c r="F2160" t="n">
        <v>0.03</v>
      </c>
      <c r="G2160" t="n">
        <v>1</v>
      </c>
      <c r="H2160" t="n">
        <v>5</v>
      </c>
      <c r="I2160" t="n">
        <v>6</v>
      </c>
      <c r="J2160" t="n">
        <v>3</v>
      </c>
      <c r="K2160" t="n">
        <v>0</v>
      </c>
      <c r="L2160" t="n">
        <v>51566</v>
      </c>
      <c r="M2160" t="n">
        <v>65000</v>
      </c>
      <c r="N2160" t="n">
        <v>91</v>
      </c>
      <c r="O2160" t="n">
        <v>0.91</v>
      </c>
      <c r="P2160" t="n">
        <v>0</v>
      </c>
      <c r="Q2160" t="n">
        <v>0.03</v>
      </c>
      <c r="R2160" t="n">
        <v>1</v>
      </c>
      <c r="S2160" t="n">
        <v>1950</v>
      </c>
      <c r="T2160" t="n">
        <v>6</v>
      </c>
      <c r="U2160" t="n">
        <v>7</v>
      </c>
      <c r="V2160" t="n">
        <v>30</v>
      </c>
      <c r="W2160" t="n">
        <v>1</v>
      </c>
      <c r="X2160" t="n">
        <v>0</v>
      </c>
      <c r="Y2160" t="n">
        <v>1</v>
      </c>
      <c r="Z2160" t="n">
        <v>1</v>
      </c>
      <c r="AA2160" t="n">
        <v>1</v>
      </c>
      <c r="AB2160" t="n">
        <v>0</v>
      </c>
      <c r="AC2160" t="n">
        <v>0</v>
      </c>
      <c r="AD2160" t="n">
        <v>51566</v>
      </c>
      <c r="AE2160" t="n">
        <v>0</v>
      </c>
      <c r="AF2160" t="n">
        <v>11388</v>
      </c>
      <c r="AG2160" t="n">
        <v>561</v>
      </c>
      <c r="AH2160" t="inlineStr">
        <is>
          <t>PT. PANCA PILAR TANGGUH - PPN (PDG)</t>
        </is>
      </c>
      <c r="AI2160" t="n">
        <v>920</v>
      </c>
      <c r="AJ2160" t="inlineStr">
        <is>
          <t>HERBAL ESSENCES</t>
        </is>
      </c>
      <c r="AK2160" t="n">
        <v>21</v>
      </c>
      <c r="AL2160" t="inlineStr">
        <is>
          <t>Miss Glam Damar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HERBAL ESSENCES</t>
        </is>
      </c>
      <c r="B2161" s="2">
        <f>"4902430517089"</f>
        <v/>
      </c>
      <c r="C2161" t="inlineStr">
        <is>
          <t>HERBAL ESSENCES Bio:Renew Argan Oil Of Morocco Repair Shampoo 240ml</t>
        </is>
      </c>
      <c r="D2161" t="inlineStr">
        <is>
          <t>Miss Glam Damar</t>
        </is>
      </c>
      <c r="E2161" t="n">
        <v>2</v>
      </c>
      <c r="F2161" t="n">
        <v>0.0182</v>
      </c>
      <c r="G2161" t="n">
        <v>0.91</v>
      </c>
      <c r="H2161" t="n">
        <v>5</v>
      </c>
      <c r="I2161" t="n">
        <v>6</v>
      </c>
      <c r="J2161" t="n">
        <v>3</v>
      </c>
      <c r="K2161" t="n">
        <v>0</v>
      </c>
      <c r="L2161" t="n">
        <v>51566</v>
      </c>
      <c r="M2161" t="n">
        <v>65000</v>
      </c>
      <c r="N2161" t="n">
        <v>91</v>
      </c>
      <c r="O2161" t="n">
        <v>0.91</v>
      </c>
      <c r="P2161" t="n">
        <v>1</v>
      </c>
      <c r="Q2161" t="n">
        <v>0.07000000000000001</v>
      </c>
      <c r="R2161" t="n">
        <v>1</v>
      </c>
      <c r="S2161" t="n">
        <v>1183</v>
      </c>
      <c r="T2161" t="n">
        <v>6</v>
      </c>
      <c r="U2161" t="n">
        <v>7</v>
      </c>
      <c r="V2161" t="n">
        <v>30</v>
      </c>
      <c r="W2161" t="n">
        <v>1</v>
      </c>
      <c r="X2161" t="n">
        <v>109.8901098901099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11388</v>
      </c>
      <c r="AG2161" t="n">
        <v>561</v>
      </c>
      <c r="AH2161" t="inlineStr">
        <is>
          <t>PT. PANCA PILAR TANGGUH - PPN (PDG)</t>
        </is>
      </c>
      <c r="AI2161" t="n">
        <v>920</v>
      </c>
      <c r="AJ2161" t="inlineStr">
        <is>
          <t>HERBAL ESSENCES</t>
        </is>
      </c>
      <c r="AK2161" t="n">
        <v>21</v>
      </c>
      <c r="AL2161" t="inlineStr">
        <is>
          <t>Miss Glam Damar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HERBORIST</t>
        </is>
      </c>
      <c r="B2162" s="2">
        <f>"30100242436"</f>
        <v/>
      </c>
      <c r="C2162" t="inlineStr">
        <is>
          <t>HERBORIST Aloe Vera Natural Balinese Body Scrub 100gr</t>
        </is>
      </c>
      <c r="D2162" t="inlineStr">
        <is>
          <t>Miss Glam Damar</t>
        </is>
      </c>
      <c r="E2162" t="n">
        <v>1</v>
      </c>
      <c r="F2162" t="n">
        <v>0.04550000000000001</v>
      </c>
      <c r="G2162" t="n">
        <v>0.91</v>
      </c>
      <c r="H2162" t="n">
        <v>3</v>
      </c>
      <c r="I2162" t="n">
        <v>11</v>
      </c>
      <c r="J2162" t="n">
        <v>1</v>
      </c>
      <c r="K2162" t="n">
        <v>0</v>
      </c>
      <c r="L2162" t="n">
        <v>17720</v>
      </c>
      <c r="M2162" t="n">
        <v>22500</v>
      </c>
      <c r="N2162" t="n">
        <v>91</v>
      </c>
      <c r="O2162" t="n">
        <v>0.91</v>
      </c>
      <c r="P2162" t="n">
        <v>1</v>
      </c>
      <c r="Q2162" t="n">
        <v>0.14</v>
      </c>
      <c r="R2162" t="n">
        <v>1</v>
      </c>
      <c r="S2162" t="n">
        <v>1023.75</v>
      </c>
      <c r="T2162" t="n">
        <v>10</v>
      </c>
      <c r="U2162" t="n">
        <v>11</v>
      </c>
      <c r="V2162" t="n">
        <v>30</v>
      </c>
      <c r="W2162" t="n">
        <v>2</v>
      </c>
      <c r="X2162" t="n">
        <v>21.97802197802197</v>
      </c>
      <c r="Y2162" t="n">
        <v>1</v>
      </c>
      <c r="Z2162" t="n">
        <v>1</v>
      </c>
      <c r="AA2162" t="n">
        <v>0</v>
      </c>
      <c r="AB2162" t="n">
        <v>1</v>
      </c>
      <c r="AC2162" t="n">
        <v>1</v>
      </c>
      <c r="AD2162" t="n">
        <v>0</v>
      </c>
      <c r="AE2162" t="n">
        <v>17720</v>
      </c>
      <c r="AF2162" t="n">
        <v>10050</v>
      </c>
      <c r="AG2162" t="n">
        <v>78</v>
      </c>
      <c r="AH2162" t="inlineStr">
        <is>
          <t>PT. GLORIENTA P.H - PPN (PDG)</t>
        </is>
      </c>
      <c r="AI2162" t="n">
        <v>80</v>
      </c>
      <c r="AJ2162" t="inlineStr">
        <is>
          <t>HERBORIST</t>
        </is>
      </c>
      <c r="AK2162" t="n">
        <v>21</v>
      </c>
      <c r="AL2162" t="inlineStr">
        <is>
          <t>Miss Glam Damar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HERBORIST</t>
        </is>
      </c>
      <c r="B2163" s="2">
        <f>"8997226220256"</f>
        <v/>
      </c>
      <c r="C2163" t="inlineStr">
        <is>
          <t>HERBORIST Aloe Vera Shampoo Gel 250ml</t>
        </is>
      </c>
      <c r="D2163" t="inlineStr">
        <is>
          <t>Miss Glam Damar</t>
        </is>
      </c>
      <c r="E2163" t="n">
        <v>1</v>
      </c>
      <c r="F2163" t="n">
        <v>0.09100000000000001</v>
      </c>
      <c r="G2163" t="n">
        <v>0.91</v>
      </c>
      <c r="H2163" t="n">
        <v>3</v>
      </c>
      <c r="I2163" t="n">
        <v>11</v>
      </c>
      <c r="J2163" t="n">
        <v>3</v>
      </c>
      <c r="K2163" t="n">
        <v>0</v>
      </c>
      <c r="L2163" t="n">
        <v>27520</v>
      </c>
      <c r="M2163" t="n">
        <v>34500</v>
      </c>
      <c r="N2163" t="n">
        <v>91</v>
      </c>
      <c r="O2163" t="n">
        <v>0.91</v>
      </c>
      <c r="P2163" t="n">
        <v>1</v>
      </c>
      <c r="Q2163" t="n">
        <v>0.05</v>
      </c>
      <c r="R2163" t="n">
        <v>1</v>
      </c>
      <c r="S2163" t="n">
        <v>3139.5</v>
      </c>
      <c r="T2163" t="n">
        <v>10</v>
      </c>
      <c r="U2163" t="n">
        <v>11</v>
      </c>
      <c r="V2163" t="n">
        <v>30</v>
      </c>
      <c r="W2163" t="n">
        <v>3</v>
      </c>
      <c r="X2163" t="n">
        <v>10.98901098901099</v>
      </c>
      <c r="Y2163" t="n">
        <v>1</v>
      </c>
      <c r="Z2163" t="n">
        <v>2</v>
      </c>
      <c r="AA2163" t="n">
        <v>1</v>
      </c>
      <c r="AB2163" t="n">
        <v>1</v>
      </c>
      <c r="AC2163" t="n">
        <v>3</v>
      </c>
      <c r="AD2163" t="n">
        <v>27520</v>
      </c>
      <c r="AE2163" t="n">
        <v>82560</v>
      </c>
      <c r="AF2163" t="n">
        <v>10050</v>
      </c>
      <c r="AG2163" t="n">
        <v>78</v>
      </c>
      <c r="AH2163" t="inlineStr">
        <is>
          <t>PT. GLORIENTA P.H - PPN (PDG)</t>
        </is>
      </c>
      <c r="AI2163" t="n">
        <v>80</v>
      </c>
      <c r="AJ2163" t="inlineStr">
        <is>
          <t>HERBORIST</t>
        </is>
      </c>
      <c r="AK2163" t="n">
        <v>21</v>
      </c>
      <c r="AL2163" t="inlineStr">
        <is>
          <t>Miss Glam Damar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HERBORIST</t>
        </is>
      </c>
      <c r="B2164" s="2">
        <f>"8997016379928"</f>
        <v/>
      </c>
      <c r="C2164" t="inlineStr">
        <is>
          <t>HERBORIST Aloevera Gel 250gr</t>
        </is>
      </c>
      <c r="D2164" t="inlineStr">
        <is>
          <t>Miss Glam Damar</t>
        </is>
      </c>
      <c r="E2164" t="n">
        <v>4</v>
      </c>
      <c r="F2164" t="n">
        <v>0.2912</v>
      </c>
      <c r="G2164" t="n">
        <v>1.82</v>
      </c>
      <c r="H2164" t="n">
        <v>3</v>
      </c>
      <c r="I2164" t="n">
        <v>11</v>
      </c>
      <c r="J2164" t="n">
        <v>3</v>
      </c>
      <c r="K2164" t="n">
        <v>0</v>
      </c>
      <c r="L2164" t="n">
        <v>58720</v>
      </c>
      <c r="M2164" t="n">
        <v>73500</v>
      </c>
      <c r="N2164" t="n">
        <v>91</v>
      </c>
      <c r="O2164" t="n">
        <v>0.91</v>
      </c>
      <c r="P2164" t="n">
        <v>1</v>
      </c>
      <c r="Q2164" t="n">
        <v>0.19</v>
      </c>
      <c r="R2164" t="n">
        <v>2</v>
      </c>
      <c r="S2164" t="n">
        <v>21403.2</v>
      </c>
      <c r="T2164" t="n">
        <v>20</v>
      </c>
      <c r="U2164" t="n">
        <v>21</v>
      </c>
      <c r="V2164" t="n">
        <v>30</v>
      </c>
      <c r="W2164" t="n">
        <v>9</v>
      </c>
      <c r="X2164" t="n">
        <v>13.73626373626374</v>
      </c>
      <c r="Y2164" t="n">
        <v>1</v>
      </c>
      <c r="Z2164" t="n">
        <v>5</v>
      </c>
      <c r="AA2164" t="n">
        <v>0</v>
      </c>
      <c r="AB2164" t="n">
        <v>5</v>
      </c>
      <c r="AC2164" t="n">
        <v>5</v>
      </c>
      <c r="AD2164" t="n">
        <v>0</v>
      </c>
      <c r="AE2164" t="n">
        <v>293600</v>
      </c>
      <c r="AF2164" t="n">
        <v>10050</v>
      </c>
      <c r="AG2164" t="n">
        <v>78</v>
      </c>
      <c r="AH2164" t="inlineStr">
        <is>
          <t>PT. GLORIENTA P.H - PPN (PDG)</t>
        </is>
      </c>
      <c r="AI2164" t="n">
        <v>80</v>
      </c>
      <c r="AJ2164" t="inlineStr">
        <is>
          <t>HERBORIST</t>
        </is>
      </c>
      <c r="AK2164" t="n">
        <v>21</v>
      </c>
      <c r="AL2164" t="inlineStr">
        <is>
          <t>Miss Glam Damar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HERBORIST</t>
        </is>
      </c>
      <c r="B2165" s="2">
        <f>"8997226226531"</f>
        <v/>
      </c>
      <c r="C2165" t="inlineStr">
        <is>
          <t>HERBORIST Beauty By Nature Olive Oil Collagen 150ml</t>
        </is>
      </c>
      <c r="D2165" t="inlineStr">
        <is>
          <t>Miss Glam Damar</t>
        </is>
      </c>
      <c r="E2165" t="n">
        <v>19</v>
      </c>
      <c r="F2165" t="n">
        <v>0.4459</v>
      </c>
      <c r="G2165" t="n">
        <v>2.73</v>
      </c>
      <c r="H2165" t="n">
        <v>3</v>
      </c>
      <c r="I2165" t="n">
        <v>11</v>
      </c>
      <c r="J2165" t="n">
        <v>3</v>
      </c>
      <c r="K2165" t="n">
        <v>0</v>
      </c>
      <c r="L2165" t="n">
        <v>30720</v>
      </c>
      <c r="M2165" t="n">
        <v>38500</v>
      </c>
      <c r="N2165" t="n">
        <v>91</v>
      </c>
      <c r="O2165" t="n">
        <v>0.91</v>
      </c>
      <c r="P2165" t="n">
        <v>1</v>
      </c>
      <c r="Q2165" t="n">
        <v>0.59</v>
      </c>
      <c r="R2165" t="n">
        <v>3</v>
      </c>
      <c r="S2165" t="n">
        <v>17167.15</v>
      </c>
      <c r="T2165" t="n">
        <v>29</v>
      </c>
      <c r="U2165" t="n">
        <v>31</v>
      </c>
      <c r="V2165" t="n">
        <v>30</v>
      </c>
      <c r="W2165" t="n">
        <v>14</v>
      </c>
      <c r="X2165" t="n">
        <v>42.61045077371608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10050</v>
      </c>
      <c r="AG2165" t="n">
        <v>78</v>
      </c>
      <c r="AH2165" t="inlineStr">
        <is>
          <t>PT. GLORIENTA P.H - PPN (PDG)</t>
        </is>
      </c>
      <c r="AI2165" t="n">
        <v>80</v>
      </c>
      <c r="AJ2165" t="inlineStr">
        <is>
          <t>HERBORIST</t>
        </is>
      </c>
      <c r="AK2165" t="n">
        <v>21</v>
      </c>
      <c r="AL2165" t="inlineStr">
        <is>
          <t>Miss Glam Damar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HERBORIST</t>
        </is>
      </c>
      <c r="B2166" s="2">
        <f>"8997016371236"</f>
        <v/>
      </c>
      <c r="C2166" t="inlineStr">
        <is>
          <t>HERBORIST Body Butter Bannana 80g</t>
        </is>
      </c>
      <c r="D2166" t="inlineStr">
        <is>
          <t>Miss Glam Damar</t>
        </is>
      </c>
      <c r="E2166" t="n">
        <v>2</v>
      </c>
      <c r="F2166" t="n">
        <v>0.1729</v>
      </c>
      <c r="G2166" t="n">
        <v>1.82</v>
      </c>
      <c r="H2166" t="n">
        <v>3</v>
      </c>
      <c r="I2166" t="n">
        <v>11</v>
      </c>
      <c r="J2166" t="n">
        <v>3</v>
      </c>
      <c r="K2166" t="n">
        <v>0</v>
      </c>
      <c r="L2166" t="n">
        <v>26000</v>
      </c>
      <c r="M2166" t="n">
        <v>32500</v>
      </c>
      <c r="N2166" t="n">
        <v>91</v>
      </c>
      <c r="O2166" t="n">
        <v>0.91</v>
      </c>
      <c r="P2166" t="n">
        <v>1</v>
      </c>
      <c r="Q2166" t="n">
        <v>0.07000000000000001</v>
      </c>
      <c r="R2166" t="n">
        <v>1</v>
      </c>
      <c r="S2166" t="n">
        <v>5619.25</v>
      </c>
      <c r="T2166" t="n">
        <v>20</v>
      </c>
      <c r="U2166" t="n">
        <v>21</v>
      </c>
      <c r="V2166" t="n">
        <v>30</v>
      </c>
      <c r="W2166" t="n">
        <v>6</v>
      </c>
      <c r="X2166" t="n">
        <v>11.56737998843262</v>
      </c>
      <c r="Y2166" t="n">
        <v>1</v>
      </c>
      <c r="Z2166" t="n">
        <v>4</v>
      </c>
      <c r="AA2166" t="n">
        <v>0</v>
      </c>
      <c r="AB2166" t="n">
        <v>4</v>
      </c>
      <c r="AC2166" t="n">
        <v>4</v>
      </c>
      <c r="AD2166" t="n">
        <v>0</v>
      </c>
      <c r="AE2166" t="n">
        <v>104000</v>
      </c>
      <c r="AF2166" t="n">
        <v>10050</v>
      </c>
      <c r="AG2166" t="n">
        <v>78</v>
      </c>
      <c r="AH2166" t="inlineStr">
        <is>
          <t>PT. GLORIENTA P.H - PPN (PDG)</t>
        </is>
      </c>
      <c r="AI2166" t="n">
        <v>80</v>
      </c>
      <c r="AJ2166" t="inlineStr">
        <is>
          <t>HERBORIST</t>
        </is>
      </c>
      <c r="AK2166" t="n">
        <v>21</v>
      </c>
      <c r="AL2166" t="inlineStr">
        <is>
          <t>Miss Glam Damar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HERBORIST</t>
        </is>
      </c>
      <c r="B2167" s="2">
        <f>"8997226220348"</f>
        <v/>
      </c>
      <c r="C2167" t="inlineStr">
        <is>
          <t>HERBORIST Body Butter Coconat 80gr</t>
        </is>
      </c>
      <c r="D2167" t="inlineStr">
        <is>
          <t>Miss Glam Damar</t>
        </is>
      </c>
      <c r="E2167" t="n">
        <v>10</v>
      </c>
      <c r="F2167" t="n">
        <v>0.1274</v>
      </c>
      <c r="G2167" t="n">
        <v>1.82</v>
      </c>
      <c r="H2167" t="n">
        <v>3</v>
      </c>
      <c r="I2167" t="n">
        <v>11</v>
      </c>
      <c r="J2167" t="n">
        <v>3</v>
      </c>
      <c r="K2167" t="n">
        <v>0</v>
      </c>
      <c r="L2167" t="n">
        <v>26000</v>
      </c>
      <c r="M2167" t="n">
        <v>32500</v>
      </c>
      <c r="N2167" t="n">
        <v>91</v>
      </c>
      <c r="O2167" t="n">
        <v>0.91</v>
      </c>
      <c r="P2167" t="n">
        <v>1</v>
      </c>
      <c r="Q2167" t="n">
        <v>0.22</v>
      </c>
      <c r="R2167" t="n">
        <v>2</v>
      </c>
      <c r="S2167" t="n">
        <v>4140.5</v>
      </c>
      <c r="T2167" t="n">
        <v>20</v>
      </c>
      <c r="U2167" t="n">
        <v>21</v>
      </c>
      <c r="V2167" t="n">
        <v>30</v>
      </c>
      <c r="W2167" t="n">
        <v>4</v>
      </c>
      <c r="X2167" t="n">
        <v>78.49293563579278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10050</v>
      </c>
      <c r="AG2167" t="n">
        <v>78</v>
      </c>
      <c r="AH2167" t="inlineStr">
        <is>
          <t>PT. GLORIENTA P.H - PPN (PDG)</t>
        </is>
      </c>
      <c r="AI2167" t="n">
        <v>80</v>
      </c>
      <c r="AJ2167" t="inlineStr">
        <is>
          <t>HERBORIST</t>
        </is>
      </c>
      <c r="AK2167" t="n">
        <v>21</v>
      </c>
      <c r="AL2167" t="inlineStr">
        <is>
          <t>Miss Glam Damar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HERBORIST</t>
        </is>
      </c>
      <c r="B2168" s="2">
        <f>"8997016371243"</f>
        <v/>
      </c>
      <c r="C2168" t="inlineStr">
        <is>
          <t>HERBORIST Body Butter Manggo 80gr</t>
        </is>
      </c>
      <c r="D2168" t="inlineStr">
        <is>
          <t>Miss Glam Damar</t>
        </is>
      </c>
      <c r="E2168" t="n">
        <v>3</v>
      </c>
      <c r="F2168" t="n">
        <v>0.09100000000000001</v>
      </c>
      <c r="G2168" t="n">
        <v>0.91</v>
      </c>
      <c r="H2168" t="n">
        <v>3</v>
      </c>
      <c r="I2168" t="n">
        <v>11</v>
      </c>
      <c r="J2168" t="n">
        <v>3</v>
      </c>
      <c r="K2168" t="n">
        <v>0</v>
      </c>
      <c r="L2168" t="n">
        <v>26000</v>
      </c>
      <c r="M2168" t="n">
        <v>32500</v>
      </c>
      <c r="N2168" t="n">
        <v>91</v>
      </c>
      <c r="O2168" t="n">
        <v>0.91</v>
      </c>
      <c r="P2168" t="n">
        <v>1</v>
      </c>
      <c r="Q2168" t="n">
        <v>0.14</v>
      </c>
      <c r="R2168" t="n">
        <v>1</v>
      </c>
      <c r="S2168" t="n">
        <v>2957.5</v>
      </c>
      <c r="T2168" t="n">
        <v>10</v>
      </c>
      <c r="U2168" t="n">
        <v>11</v>
      </c>
      <c r="V2168" t="n">
        <v>30</v>
      </c>
      <c r="W2168" t="n">
        <v>3</v>
      </c>
      <c r="X2168" t="n">
        <v>32.96703296703296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10050</v>
      </c>
      <c r="AG2168" t="n">
        <v>78</v>
      </c>
      <c r="AH2168" t="inlineStr">
        <is>
          <t>PT. GLORIENTA P.H - PPN (PDG)</t>
        </is>
      </c>
      <c r="AI2168" t="n">
        <v>80</v>
      </c>
      <c r="AJ2168" t="inlineStr">
        <is>
          <t>HERBORIST</t>
        </is>
      </c>
      <c r="AK2168" t="n">
        <v>21</v>
      </c>
      <c r="AL2168" t="inlineStr">
        <is>
          <t>Miss Glam Damar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HERBORIST</t>
        </is>
      </c>
      <c r="B2169" s="2">
        <f>"8997016376156"</f>
        <v/>
      </c>
      <c r="C2169" t="inlineStr">
        <is>
          <t>HERBORIST Body Butter Matcha Milk 80gr</t>
        </is>
      </c>
      <c r="D2169" t="inlineStr">
        <is>
          <t>Miss Glam Damar</t>
        </is>
      </c>
      <c r="E2169" t="n">
        <v>0</v>
      </c>
      <c r="F2169" t="n">
        <v>0.06370000000000001</v>
      </c>
      <c r="G2169" t="n">
        <v>0.91</v>
      </c>
      <c r="H2169" t="n">
        <v>3</v>
      </c>
      <c r="I2169" t="n">
        <v>11</v>
      </c>
      <c r="J2169" t="n">
        <v>3</v>
      </c>
      <c r="K2169" t="n">
        <v>0</v>
      </c>
      <c r="L2169" t="n">
        <v>26000</v>
      </c>
      <c r="M2169" t="n">
        <v>32500</v>
      </c>
      <c r="N2169" t="n">
        <v>91</v>
      </c>
      <c r="O2169" t="n">
        <v>0.91</v>
      </c>
      <c r="P2169" t="n">
        <v>1</v>
      </c>
      <c r="Q2169" t="n">
        <v>0.11</v>
      </c>
      <c r="R2169" t="n">
        <v>1</v>
      </c>
      <c r="S2169" t="n">
        <v>2070.25</v>
      </c>
      <c r="T2169" t="n">
        <v>10</v>
      </c>
      <c r="U2169" t="n">
        <v>11</v>
      </c>
      <c r="V2169" t="n">
        <v>30</v>
      </c>
      <c r="W2169" t="n">
        <v>2</v>
      </c>
      <c r="X2169" t="n">
        <v>0</v>
      </c>
      <c r="Y2169" t="n">
        <v>1</v>
      </c>
      <c r="Z2169" t="n">
        <v>2</v>
      </c>
      <c r="AA2169" t="n">
        <v>1</v>
      </c>
      <c r="AB2169" t="n">
        <v>1</v>
      </c>
      <c r="AC2169" t="n">
        <v>3</v>
      </c>
      <c r="AD2169" t="n">
        <v>26000</v>
      </c>
      <c r="AE2169" t="n">
        <v>78000</v>
      </c>
      <c r="AF2169" t="n">
        <v>10050</v>
      </c>
      <c r="AG2169" t="n">
        <v>78</v>
      </c>
      <c r="AH2169" t="inlineStr">
        <is>
          <t>PT. GLORIENTA P.H - PPN (PDG)</t>
        </is>
      </c>
      <c r="AI2169" t="n">
        <v>80</v>
      </c>
      <c r="AJ2169" t="inlineStr">
        <is>
          <t>HERBORIST</t>
        </is>
      </c>
      <c r="AK2169" t="n">
        <v>21</v>
      </c>
      <c r="AL2169" t="inlineStr">
        <is>
          <t>Miss Glam Damar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HERBORIST</t>
        </is>
      </c>
      <c r="B2170" s="2">
        <f>"8997016376163"</f>
        <v/>
      </c>
      <c r="C2170" t="inlineStr">
        <is>
          <t>HERBORIST Body Butter Stawberry sorbet 80g</t>
        </is>
      </c>
      <c r="D2170" t="inlineStr">
        <is>
          <t>Miss Glam Damar</t>
        </is>
      </c>
      <c r="E2170" t="n">
        <v>0</v>
      </c>
      <c r="F2170" t="n">
        <v>0.6188</v>
      </c>
      <c r="G2170" t="n">
        <v>2.73</v>
      </c>
      <c r="H2170" t="n">
        <v>3</v>
      </c>
      <c r="I2170" t="n">
        <v>11</v>
      </c>
      <c r="J2170" t="n">
        <v>3</v>
      </c>
      <c r="K2170" t="n">
        <v>0</v>
      </c>
      <c r="L2170" t="n">
        <v>26000</v>
      </c>
      <c r="M2170" t="n">
        <v>32500</v>
      </c>
      <c r="N2170" t="n">
        <v>91</v>
      </c>
      <c r="O2170" t="n">
        <v>0.91</v>
      </c>
      <c r="P2170" t="n">
        <v>1</v>
      </c>
      <c r="Q2170" t="n">
        <v>0.21</v>
      </c>
      <c r="R2170" t="n">
        <v>2</v>
      </c>
      <c r="S2170" t="n">
        <v>20111</v>
      </c>
      <c r="T2170" t="n">
        <v>29</v>
      </c>
      <c r="U2170" t="n">
        <v>31</v>
      </c>
      <c r="V2170" t="n">
        <v>30</v>
      </c>
      <c r="W2170" t="n">
        <v>19</v>
      </c>
      <c r="X2170" t="n">
        <v>0</v>
      </c>
      <c r="Y2170" t="n">
        <v>1</v>
      </c>
      <c r="Z2170" t="n">
        <v>19</v>
      </c>
      <c r="AA2170" t="n">
        <v>7</v>
      </c>
      <c r="AB2170" t="n">
        <v>12</v>
      </c>
      <c r="AC2170" t="n">
        <v>12</v>
      </c>
      <c r="AD2170" t="n">
        <v>182000</v>
      </c>
      <c r="AE2170" t="n">
        <v>312000</v>
      </c>
      <c r="AF2170" t="n">
        <v>10050</v>
      </c>
      <c r="AG2170" t="n">
        <v>78</v>
      </c>
      <c r="AH2170" t="inlineStr">
        <is>
          <t>PT. GLORIENTA P.H - PPN (PDG)</t>
        </is>
      </c>
      <c r="AI2170" t="n">
        <v>80</v>
      </c>
      <c r="AJ2170" t="inlineStr">
        <is>
          <t>HERBORIST</t>
        </is>
      </c>
      <c r="AK2170" t="n">
        <v>21</v>
      </c>
      <c r="AL2170" t="inlineStr">
        <is>
          <t>Miss Glam Damar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HERBORIST</t>
        </is>
      </c>
      <c r="B2171" s="2">
        <f>"30200307256"</f>
        <v/>
      </c>
      <c r="C2171" t="inlineStr">
        <is>
          <t>HERBORIST Body Butter With Niacinamide Frangipani 80gr</t>
        </is>
      </c>
      <c r="D2171" t="inlineStr">
        <is>
          <t>Miss Glam Damar</t>
        </is>
      </c>
      <c r="E2171" t="n">
        <v>1</v>
      </c>
      <c r="F2171" t="n">
        <v>0.08</v>
      </c>
      <c r="G2171" t="n">
        <v>1</v>
      </c>
      <c r="H2171" t="n">
        <v>3</v>
      </c>
      <c r="I2171" t="n">
        <v>11</v>
      </c>
      <c r="J2171" t="n">
        <v>1</v>
      </c>
      <c r="K2171" t="n">
        <v>0</v>
      </c>
      <c r="L2171" t="n">
        <v>26000</v>
      </c>
      <c r="M2171" t="n">
        <v>32500</v>
      </c>
      <c r="N2171" t="n">
        <v>91</v>
      </c>
      <c r="O2171" t="n">
        <v>0.91</v>
      </c>
      <c r="P2171" t="n">
        <v>0</v>
      </c>
      <c r="Q2171" t="n">
        <v>0.08</v>
      </c>
      <c r="R2171" t="n">
        <v>1</v>
      </c>
      <c r="S2171" t="n">
        <v>2600</v>
      </c>
      <c r="T2171" t="n">
        <v>11</v>
      </c>
      <c r="U2171" t="n">
        <v>12</v>
      </c>
      <c r="V2171" t="n">
        <v>30</v>
      </c>
      <c r="W2171" t="n">
        <v>3</v>
      </c>
      <c r="X2171" t="n">
        <v>12.5</v>
      </c>
      <c r="Y2171" t="n">
        <v>1</v>
      </c>
      <c r="Z2171" t="n">
        <v>2</v>
      </c>
      <c r="AA2171" t="n">
        <v>0</v>
      </c>
      <c r="AB2171" t="n">
        <v>2</v>
      </c>
      <c r="AC2171" t="n">
        <v>2</v>
      </c>
      <c r="AD2171" t="n">
        <v>0</v>
      </c>
      <c r="AE2171" t="n">
        <v>52000</v>
      </c>
      <c r="AF2171" t="n">
        <v>10050</v>
      </c>
      <c r="AG2171" t="n">
        <v>78</v>
      </c>
      <c r="AH2171" t="inlineStr">
        <is>
          <t>PT. GLORIENTA P.H - PPN (PDG)</t>
        </is>
      </c>
      <c r="AI2171" t="n">
        <v>80</v>
      </c>
      <c r="AJ2171" t="inlineStr">
        <is>
          <t>HERBORIST</t>
        </is>
      </c>
      <c r="AK2171" t="n">
        <v>21</v>
      </c>
      <c r="AL2171" t="inlineStr">
        <is>
          <t>Miss Glam Damar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HERBORIST</t>
        </is>
      </c>
      <c r="B2172" s="2">
        <f>"8997016373223"</f>
        <v/>
      </c>
      <c r="C2172" t="inlineStr">
        <is>
          <t>HERBORIST Body Butter Zaitun 80gr</t>
        </is>
      </c>
      <c r="D2172" t="inlineStr">
        <is>
          <t>Miss Glam Damar</t>
        </is>
      </c>
      <c r="E2172" t="n">
        <v>12</v>
      </c>
      <c r="F2172" t="n">
        <v>0.1729</v>
      </c>
      <c r="G2172" t="n">
        <v>1.82</v>
      </c>
      <c r="H2172" t="n">
        <v>3</v>
      </c>
      <c r="I2172" t="n">
        <v>11</v>
      </c>
      <c r="J2172" t="n">
        <v>3</v>
      </c>
      <c r="K2172" t="n">
        <v>0</v>
      </c>
      <c r="L2172" t="n">
        <v>26000</v>
      </c>
      <c r="M2172" t="n">
        <v>32500</v>
      </c>
      <c r="N2172" t="n">
        <v>91</v>
      </c>
      <c r="O2172" t="n">
        <v>0.91</v>
      </c>
      <c r="P2172" t="n">
        <v>1</v>
      </c>
      <c r="Q2172" t="n">
        <v>0.15</v>
      </c>
      <c r="R2172" t="n">
        <v>1</v>
      </c>
      <c r="S2172" t="n">
        <v>5619.25</v>
      </c>
      <c r="T2172" t="n">
        <v>20</v>
      </c>
      <c r="U2172" t="n">
        <v>21</v>
      </c>
      <c r="V2172" t="n">
        <v>30</v>
      </c>
      <c r="W2172" t="n">
        <v>6</v>
      </c>
      <c r="X2172" t="n">
        <v>69.40427993059572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10050</v>
      </c>
      <c r="AG2172" t="n">
        <v>78</v>
      </c>
      <c r="AH2172" t="inlineStr">
        <is>
          <t>PT. GLORIENTA P.H - PPN (PDG)</t>
        </is>
      </c>
      <c r="AI2172" t="n">
        <v>80</v>
      </c>
      <c r="AJ2172" t="inlineStr">
        <is>
          <t>HERBORIST</t>
        </is>
      </c>
      <c r="AK2172" t="n">
        <v>21</v>
      </c>
      <c r="AL2172" t="inlineStr">
        <is>
          <t>Miss Glam Damar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HERBORIST</t>
        </is>
      </c>
      <c r="B2173" s="2">
        <f>"8997016378877"</f>
        <v/>
      </c>
      <c r="C2173" t="inlineStr">
        <is>
          <t>HERBORIST Body Lotion Zaitun 145ml</t>
        </is>
      </c>
      <c r="D2173" t="inlineStr">
        <is>
          <t>Miss Glam Damar</t>
        </is>
      </c>
      <c r="E2173" t="n">
        <v>8</v>
      </c>
      <c r="F2173" t="n">
        <v>0.4823000000000001</v>
      </c>
      <c r="G2173" t="n">
        <v>2.73</v>
      </c>
      <c r="H2173" t="n">
        <v>3</v>
      </c>
      <c r="I2173" t="n">
        <v>11</v>
      </c>
      <c r="J2173" t="n">
        <v>3</v>
      </c>
      <c r="K2173" t="n">
        <v>0</v>
      </c>
      <c r="L2173" t="n">
        <v>22119</v>
      </c>
      <c r="M2173" t="n">
        <v>27000</v>
      </c>
      <c r="N2173" t="n">
        <v>91</v>
      </c>
      <c r="O2173" t="n">
        <v>0.91</v>
      </c>
      <c r="P2173" t="n">
        <v>1</v>
      </c>
      <c r="Q2173" t="n">
        <v>0.22</v>
      </c>
      <c r="R2173" t="n">
        <v>2</v>
      </c>
      <c r="S2173" t="n">
        <v>13022.1</v>
      </c>
      <c r="T2173" t="n">
        <v>29</v>
      </c>
      <c r="U2173" t="n">
        <v>31</v>
      </c>
      <c r="V2173" t="n">
        <v>30</v>
      </c>
      <c r="W2173" t="n">
        <v>15</v>
      </c>
      <c r="X2173" t="n">
        <v>16.58718639850715</v>
      </c>
      <c r="Y2173" t="n">
        <v>1</v>
      </c>
      <c r="Z2173" t="n">
        <v>7</v>
      </c>
      <c r="AA2173" t="n">
        <v>0</v>
      </c>
      <c r="AB2173" t="n">
        <v>7</v>
      </c>
      <c r="AC2173" t="n">
        <v>7</v>
      </c>
      <c r="AD2173" t="n">
        <v>0</v>
      </c>
      <c r="AE2173" t="n">
        <v>154833</v>
      </c>
      <c r="AF2173" t="n">
        <v>10050</v>
      </c>
      <c r="AG2173" t="n">
        <v>78</v>
      </c>
      <c r="AH2173" t="inlineStr">
        <is>
          <t>PT. GLORIENTA P.H - PPN (PDG)</t>
        </is>
      </c>
      <c r="AI2173" t="n">
        <v>80</v>
      </c>
      <c r="AJ2173" t="inlineStr">
        <is>
          <t>HERBORIST</t>
        </is>
      </c>
      <c r="AK2173" t="n">
        <v>21</v>
      </c>
      <c r="AL2173" t="inlineStr">
        <is>
          <t>Miss Glam Damar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HERBORIST</t>
        </is>
      </c>
      <c r="B2174" s="2">
        <f>"8997226225213"</f>
        <v/>
      </c>
      <c r="C2174" t="inlineStr">
        <is>
          <t>HERBORIST Body Serum Apple &amp; Brocoli 180ml</t>
        </is>
      </c>
      <c r="D2174" t="inlineStr">
        <is>
          <t>Miss Glam Damar</t>
        </is>
      </c>
      <c r="E2174" t="n">
        <v>12</v>
      </c>
      <c r="F2174" t="n">
        <v>0.6188</v>
      </c>
      <c r="G2174" t="n">
        <v>3.64</v>
      </c>
      <c r="H2174" t="n">
        <v>3</v>
      </c>
      <c r="I2174" t="n">
        <v>11</v>
      </c>
      <c r="J2174" t="n">
        <v>3</v>
      </c>
      <c r="K2174" t="n">
        <v>0</v>
      </c>
      <c r="L2174" t="n">
        <v>21054</v>
      </c>
      <c r="M2174" t="n">
        <v>25000</v>
      </c>
      <c r="N2174" t="n">
        <v>91</v>
      </c>
      <c r="O2174" t="n">
        <v>0.91</v>
      </c>
      <c r="P2174" t="n">
        <v>1</v>
      </c>
      <c r="Q2174" t="n">
        <v>0.49</v>
      </c>
      <c r="R2174" t="n">
        <v>2</v>
      </c>
      <c r="S2174" t="n">
        <v>15470</v>
      </c>
      <c r="T2174" t="n">
        <v>39</v>
      </c>
      <c r="U2174" t="n">
        <v>41</v>
      </c>
      <c r="V2174" t="n">
        <v>30</v>
      </c>
      <c r="W2174" t="n">
        <v>19</v>
      </c>
      <c r="X2174" t="n">
        <v>19.3923723335488</v>
      </c>
      <c r="Y2174" t="n">
        <v>1</v>
      </c>
      <c r="Z2174" t="n">
        <v>7</v>
      </c>
      <c r="AA2174" t="n">
        <v>0</v>
      </c>
      <c r="AB2174" t="n">
        <v>7</v>
      </c>
      <c r="AC2174" t="n">
        <v>7</v>
      </c>
      <c r="AD2174" t="n">
        <v>0</v>
      </c>
      <c r="AE2174" t="n">
        <v>147378</v>
      </c>
      <c r="AF2174" t="n">
        <v>10050</v>
      </c>
      <c r="AG2174" t="n">
        <v>78</v>
      </c>
      <c r="AH2174" t="inlineStr">
        <is>
          <t>PT. GLORIENTA P.H - PPN (PDG)</t>
        </is>
      </c>
      <c r="AI2174" t="n">
        <v>80</v>
      </c>
      <c r="AJ2174" t="inlineStr">
        <is>
          <t>HERBORIST</t>
        </is>
      </c>
      <c r="AK2174" t="n">
        <v>21</v>
      </c>
      <c r="AL2174" t="inlineStr">
        <is>
          <t>Miss Glam Damar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HERBORIST</t>
        </is>
      </c>
      <c r="B2175" s="2">
        <f>"8997226225206"</f>
        <v/>
      </c>
      <c r="C2175" t="inlineStr">
        <is>
          <t>HERBORIST Body Serum Orange &amp; Carrot 180ml</t>
        </is>
      </c>
      <c r="D2175" t="inlineStr">
        <is>
          <t>Miss Glam Damar</t>
        </is>
      </c>
      <c r="E2175" t="n">
        <v>6</v>
      </c>
      <c r="F2175" t="n">
        <v>0.4459</v>
      </c>
      <c r="G2175" t="n">
        <v>2.73</v>
      </c>
      <c r="H2175" t="n">
        <v>3</v>
      </c>
      <c r="I2175" t="n">
        <v>11</v>
      </c>
      <c r="J2175" t="n">
        <v>3</v>
      </c>
      <c r="K2175" t="n">
        <v>0</v>
      </c>
      <c r="L2175" t="n">
        <v>21054</v>
      </c>
      <c r="M2175" t="n">
        <v>25000</v>
      </c>
      <c r="N2175" t="n">
        <v>91</v>
      </c>
      <c r="O2175" t="n">
        <v>0.91</v>
      </c>
      <c r="P2175" t="n">
        <v>1</v>
      </c>
      <c r="Q2175" t="n">
        <v>0.64</v>
      </c>
      <c r="R2175" t="n">
        <v>4</v>
      </c>
      <c r="S2175" t="n">
        <v>11147.5</v>
      </c>
      <c r="T2175" t="n">
        <v>29</v>
      </c>
      <c r="U2175" t="n">
        <v>31</v>
      </c>
      <c r="V2175" t="n">
        <v>30</v>
      </c>
      <c r="W2175" t="n">
        <v>14</v>
      </c>
      <c r="X2175" t="n">
        <v>13.45593182327876</v>
      </c>
      <c r="Y2175" t="n">
        <v>1</v>
      </c>
      <c r="Z2175" t="n">
        <v>8</v>
      </c>
      <c r="AA2175" t="n">
        <v>0</v>
      </c>
      <c r="AB2175" t="n">
        <v>8</v>
      </c>
      <c r="AC2175" t="n">
        <v>8</v>
      </c>
      <c r="AD2175" t="n">
        <v>0</v>
      </c>
      <c r="AE2175" t="n">
        <v>168432</v>
      </c>
      <c r="AF2175" t="n">
        <v>10050</v>
      </c>
      <c r="AG2175" t="n">
        <v>78</v>
      </c>
      <c r="AH2175" t="inlineStr">
        <is>
          <t>PT. GLORIENTA P.H - PPN (PDG)</t>
        </is>
      </c>
      <c r="AI2175" t="n">
        <v>80</v>
      </c>
      <c r="AJ2175" t="inlineStr">
        <is>
          <t>HERBORIST</t>
        </is>
      </c>
      <c r="AK2175" t="n">
        <v>21</v>
      </c>
      <c r="AL2175" t="inlineStr">
        <is>
          <t>Miss Glam Damar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HERBORIST</t>
        </is>
      </c>
      <c r="B2176" s="2">
        <f>"8997226225190"</f>
        <v/>
      </c>
      <c r="C2176" t="inlineStr">
        <is>
          <t>HERBORIST Body Serum Rasberry &amp; Tomato 180ml</t>
        </is>
      </c>
      <c r="D2176" t="inlineStr">
        <is>
          <t>Miss Glam Damar</t>
        </is>
      </c>
      <c r="E2176" t="n">
        <v>11</v>
      </c>
      <c r="F2176" t="n">
        <v>0.7553</v>
      </c>
      <c r="G2176" t="n">
        <v>3.64</v>
      </c>
      <c r="H2176" t="n">
        <v>3</v>
      </c>
      <c r="I2176" t="n">
        <v>11</v>
      </c>
      <c r="J2176" t="n">
        <v>3</v>
      </c>
      <c r="K2176" t="n">
        <v>0</v>
      </c>
      <c r="L2176" t="n">
        <v>21054</v>
      </c>
      <c r="M2176" t="n">
        <v>25000</v>
      </c>
      <c r="N2176" t="n">
        <v>91</v>
      </c>
      <c r="O2176" t="n">
        <v>0.91</v>
      </c>
      <c r="P2176" t="n">
        <v>1</v>
      </c>
      <c r="Q2176" t="n">
        <v>0.68</v>
      </c>
      <c r="R2176" t="n">
        <v>5</v>
      </c>
      <c r="S2176" t="n">
        <v>18882.5</v>
      </c>
      <c r="T2176" t="n">
        <v>38</v>
      </c>
      <c r="U2176" t="n">
        <v>41</v>
      </c>
      <c r="V2176" t="n">
        <v>30</v>
      </c>
      <c r="W2176" t="n">
        <v>23</v>
      </c>
      <c r="X2176" t="n">
        <v>14.56374950350854</v>
      </c>
      <c r="Y2176" t="n">
        <v>1</v>
      </c>
      <c r="Z2176" t="n">
        <v>12</v>
      </c>
      <c r="AA2176" t="n">
        <v>0</v>
      </c>
      <c r="AB2176" t="n">
        <v>12</v>
      </c>
      <c r="AC2176" t="n">
        <v>12</v>
      </c>
      <c r="AD2176" t="n">
        <v>0</v>
      </c>
      <c r="AE2176" t="n">
        <v>252648</v>
      </c>
      <c r="AF2176" t="n">
        <v>10050</v>
      </c>
      <c r="AG2176" t="n">
        <v>78</v>
      </c>
      <c r="AH2176" t="inlineStr">
        <is>
          <t>PT. GLORIENTA P.H - PPN (PDG)</t>
        </is>
      </c>
      <c r="AI2176" t="n">
        <v>80</v>
      </c>
      <c r="AJ2176" t="inlineStr">
        <is>
          <t>HERBORIST</t>
        </is>
      </c>
      <c r="AK2176" t="n">
        <v>21</v>
      </c>
      <c r="AL2176" t="inlineStr">
        <is>
          <t>Miss Glam Damar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HERBORIST</t>
        </is>
      </c>
      <c r="B2177" s="2">
        <f>"30100242819"</f>
        <v/>
      </c>
      <c r="C2177" t="inlineStr">
        <is>
          <t>HERBORIST Coconut Natural Balinese Body Scrub 100gr</t>
        </is>
      </c>
      <c r="D2177" t="inlineStr">
        <is>
          <t>Miss Glam Damar</t>
        </is>
      </c>
      <c r="E2177" t="n">
        <v>1</v>
      </c>
      <c r="F2177" t="n">
        <v>0.19</v>
      </c>
      <c r="G2177" t="n">
        <v>2</v>
      </c>
      <c r="H2177" t="n">
        <v>3</v>
      </c>
      <c r="I2177" t="n">
        <v>11</v>
      </c>
      <c r="J2177" t="n">
        <v>1</v>
      </c>
      <c r="K2177" t="n">
        <v>0</v>
      </c>
      <c r="L2177" t="n">
        <v>17720</v>
      </c>
      <c r="M2177" t="n">
        <v>22500</v>
      </c>
      <c r="N2177" t="n">
        <v>91</v>
      </c>
      <c r="O2177" t="n">
        <v>0.91</v>
      </c>
      <c r="P2177" t="n">
        <v>0</v>
      </c>
      <c r="Q2177" t="n">
        <v>0.19</v>
      </c>
      <c r="R2177" t="n">
        <v>2</v>
      </c>
      <c r="S2177" t="n">
        <v>4275</v>
      </c>
      <c r="T2177" t="n">
        <v>22</v>
      </c>
      <c r="U2177" t="n">
        <v>23</v>
      </c>
      <c r="V2177" t="n">
        <v>30</v>
      </c>
      <c r="W2177" t="n">
        <v>6</v>
      </c>
      <c r="X2177" t="n">
        <v>5.263157894736842</v>
      </c>
      <c r="Y2177" t="n">
        <v>1</v>
      </c>
      <c r="Z2177" t="n">
        <v>5</v>
      </c>
      <c r="AA2177" t="n">
        <v>2</v>
      </c>
      <c r="AB2177" t="n">
        <v>3</v>
      </c>
      <c r="AC2177" t="n">
        <v>3</v>
      </c>
      <c r="AD2177" t="n">
        <v>35440</v>
      </c>
      <c r="AE2177" t="n">
        <v>53160</v>
      </c>
      <c r="AF2177" t="n">
        <v>10050</v>
      </c>
      <c r="AG2177" t="n">
        <v>78</v>
      </c>
      <c r="AH2177" t="inlineStr">
        <is>
          <t>PT. GLORIENTA P.H - PPN (PDG)</t>
        </is>
      </c>
      <c r="AI2177" t="n">
        <v>80</v>
      </c>
      <c r="AJ2177" t="inlineStr">
        <is>
          <t>HERBORIST</t>
        </is>
      </c>
      <c r="AK2177" t="n">
        <v>21</v>
      </c>
      <c r="AL2177" t="inlineStr">
        <is>
          <t>Miss Glam Damar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HERBORIST</t>
        </is>
      </c>
      <c r="B2178" s="2">
        <f>"30400261326"</f>
        <v/>
      </c>
      <c r="C2178" t="inlineStr">
        <is>
          <t>HERBORIST Eau De Parfume Love Story 30ml</t>
        </is>
      </c>
      <c r="D2178" t="inlineStr">
        <is>
          <t>Miss Glam Damar</t>
        </is>
      </c>
      <c r="E2178" t="n">
        <v>12</v>
      </c>
      <c r="F2178" t="n">
        <v>0.0728</v>
      </c>
      <c r="G2178" t="n">
        <v>0.91</v>
      </c>
      <c r="H2178" t="n">
        <v>3</v>
      </c>
      <c r="I2178" t="n">
        <v>11</v>
      </c>
      <c r="J2178" t="n">
        <v>1</v>
      </c>
      <c r="K2178" t="n">
        <v>0</v>
      </c>
      <c r="L2178" t="n">
        <v>47720</v>
      </c>
      <c r="M2178" t="n">
        <v>59000</v>
      </c>
      <c r="N2178" t="n">
        <v>91</v>
      </c>
      <c r="O2178" t="n">
        <v>0.91</v>
      </c>
      <c r="P2178" t="n">
        <v>1</v>
      </c>
      <c r="Q2178" t="n">
        <v>0.05</v>
      </c>
      <c r="R2178" t="n">
        <v>1</v>
      </c>
      <c r="S2178" t="n">
        <v>4295.2</v>
      </c>
      <c r="T2178" t="n">
        <v>10</v>
      </c>
      <c r="U2178" t="n">
        <v>11</v>
      </c>
      <c r="V2178" t="n">
        <v>30</v>
      </c>
      <c r="W2178" t="n">
        <v>3</v>
      </c>
      <c r="X2178" t="n">
        <v>164.8351648351648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10050</v>
      </c>
      <c r="AG2178" t="n">
        <v>78</v>
      </c>
      <c r="AH2178" t="inlineStr">
        <is>
          <t>PT. GLORIENTA P.H - PPN (PDG)</t>
        </is>
      </c>
      <c r="AI2178" t="n">
        <v>80</v>
      </c>
      <c r="AJ2178" t="inlineStr">
        <is>
          <t>HERBORIST</t>
        </is>
      </c>
      <c r="AK2178" t="n">
        <v>21</v>
      </c>
      <c r="AL2178" t="inlineStr">
        <is>
          <t>Miss Glam Damar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HERBORIST</t>
        </is>
      </c>
      <c r="B2179" s="2">
        <f>"30400261014"</f>
        <v/>
      </c>
      <c r="C2179" t="inlineStr">
        <is>
          <t>HERBORIST Eau De Parfume Ocean Paradise 30ml</t>
        </is>
      </c>
      <c r="D2179" t="inlineStr">
        <is>
          <t>Miss Glam Damar</t>
        </is>
      </c>
      <c r="E2179" t="n">
        <v>2</v>
      </c>
      <c r="F2179" t="n">
        <v>0.2457</v>
      </c>
      <c r="G2179" t="n">
        <v>1.82</v>
      </c>
      <c r="H2179" t="n">
        <v>3</v>
      </c>
      <c r="I2179" t="n">
        <v>11</v>
      </c>
      <c r="J2179" t="n">
        <v>1</v>
      </c>
      <c r="K2179" t="n">
        <v>0</v>
      </c>
      <c r="L2179" t="n">
        <v>47720</v>
      </c>
      <c r="M2179" t="n">
        <v>59000</v>
      </c>
      <c r="N2179" t="n">
        <v>91</v>
      </c>
      <c r="O2179" t="n">
        <v>0.91</v>
      </c>
      <c r="P2179" t="n">
        <v>1</v>
      </c>
      <c r="Q2179" t="n">
        <v>0.07000000000000001</v>
      </c>
      <c r="R2179" t="n">
        <v>1</v>
      </c>
      <c r="S2179" t="n">
        <v>14496.3</v>
      </c>
      <c r="T2179" t="n">
        <v>20</v>
      </c>
      <c r="U2179" t="n">
        <v>21</v>
      </c>
      <c r="V2179" t="n">
        <v>30</v>
      </c>
      <c r="W2179" t="n">
        <v>8</v>
      </c>
      <c r="X2179" t="n">
        <v>8.140008140008138</v>
      </c>
      <c r="Y2179" t="n">
        <v>1</v>
      </c>
      <c r="Z2179" t="n">
        <v>6</v>
      </c>
      <c r="AA2179" t="n">
        <v>1</v>
      </c>
      <c r="AB2179" t="n">
        <v>5</v>
      </c>
      <c r="AC2179" t="n">
        <v>5</v>
      </c>
      <c r="AD2179" t="n">
        <v>47720</v>
      </c>
      <c r="AE2179" t="n">
        <v>238600</v>
      </c>
      <c r="AF2179" t="n">
        <v>10050</v>
      </c>
      <c r="AG2179" t="n">
        <v>78</v>
      </c>
      <c r="AH2179" t="inlineStr">
        <is>
          <t>PT. GLORIENTA P.H - PPN (PDG)</t>
        </is>
      </c>
      <c r="AI2179" t="n">
        <v>80</v>
      </c>
      <c r="AJ2179" t="inlineStr">
        <is>
          <t>HERBORIST</t>
        </is>
      </c>
      <c r="AK2179" t="n">
        <v>21</v>
      </c>
      <c r="AL2179" t="inlineStr">
        <is>
          <t>Miss Glam Damar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HERBORIST</t>
        </is>
      </c>
      <c r="B2180" s="2">
        <f>"30400261143"</f>
        <v/>
      </c>
      <c r="C2180" t="inlineStr">
        <is>
          <t>HERBORIST Eau De Parfume Summer Fantasy 30ml</t>
        </is>
      </c>
      <c r="D2180" t="inlineStr">
        <is>
          <t>Miss Glam Damar</t>
        </is>
      </c>
      <c r="E2180" t="n">
        <v>2</v>
      </c>
      <c r="F2180" t="n">
        <v>0.3185</v>
      </c>
      <c r="G2180" t="n">
        <v>1.82</v>
      </c>
      <c r="H2180" t="n">
        <v>3</v>
      </c>
      <c r="I2180" t="n">
        <v>11</v>
      </c>
      <c r="J2180" t="n">
        <v>1</v>
      </c>
      <c r="K2180" t="n">
        <v>0</v>
      </c>
      <c r="L2180" t="n">
        <v>47720</v>
      </c>
      <c r="M2180" t="n">
        <v>59000</v>
      </c>
      <c r="N2180" t="n">
        <v>91</v>
      </c>
      <c r="O2180" t="n">
        <v>0.91</v>
      </c>
      <c r="P2180" t="n">
        <v>1</v>
      </c>
      <c r="Q2180" t="n">
        <v>0.05</v>
      </c>
      <c r="R2180" t="n">
        <v>1</v>
      </c>
      <c r="S2180" t="n">
        <v>18791.5</v>
      </c>
      <c r="T2180" t="n">
        <v>20</v>
      </c>
      <c r="U2180" t="n">
        <v>21</v>
      </c>
      <c r="V2180" t="n">
        <v>30</v>
      </c>
      <c r="W2180" t="n">
        <v>10</v>
      </c>
      <c r="X2180" t="n">
        <v>6.279434850863423</v>
      </c>
      <c r="Y2180" t="n">
        <v>1</v>
      </c>
      <c r="Z2180" t="n">
        <v>8</v>
      </c>
      <c r="AA2180" t="n">
        <v>2</v>
      </c>
      <c r="AB2180" t="n">
        <v>6</v>
      </c>
      <c r="AC2180" t="n">
        <v>6</v>
      </c>
      <c r="AD2180" t="n">
        <v>95440</v>
      </c>
      <c r="AE2180" t="n">
        <v>286320</v>
      </c>
      <c r="AF2180" t="n">
        <v>10050</v>
      </c>
      <c r="AG2180" t="n">
        <v>78</v>
      </c>
      <c r="AH2180" t="inlineStr">
        <is>
          <t>PT. GLORIENTA P.H - PPN (PDG)</t>
        </is>
      </c>
      <c r="AI2180" t="n">
        <v>80</v>
      </c>
      <c r="AJ2180" t="inlineStr">
        <is>
          <t>HERBORIST</t>
        </is>
      </c>
      <c r="AK2180" t="n">
        <v>21</v>
      </c>
      <c r="AL2180" t="inlineStr">
        <is>
          <t>Miss Glam Damar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HERBORIST</t>
        </is>
      </c>
      <c r="B2181" s="2">
        <f>"30400261232"</f>
        <v/>
      </c>
      <c r="C2181" t="inlineStr">
        <is>
          <t>HERBORIST Eau De Parfume Tropical Joy 30ml</t>
        </is>
      </c>
      <c r="D2181" t="inlineStr">
        <is>
          <t>Miss Glam Damar</t>
        </is>
      </c>
      <c r="E2181" t="n">
        <v>2</v>
      </c>
      <c r="F2181" t="n">
        <v>0.1</v>
      </c>
      <c r="G2181" t="n">
        <v>2</v>
      </c>
      <c r="H2181" t="n">
        <v>3</v>
      </c>
      <c r="I2181" t="n">
        <v>11</v>
      </c>
      <c r="J2181" t="n">
        <v>1</v>
      </c>
      <c r="K2181" t="n">
        <v>0</v>
      </c>
      <c r="L2181" t="n">
        <v>47720</v>
      </c>
      <c r="M2181" t="n">
        <v>59000</v>
      </c>
      <c r="N2181" t="n">
        <v>91</v>
      </c>
      <c r="O2181" t="n">
        <v>0.91</v>
      </c>
      <c r="P2181" t="n">
        <v>0</v>
      </c>
      <c r="Q2181" t="n">
        <v>0.1</v>
      </c>
      <c r="R2181" t="n">
        <v>2</v>
      </c>
      <c r="S2181" t="n">
        <v>5900</v>
      </c>
      <c r="T2181" t="n">
        <v>22</v>
      </c>
      <c r="U2181" t="n">
        <v>23</v>
      </c>
      <c r="V2181" t="n">
        <v>30</v>
      </c>
      <c r="W2181" t="n">
        <v>3</v>
      </c>
      <c r="X2181" t="n">
        <v>20</v>
      </c>
      <c r="Y2181" t="n">
        <v>1</v>
      </c>
      <c r="Z2181" t="n">
        <v>1</v>
      </c>
      <c r="AA2181" t="n">
        <v>0</v>
      </c>
      <c r="AB2181" t="n">
        <v>1</v>
      </c>
      <c r="AC2181" t="n">
        <v>1</v>
      </c>
      <c r="AD2181" t="n">
        <v>0</v>
      </c>
      <c r="AE2181" t="n">
        <v>47720</v>
      </c>
      <c r="AF2181" t="n">
        <v>10050</v>
      </c>
      <c r="AG2181" t="n">
        <v>78</v>
      </c>
      <c r="AH2181" t="inlineStr">
        <is>
          <t>PT. GLORIENTA P.H - PPN (PDG)</t>
        </is>
      </c>
      <c r="AI2181" t="n">
        <v>80</v>
      </c>
      <c r="AJ2181" t="inlineStr">
        <is>
          <t>HERBORIST</t>
        </is>
      </c>
      <c r="AK2181" t="n">
        <v>21</v>
      </c>
      <c r="AL2181" t="inlineStr">
        <is>
          <t>Miss Glam Damar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HERBORIST</t>
        </is>
      </c>
      <c r="B2182" s="2">
        <f>"30400260932"</f>
        <v/>
      </c>
      <c r="C2182" t="inlineStr">
        <is>
          <t>HERBORIST Eau De Parfume Whispering Bloom 30ml</t>
        </is>
      </c>
      <c r="D2182" t="inlineStr">
        <is>
          <t>Miss Glam Damar</t>
        </is>
      </c>
      <c r="E2182" t="n">
        <v>6</v>
      </c>
      <c r="F2182" t="n">
        <v>0.03</v>
      </c>
      <c r="G2182" t="n">
        <v>1</v>
      </c>
      <c r="H2182" t="n">
        <v>3</v>
      </c>
      <c r="I2182" t="n">
        <v>11</v>
      </c>
      <c r="J2182" t="n">
        <v>1</v>
      </c>
      <c r="K2182" t="n">
        <v>0</v>
      </c>
      <c r="L2182" t="n">
        <v>47720</v>
      </c>
      <c r="M2182" t="n">
        <v>59000</v>
      </c>
      <c r="N2182" t="n">
        <v>91</v>
      </c>
      <c r="O2182" t="n">
        <v>0.91</v>
      </c>
      <c r="P2182" t="n">
        <v>0</v>
      </c>
      <c r="Q2182" t="n">
        <v>0.03</v>
      </c>
      <c r="R2182" t="n">
        <v>1</v>
      </c>
      <c r="S2182" t="n">
        <v>1770</v>
      </c>
      <c r="T2182" t="n">
        <v>11</v>
      </c>
      <c r="U2182" t="n">
        <v>12</v>
      </c>
      <c r="V2182" t="n">
        <v>30</v>
      </c>
      <c r="W2182" t="n">
        <v>1</v>
      </c>
      <c r="X2182" t="n">
        <v>200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10050</v>
      </c>
      <c r="AG2182" t="n">
        <v>78</v>
      </c>
      <c r="AH2182" t="inlineStr">
        <is>
          <t>PT. GLORIENTA P.H - PPN (PDG)</t>
        </is>
      </c>
      <c r="AI2182" t="n">
        <v>80</v>
      </c>
      <c r="AJ2182" t="inlineStr">
        <is>
          <t>HERBORIST</t>
        </is>
      </c>
      <c r="AK2182" t="n">
        <v>21</v>
      </c>
      <c r="AL2182" t="inlineStr">
        <is>
          <t>Miss Glam Damar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HERBORIST</t>
        </is>
      </c>
      <c r="B2183" s="2">
        <f>"8997226225138"</f>
        <v/>
      </c>
      <c r="C2183" t="inlineStr">
        <is>
          <t>HERBORIST Face Scrub Orange &amp; Carrot 60ml</t>
        </is>
      </c>
      <c r="D2183" t="inlineStr">
        <is>
          <t>Miss Glam Damar</t>
        </is>
      </c>
      <c r="E2183" t="n">
        <v>2</v>
      </c>
      <c r="F2183" t="n">
        <v>0.09100000000000001</v>
      </c>
      <c r="G2183" t="n">
        <v>0.91</v>
      </c>
      <c r="H2183" t="n">
        <v>3</v>
      </c>
      <c r="I2183" t="n">
        <v>11</v>
      </c>
      <c r="J2183" t="n">
        <v>3</v>
      </c>
      <c r="K2183" t="n">
        <v>0</v>
      </c>
      <c r="L2183" t="n">
        <v>18587</v>
      </c>
      <c r="M2183" t="n">
        <v>23000</v>
      </c>
      <c r="N2183" t="n">
        <v>91</v>
      </c>
      <c r="O2183" t="n">
        <v>0.91</v>
      </c>
      <c r="P2183" t="n">
        <v>1</v>
      </c>
      <c r="Q2183" t="n">
        <v>0.17</v>
      </c>
      <c r="R2183" t="n">
        <v>2</v>
      </c>
      <c r="S2183" t="n">
        <v>2093</v>
      </c>
      <c r="T2183" t="n">
        <v>10</v>
      </c>
      <c r="U2183" t="n">
        <v>11</v>
      </c>
      <c r="V2183" t="n">
        <v>30</v>
      </c>
      <c r="W2183" t="n">
        <v>3</v>
      </c>
      <c r="X2183" t="n">
        <v>21.97802197802197</v>
      </c>
      <c r="Y2183" t="n">
        <v>1</v>
      </c>
      <c r="Z2183" t="n">
        <v>1</v>
      </c>
      <c r="AA2183" t="n">
        <v>0</v>
      </c>
      <c r="AB2183" t="n">
        <v>1</v>
      </c>
      <c r="AC2183" t="n">
        <v>3</v>
      </c>
      <c r="AD2183" t="n">
        <v>0</v>
      </c>
      <c r="AE2183" t="n">
        <v>55761</v>
      </c>
      <c r="AF2183" t="n">
        <v>10050</v>
      </c>
      <c r="AG2183" t="n">
        <v>78</v>
      </c>
      <c r="AH2183" t="inlineStr">
        <is>
          <t>PT. GLORIENTA P.H - PPN (PDG)</t>
        </is>
      </c>
      <c r="AI2183" t="n">
        <v>80</v>
      </c>
      <c r="AJ2183" t="inlineStr">
        <is>
          <t>HERBORIST</t>
        </is>
      </c>
      <c r="AK2183" t="n">
        <v>21</v>
      </c>
      <c r="AL2183" t="inlineStr">
        <is>
          <t>Miss Glam Damar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HERBORIST</t>
        </is>
      </c>
      <c r="B2184" s="2">
        <f>"8997226227064"</f>
        <v/>
      </c>
      <c r="C2184" t="inlineStr">
        <is>
          <t>HERBORIST Gluta Booster Lotion Serum Spf 30 Mixed Berries &amp; Taro 180ml</t>
        </is>
      </c>
      <c r="D2184" t="inlineStr">
        <is>
          <t>Miss Glam Damar</t>
        </is>
      </c>
      <c r="E2184" t="n">
        <v>25</v>
      </c>
      <c r="F2184" t="n">
        <v>0.2821</v>
      </c>
      <c r="G2184" t="n">
        <v>2.73</v>
      </c>
      <c r="H2184" t="n">
        <v>3</v>
      </c>
      <c r="I2184" t="n">
        <v>11</v>
      </c>
      <c r="J2184" t="n">
        <v>3</v>
      </c>
      <c r="K2184" t="n">
        <v>0</v>
      </c>
      <c r="L2184" t="n">
        <v>41320</v>
      </c>
      <c r="M2184" t="n">
        <v>50000</v>
      </c>
      <c r="N2184" t="n">
        <v>91</v>
      </c>
      <c r="O2184" t="n">
        <v>0.91</v>
      </c>
      <c r="P2184" t="n">
        <v>1</v>
      </c>
      <c r="Q2184" t="n">
        <v>0.29</v>
      </c>
      <c r="R2184" t="n">
        <v>3</v>
      </c>
      <c r="S2184" t="n">
        <v>14105</v>
      </c>
      <c r="T2184" t="n">
        <v>30</v>
      </c>
      <c r="U2184" t="n">
        <v>31</v>
      </c>
      <c r="V2184" t="n">
        <v>30</v>
      </c>
      <c r="W2184" t="n">
        <v>9</v>
      </c>
      <c r="X2184" t="n">
        <v>88.62105636299184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10050</v>
      </c>
      <c r="AG2184" t="n">
        <v>78</v>
      </c>
      <c r="AH2184" t="inlineStr">
        <is>
          <t>PT. GLORIENTA P.H - PPN (PDG)</t>
        </is>
      </c>
      <c r="AI2184" t="n">
        <v>80</v>
      </c>
      <c r="AJ2184" t="inlineStr">
        <is>
          <t>HERBORIST</t>
        </is>
      </c>
      <c r="AK2184" t="n">
        <v>21</v>
      </c>
      <c r="AL2184" t="inlineStr">
        <is>
          <t>Miss Glam Damar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HERBORIST</t>
        </is>
      </c>
      <c r="B2185" s="2">
        <f>"30100242006"</f>
        <v/>
      </c>
      <c r="C2185" t="inlineStr">
        <is>
          <t>HERBORIST Green Tea Natural Balinese Body Scrub 200gr</t>
        </is>
      </c>
      <c r="D2185" t="inlineStr">
        <is>
          <t>Miss Glam Damar</t>
        </is>
      </c>
      <c r="E2185" t="n">
        <v>1</v>
      </c>
      <c r="F2185" t="n">
        <v>0.07000000000000001</v>
      </c>
      <c r="G2185" t="n">
        <v>1</v>
      </c>
      <c r="H2185" t="n">
        <v>3</v>
      </c>
      <c r="I2185" t="n">
        <v>11</v>
      </c>
      <c r="J2185" t="n">
        <v>1</v>
      </c>
      <c r="K2185" t="n">
        <v>0</v>
      </c>
      <c r="L2185" t="n">
        <v>29320</v>
      </c>
      <c r="M2185" t="n">
        <v>36500</v>
      </c>
      <c r="N2185" t="n">
        <v>91</v>
      </c>
      <c r="O2185" t="n">
        <v>0.91</v>
      </c>
      <c r="P2185" t="n">
        <v>0</v>
      </c>
      <c r="Q2185" t="n">
        <v>0.07000000000000001</v>
      </c>
      <c r="R2185" t="n">
        <v>1</v>
      </c>
      <c r="S2185" t="n">
        <v>2555</v>
      </c>
      <c r="T2185" t="n">
        <v>11</v>
      </c>
      <c r="U2185" t="n">
        <v>12</v>
      </c>
      <c r="V2185" t="n">
        <v>30</v>
      </c>
      <c r="W2185" t="n">
        <v>3</v>
      </c>
      <c r="X2185" t="n">
        <v>14.28571428571428</v>
      </c>
      <c r="Y2185" t="n">
        <v>1</v>
      </c>
      <c r="Z2185" t="n">
        <v>2</v>
      </c>
      <c r="AA2185" t="n">
        <v>0</v>
      </c>
      <c r="AB2185" t="n">
        <v>2</v>
      </c>
      <c r="AC2185" t="n">
        <v>2</v>
      </c>
      <c r="AD2185" t="n">
        <v>0</v>
      </c>
      <c r="AE2185" t="n">
        <v>58640</v>
      </c>
      <c r="AF2185" t="n">
        <v>10050</v>
      </c>
      <c r="AG2185" t="n">
        <v>78</v>
      </c>
      <c r="AH2185" t="inlineStr">
        <is>
          <t>PT. GLORIENTA P.H - PPN (PDG)</t>
        </is>
      </c>
      <c r="AI2185" t="n">
        <v>80</v>
      </c>
      <c r="AJ2185" t="inlineStr">
        <is>
          <t>HERBORIST</t>
        </is>
      </c>
      <c r="AK2185" t="n">
        <v>21</v>
      </c>
      <c r="AL2185" t="inlineStr">
        <is>
          <t>Miss Glam Damar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HERBORIST</t>
        </is>
      </c>
      <c r="B2186" s="2">
        <f>"8997226227934"</f>
        <v/>
      </c>
      <c r="C2186" t="inlineStr">
        <is>
          <t>HERBORIST Juice For Skin Cooling Burst Strawberry &amp; Peppermint Lotion Serum 180ml</t>
        </is>
      </c>
      <c r="D2186" t="inlineStr">
        <is>
          <t>Miss Glam Damar</t>
        </is>
      </c>
      <c r="E2186" t="n">
        <v>10</v>
      </c>
      <c r="F2186" t="n">
        <v>0.9737000000000001</v>
      </c>
      <c r="G2186" t="n">
        <v>3.64</v>
      </c>
      <c r="H2186" t="n">
        <v>3</v>
      </c>
      <c r="I2186" t="n">
        <v>11</v>
      </c>
      <c r="J2186" t="n">
        <v>3</v>
      </c>
      <c r="K2186" t="n">
        <v>0</v>
      </c>
      <c r="L2186" t="n">
        <v>21986</v>
      </c>
      <c r="M2186" t="n">
        <v>26500</v>
      </c>
      <c r="N2186" t="n">
        <v>91</v>
      </c>
      <c r="O2186" t="n">
        <v>0.91</v>
      </c>
      <c r="P2186" t="n">
        <v>1</v>
      </c>
      <c r="Q2186" t="n">
        <v>0.36</v>
      </c>
      <c r="R2186" t="n">
        <v>2</v>
      </c>
      <c r="S2186" t="n">
        <v>25803.05</v>
      </c>
      <c r="T2186" t="n">
        <v>38</v>
      </c>
      <c r="U2186" t="n">
        <v>41</v>
      </c>
      <c r="V2186" t="n">
        <v>30</v>
      </c>
      <c r="W2186" t="n">
        <v>30</v>
      </c>
      <c r="X2186" t="n">
        <v>10.27010372804765</v>
      </c>
      <c r="Y2186" t="n">
        <v>1</v>
      </c>
      <c r="Z2186" t="n">
        <v>20</v>
      </c>
      <c r="AA2186" t="n">
        <v>1</v>
      </c>
      <c r="AB2186" t="n">
        <v>19</v>
      </c>
      <c r="AC2186" t="n">
        <v>19</v>
      </c>
      <c r="AD2186" t="n">
        <v>21986</v>
      </c>
      <c r="AE2186" t="n">
        <v>417734</v>
      </c>
      <c r="AF2186" t="n">
        <v>10050</v>
      </c>
      <c r="AG2186" t="n">
        <v>78</v>
      </c>
      <c r="AH2186" t="inlineStr">
        <is>
          <t>PT. GLORIENTA P.H - PPN (PDG)</t>
        </is>
      </c>
      <c r="AI2186" t="n">
        <v>80</v>
      </c>
      <c r="AJ2186" t="inlineStr">
        <is>
          <t>HERBORIST</t>
        </is>
      </c>
      <c r="AK2186" t="n">
        <v>21</v>
      </c>
      <c r="AL2186" t="inlineStr">
        <is>
          <t>Miss Glam Damar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HERBORIST</t>
        </is>
      </c>
      <c r="B2187" s="2">
        <f>"8997226228160"</f>
        <v/>
      </c>
      <c r="C2187" t="inlineStr">
        <is>
          <t>HERBORIST Juice For Skin Cooling Burst Watermelon Centella Lotion Serum 180ml</t>
        </is>
      </c>
      <c r="D2187" t="inlineStr">
        <is>
          <t>Miss Glam Damar</t>
        </is>
      </c>
      <c r="E2187" t="n">
        <v>11</v>
      </c>
      <c r="F2187" t="n">
        <v>0.3367</v>
      </c>
      <c r="G2187" t="n">
        <v>1.82</v>
      </c>
      <c r="H2187" t="n">
        <v>3</v>
      </c>
      <c r="I2187" t="n">
        <v>11</v>
      </c>
      <c r="J2187" t="n">
        <v>3</v>
      </c>
      <c r="K2187" t="n">
        <v>0</v>
      </c>
      <c r="L2187" t="n">
        <v>21986</v>
      </c>
      <c r="M2187" t="n">
        <v>26500</v>
      </c>
      <c r="N2187" t="n">
        <v>91</v>
      </c>
      <c r="O2187" t="n">
        <v>0.91</v>
      </c>
      <c r="P2187" t="n">
        <v>1</v>
      </c>
      <c r="Q2187" t="n">
        <v>0.22</v>
      </c>
      <c r="R2187" t="n">
        <v>3</v>
      </c>
      <c r="S2187" t="n">
        <v>8922.549999999999</v>
      </c>
      <c r="T2187" t="n">
        <v>20</v>
      </c>
      <c r="U2187" t="n">
        <v>22</v>
      </c>
      <c r="V2187" t="n">
        <v>30</v>
      </c>
      <c r="W2187" t="n">
        <v>11</v>
      </c>
      <c r="X2187" t="n">
        <v>32.67003267003267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10050</v>
      </c>
      <c r="AG2187" t="n">
        <v>78</v>
      </c>
      <c r="AH2187" t="inlineStr">
        <is>
          <t>PT. GLORIENTA P.H - PPN (PDG)</t>
        </is>
      </c>
      <c r="AI2187" t="n">
        <v>80</v>
      </c>
      <c r="AJ2187" t="inlineStr">
        <is>
          <t>HERBORIST</t>
        </is>
      </c>
      <c r="AK2187" t="n">
        <v>21</v>
      </c>
      <c r="AL2187" t="inlineStr">
        <is>
          <t>Miss Glam Damar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HERBORIST</t>
        </is>
      </c>
      <c r="B2188" s="2">
        <f>"8997226224674"</f>
        <v/>
      </c>
      <c r="C2188" t="inlineStr">
        <is>
          <t>HERBORIST Juice For Skin Exfoliating Gel Scrub Apple &amp; Brocolli 150ml</t>
        </is>
      </c>
      <c r="D2188" t="inlineStr">
        <is>
          <t>Miss Glam Damar</t>
        </is>
      </c>
      <c r="E2188" t="n">
        <v>3</v>
      </c>
      <c r="F2188" t="n">
        <v>0.0182</v>
      </c>
      <c r="G2188" t="n">
        <v>0.91</v>
      </c>
      <c r="H2188" t="n">
        <v>3</v>
      </c>
      <c r="I2188" t="n">
        <v>11</v>
      </c>
      <c r="J2188" t="n">
        <v>3</v>
      </c>
      <c r="K2188" t="n">
        <v>0</v>
      </c>
      <c r="L2188" t="n">
        <v>19092</v>
      </c>
      <c r="M2188" t="n">
        <v>27000</v>
      </c>
      <c r="N2188" t="n">
        <v>91</v>
      </c>
      <c r="O2188" t="n">
        <v>0.91</v>
      </c>
      <c r="P2188" t="n">
        <v>1</v>
      </c>
      <c r="Q2188" t="n">
        <v>0.02</v>
      </c>
      <c r="R2188" t="n">
        <v>1</v>
      </c>
      <c r="S2188" t="n">
        <v>491.4</v>
      </c>
      <c r="T2188" t="n">
        <v>10</v>
      </c>
      <c r="U2188" t="n">
        <v>11</v>
      </c>
      <c r="V2188" t="n">
        <v>30</v>
      </c>
      <c r="W2188" t="n">
        <v>1</v>
      </c>
      <c r="X2188" t="n">
        <v>164.8351648351648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10050</v>
      </c>
      <c r="AG2188" t="n">
        <v>78</v>
      </c>
      <c r="AH2188" t="inlineStr">
        <is>
          <t>PT. GLORIENTA P.H - PPN (PDG)</t>
        </is>
      </c>
      <c r="AI2188" t="n">
        <v>80</v>
      </c>
      <c r="AJ2188" t="inlineStr">
        <is>
          <t>HERBORIST</t>
        </is>
      </c>
      <c r="AK2188" t="n">
        <v>21</v>
      </c>
      <c r="AL2188" t="inlineStr">
        <is>
          <t>Miss Glam Damar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HERBORIST</t>
        </is>
      </c>
      <c r="B2189" s="2">
        <f>"8997226224650"</f>
        <v/>
      </c>
      <c r="C2189" t="inlineStr">
        <is>
          <t>HERBORIST Juice For Skin Exfoliating Gel Scrub Raspberry &amp; Tomato 150ml</t>
        </is>
      </c>
      <c r="D2189" t="inlineStr">
        <is>
          <t>Miss Glam Damar</t>
        </is>
      </c>
      <c r="E2189" t="n">
        <v>5</v>
      </c>
      <c r="F2189" t="n">
        <v>0.08</v>
      </c>
      <c r="G2189" t="n">
        <v>1</v>
      </c>
      <c r="H2189" t="n">
        <v>3</v>
      </c>
      <c r="I2189" t="n">
        <v>11</v>
      </c>
      <c r="J2189" t="n">
        <v>3</v>
      </c>
      <c r="K2189" t="n">
        <v>0</v>
      </c>
      <c r="L2189" t="n">
        <v>19092</v>
      </c>
      <c r="M2189" t="n">
        <v>27000</v>
      </c>
      <c r="N2189" t="n">
        <v>91</v>
      </c>
      <c r="O2189" t="n">
        <v>0.91</v>
      </c>
      <c r="P2189" t="n">
        <v>0</v>
      </c>
      <c r="Q2189" t="n">
        <v>0.08</v>
      </c>
      <c r="R2189" t="n">
        <v>1</v>
      </c>
      <c r="S2189" t="n">
        <v>2160</v>
      </c>
      <c r="T2189" t="n">
        <v>11</v>
      </c>
      <c r="U2189" t="n">
        <v>12</v>
      </c>
      <c r="V2189" t="n">
        <v>30</v>
      </c>
      <c r="W2189" t="n">
        <v>3</v>
      </c>
      <c r="X2189" t="n">
        <v>62.5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10050</v>
      </c>
      <c r="AG2189" t="n">
        <v>78</v>
      </c>
      <c r="AH2189" t="inlineStr">
        <is>
          <t>PT. GLORIENTA P.H - PPN (PDG)</t>
        </is>
      </c>
      <c r="AI2189" t="n">
        <v>80</v>
      </c>
      <c r="AJ2189" t="inlineStr">
        <is>
          <t>HERBORIST</t>
        </is>
      </c>
      <c r="AK2189" t="n">
        <v>21</v>
      </c>
      <c r="AL2189" t="inlineStr">
        <is>
          <t>Miss Glam Damar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HERBORIST</t>
        </is>
      </c>
      <c r="B2190" s="2">
        <f>"8997226225145"</f>
        <v/>
      </c>
      <c r="C2190" t="inlineStr">
        <is>
          <t>HERBORIST Juice For Skin Face Scrub Apple &amp; Broccoli 60gr</t>
        </is>
      </c>
      <c r="D2190" t="inlineStr">
        <is>
          <t>Miss Glam Damar</t>
        </is>
      </c>
      <c r="E2190" t="n">
        <v>6</v>
      </c>
      <c r="F2190" t="n">
        <v>0.09100000000000001</v>
      </c>
      <c r="G2190" t="n">
        <v>1.82</v>
      </c>
      <c r="H2190" t="n">
        <v>3</v>
      </c>
      <c r="I2190" t="n">
        <v>11</v>
      </c>
      <c r="J2190" t="n">
        <v>3</v>
      </c>
      <c r="K2190" t="n">
        <v>0</v>
      </c>
      <c r="L2190" t="n">
        <v>18587</v>
      </c>
      <c r="M2190" t="n">
        <v>23000</v>
      </c>
      <c r="N2190" t="n">
        <v>91</v>
      </c>
      <c r="O2190" t="n">
        <v>0.91</v>
      </c>
      <c r="P2190" t="n">
        <v>1</v>
      </c>
      <c r="Q2190" t="n">
        <v>0.1</v>
      </c>
      <c r="R2190" t="n">
        <v>1</v>
      </c>
      <c r="S2190" t="n">
        <v>2093</v>
      </c>
      <c r="T2190" t="n">
        <v>20</v>
      </c>
      <c r="U2190" t="n">
        <v>21</v>
      </c>
      <c r="V2190" t="n">
        <v>30</v>
      </c>
      <c r="W2190" t="n">
        <v>3</v>
      </c>
      <c r="X2190" t="n">
        <v>65.93406593406593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10050</v>
      </c>
      <c r="AG2190" t="n">
        <v>78</v>
      </c>
      <c r="AH2190" t="inlineStr">
        <is>
          <t>PT. GLORIENTA P.H - PPN (PDG)</t>
        </is>
      </c>
      <c r="AI2190" t="n">
        <v>80</v>
      </c>
      <c r="AJ2190" t="inlineStr">
        <is>
          <t>HERBORIST</t>
        </is>
      </c>
      <c r="AK2190" t="n">
        <v>21</v>
      </c>
      <c r="AL2190" t="inlineStr">
        <is>
          <t>Miss Glam Damar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HERBORIST</t>
        </is>
      </c>
      <c r="B2191" s="2">
        <f>"30100243160"</f>
        <v/>
      </c>
      <c r="C2191" t="inlineStr">
        <is>
          <t>HERBORIST Milk Natural Balinese Body Scrub 100gr</t>
        </is>
      </c>
      <c r="D2191" t="inlineStr">
        <is>
          <t>Miss Glam Damar</t>
        </is>
      </c>
      <c r="E2191" t="n">
        <v>23</v>
      </c>
      <c r="F2191" t="n">
        <v>0.4641</v>
      </c>
      <c r="G2191" t="n">
        <v>4.55</v>
      </c>
      <c r="H2191" t="n">
        <v>3</v>
      </c>
      <c r="I2191" t="n">
        <v>11</v>
      </c>
      <c r="J2191" t="n">
        <v>1</v>
      </c>
      <c r="K2191" t="n">
        <v>0</v>
      </c>
      <c r="L2191" t="n">
        <v>17720</v>
      </c>
      <c r="M2191" t="n">
        <v>22000</v>
      </c>
      <c r="N2191" t="n">
        <v>91</v>
      </c>
      <c r="O2191" t="n">
        <v>0.91</v>
      </c>
      <c r="P2191" t="n">
        <v>1</v>
      </c>
      <c r="Q2191" t="n">
        <v>0.53</v>
      </c>
      <c r="R2191" t="n">
        <v>3</v>
      </c>
      <c r="S2191" t="n">
        <v>10210.2</v>
      </c>
      <c r="T2191" t="n">
        <v>49</v>
      </c>
      <c r="U2191" t="n">
        <v>51</v>
      </c>
      <c r="V2191" t="n">
        <v>30</v>
      </c>
      <c r="W2191" t="n">
        <v>14</v>
      </c>
      <c r="X2191" t="n">
        <v>49.5582848524025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10050</v>
      </c>
      <c r="AG2191" t="n">
        <v>78</v>
      </c>
      <c r="AH2191" t="inlineStr">
        <is>
          <t>PT. GLORIENTA P.H - PPN (PDG)</t>
        </is>
      </c>
      <c r="AI2191" t="n">
        <v>80</v>
      </c>
      <c r="AJ2191" t="inlineStr">
        <is>
          <t>HERBORIST</t>
        </is>
      </c>
      <c r="AK2191" t="n">
        <v>21</v>
      </c>
      <c r="AL2191" t="inlineStr">
        <is>
          <t>Miss Glam Damar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HERBORIST</t>
        </is>
      </c>
      <c r="B2192" s="2">
        <f>"8997226225374"</f>
        <v/>
      </c>
      <c r="C2192" t="inlineStr">
        <is>
          <t>HERBORIST Mineral Body Scrub Sea Salt &amp; Gold Rejuvenating 200gr</t>
        </is>
      </c>
      <c r="D2192" t="inlineStr">
        <is>
          <t>Miss Glam Damar</t>
        </is>
      </c>
      <c r="E2192" t="n">
        <v>2</v>
      </c>
      <c r="F2192" t="n">
        <v>0.06370000000000001</v>
      </c>
      <c r="G2192" t="n">
        <v>0.91</v>
      </c>
      <c r="H2192" t="n">
        <v>3</v>
      </c>
      <c r="I2192" t="n">
        <v>11</v>
      </c>
      <c r="J2192" t="n">
        <v>3</v>
      </c>
      <c r="K2192" t="n">
        <v>0</v>
      </c>
      <c r="L2192" t="n">
        <v>15586</v>
      </c>
      <c r="M2192" t="n">
        <v>24000</v>
      </c>
      <c r="N2192" t="n">
        <v>91</v>
      </c>
      <c r="O2192" t="n">
        <v>0.91</v>
      </c>
      <c r="P2192" t="n">
        <v>1</v>
      </c>
      <c r="Q2192" t="n">
        <v>0.03</v>
      </c>
      <c r="R2192" t="n">
        <v>1</v>
      </c>
      <c r="S2192" t="n">
        <v>1528.8</v>
      </c>
      <c r="T2192" t="n">
        <v>10</v>
      </c>
      <c r="U2192" t="n">
        <v>11</v>
      </c>
      <c r="V2192" t="n">
        <v>30</v>
      </c>
      <c r="W2192" t="n">
        <v>2</v>
      </c>
      <c r="X2192" t="n">
        <v>31.39717425431711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10050</v>
      </c>
      <c r="AG2192" t="n">
        <v>78</v>
      </c>
      <c r="AH2192" t="inlineStr">
        <is>
          <t>PT. GLORIENTA P.H - PPN (PDG)</t>
        </is>
      </c>
      <c r="AI2192" t="n">
        <v>80</v>
      </c>
      <c r="AJ2192" t="inlineStr">
        <is>
          <t>HERBORIST</t>
        </is>
      </c>
      <c r="AK2192" t="n">
        <v>21</v>
      </c>
      <c r="AL2192" t="inlineStr">
        <is>
          <t>Miss Glam Damar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HERBORIST</t>
        </is>
      </c>
      <c r="B2193" s="2">
        <f>"8997226225367"</f>
        <v/>
      </c>
      <c r="C2193" t="inlineStr">
        <is>
          <t>HERBORIST Mineral Body Scrub Sea Salt &amp; Kaolin Moisturizing 200gr</t>
        </is>
      </c>
      <c r="D2193" t="inlineStr">
        <is>
          <t>Miss Glam Damar</t>
        </is>
      </c>
      <c r="E2193" t="n">
        <v>4</v>
      </c>
      <c r="F2193" t="n">
        <v>0.1547</v>
      </c>
      <c r="G2193" t="n">
        <v>1.82</v>
      </c>
      <c r="H2193" t="n">
        <v>3</v>
      </c>
      <c r="I2193" t="n">
        <v>11</v>
      </c>
      <c r="J2193" t="n">
        <v>3</v>
      </c>
      <c r="K2193" t="n">
        <v>0</v>
      </c>
      <c r="L2193" t="n">
        <v>15586</v>
      </c>
      <c r="M2193" t="n">
        <v>21500</v>
      </c>
      <c r="N2193" t="n">
        <v>91</v>
      </c>
      <c r="O2193" t="n">
        <v>0.91</v>
      </c>
      <c r="P2193" t="n">
        <v>1</v>
      </c>
      <c r="Q2193" t="n">
        <v>0.15</v>
      </c>
      <c r="R2193" t="n">
        <v>3</v>
      </c>
      <c r="S2193" t="n">
        <v>3326.05</v>
      </c>
      <c r="T2193" t="n">
        <v>20</v>
      </c>
      <c r="U2193" t="n">
        <v>21</v>
      </c>
      <c r="V2193" t="n">
        <v>30</v>
      </c>
      <c r="W2193" t="n">
        <v>5</v>
      </c>
      <c r="X2193" t="n">
        <v>25.85649644473174</v>
      </c>
      <c r="Y2193" t="n">
        <v>1</v>
      </c>
      <c r="Z2193" t="n">
        <v>1</v>
      </c>
      <c r="AA2193" t="n">
        <v>0</v>
      </c>
      <c r="AB2193" t="n">
        <v>1</v>
      </c>
      <c r="AC2193" t="n">
        <v>3</v>
      </c>
      <c r="AD2193" t="n">
        <v>0</v>
      </c>
      <c r="AE2193" t="n">
        <v>46758</v>
      </c>
      <c r="AF2193" t="n">
        <v>10050</v>
      </c>
      <c r="AG2193" t="n">
        <v>78</v>
      </c>
      <c r="AH2193" t="inlineStr">
        <is>
          <t>PT. GLORIENTA P.H - PPN (PDG)</t>
        </is>
      </c>
      <c r="AI2193" t="n">
        <v>80</v>
      </c>
      <c r="AJ2193" t="inlineStr">
        <is>
          <t>HERBORIST</t>
        </is>
      </c>
      <c r="AK2193" t="n">
        <v>21</v>
      </c>
      <c r="AL2193" t="inlineStr">
        <is>
          <t>Miss Glam Damar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HERBORIST</t>
        </is>
      </c>
      <c r="B2194" s="2">
        <f>"8997226225381"</f>
        <v/>
      </c>
      <c r="C2194" t="inlineStr">
        <is>
          <t>HERBORIST Mineral Body Scrub Sea Salt &amp; Volcanic Mud 200gr</t>
        </is>
      </c>
      <c r="D2194" t="inlineStr">
        <is>
          <t>Miss Glam Damar</t>
        </is>
      </c>
      <c r="E2194" t="n">
        <v>2</v>
      </c>
      <c r="F2194" t="n">
        <v>0.22</v>
      </c>
      <c r="G2194" t="n">
        <v>1</v>
      </c>
      <c r="H2194" t="n">
        <v>3</v>
      </c>
      <c r="I2194" t="n">
        <v>11</v>
      </c>
      <c r="J2194" t="n">
        <v>3</v>
      </c>
      <c r="K2194" t="n">
        <v>0</v>
      </c>
      <c r="L2194" t="n">
        <v>15586</v>
      </c>
      <c r="M2194" t="n">
        <v>24000</v>
      </c>
      <c r="N2194" t="n">
        <v>91</v>
      </c>
      <c r="O2194" t="n">
        <v>0.91</v>
      </c>
      <c r="P2194" t="n">
        <v>0</v>
      </c>
      <c r="Q2194" t="n">
        <v>0.22</v>
      </c>
      <c r="R2194" t="n">
        <v>1</v>
      </c>
      <c r="S2194" t="n">
        <v>5280</v>
      </c>
      <c r="T2194" t="n">
        <v>11</v>
      </c>
      <c r="U2194" t="n">
        <v>12</v>
      </c>
      <c r="V2194" t="n">
        <v>30</v>
      </c>
      <c r="W2194" t="n">
        <v>7</v>
      </c>
      <c r="X2194" t="n">
        <v>9.090909090909092</v>
      </c>
      <c r="Y2194" t="n">
        <v>1</v>
      </c>
      <c r="Z2194" t="n">
        <v>5</v>
      </c>
      <c r="AA2194" t="n">
        <v>1</v>
      </c>
      <c r="AB2194" t="n">
        <v>4</v>
      </c>
      <c r="AC2194" t="n">
        <v>4</v>
      </c>
      <c r="AD2194" t="n">
        <v>15586</v>
      </c>
      <c r="AE2194" t="n">
        <v>62344</v>
      </c>
      <c r="AF2194" t="n">
        <v>10050</v>
      </c>
      <c r="AG2194" t="n">
        <v>78</v>
      </c>
      <c r="AH2194" t="inlineStr">
        <is>
          <t>PT. GLORIENTA P.H - PPN (PDG)</t>
        </is>
      </c>
      <c r="AI2194" t="n">
        <v>80</v>
      </c>
      <c r="AJ2194" t="inlineStr">
        <is>
          <t>HERBORIST</t>
        </is>
      </c>
      <c r="AK2194" t="n">
        <v>21</v>
      </c>
      <c r="AL2194" t="inlineStr">
        <is>
          <t>Miss Glam Damar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HERBORIST</t>
        </is>
      </c>
      <c r="B2195" s="2">
        <f>"8997016372905"</f>
        <v/>
      </c>
      <c r="C2195" t="inlineStr">
        <is>
          <t>HERBORIST Minyak Zaitun 150ml</t>
        </is>
      </c>
      <c r="D2195" t="inlineStr">
        <is>
          <t>Miss Glam Damar</t>
        </is>
      </c>
      <c r="E2195" t="n">
        <v>22</v>
      </c>
      <c r="F2195" t="n">
        <v>0.8827</v>
      </c>
      <c r="G2195" t="n">
        <v>4.55</v>
      </c>
      <c r="H2195" t="n">
        <v>3</v>
      </c>
      <c r="I2195" t="n">
        <v>11</v>
      </c>
      <c r="J2195" t="n">
        <v>3</v>
      </c>
      <c r="K2195" t="n">
        <v>0</v>
      </c>
      <c r="L2195" t="n">
        <v>29854</v>
      </c>
      <c r="M2195" t="n">
        <v>36000</v>
      </c>
      <c r="N2195" t="n">
        <v>91</v>
      </c>
      <c r="O2195" t="n">
        <v>0.91</v>
      </c>
      <c r="P2195" t="n">
        <v>1</v>
      </c>
      <c r="Q2195" t="n">
        <v>0.78</v>
      </c>
      <c r="R2195" t="n">
        <v>5</v>
      </c>
      <c r="S2195" t="n">
        <v>31777.2</v>
      </c>
      <c r="T2195" t="n">
        <v>48</v>
      </c>
      <c r="U2195" t="n">
        <v>51</v>
      </c>
      <c r="V2195" t="n">
        <v>30</v>
      </c>
      <c r="W2195" t="n">
        <v>27</v>
      </c>
      <c r="X2195" t="n">
        <v>24.92353007816925</v>
      </c>
      <c r="Y2195" t="n">
        <v>1</v>
      </c>
      <c r="Z2195" t="n">
        <v>5</v>
      </c>
      <c r="AA2195" t="n">
        <v>0</v>
      </c>
      <c r="AB2195" t="n">
        <v>5</v>
      </c>
      <c r="AC2195" t="n">
        <v>5</v>
      </c>
      <c r="AD2195" t="n">
        <v>0</v>
      </c>
      <c r="AE2195" t="n">
        <v>149270</v>
      </c>
      <c r="AF2195" t="n">
        <v>10050</v>
      </c>
      <c r="AG2195" t="n">
        <v>78</v>
      </c>
      <c r="AH2195" t="inlineStr">
        <is>
          <t>PT. GLORIENTA P.H - PPN (PDG)</t>
        </is>
      </c>
      <c r="AI2195" t="n">
        <v>80</v>
      </c>
      <c r="AJ2195" t="inlineStr">
        <is>
          <t>HERBORIST</t>
        </is>
      </c>
      <c r="AK2195" t="n">
        <v>21</v>
      </c>
      <c r="AL2195" t="inlineStr">
        <is>
          <t>Miss Glam Damar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HERBORIST</t>
        </is>
      </c>
      <c r="B2196" s="2">
        <f>"8997016373919"</f>
        <v/>
      </c>
      <c r="C2196" t="inlineStr">
        <is>
          <t>HERBORIST Minyak Zaitun 75ml</t>
        </is>
      </c>
      <c r="D2196" t="inlineStr">
        <is>
          <t>Miss Glam Damar</t>
        </is>
      </c>
      <c r="E2196" t="n">
        <v>23</v>
      </c>
      <c r="F2196" t="n">
        <v>2.0657</v>
      </c>
      <c r="G2196" t="n">
        <v>5.46</v>
      </c>
      <c r="H2196" t="n">
        <v>3</v>
      </c>
      <c r="I2196" t="n">
        <v>11</v>
      </c>
      <c r="J2196" t="n">
        <v>3</v>
      </c>
      <c r="K2196" t="n">
        <v>0</v>
      </c>
      <c r="L2196" t="n">
        <v>19054</v>
      </c>
      <c r="M2196" t="n">
        <v>22500</v>
      </c>
      <c r="N2196" t="n">
        <v>91</v>
      </c>
      <c r="O2196" t="n">
        <v>0.91</v>
      </c>
      <c r="P2196" t="n">
        <v>1</v>
      </c>
      <c r="Q2196" t="n">
        <v>1.53</v>
      </c>
      <c r="R2196" t="n">
        <v>4</v>
      </c>
      <c r="S2196" t="n">
        <v>46478.25</v>
      </c>
      <c r="T2196" t="n">
        <v>54</v>
      </c>
      <c r="U2196" t="n">
        <v>61</v>
      </c>
      <c r="V2196" t="n">
        <v>30</v>
      </c>
      <c r="W2196" t="n">
        <v>62</v>
      </c>
      <c r="X2196" t="n">
        <v>11.13424020913008</v>
      </c>
      <c r="Y2196" t="n">
        <v>1</v>
      </c>
      <c r="Z2196" t="n">
        <v>39</v>
      </c>
      <c r="AA2196" t="n">
        <v>0</v>
      </c>
      <c r="AB2196" t="n">
        <v>39</v>
      </c>
      <c r="AC2196" t="n">
        <v>39</v>
      </c>
      <c r="AD2196" t="n">
        <v>0</v>
      </c>
      <c r="AE2196" t="n">
        <v>743106</v>
      </c>
      <c r="AF2196" t="n">
        <v>10050</v>
      </c>
      <c r="AG2196" t="n">
        <v>78</v>
      </c>
      <c r="AH2196" t="inlineStr">
        <is>
          <t>PT. GLORIENTA P.H - PPN (PDG)</t>
        </is>
      </c>
      <c r="AI2196" t="n">
        <v>80</v>
      </c>
      <c r="AJ2196" t="inlineStr">
        <is>
          <t>HERBORIST</t>
        </is>
      </c>
      <c r="AK2196" t="n">
        <v>21</v>
      </c>
      <c r="AL2196" t="inlineStr">
        <is>
          <t>Miss Glam Damar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HERBORIST</t>
        </is>
      </c>
      <c r="B2197" s="2">
        <f>"30200194053"</f>
        <v/>
      </c>
      <c r="C2197" t="inlineStr">
        <is>
          <t>HERBORIST Natural Body Lotion Coconut 200ml</t>
        </is>
      </c>
      <c r="D2197" t="inlineStr">
        <is>
          <t>Miss Glam Damar</t>
        </is>
      </c>
      <c r="E2197" t="n">
        <v>-1</v>
      </c>
      <c r="F2197" t="n">
        <v>0.21</v>
      </c>
      <c r="G2197" t="n">
        <v>2</v>
      </c>
      <c r="H2197" t="n">
        <v>3</v>
      </c>
      <c r="I2197" t="n">
        <v>11</v>
      </c>
      <c r="J2197" t="n">
        <v>1</v>
      </c>
      <c r="K2197" t="n">
        <v>0</v>
      </c>
      <c r="L2197" t="n">
        <v>25320</v>
      </c>
      <c r="M2197" t="n">
        <v>30000</v>
      </c>
      <c r="N2197" t="n">
        <v>91</v>
      </c>
      <c r="O2197" t="n">
        <v>0.91</v>
      </c>
      <c r="P2197" t="n">
        <v>0</v>
      </c>
      <c r="Q2197" t="n">
        <v>0.21</v>
      </c>
      <c r="R2197" t="n">
        <v>2</v>
      </c>
      <c r="S2197" t="n">
        <v>6300</v>
      </c>
      <c r="T2197" t="n">
        <v>22</v>
      </c>
      <c r="U2197" t="n">
        <v>23</v>
      </c>
      <c r="V2197" t="n">
        <v>30</v>
      </c>
      <c r="W2197" t="n">
        <v>7</v>
      </c>
      <c r="X2197" t="n">
        <v>-4.761904761904762</v>
      </c>
      <c r="Y2197" t="n">
        <v>1</v>
      </c>
      <c r="Z2197" t="n">
        <v>8</v>
      </c>
      <c r="AA2197" t="n">
        <v>4</v>
      </c>
      <c r="AB2197" t="n">
        <v>4</v>
      </c>
      <c r="AC2197" t="n">
        <v>4</v>
      </c>
      <c r="AD2197" t="n">
        <v>101280</v>
      </c>
      <c r="AE2197" t="n">
        <v>101280</v>
      </c>
      <c r="AF2197" t="n">
        <v>10050</v>
      </c>
      <c r="AG2197" t="n">
        <v>78</v>
      </c>
      <c r="AH2197" t="inlineStr">
        <is>
          <t>PT. GLORIENTA P.H - PPN (PDG)</t>
        </is>
      </c>
      <c r="AI2197" t="n">
        <v>80</v>
      </c>
      <c r="AJ2197" t="inlineStr">
        <is>
          <t>HERBORIST</t>
        </is>
      </c>
      <c r="AK2197" t="n">
        <v>21</v>
      </c>
      <c r="AL2197" t="inlineStr">
        <is>
          <t>Miss Glam Damar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HERBORIST</t>
        </is>
      </c>
      <c r="B2198" s="2">
        <f>"30200193925"</f>
        <v/>
      </c>
      <c r="C2198" t="inlineStr">
        <is>
          <t>HERBORIST Natural Body Lotion Olive 200ml</t>
        </is>
      </c>
      <c r="D2198" t="inlineStr">
        <is>
          <t>Miss Glam Damar</t>
        </is>
      </c>
      <c r="E2198" t="n">
        <v>0</v>
      </c>
      <c r="F2198" t="n">
        <v>0.06</v>
      </c>
      <c r="G2198" t="n">
        <v>2</v>
      </c>
      <c r="H2198" t="n">
        <v>3</v>
      </c>
      <c r="I2198" t="n">
        <v>11</v>
      </c>
      <c r="J2198" t="n">
        <v>1</v>
      </c>
      <c r="K2198" t="n">
        <v>0</v>
      </c>
      <c r="L2198" t="n">
        <v>25320</v>
      </c>
      <c r="M2198" t="n">
        <v>30000</v>
      </c>
      <c r="N2198" t="n">
        <v>91</v>
      </c>
      <c r="O2198" t="n">
        <v>0.91</v>
      </c>
      <c r="P2198" t="n">
        <v>0</v>
      </c>
      <c r="Q2198" t="n">
        <v>0.06</v>
      </c>
      <c r="R2198" t="n">
        <v>2</v>
      </c>
      <c r="S2198" t="n">
        <v>1800</v>
      </c>
      <c r="T2198" t="n">
        <v>22</v>
      </c>
      <c r="U2198" t="n">
        <v>23</v>
      </c>
      <c r="V2198" t="n">
        <v>30</v>
      </c>
      <c r="W2198" t="n">
        <v>2</v>
      </c>
      <c r="X2198" t="n">
        <v>0</v>
      </c>
      <c r="Y2198" t="n">
        <v>1</v>
      </c>
      <c r="Z2198" t="n">
        <v>2</v>
      </c>
      <c r="AA2198" t="n">
        <v>1</v>
      </c>
      <c r="AB2198" t="n">
        <v>1</v>
      </c>
      <c r="AC2198" t="n">
        <v>1</v>
      </c>
      <c r="AD2198" t="n">
        <v>25320</v>
      </c>
      <c r="AE2198" t="n">
        <v>25320</v>
      </c>
      <c r="AF2198" t="n">
        <v>10050</v>
      </c>
      <c r="AG2198" t="n">
        <v>78</v>
      </c>
      <c r="AH2198" t="inlineStr">
        <is>
          <t>PT. GLORIENTA P.H - PPN (PDG)</t>
        </is>
      </c>
      <c r="AI2198" t="n">
        <v>80</v>
      </c>
      <c r="AJ2198" t="inlineStr">
        <is>
          <t>HERBORIST</t>
        </is>
      </c>
      <c r="AK2198" t="n">
        <v>21</v>
      </c>
      <c r="AL2198" t="inlineStr">
        <is>
          <t>Miss Glam Damar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HERBORIST</t>
        </is>
      </c>
      <c r="B2199" s="2">
        <f>"30100242730"</f>
        <v/>
      </c>
      <c r="C2199" t="inlineStr">
        <is>
          <t>HERBORIST Olive Natural Balinese Body Scrub 100gr</t>
        </is>
      </c>
      <c r="D2199" t="inlineStr">
        <is>
          <t>Miss Glam Damar</t>
        </is>
      </c>
      <c r="E2199" t="n">
        <v>10</v>
      </c>
      <c r="F2199" t="n">
        <v>0.1365</v>
      </c>
      <c r="G2199" t="n">
        <v>0.91</v>
      </c>
      <c r="H2199" t="n">
        <v>3</v>
      </c>
      <c r="I2199" t="n">
        <v>11</v>
      </c>
      <c r="J2199" t="n">
        <v>1</v>
      </c>
      <c r="K2199" t="n">
        <v>0</v>
      </c>
      <c r="L2199" t="n">
        <v>17720</v>
      </c>
      <c r="M2199" t="n">
        <v>22000</v>
      </c>
      <c r="N2199" t="n">
        <v>91</v>
      </c>
      <c r="O2199" t="n">
        <v>0.91</v>
      </c>
      <c r="P2199" t="n">
        <v>1</v>
      </c>
      <c r="Q2199" t="n">
        <v>0.37</v>
      </c>
      <c r="R2199" t="n">
        <v>2</v>
      </c>
      <c r="S2199" t="n">
        <v>3003</v>
      </c>
      <c r="T2199" t="n">
        <v>10</v>
      </c>
      <c r="U2199" t="n">
        <v>11</v>
      </c>
      <c r="V2199" t="n">
        <v>30</v>
      </c>
      <c r="W2199" t="n">
        <v>5</v>
      </c>
      <c r="X2199" t="n">
        <v>73.26007326007326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10050</v>
      </c>
      <c r="AG2199" t="n">
        <v>78</v>
      </c>
      <c r="AH2199" t="inlineStr">
        <is>
          <t>PT. GLORIENTA P.H - PPN (PDG)</t>
        </is>
      </c>
      <c r="AI2199" t="n">
        <v>80</v>
      </c>
      <c r="AJ2199" t="inlineStr">
        <is>
          <t>HERBORIST</t>
        </is>
      </c>
      <c r="AK2199" t="n">
        <v>21</v>
      </c>
      <c r="AL2199" t="inlineStr">
        <is>
          <t>Miss Glam Damar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HERBORIST</t>
        </is>
      </c>
      <c r="B2200" s="2">
        <f>"30100242353"</f>
        <v/>
      </c>
      <c r="C2200" t="inlineStr">
        <is>
          <t>HERBORIST Olive Natural Balinese Body Scrub 200gr</t>
        </is>
      </c>
      <c r="D2200" t="inlineStr">
        <is>
          <t>Miss Glam Damar</t>
        </is>
      </c>
      <c r="E2200" t="n">
        <v>2</v>
      </c>
      <c r="F2200" t="n">
        <v>0.2002</v>
      </c>
      <c r="G2200" t="n">
        <v>0.91</v>
      </c>
      <c r="H2200" t="n">
        <v>3</v>
      </c>
      <c r="I2200" t="n">
        <v>11</v>
      </c>
      <c r="J2200" t="n">
        <v>1</v>
      </c>
      <c r="K2200" t="n">
        <v>0</v>
      </c>
      <c r="L2200" t="n">
        <v>29320</v>
      </c>
      <c r="M2200" t="n">
        <v>36500</v>
      </c>
      <c r="N2200" t="n">
        <v>91</v>
      </c>
      <c r="O2200" t="n">
        <v>0.91</v>
      </c>
      <c r="P2200" t="n">
        <v>1</v>
      </c>
      <c r="Q2200" t="n">
        <v>0.34</v>
      </c>
      <c r="R2200" t="n">
        <v>2</v>
      </c>
      <c r="S2200" t="n">
        <v>7307.3</v>
      </c>
      <c r="T2200" t="n">
        <v>10</v>
      </c>
      <c r="U2200" t="n">
        <v>11</v>
      </c>
      <c r="V2200" t="n">
        <v>30</v>
      </c>
      <c r="W2200" t="n">
        <v>7</v>
      </c>
      <c r="X2200" t="n">
        <v>9.990009990009989</v>
      </c>
      <c r="Y2200" t="n">
        <v>1</v>
      </c>
      <c r="Z2200" t="n">
        <v>5</v>
      </c>
      <c r="AA2200" t="n">
        <v>1</v>
      </c>
      <c r="AB2200" t="n">
        <v>4</v>
      </c>
      <c r="AC2200" t="n">
        <v>4</v>
      </c>
      <c r="AD2200" t="n">
        <v>29320</v>
      </c>
      <c r="AE2200" t="n">
        <v>117280</v>
      </c>
      <c r="AF2200" t="n">
        <v>10050</v>
      </c>
      <c r="AG2200" t="n">
        <v>78</v>
      </c>
      <c r="AH2200" t="inlineStr">
        <is>
          <t>PT. GLORIENTA P.H - PPN (PDG)</t>
        </is>
      </c>
      <c r="AI2200" t="n">
        <v>80</v>
      </c>
      <c r="AJ2200" t="inlineStr">
        <is>
          <t>HERBORIST</t>
        </is>
      </c>
      <c r="AK2200" t="n">
        <v>21</v>
      </c>
      <c r="AL2200" t="inlineStr">
        <is>
          <t>Miss Glam Damar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HERBORIST</t>
        </is>
      </c>
      <c r="B2201" s="2">
        <f>"8997226227040"</f>
        <v/>
      </c>
      <c r="C2201" t="inlineStr">
        <is>
          <t>HERBORIST Olive Oil + Collagen 75ml</t>
        </is>
      </c>
      <c r="D2201" t="inlineStr">
        <is>
          <t>Miss Glam Damar</t>
        </is>
      </c>
      <c r="E2201" t="n">
        <v>10</v>
      </c>
      <c r="F2201" t="n">
        <v>0.5369</v>
      </c>
      <c r="G2201" t="n">
        <v>2.73</v>
      </c>
      <c r="H2201" t="n">
        <v>3</v>
      </c>
      <c r="I2201" t="n">
        <v>11</v>
      </c>
      <c r="J2201" t="n">
        <v>3</v>
      </c>
      <c r="K2201" t="n">
        <v>0</v>
      </c>
      <c r="L2201" t="n">
        <v>21854</v>
      </c>
      <c r="M2201" t="n">
        <v>30000</v>
      </c>
      <c r="N2201" t="n">
        <v>91</v>
      </c>
      <c r="O2201" t="n">
        <v>0.91</v>
      </c>
      <c r="P2201" t="n">
        <v>1</v>
      </c>
      <c r="Q2201" t="n">
        <v>0.31</v>
      </c>
      <c r="R2201" t="n">
        <v>2</v>
      </c>
      <c r="S2201" t="n">
        <v>16107</v>
      </c>
      <c r="T2201" t="n">
        <v>29</v>
      </c>
      <c r="U2201" t="n">
        <v>31</v>
      </c>
      <c r="V2201" t="n">
        <v>30</v>
      </c>
      <c r="W2201" t="n">
        <v>17</v>
      </c>
      <c r="X2201" t="n">
        <v>18.62544235425591</v>
      </c>
      <c r="Y2201" t="n">
        <v>1</v>
      </c>
      <c r="Z2201" t="n">
        <v>7</v>
      </c>
      <c r="AA2201" t="n">
        <v>0</v>
      </c>
      <c r="AB2201" t="n">
        <v>7</v>
      </c>
      <c r="AC2201" t="n">
        <v>7</v>
      </c>
      <c r="AD2201" t="n">
        <v>0</v>
      </c>
      <c r="AE2201" t="n">
        <v>152978</v>
      </c>
      <c r="AF2201" t="n">
        <v>10050</v>
      </c>
      <c r="AG2201" t="n">
        <v>78</v>
      </c>
      <c r="AH2201" t="inlineStr">
        <is>
          <t>PT. GLORIENTA P.H - PPN (PDG)</t>
        </is>
      </c>
      <c r="AI2201" t="n">
        <v>80</v>
      </c>
      <c r="AJ2201" t="inlineStr">
        <is>
          <t>HERBORIST</t>
        </is>
      </c>
      <c r="AK2201" t="n">
        <v>21</v>
      </c>
      <c r="AL2201" t="inlineStr">
        <is>
          <t>Miss Glam Damar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HERBORIST</t>
        </is>
      </c>
      <c r="B2202" s="2">
        <f>"30100242948"</f>
        <v/>
      </c>
      <c r="C2202" t="inlineStr">
        <is>
          <t>HERBORIST Rice Natural Balinese Body Scrub 100gr</t>
        </is>
      </c>
      <c r="D2202" t="inlineStr">
        <is>
          <t>Miss Glam Damar</t>
        </is>
      </c>
      <c r="E2202" t="n">
        <v>4</v>
      </c>
      <c r="F2202" t="n">
        <v>0.1729</v>
      </c>
      <c r="G2202" t="n">
        <v>1.82</v>
      </c>
      <c r="H2202" t="n">
        <v>3</v>
      </c>
      <c r="I2202" t="n">
        <v>11</v>
      </c>
      <c r="J2202" t="n">
        <v>1</v>
      </c>
      <c r="K2202" t="n">
        <v>0</v>
      </c>
      <c r="L2202" t="n">
        <v>17720</v>
      </c>
      <c r="M2202" t="n">
        <v>22500</v>
      </c>
      <c r="N2202" t="n">
        <v>91</v>
      </c>
      <c r="O2202" t="n">
        <v>0.91</v>
      </c>
      <c r="P2202" t="n">
        <v>1</v>
      </c>
      <c r="Q2202" t="n">
        <v>0.27</v>
      </c>
      <c r="R2202" t="n">
        <v>2</v>
      </c>
      <c r="S2202" t="n">
        <v>3890.25</v>
      </c>
      <c r="T2202" t="n">
        <v>20</v>
      </c>
      <c r="U2202" t="n">
        <v>21</v>
      </c>
      <c r="V2202" t="n">
        <v>30</v>
      </c>
      <c r="W2202" t="n">
        <v>6</v>
      </c>
      <c r="X2202" t="n">
        <v>23.13475997686524</v>
      </c>
      <c r="Y2202" t="n">
        <v>1</v>
      </c>
      <c r="Z2202" t="n">
        <v>2</v>
      </c>
      <c r="AA2202" t="n">
        <v>0</v>
      </c>
      <c r="AB2202" t="n">
        <v>2</v>
      </c>
      <c r="AC2202" t="n">
        <v>2</v>
      </c>
      <c r="AD2202" t="n">
        <v>0</v>
      </c>
      <c r="AE2202" t="n">
        <v>35440</v>
      </c>
      <c r="AF2202" t="n">
        <v>10050</v>
      </c>
      <c r="AG2202" t="n">
        <v>78</v>
      </c>
      <c r="AH2202" t="inlineStr">
        <is>
          <t>PT. GLORIENTA P.H - PPN (PDG)</t>
        </is>
      </c>
      <c r="AI2202" t="n">
        <v>80</v>
      </c>
      <c r="AJ2202" t="inlineStr">
        <is>
          <t>HERBORIST</t>
        </is>
      </c>
      <c r="AK2202" t="n">
        <v>21</v>
      </c>
      <c r="AL2202" t="inlineStr">
        <is>
          <t>Miss Glam Damar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HERBORIST</t>
        </is>
      </c>
      <c r="B2203" s="2">
        <f>"30100243019"</f>
        <v/>
      </c>
      <c r="C2203" t="inlineStr">
        <is>
          <t>HERBORIST Rose Natural Balinese Body Scrub 100gr</t>
        </is>
      </c>
      <c r="D2203" t="inlineStr">
        <is>
          <t>Miss Glam Damar</t>
        </is>
      </c>
      <c r="E2203" t="n">
        <v>9</v>
      </c>
      <c r="F2203" t="n">
        <v>0.5733</v>
      </c>
      <c r="G2203" t="n">
        <v>4.55</v>
      </c>
      <c r="H2203" t="n">
        <v>3</v>
      </c>
      <c r="I2203" t="n">
        <v>11</v>
      </c>
      <c r="J2203" t="n">
        <v>1</v>
      </c>
      <c r="K2203" t="n">
        <v>0</v>
      </c>
      <c r="L2203" t="n">
        <v>17720</v>
      </c>
      <c r="M2203" t="n">
        <v>22500</v>
      </c>
      <c r="N2203" t="n">
        <v>91</v>
      </c>
      <c r="O2203" t="n">
        <v>0.91</v>
      </c>
      <c r="P2203" t="n">
        <v>1</v>
      </c>
      <c r="Q2203" t="n">
        <v>0.5600000000000001</v>
      </c>
      <c r="R2203" t="n">
        <v>3</v>
      </c>
      <c r="S2203" t="n">
        <v>12899.25</v>
      </c>
      <c r="T2203" t="n">
        <v>49</v>
      </c>
      <c r="U2203" t="n">
        <v>51</v>
      </c>
      <c r="V2203" t="n">
        <v>30</v>
      </c>
      <c r="W2203" t="n">
        <v>18</v>
      </c>
      <c r="X2203" t="n">
        <v>15.69858712715856</v>
      </c>
      <c r="Y2203" t="n">
        <v>1</v>
      </c>
      <c r="Z2203" t="n">
        <v>9</v>
      </c>
      <c r="AA2203" t="n">
        <v>0</v>
      </c>
      <c r="AB2203" t="n">
        <v>9</v>
      </c>
      <c r="AC2203" t="n">
        <v>9</v>
      </c>
      <c r="AD2203" t="n">
        <v>0</v>
      </c>
      <c r="AE2203" t="n">
        <v>159480</v>
      </c>
      <c r="AF2203" t="n">
        <v>10050</v>
      </c>
      <c r="AG2203" t="n">
        <v>78</v>
      </c>
      <c r="AH2203" t="inlineStr">
        <is>
          <t>PT. GLORIENTA P.H - PPN (PDG)</t>
        </is>
      </c>
      <c r="AI2203" t="n">
        <v>80</v>
      </c>
      <c r="AJ2203" t="inlineStr">
        <is>
          <t>HERBORIST</t>
        </is>
      </c>
      <c r="AK2203" t="n">
        <v>21</v>
      </c>
      <c r="AL2203" t="inlineStr">
        <is>
          <t>Miss Glam Damar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HERBORIST</t>
        </is>
      </c>
      <c r="B2204" s="2">
        <f>"8997016378365"</f>
        <v/>
      </c>
      <c r="C2204" t="inlineStr">
        <is>
          <t>HERBORIST Rose Water Air Mawar 100ml</t>
        </is>
      </c>
      <c r="D2204" t="inlineStr">
        <is>
          <t>Miss Glam Damar</t>
        </is>
      </c>
      <c r="E2204" t="n">
        <v>1</v>
      </c>
      <c r="F2204" t="n">
        <v>0.182</v>
      </c>
      <c r="G2204" t="n">
        <v>2.73</v>
      </c>
      <c r="H2204" t="n">
        <v>3</v>
      </c>
      <c r="I2204" t="n">
        <v>11</v>
      </c>
      <c r="J2204" t="n">
        <v>3</v>
      </c>
      <c r="K2204" t="n">
        <v>0</v>
      </c>
      <c r="L2204" t="n">
        <v>8654</v>
      </c>
      <c r="M2204" t="n">
        <v>10500</v>
      </c>
      <c r="N2204" t="n">
        <v>91</v>
      </c>
      <c r="O2204" t="n">
        <v>0.91</v>
      </c>
      <c r="P2204" t="n">
        <v>1</v>
      </c>
      <c r="Q2204" t="n">
        <v>0.1</v>
      </c>
      <c r="R2204" t="n">
        <v>3</v>
      </c>
      <c r="S2204" t="n">
        <v>1911</v>
      </c>
      <c r="T2204" t="n">
        <v>30</v>
      </c>
      <c r="U2204" t="n">
        <v>31</v>
      </c>
      <c r="V2204" t="n">
        <v>30</v>
      </c>
      <c r="W2204" t="n">
        <v>6</v>
      </c>
      <c r="X2204" t="n">
        <v>5.494505494505494</v>
      </c>
      <c r="Y2204" t="n">
        <v>1</v>
      </c>
      <c r="Z2204" t="n">
        <v>5</v>
      </c>
      <c r="AA2204" t="n">
        <v>2</v>
      </c>
      <c r="AB2204" t="n">
        <v>3</v>
      </c>
      <c r="AC2204" t="n">
        <v>3</v>
      </c>
      <c r="AD2204" t="n">
        <v>17308</v>
      </c>
      <c r="AE2204" t="n">
        <v>25962</v>
      </c>
      <c r="AF2204" t="n">
        <v>10050</v>
      </c>
      <c r="AG2204" t="n">
        <v>78</v>
      </c>
      <c r="AH2204" t="inlineStr">
        <is>
          <t>PT. GLORIENTA P.H - PPN (PDG)</t>
        </is>
      </c>
      <c r="AI2204" t="n">
        <v>80</v>
      </c>
      <c r="AJ2204" t="inlineStr">
        <is>
          <t>HERBORIST</t>
        </is>
      </c>
      <c r="AK2204" t="n">
        <v>21</v>
      </c>
      <c r="AL2204" t="inlineStr">
        <is>
          <t>Miss Glam Damar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HERBORIST</t>
        </is>
      </c>
      <c r="B2205" s="2">
        <f>"8997016375159"</f>
        <v/>
      </c>
      <c r="C2205" t="inlineStr">
        <is>
          <t>HERBORIST Sabun Wajah Zaitun 80gr</t>
        </is>
      </c>
      <c r="D2205" t="inlineStr">
        <is>
          <t>Miss Glam Damar</t>
        </is>
      </c>
      <c r="E2205" t="n">
        <v>0</v>
      </c>
      <c r="F2205" t="n">
        <v>0.02</v>
      </c>
      <c r="G2205" t="n">
        <v>1</v>
      </c>
      <c r="H2205" t="n">
        <v>3</v>
      </c>
      <c r="I2205" t="n">
        <v>11</v>
      </c>
      <c r="J2205" t="n">
        <v>3</v>
      </c>
      <c r="K2205" t="n">
        <v>0</v>
      </c>
      <c r="L2205" t="n">
        <v>22480</v>
      </c>
      <c r="M2205" t="n">
        <v>28500</v>
      </c>
      <c r="N2205" t="n">
        <v>91</v>
      </c>
      <c r="O2205" t="n">
        <v>0.91</v>
      </c>
      <c r="P2205" t="n">
        <v>0</v>
      </c>
      <c r="Q2205" t="n">
        <v>0.02</v>
      </c>
      <c r="R2205" t="n">
        <v>1</v>
      </c>
      <c r="S2205" t="n">
        <v>570</v>
      </c>
      <c r="T2205" t="n">
        <v>11</v>
      </c>
      <c r="U2205" t="n">
        <v>12</v>
      </c>
      <c r="V2205" t="n">
        <v>30</v>
      </c>
      <c r="W2205" t="n">
        <v>1</v>
      </c>
      <c r="X2205" t="n">
        <v>0</v>
      </c>
      <c r="Y2205" t="n">
        <v>1</v>
      </c>
      <c r="Z2205" t="n">
        <v>1</v>
      </c>
      <c r="AA2205" t="n">
        <v>1</v>
      </c>
      <c r="AB2205" t="n">
        <v>0</v>
      </c>
      <c r="AC2205" t="n">
        <v>0</v>
      </c>
      <c r="AD2205" t="n">
        <v>22480</v>
      </c>
      <c r="AE2205" t="n">
        <v>0</v>
      </c>
      <c r="AF2205" t="n">
        <v>10050</v>
      </c>
      <c r="AG2205" t="n">
        <v>78</v>
      </c>
      <c r="AH2205" t="inlineStr">
        <is>
          <t>PT. GLORIENTA P.H - PPN (PDG)</t>
        </is>
      </c>
      <c r="AI2205" t="n">
        <v>80</v>
      </c>
      <c r="AJ2205" t="inlineStr">
        <is>
          <t>HERBORIST</t>
        </is>
      </c>
      <c r="AK2205" t="n">
        <v>21</v>
      </c>
      <c r="AL2205" t="inlineStr">
        <is>
          <t>Miss Glam Damar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HERBORIST</t>
        </is>
      </c>
      <c r="B2206" s="2">
        <f>"30100243257"</f>
        <v/>
      </c>
      <c r="C2206" t="inlineStr">
        <is>
          <t>HERBORIST Strawberry Natural Balinese Body Scrub 100gr</t>
        </is>
      </c>
      <c r="D2206" t="inlineStr">
        <is>
          <t>Miss Glam Damar</t>
        </is>
      </c>
      <c r="E2206" t="n">
        <v>24</v>
      </c>
      <c r="F2206" t="n">
        <v>0.7280000000000001</v>
      </c>
      <c r="G2206" t="n">
        <v>2.73</v>
      </c>
      <c r="H2206" t="n">
        <v>3</v>
      </c>
      <c r="I2206" t="n">
        <v>11</v>
      </c>
      <c r="J2206" t="n">
        <v>1</v>
      </c>
      <c r="K2206" t="n">
        <v>0</v>
      </c>
      <c r="L2206" t="n">
        <v>17720</v>
      </c>
      <c r="M2206" t="n">
        <v>22000</v>
      </c>
      <c r="N2206" t="n">
        <v>91</v>
      </c>
      <c r="O2206" t="n">
        <v>0.91</v>
      </c>
      <c r="P2206" t="n">
        <v>1</v>
      </c>
      <c r="Q2206" t="n">
        <v>0.97</v>
      </c>
      <c r="R2206" t="n">
        <v>3</v>
      </c>
      <c r="S2206" t="n">
        <v>16016</v>
      </c>
      <c r="T2206" t="n">
        <v>28</v>
      </c>
      <c r="U2206" t="n">
        <v>31</v>
      </c>
      <c r="V2206" t="n">
        <v>30</v>
      </c>
      <c r="W2206" t="n">
        <v>22</v>
      </c>
      <c r="X2206" t="n">
        <v>32.96703296703296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10050</v>
      </c>
      <c r="AG2206" t="n">
        <v>78</v>
      </c>
      <c r="AH2206" t="inlineStr">
        <is>
          <t>PT. GLORIENTA P.H - PPN (PDG)</t>
        </is>
      </c>
      <c r="AI2206" t="n">
        <v>80</v>
      </c>
      <c r="AJ2206" t="inlineStr">
        <is>
          <t>HERBORIST</t>
        </is>
      </c>
      <c r="AK2206" t="n">
        <v>21</v>
      </c>
      <c r="AL2206" t="inlineStr">
        <is>
          <t>Miss Glam Damar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HERBORIST</t>
        </is>
      </c>
      <c r="B2207" s="2">
        <f>"30100242214"</f>
        <v/>
      </c>
      <c r="C2207" t="inlineStr">
        <is>
          <t>HERBORIST Strawberry Natural Balinese Body Scrub 200gr</t>
        </is>
      </c>
      <c r="D2207" t="inlineStr">
        <is>
          <t>Miss Glam Damar</t>
        </is>
      </c>
      <c r="E2207" t="n">
        <v>8</v>
      </c>
      <c r="F2207" t="n">
        <v>0.6461</v>
      </c>
      <c r="G2207" t="n">
        <v>2.73</v>
      </c>
      <c r="H2207" t="n">
        <v>3</v>
      </c>
      <c r="I2207" t="n">
        <v>11</v>
      </c>
      <c r="J2207" t="n">
        <v>1</v>
      </c>
      <c r="K2207" t="n">
        <v>0</v>
      </c>
      <c r="L2207" t="n">
        <v>29320</v>
      </c>
      <c r="M2207" t="n">
        <v>37000</v>
      </c>
      <c r="N2207" t="n">
        <v>91</v>
      </c>
      <c r="O2207" t="n">
        <v>0.91</v>
      </c>
      <c r="P2207" t="n">
        <v>1</v>
      </c>
      <c r="Q2207" t="n">
        <v>0.8</v>
      </c>
      <c r="R2207" t="n">
        <v>3</v>
      </c>
      <c r="S2207" t="n">
        <v>23905.7</v>
      </c>
      <c r="T2207" t="n">
        <v>29</v>
      </c>
      <c r="U2207" t="n">
        <v>31</v>
      </c>
      <c r="V2207" t="n">
        <v>30</v>
      </c>
      <c r="W2207" t="n">
        <v>20</v>
      </c>
      <c r="X2207" t="n">
        <v>12.38198421297013</v>
      </c>
      <c r="Y2207" t="n">
        <v>1</v>
      </c>
      <c r="Z2207" t="n">
        <v>12</v>
      </c>
      <c r="AA2207" t="n">
        <v>0</v>
      </c>
      <c r="AB2207" t="n">
        <v>12</v>
      </c>
      <c r="AC2207" t="n">
        <v>12</v>
      </c>
      <c r="AD2207" t="n">
        <v>0</v>
      </c>
      <c r="AE2207" t="n">
        <v>351840</v>
      </c>
      <c r="AF2207" t="n">
        <v>10050</v>
      </c>
      <c r="AG2207" t="n">
        <v>78</v>
      </c>
      <c r="AH2207" t="inlineStr">
        <is>
          <t>PT. GLORIENTA P.H - PPN (PDG)</t>
        </is>
      </c>
      <c r="AI2207" t="n">
        <v>80</v>
      </c>
      <c r="AJ2207" t="inlineStr">
        <is>
          <t>HERBORIST</t>
        </is>
      </c>
      <c r="AK2207" t="n">
        <v>21</v>
      </c>
      <c r="AL2207" t="inlineStr">
        <is>
          <t>Miss Glam Damar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HERBORIST</t>
        </is>
      </c>
      <c r="B2208" s="2">
        <f>"30100242514"</f>
        <v/>
      </c>
      <c r="C2208" t="inlineStr">
        <is>
          <t>HERBORIST Yambean Natural Balinese Body Scrub 100gr</t>
        </is>
      </c>
      <c r="D2208" t="inlineStr">
        <is>
          <t>Miss Glam Damar</t>
        </is>
      </c>
      <c r="E2208" t="n">
        <v>20</v>
      </c>
      <c r="F2208" t="n">
        <v>0.4823000000000001</v>
      </c>
      <c r="G2208" t="n">
        <v>2.73</v>
      </c>
      <c r="H2208" t="n">
        <v>3</v>
      </c>
      <c r="I2208" t="n">
        <v>11</v>
      </c>
      <c r="J2208" t="n">
        <v>1</v>
      </c>
      <c r="K2208" t="n">
        <v>0</v>
      </c>
      <c r="L2208" t="n">
        <v>17720</v>
      </c>
      <c r="M2208" t="n">
        <v>22000</v>
      </c>
      <c r="N2208" t="n">
        <v>91</v>
      </c>
      <c r="O2208" t="n">
        <v>0.91</v>
      </c>
      <c r="P2208" t="n">
        <v>1</v>
      </c>
      <c r="Q2208" t="n">
        <v>0.54</v>
      </c>
      <c r="R2208" t="n">
        <v>3</v>
      </c>
      <c r="S2208" t="n">
        <v>10610.6</v>
      </c>
      <c r="T2208" t="n">
        <v>29</v>
      </c>
      <c r="U2208" t="n">
        <v>31</v>
      </c>
      <c r="V2208" t="n">
        <v>30</v>
      </c>
      <c r="W2208" t="n">
        <v>15</v>
      </c>
      <c r="X2208" t="n">
        <v>41.46796599626788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10050</v>
      </c>
      <c r="AG2208" t="n">
        <v>78</v>
      </c>
      <c r="AH2208" t="inlineStr">
        <is>
          <t>PT. GLORIENTA P.H - PPN (PDG)</t>
        </is>
      </c>
      <c r="AI2208" t="n">
        <v>80</v>
      </c>
      <c r="AJ2208" t="inlineStr">
        <is>
          <t>HERBORIST</t>
        </is>
      </c>
      <c r="AK2208" t="n">
        <v>21</v>
      </c>
      <c r="AL2208" t="inlineStr">
        <is>
          <t>Miss Glam Damar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HERBORIST</t>
        </is>
      </c>
      <c r="B2209" s="2">
        <f>"30100242139"</f>
        <v/>
      </c>
      <c r="C2209" t="inlineStr">
        <is>
          <t>HERBORIST Yambean Natural Balinese Body Scrub 200gr</t>
        </is>
      </c>
      <c r="D2209" t="inlineStr">
        <is>
          <t>Miss Glam Damar</t>
        </is>
      </c>
      <c r="E2209" t="n">
        <v>6</v>
      </c>
      <c r="F2209" t="n">
        <v>0.4186</v>
      </c>
      <c r="G2209" t="n">
        <v>2.73</v>
      </c>
      <c r="H2209" t="n">
        <v>3</v>
      </c>
      <c r="I2209" t="n">
        <v>11</v>
      </c>
      <c r="J2209" t="n">
        <v>1</v>
      </c>
      <c r="K2209" t="n">
        <v>0</v>
      </c>
      <c r="L2209" t="n">
        <v>29320</v>
      </c>
      <c r="M2209" t="n">
        <v>37000</v>
      </c>
      <c r="N2209" t="n">
        <v>91</v>
      </c>
      <c r="O2209" t="n">
        <v>0.91</v>
      </c>
      <c r="P2209" t="n">
        <v>1</v>
      </c>
      <c r="Q2209" t="n">
        <v>0.5600000000000001</v>
      </c>
      <c r="R2209" t="n">
        <v>2</v>
      </c>
      <c r="S2209" t="n">
        <v>15488.2</v>
      </c>
      <c r="T2209" t="n">
        <v>29</v>
      </c>
      <c r="U2209" t="n">
        <v>31</v>
      </c>
      <c r="V2209" t="n">
        <v>30</v>
      </c>
      <c r="W2209" t="n">
        <v>13</v>
      </c>
      <c r="X2209" t="n">
        <v>14.33349259436216</v>
      </c>
      <c r="Y2209" t="n">
        <v>1</v>
      </c>
      <c r="Z2209" t="n">
        <v>7</v>
      </c>
      <c r="AA2209" t="n">
        <v>0</v>
      </c>
      <c r="AB2209" t="n">
        <v>7</v>
      </c>
      <c r="AC2209" t="n">
        <v>7</v>
      </c>
      <c r="AD2209" t="n">
        <v>0</v>
      </c>
      <c r="AE2209" t="n">
        <v>205240</v>
      </c>
      <c r="AF2209" t="n">
        <v>10050</v>
      </c>
      <c r="AG2209" t="n">
        <v>78</v>
      </c>
      <c r="AH2209" t="inlineStr">
        <is>
          <t>PT. GLORIENTA P.H - PPN (PDG)</t>
        </is>
      </c>
      <c r="AI2209" t="n">
        <v>80</v>
      </c>
      <c r="AJ2209" t="inlineStr">
        <is>
          <t>HERBORIST</t>
        </is>
      </c>
      <c r="AK2209" t="n">
        <v>21</v>
      </c>
      <c r="AL2209" t="inlineStr">
        <is>
          <t>Miss Glam Damar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HERBORIST</t>
        </is>
      </c>
      <c r="B2210" s="2">
        <f>"8997016377153"</f>
        <v/>
      </c>
      <c r="C2210" t="inlineStr">
        <is>
          <t>HERBORIST Zaitun Olive Body Wash Natural Antioxidant &amp; Brightening For Softer Skin 250ml</t>
        </is>
      </c>
      <c r="D2210" t="inlineStr">
        <is>
          <t>Miss Glam Damar</t>
        </is>
      </c>
      <c r="E2210" t="n">
        <v>6</v>
      </c>
      <c r="F2210" t="n">
        <v>0.0273</v>
      </c>
      <c r="G2210" t="n">
        <v>0.91</v>
      </c>
      <c r="H2210" t="n">
        <v>3</v>
      </c>
      <c r="I2210" t="n">
        <v>11</v>
      </c>
      <c r="J2210" t="n">
        <v>3</v>
      </c>
      <c r="K2210" t="n">
        <v>0</v>
      </c>
      <c r="L2210" t="n">
        <v>27040</v>
      </c>
      <c r="M2210" t="n">
        <v>34000</v>
      </c>
      <c r="N2210" t="n">
        <v>91</v>
      </c>
      <c r="O2210" t="n">
        <v>0.91</v>
      </c>
      <c r="P2210" t="n">
        <v>1</v>
      </c>
      <c r="Q2210" t="n">
        <v>0.17</v>
      </c>
      <c r="R2210" t="n">
        <v>2</v>
      </c>
      <c r="S2210" t="n">
        <v>928.2</v>
      </c>
      <c r="T2210" t="n">
        <v>10</v>
      </c>
      <c r="U2210" t="n">
        <v>11</v>
      </c>
      <c r="V2210" t="n">
        <v>30</v>
      </c>
      <c r="W2210" t="n">
        <v>1</v>
      </c>
      <c r="X2210" t="n">
        <v>219.7802197802198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10050</v>
      </c>
      <c r="AG2210" t="n">
        <v>78</v>
      </c>
      <c r="AH2210" t="inlineStr">
        <is>
          <t>PT. GLORIENTA P.H - PPN (PDG)</t>
        </is>
      </c>
      <c r="AI2210" t="n">
        <v>80</v>
      </c>
      <c r="AJ2210" t="inlineStr">
        <is>
          <t>HERBORIST</t>
        </is>
      </c>
      <c r="AK2210" t="n">
        <v>21</v>
      </c>
      <c r="AL2210" t="inlineStr">
        <is>
          <t>Miss Glam Damar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HEY GURL</t>
        </is>
      </c>
      <c r="B2211" s="2">
        <f>"50505701660"</f>
        <v/>
      </c>
      <c r="C2211" t="inlineStr">
        <is>
          <t>HEY GURL Lip Glow Oil 3ml</t>
        </is>
      </c>
      <c r="D2211" t="inlineStr">
        <is>
          <t>Miss Glam Damar</t>
        </is>
      </c>
      <c r="E2211" t="n">
        <v>5</v>
      </c>
      <c r="F2211" t="n">
        <v>0.0182</v>
      </c>
      <c r="G2211" t="n">
        <v>0.91</v>
      </c>
      <c r="H2211" t="n">
        <v>4</v>
      </c>
      <c r="I2211" t="n">
        <v>21</v>
      </c>
      <c r="J2211" t="n">
        <v>3</v>
      </c>
      <c r="K2211" t="n">
        <v>0</v>
      </c>
      <c r="L2211" t="n">
        <v>39462</v>
      </c>
      <c r="M2211" t="n">
        <v>57000</v>
      </c>
      <c r="N2211" t="n">
        <v>91</v>
      </c>
      <c r="O2211" t="n">
        <v>0.91</v>
      </c>
      <c r="P2211" t="n">
        <v>1</v>
      </c>
      <c r="Q2211" t="n">
        <v>0.02</v>
      </c>
      <c r="R2211" t="n">
        <v>1</v>
      </c>
      <c r="S2211" t="n">
        <v>1037.4</v>
      </c>
      <c r="T2211" t="n">
        <v>20</v>
      </c>
      <c r="U2211" t="n">
        <v>21</v>
      </c>
      <c r="V2211" t="n">
        <v>30</v>
      </c>
      <c r="W2211" t="n">
        <v>1</v>
      </c>
      <c r="X2211" t="n">
        <v>274.7252747252747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5681</v>
      </c>
      <c r="AG2211" t="n">
        <v>1</v>
      </c>
      <c r="AH2211" t="inlineStr">
        <is>
          <t>PT. BERSAMA DISTRIVERSA INDONESIA (DC CIPUTAT)</t>
        </is>
      </c>
      <c r="AI2211" t="n">
        <v>808</v>
      </c>
      <c r="AJ2211" t="inlineStr">
        <is>
          <t>HEY GURL</t>
        </is>
      </c>
      <c r="AK2211" t="n">
        <v>21</v>
      </c>
      <c r="AL2211" t="inlineStr">
        <is>
          <t>Miss Glam Damar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HIMALAYA</t>
        </is>
      </c>
      <c r="B2212" s="2">
        <f>"6291107225111"</f>
        <v/>
      </c>
      <c r="C2212" t="inlineStr">
        <is>
          <t>HIMALAYA Deep Cleansing Charcoal Face Wash Pollution Deetox 100ml</t>
        </is>
      </c>
      <c r="D2212" t="inlineStr">
        <is>
          <t>Miss Glam Damar</t>
        </is>
      </c>
      <c r="E2212" t="n">
        <v>0</v>
      </c>
      <c r="F2212" t="n">
        <v>0.0364</v>
      </c>
      <c r="G2212" t="n">
        <v>0.91</v>
      </c>
      <c r="H2212" t="n">
        <v>2</v>
      </c>
      <c r="I2212" t="n">
        <v>7</v>
      </c>
      <c r="J2212" t="n">
        <v>3</v>
      </c>
      <c r="K2212" t="n">
        <v>0</v>
      </c>
      <c r="L2212" t="n">
        <v>25951</v>
      </c>
      <c r="M2212" t="n">
        <v>34000</v>
      </c>
      <c r="N2212" t="n">
        <v>91</v>
      </c>
      <c r="O2212" t="n">
        <v>0.91</v>
      </c>
      <c r="P2212" t="n">
        <v>1</v>
      </c>
      <c r="Q2212" t="n">
        <v>0.02</v>
      </c>
      <c r="R2212" t="n">
        <v>1</v>
      </c>
      <c r="S2212" t="n">
        <v>1237.6</v>
      </c>
      <c r="T2212" t="n">
        <v>7</v>
      </c>
      <c r="U2212" t="n">
        <v>8</v>
      </c>
      <c r="V2212" t="n">
        <v>30</v>
      </c>
      <c r="W2212" t="n">
        <v>2</v>
      </c>
      <c r="X2212" t="n">
        <v>0</v>
      </c>
      <c r="Y2212" t="n">
        <v>1</v>
      </c>
      <c r="Z2212" t="n">
        <v>2</v>
      </c>
      <c r="AA2212" t="n">
        <v>1</v>
      </c>
      <c r="AB2212" t="n">
        <v>1</v>
      </c>
      <c r="AC2212" t="n">
        <v>3</v>
      </c>
      <c r="AD2212" t="n">
        <v>25951</v>
      </c>
      <c r="AE2212" t="n">
        <v>77853</v>
      </c>
      <c r="AF2212" t="n">
        <v>1787</v>
      </c>
      <c r="AG2212" t="n">
        <v>2044</v>
      </c>
      <c r="AH2212" t="inlineStr">
        <is>
          <t>CV. WINEMERI BERKARYA - PPN (PDG)</t>
        </is>
      </c>
      <c r="AI2212" t="n">
        <v>325</v>
      </c>
      <c r="AJ2212" t="inlineStr">
        <is>
          <t>HIMALAYA</t>
        </is>
      </c>
      <c r="AK2212" t="n">
        <v>21</v>
      </c>
      <c r="AL2212" t="inlineStr">
        <is>
          <t>Miss Glam Damar</t>
        </is>
      </c>
      <c r="AM2212" t="n">
        <v>5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HIMALAYA</t>
        </is>
      </c>
      <c r="B2213" s="2">
        <f>"6291107225128"</f>
        <v/>
      </c>
      <c r="C2213" t="inlineStr">
        <is>
          <t>HIMALAYA Depp Cleansing Charcoal Face Wash Pollution Detox 50ml</t>
        </is>
      </c>
      <c r="D2213" t="inlineStr">
        <is>
          <t>Miss Glam Damar</t>
        </is>
      </c>
      <c r="E2213" t="n">
        <v>7</v>
      </c>
      <c r="F2213" t="n">
        <v>0.09100000000000001</v>
      </c>
      <c r="G2213" t="n">
        <v>1.82</v>
      </c>
      <c r="H2213" t="n">
        <v>2</v>
      </c>
      <c r="I2213" t="n">
        <v>7</v>
      </c>
      <c r="J2213" t="n">
        <v>3</v>
      </c>
      <c r="K2213" t="n">
        <v>0</v>
      </c>
      <c r="L2213" t="n">
        <v>15164</v>
      </c>
      <c r="M2213" t="n">
        <v>20000</v>
      </c>
      <c r="N2213" t="n">
        <v>91</v>
      </c>
      <c r="O2213" t="n">
        <v>0.91</v>
      </c>
      <c r="P2213" t="n">
        <v>1</v>
      </c>
      <c r="Q2213" t="n">
        <v>0.12</v>
      </c>
      <c r="R2213" t="n">
        <v>1</v>
      </c>
      <c r="S2213" t="n">
        <v>1820</v>
      </c>
      <c r="T2213" t="n">
        <v>13</v>
      </c>
      <c r="U2213" t="n">
        <v>14</v>
      </c>
      <c r="V2213" t="n">
        <v>30</v>
      </c>
      <c r="W2213" t="n">
        <v>3</v>
      </c>
      <c r="X2213" t="n">
        <v>76.92307692307692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1787</v>
      </c>
      <c r="AG2213" t="n">
        <v>2044</v>
      </c>
      <c r="AH2213" t="inlineStr">
        <is>
          <t>CV. WINEMERI BERKARYA - PPN (PDG)</t>
        </is>
      </c>
      <c r="AI2213" t="n">
        <v>325</v>
      </c>
      <c r="AJ2213" t="inlineStr">
        <is>
          <t>HIMALAYA</t>
        </is>
      </c>
      <c r="AK2213" t="n">
        <v>21</v>
      </c>
      <c r="AL2213" t="inlineStr">
        <is>
          <t>Miss Glam Damar</t>
        </is>
      </c>
      <c r="AM2213" t="n">
        <v>5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HIMALAYA</t>
        </is>
      </c>
      <c r="B2214" s="2">
        <f>"8901138509231"</f>
        <v/>
      </c>
      <c r="C2214" t="inlineStr">
        <is>
          <t>HIMALAYA Lip Balm 10gr</t>
        </is>
      </c>
      <c r="D2214" t="inlineStr">
        <is>
          <t>Miss Glam Damar</t>
        </is>
      </c>
      <c r="E2214" t="n">
        <v>0</v>
      </c>
      <c r="F2214" t="n">
        <v>0.4368</v>
      </c>
      <c r="G2214" t="n">
        <v>1.82</v>
      </c>
      <c r="H2214" t="n">
        <v>2</v>
      </c>
      <c r="I2214" t="n">
        <v>7</v>
      </c>
      <c r="J2214" t="n">
        <v>3</v>
      </c>
      <c r="K2214" t="n">
        <v>12</v>
      </c>
      <c r="L2214" t="n">
        <v>17863</v>
      </c>
      <c r="M2214" t="n">
        <v>25000</v>
      </c>
      <c r="N2214" t="n">
        <v>91</v>
      </c>
      <c r="O2214" t="n">
        <v>0.91</v>
      </c>
      <c r="P2214" t="n">
        <v>1</v>
      </c>
      <c r="Q2214" t="n">
        <v>0.25</v>
      </c>
      <c r="R2214" t="n">
        <v>1</v>
      </c>
      <c r="S2214" t="n">
        <v>10920</v>
      </c>
      <c r="T2214" t="n">
        <v>12</v>
      </c>
      <c r="U2214" t="n">
        <v>13</v>
      </c>
      <c r="V2214" t="n">
        <v>30</v>
      </c>
      <c r="W2214" t="n">
        <v>14</v>
      </c>
      <c r="X2214" t="n">
        <v>0</v>
      </c>
      <c r="Y2214" t="n">
        <v>1</v>
      </c>
      <c r="Z2214" t="n">
        <v>2</v>
      </c>
      <c r="AA2214" t="n">
        <v>3</v>
      </c>
      <c r="AB2214" t="n">
        <v>0</v>
      </c>
      <c r="AC2214" t="n">
        <v>0</v>
      </c>
      <c r="AD2214" t="n">
        <v>53589</v>
      </c>
      <c r="AE2214" t="n">
        <v>0</v>
      </c>
      <c r="AF2214" t="n">
        <v>1787</v>
      </c>
      <c r="AG2214" t="n">
        <v>2044</v>
      </c>
      <c r="AH2214" t="inlineStr">
        <is>
          <t>CV. WINEMERI BERKARYA - PPN (PDG)</t>
        </is>
      </c>
      <c r="AI2214" t="n">
        <v>325</v>
      </c>
      <c r="AJ2214" t="inlineStr">
        <is>
          <t>HIMALAYA</t>
        </is>
      </c>
      <c r="AK2214" t="n">
        <v>21</v>
      </c>
      <c r="AL2214" t="inlineStr">
        <is>
          <t>Miss Glam Damar</t>
        </is>
      </c>
      <c r="AM2214" t="n">
        <v>5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HIMALAYA</t>
        </is>
      </c>
      <c r="B2215" s="2">
        <f>"8901138831059"</f>
        <v/>
      </c>
      <c r="C2215" t="inlineStr">
        <is>
          <t>HIMALAYA Men Intense Oil Clear Lemon Face Wash Active Boost 100ml</t>
        </is>
      </c>
      <c r="D2215" t="inlineStr">
        <is>
          <t>Miss Glam Damar</t>
        </is>
      </c>
      <c r="E2215" t="n">
        <v>1</v>
      </c>
      <c r="F2215" t="n">
        <v>0.02</v>
      </c>
      <c r="G2215" t="n">
        <v>1</v>
      </c>
      <c r="H2215" t="n">
        <v>2</v>
      </c>
      <c r="I2215" t="n">
        <v>7</v>
      </c>
      <c r="J2215" t="n">
        <v>3</v>
      </c>
      <c r="K2215" t="n">
        <v>0</v>
      </c>
      <c r="L2215" t="n">
        <v>22771</v>
      </c>
      <c r="M2215" t="n">
        <v>28500</v>
      </c>
      <c r="N2215" t="n">
        <v>91</v>
      </c>
      <c r="O2215" t="n">
        <v>0.91</v>
      </c>
      <c r="P2215" t="n">
        <v>0</v>
      </c>
      <c r="Q2215" t="n">
        <v>0.02</v>
      </c>
      <c r="R2215" t="n">
        <v>1</v>
      </c>
      <c r="S2215" t="n">
        <v>570</v>
      </c>
      <c r="T2215" t="n">
        <v>7</v>
      </c>
      <c r="U2215" t="n">
        <v>8</v>
      </c>
      <c r="V2215" t="n">
        <v>30</v>
      </c>
      <c r="W2215" t="n">
        <v>1</v>
      </c>
      <c r="X2215" t="n">
        <v>50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1787</v>
      </c>
      <c r="AG2215" t="n">
        <v>2044</v>
      </c>
      <c r="AH2215" t="inlineStr">
        <is>
          <t>CV. WINEMERI BERKARYA - PPN (PDG)</t>
        </is>
      </c>
      <c r="AI2215" t="n">
        <v>325</v>
      </c>
      <c r="AJ2215" t="inlineStr">
        <is>
          <t>HIMALAYA</t>
        </is>
      </c>
      <c r="AK2215" t="n">
        <v>21</v>
      </c>
      <c r="AL2215" t="inlineStr">
        <is>
          <t>Miss Glam Damar</t>
        </is>
      </c>
      <c r="AM2215" t="n">
        <v>5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HIMALAYA</t>
        </is>
      </c>
      <c r="B2216" s="2">
        <f>"8901138831073"</f>
        <v/>
      </c>
      <c r="C2216" t="inlineStr">
        <is>
          <t>HIMALAYA Men Power Glow Licorice Face Wash 100ml</t>
        </is>
      </c>
      <c r="D2216" t="inlineStr">
        <is>
          <t>Miss Glam Damar</t>
        </is>
      </c>
      <c r="E2216" t="n">
        <v>4</v>
      </c>
      <c r="F2216" t="n">
        <v>0.09100000000000001</v>
      </c>
      <c r="G2216" t="n">
        <v>1.82</v>
      </c>
      <c r="H2216" t="n">
        <v>2</v>
      </c>
      <c r="I2216" t="n">
        <v>7</v>
      </c>
      <c r="J2216" t="n">
        <v>3</v>
      </c>
      <c r="K2216" t="n">
        <v>0</v>
      </c>
      <c r="L2216" t="n">
        <v>26902</v>
      </c>
      <c r="M2216" t="n">
        <v>36500</v>
      </c>
      <c r="N2216" t="n">
        <v>91</v>
      </c>
      <c r="O2216" t="n">
        <v>0.91</v>
      </c>
      <c r="P2216" t="n">
        <v>1</v>
      </c>
      <c r="Q2216" t="n">
        <v>0.03</v>
      </c>
      <c r="R2216" t="n">
        <v>1</v>
      </c>
      <c r="S2216" t="n">
        <v>3321.5</v>
      </c>
      <c r="T2216" t="n">
        <v>13</v>
      </c>
      <c r="U2216" t="n">
        <v>14</v>
      </c>
      <c r="V2216" t="n">
        <v>30</v>
      </c>
      <c r="W2216" t="n">
        <v>3</v>
      </c>
      <c r="X2216" t="n">
        <v>43.95604395604395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1787</v>
      </c>
      <c r="AG2216" t="n">
        <v>2044</v>
      </c>
      <c r="AH2216" t="inlineStr">
        <is>
          <t>CV. WINEMERI BERKARYA - PPN (PDG)</t>
        </is>
      </c>
      <c r="AI2216" t="n">
        <v>325</v>
      </c>
      <c r="AJ2216" t="inlineStr">
        <is>
          <t>HIMALAYA</t>
        </is>
      </c>
      <c r="AK2216" t="n">
        <v>21</v>
      </c>
      <c r="AL2216" t="inlineStr">
        <is>
          <t>Miss Glam Damar</t>
        </is>
      </c>
      <c r="AM2216" t="n">
        <v>5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HIMALAYA</t>
        </is>
      </c>
      <c r="B2217" s="2">
        <f>"8901138831066"</f>
        <v/>
      </c>
      <c r="C2217" t="inlineStr">
        <is>
          <t>HIMALAYA Men Power Glow Licorice Face Wash Active Boost 50ml</t>
        </is>
      </c>
      <c r="D2217" t="inlineStr">
        <is>
          <t>Miss Glam Damar</t>
        </is>
      </c>
      <c r="E2217" t="n">
        <v>6</v>
      </c>
      <c r="F2217" t="n">
        <v>0.04550000000000001</v>
      </c>
      <c r="G2217" t="n">
        <v>0.91</v>
      </c>
      <c r="H2217" t="n">
        <v>2</v>
      </c>
      <c r="I2217" t="n">
        <v>7</v>
      </c>
      <c r="J2217" t="n">
        <v>3</v>
      </c>
      <c r="K2217" t="n">
        <v>0</v>
      </c>
      <c r="L2217" t="n">
        <v>19431</v>
      </c>
      <c r="M2217" t="n">
        <v>24000</v>
      </c>
      <c r="N2217" t="n">
        <v>91</v>
      </c>
      <c r="O2217" t="n">
        <v>0.91</v>
      </c>
      <c r="P2217" t="n">
        <v>1</v>
      </c>
      <c r="Q2217" t="n">
        <v>0.03</v>
      </c>
      <c r="R2217" t="n">
        <v>1</v>
      </c>
      <c r="S2217" t="n">
        <v>1092</v>
      </c>
      <c r="T2217" t="n">
        <v>7</v>
      </c>
      <c r="U2217" t="n">
        <v>8</v>
      </c>
      <c r="V2217" t="n">
        <v>30</v>
      </c>
      <c r="W2217" t="n">
        <v>2</v>
      </c>
      <c r="X2217" t="n">
        <v>131.8681318681319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1787</v>
      </c>
      <c r="AG2217" t="n">
        <v>2044</v>
      </c>
      <c r="AH2217" t="inlineStr">
        <is>
          <t>CV. WINEMERI BERKARYA - PPN (PDG)</t>
        </is>
      </c>
      <c r="AI2217" t="n">
        <v>325</v>
      </c>
      <c r="AJ2217" t="inlineStr">
        <is>
          <t>HIMALAYA</t>
        </is>
      </c>
      <c r="AK2217" t="n">
        <v>21</v>
      </c>
      <c r="AL2217" t="inlineStr">
        <is>
          <t>Miss Glam Damar</t>
        </is>
      </c>
      <c r="AM2217" t="n">
        <v>5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HIMALAYA</t>
        </is>
      </c>
      <c r="B2218" s="2">
        <f>"8901138837563"</f>
        <v/>
      </c>
      <c r="C2218" t="inlineStr">
        <is>
          <t>HIMALAYA Moisturizing Aloe Vera Face Wash 100ml</t>
        </is>
      </c>
      <c r="D2218" t="inlineStr">
        <is>
          <t>Miss Glam Damar</t>
        </is>
      </c>
      <c r="E2218" t="n">
        <v>0</v>
      </c>
      <c r="F2218" t="n">
        <v>0.0273</v>
      </c>
      <c r="G2218" t="n">
        <v>0.91</v>
      </c>
      <c r="H2218" t="n">
        <v>2</v>
      </c>
      <c r="I2218" t="n">
        <v>7</v>
      </c>
      <c r="J2218" t="n">
        <v>3</v>
      </c>
      <c r="K2218" t="n">
        <v>6</v>
      </c>
      <c r="L2218" t="n">
        <v>26423</v>
      </c>
      <c r="M2218" t="n">
        <v>40000</v>
      </c>
      <c r="N2218" t="n">
        <v>91</v>
      </c>
      <c r="O2218" t="n">
        <v>0.91</v>
      </c>
      <c r="P2218" t="n">
        <v>1</v>
      </c>
      <c r="Q2218" t="n">
        <v>0.07000000000000001</v>
      </c>
      <c r="R2218" t="n">
        <v>1</v>
      </c>
      <c r="S2218" t="n">
        <v>1092</v>
      </c>
      <c r="T2218" t="n">
        <v>7</v>
      </c>
      <c r="U2218" t="n">
        <v>8</v>
      </c>
      <c r="V2218" t="n">
        <v>30</v>
      </c>
      <c r="W2218" t="n">
        <v>1</v>
      </c>
      <c r="X2218" t="n">
        <v>0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1787</v>
      </c>
      <c r="AG2218" t="n">
        <v>2044</v>
      </c>
      <c r="AH2218" t="inlineStr">
        <is>
          <t>CV. WINEMERI BERKARYA - PPN (PDG)</t>
        </is>
      </c>
      <c r="AI2218" t="n">
        <v>325</v>
      </c>
      <c r="AJ2218" t="inlineStr">
        <is>
          <t>HIMALAYA</t>
        </is>
      </c>
      <c r="AK2218" t="n">
        <v>21</v>
      </c>
      <c r="AL2218" t="inlineStr">
        <is>
          <t>Miss Glam Damar</t>
        </is>
      </c>
      <c r="AM2218" t="n">
        <v>5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HIMALAYA</t>
        </is>
      </c>
      <c r="B2219" s="2">
        <f>"8901138847272"</f>
        <v/>
      </c>
      <c r="C2219" t="inlineStr">
        <is>
          <t>HIMALAYA Natural Glow Rose Face Wash 100ml</t>
        </is>
      </c>
      <c r="D2219" t="inlineStr">
        <is>
          <t>Miss Glam Damar</t>
        </is>
      </c>
      <c r="E2219" t="n">
        <v>4</v>
      </c>
      <c r="F2219" t="n">
        <v>0.06370000000000001</v>
      </c>
      <c r="G2219" t="n">
        <v>1.82</v>
      </c>
      <c r="H2219" t="n">
        <v>2</v>
      </c>
      <c r="I2219" t="n">
        <v>7</v>
      </c>
      <c r="J2219" t="n">
        <v>3</v>
      </c>
      <c r="K2219" t="n">
        <v>0</v>
      </c>
      <c r="L2219" t="n">
        <v>23807</v>
      </c>
      <c r="M2219" t="n">
        <v>34000</v>
      </c>
      <c r="N2219" t="n">
        <v>91</v>
      </c>
      <c r="O2219" t="n">
        <v>0.91</v>
      </c>
      <c r="P2219" t="n">
        <v>1</v>
      </c>
      <c r="Q2219" t="n">
        <v>0.05</v>
      </c>
      <c r="R2219" t="n">
        <v>1</v>
      </c>
      <c r="S2219" t="n">
        <v>2165.8</v>
      </c>
      <c r="T2219" t="n">
        <v>13</v>
      </c>
      <c r="U2219" t="n">
        <v>14</v>
      </c>
      <c r="V2219" t="n">
        <v>30</v>
      </c>
      <c r="W2219" t="n">
        <v>2</v>
      </c>
      <c r="X2219" t="n">
        <v>62.79434850863422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1787</v>
      </c>
      <c r="AG2219" t="n">
        <v>2044</v>
      </c>
      <c r="AH2219" t="inlineStr">
        <is>
          <t>CV. WINEMERI BERKARYA - PPN (PDG)</t>
        </is>
      </c>
      <c r="AI2219" t="n">
        <v>325</v>
      </c>
      <c r="AJ2219" t="inlineStr">
        <is>
          <t>HIMALAYA</t>
        </is>
      </c>
      <c r="AK2219" t="n">
        <v>21</v>
      </c>
      <c r="AL2219" t="inlineStr">
        <is>
          <t>Miss Glam Damar</t>
        </is>
      </c>
      <c r="AM2219" t="n">
        <v>5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HIMALAYA</t>
        </is>
      </c>
      <c r="B2220" s="2">
        <f>"8901138509217"</f>
        <v/>
      </c>
      <c r="C2220" t="inlineStr">
        <is>
          <t>HIMALAYA Oil Control Lemon Face Wash 50ml</t>
        </is>
      </c>
      <c r="D2220" t="inlineStr">
        <is>
          <t>Miss Glam Damar</t>
        </is>
      </c>
      <c r="E2220" t="n">
        <v>1</v>
      </c>
      <c r="F2220" t="n">
        <v>0.0182</v>
      </c>
      <c r="G2220" t="n">
        <v>0.91</v>
      </c>
      <c r="H2220" t="n">
        <v>2</v>
      </c>
      <c r="I2220" t="n">
        <v>7</v>
      </c>
      <c r="J2220" t="n">
        <v>6</v>
      </c>
      <c r="K2220" t="n">
        <v>0</v>
      </c>
      <c r="L2220" t="n">
        <v>18613</v>
      </c>
      <c r="M2220" t="n">
        <v>22000</v>
      </c>
      <c r="N2220" t="n">
        <v>91</v>
      </c>
      <c r="O2220" t="n">
        <v>0.91</v>
      </c>
      <c r="P2220" t="n">
        <v>1</v>
      </c>
      <c r="Q2220" t="n">
        <v>0.03</v>
      </c>
      <c r="R2220" t="n">
        <v>1</v>
      </c>
      <c r="S2220" t="n">
        <v>400.4</v>
      </c>
      <c r="T2220" t="n">
        <v>7</v>
      </c>
      <c r="U2220" t="n">
        <v>8</v>
      </c>
      <c r="V2220" t="n">
        <v>30</v>
      </c>
      <c r="W2220" t="n">
        <v>1</v>
      </c>
      <c r="X2220" t="n">
        <v>54.94505494505494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1787</v>
      </c>
      <c r="AG2220" t="n">
        <v>2044</v>
      </c>
      <c r="AH2220" t="inlineStr">
        <is>
          <t>CV. WINEMERI BERKARYA - PPN (PDG)</t>
        </is>
      </c>
      <c r="AI2220" t="n">
        <v>325</v>
      </c>
      <c r="AJ2220" t="inlineStr">
        <is>
          <t>HIMALAYA</t>
        </is>
      </c>
      <c r="AK2220" t="n">
        <v>21</v>
      </c>
      <c r="AL2220" t="inlineStr">
        <is>
          <t>Miss Glam Damar</t>
        </is>
      </c>
      <c r="AM2220" t="n">
        <v>5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HIMALAYA</t>
        </is>
      </c>
      <c r="B2221" s="2">
        <f>"8901138512002"</f>
        <v/>
      </c>
      <c r="C2221" t="inlineStr">
        <is>
          <t>HIMALAYA Purifying Neem Face Wash 100ml</t>
        </is>
      </c>
      <c r="D2221" t="inlineStr">
        <is>
          <t>Miss Glam Damar</t>
        </is>
      </c>
      <c r="E2221" t="n">
        <v>3</v>
      </c>
      <c r="F2221" t="n">
        <v>0.3731</v>
      </c>
      <c r="G2221" t="n">
        <v>2.73</v>
      </c>
      <c r="H2221" t="n">
        <v>2</v>
      </c>
      <c r="I2221" t="n">
        <v>7</v>
      </c>
      <c r="J2221" t="n">
        <v>3</v>
      </c>
      <c r="K2221" t="n">
        <v>12</v>
      </c>
      <c r="L2221" t="n">
        <v>26765</v>
      </c>
      <c r="M2221" t="n">
        <v>40000</v>
      </c>
      <c r="N2221" t="n">
        <v>91</v>
      </c>
      <c r="O2221" t="n">
        <v>0.91</v>
      </c>
      <c r="P2221" t="n">
        <v>1</v>
      </c>
      <c r="Q2221" t="n">
        <v>0.36</v>
      </c>
      <c r="R2221" t="n">
        <v>3</v>
      </c>
      <c r="S2221" t="n">
        <v>14924</v>
      </c>
      <c r="T2221" t="n">
        <v>19</v>
      </c>
      <c r="U2221" t="n">
        <v>20</v>
      </c>
      <c r="V2221" t="n">
        <v>30</v>
      </c>
      <c r="W2221" t="n">
        <v>12</v>
      </c>
      <c r="X2221" t="n">
        <v>8.040739748056822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1787</v>
      </c>
      <c r="AG2221" t="n">
        <v>2044</v>
      </c>
      <c r="AH2221" t="inlineStr">
        <is>
          <t>CV. WINEMERI BERKARYA - PPN (PDG)</t>
        </is>
      </c>
      <c r="AI2221" t="n">
        <v>325</v>
      </c>
      <c r="AJ2221" t="inlineStr">
        <is>
          <t>HIMALAYA</t>
        </is>
      </c>
      <c r="AK2221" t="n">
        <v>21</v>
      </c>
      <c r="AL2221" t="inlineStr">
        <is>
          <t>Miss Glam Damar</t>
        </is>
      </c>
      <c r="AM2221" t="n">
        <v>5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HIMALAYA</t>
        </is>
      </c>
      <c r="B2222" s="2">
        <f>"8901138818777"</f>
        <v/>
      </c>
      <c r="C2222" t="inlineStr">
        <is>
          <t>HIMALAYA Purifying Neem Face Wash 50ml</t>
        </is>
      </c>
      <c r="D2222" t="inlineStr">
        <is>
          <t>Miss Glam Damar</t>
        </is>
      </c>
      <c r="E2222" t="n">
        <v>6</v>
      </c>
      <c r="F2222" t="n">
        <v>0.2457</v>
      </c>
      <c r="G2222" t="n">
        <v>1.82</v>
      </c>
      <c r="H2222" t="n">
        <v>2</v>
      </c>
      <c r="I2222" t="n">
        <v>7</v>
      </c>
      <c r="J2222" t="n">
        <v>3</v>
      </c>
      <c r="K2222" t="n">
        <v>0</v>
      </c>
      <c r="L2222" t="n">
        <v>17570</v>
      </c>
      <c r="M2222" t="n">
        <v>27000</v>
      </c>
      <c r="N2222" t="n">
        <v>91</v>
      </c>
      <c r="O2222" t="n">
        <v>0.91</v>
      </c>
      <c r="P2222" t="n">
        <v>1</v>
      </c>
      <c r="Q2222" t="n">
        <v>0.12</v>
      </c>
      <c r="R2222" t="n">
        <v>2</v>
      </c>
      <c r="S2222" t="n">
        <v>6633.900000000001</v>
      </c>
      <c r="T2222" t="n">
        <v>13</v>
      </c>
      <c r="U2222" t="n">
        <v>14</v>
      </c>
      <c r="V2222" t="n">
        <v>30</v>
      </c>
      <c r="W2222" t="n">
        <v>8</v>
      </c>
      <c r="X2222" t="n">
        <v>24.42002442002442</v>
      </c>
      <c r="Y2222" t="n">
        <v>1</v>
      </c>
      <c r="Z2222" t="n">
        <v>2</v>
      </c>
      <c r="AA2222" t="n">
        <v>0</v>
      </c>
      <c r="AB2222" t="n">
        <v>2</v>
      </c>
      <c r="AC2222" t="n">
        <v>3</v>
      </c>
      <c r="AD2222" t="n">
        <v>0</v>
      </c>
      <c r="AE2222" t="n">
        <v>52710</v>
      </c>
      <c r="AF2222" t="n">
        <v>1787</v>
      </c>
      <c r="AG2222" t="n">
        <v>2044</v>
      </c>
      <c r="AH2222" t="inlineStr">
        <is>
          <t>CV. WINEMERI BERKARYA - PPN (PDG)</t>
        </is>
      </c>
      <c r="AI2222" t="n">
        <v>325</v>
      </c>
      <c r="AJ2222" t="inlineStr">
        <is>
          <t>HIMALAYA</t>
        </is>
      </c>
      <c r="AK2222" t="n">
        <v>21</v>
      </c>
      <c r="AL2222" t="inlineStr">
        <is>
          <t>Miss Glam Damar</t>
        </is>
      </c>
      <c r="AM2222" t="n">
        <v>5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HIMALAYA</t>
        </is>
      </c>
      <c r="B2223" s="2">
        <f>"8901138830816"</f>
        <v/>
      </c>
      <c r="C2223" t="inlineStr">
        <is>
          <t>HIMALAYA Purifying Neem Mask 100ml</t>
        </is>
      </c>
      <c r="D2223" t="inlineStr">
        <is>
          <t>Miss Glam Damar</t>
        </is>
      </c>
      <c r="E2223" t="n">
        <v>11</v>
      </c>
      <c r="F2223" t="n">
        <v>0.8008000000000001</v>
      </c>
      <c r="G2223" t="n">
        <v>4.55</v>
      </c>
      <c r="H2223" t="n">
        <v>2</v>
      </c>
      <c r="I2223" t="n">
        <v>7</v>
      </c>
      <c r="J2223" t="n">
        <v>3</v>
      </c>
      <c r="K2223" t="n">
        <v>0</v>
      </c>
      <c r="L2223" t="n">
        <v>30964</v>
      </c>
      <c r="M2223" t="n">
        <v>44000</v>
      </c>
      <c r="N2223" t="n">
        <v>91</v>
      </c>
      <c r="O2223" t="n">
        <v>0.91</v>
      </c>
      <c r="P2223" t="n">
        <v>1</v>
      </c>
      <c r="Q2223" t="n">
        <v>0.46</v>
      </c>
      <c r="R2223" t="n">
        <v>2</v>
      </c>
      <c r="S2223" t="n">
        <v>35235.2</v>
      </c>
      <c r="T2223" t="n">
        <v>31</v>
      </c>
      <c r="U2223" t="n">
        <v>33</v>
      </c>
      <c r="V2223" t="n">
        <v>30</v>
      </c>
      <c r="W2223" t="n">
        <v>25</v>
      </c>
      <c r="X2223" t="n">
        <v>13.73626373626374</v>
      </c>
      <c r="Y2223" t="n">
        <v>1</v>
      </c>
      <c r="Z2223" t="n">
        <v>14</v>
      </c>
      <c r="AA2223" t="n">
        <v>0</v>
      </c>
      <c r="AB2223" t="n">
        <v>14</v>
      </c>
      <c r="AC2223" t="n">
        <v>14</v>
      </c>
      <c r="AD2223" t="n">
        <v>0</v>
      </c>
      <c r="AE2223" t="n">
        <v>433496</v>
      </c>
      <c r="AF2223" t="n">
        <v>1787</v>
      </c>
      <c r="AG2223" t="n">
        <v>2044</v>
      </c>
      <c r="AH2223" t="inlineStr">
        <is>
          <t>CV. WINEMERI BERKARYA - PPN (PDG)</t>
        </is>
      </c>
      <c r="AI2223" t="n">
        <v>325</v>
      </c>
      <c r="AJ2223" t="inlineStr">
        <is>
          <t>HIMALAYA</t>
        </is>
      </c>
      <c r="AK2223" t="n">
        <v>21</v>
      </c>
      <c r="AL2223" t="inlineStr">
        <is>
          <t>Miss Glam Damar</t>
        </is>
      </c>
      <c r="AM2223" t="n">
        <v>5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HIMALAYA</t>
        </is>
      </c>
      <c r="B2224" s="2">
        <f>"8901138821845"</f>
        <v/>
      </c>
      <c r="C2224" t="inlineStr">
        <is>
          <t>HIMALAYA Purifying Neem Mask 50ml</t>
        </is>
      </c>
      <c r="D2224" t="inlineStr">
        <is>
          <t>Miss Glam Damar</t>
        </is>
      </c>
      <c r="E2224" t="n">
        <v>25</v>
      </c>
      <c r="F2224" t="n">
        <v>1.911</v>
      </c>
      <c r="G2224" t="n">
        <v>4.55</v>
      </c>
      <c r="H2224" t="n">
        <v>2</v>
      </c>
      <c r="I2224" t="n">
        <v>7</v>
      </c>
      <c r="J2224" t="n">
        <v>12</v>
      </c>
      <c r="K2224" t="n">
        <v>0</v>
      </c>
      <c r="L2224" t="n">
        <v>19344</v>
      </c>
      <c r="M2224" t="n">
        <v>27000</v>
      </c>
      <c r="N2224" t="n">
        <v>91</v>
      </c>
      <c r="O2224" t="n">
        <v>0.91</v>
      </c>
      <c r="P2224" t="n">
        <v>1</v>
      </c>
      <c r="Q2224" t="n">
        <v>1.29</v>
      </c>
      <c r="R2224" t="n">
        <v>4</v>
      </c>
      <c r="S2224" t="n">
        <v>51597.00000000001</v>
      </c>
      <c r="T2224" t="n">
        <v>29</v>
      </c>
      <c r="U2224" t="n">
        <v>33</v>
      </c>
      <c r="V2224" t="n">
        <v>30</v>
      </c>
      <c r="W2224" t="n">
        <v>58</v>
      </c>
      <c r="X2224" t="n">
        <v>13.0821559392988</v>
      </c>
      <c r="Y2224" t="n">
        <v>1</v>
      </c>
      <c r="Z2224" t="n">
        <v>33</v>
      </c>
      <c r="AA2224" t="n">
        <v>0</v>
      </c>
      <c r="AB2224" t="n">
        <v>33</v>
      </c>
      <c r="AC2224" t="n">
        <v>33</v>
      </c>
      <c r="AD2224" t="n">
        <v>0</v>
      </c>
      <c r="AE2224" t="n">
        <v>638352</v>
      </c>
      <c r="AF2224" t="n">
        <v>1787</v>
      </c>
      <c r="AG2224" t="n">
        <v>2044</v>
      </c>
      <c r="AH2224" t="inlineStr">
        <is>
          <t>CV. WINEMERI BERKARYA - PPN (PDG)</t>
        </is>
      </c>
      <c r="AI2224" t="n">
        <v>325</v>
      </c>
      <c r="AJ2224" t="inlineStr">
        <is>
          <t>HIMALAYA</t>
        </is>
      </c>
      <c r="AK2224" t="n">
        <v>21</v>
      </c>
      <c r="AL2224" t="inlineStr">
        <is>
          <t>Miss Glam Damar</t>
        </is>
      </c>
      <c r="AM2224" t="n">
        <v>5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HIMALAYA</t>
        </is>
      </c>
      <c r="B2225" s="2">
        <f>"8901138821920"</f>
        <v/>
      </c>
      <c r="C2225" t="inlineStr">
        <is>
          <t>HIMALAYA Purifying Neem Scrub 100ml</t>
        </is>
      </c>
      <c r="D2225" t="inlineStr">
        <is>
          <t>Miss Glam Damar</t>
        </is>
      </c>
      <c r="E2225" t="n">
        <v>5</v>
      </c>
      <c r="F2225" t="n">
        <v>0.02</v>
      </c>
      <c r="G2225" t="n">
        <v>1</v>
      </c>
      <c r="H2225" t="n">
        <v>2</v>
      </c>
      <c r="I2225" t="n">
        <v>7</v>
      </c>
      <c r="J2225" t="n">
        <v>3</v>
      </c>
      <c r="K2225" t="n">
        <v>0</v>
      </c>
      <c r="L2225" t="n">
        <v>29677</v>
      </c>
      <c r="M2225" t="n">
        <v>40000</v>
      </c>
      <c r="N2225" t="n">
        <v>91</v>
      </c>
      <c r="O2225" t="n">
        <v>0.91</v>
      </c>
      <c r="P2225" t="n">
        <v>0</v>
      </c>
      <c r="Q2225" t="n">
        <v>0.02</v>
      </c>
      <c r="R2225" t="n">
        <v>1</v>
      </c>
      <c r="S2225" t="n">
        <v>800</v>
      </c>
      <c r="T2225" t="n">
        <v>7</v>
      </c>
      <c r="U2225" t="n">
        <v>8</v>
      </c>
      <c r="V2225" t="n">
        <v>30</v>
      </c>
      <c r="W2225" t="n">
        <v>1</v>
      </c>
      <c r="X2225" t="n">
        <v>250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1787</v>
      </c>
      <c r="AG2225" t="n">
        <v>2044</v>
      </c>
      <c r="AH2225" t="inlineStr">
        <is>
          <t>CV. WINEMERI BERKARYA - PPN (PDG)</t>
        </is>
      </c>
      <c r="AI2225" t="n">
        <v>325</v>
      </c>
      <c r="AJ2225" t="inlineStr">
        <is>
          <t>HIMALAYA</t>
        </is>
      </c>
      <c r="AK2225" t="n">
        <v>21</v>
      </c>
      <c r="AL2225" t="inlineStr">
        <is>
          <t>Miss Glam Damar</t>
        </is>
      </c>
      <c r="AM2225" t="n">
        <v>5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HIMALAYA</t>
        </is>
      </c>
      <c r="B2226" s="2">
        <f>"8901138821913"</f>
        <v/>
      </c>
      <c r="C2226" t="inlineStr">
        <is>
          <t>HIMALAYA Purifying Neem Scrub 50ml</t>
        </is>
      </c>
      <c r="D2226" t="inlineStr">
        <is>
          <t>Miss Glam Damar</t>
        </is>
      </c>
      <c r="E2226" t="n">
        <v>0</v>
      </c>
      <c r="F2226" t="n">
        <v>0.2639</v>
      </c>
      <c r="G2226" t="n">
        <v>1.82</v>
      </c>
      <c r="H2226" t="n">
        <v>2</v>
      </c>
      <c r="I2226" t="n">
        <v>7</v>
      </c>
      <c r="J2226" t="n">
        <v>3</v>
      </c>
      <c r="K2226" t="n">
        <v>12</v>
      </c>
      <c r="L2226" t="n">
        <v>18521</v>
      </c>
      <c r="M2226" t="n">
        <v>27000</v>
      </c>
      <c r="N2226" t="n">
        <v>91</v>
      </c>
      <c r="O2226" t="n">
        <v>0.91</v>
      </c>
      <c r="P2226" t="n">
        <v>1</v>
      </c>
      <c r="Q2226" t="n">
        <v>0.16</v>
      </c>
      <c r="R2226" t="n">
        <v>2</v>
      </c>
      <c r="S2226" t="n">
        <v>7125.299999999999</v>
      </c>
      <c r="T2226" t="n">
        <v>13</v>
      </c>
      <c r="U2226" t="n">
        <v>14</v>
      </c>
      <c r="V2226" t="n">
        <v>30</v>
      </c>
      <c r="W2226" t="n">
        <v>8</v>
      </c>
      <c r="X2226" t="n">
        <v>0</v>
      </c>
      <c r="Y2226" t="n">
        <v>1</v>
      </c>
      <c r="Z2226" t="n">
        <v>0</v>
      </c>
      <c r="AA2226" t="n">
        <v>1</v>
      </c>
      <c r="AB2226" t="n">
        <v>0</v>
      </c>
      <c r="AC2226" t="n">
        <v>0</v>
      </c>
      <c r="AD2226" t="n">
        <v>18521</v>
      </c>
      <c r="AE2226" t="n">
        <v>0</v>
      </c>
      <c r="AF2226" t="n">
        <v>1787</v>
      </c>
      <c r="AG2226" t="n">
        <v>2044</v>
      </c>
      <c r="AH2226" t="inlineStr">
        <is>
          <t>CV. WINEMERI BERKARYA - PPN (PDG)</t>
        </is>
      </c>
      <c r="AI2226" t="n">
        <v>325</v>
      </c>
      <c r="AJ2226" t="inlineStr">
        <is>
          <t>HIMALAYA</t>
        </is>
      </c>
      <c r="AK2226" t="n">
        <v>21</v>
      </c>
      <c r="AL2226" t="inlineStr">
        <is>
          <t>Miss Glam Damar</t>
        </is>
      </c>
      <c r="AM2226" t="n">
        <v>5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HIMALAYA</t>
        </is>
      </c>
      <c r="B2227" s="2">
        <f>"8901138712235"</f>
        <v/>
      </c>
      <c r="C2227" t="inlineStr">
        <is>
          <t>HIMALAYA Under Eye Cream 15ml</t>
        </is>
      </c>
      <c r="D2227" t="inlineStr">
        <is>
          <t>Miss Glam Damar</t>
        </is>
      </c>
      <c r="E2227" t="n">
        <v>0</v>
      </c>
      <c r="F2227" t="n">
        <v>0.03</v>
      </c>
      <c r="G2227" t="n">
        <v>1</v>
      </c>
      <c r="H2227" t="n">
        <v>2</v>
      </c>
      <c r="I2227" t="n">
        <v>7</v>
      </c>
      <c r="J2227" t="n">
        <v>3</v>
      </c>
      <c r="K2227" t="n">
        <v>0</v>
      </c>
      <c r="L2227" t="n">
        <v>33360</v>
      </c>
      <c r="M2227" t="n">
        <v>41000</v>
      </c>
      <c r="N2227" t="n">
        <v>91</v>
      </c>
      <c r="O2227" t="n">
        <v>0.91</v>
      </c>
      <c r="P2227" t="n">
        <v>0</v>
      </c>
      <c r="Q2227" t="n">
        <v>0.03</v>
      </c>
      <c r="R2227" t="n">
        <v>1</v>
      </c>
      <c r="S2227" t="n">
        <v>1230</v>
      </c>
      <c r="T2227" t="n">
        <v>7</v>
      </c>
      <c r="U2227" t="n">
        <v>8</v>
      </c>
      <c r="V2227" t="n">
        <v>30</v>
      </c>
      <c r="W2227" t="n">
        <v>1</v>
      </c>
      <c r="X2227" t="n">
        <v>0</v>
      </c>
      <c r="Y2227" t="n">
        <v>1</v>
      </c>
      <c r="Z2227" t="n">
        <v>1</v>
      </c>
      <c r="AA2227" t="n">
        <v>1</v>
      </c>
      <c r="AB2227" t="n">
        <v>0</v>
      </c>
      <c r="AC2227" t="n">
        <v>0</v>
      </c>
      <c r="AD2227" t="n">
        <v>33360</v>
      </c>
      <c r="AE2227" t="n">
        <v>0</v>
      </c>
      <c r="AF2227" t="n">
        <v>1787</v>
      </c>
      <c r="AG2227" t="n">
        <v>2044</v>
      </c>
      <c r="AH2227" t="inlineStr">
        <is>
          <t>CV. WINEMERI BERKARYA - PPN (PDG)</t>
        </is>
      </c>
      <c r="AI2227" t="n">
        <v>325</v>
      </c>
      <c r="AJ2227" t="inlineStr">
        <is>
          <t>HIMALAYA</t>
        </is>
      </c>
      <c r="AK2227" t="n">
        <v>21</v>
      </c>
      <c r="AL2227" t="inlineStr">
        <is>
          <t>Miss Glam Damar</t>
        </is>
      </c>
      <c r="AM2227" t="n">
        <v>5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HINT</t>
        </is>
      </c>
      <c r="B2228" s="2">
        <f>"30400258415"</f>
        <v/>
      </c>
      <c r="C2228" t="inlineStr">
        <is>
          <t>HINT Delicate Eau de Parfum 50ml</t>
        </is>
      </c>
      <c r="D2228" t="inlineStr">
        <is>
          <t>Miss Glam Damar</t>
        </is>
      </c>
      <c r="E2228" t="n">
        <v>1</v>
      </c>
      <c r="F2228" t="n">
        <v>0.0182</v>
      </c>
      <c r="G2228" t="n">
        <v>0.91</v>
      </c>
      <c r="H2228" t="n">
        <v>4</v>
      </c>
      <c r="I2228" t="n">
        <v>21</v>
      </c>
      <c r="J2228" t="n">
        <v>1</v>
      </c>
      <c r="K2228" t="n">
        <v>0</v>
      </c>
      <c r="L2228" t="n">
        <v>139299</v>
      </c>
      <c r="M2228" t="n">
        <v>189000</v>
      </c>
      <c r="N2228" t="n">
        <v>91</v>
      </c>
      <c r="O2228" t="n">
        <v>0.91</v>
      </c>
      <c r="P2228" t="n">
        <v>1</v>
      </c>
      <c r="Q2228" t="n">
        <v>0.03</v>
      </c>
      <c r="R2228" t="n">
        <v>1</v>
      </c>
      <c r="S2228" t="n">
        <v>3439.8</v>
      </c>
      <c r="T2228" t="n">
        <v>20</v>
      </c>
      <c r="U2228" t="n">
        <v>21</v>
      </c>
      <c r="V2228" t="n">
        <v>30</v>
      </c>
      <c r="W2228" t="n">
        <v>1</v>
      </c>
      <c r="X2228" t="n">
        <v>54.94505494505494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5714</v>
      </c>
      <c r="AG2228" t="n">
        <v>1</v>
      </c>
      <c r="AH2228" t="inlineStr">
        <is>
          <t>PT. BERSAMA DISTRIVERSA INDONESIA (DC CIPUTAT)</t>
        </is>
      </c>
      <c r="AI2228" t="n">
        <v>2262</v>
      </c>
      <c r="AJ2228" t="inlineStr">
        <is>
          <t>HINT</t>
        </is>
      </c>
      <c r="AK2228" t="n">
        <v>21</v>
      </c>
      <c r="AL2228" t="inlineStr">
        <is>
          <t>Miss Glam Damar</t>
        </is>
      </c>
      <c r="AM2228" t="n">
        <v>3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HISTOIRE NATURELLE</t>
        </is>
      </c>
      <c r="B2229" s="2">
        <f>"8809534611520"</f>
        <v/>
      </c>
      <c r="C2229" t="inlineStr">
        <is>
          <t>HISTOIRE NATURELLE Hyaluronic Hydra Sooth Cleansing Water 500ml</t>
        </is>
      </c>
      <c r="D2229" t="inlineStr">
        <is>
          <t>Miss Glam Damar</t>
        </is>
      </c>
      <c r="E2229" t="n">
        <v>15</v>
      </c>
      <c r="F2229" t="n">
        <v>0.0182</v>
      </c>
      <c r="G2229" t="n">
        <v>0.91</v>
      </c>
      <c r="H2229" t="n">
        <v>4</v>
      </c>
      <c r="I2229" t="n">
        <v>21</v>
      </c>
      <c r="J2229" t="n">
        <v>3</v>
      </c>
      <c r="K2229" t="n">
        <v>0</v>
      </c>
      <c r="L2229" t="n">
        <v>103991</v>
      </c>
      <c r="M2229" t="n">
        <v>149000</v>
      </c>
      <c r="N2229" t="n">
        <v>91</v>
      </c>
      <c r="O2229" t="n">
        <v>0.91</v>
      </c>
      <c r="P2229" t="n">
        <v>1</v>
      </c>
      <c r="Q2229" t="n">
        <v>0.02</v>
      </c>
      <c r="R2229" t="n">
        <v>1</v>
      </c>
      <c r="S2229" t="n">
        <v>2711.8</v>
      </c>
      <c r="T2229" t="n">
        <v>20</v>
      </c>
      <c r="U2229" t="n">
        <v>21</v>
      </c>
      <c r="V2229" t="n">
        <v>30</v>
      </c>
      <c r="W2229" t="n">
        <v>1</v>
      </c>
      <c r="X2229" t="n">
        <v>824.1758241758241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5747</v>
      </c>
      <c r="AG2229" t="n">
        <v>1</v>
      </c>
      <c r="AH2229" t="inlineStr">
        <is>
          <t>PT. BERSAMA DISTRIVERSA INDONESIA (DC CIPUTAT)</t>
        </is>
      </c>
      <c r="AI2229" t="n">
        <v>1426</v>
      </c>
      <c r="AJ2229" t="inlineStr">
        <is>
          <t>HISTOIRE NATURELLE</t>
        </is>
      </c>
      <c r="AK2229" t="n">
        <v>21</v>
      </c>
      <c r="AL2229" t="inlineStr">
        <is>
          <t>Miss Glam Damar</t>
        </is>
      </c>
      <c r="AM2229" t="n">
        <v>3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HMNS</t>
        </is>
      </c>
      <c r="B2230" s="2">
        <f>"304002120738"</f>
        <v/>
      </c>
      <c r="C2230" t="inlineStr">
        <is>
          <t>HMNS EAU De Parfum Darker Shade Of Orgsm 100ml</t>
        </is>
      </c>
      <c r="D2230" t="inlineStr">
        <is>
          <t>Miss Glam Damar</t>
        </is>
      </c>
      <c r="E2230" t="n">
        <v>4</v>
      </c>
      <c r="F2230" t="n">
        <v>0.06370000000000001</v>
      </c>
      <c r="G2230" t="n">
        <v>1.82</v>
      </c>
      <c r="H2230" t="n">
        <v>4</v>
      </c>
      <c r="I2230" t="n">
        <v>21</v>
      </c>
      <c r="J2230" t="n">
        <v>3</v>
      </c>
      <c r="K2230" t="n">
        <v>0</v>
      </c>
      <c r="L2230" t="n">
        <v>266000</v>
      </c>
      <c r="M2230" t="n">
        <v>380000</v>
      </c>
      <c r="N2230" t="n">
        <v>91</v>
      </c>
      <c r="O2230" t="n">
        <v>0.91</v>
      </c>
      <c r="P2230" t="n">
        <v>1</v>
      </c>
      <c r="Q2230" t="n">
        <v>0.1</v>
      </c>
      <c r="R2230" t="n">
        <v>1</v>
      </c>
      <c r="S2230" t="n">
        <v>24206</v>
      </c>
      <c r="T2230" t="n">
        <v>38</v>
      </c>
      <c r="U2230" t="n">
        <v>39</v>
      </c>
      <c r="V2230" t="n">
        <v>30</v>
      </c>
      <c r="W2230" t="n">
        <v>2</v>
      </c>
      <c r="X2230" t="n">
        <v>62.79434850863422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5782</v>
      </c>
      <c r="AG2230" t="n">
        <v>1</v>
      </c>
      <c r="AH2230" t="inlineStr">
        <is>
          <t>PT. BERSAMA DISTRIVERSA INDONESIA (DC CIPUTAT)</t>
        </is>
      </c>
      <c r="AI2230" t="n">
        <v>1691</v>
      </c>
      <c r="AJ2230" t="inlineStr">
        <is>
          <t>HMNS</t>
        </is>
      </c>
      <c r="AK2230" t="n">
        <v>21</v>
      </c>
      <c r="AL2230" t="inlineStr">
        <is>
          <t>Miss Glam Damar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HMNS</t>
        </is>
      </c>
      <c r="B2231" s="2">
        <f>"304002120808"</f>
        <v/>
      </c>
      <c r="C2231" t="inlineStr">
        <is>
          <t>HMNS Eau De Parfum Untitled Humans 100ml</t>
        </is>
      </c>
      <c r="D2231" t="inlineStr">
        <is>
          <t>Miss Glam Damar</t>
        </is>
      </c>
      <c r="E2231" t="n">
        <v>9</v>
      </c>
      <c r="F2231" t="n">
        <v>0.0182</v>
      </c>
      <c r="G2231" t="n">
        <v>0.91</v>
      </c>
      <c r="H2231" t="n">
        <v>4</v>
      </c>
      <c r="I2231" t="n">
        <v>21</v>
      </c>
      <c r="J2231" t="n">
        <v>3</v>
      </c>
      <c r="K2231" t="n">
        <v>0</v>
      </c>
      <c r="L2231" t="n">
        <v>296250</v>
      </c>
      <c r="M2231" t="n">
        <v>395000</v>
      </c>
      <c r="N2231" t="n">
        <v>91</v>
      </c>
      <c r="O2231" t="n">
        <v>0.91</v>
      </c>
      <c r="P2231" t="n">
        <v>1</v>
      </c>
      <c r="Q2231" t="n">
        <v>0.03</v>
      </c>
      <c r="R2231" t="n">
        <v>1</v>
      </c>
      <c r="S2231" t="n">
        <v>7189</v>
      </c>
      <c r="T2231" t="n">
        <v>20</v>
      </c>
      <c r="U2231" t="n">
        <v>21</v>
      </c>
      <c r="V2231" t="n">
        <v>30</v>
      </c>
      <c r="W2231" t="n">
        <v>1</v>
      </c>
      <c r="X2231" t="n">
        <v>494.5054945054945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5782</v>
      </c>
      <c r="AG2231" t="n">
        <v>1</v>
      </c>
      <c r="AH2231" t="inlineStr">
        <is>
          <t>PT. BERSAMA DISTRIVERSA INDONESIA (DC CIPUTAT)</t>
        </is>
      </c>
      <c r="AI2231" t="n">
        <v>1691</v>
      </c>
      <c r="AJ2231" t="inlineStr">
        <is>
          <t>HMNS</t>
        </is>
      </c>
      <c r="AK2231" t="n">
        <v>21</v>
      </c>
      <c r="AL2231" t="inlineStr">
        <is>
          <t>Miss Glam Damar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HMNS</t>
        </is>
      </c>
      <c r="B2232" s="2">
        <f>"30400197559"</f>
        <v/>
      </c>
      <c r="C2232" t="inlineStr">
        <is>
          <t>HMNS Eau De Parfume Addict 100ml</t>
        </is>
      </c>
      <c r="D2232" t="inlineStr">
        <is>
          <t>Miss Glam Damar</t>
        </is>
      </c>
      <c r="E2232" t="n">
        <v>6</v>
      </c>
      <c r="F2232" t="n">
        <v>0.0182</v>
      </c>
      <c r="G2232" t="n">
        <v>0.91</v>
      </c>
      <c r="H2232" t="n">
        <v>4</v>
      </c>
      <c r="I2232" t="n">
        <v>21</v>
      </c>
      <c r="J2232" t="n">
        <v>1</v>
      </c>
      <c r="K2232" t="n">
        <v>0</v>
      </c>
      <c r="L2232" t="n">
        <v>266049</v>
      </c>
      <c r="M2232" t="n">
        <v>349000</v>
      </c>
      <c r="N2232" t="n">
        <v>91</v>
      </c>
      <c r="O2232" t="n">
        <v>0.91</v>
      </c>
      <c r="P2232" t="n">
        <v>1</v>
      </c>
      <c r="Q2232" t="n">
        <v>0.1</v>
      </c>
      <c r="R2232" t="n">
        <v>1</v>
      </c>
      <c r="S2232" t="n">
        <v>6351.8</v>
      </c>
      <c r="T2232" t="n">
        <v>20</v>
      </c>
      <c r="U2232" t="n">
        <v>21</v>
      </c>
      <c r="V2232" t="n">
        <v>30</v>
      </c>
      <c r="W2232" t="n">
        <v>1</v>
      </c>
      <c r="X2232" t="n">
        <v>329.6703296703296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5782</v>
      </c>
      <c r="AG2232" t="n">
        <v>1</v>
      </c>
      <c r="AH2232" t="inlineStr">
        <is>
          <t>PT. BERSAMA DISTRIVERSA INDONESIA (DC CIPUTAT)</t>
        </is>
      </c>
      <c r="AI2232" t="n">
        <v>1691</v>
      </c>
      <c r="AJ2232" t="inlineStr">
        <is>
          <t>HMNS</t>
        </is>
      </c>
      <c r="AK2232" t="n">
        <v>21</v>
      </c>
      <c r="AL2232" t="inlineStr">
        <is>
          <t>Miss Glam Damar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HMNS</t>
        </is>
      </c>
      <c r="B2233" s="2">
        <f>"304002116003"</f>
        <v/>
      </c>
      <c r="C2233" t="inlineStr">
        <is>
          <t>HMNS Eau De Parfume Alpha 100ml</t>
        </is>
      </c>
      <c r="D2233" t="inlineStr">
        <is>
          <t>Miss Glam Damar</t>
        </is>
      </c>
      <c r="E2233" t="n">
        <v>4</v>
      </c>
      <c r="F2233" t="n">
        <v>0.1274</v>
      </c>
      <c r="G2233" t="n">
        <v>1.82</v>
      </c>
      <c r="H2233" t="n">
        <v>4</v>
      </c>
      <c r="I2233" t="n">
        <v>21</v>
      </c>
      <c r="J2233" t="n">
        <v>3</v>
      </c>
      <c r="K2233" t="n">
        <v>0</v>
      </c>
      <c r="L2233" t="n">
        <v>234434</v>
      </c>
      <c r="M2233" t="n">
        <v>349000</v>
      </c>
      <c r="N2233" t="n">
        <v>91</v>
      </c>
      <c r="O2233" t="n">
        <v>0.91</v>
      </c>
      <c r="P2233" t="n">
        <v>1</v>
      </c>
      <c r="Q2233" t="n">
        <v>0.07000000000000001</v>
      </c>
      <c r="R2233" t="n">
        <v>1</v>
      </c>
      <c r="S2233" t="n">
        <v>44462.60000000001</v>
      </c>
      <c r="T2233" t="n">
        <v>38</v>
      </c>
      <c r="U2233" t="n">
        <v>39</v>
      </c>
      <c r="V2233" t="n">
        <v>30</v>
      </c>
      <c r="W2233" t="n">
        <v>4</v>
      </c>
      <c r="X2233" t="n">
        <v>31.39717425431711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5782</v>
      </c>
      <c r="AG2233" t="n">
        <v>1</v>
      </c>
      <c r="AH2233" t="inlineStr">
        <is>
          <t>PT. BERSAMA DISTRIVERSA INDONESIA (DC CIPUTAT)</t>
        </is>
      </c>
      <c r="AI2233" t="n">
        <v>1691</v>
      </c>
      <c r="AJ2233" t="inlineStr">
        <is>
          <t>HMNS</t>
        </is>
      </c>
      <c r="AK2233" t="n">
        <v>21</v>
      </c>
      <c r="AL2233" t="inlineStr">
        <is>
          <t>Miss Glam Damar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HMNS</t>
        </is>
      </c>
      <c r="B2234" s="2">
        <f>"304002115941"</f>
        <v/>
      </c>
      <c r="C2234" t="inlineStr">
        <is>
          <t>HMNS Eau De Parfume Essence Of The Sun 100ml</t>
        </is>
      </c>
      <c r="D2234" t="inlineStr">
        <is>
          <t>Miss Glam Damar</t>
        </is>
      </c>
      <c r="E2234" t="n">
        <v>5</v>
      </c>
      <c r="F2234" t="n">
        <v>0.04550000000000001</v>
      </c>
      <c r="G2234" t="n">
        <v>0.91</v>
      </c>
      <c r="H2234" t="n">
        <v>4</v>
      </c>
      <c r="I2234" t="n">
        <v>21</v>
      </c>
      <c r="J2234" t="n">
        <v>3</v>
      </c>
      <c r="K2234" t="n">
        <v>0</v>
      </c>
      <c r="L2234" t="n">
        <v>276750</v>
      </c>
      <c r="M2234" t="n">
        <v>376000</v>
      </c>
      <c r="N2234" t="n">
        <v>91</v>
      </c>
      <c r="O2234" t="n">
        <v>0.91</v>
      </c>
      <c r="P2234" t="n">
        <v>1</v>
      </c>
      <c r="Q2234" t="n">
        <v>0.02</v>
      </c>
      <c r="R2234" t="n">
        <v>0</v>
      </c>
      <c r="S2234" t="n">
        <v>17108</v>
      </c>
      <c r="T2234" t="n">
        <v>19</v>
      </c>
      <c r="U2234" t="n">
        <v>20</v>
      </c>
      <c r="V2234" t="n">
        <v>30</v>
      </c>
      <c r="W2234" t="n">
        <v>2</v>
      </c>
      <c r="X2234" t="n">
        <v>109.8901098901099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5782</v>
      </c>
      <c r="AG2234" t="n">
        <v>1</v>
      </c>
      <c r="AH2234" t="inlineStr">
        <is>
          <t>PT. BERSAMA DISTRIVERSA INDONESIA (DC CIPUTAT)</t>
        </is>
      </c>
      <c r="AI2234" t="n">
        <v>1691</v>
      </c>
      <c r="AJ2234" t="inlineStr">
        <is>
          <t>HMNS</t>
        </is>
      </c>
      <c r="AK2234" t="n">
        <v>21</v>
      </c>
      <c r="AL2234" t="inlineStr">
        <is>
          <t>Miss Glam Damar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HMNS</t>
        </is>
      </c>
      <c r="B2235" s="2">
        <f>"304002116626"</f>
        <v/>
      </c>
      <c r="C2235" t="inlineStr">
        <is>
          <t>HMNS Eau De Parfume Farhampton 100ml</t>
        </is>
      </c>
      <c r="D2235" t="inlineStr">
        <is>
          <t>Miss Glam Damar</t>
        </is>
      </c>
      <c r="E2235" t="n">
        <v>3</v>
      </c>
      <c r="F2235" t="n">
        <v>0.0728</v>
      </c>
      <c r="G2235" t="n">
        <v>0.91</v>
      </c>
      <c r="H2235" t="n">
        <v>4</v>
      </c>
      <c r="I2235" t="n">
        <v>21</v>
      </c>
      <c r="J2235" t="n">
        <v>3</v>
      </c>
      <c r="K2235" t="n">
        <v>0</v>
      </c>
      <c r="L2235" t="n">
        <v>264235</v>
      </c>
      <c r="M2235" t="n">
        <v>369000</v>
      </c>
      <c r="N2235" t="n">
        <v>91</v>
      </c>
      <c r="O2235" t="n">
        <v>0.91</v>
      </c>
      <c r="P2235" t="n">
        <v>1</v>
      </c>
      <c r="Q2235" t="n">
        <v>0.08</v>
      </c>
      <c r="R2235" t="n">
        <v>3</v>
      </c>
      <c r="S2235" t="n">
        <v>26863.2</v>
      </c>
      <c r="T2235" t="n">
        <v>19</v>
      </c>
      <c r="U2235" t="n">
        <v>20</v>
      </c>
      <c r="V2235" t="n">
        <v>30</v>
      </c>
      <c r="W2235" t="n">
        <v>3</v>
      </c>
      <c r="X2235" t="n">
        <v>41.2087912087912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5782</v>
      </c>
      <c r="AG2235" t="n">
        <v>1</v>
      </c>
      <c r="AH2235" t="inlineStr">
        <is>
          <t>PT. BERSAMA DISTRIVERSA INDONESIA (DC CIPUTAT)</t>
        </is>
      </c>
      <c r="AI2235" t="n">
        <v>1691</v>
      </c>
      <c r="AJ2235" t="inlineStr">
        <is>
          <t>HMNS</t>
        </is>
      </c>
      <c r="AK2235" t="n">
        <v>21</v>
      </c>
      <c r="AL2235" t="inlineStr">
        <is>
          <t>Miss Glam Damar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HMNS</t>
        </is>
      </c>
      <c r="B2236" s="2">
        <f>"304002115805"</f>
        <v/>
      </c>
      <c r="C2236" t="inlineStr">
        <is>
          <t>HMNS Eau De Parfume Orgsm 100ml</t>
        </is>
      </c>
      <c r="D2236" t="inlineStr">
        <is>
          <t>Miss Glam Damar</t>
        </is>
      </c>
      <c r="E2236" t="n">
        <v>7</v>
      </c>
      <c r="F2236" t="n">
        <v>0.1092</v>
      </c>
      <c r="G2236" t="n">
        <v>1.82</v>
      </c>
      <c r="H2236" t="n">
        <v>4</v>
      </c>
      <c r="I2236" t="n">
        <v>21</v>
      </c>
      <c r="J2236" t="n">
        <v>3</v>
      </c>
      <c r="K2236" t="n">
        <v>0</v>
      </c>
      <c r="L2236" t="n">
        <v>234642</v>
      </c>
      <c r="M2236" t="n">
        <v>349000</v>
      </c>
      <c r="N2236" t="n">
        <v>91</v>
      </c>
      <c r="O2236" t="n">
        <v>0.91</v>
      </c>
      <c r="P2236" t="n">
        <v>1</v>
      </c>
      <c r="Q2236" t="n">
        <v>0.17</v>
      </c>
      <c r="R2236" t="n">
        <v>2</v>
      </c>
      <c r="S2236" t="n">
        <v>38110.8</v>
      </c>
      <c r="T2236" t="n">
        <v>38</v>
      </c>
      <c r="U2236" t="n">
        <v>39</v>
      </c>
      <c r="V2236" t="n">
        <v>30</v>
      </c>
      <c r="W2236" t="n">
        <v>4</v>
      </c>
      <c r="X2236" t="n">
        <v>64.1025641025641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5782</v>
      </c>
      <c r="AG2236" t="n">
        <v>1</v>
      </c>
      <c r="AH2236" t="inlineStr">
        <is>
          <t>PT. BERSAMA DISTRIVERSA INDONESIA (DC CIPUTAT)</t>
        </is>
      </c>
      <c r="AI2236" t="n">
        <v>1691</v>
      </c>
      <c r="AJ2236" t="inlineStr">
        <is>
          <t>HMNS</t>
        </is>
      </c>
      <c r="AK2236" t="n">
        <v>21</v>
      </c>
      <c r="AL2236" t="inlineStr">
        <is>
          <t>Miss Glam Damar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HMNS</t>
        </is>
      </c>
      <c r="B2237" s="2">
        <f>"304002115704"</f>
        <v/>
      </c>
      <c r="C2237" t="inlineStr">
        <is>
          <t>HMNS Eau De Parfume The Perfection 100ml</t>
        </is>
      </c>
      <c r="D2237" t="inlineStr">
        <is>
          <t>Miss Glam Damar</t>
        </is>
      </c>
      <c r="E2237" t="n">
        <v>1</v>
      </c>
      <c r="F2237" t="n">
        <v>0.0273</v>
      </c>
      <c r="G2237" t="n">
        <v>0.91</v>
      </c>
      <c r="H2237" t="n">
        <v>4</v>
      </c>
      <c r="I2237" t="n">
        <v>21</v>
      </c>
      <c r="J2237" t="n">
        <v>3</v>
      </c>
      <c r="K2237" t="n">
        <v>3</v>
      </c>
      <c r="L2237" t="n">
        <v>291576</v>
      </c>
      <c r="M2237" t="n">
        <v>398000</v>
      </c>
      <c r="N2237" t="n">
        <v>91</v>
      </c>
      <c r="O2237" t="n">
        <v>0.91</v>
      </c>
      <c r="P2237" t="n">
        <v>1</v>
      </c>
      <c r="Q2237" t="n">
        <v>0.07000000000000001</v>
      </c>
      <c r="R2237" t="n">
        <v>1</v>
      </c>
      <c r="S2237" t="n">
        <v>10865.4</v>
      </c>
      <c r="T2237" t="n">
        <v>20</v>
      </c>
      <c r="U2237" t="n">
        <v>21</v>
      </c>
      <c r="V2237" t="n">
        <v>30</v>
      </c>
      <c r="W2237" t="n">
        <v>1</v>
      </c>
      <c r="X2237" t="n">
        <v>36.63003663003663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5782</v>
      </c>
      <c r="AG2237" t="n">
        <v>1</v>
      </c>
      <c r="AH2237" t="inlineStr">
        <is>
          <t>PT. BERSAMA DISTRIVERSA INDONESIA (DC CIPUTAT)</t>
        </is>
      </c>
      <c r="AI2237" t="n">
        <v>1691</v>
      </c>
      <c r="AJ2237" t="inlineStr">
        <is>
          <t>HMNS</t>
        </is>
      </c>
      <c r="AK2237" t="n">
        <v>21</v>
      </c>
      <c r="AL2237" t="inlineStr">
        <is>
          <t>Miss Glam Damar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HMNS</t>
        </is>
      </c>
      <c r="B2238" s="2">
        <f>"304002116123"</f>
        <v/>
      </c>
      <c r="C2238" t="inlineStr">
        <is>
          <t>HMNS Eau De Parfume Unrosed 100ml</t>
        </is>
      </c>
      <c r="D2238" t="inlineStr">
        <is>
          <t>Miss Glam Damar</t>
        </is>
      </c>
      <c r="E2238" t="n">
        <v>4</v>
      </c>
      <c r="F2238" t="n">
        <v>0.04550000000000001</v>
      </c>
      <c r="G2238" t="n">
        <v>0.91</v>
      </c>
      <c r="H2238" t="n">
        <v>4</v>
      </c>
      <c r="I2238" t="n">
        <v>21</v>
      </c>
      <c r="J2238" t="n">
        <v>3</v>
      </c>
      <c r="K2238" t="n">
        <v>0</v>
      </c>
      <c r="L2238" t="n">
        <v>270028</v>
      </c>
      <c r="M2238" t="n">
        <v>374000</v>
      </c>
      <c r="N2238" t="n">
        <v>91</v>
      </c>
      <c r="O2238" t="n">
        <v>0.91</v>
      </c>
      <c r="P2238" t="n">
        <v>1</v>
      </c>
      <c r="Q2238" t="n">
        <v>0.07000000000000001</v>
      </c>
      <c r="R2238" t="n">
        <v>2</v>
      </c>
      <c r="S2238" t="n">
        <v>17017</v>
      </c>
      <c r="T2238" t="n">
        <v>19</v>
      </c>
      <c r="U2238" t="n">
        <v>20</v>
      </c>
      <c r="V2238" t="n">
        <v>30</v>
      </c>
      <c r="W2238" t="n">
        <v>2</v>
      </c>
      <c r="X2238" t="n">
        <v>87.9120879120879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5782</v>
      </c>
      <c r="AG2238" t="n">
        <v>1</v>
      </c>
      <c r="AH2238" t="inlineStr">
        <is>
          <t>PT. BERSAMA DISTRIVERSA INDONESIA (DC CIPUTAT)</t>
        </is>
      </c>
      <c r="AI2238" t="n">
        <v>1691</v>
      </c>
      <c r="AJ2238" t="inlineStr">
        <is>
          <t>HMNS</t>
        </is>
      </c>
      <c r="AK2238" t="n">
        <v>21</v>
      </c>
      <c r="AL2238" t="inlineStr">
        <is>
          <t>Miss Glam Damar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HMNS</t>
        </is>
      </c>
      <c r="B2239" s="2">
        <f>"30400184843"</f>
        <v/>
      </c>
      <c r="C2239" t="inlineStr">
        <is>
          <t>HMNS Hair &amp; Body Mist Drop Of Sunshine 250ml</t>
        </is>
      </c>
      <c r="D2239" t="inlineStr">
        <is>
          <t>Miss Glam Damar</t>
        </is>
      </c>
      <c r="E2239" t="n">
        <v>7</v>
      </c>
      <c r="F2239" t="n">
        <v>0.2275</v>
      </c>
      <c r="G2239" t="n">
        <v>1.82</v>
      </c>
      <c r="H2239" t="n">
        <v>4</v>
      </c>
      <c r="I2239" t="n">
        <v>21</v>
      </c>
      <c r="J2239" t="n">
        <v>3</v>
      </c>
      <c r="K2239" t="n">
        <v>0</v>
      </c>
      <c r="L2239" t="n">
        <v>106915</v>
      </c>
      <c r="M2239" t="n">
        <v>145000</v>
      </c>
      <c r="N2239" t="n">
        <v>91</v>
      </c>
      <c r="O2239" t="n">
        <v>0.91</v>
      </c>
      <c r="P2239" t="n">
        <v>1</v>
      </c>
      <c r="Q2239" t="n">
        <v>0.08</v>
      </c>
      <c r="R2239" t="n">
        <v>1</v>
      </c>
      <c r="S2239" t="n">
        <v>32987.5</v>
      </c>
      <c r="T2239" t="n">
        <v>38</v>
      </c>
      <c r="U2239" t="n">
        <v>39</v>
      </c>
      <c r="V2239" t="n">
        <v>30</v>
      </c>
      <c r="W2239" t="n">
        <v>7</v>
      </c>
      <c r="X2239" t="n">
        <v>30.76923076923077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5782</v>
      </c>
      <c r="AG2239" t="n">
        <v>1</v>
      </c>
      <c r="AH2239" t="inlineStr">
        <is>
          <t>PT. BERSAMA DISTRIVERSA INDONESIA (DC CIPUTAT)</t>
        </is>
      </c>
      <c r="AI2239" t="n">
        <v>1691</v>
      </c>
      <c r="AJ2239" t="inlineStr">
        <is>
          <t>HMNS</t>
        </is>
      </c>
      <c r="AK2239" t="n">
        <v>21</v>
      </c>
      <c r="AL2239" t="inlineStr">
        <is>
          <t>Miss Glam Damar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HMNS</t>
        </is>
      </c>
      <c r="B2240" s="2">
        <f>"30400184738"</f>
        <v/>
      </c>
      <c r="C2240" t="inlineStr">
        <is>
          <t>HMNS Hair &amp; Body Mist My 1St O 250ml</t>
        </is>
      </c>
      <c r="D2240" t="inlineStr">
        <is>
          <t>Miss Glam Damar</t>
        </is>
      </c>
      <c r="E2240" t="n">
        <v>8</v>
      </c>
      <c r="F2240" t="n">
        <v>0.0273</v>
      </c>
      <c r="G2240" t="n">
        <v>0.91</v>
      </c>
      <c r="H2240" t="n">
        <v>4</v>
      </c>
      <c r="I2240" t="n">
        <v>21</v>
      </c>
      <c r="J2240" t="n">
        <v>3</v>
      </c>
      <c r="K2240" t="n">
        <v>0</v>
      </c>
      <c r="L2240" t="n">
        <v>100579</v>
      </c>
      <c r="M2240" t="n">
        <v>139000</v>
      </c>
      <c r="N2240" t="n">
        <v>91</v>
      </c>
      <c r="O2240" t="n">
        <v>0.91</v>
      </c>
      <c r="P2240" t="n">
        <v>1</v>
      </c>
      <c r="Q2240" t="n">
        <v>0.1</v>
      </c>
      <c r="R2240" t="n">
        <v>1</v>
      </c>
      <c r="S2240" t="n">
        <v>3794.7</v>
      </c>
      <c r="T2240" t="n">
        <v>20</v>
      </c>
      <c r="U2240" t="n">
        <v>21</v>
      </c>
      <c r="V2240" t="n">
        <v>30</v>
      </c>
      <c r="W2240" t="n">
        <v>1</v>
      </c>
      <c r="X2240" t="n">
        <v>293.040293040293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5782</v>
      </c>
      <c r="AG2240" t="n">
        <v>1</v>
      </c>
      <c r="AH2240" t="inlineStr">
        <is>
          <t>PT. BERSAMA DISTRIVERSA INDONESIA (DC CIPUTAT)</t>
        </is>
      </c>
      <c r="AI2240" t="n">
        <v>1691</v>
      </c>
      <c r="AJ2240" t="inlineStr">
        <is>
          <t>HMNS</t>
        </is>
      </c>
      <c r="AK2240" t="n">
        <v>21</v>
      </c>
      <c r="AL2240" t="inlineStr">
        <is>
          <t>Miss Glam Damar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HMNS</t>
        </is>
      </c>
      <c r="B2241" s="2">
        <f>"30400197752"</f>
        <v/>
      </c>
      <c r="C2241" t="inlineStr">
        <is>
          <t>HMNS Sore Eterna Eau de Parfum 100ml</t>
        </is>
      </c>
      <c r="D2241" t="inlineStr">
        <is>
          <t>Miss Glam Damar</t>
        </is>
      </c>
      <c r="E2241" t="n">
        <v>7</v>
      </c>
      <c r="F2241" t="n">
        <v>0.0273</v>
      </c>
      <c r="G2241" t="n">
        <v>0.91</v>
      </c>
      <c r="H2241" t="n">
        <v>4</v>
      </c>
      <c r="I2241" t="n">
        <v>21</v>
      </c>
      <c r="J2241" t="n">
        <v>1</v>
      </c>
      <c r="K2241" t="n">
        <v>0</v>
      </c>
      <c r="L2241" t="n">
        <v>277585</v>
      </c>
      <c r="M2241" t="n">
        <v>385000</v>
      </c>
      <c r="N2241" t="n">
        <v>91</v>
      </c>
      <c r="O2241" t="n">
        <v>0.91</v>
      </c>
      <c r="P2241" t="n">
        <v>1</v>
      </c>
      <c r="Q2241" t="n">
        <v>0.07000000000000001</v>
      </c>
      <c r="R2241" t="n">
        <v>2</v>
      </c>
      <c r="S2241" t="n">
        <v>10510.5</v>
      </c>
      <c r="T2241" t="n">
        <v>20</v>
      </c>
      <c r="U2241" t="n">
        <v>21</v>
      </c>
      <c r="V2241" t="n">
        <v>30</v>
      </c>
      <c r="W2241" t="n">
        <v>1</v>
      </c>
      <c r="X2241" t="n">
        <v>256.4102564102564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5782</v>
      </c>
      <c r="AG2241" t="n">
        <v>1</v>
      </c>
      <c r="AH2241" t="inlineStr">
        <is>
          <t>PT. BERSAMA DISTRIVERSA INDONESIA (DC CIPUTAT)</t>
        </is>
      </c>
      <c r="AI2241" t="n">
        <v>1691</v>
      </c>
      <c r="AJ2241" t="inlineStr">
        <is>
          <t>HMNS</t>
        </is>
      </c>
      <c r="AK2241" t="n">
        <v>21</v>
      </c>
      <c r="AL2241" t="inlineStr">
        <is>
          <t>Miss Glam Damar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HMNS</t>
        </is>
      </c>
      <c r="B2242" s="2">
        <f>"30400197629"</f>
        <v/>
      </c>
      <c r="C2242" t="inlineStr">
        <is>
          <t>HMNS Sore Zena Fragrance Mist 250ml</t>
        </is>
      </c>
      <c r="D2242" t="inlineStr">
        <is>
          <t>Miss Glam Damar</t>
        </is>
      </c>
      <c r="E2242" t="n">
        <v>10</v>
      </c>
      <c r="F2242" t="n">
        <v>0.06370000000000001</v>
      </c>
      <c r="G2242" t="n">
        <v>0.91</v>
      </c>
      <c r="H2242" t="n">
        <v>4</v>
      </c>
      <c r="I2242" t="n">
        <v>21</v>
      </c>
      <c r="J2242" t="n">
        <v>1</v>
      </c>
      <c r="K2242" t="n">
        <v>0</v>
      </c>
      <c r="L2242" t="n">
        <v>133385</v>
      </c>
      <c r="M2242" t="n">
        <v>185000</v>
      </c>
      <c r="N2242" t="n">
        <v>91</v>
      </c>
      <c r="O2242" t="n">
        <v>0.91</v>
      </c>
      <c r="P2242" t="n">
        <v>1</v>
      </c>
      <c r="Q2242" t="n">
        <v>0.08</v>
      </c>
      <c r="R2242" t="n">
        <v>1</v>
      </c>
      <c r="S2242" t="n">
        <v>11784.5</v>
      </c>
      <c r="T2242" t="n">
        <v>19</v>
      </c>
      <c r="U2242" t="n">
        <v>20</v>
      </c>
      <c r="V2242" t="n">
        <v>30</v>
      </c>
      <c r="W2242" t="n">
        <v>2</v>
      </c>
      <c r="X2242" t="n">
        <v>156.9858712715856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5782</v>
      </c>
      <c r="AG2242" t="n">
        <v>1</v>
      </c>
      <c r="AH2242" t="inlineStr">
        <is>
          <t>PT. BERSAMA DISTRIVERSA INDONESIA (DC CIPUTAT)</t>
        </is>
      </c>
      <c r="AI2242" t="n">
        <v>1691</v>
      </c>
      <c r="AJ2242" t="inlineStr">
        <is>
          <t>HMNS</t>
        </is>
      </c>
      <c r="AK2242" t="n">
        <v>21</v>
      </c>
      <c r="AL2242" t="inlineStr">
        <is>
          <t>Miss Glam Damar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HMNS</t>
        </is>
      </c>
      <c r="B2243" s="2">
        <f>"30400197434"</f>
        <v/>
      </c>
      <c r="C2243" t="inlineStr">
        <is>
          <t>HMNS Unpatched Eau De Parfum 100ml</t>
        </is>
      </c>
      <c r="D2243" t="inlineStr">
        <is>
          <t>Miss Glam Damar</t>
        </is>
      </c>
      <c r="E2243" t="n">
        <v>1</v>
      </c>
      <c r="F2243" t="n">
        <v>0.02</v>
      </c>
      <c r="G2243" t="n">
        <v>1</v>
      </c>
      <c r="H2243" t="n">
        <v>4</v>
      </c>
      <c r="I2243" t="n">
        <v>21</v>
      </c>
      <c r="J2243" t="n">
        <v>1</v>
      </c>
      <c r="K2243" t="n">
        <v>9</v>
      </c>
      <c r="L2243" t="n">
        <v>278600</v>
      </c>
      <c r="M2243" t="n">
        <v>398000</v>
      </c>
      <c r="N2243" t="n">
        <v>91</v>
      </c>
      <c r="O2243" t="n">
        <v>0.91</v>
      </c>
      <c r="P2243" t="n">
        <v>0</v>
      </c>
      <c r="Q2243" t="n">
        <v>0.02</v>
      </c>
      <c r="R2243" t="n">
        <v>1</v>
      </c>
      <c r="S2243" t="n">
        <v>7960</v>
      </c>
      <c r="T2243" t="n">
        <v>21</v>
      </c>
      <c r="U2243" t="n">
        <v>22</v>
      </c>
      <c r="V2243" t="n">
        <v>30</v>
      </c>
      <c r="W2243" t="n">
        <v>1</v>
      </c>
      <c r="X2243" t="n">
        <v>50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5782</v>
      </c>
      <c r="AG2243" t="n">
        <v>1</v>
      </c>
      <c r="AH2243" t="inlineStr">
        <is>
          <t>PT. BERSAMA DISTRIVERSA INDONESIA (DC CIPUTAT)</t>
        </is>
      </c>
      <c r="AI2243" t="n">
        <v>1691</v>
      </c>
      <c r="AJ2243" t="inlineStr">
        <is>
          <t>HMNS</t>
        </is>
      </c>
      <c r="AK2243" t="n">
        <v>21</v>
      </c>
      <c r="AL2243" t="inlineStr">
        <is>
          <t>Miss Glam Damar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HMNS</t>
        </is>
      </c>
      <c r="B2244" s="2">
        <f>"304001100510"</f>
        <v/>
      </c>
      <c r="C2244" t="inlineStr">
        <is>
          <t>HMNS Untitled Humans Aroma 02 100ml</t>
        </is>
      </c>
      <c r="D2244" t="inlineStr">
        <is>
          <t>Miss Glam Damar</t>
        </is>
      </c>
      <c r="E2244" t="n">
        <v>4</v>
      </c>
      <c r="F2244" t="n">
        <v>0.0182</v>
      </c>
      <c r="G2244" t="n">
        <v>0.91</v>
      </c>
      <c r="H2244" t="n">
        <v>4</v>
      </c>
      <c r="I2244" t="n">
        <v>21</v>
      </c>
      <c r="J2244" t="n">
        <v>1</v>
      </c>
      <c r="K2244" t="n">
        <v>0</v>
      </c>
      <c r="L2244" t="n">
        <v>279820</v>
      </c>
      <c r="M2244" t="n">
        <v>385000</v>
      </c>
      <c r="N2244" t="n">
        <v>91</v>
      </c>
      <c r="O2244" t="n">
        <v>0.91</v>
      </c>
      <c r="P2244" t="n">
        <v>1</v>
      </c>
      <c r="Q2244" t="n">
        <v>0.03</v>
      </c>
      <c r="R2244" t="n">
        <v>2</v>
      </c>
      <c r="S2244" t="n">
        <v>7007</v>
      </c>
      <c r="T2244" t="n">
        <v>20</v>
      </c>
      <c r="U2244" t="n">
        <v>21</v>
      </c>
      <c r="V2244" t="n">
        <v>30</v>
      </c>
      <c r="W2244" t="n">
        <v>1</v>
      </c>
      <c r="X2244" t="n">
        <v>219.7802197802198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5782</v>
      </c>
      <c r="AG2244" t="n">
        <v>1</v>
      </c>
      <c r="AH2244" t="inlineStr">
        <is>
          <t>PT. BERSAMA DISTRIVERSA INDONESIA (DC CIPUTAT)</t>
        </is>
      </c>
      <c r="AI2244" t="n">
        <v>1691</v>
      </c>
      <c r="AJ2244" t="inlineStr">
        <is>
          <t>HMNS</t>
        </is>
      </c>
      <c r="AK2244" t="n">
        <v>21</v>
      </c>
      <c r="AL2244" t="inlineStr">
        <is>
          <t>Miss Glam Damar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HMNS</t>
        </is>
      </c>
      <c r="B2245" s="2">
        <f>"30400189916"</f>
        <v/>
      </c>
      <c r="C2245" t="inlineStr">
        <is>
          <t>HMNS X TSANA Elea Fragrance Mist 250ml</t>
        </is>
      </c>
      <c r="D2245" t="inlineStr">
        <is>
          <t>Miss Glam Damar</t>
        </is>
      </c>
      <c r="E2245" t="n">
        <v>28</v>
      </c>
      <c r="F2245" t="n">
        <v>0.3276</v>
      </c>
      <c r="G2245" t="n">
        <v>1.82</v>
      </c>
      <c r="H2245" t="n">
        <v>4</v>
      </c>
      <c r="I2245" t="n">
        <v>21</v>
      </c>
      <c r="J2245" t="n">
        <v>3</v>
      </c>
      <c r="K2245" t="n">
        <v>0</v>
      </c>
      <c r="L2245" t="n">
        <v>133385</v>
      </c>
      <c r="M2245" t="n">
        <v>184000</v>
      </c>
      <c r="N2245" t="n">
        <v>91</v>
      </c>
      <c r="O2245" t="n">
        <v>0.91</v>
      </c>
      <c r="P2245" t="n">
        <v>1</v>
      </c>
      <c r="Q2245" t="n">
        <v>0.53</v>
      </c>
      <c r="R2245" t="n">
        <v>4</v>
      </c>
      <c r="S2245" t="n">
        <v>60278.4</v>
      </c>
      <c r="T2245" t="n">
        <v>37</v>
      </c>
      <c r="U2245" t="n">
        <v>39</v>
      </c>
      <c r="V2245" t="n">
        <v>30</v>
      </c>
      <c r="W2245" t="n">
        <v>10</v>
      </c>
      <c r="X2245" t="n">
        <v>85.47008547008546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5782</v>
      </c>
      <c r="AG2245" t="n">
        <v>1</v>
      </c>
      <c r="AH2245" t="inlineStr">
        <is>
          <t>PT. BERSAMA DISTRIVERSA INDONESIA (DC CIPUTAT)</t>
        </is>
      </c>
      <c r="AI2245" t="n">
        <v>1691</v>
      </c>
      <c r="AJ2245" t="inlineStr">
        <is>
          <t>HMNS</t>
        </is>
      </c>
      <c r="AK2245" t="n">
        <v>21</v>
      </c>
      <c r="AL2245" t="inlineStr">
        <is>
          <t>Miss Glam Damar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HMNS</t>
        </is>
      </c>
      <c r="B2246" s="2">
        <f>"304001100637"</f>
        <v/>
      </c>
      <c r="C2246" t="inlineStr">
        <is>
          <t>HMNS x Tsana Philea Eau de Parfum 100ml</t>
        </is>
      </c>
      <c r="D2246" t="inlineStr">
        <is>
          <t>Miss Glam Damar</t>
        </is>
      </c>
      <c r="E2246" t="n">
        <v>5</v>
      </c>
      <c r="F2246" t="n">
        <v>0.0273</v>
      </c>
      <c r="G2246" t="n">
        <v>0.91</v>
      </c>
      <c r="H2246" t="n">
        <v>4</v>
      </c>
      <c r="I2246" t="n">
        <v>21</v>
      </c>
      <c r="J2246" t="n">
        <v>1</v>
      </c>
      <c r="K2246" t="n">
        <v>0</v>
      </c>
      <c r="L2246" t="n">
        <v>277585</v>
      </c>
      <c r="M2246" t="n">
        <v>385000</v>
      </c>
      <c r="N2246" t="n">
        <v>91</v>
      </c>
      <c r="O2246" t="n">
        <v>0.91</v>
      </c>
      <c r="P2246" t="n">
        <v>1</v>
      </c>
      <c r="Q2246" t="n">
        <v>0.1</v>
      </c>
      <c r="R2246" t="n">
        <v>1</v>
      </c>
      <c r="S2246" t="n">
        <v>10510.5</v>
      </c>
      <c r="T2246" t="n">
        <v>20</v>
      </c>
      <c r="U2246" t="n">
        <v>21</v>
      </c>
      <c r="V2246" t="n">
        <v>30</v>
      </c>
      <c r="W2246" t="n">
        <v>1</v>
      </c>
      <c r="X2246" t="n">
        <v>183.1501831501832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5782</v>
      </c>
      <c r="AG2246" t="n">
        <v>1</v>
      </c>
      <c r="AH2246" t="inlineStr">
        <is>
          <t>PT. BERSAMA DISTRIVERSA INDONESIA (DC CIPUTAT)</t>
        </is>
      </c>
      <c r="AI2246" t="n">
        <v>1691</v>
      </c>
      <c r="AJ2246" t="inlineStr">
        <is>
          <t>HMNS</t>
        </is>
      </c>
      <c r="AK2246" t="n">
        <v>21</v>
      </c>
      <c r="AL2246" t="inlineStr">
        <is>
          <t>Miss Glam Damar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HYALUPURE</t>
        </is>
      </c>
      <c r="B2247" s="2">
        <f>"10300513849"</f>
        <v/>
      </c>
      <c r="C2247" t="inlineStr">
        <is>
          <t>HYALUPURE 9x Hyaluronic Acid Emulsion for Dry Skin 100ml</t>
        </is>
      </c>
      <c r="D2247" t="inlineStr">
        <is>
          <t>Miss Glam Damar</t>
        </is>
      </c>
      <c r="E2247" t="n">
        <v>11</v>
      </c>
      <c r="F2247" t="n">
        <v>0.0182</v>
      </c>
      <c r="G2247" t="n">
        <v>0.91</v>
      </c>
      <c r="H2247" t="n">
        <v>4</v>
      </c>
      <c r="I2247" t="n">
        <v>21</v>
      </c>
      <c r="J2247" t="n">
        <v>1</v>
      </c>
      <c r="K2247" t="n">
        <v>0</v>
      </c>
      <c r="L2247" t="n">
        <v>71851</v>
      </c>
      <c r="M2247" t="n">
        <v>92500</v>
      </c>
      <c r="N2247" t="n">
        <v>91</v>
      </c>
      <c r="O2247" t="n">
        <v>0.91</v>
      </c>
      <c r="P2247" t="n">
        <v>1</v>
      </c>
      <c r="Q2247" t="n">
        <v>0.02</v>
      </c>
      <c r="R2247" t="n">
        <v>1</v>
      </c>
      <c r="S2247" t="n">
        <v>1683.5</v>
      </c>
      <c r="T2247" t="n">
        <v>20</v>
      </c>
      <c r="U2247" t="n">
        <v>21</v>
      </c>
      <c r="V2247" t="n">
        <v>30</v>
      </c>
      <c r="W2247" t="n">
        <v>1</v>
      </c>
      <c r="X2247" t="n">
        <v>604.3956043956043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5846</v>
      </c>
      <c r="AG2247" t="n">
        <v>1</v>
      </c>
      <c r="AH2247" t="inlineStr">
        <is>
          <t>PT. BERSAMA DISTRIVERSA INDONESIA (DC CIPUTAT)</t>
        </is>
      </c>
      <c r="AI2247" t="n">
        <v>2298</v>
      </c>
      <c r="AJ2247" t="inlineStr">
        <is>
          <t>HYALUPURE</t>
        </is>
      </c>
      <c r="AK2247" t="n">
        <v>21</v>
      </c>
      <c r="AL2247" t="inlineStr">
        <is>
          <t>Miss Glam Damar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HYALUPURE</t>
        </is>
      </c>
      <c r="B2248" s="2">
        <f>"101001113217"</f>
        <v/>
      </c>
      <c r="C2248" t="inlineStr">
        <is>
          <t>HYALUPURE 9X Hyaluronic Acid Gentle Cleanser 150ml</t>
        </is>
      </c>
      <c r="D2248" t="inlineStr">
        <is>
          <t>Miss Glam Damar</t>
        </is>
      </c>
      <c r="E2248" t="n">
        <v>5</v>
      </c>
      <c r="F2248" t="n">
        <v>0.0273</v>
      </c>
      <c r="G2248" t="n">
        <v>0.91</v>
      </c>
      <c r="H2248" t="n">
        <v>4</v>
      </c>
      <c r="I2248" t="n">
        <v>21</v>
      </c>
      <c r="J2248" t="n">
        <v>1</v>
      </c>
      <c r="K2248" t="n">
        <v>0</v>
      </c>
      <c r="L2248" t="n">
        <v>53880</v>
      </c>
      <c r="M2248" t="n">
        <v>70000</v>
      </c>
      <c r="N2248" t="n">
        <v>91</v>
      </c>
      <c r="O2248" t="n">
        <v>0.91</v>
      </c>
      <c r="P2248" t="n">
        <v>1</v>
      </c>
      <c r="Q2248" t="n">
        <v>0.02</v>
      </c>
      <c r="R2248" t="n">
        <v>1</v>
      </c>
      <c r="S2248" t="n">
        <v>1911</v>
      </c>
      <c r="T2248" t="n">
        <v>20</v>
      </c>
      <c r="U2248" t="n">
        <v>21</v>
      </c>
      <c r="V2248" t="n">
        <v>30</v>
      </c>
      <c r="W2248" t="n">
        <v>1</v>
      </c>
      <c r="X2248" t="n">
        <v>183.1501831501832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5846</v>
      </c>
      <c r="AG2248" t="n">
        <v>1</v>
      </c>
      <c r="AH2248" t="inlineStr">
        <is>
          <t>PT. BERSAMA DISTRIVERSA INDONESIA (DC CIPUTAT)</t>
        </is>
      </c>
      <c r="AI2248" t="n">
        <v>2298</v>
      </c>
      <c r="AJ2248" t="inlineStr">
        <is>
          <t>HYALUPURE</t>
        </is>
      </c>
      <c r="AK2248" t="n">
        <v>21</v>
      </c>
      <c r="AL2248" t="inlineStr">
        <is>
          <t>Miss Glam Damar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IMPLORA</t>
        </is>
      </c>
      <c r="B2249" s="2">
        <f>"1219071209000"</f>
        <v/>
      </c>
      <c r="C2249" t="inlineStr">
        <is>
          <t>IMPLORA 1%Liporetinol Serum 20ml</t>
        </is>
      </c>
      <c r="D2249" t="inlineStr">
        <is>
          <t>Miss Glam Damar</t>
        </is>
      </c>
      <c r="E2249" t="n">
        <v>7</v>
      </c>
      <c r="F2249" t="n">
        <v>0.04550000000000001</v>
      </c>
      <c r="G2249" t="n">
        <v>0.91</v>
      </c>
      <c r="H2249" t="n">
        <v>3</v>
      </c>
      <c r="I2249" t="n">
        <v>11</v>
      </c>
      <c r="J2249" t="n">
        <v>3</v>
      </c>
      <c r="K2249" t="n">
        <v>0</v>
      </c>
      <c r="L2249" t="n">
        <v>18454</v>
      </c>
      <c r="M2249" t="n">
        <v>29000</v>
      </c>
      <c r="N2249" t="n">
        <v>91</v>
      </c>
      <c r="O2249" t="n">
        <v>0.91</v>
      </c>
      <c r="P2249" t="n">
        <v>1</v>
      </c>
      <c r="Q2249" t="n">
        <v>0.02</v>
      </c>
      <c r="R2249" t="n">
        <v>1</v>
      </c>
      <c r="S2249" t="n">
        <v>1319.5</v>
      </c>
      <c r="T2249" t="n">
        <v>10</v>
      </c>
      <c r="U2249" t="n">
        <v>11</v>
      </c>
      <c r="V2249" t="n">
        <v>30</v>
      </c>
      <c r="W2249" t="n">
        <v>2</v>
      </c>
      <c r="X2249" t="n">
        <v>153.8461538461538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10060</v>
      </c>
      <c r="AG2249" t="n">
        <v>78</v>
      </c>
      <c r="AH2249" t="inlineStr">
        <is>
          <t>PT. GLORIENTA P.H - PPN (PDG)</t>
        </is>
      </c>
      <c r="AI2249" t="n">
        <v>83</v>
      </c>
      <c r="AJ2249" t="inlineStr">
        <is>
          <t>IMPLORA</t>
        </is>
      </c>
      <c r="AK2249" t="n">
        <v>21</v>
      </c>
      <c r="AL2249" t="inlineStr">
        <is>
          <t>Miss Glam Damar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IMPLORA</t>
        </is>
      </c>
      <c r="B2250" s="2">
        <f>"1219060715000"</f>
        <v/>
      </c>
      <c r="C2250" t="inlineStr">
        <is>
          <t>IMPLORA 24K Serum Gold</t>
        </is>
      </c>
      <c r="D2250" t="inlineStr">
        <is>
          <t>Miss Glam Damar</t>
        </is>
      </c>
      <c r="E2250" t="n">
        <v>5</v>
      </c>
      <c r="F2250" t="n">
        <v>0.2912</v>
      </c>
      <c r="G2250" t="n">
        <v>1.82</v>
      </c>
      <c r="H2250" t="n">
        <v>3</v>
      </c>
      <c r="I2250" t="n">
        <v>11</v>
      </c>
      <c r="J2250" t="n">
        <v>3</v>
      </c>
      <c r="K2250" t="n">
        <v>0</v>
      </c>
      <c r="L2250" t="n">
        <v>15753</v>
      </c>
      <c r="M2250" t="n">
        <v>29000</v>
      </c>
      <c r="N2250" t="n">
        <v>91</v>
      </c>
      <c r="O2250" t="n">
        <v>0.91</v>
      </c>
      <c r="P2250" t="n">
        <v>1</v>
      </c>
      <c r="Q2250" t="n">
        <v>0.1</v>
      </c>
      <c r="R2250" t="n">
        <v>1</v>
      </c>
      <c r="S2250" t="n">
        <v>8444.800000000001</v>
      </c>
      <c r="T2250" t="n">
        <v>20</v>
      </c>
      <c r="U2250" t="n">
        <v>21</v>
      </c>
      <c r="V2250" t="n">
        <v>30</v>
      </c>
      <c r="W2250" t="n">
        <v>9</v>
      </c>
      <c r="X2250" t="n">
        <v>17.17032967032967</v>
      </c>
      <c r="Y2250" t="n">
        <v>1</v>
      </c>
      <c r="Z2250" t="n">
        <v>4</v>
      </c>
      <c r="AA2250" t="n">
        <v>0</v>
      </c>
      <c r="AB2250" t="n">
        <v>4</v>
      </c>
      <c r="AC2250" t="n">
        <v>4</v>
      </c>
      <c r="AD2250" t="n">
        <v>0</v>
      </c>
      <c r="AE2250" t="n">
        <v>63012</v>
      </c>
      <c r="AF2250" t="n">
        <v>10060</v>
      </c>
      <c r="AG2250" t="n">
        <v>78</v>
      </c>
      <c r="AH2250" t="inlineStr">
        <is>
          <t>PT. GLORIENTA P.H - PPN (PDG)</t>
        </is>
      </c>
      <c r="AI2250" t="n">
        <v>83</v>
      </c>
      <c r="AJ2250" t="inlineStr">
        <is>
          <t>IMPLORA</t>
        </is>
      </c>
      <c r="AK2250" t="n">
        <v>21</v>
      </c>
      <c r="AL2250" t="inlineStr">
        <is>
          <t>Miss Glam Damar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IMPLORA</t>
        </is>
      </c>
      <c r="B2251" s="2">
        <f>"8993883800411"</f>
        <v/>
      </c>
      <c r="C2251" t="inlineStr">
        <is>
          <t>IMPLORA 8+ Ceramide Skin Barier Mois Gel Refill 50ml</t>
        </is>
      </c>
      <c r="D2251" t="inlineStr">
        <is>
          <t>Miss Glam Damar</t>
        </is>
      </c>
      <c r="E2251" t="n">
        <v>5</v>
      </c>
      <c r="F2251" t="n">
        <v>0.06370000000000001</v>
      </c>
      <c r="G2251" t="n">
        <v>0.91</v>
      </c>
      <c r="H2251" t="n">
        <v>3</v>
      </c>
      <c r="I2251" t="n">
        <v>11</v>
      </c>
      <c r="J2251" t="n">
        <v>3</v>
      </c>
      <c r="K2251" t="n">
        <v>0</v>
      </c>
      <c r="L2251" t="n">
        <v>13773</v>
      </c>
      <c r="M2251" t="n">
        <v>28500</v>
      </c>
      <c r="N2251" t="n">
        <v>91</v>
      </c>
      <c r="O2251" t="n">
        <v>0.91</v>
      </c>
      <c r="P2251" t="n">
        <v>1</v>
      </c>
      <c r="Q2251" t="n">
        <v>0.07000000000000001</v>
      </c>
      <c r="R2251" t="n">
        <v>1</v>
      </c>
      <c r="S2251" t="n">
        <v>1815.45</v>
      </c>
      <c r="T2251" t="n">
        <v>10</v>
      </c>
      <c r="U2251" t="n">
        <v>11</v>
      </c>
      <c r="V2251" t="n">
        <v>30</v>
      </c>
      <c r="W2251" t="n">
        <v>2</v>
      </c>
      <c r="X2251" t="n">
        <v>78.49293563579278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10060</v>
      </c>
      <c r="AG2251" t="n">
        <v>78</v>
      </c>
      <c r="AH2251" t="inlineStr">
        <is>
          <t>PT. GLORIENTA P.H - PPN (PDG)</t>
        </is>
      </c>
      <c r="AI2251" t="n">
        <v>83</v>
      </c>
      <c r="AJ2251" t="inlineStr">
        <is>
          <t>IMPLORA</t>
        </is>
      </c>
      <c r="AK2251" t="n">
        <v>21</v>
      </c>
      <c r="AL2251" t="inlineStr">
        <is>
          <t>Miss Glam Damar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IMPLORA</t>
        </is>
      </c>
      <c r="B2252" s="2">
        <f>"1219020119008"</f>
        <v/>
      </c>
      <c r="C2252" t="inlineStr">
        <is>
          <t>IMPLORA Acne Serum 20ml</t>
        </is>
      </c>
      <c r="D2252" t="inlineStr">
        <is>
          <t>Miss Glam Damar</t>
        </is>
      </c>
      <c r="E2252" t="n">
        <v>1</v>
      </c>
      <c r="F2252" t="n">
        <v>0.09100000000000001</v>
      </c>
      <c r="G2252" t="n">
        <v>1.82</v>
      </c>
      <c r="H2252" t="n">
        <v>3</v>
      </c>
      <c r="I2252" t="n">
        <v>11</v>
      </c>
      <c r="J2252" t="n">
        <v>3</v>
      </c>
      <c r="K2252" t="n">
        <v>0</v>
      </c>
      <c r="L2252" t="n">
        <v>15818</v>
      </c>
      <c r="M2252" t="n">
        <v>29000</v>
      </c>
      <c r="N2252" t="n">
        <v>91</v>
      </c>
      <c r="O2252" t="n">
        <v>0.91</v>
      </c>
      <c r="P2252" t="n">
        <v>1</v>
      </c>
      <c r="Q2252" t="n">
        <v>0.03</v>
      </c>
      <c r="R2252" t="n">
        <v>1</v>
      </c>
      <c r="S2252" t="n">
        <v>2639</v>
      </c>
      <c r="T2252" t="n">
        <v>20</v>
      </c>
      <c r="U2252" t="n">
        <v>21</v>
      </c>
      <c r="V2252" t="n">
        <v>30</v>
      </c>
      <c r="W2252" t="n">
        <v>3</v>
      </c>
      <c r="X2252" t="n">
        <v>10.98901098901099</v>
      </c>
      <c r="Y2252" t="n">
        <v>1</v>
      </c>
      <c r="Z2252" t="n">
        <v>2</v>
      </c>
      <c r="AA2252" t="n">
        <v>1</v>
      </c>
      <c r="AB2252" t="n">
        <v>1</v>
      </c>
      <c r="AC2252" t="n">
        <v>3</v>
      </c>
      <c r="AD2252" t="n">
        <v>15818</v>
      </c>
      <c r="AE2252" t="n">
        <v>47454</v>
      </c>
      <c r="AF2252" t="n">
        <v>10060</v>
      </c>
      <c r="AG2252" t="n">
        <v>78</v>
      </c>
      <c r="AH2252" t="inlineStr">
        <is>
          <t>PT. GLORIENTA P.H - PPN (PDG)</t>
        </is>
      </c>
      <c r="AI2252" t="n">
        <v>83</v>
      </c>
      <c r="AJ2252" t="inlineStr">
        <is>
          <t>IMPLORA</t>
        </is>
      </c>
      <c r="AK2252" t="n">
        <v>21</v>
      </c>
      <c r="AL2252" t="inlineStr">
        <is>
          <t>Miss Glam Damar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IMPLORA</t>
        </is>
      </c>
      <c r="B2253" s="2">
        <f>"1202010000035"</f>
        <v/>
      </c>
      <c r="C2253" t="inlineStr">
        <is>
          <t>IMPLORA Blush On Cheek Coral Peach</t>
        </is>
      </c>
      <c r="D2253" t="inlineStr">
        <is>
          <t>Miss Glam Damar</t>
        </is>
      </c>
      <c r="E2253" t="n">
        <v>0</v>
      </c>
      <c r="F2253" t="n">
        <v>0.05</v>
      </c>
      <c r="G2253" t="n">
        <v>1</v>
      </c>
      <c r="H2253" t="n">
        <v>3</v>
      </c>
      <c r="I2253" t="n">
        <v>11</v>
      </c>
      <c r="J2253" t="n">
        <v>3</v>
      </c>
      <c r="K2253" t="n">
        <v>0</v>
      </c>
      <c r="L2253" t="n">
        <v>13580</v>
      </c>
      <c r="M2253" t="n">
        <v>17500</v>
      </c>
      <c r="N2253" t="n">
        <v>91</v>
      </c>
      <c r="O2253" t="n">
        <v>0.91</v>
      </c>
      <c r="P2253" t="n">
        <v>0</v>
      </c>
      <c r="Q2253" t="n">
        <v>0.05</v>
      </c>
      <c r="R2253" t="n">
        <v>1</v>
      </c>
      <c r="S2253" t="n">
        <v>875</v>
      </c>
      <c r="T2253" t="n">
        <v>11</v>
      </c>
      <c r="U2253" t="n">
        <v>12</v>
      </c>
      <c r="V2253" t="n">
        <v>30</v>
      </c>
      <c r="W2253" t="n">
        <v>2</v>
      </c>
      <c r="X2253" t="n">
        <v>0</v>
      </c>
      <c r="Y2253" t="n">
        <v>1</v>
      </c>
      <c r="Z2253" t="n">
        <v>2</v>
      </c>
      <c r="AA2253" t="n">
        <v>1</v>
      </c>
      <c r="AB2253" t="n">
        <v>1</v>
      </c>
      <c r="AC2253" t="n">
        <v>3</v>
      </c>
      <c r="AD2253" t="n">
        <v>13580</v>
      </c>
      <c r="AE2253" t="n">
        <v>40740</v>
      </c>
      <c r="AF2253" t="n">
        <v>10060</v>
      </c>
      <c r="AG2253" t="n">
        <v>78</v>
      </c>
      <c r="AH2253" t="inlineStr">
        <is>
          <t>PT. GLORIENTA P.H - PPN (PDG)</t>
        </is>
      </c>
      <c r="AI2253" t="n">
        <v>83</v>
      </c>
      <c r="AJ2253" t="inlineStr">
        <is>
          <t>IMPLORA</t>
        </is>
      </c>
      <c r="AK2253" t="n">
        <v>21</v>
      </c>
      <c r="AL2253" t="inlineStr">
        <is>
          <t>Miss Glam Damar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IMPLORA</t>
        </is>
      </c>
      <c r="B2254" s="2">
        <f>"1202010000042"</f>
        <v/>
      </c>
      <c r="C2254" t="inlineStr">
        <is>
          <t>IMPLORA Blush On Cheek Dusty Rose</t>
        </is>
      </c>
      <c r="D2254" t="inlineStr">
        <is>
          <t>Miss Glam Damar</t>
        </is>
      </c>
      <c r="E2254" t="n">
        <v>5</v>
      </c>
      <c r="F2254" t="n">
        <v>1.0647</v>
      </c>
      <c r="G2254" t="n">
        <v>7.28</v>
      </c>
      <c r="H2254" t="n">
        <v>3</v>
      </c>
      <c r="I2254" t="n">
        <v>11</v>
      </c>
      <c r="J2254" t="n">
        <v>3</v>
      </c>
      <c r="K2254" t="n">
        <v>0</v>
      </c>
      <c r="L2254" t="n">
        <v>13580</v>
      </c>
      <c r="M2254" t="n">
        <v>17500</v>
      </c>
      <c r="N2254" t="n">
        <v>91</v>
      </c>
      <c r="O2254" t="n">
        <v>0.91</v>
      </c>
      <c r="P2254" t="n">
        <v>1</v>
      </c>
      <c r="Q2254" t="n">
        <v>0.47</v>
      </c>
      <c r="R2254" t="n">
        <v>3</v>
      </c>
      <c r="S2254" t="n">
        <v>18632.25</v>
      </c>
      <c r="T2254" t="n">
        <v>77</v>
      </c>
      <c r="U2254" t="n">
        <v>81</v>
      </c>
      <c r="V2254" t="n">
        <v>30</v>
      </c>
      <c r="W2254" t="n">
        <v>32</v>
      </c>
      <c r="X2254" t="n">
        <v>4.696158542312388</v>
      </c>
      <c r="Y2254" t="n">
        <v>1</v>
      </c>
      <c r="Z2254" t="n">
        <v>27</v>
      </c>
      <c r="AA2254" t="n">
        <v>7</v>
      </c>
      <c r="AB2254" t="n">
        <v>20</v>
      </c>
      <c r="AC2254" t="n">
        <v>20</v>
      </c>
      <c r="AD2254" t="n">
        <v>95060</v>
      </c>
      <c r="AE2254" t="n">
        <v>271600</v>
      </c>
      <c r="AF2254" t="n">
        <v>10060</v>
      </c>
      <c r="AG2254" t="n">
        <v>78</v>
      </c>
      <c r="AH2254" t="inlineStr">
        <is>
          <t>PT. GLORIENTA P.H - PPN (PDG)</t>
        </is>
      </c>
      <c r="AI2254" t="n">
        <v>83</v>
      </c>
      <c r="AJ2254" t="inlineStr">
        <is>
          <t>IMPLORA</t>
        </is>
      </c>
      <c r="AK2254" t="n">
        <v>21</v>
      </c>
      <c r="AL2254" t="inlineStr">
        <is>
          <t>Miss Glam Damar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IMPLORA</t>
        </is>
      </c>
      <c r="B2255" s="2">
        <f>"1202010000165"</f>
        <v/>
      </c>
      <c r="C2255" t="inlineStr">
        <is>
          <t>IMPLORA Blush On Cheek Pink Candy</t>
        </is>
      </c>
      <c r="D2255" t="inlineStr">
        <is>
          <t>Miss Glam Damar</t>
        </is>
      </c>
      <c r="E2255" t="n">
        <v>0</v>
      </c>
      <c r="F2255" t="n">
        <v>0.12</v>
      </c>
      <c r="G2255" t="n">
        <v>3</v>
      </c>
      <c r="H2255" t="n">
        <v>3</v>
      </c>
      <c r="I2255" t="n">
        <v>11</v>
      </c>
      <c r="J2255" t="n">
        <v>3</v>
      </c>
      <c r="K2255" t="n">
        <v>0</v>
      </c>
      <c r="L2255" t="n">
        <v>13580</v>
      </c>
      <c r="M2255" t="n">
        <v>17500</v>
      </c>
      <c r="N2255" t="n">
        <v>91</v>
      </c>
      <c r="O2255" t="n">
        <v>0.91</v>
      </c>
      <c r="P2255" t="n">
        <v>0</v>
      </c>
      <c r="Q2255" t="n">
        <v>0.12</v>
      </c>
      <c r="R2255" t="n">
        <v>3</v>
      </c>
      <c r="S2255" t="n">
        <v>2100</v>
      </c>
      <c r="T2255" t="n">
        <v>33</v>
      </c>
      <c r="U2255" t="n">
        <v>34</v>
      </c>
      <c r="V2255" t="n">
        <v>30</v>
      </c>
      <c r="W2255" t="n">
        <v>4</v>
      </c>
      <c r="X2255" t="n">
        <v>0</v>
      </c>
      <c r="Y2255" t="n">
        <v>1</v>
      </c>
      <c r="Z2255" t="n">
        <v>4</v>
      </c>
      <c r="AA2255" t="n">
        <v>2</v>
      </c>
      <c r="AB2255" t="n">
        <v>2</v>
      </c>
      <c r="AC2255" t="n">
        <v>3</v>
      </c>
      <c r="AD2255" t="n">
        <v>27160</v>
      </c>
      <c r="AE2255" t="n">
        <v>40740</v>
      </c>
      <c r="AF2255" t="n">
        <v>10060</v>
      </c>
      <c r="AG2255" t="n">
        <v>78</v>
      </c>
      <c r="AH2255" t="inlineStr">
        <is>
          <t>PT. GLORIENTA P.H - PPN (PDG)</t>
        </is>
      </c>
      <c r="AI2255" t="n">
        <v>83</v>
      </c>
      <c r="AJ2255" t="inlineStr">
        <is>
          <t>IMPLORA</t>
        </is>
      </c>
      <c r="AK2255" t="n">
        <v>21</v>
      </c>
      <c r="AL2255" t="inlineStr">
        <is>
          <t>Miss Glam Damar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IMPLORA</t>
        </is>
      </c>
      <c r="B2256" s="2">
        <f>"1202010000196"</f>
        <v/>
      </c>
      <c r="C2256" t="inlineStr">
        <is>
          <t>IMPLORA Blush On Sweet Salmon</t>
        </is>
      </c>
      <c r="D2256" t="inlineStr">
        <is>
          <t>Miss Glam Damar</t>
        </is>
      </c>
      <c r="E2256" t="n">
        <v>0</v>
      </c>
      <c r="F2256" t="n">
        <v>0.16</v>
      </c>
      <c r="G2256" t="n">
        <v>6</v>
      </c>
      <c r="H2256" t="n">
        <v>3</v>
      </c>
      <c r="I2256" t="n">
        <v>11</v>
      </c>
      <c r="J2256" t="n">
        <v>3</v>
      </c>
      <c r="K2256" t="n">
        <v>0</v>
      </c>
      <c r="L2256" t="n">
        <v>13580</v>
      </c>
      <c r="M2256" t="n">
        <v>17500</v>
      </c>
      <c r="N2256" t="n">
        <v>91</v>
      </c>
      <c r="O2256" t="n">
        <v>0.91</v>
      </c>
      <c r="P2256" t="n">
        <v>0</v>
      </c>
      <c r="Q2256" t="n">
        <v>0.16</v>
      </c>
      <c r="R2256" t="n">
        <v>6</v>
      </c>
      <c r="S2256" t="n">
        <v>2800</v>
      </c>
      <c r="T2256" t="n">
        <v>66</v>
      </c>
      <c r="U2256" t="n">
        <v>67</v>
      </c>
      <c r="V2256" t="n">
        <v>30</v>
      </c>
      <c r="W2256" t="n">
        <v>5</v>
      </c>
      <c r="X2256" t="n">
        <v>0</v>
      </c>
      <c r="Y2256" t="n">
        <v>1</v>
      </c>
      <c r="Z2256" t="n">
        <v>5</v>
      </c>
      <c r="AA2256" t="n">
        <v>2</v>
      </c>
      <c r="AB2256" t="n">
        <v>3</v>
      </c>
      <c r="AC2256" t="n">
        <v>3</v>
      </c>
      <c r="AD2256" t="n">
        <v>27160</v>
      </c>
      <c r="AE2256" t="n">
        <v>40740</v>
      </c>
      <c r="AF2256" t="n">
        <v>10060</v>
      </c>
      <c r="AG2256" t="n">
        <v>78</v>
      </c>
      <c r="AH2256" t="inlineStr">
        <is>
          <t>PT. GLORIENTA P.H - PPN (PDG)</t>
        </is>
      </c>
      <c r="AI2256" t="n">
        <v>83</v>
      </c>
      <c r="AJ2256" t="inlineStr">
        <is>
          <t>IMPLORA</t>
        </is>
      </c>
      <c r="AK2256" t="n">
        <v>21</v>
      </c>
      <c r="AL2256" t="inlineStr">
        <is>
          <t>Miss Glam Damar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IMPLORA</t>
        </is>
      </c>
      <c r="B2257" s="2">
        <f>"8993883800473"</f>
        <v/>
      </c>
      <c r="C2257" t="inlineStr">
        <is>
          <t>IMPLORA Body Fragrance Mist Breeze 100ml</t>
        </is>
      </c>
      <c r="D2257" t="inlineStr">
        <is>
          <t>Miss Glam Damar</t>
        </is>
      </c>
      <c r="E2257" t="n">
        <v>3</v>
      </c>
      <c r="F2257" t="n">
        <v>0.182</v>
      </c>
      <c r="G2257" t="n">
        <v>1.82</v>
      </c>
      <c r="H2257" t="n">
        <v>3</v>
      </c>
      <c r="I2257" t="n">
        <v>11</v>
      </c>
      <c r="J2257" t="n">
        <v>3</v>
      </c>
      <c r="K2257" t="n">
        <v>0</v>
      </c>
      <c r="L2257" t="n">
        <v>12804</v>
      </c>
      <c r="M2257" t="n">
        <v>16500</v>
      </c>
      <c r="N2257" t="n">
        <v>91</v>
      </c>
      <c r="O2257" t="n">
        <v>0.91</v>
      </c>
      <c r="P2257" t="n">
        <v>1</v>
      </c>
      <c r="Q2257" t="n">
        <v>0.1</v>
      </c>
      <c r="R2257" t="n">
        <v>1</v>
      </c>
      <c r="S2257" t="n">
        <v>3003</v>
      </c>
      <c r="T2257" t="n">
        <v>20</v>
      </c>
      <c r="U2257" t="n">
        <v>21</v>
      </c>
      <c r="V2257" t="n">
        <v>30</v>
      </c>
      <c r="W2257" t="n">
        <v>6</v>
      </c>
      <c r="X2257" t="n">
        <v>16.48351648351648</v>
      </c>
      <c r="Y2257" t="n">
        <v>1</v>
      </c>
      <c r="Z2257" t="n">
        <v>3</v>
      </c>
      <c r="AA2257" t="n">
        <v>0</v>
      </c>
      <c r="AB2257" t="n">
        <v>3</v>
      </c>
      <c r="AC2257" t="n">
        <v>3</v>
      </c>
      <c r="AD2257" t="n">
        <v>0</v>
      </c>
      <c r="AE2257" t="n">
        <v>38412</v>
      </c>
      <c r="AF2257" t="n">
        <v>10060</v>
      </c>
      <c r="AG2257" t="n">
        <v>78</v>
      </c>
      <c r="AH2257" t="inlineStr">
        <is>
          <t>PT. GLORIENTA P.H - PPN (PDG)</t>
        </is>
      </c>
      <c r="AI2257" t="n">
        <v>83</v>
      </c>
      <c r="AJ2257" t="inlineStr">
        <is>
          <t>IMPLORA</t>
        </is>
      </c>
      <c r="AK2257" t="n">
        <v>21</v>
      </c>
      <c r="AL2257" t="inlineStr">
        <is>
          <t>Miss Glam Damar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IMPLORA</t>
        </is>
      </c>
      <c r="B2258" s="2">
        <f>"8993883800428"</f>
        <v/>
      </c>
      <c r="C2258" t="inlineStr">
        <is>
          <t>IMPLORA Body Fragrance Mist Daydream 100ml</t>
        </is>
      </c>
      <c r="D2258" t="inlineStr">
        <is>
          <t>Miss Glam Damar</t>
        </is>
      </c>
      <c r="E2258" t="n">
        <v>1</v>
      </c>
      <c r="F2258" t="n">
        <v>0.1365</v>
      </c>
      <c r="G2258" t="n">
        <v>1.82</v>
      </c>
      <c r="H2258" t="n">
        <v>3</v>
      </c>
      <c r="I2258" t="n">
        <v>11</v>
      </c>
      <c r="J2258" t="n">
        <v>3</v>
      </c>
      <c r="K2258" t="n">
        <v>0</v>
      </c>
      <c r="L2258" t="n">
        <v>12804</v>
      </c>
      <c r="M2258" t="n">
        <v>16500</v>
      </c>
      <c r="N2258" t="n">
        <v>91</v>
      </c>
      <c r="O2258" t="n">
        <v>0.91</v>
      </c>
      <c r="P2258" t="n">
        <v>1</v>
      </c>
      <c r="Q2258" t="n">
        <v>0.17</v>
      </c>
      <c r="R2258" t="n">
        <v>2</v>
      </c>
      <c r="S2258" t="n">
        <v>2252.25</v>
      </c>
      <c r="T2258" t="n">
        <v>20</v>
      </c>
      <c r="U2258" t="n">
        <v>21</v>
      </c>
      <c r="V2258" t="n">
        <v>30</v>
      </c>
      <c r="W2258" t="n">
        <v>5</v>
      </c>
      <c r="X2258" t="n">
        <v>7.326007326007326</v>
      </c>
      <c r="Y2258" t="n">
        <v>1</v>
      </c>
      <c r="Z2258" t="n">
        <v>4</v>
      </c>
      <c r="AA2258" t="n">
        <v>1</v>
      </c>
      <c r="AB2258" t="n">
        <v>3</v>
      </c>
      <c r="AC2258" t="n">
        <v>3</v>
      </c>
      <c r="AD2258" t="n">
        <v>12804</v>
      </c>
      <c r="AE2258" t="n">
        <v>38412</v>
      </c>
      <c r="AF2258" t="n">
        <v>10060</v>
      </c>
      <c r="AG2258" t="n">
        <v>78</v>
      </c>
      <c r="AH2258" t="inlineStr">
        <is>
          <t>PT. GLORIENTA P.H - PPN (PDG)</t>
        </is>
      </c>
      <c r="AI2258" t="n">
        <v>83</v>
      </c>
      <c r="AJ2258" t="inlineStr">
        <is>
          <t>IMPLORA</t>
        </is>
      </c>
      <c r="AK2258" t="n">
        <v>21</v>
      </c>
      <c r="AL2258" t="inlineStr">
        <is>
          <t>Miss Glam Damar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IMPLORA</t>
        </is>
      </c>
      <c r="B2259" s="2">
        <f>"8993883800466"</f>
        <v/>
      </c>
      <c r="C2259" t="inlineStr">
        <is>
          <t>IMPLORA Body Fragrance Mist Dazzling 100ml</t>
        </is>
      </c>
      <c r="D2259" t="inlineStr">
        <is>
          <t>Miss Glam Damar</t>
        </is>
      </c>
      <c r="E2259" t="n">
        <v>1</v>
      </c>
      <c r="F2259" t="n">
        <v>0.2184</v>
      </c>
      <c r="G2259" t="n">
        <v>1.82</v>
      </c>
      <c r="H2259" t="n">
        <v>3</v>
      </c>
      <c r="I2259" t="n">
        <v>11</v>
      </c>
      <c r="J2259" t="n">
        <v>3</v>
      </c>
      <c r="K2259" t="n">
        <v>0</v>
      </c>
      <c r="L2259" t="n">
        <v>12804</v>
      </c>
      <c r="M2259" t="n">
        <v>16500</v>
      </c>
      <c r="N2259" t="n">
        <v>91</v>
      </c>
      <c r="O2259" t="n">
        <v>0.91</v>
      </c>
      <c r="P2259" t="n">
        <v>1</v>
      </c>
      <c r="Q2259" t="n">
        <v>0.03</v>
      </c>
      <c r="R2259" t="n">
        <v>2</v>
      </c>
      <c r="S2259" t="n">
        <v>3603.6</v>
      </c>
      <c r="T2259" t="n">
        <v>20</v>
      </c>
      <c r="U2259" t="n">
        <v>21</v>
      </c>
      <c r="V2259" t="n">
        <v>30</v>
      </c>
      <c r="W2259" t="n">
        <v>7</v>
      </c>
      <c r="X2259" t="n">
        <v>4.578754578754578</v>
      </c>
      <c r="Y2259" t="n">
        <v>1</v>
      </c>
      <c r="Z2259" t="n">
        <v>6</v>
      </c>
      <c r="AA2259" t="n">
        <v>2</v>
      </c>
      <c r="AB2259" t="n">
        <v>4</v>
      </c>
      <c r="AC2259" t="n">
        <v>4</v>
      </c>
      <c r="AD2259" t="n">
        <v>25608</v>
      </c>
      <c r="AE2259" t="n">
        <v>51216</v>
      </c>
      <c r="AF2259" t="n">
        <v>10060</v>
      </c>
      <c r="AG2259" t="n">
        <v>78</v>
      </c>
      <c r="AH2259" t="inlineStr">
        <is>
          <t>PT. GLORIENTA P.H - PPN (PDG)</t>
        </is>
      </c>
      <c r="AI2259" t="n">
        <v>83</v>
      </c>
      <c r="AJ2259" t="inlineStr">
        <is>
          <t>IMPLORA</t>
        </is>
      </c>
      <c r="AK2259" t="n">
        <v>21</v>
      </c>
      <c r="AL2259" t="inlineStr">
        <is>
          <t>Miss Glam Damar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IMPLORA</t>
        </is>
      </c>
      <c r="B2260" s="2">
        <f>"8993883800435"</f>
        <v/>
      </c>
      <c r="C2260" t="inlineStr">
        <is>
          <t>IMPLORA Body Fragrance Mist Stargaze 100ml</t>
        </is>
      </c>
      <c r="D2260" t="inlineStr">
        <is>
          <t>Miss Glam Damar</t>
        </is>
      </c>
      <c r="E2260" t="n">
        <v>1</v>
      </c>
      <c r="F2260" t="n">
        <v>0.2184</v>
      </c>
      <c r="G2260" t="n">
        <v>1.82</v>
      </c>
      <c r="H2260" t="n">
        <v>3</v>
      </c>
      <c r="I2260" t="n">
        <v>11</v>
      </c>
      <c r="J2260" t="n">
        <v>3</v>
      </c>
      <c r="K2260" t="n">
        <v>0</v>
      </c>
      <c r="L2260" t="n">
        <v>12804</v>
      </c>
      <c r="M2260" t="n">
        <v>16500</v>
      </c>
      <c r="N2260" t="n">
        <v>91</v>
      </c>
      <c r="O2260" t="n">
        <v>0.91</v>
      </c>
      <c r="P2260" t="n">
        <v>1</v>
      </c>
      <c r="Q2260" t="n">
        <v>0.12</v>
      </c>
      <c r="R2260" t="n">
        <v>1</v>
      </c>
      <c r="S2260" t="n">
        <v>3603.6</v>
      </c>
      <c r="T2260" t="n">
        <v>20</v>
      </c>
      <c r="U2260" t="n">
        <v>21</v>
      </c>
      <c r="V2260" t="n">
        <v>30</v>
      </c>
      <c r="W2260" t="n">
        <v>7</v>
      </c>
      <c r="X2260" t="n">
        <v>4.578754578754578</v>
      </c>
      <c r="Y2260" t="n">
        <v>1</v>
      </c>
      <c r="Z2260" t="n">
        <v>6</v>
      </c>
      <c r="AA2260" t="n">
        <v>2</v>
      </c>
      <c r="AB2260" t="n">
        <v>4</v>
      </c>
      <c r="AC2260" t="n">
        <v>4</v>
      </c>
      <c r="AD2260" t="n">
        <v>25608</v>
      </c>
      <c r="AE2260" t="n">
        <v>51216</v>
      </c>
      <c r="AF2260" t="n">
        <v>10060</v>
      </c>
      <c r="AG2260" t="n">
        <v>78</v>
      </c>
      <c r="AH2260" t="inlineStr">
        <is>
          <t>PT. GLORIENTA P.H - PPN (PDG)</t>
        </is>
      </c>
      <c r="AI2260" t="n">
        <v>83</v>
      </c>
      <c r="AJ2260" t="inlineStr">
        <is>
          <t>IMPLORA</t>
        </is>
      </c>
      <c r="AK2260" t="n">
        <v>21</v>
      </c>
      <c r="AL2260" t="inlineStr">
        <is>
          <t>Miss Glam Damar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IMPLORA</t>
        </is>
      </c>
      <c r="B2261" s="2">
        <f>"1212060002002"</f>
        <v/>
      </c>
      <c r="C2261" t="inlineStr">
        <is>
          <t>IMPLORA Cheek &amp; Liptint 02 Cherry Bomb</t>
        </is>
      </c>
      <c r="D2261" t="inlineStr">
        <is>
          <t>Miss Glam Damar</t>
        </is>
      </c>
      <c r="E2261" t="n">
        <v>5</v>
      </c>
      <c r="F2261" t="n">
        <v>0.5551</v>
      </c>
      <c r="G2261" t="n">
        <v>1.82</v>
      </c>
      <c r="H2261" t="n">
        <v>3</v>
      </c>
      <c r="I2261" t="n">
        <v>11</v>
      </c>
      <c r="J2261" t="n">
        <v>3</v>
      </c>
      <c r="K2261" t="n">
        <v>0</v>
      </c>
      <c r="L2261" t="n">
        <v>15132</v>
      </c>
      <c r="M2261" t="n">
        <v>19500</v>
      </c>
      <c r="N2261" t="n">
        <v>91</v>
      </c>
      <c r="O2261" t="n">
        <v>0.91</v>
      </c>
      <c r="P2261" t="n">
        <v>1</v>
      </c>
      <c r="Q2261" t="n">
        <v>0.15</v>
      </c>
      <c r="R2261" t="n">
        <v>2</v>
      </c>
      <c r="S2261" t="n">
        <v>10824.45</v>
      </c>
      <c r="T2261" t="n">
        <v>19</v>
      </c>
      <c r="U2261" t="n">
        <v>21</v>
      </c>
      <c r="V2261" t="n">
        <v>30</v>
      </c>
      <c r="W2261" t="n">
        <v>17</v>
      </c>
      <c r="X2261" t="n">
        <v>9.007386056566384</v>
      </c>
      <c r="Y2261" t="n">
        <v>1</v>
      </c>
      <c r="Z2261" t="n">
        <v>12</v>
      </c>
      <c r="AA2261" t="n">
        <v>2</v>
      </c>
      <c r="AB2261" t="n">
        <v>10</v>
      </c>
      <c r="AC2261" t="n">
        <v>10</v>
      </c>
      <c r="AD2261" t="n">
        <v>30264</v>
      </c>
      <c r="AE2261" t="n">
        <v>151320</v>
      </c>
      <c r="AF2261" t="n">
        <v>10060</v>
      </c>
      <c r="AG2261" t="n">
        <v>78</v>
      </c>
      <c r="AH2261" t="inlineStr">
        <is>
          <t>PT. GLORIENTA P.H - PPN (PDG)</t>
        </is>
      </c>
      <c r="AI2261" t="n">
        <v>83</v>
      </c>
      <c r="AJ2261" t="inlineStr">
        <is>
          <t>IMPLORA</t>
        </is>
      </c>
      <c r="AK2261" t="n">
        <v>21</v>
      </c>
      <c r="AL2261" t="inlineStr">
        <is>
          <t>Miss Glam Damar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IMPLORA</t>
        </is>
      </c>
      <c r="B2262" s="2">
        <f>"1212060003009"</f>
        <v/>
      </c>
      <c r="C2262" t="inlineStr">
        <is>
          <t>IMPLORA Cheek &amp; Liptint 03 Candy Apple</t>
        </is>
      </c>
      <c r="D2262" t="inlineStr">
        <is>
          <t>Miss Glam Damar</t>
        </is>
      </c>
      <c r="E2262" t="n">
        <v>4</v>
      </c>
      <c r="F2262" t="n">
        <v>0.4641</v>
      </c>
      <c r="G2262" t="n">
        <v>3.64</v>
      </c>
      <c r="H2262" t="n">
        <v>3</v>
      </c>
      <c r="I2262" t="n">
        <v>11</v>
      </c>
      <c r="J2262" t="n">
        <v>3</v>
      </c>
      <c r="K2262" t="n">
        <v>0</v>
      </c>
      <c r="L2262" t="n">
        <v>15132</v>
      </c>
      <c r="M2262" t="n">
        <v>19500</v>
      </c>
      <c r="N2262" t="n">
        <v>91</v>
      </c>
      <c r="O2262" t="n">
        <v>0.91</v>
      </c>
      <c r="P2262" t="n">
        <v>1</v>
      </c>
      <c r="Q2262" t="n">
        <v>0.12</v>
      </c>
      <c r="R2262" t="n">
        <v>3</v>
      </c>
      <c r="S2262" t="n">
        <v>9049.950000000001</v>
      </c>
      <c r="T2262" t="n">
        <v>39</v>
      </c>
      <c r="U2262" t="n">
        <v>41</v>
      </c>
      <c r="V2262" t="n">
        <v>30</v>
      </c>
      <c r="W2262" t="n">
        <v>14</v>
      </c>
      <c r="X2262" t="n">
        <v>8.618832148243913</v>
      </c>
      <c r="Y2262" t="n">
        <v>1</v>
      </c>
      <c r="Z2262" t="n">
        <v>10</v>
      </c>
      <c r="AA2262" t="n">
        <v>2</v>
      </c>
      <c r="AB2262" t="n">
        <v>8</v>
      </c>
      <c r="AC2262" t="n">
        <v>8</v>
      </c>
      <c r="AD2262" t="n">
        <v>30264</v>
      </c>
      <c r="AE2262" t="n">
        <v>121056</v>
      </c>
      <c r="AF2262" t="n">
        <v>10060</v>
      </c>
      <c r="AG2262" t="n">
        <v>78</v>
      </c>
      <c r="AH2262" t="inlineStr">
        <is>
          <t>PT. GLORIENTA P.H - PPN (PDG)</t>
        </is>
      </c>
      <c r="AI2262" t="n">
        <v>83</v>
      </c>
      <c r="AJ2262" t="inlineStr">
        <is>
          <t>IMPLORA</t>
        </is>
      </c>
      <c r="AK2262" t="n">
        <v>21</v>
      </c>
      <c r="AL2262" t="inlineStr">
        <is>
          <t>Miss Glam Damar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IMPLORA</t>
        </is>
      </c>
      <c r="B2263" s="2">
        <f>"1212060005003"</f>
        <v/>
      </c>
      <c r="C2263" t="inlineStr">
        <is>
          <t>IMPLORA Cheek &amp; Liptint 05 Cranberry 5.5gr</t>
        </is>
      </c>
      <c r="D2263" t="inlineStr">
        <is>
          <t>Miss Glam Damar</t>
        </is>
      </c>
      <c r="E2263" t="n">
        <v>6</v>
      </c>
      <c r="F2263" t="n">
        <v>0.7735</v>
      </c>
      <c r="G2263" t="n">
        <v>3.64</v>
      </c>
      <c r="H2263" t="n">
        <v>3</v>
      </c>
      <c r="I2263" t="n">
        <v>11</v>
      </c>
      <c r="J2263" t="n">
        <v>3</v>
      </c>
      <c r="K2263" t="n">
        <v>0</v>
      </c>
      <c r="L2263" t="n">
        <v>15132</v>
      </c>
      <c r="M2263" t="n">
        <v>19500</v>
      </c>
      <c r="N2263" t="n">
        <v>91</v>
      </c>
      <c r="O2263" t="n">
        <v>0.91</v>
      </c>
      <c r="P2263" t="n">
        <v>1</v>
      </c>
      <c r="Q2263" t="n">
        <v>0.1</v>
      </c>
      <c r="R2263" t="n">
        <v>1</v>
      </c>
      <c r="S2263" t="n">
        <v>15083.25</v>
      </c>
      <c r="T2263" t="n">
        <v>38</v>
      </c>
      <c r="U2263" t="n">
        <v>41</v>
      </c>
      <c r="V2263" t="n">
        <v>30</v>
      </c>
      <c r="W2263" t="n">
        <v>24</v>
      </c>
      <c r="X2263" t="n">
        <v>7.756948933419522</v>
      </c>
      <c r="Y2263" t="n">
        <v>1</v>
      </c>
      <c r="Z2263" t="n">
        <v>18</v>
      </c>
      <c r="AA2263" t="n">
        <v>3</v>
      </c>
      <c r="AB2263" t="n">
        <v>15</v>
      </c>
      <c r="AC2263" t="n">
        <v>15</v>
      </c>
      <c r="AD2263" t="n">
        <v>45396</v>
      </c>
      <c r="AE2263" t="n">
        <v>226980</v>
      </c>
      <c r="AF2263" t="n">
        <v>10060</v>
      </c>
      <c r="AG2263" t="n">
        <v>78</v>
      </c>
      <c r="AH2263" t="inlineStr">
        <is>
          <t>PT. GLORIENTA P.H - PPN (PDG)</t>
        </is>
      </c>
      <c r="AI2263" t="n">
        <v>83</v>
      </c>
      <c r="AJ2263" t="inlineStr">
        <is>
          <t>IMPLORA</t>
        </is>
      </c>
      <c r="AK2263" t="n">
        <v>21</v>
      </c>
      <c r="AL2263" t="inlineStr">
        <is>
          <t>Miss Glam Damar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IMPLORA</t>
        </is>
      </c>
      <c r="B2264" s="2">
        <f>"8993883801180"</f>
        <v/>
      </c>
      <c r="C2264" t="inlineStr">
        <is>
          <t>IMPLORA Cheek &amp; Liptint 07 Juicy Juice 5,5 gr</t>
        </is>
      </c>
      <c r="D2264" t="inlineStr">
        <is>
          <t>Miss Glam Damar</t>
        </is>
      </c>
      <c r="E2264" t="n">
        <v>9</v>
      </c>
      <c r="F2264" t="n">
        <v>0.12</v>
      </c>
      <c r="G2264" t="n">
        <v>2</v>
      </c>
      <c r="H2264" t="n">
        <v>3</v>
      </c>
      <c r="I2264" t="n">
        <v>11</v>
      </c>
      <c r="J2264" t="n">
        <v>3</v>
      </c>
      <c r="K2264" t="n">
        <v>0</v>
      </c>
      <c r="L2264" t="n">
        <v>15132</v>
      </c>
      <c r="M2264" t="n">
        <v>19500</v>
      </c>
      <c r="N2264" t="n">
        <v>91</v>
      </c>
      <c r="O2264" t="n">
        <v>0.91</v>
      </c>
      <c r="P2264" t="n">
        <v>0</v>
      </c>
      <c r="Q2264" t="n">
        <v>0.12</v>
      </c>
      <c r="R2264" t="n">
        <v>2</v>
      </c>
      <c r="S2264" t="n">
        <v>2340</v>
      </c>
      <c r="T2264" t="n">
        <v>22</v>
      </c>
      <c r="U2264" t="n">
        <v>23</v>
      </c>
      <c r="V2264" t="n">
        <v>30</v>
      </c>
      <c r="W2264" t="n">
        <v>4</v>
      </c>
      <c r="X2264" t="n">
        <v>75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10060</v>
      </c>
      <c r="AG2264" t="n">
        <v>78</v>
      </c>
      <c r="AH2264" t="inlineStr">
        <is>
          <t>PT. GLORIENTA P.H - PPN (PDG)</t>
        </is>
      </c>
      <c r="AI2264" t="n">
        <v>83</v>
      </c>
      <c r="AJ2264" t="inlineStr">
        <is>
          <t>IMPLORA</t>
        </is>
      </c>
      <c r="AK2264" t="n">
        <v>21</v>
      </c>
      <c r="AL2264" t="inlineStr">
        <is>
          <t>Miss Glam Damar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IMPLORA</t>
        </is>
      </c>
      <c r="B2265" s="2">
        <f>"8993883801203"</f>
        <v/>
      </c>
      <c r="C2265" t="inlineStr">
        <is>
          <t>IMPLORA Cheek &amp; Liptint 09 Red Velvet 5,5gr</t>
        </is>
      </c>
      <c r="D2265" t="inlineStr">
        <is>
          <t>Miss Glam Damar</t>
        </is>
      </c>
      <c r="E2265" t="n">
        <v>7</v>
      </c>
      <c r="F2265" t="n">
        <v>0.12</v>
      </c>
      <c r="G2265" t="n">
        <v>1</v>
      </c>
      <c r="H2265" t="n">
        <v>3</v>
      </c>
      <c r="I2265" t="n">
        <v>11</v>
      </c>
      <c r="J2265" t="n">
        <v>3</v>
      </c>
      <c r="K2265" t="n">
        <v>0</v>
      </c>
      <c r="L2265" t="n">
        <v>15132</v>
      </c>
      <c r="M2265" t="n">
        <v>19500</v>
      </c>
      <c r="N2265" t="n">
        <v>91</v>
      </c>
      <c r="O2265" t="n">
        <v>0.91</v>
      </c>
      <c r="P2265" t="n">
        <v>0</v>
      </c>
      <c r="Q2265" t="n">
        <v>0.12</v>
      </c>
      <c r="R2265" t="n">
        <v>1</v>
      </c>
      <c r="S2265" t="n">
        <v>2340</v>
      </c>
      <c r="T2265" t="n">
        <v>11</v>
      </c>
      <c r="U2265" t="n">
        <v>12</v>
      </c>
      <c r="V2265" t="n">
        <v>30</v>
      </c>
      <c r="W2265" t="n">
        <v>4</v>
      </c>
      <c r="X2265" t="n">
        <v>58.33333333333334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10060</v>
      </c>
      <c r="AG2265" t="n">
        <v>78</v>
      </c>
      <c r="AH2265" t="inlineStr">
        <is>
          <t>PT. GLORIENTA P.H - PPN (PDG)</t>
        </is>
      </c>
      <c r="AI2265" t="n">
        <v>83</v>
      </c>
      <c r="AJ2265" t="inlineStr">
        <is>
          <t>IMPLORA</t>
        </is>
      </c>
      <c r="AK2265" t="n">
        <v>21</v>
      </c>
      <c r="AL2265" t="inlineStr">
        <is>
          <t>Miss Glam Damar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IMPLORA</t>
        </is>
      </c>
      <c r="B2266" s="2">
        <f>"1212060004006"</f>
        <v/>
      </c>
      <c r="C2266" t="inlineStr">
        <is>
          <t>IMPLORA Cheek&amp;Lip Tint 04 Red Wine 5.5g</t>
        </is>
      </c>
      <c r="D2266" t="inlineStr">
        <is>
          <t>Miss Glam Damar</t>
        </is>
      </c>
      <c r="E2266" t="n">
        <v>2</v>
      </c>
      <c r="F2266" t="n">
        <v>0.2275</v>
      </c>
      <c r="G2266" t="n">
        <v>2.73</v>
      </c>
      <c r="H2266" t="n">
        <v>3</v>
      </c>
      <c r="I2266" t="n">
        <v>11</v>
      </c>
      <c r="J2266" t="n">
        <v>3</v>
      </c>
      <c r="K2266" t="n">
        <v>0</v>
      </c>
      <c r="L2266" t="n">
        <v>15156</v>
      </c>
      <c r="M2266" t="n">
        <v>19500</v>
      </c>
      <c r="N2266" t="n">
        <v>91</v>
      </c>
      <c r="O2266" t="n">
        <v>0.91</v>
      </c>
      <c r="P2266" t="n">
        <v>1</v>
      </c>
      <c r="Q2266" t="n">
        <v>0.19</v>
      </c>
      <c r="R2266" t="n">
        <v>2</v>
      </c>
      <c r="S2266" t="n">
        <v>4436.25</v>
      </c>
      <c r="T2266" t="n">
        <v>30</v>
      </c>
      <c r="U2266" t="n">
        <v>31</v>
      </c>
      <c r="V2266" t="n">
        <v>30</v>
      </c>
      <c r="W2266" t="n">
        <v>7</v>
      </c>
      <c r="X2266" t="n">
        <v>8.79120879120879</v>
      </c>
      <c r="Y2266" t="n">
        <v>1</v>
      </c>
      <c r="Z2266" t="n">
        <v>5</v>
      </c>
      <c r="AA2266" t="n">
        <v>1</v>
      </c>
      <c r="AB2266" t="n">
        <v>4</v>
      </c>
      <c r="AC2266" t="n">
        <v>4</v>
      </c>
      <c r="AD2266" t="n">
        <v>15156</v>
      </c>
      <c r="AE2266" t="n">
        <v>60624</v>
      </c>
      <c r="AF2266" t="n">
        <v>10060</v>
      </c>
      <c r="AG2266" t="n">
        <v>78</v>
      </c>
      <c r="AH2266" t="inlineStr">
        <is>
          <t>PT. GLORIENTA P.H - PPN (PDG)</t>
        </is>
      </c>
      <c r="AI2266" t="n">
        <v>83</v>
      </c>
      <c r="AJ2266" t="inlineStr">
        <is>
          <t>IMPLORA</t>
        </is>
      </c>
      <c r="AK2266" t="n">
        <v>21</v>
      </c>
      <c r="AL2266" t="inlineStr">
        <is>
          <t>Miss Glam Damar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IMPLORA</t>
        </is>
      </c>
      <c r="B2267" s="2">
        <f>"1212060006000"</f>
        <v/>
      </c>
      <c r="C2267" t="inlineStr">
        <is>
          <t>IMPLORA Cheek&amp;Lip Tint 06  Pumpkin 5.5g</t>
        </is>
      </c>
      <c r="D2267" t="inlineStr">
        <is>
          <t>Miss Glam Damar</t>
        </is>
      </c>
      <c r="E2267" t="n">
        <v>10</v>
      </c>
      <c r="F2267" t="n">
        <v>0.1729</v>
      </c>
      <c r="G2267" t="n">
        <v>0.91</v>
      </c>
      <c r="H2267" t="n">
        <v>3</v>
      </c>
      <c r="I2267" t="n">
        <v>11</v>
      </c>
      <c r="J2267" t="n">
        <v>3</v>
      </c>
      <c r="K2267" t="n">
        <v>0</v>
      </c>
      <c r="L2267" t="n">
        <v>15112</v>
      </c>
      <c r="M2267" t="n">
        <v>19500</v>
      </c>
      <c r="N2267" t="n">
        <v>91</v>
      </c>
      <c r="O2267" t="n">
        <v>0.91</v>
      </c>
      <c r="P2267" t="n">
        <v>1</v>
      </c>
      <c r="Q2267" t="n">
        <v>0.08</v>
      </c>
      <c r="R2267" t="n">
        <v>2</v>
      </c>
      <c r="S2267" t="n">
        <v>3371.55</v>
      </c>
      <c r="T2267" t="n">
        <v>10</v>
      </c>
      <c r="U2267" t="n">
        <v>11</v>
      </c>
      <c r="V2267" t="n">
        <v>30</v>
      </c>
      <c r="W2267" t="n">
        <v>6</v>
      </c>
      <c r="X2267" t="n">
        <v>57.8368999421631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10060</v>
      </c>
      <c r="AG2267" t="n">
        <v>78</v>
      </c>
      <c r="AH2267" t="inlineStr">
        <is>
          <t>PT. GLORIENTA P.H - PPN (PDG)</t>
        </is>
      </c>
      <c r="AI2267" t="n">
        <v>83</v>
      </c>
      <c r="AJ2267" t="inlineStr">
        <is>
          <t>IMPLORA</t>
        </is>
      </c>
      <c r="AK2267" t="n">
        <v>21</v>
      </c>
      <c r="AL2267" t="inlineStr">
        <is>
          <t>Miss Glam Damar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IMPLORA</t>
        </is>
      </c>
      <c r="B2268" s="2">
        <f>"8993883801227"</f>
        <v/>
      </c>
      <c r="C2268" t="inlineStr">
        <is>
          <t>IMPLORA Cleansing Face &amp; Body Bar Charcoal Exfoliating 60gr</t>
        </is>
      </c>
      <c r="D2268" t="inlineStr">
        <is>
          <t>Miss Glam Damar</t>
        </is>
      </c>
      <c r="E2268" t="n">
        <v>2</v>
      </c>
      <c r="F2268" t="n">
        <v>0.06370000000000001</v>
      </c>
      <c r="G2268" t="n">
        <v>1.82</v>
      </c>
      <c r="H2268" t="n">
        <v>3</v>
      </c>
      <c r="I2268" t="n">
        <v>11</v>
      </c>
      <c r="J2268" t="n">
        <v>3</v>
      </c>
      <c r="K2268" t="n">
        <v>0</v>
      </c>
      <c r="L2268" t="n">
        <v>9855</v>
      </c>
      <c r="M2268" t="n">
        <v>13000</v>
      </c>
      <c r="N2268" t="n">
        <v>91</v>
      </c>
      <c r="O2268" t="n">
        <v>0.91</v>
      </c>
      <c r="P2268" t="n">
        <v>1</v>
      </c>
      <c r="Q2268" t="n">
        <v>0.05</v>
      </c>
      <c r="R2268" t="n">
        <v>2</v>
      </c>
      <c r="S2268" t="n">
        <v>828.1000000000001</v>
      </c>
      <c r="T2268" t="n">
        <v>20</v>
      </c>
      <c r="U2268" t="n">
        <v>21</v>
      </c>
      <c r="V2268" t="n">
        <v>30</v>
      </c>
      <c r="W2268" t="n">
        <v>2</v>
      </c>
      <c r="X2268" t="n">
        <v>31.39717425431711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10060</v>
      </c>
      <c r="AG2268" t="n">
        <v>78</v>
      </c>
      <c r="AH2268" t="inlineStr">
        <is>
          <t>PT. GLORIENTA P.H - PPN (PDG)</t>
        </is>
      </c>
      <c r="AI2268" t="n">
        <v>83</v>
      </c>
      <c r="AJ2268" t="inlineStr">
        <is>
          <t>IMPLORA</t>
        </is>
      </c>
      <c r="AK2268" t="n">
        <v>21</v>
      </c>
      <c r="AL2268" t="inlineStr">
        <is>
          <t>Miss Glam Damar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IMPLORA</t>
        </is>
      </c>
      <c r="B2269" s="2">
        <f>"8993883801241"</f>
        <v/>
      </c>
      <c r="C2269" t="inlineStr">
        <is>
          <t>IMPLORA Cleansing Face &amp; Body Bar Goat Milk Brigtening 60gr</t>
        </is>
      </c>
      <c r="D2269" t="inlineStr">
        <is>
          <t>Miss Glam Damar</t>
        </is>
      </c>
      <c r="E2269" t="n">
        <v>4</v>
      </c>
      <c r="F2269" t="n">
        <v>0.06370000000000001</v>
      </c>
      <c r="G2269" t="n">
        <v>0.91</v>
      </c>
      <c r="H2269" t="n">
        <v>3</v>
      </c>
      <c r="I2269" t="n">
        <v>11</v>
      </c>
      <c r="J2269" t="n">
        <v>3</v>
      </c>
      <c r="K2269" t="n">
        <v>0</v>
      </c>
      <c r="L2269" t="n">
        <v>9855</v>
      </c>
      <c r="M2269" t="n">
        <v>13000</v>
      </c>
      <c r="N2269" t="n">
        <v>91</v>
      </c>
      <c r="O2269" t="n">
        <v>0.91</v>
      </c>
      <c r="P2269" t="n">
        <v>1</v>
      </c>
      <c r="Q2269" t="n">
        <v>0.08</v>
      </c>
      <c r="R2269" t="n">
        <v>1</v>
      </c>
      <c r="S2269" t="n">
        <v>828.1000000000001</v>
      </c>
      <c r="T2269" t="n">
        <v>10</v>
      </c>
      <c r="U2269" t="n">
        <v>11</v>
      </c>
      <c r="V2269" t="n">
        <v>30</v>
      </c>
      <c r="W2269" t="n">
        <v>2</v>
      </c>
      <c r="X2269" t="n">
        <v>62.79434850863422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10060</v>
      </c>
      <c r="AG2269" t="n">
        <v>78</v>
      </c>
      <c r="AH2269" t="inlineStr">
        <is>
          <t>PT. GLORIENTA P.H - PPN (PDG)</t>
        </is>
      </c>
      <c r="AI2269" t="n">
        <v>83</v>
      </c>
      <c r="AJ2269" t="inlineStr">
        <is>
          <t>IMPLORA</t>
        </is>
      </c>
      <c r="AK2269" t="n">
        <v>21</v>
      </c>
      <c r="AL2269" t="inlineStr">
        <is>
          <t>Miss Glam Damar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IMPLORA</t>
        </is>
      </c>
      <c r="B2270" s="2">
        <f>"8993883801265"</f>
        <v/>
      </c>
      <c r="C2270" t="inlineStr">
        <is>
          <t>IMPLORA Cleansing Face &amp; Body Bar Rose Moisturizing 60gr</t>
        </is>
      </c>
      <c r="D2270" t="inlineStr">
        <is>
          <t>Miss Glam Damar</t>
        </is>
      </c>
      <c r="E2270" t="n">
        <v>1</v>
      </c>
      <c r="F2270" t="n">
        <v>0.06370000000000001</v>
      </c>
      <c r="G2270" t="n">
        <v>0.91</v>
      </c>
      <c r="H2270" t="n">
        <v>3</v>
      </c>
      <c r="I2270" t="n">
        <v>11</v>
      </c>
      <c r="J2270" t="n">
        <v>3</v>
      </c>
      <c r="K2270" t="n">
        <v>0</v>
      </c>
      <c r="L2270" t="n">
        <v>9855</v>
      </c>
      <c r="M2270" t="n">
        <v>13000</v>
      </c>
      <c r="N2270" t="n">
        <v>91</v>
      </c>
      <c r="O2270" t="n">
        <v>0.91</v>
      </c>
      <c r="P2270" t="n">
        <v>1</v>
      </c>
      <c r="Q2270" t="n">
        <v>0.03</v>
      </c>
      <c r="R2270" t="n">
        <v>1</v>
      </c>
      <c r="S2270" t="n">
        <v>828.1000000000001</v>
      </c>
      <c r="T2270" t="n">
        <v>10</v>
      </c>
      <c r="U2270" t="n">
        <v>11</v>
      </c>
      <c r="V2270" t="n">
        <v>30</v>
      </c>
      <c r="W2270" t="n">
        <v>2</v>
      </c>
      <c r="X2270" t="n">
        <v>15.69858712715855</v>
      </c>
      <c r="Y2270" t="n">
        <v>1</v>
      </c>
      <c r="Z2270" t="n">
        <v>1</v>
      </c>
      <c r="AA2270" t="n">
        <v>0</v>
      </c>
      <c r="AB2270" t="n">
        <v>1</v>
      </c>
      <c r="AC2270" t="n">
        <v>3</v>
      </c>
      <c r="AD2270" t="n">
        <v>0</v>
      </c>
      <c r="AE2270" t="n">
        <v>29565</v>
      </c>
      <c r="AF2270" t="n">
        <v>10060</v>
      </c>
      <c r="AG2270" t="n">
        <v>78</v>
      </c>
      <c r="AH2270" t="inlineStr">
        <is>
          <t>PT. GLORIENTA P.H - PPN (PDG)</t>
        </is>
      </c>
      <c r="AI2270" t="n">
        <v>83</v>
      </c>
      <c r="AJ2270" t="inlineStr">
        <is>
          <t>IMPLORA</t>
        </is>
      </c>
      <c r="AK2270" t="n">
        <v>21</v>
      </c>
      <c r="AL2270" t="inlineStr">
        <is>
          <t>Miss Glam Damar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IMPLORA</t>
        </is>
      </c>
      <c r="B2271" s="2">
        <f>"8993883800183"</f>
        <v/>
      </c>
      <c r="C2271" t="inlineStr">
        <is>
          <t>IMPLORA Dark Spot Treatment 12gr</t>
        </is>
      </c>
      <c r="D2271" t="inlineStr">
        <is>
          <t>Miss Glam Damar</t>
        </is>
      </c>
      <c r="E2271" t="n">
        <v>3</v>
      </c>
      <c r="F2271" t="n">
        <v>0.1092</v>
      </c>
      <c r="G2271" t="n">
        <v>0.91</v>
      </c>
      <c r="H2271" t="n">
        <v>3</v>
      </c>
      <c r="I2271" t="n">
        <v>11</v>
      </c>
      <c r="J2271" t="n">
        <v>3</v>
      </c>
      <c r="K2271" t="n">
        <v>0</v>
      </c>
      <c r="L2271" t="n">
        <v>18624</v>
      </c>
      <c r="M2271" t="n">
        <v>24000</v>
      </c>
      <c r="N2271" t="n">
        <v>91</v>
      </c>
      <c r="O2271" t="n">
        <v>0.91</v>
      </c>
      <c r="P2271" t="n">
        <v>1</v>
      </c>
      <c r="Q2271" t="n">
        <v>0.02</v>
      </c>
      <c r="R2271" t="n">
        <v>1</v>
      </c>
      <c r="S2271" t="n">
        <v>2620.8</v>
      </c>
      <c r="T2271" t="n">
        <v>10</v>
      </c>
      <c r="U2271" t="n">
        <v>11</v>
      </c>
      <c r="V2271" t="n">
        <v>30</v>
      </c>
      <c r="W2271" t="n">
        <v>4</v>
      </c>
      <c r="X2271" t="n">
        <v>27.47252747252747</v>
      </c>
      <c r="Y2271" t="n">
        <v>1</v>
      </c>
      <c r="Z2271" t="n">
        <v>1</v>
      </c>
      <c r="AA2271" t="n">
        <v>0</v>
      </c>
      <c r="AB2271" t="n">
        <v>1</v>
      </c>
      <c r="AC2271" t="n">
        <v>3</v>
      </c>
      <c r="AD2271" t="n">
        <v>0</v>
      </c>
      <c r="AE2271" t="n">
        <v>55872</v>
      </c>
      <c r="AF2271" t="n">
        <v>10060</v>
      </c>
      <c r="AG2271" t="n">
        <v>78</v>
      </c>
      <c r="AH2271" t="inlineStr">
        <is>
          <t>PT. GLORIENTA P.H - PPN (PDG)</t>
        </is>
      </c>
      <c r="AI2271" t="n">
        <v>83</v>
      </c>
      <c r="AJ2271" t="inlineStr">
        <is>
          <t>IMPLORA</t>
        </is>
      </c>
      <c r="AK2271" t="n">
        <v>21</v>
      </c>
      <c r="AL2271" t="inlineStr">
        <is>
          <t>Miss Glam Damar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IMPLORA</t>
        </is>
      </c>
      <c r="B2272" s="2">
        <f>"8993883800572"</f>
        <v/>
      </c>
      <c r="C2272" t="inlineStr">
        <is>
          <t>IMPLORA Day To Day Series Brow Pop Ash Brown 0.08gr</t>
        </is>
      </c>
      <c r="D2272" t="inlineStr">
        <is>
          <t>Miss Glam Damar</t>
        </is>
      </c>
      <c r="E2272" t="n">
        <v>14</v>
      </c>
      <c r="F2272" t="n">
        <v>0.51</v>
      </c>
      <c r="G2272" t="n">
        <v>3</v>
      </c>
      <c r="H2272" t="n">
        <v>3</v>
      </c>
      <c r="I2272" t="n">
        <v>11</v>
      </c>
      <c r="J2272" t="n">
        <v>3</v>
      </c>
      <c r="K2272" t="n">
        <v>0</v>
      </c>
      <c r="L2272" t="n">
        <v>12415</v>
      </c>
      <c r="M2272" t="n">
        <v>16000</v>
      </c>
      <c r="N2272" t="n">
        <v>91</v>
      </c>
      <c r="O2272" t="n">
        <v>0.91</v>
      </c>
      <c r="P2272" t="n">
        <v>0</v>
      </c>
      <c r="Q2272" t="n">
        <v>0.51</v>
      </c>
      <c r="R2272" t="n">
        <v>3</v>
      </c>
      <c r="S2272" t="n">
        <v>8160</v>
      </c>
      <c r="T2272" t="n">
        <v>32</v>
      </c>
      <c r="U2272" t="n">
        <v>34</v>
      </c>
      <c r="V2272" t="n">
        <v>30</v>
      </c>
      <c r="W2272" t="n">
        <v>16</v>
      </c>
      <c r="X2272" t="n">
        <v>27.45098039215686</v>
      </c>
      <c r="Y2272" t="n">
        <v>1</v>
      </c>
      <c r="Z2272" t="n">
        <v>2</v>
      </c>
      <c r="AA2272" t="n">
        <v>0</v>
      </c>
      <c r="AB2272" t="n">
        <v>2</v>
      </c>
      <c r="AC2272" t="n">
        <v>3</v>
      </c>
      <c r="AD2272" t="n">
        <v>0</v>
      </c>
      <c r="AE2272" t="n">
        <v>37245</v>
      </c>
      <c r="AF2272" t="n">
        <v>10060</v>
      </c>
      <c r="AG2272" t="n">
        <v>78</v>
      </c>
      <c r="AH2272" t="inlineStr">
        <is>
          <t>PT. GLORIENTA P.H - PPN (PDG)</t>
        </is>
      </c>
      <c r="AI2272" t="n">
        <v>83</v>
      </c>
      <c r="AJ2272" t="inlineStr">
        <is>
          <t>IMPLORA</t>
        </is>
      </c>
      <c r="AK2272" t="n">
        <v>21</v>
      </c>
      <c r="AL2272" t="inlineStr">
        <is>
          <t>Miss Glam Damar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IMPLORA</t>
        </is>
      </c>
      <c r="B2273" s="2">
        <f>"8993883800589"</f>
        <v/>
      </c>
      <c r="C2273" t="inlineStr">
        <is>
          <t>IMPLORA Day To Day Series Brow Pop Dark Ash  0.08gr</t>
        </is>
      </c>
      <c r="D2273" t="inlineStr">
        <is>
          <t>Miss Glam Damar</t>
        </is>
      </c>
      <c r="E2273" t="n">
        <v>10</v>
      </c>
      <c r="F2273" t="n">
        <v>0.25</v>
      </c>
      <c r="G2273" t="n">
        <v>3</v>
      </c>
      <c r="H2273" t="n">
        <v>3</v>
      </c>
      <c r="I2273" t="n">
        <v>11</v>
      </c>
      <c r="J2273" t="n">
        <v>3</v>
      </c>
      <c r="K2273" t="n">
        <v>0</v>
      </c>
      <c r="L2273" t="n">
        <v>12415</v>
      </c>
      <c r="M2273" t="n">
        <v>16000</v>
      </c>
      <c r="N2273" t="n">
        <v>91</v>
      </c>
      <c r="O2273" t="n">
        <v>0.91</v>
      </c>
      <c r="P2273" t="n">
        <v>0</v>
      </c>
      <c r="Q2273" t="n">
        <v>0.25</v>
      </c>
      <c r="R2273" t="n">
        <v>3</v>
      </c>
      <c r="S2273" t="n">
        <v>4000</v>
      </c>
      <c r="T2273" t="n">
        <v>33</v>
      </c>
      <c r="U2273" t="n">
        <v>34</v>
      </c>
      <c r="V2273" t="n">
        <v>30</v>
      </c>
      <c r="W2273" t="n">
        <v>8</v>
      </c>
      <c r="X2273" t="n">
        <v>40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10060</v>
      </c>
      <c r="AG2273" t="n">
        <v>78</v>
      </c>
      <c r="AH2273" t="inlineStr">
        <is>
          <t>PT. GLORIENTA P.H - PPN (PDG)</t>
        </is>
      </c>
      <c r="AI2273" t="n">
        <v>83</v>
      </c>
      <c r="AJ2273" t="inlineStr">
        <is>
          <t>IMPLORA</t>
        </is>
      </c>
      <c r="AK2273" t="n">
        <v>21</v>
      </c>
      <c r="AL2273" t="inlineStr">
        <is>
          <t>Miss Glam Damar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IMPLORA</t>
        </is>
      </c>
      <c r="B2274" s="2">
        <f>"8993883800596"</f>
        <v/>
      </c>
      <c r="C2274" t="inlineStr">
        <is>
          <t>IMPLORA Day To Day Series Brow Pop Dark Brown  0.08gr</t>
        </is>
      </c>
      <c r="D2274" t="inlineStr">
        <is>
          <t>Miss Glam Damar</t>
        </is>
      </c>
      <c r="E2274" t="n">
        <v>1</v>
      </c>
      <c r="F2274" t="n">
        <v>0.08</v>
      </c>
      <c r="G2274" t="n">
        <v>1</v>
      </c>
      <c r="H2274" t="n">
        <v>3</v>
      </c>
      <c r="I2274" t="n">
        <v>11</v>
      </c>
      <c r="J2274" t="n">
        <v>3</v>
      </c>
      <c r="K2274" t="n">
        <v>0</v>
      </c>
      <c r="L2274" t="n">
        <v>12416</v>
      </c>
      <c r="M2274" t="n">
        <v>16000</v>
      </c>
      <c r="N2274" t="n">
        <v>91</v>
      </c>
      <c r="O2274" t="n">
        <v>0.91</v>
      </c>
      <c r="P2274" t="n">
        <v>0</v>
      </c>
      <c r="Q2274" t="n">
        <v>0.08</v>
      </c>
      <c r="R2274" t="n">
        <v>1</v>
      </c>
      <c r="S2274" t="n">
        <v>1280</v>
      </c>
      <c r="T2274" t="n">
        <v>11</v>
      </c>
      <c r="U2274" t="n">
        <v>12</v>
      </c>
      <c r="V2274" t="n">
        <v>30</v>
      </c>
      <c r="W2274" t="n">
        <v>3</v>
      </c>
      <c r="X2274" t="n">
        <v>12.5</v>
      </c>
      <c r="Y2274" t="n">
        <v>1</v>
      </c>
      <c r="Z2274" t="n">
        <v>2</v>
      </c>
      <c r="AA2274" t="n">
        <v>0</v>
      </c>
      <c r="AB2274" t="n">
        <v>2</v>
      </c>
      <c r="AC2274" t="n">
        <v>3</v>
      </c>
      <c r="AD2274" t="n">
        <v>0</v>
      </c>
      <c r="AE2274" t="n">
        <v>37248</v>
      </c>
      <c r="AF2274" t="n">
        <v>10060</v>
      </c>
      <c r="AG2274" t="n">
        <v>78</v>
      </c>
      <c r="AH2274" t="inlineStr">
        <is>
          <t>PT. GLORIENTA P.H - PPN (PDG)</t>
        </is>
      </c>
      <c r="AI2274" t="n">
        <v>83</v>
      </c>
      <c r="AJ2274" t="inlineStr">
        <is>
          <t>IMPLORA</t>
        </is>
      </c>
      <c r="AK2274" t="n">
        <v>21</v>
      </c>
      <c r="AL2274" t="inlineStr">
        <is>
          <t>Miss Glam Damar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IMPLORA</t>
        </is>
      </c>
      <c r="B2275" s="2">
        <f>"8993883800602"</f>
        <v/>
      </c>
      <c r="C2275" t="inlineStr">
        <is>
          <t>IMPLORA Day To Day Series Brow Pop Medium Brown 0.08 gr</t>
        </is>
      </c>
      <c r="D2275" t="inlineStr">
        <is>
          <t>Miss Glam Damar</t>
        </is>
      </c>
      <c r="E2275" t="n">
        <v>7</v>
      </c>
      <c r="F2275" t="n">
        <v>0.4914000000000001</v>
      </c>
      <c r="G2275" t="n">
        <v>4.55</v>
      </c>
      <c r="H2275" t="n">
        <v>3</v>
      </c>
      <c r="I2275" t="n">
        <v>11</v>
      </c>
      <c r="J2275" t="n">
        <v>3</v>
      </c>
      <c r="K2275" t="n">
        <v>0</v>
      </c>
      <c r="L2275" t="n">
        <v>12420</v>
      </c>
      <c r="M2275" t="n">
        <v>16000</v>
      </c>
      <c r="N2275" t="n">
        <v>91</v>
      </c>
      <c r="O2275" t="n">
        <v>0.91</v>
      </c>
      <c r="P2275" t="n">
        <v>1</v>
      </c>
      <c r="Q2275" t="n">
        <v>0.12</v>
      </c>
      <c r="R2275" t="n">
        <v>1</v>
      </c>
      <c r="S2275" t="n">
        <v>7862.400000000001</v>
      </c>
      <c r="T2275" t="n">
        <v>49</v>
      </c>
      <c r="U2275" t="n">
        <v>51</v>
      </c>
      <c r="V2275" t="n">
        <v>30</v>
      </c>
      <c r="W2275" t="n">
        <v>15</v>
      </c>
      <c r="X2275" t="n">
        <v>14.24501424501424</v>
      </c>
      <c r="Y2275" t="n">
        <v>1</v>
      </c>
      <c r="Z2275" t="n">
        <v>8</v>
      </c>
      <c r="AA2275" t="n">
        <v>0</v>
      </c>
      <c r="AB2275" t="n">
        <v>8</v>
      </c>
      <c r="AC2275" t="n">
        <v>8</v>
      </c>
      <c r="AD2275" t="n">
        <v>0</v>
      </c>
      <c r="AE2275" t="n">
        <v>99360</v>
      </c>
      <c r="AF2275" t="n">
        <v>10060</v>
      </c>
      <c r="AG2275" t="n">
        <v>78</v>
      </c>
      <c r="AH2275" t="inlineStr">
        <is>
          <t>PT. GLORIENTA P.H - PPN (PDG)</t>
        </is>
      </c>
      <c r="AI2275" t="n">
        <v>83</v>
      </c>
      <c r="AJ2275" t="inlineStr">
        <is>
          <t>IMPLORA</t>
        </is>
      </c>
      <c r="AK2275" t="n">
        <v>21</v>
      </c>
      <c r="AL2275" t="inlineStr">
        <is>
          <t>Miss Glam Damar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IMPLORA</t>
        </is>
      </c>
      <c r="B2276" s="2">
        <f>"8993883800619"</f>
        <v/>
      </c>
      <c r="C2276" t="inlineStr">
        <is>
          <t>IMPLORA Day To Day Series Brow Pop Taupe 0.08gr</t>
        </is>
      </c>
      <c r="D2276" t="inlineStr">
        <is>
          <t>Miss Glam Damar</t>
        </is>
      </c>
      <c r="E2276" t="n">
        <v>5</v>
      </c>
      <c r="F2276" t="n">
        <v>0.04550000000000001</v>
      </c>
      <c r="G2276" t="n">
        <v>1.82</v>
      </c>
      <c r="H2276" t="n">
        <v>3</v>
      </c>
      <c r="I2276" t="n">
        <v>11</v>
      </c>
      <c r="J2276" t="n">
        <v>3</v>
      </c>
      <c r="K2276" t="n">
        <v>0</v>
      </c>
      <c r="L2276" t="n">
        <v>12415</v>
      </c>
      <c r="M2276" t="n">
        <v>16000</v>
      </c>
      <c r="N2276" t="n">
        <v>91</v>
      </c>
      <c r="O2276" t="n">
        <v>0.91</v>
      </c>
      <c r="P2276" t="n">
        <v>1</v>
      </c>
      <c r="Q2276" t="n">
        <v>0.12</v>
      </c>
      <c r="R2276" t="n">
        <v>3</v>
      </c>
      <c r="S2276" t="n">
        <v>728.0000000000001</v>
      </c>
      <c r="T2276" t="n">
        <v>20</v>
      </c>
      <c r="U2276" t="n">
        <v>21</v>
      </c>
      <c r="V2276" t="n">
        <v>30</v>
      </c>
      <c r="W2276" t="n">
        <v>2</v>
      </c>
      <c r="X2276" t="n">
        <v>109.8901098901099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10060</v>
      </c>
      <c r="AG2276" t="n">
        <v>78</v>
      </c>
      <c r="AH2276" t="inlineStr">
        <is>
          <t>PT. GLORIENTA P.H - PPN (PDG)</t>
        </is>
      </c>
      <c r="AI2276" t="n">
        <v>83</v>
      </c>
      <c r="AJ2276" t="inlineStr">
        <is>
          <t>IMPLORA</t>
        </is>
      </c>
      <c r="AK2276" t="n">
        <v>21</v>
      </c>
      <c r="AL2276" t="inlineStr">
        <is>
          <t>Miss Glam Damar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IMPLORA</t>
        </is>
      </c>
      <c r="B2277" s="2">
        <f>"8993883800749"</f>
        <v/>
      </c>
      <c r="C2277" t="inlineStr">
        <is>
          <t>IMPLORA Day To Day Series Lite Matte Lip Cream 01 Uplifted 4gr</t>
        </is>
      </c>
      <c r="D2277" t="inlineStr">
        <is>
          <t>Miss Glam Damar</t>
        </is>
      </c>
      <c r="E2277" t="n">
        <v>2</v>
      </c>
      <c r="F2277" t="n">
        <v>0.06370000000000001</v>
      </c>
      <c r="G2277" t="n">
        <v>1.82</v>
      </c>
      <c r="H2277" t="n">
        <v>3</v>
      </c>
      <c r="I2277" t="n">
        <v>11</v>
      </c>
      <c r="J2277" t="n">
        <v>3</v>
      </c>
      <c r="K2277" t="n">
        <v>0</v>
      </c>
      <c r="L2277" t="n">
        <v>18684</v>
      </c>
      <c r="M2277" t="n">
        <v>27000</v>
      </c>
      <c r="N2277" t="n">
        <v>91</v>
      </c>
      <c r="O2277" t="n">
        <v>0.91</v>
      </c>
      <c r="P2277" t="n">
        <v>1</v>
      </c>
      <c r="Q2277" t="n">
        <v>0.03</v>
      </c>
      <c r="R2277" t="n">
        <v>1</v>
      </c>
      <c r="S2277" t="n">
        <v>1719.9</v>
      </c>
      <c r="T2277" t="n">
        <v>20</v>
      </c>
      <c r="U2277" t="n">
        <v>21</v>
      </c>
      <c r="V2277" t="n">
        <v>30</v>
      </c>
      <c r="W2277" t="n">
        <v>2</v>
      </c>
      <c r="X2277" t="n">
        <v>31.39717425431711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10060</v>
      </c>
      <c r="AG2277" t="n">
        <v>78</v>
      </c>
      <c r="AH2277" t="inlineStr">
        <is>
          <t>PT. GLORIENTA P.H - PPN (PDG)</t>
        </is>
      </c>
      <c r="AI2277" t="n">
        <v>83</v>
      </c>
      <c r="AJ2277" t="inlineStr">
        <is>
          <t>IMPLORA</t>
        </is>
      </c>
      <c r="AK2277" t="n">
        <v>21</v>
      </c>
      <c r="AL2277" t="inlineStr">
        <is>
          <t>Miss Glam Damar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IMPLORA</t>
        </is>
      </c>
      <c r="B2278" s="2">
        <f>"8993883800770"</f>
        <v/>
      </c>
      <c r="C2278" t="inlineStr">
        <is>
          <t>IMPLORA Day To Day Series Lite Matte Lip Cream 04 Humble 4gr</t>
        </is>
      </c>
      <c r="D2278" t="inlineStr">
        <is>
          <t>Miss Glam Damar</t>
        </is>
      </c>
      <c r="E2278" t="n">
        <v>2</v>
      </c>
      <c r="F2278" t="n">
        <v>0.04550000000000001</v>
      </c>
      <c r="G2278" t="n">
        <v>0.91</v>
      </c>
      <c r="H2278" t="n">
        <v>3</v>
      </c>
      <c r="I2278" t="n">
        <v>11</v>
      </c>
      <c r="J2278" t="n">
        <v>3</v>
      </c>
      <c r="K2278" t="n">
        <v>0</v>
      </c>
      <c r="L2278" t="n">
        <v>18877</v>
      </c>
      <c r="M2278" t="n">
        <v>27000</v>
      </c>
      <c r="N2278" t="n">
        <v>91</v>
      </c>
      <c r="O2278" t="n">
        <v>0.91</v>
      </c>
      <c r="P2278" t="n">
        <v>1</v>
      </c>
      <c r="Q2278" t="n">
        <v>0.02</v>
      </c>
      <c r="R2278" t="n">
        <v>1</v>
      </c>
      <c r="S2278" t="n">
        <v>1228.5</v>
      </c>
      <c r="T2278" t="n">
        <v>10</v>
      </c>
      <c r="U2278" t="n">
        <v>11</v>
      </c>
      <c r="V2278" t="n">
        <v>30</v>
      </c>
      <c r="W2278" t="n">
        <v>2</v>
      </c>
      <c r="X2278" t="n">
        <v>43.95604395604395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10060</v>
      </c>
      <c r="AG2278" t="n">
        <v>78</v>
      </c>
      <c r="AH2278" t="inlineStr">
        <is>
          <t>PT. GLORIENTA P.H - PPN (PDG)</t>
        </is>
      </c>
      <c r="AI2278" t="n">
        <v>83</v>
      </c>
      <c r="AJ2278" t="inlineStr">
        <is>
          <t>IMPLORA</t>
        </is>
      </c>
      <c r="AK2278" t="n">
        <v>21</v>
      </c>
      <c r="AL2278" t="inlineStr">
        <is>
          <t>Miss Glam Damar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IMPLORA</t>
        </is>
      </c>
      <c r="B2279" s="2">
        <f>"8993883801067"</f>
        <v/>
      </c>
      <c r="C2279" t="inlineStr">
        <is>
          <t>IMPLORA Dayt. Key-Chain Lip Bullet 01 Intention 1,5gr</t>
        </is>
      </c>
      <c r="D2279" t="inlineStr">
        <is>
          <t>Miss Glam Damar</t>
        </is>
      </c>
      <c r="E2279" t="n">
        <v>4</v>
      </c>
      <c r="F2279" t="n">
        <v>0.0182</v>
      </c>
      <c r="G2279" t="n">
        <v>0.91</v>
      </c>
      <c r="H2279" t="n">
        <v>3</v>
      </c>
      <c r="I2279" t="n">
        <v>11</v>
      </c>
      <c r="J2279" t="n">
        <v>3</v>
      </c>
      <c r="K2279" t="n">
        <v>0</v>
      </c>
      <c r="L2279" t="n">
        <v>17580</v>
      </c>
      <c r="M2279" t="n">
        <v>23500</v>
      </c>
      <c r="N2279" t="n">
        <v>91</v>
      </c>
      <c r="O2279" t="n">
        <v>0.91</v>
      </c>
      <c r="P2279" t="n">
        <v>1</v>
      </c>
      <c r="Q2279" t="n">
        <v>0.02</v>
      </c>
      <c r="R2279" t="n">
        <v>1</v>
      </c>
      <c r="S2279" t="n">
        <v>427.7</v>
      </c>
      <c r="T2279" t="n">
        <v>10</v>
      </c>
      <c r="U2279" t="n">
        <v>11</v>
      </c>
      <c r="V2279" t="n">
        <v>30</v>
      </c>
      <c r="W2279" t="n">
        <v>1</v>
      </c>
      <c r="X2279" t="n">
        <v>219.7802197802198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10060</v>
      </c>
      <c r="AG2279" t="n">
        <v>78</v>
      </c>
      <c r="AH2279" t="inlineStr">
        <is>
          <t>PT. GLORIENTA P.H - PPN (PDG)</t>
        </is>
      </c>
      <c r="AI2279" t="n">
        <v>83</v>
      </c>
      <c r="AJ2279" t="inlineStr">
        <is>
          <t>IMPLORA</t>
        </is>
      </c>
      <c r="AK2279" t="n">
        <v>21</v>
      </c>
      <c r="AL2279" t="inlineStr">
        <is>
          <t>Miss Glam Damar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IMPLORA</t>
        </is>
      </c>
      <c r="B2280" s="2">
        <f>"8993883801081"</f>
        <v/>
      </c>
      <c r="C2280" t="inlineStr">
        <is>
          <t>IMPLORA Dayt. Key-Chain Lip Bullet 03 Extraordinady  1,5gr</t>
        </is>
      </c>
      <c r="D2280" t="inlineStr">
        <is>
          <t>Miss Glam Damar</t>
        </is>
      </c>
      <c r="E2280" t="n">
        <v>1</v>
      </c>
      <c r="F2280" t="n">
        <v>0.04550000000000001</v>
      </c>
      <c r="G2280" t="n">
        <v>0.91</v>
      </c>
      <c r="H2280" t="n">
        <v>3</v>
      </c>
      <c r="I2280" t="n">
        <v>11</v>
      </c>
      <c r="J2280" t="n">
        <v>3</v>
      </c>
      <c r="K2280" t="n">
        <v>0</v>
      </c>
      <c r="L2280" t="n">
        <v>18280</v>
      </c>
      <c r="M2280" t="n">
        <v>23500</v>
      </c>
      <c r="N2280" t="n">
        <v>91</v>
      </c>
      <c r="O2280" t="n">
        <v>0.91</v>
      </c>
      <c r="P2280" t="n">
        <v>1</v>
      </c>
      <c r="Q2280" t="n">
        <v>0.05</v>
      </c>
      <c r="R2280" t="n">
        <v>2</v>
      </c>
      <c r="S2280" t="n">
        <v>1069.25</v>
      </c>
      <c r="T2280" t="n">
        <v>10</v>
      </c>
      <c r="U2280" t="n">
        <v>11</v>
      </c>
      <c r="V2280" t="n">
        <v>30</v>
      </c>
      <c r="W2280" t="n">
        <v>2</v>
      </c>
      <c r="X2280" t="n">
        <v>21.97802197802197</v>
      </c>
      <c r="Y2280" t="n">
        <v>1</v>
      </c>
      <c r="Z2280" t="n">
        <v>1</v>
      </c>
      <c r="AA2280" t="n">
        <v>0</v>
      </c>
      <c r="AB2280" t="n">
        <v>1</v>
      </c>
      <c r="AC2280" t="n">
        <v>3</v>
      </c>
      <c r="AD2280" t="n">
        <v>0</v>
      </c>
      <c r="AE2280" t="n">
        <v>54840</v>
      </c>
      <c r="AF2280" t="n">
        <v>10060</v>
      </c>
      <c r="AG2280" t="n">
        <v>78</v>
      </c>
      <c r="AH2280" t="inlineStr">
        <is>
          <t>PT. GLORIENTA P.H - PPN (PDG)</t>
        </is>
      </c>
      <c r="AI2280" t="n">
        <v>83</v>
      </c>
      <c r="AJ2280" t="inlineStr">
        <is>
          <t>IMPLORA</t>
        </is>
      </c>
      <c r="AK2280" t="n">
        <v>21</v>
      </c>
      <c r="AL2280" t="inlineStr">
        <is>
          <t>Miss Glam Damar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IMPLORA</t>
        </is>
      </c>
      <c r="B2281" s="2">
        <f>"8993883801159"</f>
        <v/>
      </c>
      <c r="C2281" t="inlineStr">
        <is>
          <t>IMPLORA Essense Sheet Mask Acne Control 25gr</t>
        </is>
      </c>
      <c r="D2281" t="inlineStr">
        <is>
          <t>Miss Glam Damar</t>
        </is>
      </c>
      <c r="E2281" t="n">
        <v>96</v>
      </c>
      <c r="F2281" t="n">
        <v>3.3124</v>
      </c>
      <c r="G2281" t="n">
        <v>13.65</v>
      </c>
      <c r="H2281" t="n">
        <v>3</v>
      </c>
      <c r="I2281" t="n">
        <v>11</v>
      </c>
      <c r="J2281" t="n">
        <v>3</v>
      </c>
      <c r="K2281" t="n">
        <v>0</v>
      </c>
      <c r="L2281" t="n">
        <v>2561</v>
      </c>
      <c r="M2281" t="n">
        <v>3500</v>
      </c>
      <c r="N2281" t="n">
        <v>91</v>
      </c>
      <c r="O2281" t="n">
        <v>0.91</v>
      </c>
      <c r="P2281" t="n">
        <v>1</v>
      </c>
      <c r="Q2281" t="n">
        <v>5.29</v>
      </c>
      <c r="R2281" t="n">
        <v>14</v>
      </c>
      <c r="S2281" t="n">
        <v>11593.4</v>
      </c>
      <c r="T2281" t="n">
        <v>141</v>
      </c>
      <c r="U2281" t="n">
        <v>151</v>
      </c>
      <c r="V2281" t="n">
        <v>30</v>
      </c>
      <c r="W2281" t="n">
        <v>100</v>
      </c>
      <c r="X2281" t="n">
        <v>28.98200700398503</v>
      </c>
      <c r="Y2281" t="n">
        <v>1</v>
      </c>
      <c r="Z2281" t="n">
        <v>4</v>
      </c>
      <c r="AA2281" t="n">
        <v>0</v>
      </c>
      <c r="AB2281" t="n">
        <v>4</v>
      </c>
      <c r="AC2281" t="n">
        <v>4</v>
      </c>
      <c r="AD2281" t="n">
        <v>0</v>
      </c>
      <c r="AE2281" t="n">
        <v>10244</v>
      </c>
      <c r="AF2281" t="n">
        <v>10060</v>
      </c>
      <c r="AG2281" t="n">
        <v>78</v>
      </c>
      <c r="AH2281" t="inlineStr">
        <is>
          <t>PT. GLORIENTA P.H - PPN (PDG)</t>
        </is>
      </c>
      <c r="AI2281" t="n">
        <v>83</v>
      </c>
      <c r="AJ2281" t="inlineStr">
        <is>
          <t>IMPLORA</t>
        </is>
      </c>
      <c r="AK2281" t="n">
        <v>21</v>
      </c>
      <c r="AL2281" t="inlineStr">
        <is>
          <t>Miss Glam Damar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IMPLORA</t>
        </is>
      </c>
      <c r="B2282" s="2">
        <f>"8993883801173"</f>
        <v/>
      </c>
      <c r="C2282" t="inlineStr">
        <is>
          <t>IMPLORA Essense Sheet Mask Anti Aging 25gr</t>
        </is>
      </c>
      <c r="D2282" t="inlineStr">
        <is>
          <t>Miss Glam Damar</t>
        </is>
      </c>
      <c r="E2282" t="n">
        <v>84</v>
      </c>
      <c r="F2282" t="n">
        <v>3.9676</v>
      </c>
      <c r="G2282" t="n">
        <v>12.74</v>
      </c>
      <c r="H2282" t="n">
        <v>3</v>
      </c>
      <c r="I2282" t="n">
        <v>11</v>
      </c>
      <c r="J2282" t="n">
        <v>3</v>
      </c>
      <c r="K2282" t="n">
        <v>0</v>
      </c>
      <c r="L2282" t="n">
        <v>2561</v>
      </c>
      <c r="M2282" t="n">
        <v>3500</v>
      </c>
      <c r="N2282" t="n">
        <v>91</v>
      </c>
      <c r="O2282" t="n">
        <v>0.91</v>
      </c>
      <c r="P2282" t="n">
        <v>1</v>
      </c>
      <c r="Q2282" t="n">
        <v>4.15</v>
      </c>
      <c r="R2282" t="n">
        <v>13</v>
      </c>
      <c r="S2282" t="n">
        <v>13886.6</v>
      </c>
      <c r="T2282" t="n">
        <v>129</v>
      </c>
      <c r="U2282" t="n">
        <v>141</v>
      </c>
      <c r="V2282" t="n">
        <v>30</v>
      </c>
      <c r="W2282" t="n">
        <v>120</v>
      </c>
      <c r="X2282" t="n">
        <v>21.17148906139732</v>
      </c>
      <c r="Y2282" t="n">
        <v>1</v>
      </c>
      <c r="Z2282" t="n">
        <v>36</v>
      </c>
      <c r="AA2282" t="n">
        <v>0</v>
      </c>
      <c r="AB2282" t="n">
        <v>36</v>
      </c>
      <c r="AC2282" t="n">
        <v>36</v>
      </c>
      <c r="AD2282" t="n">
        <v>0</v>
      </c>
      <c r="AE2282" t="n">
        <v>92196</v>
      </c>
      <c r="AF2282" t="n">
        <v>10060</v>
      </c>
      <c r="AG2282" t="n">
        <v>78</v>
      </c>
      <c r="AH2282" t="inlineStr">
        <is>
          <t>PT. GLORIENTA P.H - PPN (PDG)</t>
        </is>
      </c>
      <c r="AI2282" t="n">
        <v>83</v>
      </c>
      <c r="AJ2282" t="inlineStr">
        <is>
          <t>IMPLORA</t>
        </is>
      </c>
      <c r="AK2282" t="n">
        <v>21</v>
      </c>
      <c r="AL2282" t="inlineStr">
        <is>
          <t>Miss Glam Damar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IMPLORA</t>
        </is>
      </c>
      <c r="B2283" s="2">
        <f>"8993883801135"</f>
        <v/>
      </c>
      <c r="C2283" t="inlineStr">
        <is>
          <t>IMPLORA Essense Sheet Mask Brightening 25g</t>
        </is>
      </c>
      <c r="D2283" t="inlineStr">
        <is>
          <t>Miss Glam Damar</t>
        </is>
      </c>
      <c r="E2283" t="n">
        <v>0</v>
      </c>
      <c r="F2283" t="n">
        <v>1.5561</v>
      </c>
      <c r="G2283" t="n">
        <v>8.19</v>
      </c>
      <c r="H2283" t="n">
        <v>3</v>
      </c>
      <c r="I2283" t="n">
        <v>11</v>
      </c>
      <c r="J2283" t="n">
        <v>3</v>
      </c>
      <c r="K2283" t="n">
        <v>0</v>
      </c>
      <c r="L2283" t="n">
        <v>2561</v>
      </c>
      <c r="M2283" t="n">
        <v>3500</v>
      </c>
      <c r="N2283" t="n">
        <v>91</v>
      </c>
      <c r="O2283" t="n">
        <v>0.91</v>
      </c>
      <c r="P2283" t="n">
        <v>1</v>
      </c>
      <c r="Q2283" t="n">
        <v>2.4</v>
      </c>
      <c r="R2283" t="n">
        <v>11</v>
      </c>
      <c r="S2283" t="n">
        <v>5446.35</v>
      </c>
      <c r="T2283" t="n">
        <v>86</v>
      </c>
      <c r="U2283" t="n">
        <v>91</v>
      </c>
      <c r="V2283" t="n">
        <v>30</v>
      </c>
      <c r="W2283" t="n">
        <v>47</v>
      </c>
      <c r="X2283" t="n">
        <v>0</v>
      </c>
      <c r="Y2283" t="n">
        <v>1</v>
      </c>
      <c r="Z2283" t="n">
        <v>47</v>
      </c>
      <c r="AA2283" t="n">
        <v>18</v>
      </c>
      <c r="AB2283" t="n">
        <v>29</v>
      </c>
      <c r="AC2283" t="n">
        <v>29</v>
      </c>
      <c r="AD2283" t="n">
        <v>46098</v>
      </c>
      <c r="AE2283" t="n">
        <v>74269</v>
      </c>
      <c r="AF2283" t="n">
        <v>10060</v>
      </c>
      <c r="AG2283" t="n">
        <v>78</v>
      </c>
      <c r="AH2283" t="inlineStr">
        <is>
          <t>PT. GLORIENTA P.H - PPN (PDG)</t>
        </is>
      </c>
      <c r="AI2283" t="n">
        <v>83</v>
      </c>
      <c r="AJ2283" t="inlineStr">
        <is>
          <t>IMPLORA</t>
        </is>
      </c>
      <c r="AK2283" t="n">
        <v>21</v>
      </c>
      <c r="AL2283" t="inlineStr">
        <is>
          <t>Miss Glam Damar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IMPLORA</t>
        </is>
      </c>
      <c r="B2284" s="2">
        <f>"8993883801142"</f>
        <v/>
      </c>
      <c r="C2284" t="inlineStr">
        <is>
          <t>IMPLORA Essense Sheet Mask Moisturizing 25gr</t>
        </is>
      </c>
      <c r="D2284" t="inlineStr">
        <is>
          <t>Miss Glam Damar</t>
        </is>
      </c>
      <c r="E2284" t="n">
        <v>102</v>
      </c>
      <c r="F2284" t="n">
        <v>1.911</v>
      </c>
      <c r="G2284" t="n">
        <v>10.92</v>
      </c>
      <c r="H2284" t="n">
        <v>3</v>
      </c>
      <c r="I2284" t="n">
        <v>11</v>
      </c>
      <c r="J2284" t="n">
        <v>3</v>
      </c>
      <c r="K2284" t="n">
        <v>0</v>
      </c>
      <c r="L2284" t="n">
        <v>2561</v>
      </c>
      <c r="M2284" t="n">
        <v>3500</v>
      </c>
      <c r="N2284" t="n">
        <v>91</v>
      </c>
      <c r="O2284" t="n">
        <v>0.91</v>
      </c>
      <c r="P2284" t="n">
        <v>1</v>
      </c>
      <c r="Q2284" t="n">
        <v>3.31</v>
      </c>
      <c r="R2284" t="n">
        <v>15</v>
      </c>
      <c r="S2284" t="n">
        <v>6688.500000000001</v>
      </c>
      <c r="T2284" t="n">
        <v>115</v>
      </c>
      <c r="U2284" t="n">
        <v>121</v>
      </c>
      <c r="V2284" t="n">
        <v>30</v>
      </c>
      <c r="W2284" t="n">
        <v>58</v>
      </c>
      <c r="X2284" t="n">
        <v>53.37519623233909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10060</v>
      </c>
      <c r="AG2284" t="n">
        <v>78</v>
      </c>
      <c r="AH2284" t="inlineStr">
        <is>
          <t>PT. GLORIENTA P.H - PPN (PDG)</t>
        </is>
      </c>
      <c r="AI2284" t="n">
        <v>83</v>
      </c>
      <c r="AJ2284" t="inlineStr">
        <is>
          <t>IMPLORA</t>
        </is>
      </c>
      <c r="AK2284" t="n">
        <v>21</v>
      </c>
      <c r="AL2284" t="inlineStr">
        <is>
          <t>Miss Glam Damar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IMPLORA</t>
        </is>
      </c>
      <c r="B2285" s="2">
        <f>"8993883801166"</f>
        <v/>
      </c>
      <c r="C2285" t="inlineStr">
        <is>
          <t>IMPLORA Essense Sheet Mask Pore Care 25gr</t>
        </is>
      </c>
      <c r="D2285" t="inlineStr">
        <is>
          <t>Miss Glam Damar</t>
        </is>
      </c>
      <c r="E2285" t="n">
        <v>58</v>
      </c>
      <c r="F2285" t="n">
        <v>4.7775</v>
      </c>
      <c r="G2285" t="n">
        <v>13.65</v>
      </c>
      <c r="H2285" t="n">
        <v>3</v>
      </c>
      <c r="I2285" t="n">
        <v>11</v>
      </c>
      <c r="J2285" t="n">
        <v>3</v>
      </c>
      <c r="K2285" t="n">
        <v>0</v>
      </c>
      <c r="L2285" t="n">
        <v>2561</v>
      </c>
      <c r="M2285" t="n">
        <v>3500</v>
      </c>
      <c r="N2285" t="n">
        <v>91</v>
      </c>
      <c r="O2285" t="n">
        <v>0.91</v>
      </c>
      <c r="P2285" t="n">
        <v>1</v>
      </c>
      <c r="Q2285" t="n">
        <v>3.98</v>
      </c>
      <c r="R2285" t="n">
        <v>11</v>
      </c>
      <c r="S2285" t="n">
        <v>16721.25</v>
      </c>
      <c r="T2285" t="n">
        <v>136</v>
      </c>
      <c r="U2285" t="n">
        <v>151</v>
      </c>
      <c r="V2285" t="n">
        <v>30</v>
      </c>
      <c r="W2285" t="n">
        <v>144</v>
      </c>
      <c r="X2285" t="n">
        <v>12.14024071166928</v>
      </c>
      <c r="Y2285" t="n">
        <v>1</v>
      </c>
      <c r="Z2285" t="n">
        <v>86</v>
      </c>
      <c r="AA2285" t="n">
        <v>0</v>
      </c>
      <c r="AB2285" t="n">
        <v>86</v>
      </c>
      <c r="AC2285" t="n">
        <v>86</v>
      </c>
      <c r="AD2285" t="n">
        <v>0</v>
      </c>
      <c r="AE2285" t="n">
        <v>220246</v>
      </c>
      <c r="AF2285" t="n">
        <v>10060</v>
      </c>
      <c r="AG2285" t="n">
        <v>78</v>
      </c>
      <c r="AH2285" t="inlineStr">
        <is>
          <t>PT. GLORIENTA P.H - PPN (PDG)</t>
        </is>
      </c>
      <c r="AI2285" t="n">
        <v>83</v>
      </c>
      <c r="AJ2285" t="inlineStr">
        <is>
          <t>IMPLORA</t>
        </is>
      </c>
      <c r="AK2285" t="n">
        <v>21</v>
      </c>
      <c r="AL2285" t="inlineStr">
        <is>
          <t>Miss Glam Damar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IMPLORA</t>
        </is>
      </c>
      <c r="B2286" s="2">
        <f>"8993883800985"</f>
        <v/>
      </c>
      <c r="C2286" t="inlineStr">
        <is>
          <t>IMPLORA Even Better Liquid Foundation 01 Ivory 25gr</t>
        </is>
      </c>
      <c r="D2286" t="inlineStr">
        <is>
          <t>Miss Glam Damar</t>
        </is>
      </c>
      <c r="E2286" t="n">
        <v>6</v>
      </c>
      <c r="F2286" t="n">
        <v>0.7826</v>
      </c>
      <c r="G2286" t="n">
        <v>3.64</v>
      </c>
      <c r="H2286" t="n">
        <v>3</v>
      </c>
      <c r="I2286" t="n">
        <v>11</v>
      </c>
      <c r="J2286" t="n">
        <v>3</v>
      </c>
      <c r="K2286" t="n">
        <v>0</v>
      </c>
      <c r="L2286" t="n">
        <v>15521</v>
      </c>
      <c r="M2286" t="n">
        <v>20000</v>
      </c>
      <c r="N2286" t="n">
        <v>91</v>
      </c>
      <c r="O2286" t="n">
        <v>0.91</v>
      </c>
      <c r="P2286" t="n">
        <v>1</v>
      </c>
      <c r="Q2286" t="n">
        <v>0.08</v>
      </c>
      <c r="R2286" t="n">
        <v>1</v>
      </c>
      <c r="S2286" t="n">
        <v>15652</v>
      </c>
      <c r="T2286" t="n">
        <v>38</v>
      </c>
      <c r="U2286" t="n">
        <v>41</v>
      </c>
      <c r="V2286" t="n">
        <v>30</v>
      </c>
      <c r="W2286" t="n">
        <v>24</v>
      </c>
      <c r="X2286" t="n">
        <v>7.666751852798365</v>
      </c>
      <c r="Y2286" t="n">
        <v>1</v>
      </c>
      <c r="Z2286" t="n">
        <v>18</v>
      </c>
      <c r="AA2286" t="n">
        <v>3</v>
      </c>
      <c r="AB2286" t="n">
        <v>15</v>
      </c>
      <c r="AC2286" t="n">
        <v>15</v>
      </c>
      <c r="AD2286" t="n">
        <v>46563</v>
      </c>
      <c r="AE2286" t="n">
        <v>232815</v>
      </c>
      <c r="AF2286" t="n">
        <v>10060</v>
      </c>
      <c r="AG2286" t="n">
        <v>78</v>
      </c>
      <c r="AH2286" t="inlineStr">
        <is>
          <t>PT. GLORIENTA P.H - PPN (PDG)</t>
        </is>
      </c>
      <c r="AI2286" t="n">
        <v>83</v>
      </c>
      <c r="AJ2286" t="inlineStr">
        <is>
          <t>IMPLORA</t>
        </is>
      </c>
      <c r="AK2286" t="n">
        <v>21</v>
      </c>
      <c r="AL2286" t="inlineStr">
        <is>
          <t>Miss Glam Damar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IMPLORA</t>
        </is>
      </c>
      <c r="B2287" s="2">
        <f>"8993883800992"</f>
        <v/>
      </c>
      <c r="C2287" t="inlineStr">
        <is>
          <t>IMPLORA Even Better Liquid Foundation 02 Ligt Beige 25gr</t>
        </is>
      </c>
      <c r="D2287" t="inlineStr">
        <is>
          <t>Miss Glam Damar</t>
        </is>
      </c>
      <c r="E2287" t="n">
        <v>5</v>
      </c>
      <c r="F2287" t="n">
        <v>1.3741</v>
      </c>
      <c r="G2287" t="n">
        <v>3.64</v>
      </c>
      <c r="H2287" t="n">
        <v>3</v>
      </c>
      <c r="I2287" t="n">
        <v>11</v>
      </c>
      <c r="J2287" t="n">
        <v>3</v>
      </c>
      <c r="K2287" t="n">
        <v>0</v>
      </c>
      <c r="L2287" t="n">
        <v>15520</v>
      </c>
      <c r="M2287" t="n">
        <v>20000</v>
      </c>
      <c r="N2287" t="n">
        <v>91</v>
      </c>
      <c r="O2287" t="n">
        <v>0.91</v>
      </c>
      <c r="P2287" t="n">
        <v>1</v>
      </c>
      <c r="Q2287" t="n">
        <v>0.25</v>
      </c>
      <c r="R2287" t="n">
        <v>2</v>
      </c>
      <c r="S2287" t="n">
        <v>27482</v>
      </c>
      <c r="T2287" t="n">
        <v>36</v>
      </c>
      <c r="U2287" t="n">
        <v>41</v>
      </c>
      <c r="V2287" t="n">
        <v>30</v>
      </c>
      <c r="W2287" t="n">
        <v>42</v>
      </c>
      <c r="X2287" t="n">
        <v>3.638745360599665</v>
      </c>
      <c r="Y2287" t="n">
        <v>1</v>
      </c>
      <c r="Z2287" t="n">
        <v>37</v>
      </c>
      <c r="AA2287" t="n">
        <v>11</v>
      </c>
      <c r="AB2287" t="n">
        <v>26</v>
      </c>
      <c r="AC2287" t="n">
        <v>26</v>
      </c>
      <c r="AD2287" t="n">
        <v>170720</v>
      </c>
      <c r="AE2287" t="n">
        <v>403520</v>
      </c>
      <c r="AF2287" t="n">
        <v>10060</v>
      </c>
      <c r="AG2287" t="n">
        <v>78</v>
      </c>
      <c r="AH2287" t="inlineStr">
        <is>
          <t>PT. GLORIENTA P.H - PPN (PDG)</t>
        </is>
      </c>
      <c r="AI2287" t="n">
        <v>83</v>
      </c>
      <c r="AJ2287" t="inlineStr">
        <is>
          <t>IMPLORA</t>
        </is>
      </c>
      <c r="AK2287" t="n">
        <v>21</v>
      </c>
      <c r="AL2287" t="inlineStr">
        <is>
          <t>Miss Glam Damar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IMPLORA</t>
        </is>
      </c>
      <c r="B2288" s="2">
        <f>"8993883801005"</f>
        <v/>
      </c>
      <c r="C2288" t="inlineStr">
        <is>
          <t>IMPLORA Even Better Liquid Foundation 03 linen 25gr</t>
        </is>
      </c>
      <c r="D2288" t="inlineStr">
        <is>
          <t>Miss Glam Damar</t>
        </is>
      </c>
      <c r="E2288" t="n">
        <v>8</v>
      </c>
      <c r="F2288" t="n">
        <v>0.9282</v>
      </c>
      <c r="G2288" t="n">
        <v>2.73</v>
      </c>
      <c r="H2288" t="n">
        <v>3</v>
      </c>
      <c r="I2288" t="n">
        <v>11</v>
      </c>
      <c r="J2288" t="n">
        <v>3</v>
      </c>
      <c r="K2288" t="n">
        <v>0</v>
      </c>
      <c r="L2288" t="n">
        <v>15521</v>
      </c>
      <c r="M2288" t="n">
        <v>20000</v>
      </c>
      <c r="N2288" t="n">
        <v>91</v>
      </c>
      <c r="O2288" t="n">
        <v>0.91</v>
      </c>
      <c r="P2288" t="n">
        <v>1</v>
      </c>
      <c r="Q2288" t="n">
        <v>0.19</v>
      </c>
      <c r="R2288" t="n">
        <v>2</v>
      </c>
      <c r="S2288" t="n">
        <v>18564</v>
      </c>
      <c r="T2288" t="n">
        <v>28</v>
      </c>
      <c r="U2288" t="n">
        <v>31</v>
      </c>
      <c r="V2288" t="n">
        <v>30</v>
      </c>
      <c r="W2288" t="n">
        <v>28</v>
      </c>
      <c r="X2288" t="n">
        <v>8.618832148243913</v>
      </c>
      <c r="Y2288" t="n">
        <v>1</v>
      </c>
      <c r="Z2288" t="n">
        <v>20</v>
      </c>
      <c r="AA2288" t="n">
        <v>3</v>
      </c>
      <c r="AB2288" t="n">
        <v>17</v>
      </c>
      <c r="AC2288" t="n">
        <v>17</v>
      </c>
      <c r="AD2288" t="n">
        <v>46563</v>
      </c>
      <c r="AE2288" t="n">
        <v>263857</v>
      </c>
      <c r="AF2288" t="n">
        <v>10060</v>
      </c>
      <c r="AG2288" t="n">
        <v>78</v>
      </c>
      <c r="AH2288" t="inlineStr">
        <is>
          <t>PT. GLORIENTA P.H - PPN (PDG)</t>
        </is>
      </c>
      <c r="AI2288" t="n">
        <v>83</v>
      </c>
      <c r="AJ2288" t="inlineStr">
        <is>
          <t>IMPLORA</t>
        </is>
      </c>
      <c r="AK2288" t="n">
        <v>21</v>
      </c>
      <c r="AL2288" t="inlineStr">
        <is>
          <t>Miss Glam Damar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IMPLORA</t>
        </is>
      </c>
      <c r="B2289" s="2">
        <f>"8993883801012"</f>
        <v/>
      </c>
      <c r="C2289" t="inlineStr">
        <is>
          <t>IMPLORA Even Better Liquid Foundation 04 Medium Beige 25gr</t>
        </is>
      </c>
      <c r="D2289" t="inlineStr">
        <is>
          <t>Miss Glam Damar</t>
        </is>
      </c>
      <c r="E2289" t="n">
        <v>7</v>
      </c>
      <c r="F2289" t="n">
        <v>0.5551</v>
      </c>
      <c r="G2289" t="n">
        <v>2.73</v>
      </c>
      <c r="H2289" t="n">
        <v>3</v>
      </c>
      <c r="I2289" t="n">
        <v>11</v>
      </c>
      <c r="J2289" t="n">
        <v>3</v>
      </c>
      <c r="K2289" t="n">
        <v>0</v>
      </c>
      <c r="L2289" t="n">
        <v>15520</v>
      </c>
      <c r="M2289" t="n">
        <v>20000</v>
      </c>
      <c r="N2289" t="n">
        <v>91</v>
      </c>
      <c r="O2289" t="n">
        <v>0.91</v>
      </c>
      <c r="P2289" t="n">
        <v>1</v>
      </c>
      <c r="Q2289" t="n">
        <v>0.14</v>
      </c>
      <c r="R2289" t="n">
        <v>2</v>
      </c>
      <c r="S2289" t="n">
        <v>11102</v>
      </c>
      <c r="T2289" t="n">
        <v>29</v>
      </c>
      <c r="U2289" t="n">
        <v>31</v>
      </c>
      <c r="V2289" t="n">
        <v>30</v>
      </c>
      <c r="W2289" t="n">
        <v>17</v>
      </c>
      <c r="X2289" t="n">
        <v>12.61034047919294</v>
      </c>
      <c r="Y2289" t="n">
        <v>1</v>
      </c>
      <c r="Z2289" t="n">
        <v>10</v>
      </c>
      <c r="AA2289" t="n">
        <v>0</v>
      </c>
      <c r="AB2289" t="n">
        <v>10</v>
      </c>
      <c r="AC2289" t="n">
        <v>10</v>
      </c>
      <c r="AD2289" t="n">
        <v>0</v>
      </c>
      <c r="AE2289" t="n">
        <v>155200</v>
      </c>
      <c r="AF2289" t="n">
        <v>10060</v>
      </c>
      <c r="AG2289" t="n">
        <v>78</v>
      </c>
      <c r="AH2289" t="inlineStr">
        <is>
          <t>PT. GLORIENTA P.H - PPN (PDG)</t>
        </is>
      </c>
      <c r="AI2289" t="n">
        <v>83</v>
      </c>
      <c r="AJ2289" t="inlineStr">
        <is>
          <t>IMPLORA</t>
        </is>
      </c>
      <c r="AK2289" t="n">
        <v>21</v>
      </c>
      <c r="AL2289" t="inlineStr">
        <is>
          <t>Miss Glam Damar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IMPLORA</t>
        </is>
      </c>
      <c r="B2290" s="2">
        <f>"8993883801029"</f>
        <v/>
      </c>
      <c r="C2290" t="inlineStr">
        <is>
          <t>IMPLORA Even Better Liquid Foundation 05 Warna Olive 25gr</t>
        </is>
      </c>
      <c r="D2290" t="inlineStr">
        <is>
          <t>Miss Glam Damar</t>
        </is>
      </c>
      <c r="E2290" t="n">
        <v>2</v>
      </c>
      <c r="F2290" t="n">
        <v>0.3549</v>
      </c>
      <c r="G2290" t="n">
        <v>1.82</v>
      </c>
      <c r="H2290" t="n">
        <v>3</v>
      </c>
      <c r="I2290" t="n">
        <v>11</v>
      </c>
      <c r="J2290" t="n">
        <v>3</v>
      </c>
      <c r="K2290" t="n">
        <v>0</v>
      </c>
      <c r="L2290" t="n">
        <v>15531</v>
      </c>
      <c r="M2290" t="n">
        <v>20000</v>
      </c>
      <c r="N2290" t="n">
        <v>91</v>
      </c>
      <c r="O2290" t="n">
        <v>0.91</v>
      </c>
      <c r="P2290" t="n">
        <v>1</v>
      </c>
      <c r="Q2290" t="n">
        <v>0.1</v>
      </c>
      <c r="R2290" t="n">
        <v>2</v>
      </c>
      <c r="S2290" t="n">
        <v>7098.000000000001</v>
      </c>
      <c r="T2290" t="n">
        <v>19</v>
      </c>
      <c r="U2290" t="n">
        <v>21</v>
      </c>
      <c r="V2290" t="n">
        <v>30</v>
      </c>
      <c r="W2290" t="n">
        <v>11</v>
      </c>
      <c r="X2290" t="n">
        <v>5.635390250774865</v>
      </c>
      <c r="Y2290" t="n">
        <v>1</v>
      </c>
      <c r="Z2290" t="n">
        <v>9</v>
      </c>
      <c r="AA2290" t="n">
        <v>2</v>
      </c>
      <c r="AB2290" t="n">
        <v>7</v>
      </c>
      <c r="AC2290" t="n">
        <v>7</v>
      </c>
      <c r="AD2290" t="n">
        <v>31062</v>
      </c>
      <c r="AE2290" t="n">
        <v>108717</v>
      </c>
      <c r="AF2290" t="n">
        <v>10060</v>
      </c>
      <c r="AG2290" t="n">
        <v>78</v>
      </c>
      <c r="AH2290" t="inlineStr">
        <is>
          <t>PT. GLORIENTA P.H - PPN (PDG)</t>
        </is>
      </c>
      <c r="AI2290" t="n">
        <v>83</v>
      </c>
      <c r="AJ2290" t="inlineStr">
        <is>
          <t>IMPLORA</t>
        </is>
      </c>
      <c r="AK2290" t="n">
        <v>21</v>
      </c>
      <c r="AL2290" t="inlineStr">
        <is>
          <t>Miss Glam Damar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IMPLORA</t>
        </is>
      </c>
      <c r="B2291" s="2">
        <f>"1252010001006"</f>
        <v/>
      </c>
      <c r="C2291" t="inlineStr">
        <is>
          <t>IMPLORA Eyebrow Pensil Black</t>
        </is>
      </c>
      <c r="D2291" t="inlineStr">
        <is>
          <t>Miss Glam Damar</t>
        </is>
      </c>
      <c r="E2291" t="n">
        <v>52</v>
      </c>
      <c r="F2291" t="n">
        <v>6.2153</v>
      </c>
      <c r="G2291" t="n">
        <v>20.02</v>
      </c>
      <c r="H2291" t="n">
        <v>3</v>
      </c>
      <c r="I2291" t="n">
        <v>11</v>
      </c>
      <c r="J2291" t="n">
        <v>12</v>
      </c>
      <c r="K2291" t="n">
        <v>0</v>
      </c>
      <c r="L2291" t="n">
        <v>4703</v>
      </c>
      <c r="M2291" t="n">
        <v>6000</v>
      </c>
      <c r="N2291" t="n">
        <v>91</v>
      </c>
      <c r="O2291" t="n">
        <v>0.91</v>
      </c>
      <c r="P2291" t="n">
        <v>1</v>
      </c>
      <c r="Q2291" t="n">
        <v>5.51</v>
      </c>
      <c r="R2291" t="n">
        <v>16</v>
      </c>
      <c r="S2291" t="n">
        <v>37291.8</v>
      </c>
      <c r="T2291" t="n">
        <v>202</v>
      </c>
      <c r="U2291" t="n">
        <v>221</v>
      </c>
      <c r="V2291" t="n">
        <v>30</v>
      </c>
      <c r="W2291" t="n">
        <v>187</v>
      </c>
      <c r="X2291" t="n">
        <v>8.366450533361222</v>
      </c>
      <c r="Y2291" t="n">
        <v>1</v>
      </c>
      <c r="Z2291" t="n">
        <v>135</v>
      </c>
      <c r="AA2291" t="n">
        <v>17</v>
      </c>
      <c r="AB2291" t="n">
        <v>118</v>
      </c>
      <c r="AC2291" t="n">
        <v>118</v>
      </c>
      <c r="AD2291" t="n">
        <v>79951</v>
      </c>
      <c r="AE2291" t="n">
        <v>554954</v>
      </c>
      <c r="AF2291" t="n">
        <v>10060</v>
      </c>
      <c r="AG2291" t="n">
        <v>78</v>
      </c>
      <c r="AH2291" t="inlineStr">
        <is>
          <t>PT. GLORIENTA P.H - PPN (PDG)</t>
        </is>
      </c>
      <c r="AI2291" t="n">
        <v>83</v>
      </c>
      <c r="AJ2291" t="inlineStr">
        <is>
          <t>IMPLORA</t>
        </is>
      </c>
      <c r="AK2291" t="n">
        <v>21</v>
      </c>
      <c r="AL2291" t="inlineStr">
        <is>
          <t>Miss Glam Damar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IMPLORA</t>
        </is>
      </c>
      <c r="B2292" s="2">
        <f>"1252010002003"</f>
        <v/>
      </c>
      <c r="C2292" t="inlineStr">
        <is>
          <t>IMPLORA Eyebrow Pensil Brown 002</t>
        </is>
      </c>
      <c r="D2292" t="inlineStr">
        <is>
          <t>Miss Glam Damar</t>
        </is>
      </c>
      <c r="E2292" t="n">
        <v>2</v>
      </c>
      <c r="F2292" t="n">
        <v>6.852300000000001</v>
      </c>
      <c r="G2292" t="n">
        <v>22.75</v>
      </c>
      <c r="H2292" t="n">
        <v>3</v>
      </c>
      <c r="I2292" t="n">
        <v>11</v>
      </c>
      <c r="J2292" t="n">
        <v>12</v>
      </c>
      <c r="K2292" t="n">
        <v>0</v>
      </c>
      <c r="L2292" t="n">
        <v>4655</v>
      </c>
      <c r="M2292" t="n">
        <v>6000</v>
      </c>
      <c r="N2292" t="n">
        <v>91</v>
      </c>
      <c r="O2292" t="n">
        <v>0.91</v>
      </c>
      <c r="P2292" t="n">
        <v>1</v>
      </c>
      <c r="Q2292" t="n">
        <v>3.02</v>
      </c>
      <c r="R2292" t="n">
        <v>10</v>
      </c>
      <c r="S2292" t="n">
        <v>41113.8</v>
      </c>
      <c r="T2292" t="n">
        <v>230</v>
      </c>
      <c r="U2292" t="n">
        <v>251</v>
      </c>
      <c r="V2292" t="n">
        <v>30</v>
      </c>
      <c r="W2292" t="n">
        <v>206</v>
      </c>
      <c r="X2292" t="n">
        <v>0.2918728018329612</v>
      </c>
      <c r="Y2292" t="n">
        <v>1</v>
      </c>
      <c r="Z2292" t="n">
        <v>204</v>
      </c>
      <c r="AA2292" t="n">
        <v>74</v>
      </c>
      <c r="AB2292" t="n">
        <v>130</v>
      </c>
      <c r="AC2292" t="n">
        <v>130</v>
      </c>
      <c r="AD2292" t="n">
        <v>344470</v>
      </c>
      <c r="AE2292" t="n">
        <v>605150</v>
      </c>
      <c r="AF2292" t="n">
        <v>10060</v>
      </c>
      <c r="AG2292" t="n">
        <v>78</v>
      </c>
      <c r="AH2292" t="inlineStr">
        <is>
          <t>PT. GLORIENTA P.H - PPN (PDG)</t>
        </is>
      </c>
      <c r="AI2292" t="n">
        <v>83</v>
      </c>
      <c r="AJ2292" t="inlineStr">
        <is>
          <t>IMPLORA</t>
        </is>
      </c>
      <c r="AK2292" t="n">
        <v>21</v>
      </c>
      <c r="AL2292" t="inlineStr">
        <is>
          <t>Miss Glam Damar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IMPLORA</t>
        </is>
      </c>
      <c r="B2293" s="2">
        <f>"20200423409"</f>
        <v/>
      </c>
      <c r="C2293" t="inlineStr">
        <is>
          <t>IMPLORA Eyebrow pensil Grey Brown 006</t>
        </is>
      </c>
      <c r="D2293" t="inlineStr">
        <is>
          <t>Miss Glam Damar</t>
        </is>
      </c>
      <c r="E2293" t="n">
        <v>3</v>
      </c>
      <c r="F2293" t="n">
        <v>7.6531</v>
      </c>
      <c r="G2293" t="n">
        <v>23.66</v>
      </c>
      <c r="H2293" t="n">
        <v>3</v>
      </c>
      <c r="I2293" t="n">
        <v>11</v>
      </c>
      <c r="J2293" t="n">
        <v>12</v>
      </c>
      <c r="K2293" t="n">
        <v>0</v>
      </c>
      <c r="L2293" t="n">
        <v>4655</v>
      </c>
      <c r="M2293" t="n">
        <v>5500</v>
      </c>
      <c r="N2293" t="n">
        <v>91</v>
      </c>
      <c r="O2293" t="n">
        <v>0.91</v>
      </c>
      <c r="P2293" t="n">
        <v>1</v>
      </c>
      <c r="Q2293" t="n">
        <v>1.39</v>
      </c>
      <c r="R2293" t="n">
        <v>19</v>
      </c>
      <c r="S2293" t="n">
        <v>42092.05</v>
      </c>
      <c r="T2293" t="n">
        <v>238</v>
      </c>
      <c r="U2293" t="n">
        <v>261</v>
      </c>
      <c r="V2293" t="n">
        <v>30</v>
      </c>
      <c r="W2293" t="n">
        <v>230</v>
      </c>
      <c r="X2293" t="n">
        <v>0.3919980138767297</v>
      </c>
      <c r="Y2293" t="n">
        <v>1</v>
      </c>
      <c r="Z2293" t="n">
        <v>227</v>
      </c>
      <c r="AA2293" t="n">
        <v>82</v>
      </c>
      <c r="AB2293" t="n">
        <v>145</v>
      </c>
      <c r="AC2293" t="n">
        <v>145</v>
      </c>
      <c r="AD2293" t="n">
        <v>381710</v>
      </c>
      <c r="AE2293" t="n">
        <v>674975</v>
      </c>
      <c r="AF2293" t="n">
        <v>10060</v>
      </c>
      <c r="AG2293" t="n">
        <v>78</v>
      </c>
      <c r="AH2293" t="inlineStr">
        <is>
          <t>PT. GLORIENTA P.H - PPN (PDG)</t>
        </is>
      </c>
      <c r="AI2293" t="n">
        <v>83</v>
      </c>
      <c r="AJ2293" t="inlineStr">
        <is>
          <t>IMPLORA</t>
        </is>
      </c>
      <c r="AK2293" t="n">
        <v>21</v>
      </c>
      <c r="AL2293" t="inlineStr">
        <is>
          <t>Miss Glam Damar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IMPLORA</t>
        </is>
      </c>
      <c r="B2294" s="2">
        <f>"1205030000160"</f>
        <v/>
      </c>
      <c r="C2294" t="inlineStr">
        <is>
          <t>IMPLORA Eyeliner Pen Waterproof And Dramatic Look 1.7g</t>
        </is>
      </c>
      <c r="D2294" t="inlineStr">
        <is>
          <t>Miss Glam Damar</t>
        </is>
      </c>
      <c r="E2294" t="n">
        <v>3</v>
      </c>
      <c r="F2294" t="n">
        <v>0.4277</v>
      </c>
      <c r="G2294" t="n">
        <v>2.73</v>
      </c>
      <c r="H2294" t="n">
        <v>3</v>
      </c>
      <c r="I2294" t="n">
        <v>11</v>
      </c>
      <c r="J2294" t="n">
        <v>3</v>
      </c>
      <c r="K2294" t="n">
        <v>0</v>
      </c>
      <c r="L2294" t="n">
        <v>16208</v>
      </c>
      <c r="M2294" t="n">
        <v>21000</v>
      </c>
      <c r="N2294" t="n">
        <v>91</v>
      </c>
      <c r="O2294" t="n">
        <v>0.91</v>
      </c>
      <c r="P2294" t="n">
        <v>1</v>
      </c>
      <c r="Q2294" t="n">
        <v>0.02</v>
      </c>
      <c r="R2294" t="n">
        <v>1</v>
      </c>
      <c r="S2294" t="n">
        <v>8981.699999999999</v>
      </c>
      <c r="T2294" t="n">
        <v>29</v>
      </c>
      <c r="U2294" t="n">
        <v>31</v>
      </c>
      <c r="V2294" t="n">
        <v>30</v>
      </c>
      <c r="W2294" t="n">
        <v>13</v>
      </c>
      <c r="X2294" t="n">
        <v>7.01426233341127</v>
      </c>
      <c r="Y2294" t="n">
        <v>1</v>
      </c>
      <c r="Z2294" t="n">
        <v>10</v>
      </c>
      <c r="AA2294" t="n">
        <v>2</v>
      </c>
      <c r="AB2294" t="n">
        <v>8</v>
      </c>
      <c r="AC2294" t="n">
        <v>8</v>
      </c>
      <c r="AD2294" t="n">
        <v>32416</v>
      </c>
      <c r="AE2294" t="n">
        <v>129664</v>
      </c>
      <c r="AF2294" t="n">
        <v>10060</v>
      </c>
      <c r="AG2294" t="n">
        <v>78</v>
      </c>
      <c r="AH2294" t="inlineStr">
        <is>
          <t>PT. GLORIENTA P.H - PPN (PDG)</t>
        </is>
      </c>
      <c r="AI2294" t="n">
        <v>83</v>
      </c>
      <c r="AJ2294" t="inlineStr">
        <is>
          <t>IMPLORA</t>
        </is>
      </c>
      <c r="AK2294" t="n">
        <v>21</v>
      </c>
      <c r="AL2294" t="inlineStr">
        <is>
          <t>Miss Glam Damar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IMPLORA</t>
        </is>
      </c>
      <c r="B2295" s="2">
        <f>"1205030669022"</f>
        <v/>
      </c>
      <c r="C2295" t="inlineStr">
        <is>
          <t>IMPLORA Eyeshadow &amp; blush On 7669b</t>
        </is>
      </c>
      <c r="D2295" t="inlineStr">
        <is>
          <t>Miss Glam Damar</t>
        </is>
      </c>
      <c r="E2295" t="n">
        <v>3</v>
      </c>
      <c r="F2295" t="n">
        <v>0.1274</v>
      </c>
      <c r="G2295" t="n">
        <v>1.82</v>
      </c>
      <c r="H2295" t="n">
        <v>3</v>
      </c>
      <c r="I2295" t="n">
        <v>11</v>
      </c>
      <c r="J2295" t="n">
        <v>3</v>
      </c>
      <c r="K2295" t="n">
        <v>0</v>
      </c>
      <c r="L2295" t="n">
        <v>18468</v>
      </c>
      <c r="M2295" t="n">
        <v>24000</v>
      </c>
      <c r="N2295" t="n">
        <v>91</v>
      </c>
      <c r="O2295" t="n">
        <v>0.91</v>
      </c>
      <c r="P2295" t="n">
        <v>1</v>
      </c>
      <c r="Q2295" t="n">
        <v>0.17</v>
      </c>
      <c r="R2295" t="n">
        <v>1</v>
      </c>
      <c r="S2295" t="n">
        <v>3057.6</v>
      </c>
      <c r="T2295" t="n">
        <v>20</v>
      </c>
      <c r="U2295" t="n">
        <v>21</v>
      </c>
      <c r="V2295" t="n">
        <v>30</v>
      </c>
      <c r="W2295" t="n">
        <v>4</v>
      </c>
      <c r="X2295" t="n">
        <v>23.54788069073783</v>
      </c>
      <c r="Y2295" t="n">
        <v>1</v>
      </c>
      <c r="Z2295" t="n">
        <v>1</v>
      </c>
      <c r="AA2295" t="n">
        <v>0</v>
      </c>
      <c r="AB2295" t="n">
        <v>1</v>
      </c>
      <c r="AC2295" t="n">
        <v>3</v>
      </c>
      <c r="AD2295" t="n">
        <v>0</v>
      </c>
      <c r="AE2295" t="n">
        <v>55404</v>
      </c>
      <c r="AF2295" t="n">
        <v>10060</v>
      </c>
      <c r="AG2295" t="n">
        <v>78</v>
      </c>
      <c r="AH2295" t="inlineStr">
        <is>
          <t>PT. GLORIENTA P.H - PPN (PDG)</t>
        </is>
      </c>
      <c r="AI2295" t="n">
        <v>83</v>
      </c>
      <c r="AJ2295" t="inlineStr">
        <is>
          <t>IMPLORA</t>
        </is>
      </c>
      <c r="AK2295" t="n">
        <v>21</v>
      </c>
      <c r="AL2295" t="inlineStr">
        <is>
          <t>Miss Glam Damar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IMPLORA</t>
        </is>
      </c>
      <c r="B2296" s="2">
        <f>"1205170401001"</f>
        <v/>
      </c>
      <c r="C2296" t="inlineStr">
        <is>
          <t>IMPLORA Eyeshadow Palette Dawn 9x1.2g</t>
        </is>
      </c>
      <c r="D2296" t="inlineStr">
        <is>
          <t>Miss Glam Damar</t>
        </is>
      </c>
      <c r="E2296" t="n">
        <v>0</v>
      </c>
      <c r="F2296" t="n">
        <v>0.04</v>
      </c>
      <c r="G2296" t="n">
        <v>1</v>
      </c>
      <c r="H2296" t="n">
        <v>3</v>
      </c>
      <c r="I2296" t="n">
        <v>11</v>
      </c>
      <c r="J2296" t="n">
        <v>3</v>
      </c>
      <c r="K2296" t="n">
        <v>0</v>
      </c>
      <c r="L2296" t="n">
        <v>32928</v>
      </c>
      <c r="M2296" t="n">
        <v>42000</v>
      </c>
      <c r="N2296" t="n">
        <v>91</v>
      </c>
      <c r="O2296" t="n">
        <v>0.91</v>
      </c>
      <c r="P2296" t="n">
        <v>0</v>
      </c>
      <c r="Q2296" t="n">
        <v>0.04</v>
      </c>
      <c r="R2296" t="n">
        <v>1</v>
      </c>
      <c r="S2296" t="n">
        <v>1680</v>
      </c>
      <c r="T2296" t="n">
        <v>11</v>
      </c>
      <c r="U2296" t="n">
        <v>12</v>
      </c>
      <c r="V2296" t="n">
        <v>30</v>
      </c>
      <c r="W2296" t="n">
        <v>2</v>
      </c>
      <c r="X2296" t="n">
        <v>0</v>
      </c>
      <c r="Y2296" t="n">
        <v>1</v>
      </c>
      <c r="Z2296" t="n">
        <v>2</v>
      </c>
      <c r="AA2296" t="n">
        <v>1</v>
      </c>
      <c r="AB2296" t="n">
        <v>1</v>
      </c>
      <c r="AC2296" t="n">
        <v>3</v>
      </c>
      <c r="AD2296" t="n">
        <v>32928</v>
      </c>
      <c r="AE2296" t="n">
        <v>98784</v>
      </c>
      <c r="AF2296" t="n">
        <v>10060</v>
      </c>
      <c r="AG2296" t="n">
        <v>78</v>
      </c>
      <c r="AH2296" t="inlineStr">
        <is>
          <t>PT. GLORIENTA P.H - PPN (PDG)</t>
        </is>
      </c>
      <c r="AI2296" t="n">
        <v>83</v>
      </c>
      <c r="AJ2296" t="inlineStr">
        <is>
          <t>IMPLORA</t>
        </is>
      </c>
      <c r="AK2296" t="n">
        <v>21</v>
      </c>
      <c r="AL2296" t="inlineStr">
        <is>
          <t>Miss Glam Damar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IMPLORA</t>
        </is>
      </c>
      <c r="B2297" s="2">
        <f>"1108040004008"</f>
        <v/>
      </c>
      <c r="C2297" t="inlineStr">
        <is>
          <t>IMPLORA Hair Color  04 Coffee</t>
        </is>
      </c>
      <c r="D2297" t="inlineStr">
        <is>
          <t>Miss Glam Damar</t>
        </is>
      </c>
      <c r="E2297" t="n">
        <v>16</v>
      </c>
      <c r="F2297" t="n">
        <v>0.3094</v>
      </c>
      <c r="G2297" t="n">
        <v>3.64</v>
      </c>
      <c r="H2297" t="n">
        <v>3</v>
      </c>
      <c r="I2297" t="n">
        <v>11</v>
      </c>
      <c r="J2297" t="n">
        <v>3</v>
      </c>
      <c r="K2297" t="n">
        <v>0</v>
      </c>
      <c r="L2297" t="n">
        <v>8536</v>
      </c>
      <c r="M2297" t="n">
        <v>11000</v>
      </c>
      <c r="N2297" t="n">
        <v>91</v>
      </c>
      <c r="O2297" t="n">
        <v>0.91</v>
      </c>
      <c r="P2297" t="n">
        <v>1</v>
      </c>
      <c r="Q2297" t="n">
        <v>0.19</v>
      </c>
      <c r="R2297" t="n">
        <v>3</v>
      </c>
      <c r="S2297" t="n">
        <v>3403.4</v>
      </c>
      <c r="T2297" t="n">
        <v>40</v>
      </c>
      <c r="U2297" t="n">
        <v>41</v>
      </c>
      <c r="V2297" t="n">
        <v>30</v>
      </c>
      <c r="W2297" t="n">
        <v>10</v>
      </c>
      <c r="X2297" t="n">
        <v>51.71299288946348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10060</v>
      </c>
      <c r="AG2297" t="n">
        <v>78</v>
      </c>
      <c r="AH2297" t="inlineStr">
        <is>
          <t>PT. GLORIENTA P.H - PPN (PDG)</t>
        </is>
      </c>
      <c r="AI2297" t="n">
        <v>83</v>
      </c>
      <c r="AJ2297" t="inlineStr">
        <is>
          <t>IMPLORA</t>
        </is>
      </c>
      <c r="AK2297" t="n">
        <v>21</v>
      </c>
      <c r="AL2297" t="inlineStr">
        <is>
          <t>Miss Glam Damar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IMPLORA</t>
        </is>
      </c>
      <c r="B2298" s="2">
        <f>"1108010001006"</f>
        <v/>
      </c>
      <c r="C2298" t="inlineStr">
        <is>
          <t>IMPLORA Hair Color 01 Bleaching</t>
        </is>
      </c>
      <c r="D2298" t="inlineStr">
        <is>
          <t>Miss Glam Damar</t>
        </is>
      </c>
      <c r="E2298" t="n">
        <v>7</v>
      </c>
      <c r="F2298" t="n">
        <v>0.24</v>
      </c>
      <c r="G2298" t="n">
        <v>4</v>
      </c>
      <c r="H2298" t="n">
        <v>3</v>
      </c>
      <c r="I2298" t="n">
        <v>11</v>
      </c>
      <c r="J2298" t="n">
        <v>3</v>
      </c>
      <c r="K2298" t="n">
        <v>0</v>
      </c>
      <c r="L2298" t="n">
        <v>8602</v>
      </c>
      <c r="M2298" t="n">
        <v>11000</v>
      </c>
      <c r="N2298" t="n">
        <v>91</v>
      </c>
      <c r="O2298" t="n">
        <v>0.91</v>
      </c>
      <c r="P2298" t="n">
        <v>0</v>
      </c>
      <c r="Q2298" t="n">
        <v>0.24</v>
      </c>
      <c r="R2298" t="n">
        <v>4</v>
      </c>
      <c r="S2298" t="n">
        <v>2640</v>
      </c>
      <c r="T2298" t="n">
        <v>44</v>
      </c>
      <c r="U2298" t="n">
        <v>45</v>
      </c>
      <c r="V2298" t="n">
        <v>30</v>
      </c>
      <c r="W2298" t="n">
        <v>8</v>
      </c>
      <c r="X2298" t="n">
        <v>29.16666666666667</v>
      </c>
      <c r="Y2298" t="n">
        <v>1</v>
      </c>
      <c r="Z2298" t="n">
        <v>1</v>
      </c>
      <c r="AA2298" t="n">
        <v>0</v>
      </c>
      <c r="AB2298" t="n">
        <v>1</v>
      </c>
      <c r="AC2298" t="n">
        <v>3</v>
      </c>
      <c r="AD2298" t="n">
        <v>0</v>
      </c>
      <c r="AE2298" t="n">
        <v>25806</v>
      </c>
      <c r="AF2298" t="n">
        <v>10060</v>
      </c>
      <c r="AG2298" t="n">
        <v>78</v>
      </c>
      <c r="AH2298" t="inlineStr">
        <is>
          <t>PT. GLORIENTA P.H - PPN (PDG)</t>
        </is>
      </c>
      <c r="AI2298" t="n">
        <v>83</v>
      </c>
      <c r="AJ2298" t="inlineStr">
        <is>
          <t>IMPLORA</t>
        </is>
      </c>
      <c r="AK2298" t="n">
        <v>21</v>
      </c>
      <c r="AL2298" t="inlineStr">
        <is>
          <t>Miss Glam Damar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IMPLORA</t>
        </is>
      </c>
      <c r="B2299" s="2">
        <f>"1108020002000"</f>
        <v/>
      </c>
      <c r="C2299" t="inlineStr">
        <is>
          <t>IMPLORA Hair Color 02 Natural Black</t>
        </is>
      </c>
      <c r="D2299" t="inlineStr">
        <is>
          <t>Miss Glam Damar</t>
        </is>
      </c>
      <c r="E2299" t="n">
        <v>1</v>
      </c>
      <c r="F2299" t="n">
        <v>0.4186</v>
      </c>
      <c r="G2299" t="n">
        <v>2.73</v>
      </c>
      <c r="H2299" t="n">
        <v>3</v>
      </c>
      <c r="I2299" t="n">
        <v>11</v>
      </c>
      <c r="J2299" t="n">
        <v>3</v>
      </c>
      <c r="K2299" t="n">
        <v>0</v>
      </c>
      <c r="L2299" t="n">
        <v>8543</v>
      </c>
      <c r="M2299" t="n">
        <v>11000</v>
      </c>
      <c r="N2299" t="n">
        <v>91</v>
      </c>
      <c r="O2299" t="n">
        <v>0.91</v>
      </c>
      <c r="P2299" t="n">
        <v>1</v>
      </c>
      <c r="Q2299" t="n">
        <v>0.05</v>
      </c>
      <c r="R2299" t="n">
        <v>1</v>
      </c>
      <c r="S2299" t="n">
        <v>4604.6</v>
      </c>
      <c r="T2299" t="n">
        <v>29</v>
      </c>
      <c r="U2299" t="n">
        <v>31</v>
      </c>
      <c r="V2299" t="n">
        <v>30</v>
      </c>
      <c r="W2299" t="n">
        <v>13</v>
      </c>
      <c r="X2299" t="n">
        <v>2.388915432393693</v>
      </c>
      <c r="Y2299" t="n">
        <v>1</v>
      </c>
      <c r="Z2299" t="n">
        <v>12</v>
      </c>
      <c r="AA2299" t="n">
        <v>4</v>
      </c>
      <c r="AB2299" t="n">
        <v>8</v>
      </c>
      <c r="AC2299" t="n">
        <v>8</v>
      </c>
      <c r="AD2299" t="n">
        <v>34172</v>
      </c>
      <c r="AE2299" t="n">
        <v>68344</v>
      </c>
      <c r="AF2299" t="n">
        <v>10060</v>
      </c>
      <c r="AG2299" t="n">
        <v>78</v>
      </c>
      <c r="AH2299" t="inlineStr">
        <is>
          <t>PT. GLORIENTA P.H - PPN (PDG)</t>
        </is>
      </c>
      <c r="AI2299" t="n">
        <v>83</v>
      </c>
      <c r="AJ2299" t="inlineStr">
        <is>
          <t>IMPLORA</t>
        </is>
      </c>
      <c r="AK2299" t="n">
        <v>21</v>
      </c>
      <c r="AL2299" t="inlineStr">
        <is>
          <t>Miss Glam Damar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IMPLORA</t>
        </is>
      </c>
      <c r="B2300" s="2">
        <f>"1108050005002"</f>
        <v/>
      </c>
      <c r="C2300" t="inlineStr">
        <is>
          <t>IMPLORA Hair Color 05 Brown</t>
        </is>
      </c>
      <c r="D2300" t="inlineStr">
        <is>
          <t>Miss Glam Damar</t>
        </is>
      </c>
      <c r="E2300" t="n">
        <v>17</v>
      </c>
      <c r="F2300" t="n">
        <v>0.2457</v>
      </c>
      <c r="G2300" t="n">
        <v>1.82</v>
      </c>
      <c r="H2300" t="n">
        <v>3</v>
      </c>
      <c r="I2300" t="n">
        <v>11</v>
      </c>
      <c r="J2300" t="n">
        <v>3</v>
      </c>
      <c r="K2300" t="n">
        <v>0</v>
      </c>
      <c r="L2300" t="n">
        <v>8536</v>
      </c>
      <c r="M2300" t="n">
        <v>11000</v>
      </c>
      <c r="N2300" t="n">
        <v>91</v>
      </c>
      <c r="O2300" t="n">
        <v>0.91</v>
      </c>
      <c r="P2300" t="n">
        <v>1</v>
      </c>
      <c r="Q2300" t="n">
        <v>0.29</v>
      </c>
      <c r="R2300" t="n">
        <v>5</v>
      </c>
      <c r="S2300" t="n">
        <v>2702.7</v>
      </c>
      <c r="T2300" t="n">
        <v>20</v>
      </c>
      <c r="U2300" t="n">
        <v>21</v>
      </c>
      <c r="V2300" t="n">
        <v>30</v>
      </c>
      <c r="W2300" t="n">
        <v>8</v>
      </c>
      <c r="X2300" t="n">
        <v>69.19006919006918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10060</v>
      </c>
      <c r="AG2300" t="n">
        <v>78</v>
      </c>
      <c r="AH2300" t="inlineStr">
        <is>
          <t>PT. GLORIENTA P.H - PPN (PDG)</t>
        </is>
      </c>
      <c r="AI2300" t="n">
        <v>83</v>
      </c>
      <c r="AJ2300" t="inlineStr">
        <is>
          <t>IMPLORA</t>
        </is>
      </c>
      <c r="AK2300" t="n">
        <v>21</v>
      </c>
      <c r="AL2300" t="inlineStr">
        <is>
          <t>Miss Glam Damar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IMPLORA</t>
        </is>
      </c>
      <c r="B2301" s="2">
        <f>"1108130212009"</f>
        <v/>
      </c>
      <c r="C2301" t="inlineStr">
        <is>
          <t>IMPLORA Hair Color Shampoo Black 15ml</t>
        </is>
      </c>
      <c r="D2301" t="inlineStr">
        <is>
          <t>Miss Glam Damar</t>
        </is>
      </c>
      <c r="E2301" t="n">
        <v>12</v>
      </c>
      <c r="F2301" t="n">
        <v>0.3367</v>
      </c>
      <c r="G2301" t="n">
        <v>6.37</v>
      </c>
      <c r="H2301" t="n">
        <v>3</v>
      </c>
      <c r="I2301" t="n">
        <v>11</v>
      </c>
      <c r="J2301" t="n">
        <v>3</v>
      </c>
      <c r="K2301" t="n">
        <v>0</v>
      </c>
      <c r="L2301" t="n">
        <v>5820</v>
      </c>
      <c r="M2301" t="n">
        <v>7500</v>
      </c>
      <c r="N2301" t="n">
        <v>91</v>
      </c>
      <c r="O2301" t="n">
        <v>0.91</v>
      </c>
      <c r="P2301" t="n">
        <v>1</v>
      </c>
      <c r="Q2301" t="n">
        <v>0.1</v>
      </c>
      <c r="R2301" t="n">
        <v>4</v>
      </c>
      <c r="S2301" t="n">
        <v>2525.25</v>
      </c>
      <c r="T2301" t="n">
        <v>70</v>
      </c>
      <c r="U2301" t="n">
        <v>72</v>
      </c>
      <c r="V2301" t="n">
        <v>30</v>
      </c>
      <c r="W2301" t="n">
        <v>11</v>
      </c>
      <c r="X2301" t="n">
        <v>35.64003564003564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10060</v>
      </c>
      <c r="AG2301" t="n">
        <v>78</v>
      </c>
      <c r="AH2301" t="inlineStr">
        <is>
          <t>PT. GLORIENTA P.H - PPN (PDG)</t>
        </is>
      </c>
      <c r="AI2301" t="n">
        <v>83</v>
      </c>
      <c r="AJ2301" t="inlineStr">
        <is>
          <t>IMPLORA</t>
        </is>
      </c>
      <c r="AK2301" t="n">
        <v>21</v>
      </c>
      <c r="AL2301" t="inlineStr">
        <is>
          <t>Miss Glam Damar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IMPLORA</t>
        </is>
      </c>
      <c r="B2302" s="2">
        <f>"8993883801319"</f>
        <v/>
      </c>
      <c r="C2302" t="inlineStr">
        <is>
          <t>IMPLORA Healthy Glow Cushion 04 Medium Beige 13gr</t>
        </is>
      </c>
      <c r="D2302" t="inlineStr">
        <is>
          <t>Miss Glam Damar</t>
        </is>
      </c>
      <c r="E2302" t="n">
        <v>1</v>
      </c>
      <c r="F2302" t="n">
        <v>0.0273</v>
      </c>
      <c r="G2302" t="n">
        <v>0.91</v>
      </c>
      <c r="H2302" t="n">
        <v>3</v>
      </c>
      <c r="I2302" t="n">
        <v>11</v>
      </c>
      <c r="J2302" t="n">
        <v>3</v>
      </c>
      <c r="K2302" t="n">
        <v>0</v>
      </c>
      <c r="L2302" t="n">
        <v>59584</v>
      </c>
      <c r="M2302" t="n">
        <v>76000</v>
      </c>
      <c r="N2302" t="n">
        <v>91</v>
      </c>
      <c r="O2302" t="n">
        <v>0.91</v>
      </c>
      <c r="P2302" t="n">
        <v>1</v>
      </c>
      <c r="Q2302" t="n">
        <v>0.02</v>
      </c>
      <c r="R2302" t="n">
        <v>1</v>
      </c>
      <c r="S2302" t="n">
        <v>2074.8</v>
      </c>
      <c r="T2302" t="n">
        <v>10</v>
      </c>
      <c r="U2302" t="n">
        <v>11</v>
      </c>
      <c r="V2302" t="n">
        <v>30</v>
      </c>
      <c r="W2302" t="n">
        <v>1</v>
      </c>
      <c r="X2302" t="n">
        <v>36.63003663003663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10060</v>
      </c>
      <c r="AG2302" t="n">
        <v>78</v>
      </c>
      <c r="AH2302" t="inlineStr">
        <is>
          <t>PT. GLORIENTA P.H - PPN (PDG)</t>
        </is>
      </c>
      <c r="AI2302" t="n">
        <v>83</v>
      </c>
      <c r="AJ2302" t="inlineStr">
        <is>
          <t>IMPLORA</t>
        </is>
      </c>
      <c r="AK2302" t="n">
        <v>21</v>
      </c>
      <c r="AL2302" t="inlineStr">
        <is>
          <t>Miss Glam Damar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IMPLORA</t>
        </is>
      </c>
      <c r="B2303" s="2">
        <f>"8993883800039"</f>
        <v/>
      </c>
      <c r="C2303" t="inlineStr">
        <is>
          <t>IMPLORA Jelly Tint 01 Mariposa</t>
        </is>
      </c>
      <c r="D2303" t="inlineStr">
        <is>
          <t>Miss Glam Damar</t>
        </is>
      </c>
      <c r="E2303" t="n">
        <v>11</v>
      </c>
      <c r="F2303" t="n">
        <v>0.8008000000000001</v>
      </c>
      <c r="G2303" t="n">
        <v>3.64</v>
      </c>
      <c r="H2303" t="n">
        <v>3</v>
      </c>
      <c r="I2303" t="n">
        <v>11</v>
      </c>
      <c r="J2303" t="n">
        <v>3</v>
      </c>
      <c r="K2303" t="n">
        <v>0</v>
      </c>
      <c r="L2303" t="n">
        <v>15908</v>
      </c>
      <c r="M2303" t="n">
        <v>20500</v>
      </c>
      <c r="N2303" t="n">
        <v>91</v>
      </c>
      <c r="O2303" t="n">
        <v>0.91</v>
      </c>
      <c r="P2303" t="n">
        <v>1</v>
      </c>
      <c r="Q2303" t="n">
        <v>0.02</v>
      </c>
      <c r="R2303" t="n">
        <v>1</v>
      </c>
      <c r="S2303" t="n">
        <v>16416.4</v>
      </c>
      <c r="T2303" t="n">
        <v>38</v>
      </c>
      <c r="U2303" t="n">
        <v>41</v>
      </c>
      <c r="V2303" t="n">
        <v>30</v>
      </c>
      <c r="W2303" t="n">
        <v>25</v>
      </c>
      <c r="X2303" t="n">
        <v>13.73626373626374</v>
      </c>
      <c r="Y2303" t="n">
        <v>1</v>
      </c>
      <c r="Z2303" t="n">
        <v>14</v>
      </c>
      <c r="AA2303" t="n">
        <v>0</v>
      </c>
      <c r="AB2303" t="n">
        <v>14</v>
      </c>
      <c r="AC2303" t="n">
        <v>14</v>
      </c>
      <c r="AD2303" t="n">
        <v>0</v>
      </c>
      <c r="AE2303" t="n">
        <v>222712</v>
      </c>
      <c r="AF2303" t="n">
        <v>10060</v>
      </c>
      <c r="AG2303" t="n">
        <v>78</v>
      </c>
      <c r="AH2303" t="inlineStr">
        <is>
          <t>PT. GLORIENTA P.H - PPN (PDG)</t>
        </is>
      </c>
      <c r="AI2303" t="n">
        <v>83</v>
      </c>
      <c r="AJ2303" t="inlineStr">
        <is>
          <t>IMPLORA</t>
        </is>
      </c>
      <c r="AK2303" t="n">
        <v>21</v>
      </c>
      <c r="AL2303" t="inlineStr">
        <is>
          <t>Miss Glam Damar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IMPLORA</t>
        </is>
      </c>
      <c r="B2304" s="2">
        <f>"8993883800046"</f>
        <v/>
      </c>
      <c r="C2304" t="inlineStr">
        <is>
          <t>IMPLORA Jelly Tint 02 Savvy Red 5ml</t>
        </is>
      </c>
      <c r="D2304" t="inlineStr">
        <is>
          <t>Miss Glam Damar</t>
        </is>
      </c>
      <c r="E2304" t="n">
        <v>3</v>
      </c>
      <c r="F2304" t="n">
        <v>0.2457</v>
      </c>
      <c r="G2304" t="n">
        <v>1.82</v>
      </c>
      <c r="H2304" t="n">
        <v>3</v>
      </c>
      <c r="I2304" t="n">
        <v>11</v>
      </c>
      <c r="J2304" t="n">
        <v>3</v>
      </c>
      <c r="K2304" t="n">
        <v>0</v>
      </c>
      <c r="L2304" t="n">
        <v>15733</v>
      </c>
      <c r="M2304" t="n">
        <v>20500</v>
      </c>
      <c r="N2304" t="n">
        <v>91</v>
      </c>
      <c r="O2304" t="n">
        <v>0.91</v>
      </c>
      <c r="P2304" t="n">
        <v>1</v>
      </c>
      <c r="Q2304" t="n">
        <v>0.14</v>
      </c>
      <c r="R2304" t="n">
        <v>2</v>
      </c>
      <c r="S2304" t="n">
        <v>5036.85</v>
      </c>
      <c r="T2304" t="n">
        <v>20</v>
      </c>
      <c r="U2304" t="n">
        <v>21</v>
      </c>
      <c r="V2304" t="n">
        <v>30</v>
      </c>
      <c r="W2304" t="n">
        <v>8</v>
      </c>
      <c r="X2304" t="n">
        <v>12.21001221001221</v>
      </c>
      <c r="Y2304" t="n">
        <v>1</v>
      </c>
      <c r="Z2304" t="n">
        <v>5</v>
      </c>
      <c r="AA2304" t="n">
        <v>0</v>
      </c>
      <c r="AB2304" t="n">
        <v>5</v>
      </c>
      <c r="AC2304" t="n">
        <v>5</v>
      </c>
      <c r="AD2304" t="n">
        <v>0</v>
      </c>
      <c r="AE2304" t="n">
        <v>78665</v>
      </c>
      <c r="AF2304" t="n">
        <v>10060</v>
      </c>
      <c r="AG2304" t="n">
        <v>78</v>
      </c>
      <c r="AH2304" t="inlineStr">
        <is>
          <t>PT. GLORIENTA P.H - PPN (PDG)</t>
        </is>
      </c>
      <c r="AI2304" t="n">
        <v>83</v>
      </c>
      <c r="AJ2304" t="inlineStr">
        <is>
          <t>IMPLORA</t>
        </is>
      </c>
      <c r="AK2304" t="n">
        <v>21</v>
      </c>
      <c r="AL2304" t="inlineStr">
        <is>
          <t>Miss Glam Damar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IMPLORA</t>
        </is>
      </c>
      <c r="B2305" s="2">
        <f>"8993883800060"</f>
        <v/>
      </c>
      <c r="C2305" t="inlineStr">
        <is>
          <t>IMPLORA Jelly Tint 04 Rosy Posy</t>
        </is>
      </c>
      <c r="D2305" t="inlineStr">
        <is>
          <t>Miss Glam Damar</t>
        </is>
      </c>
      <c r="E2305" t="n">
        <v>3</v>
      </c>
      <c r="F2305" t="n">
        <v>0.1092</v>
      </c>
      <c r="G2305" t="n">
        <v>0.91</v>
      </c>
      <c r="H2305" t="n">
        <v>3</v>
      </c>
      <c r="I2305" t="n">
        <v>11</v>
      </c>
      <c r="J2305" t="n">
        <v>3</v>
      </c>
      <c r="K2305" t="n">
        <v>0</v>
      </c>
      <c r="L2305" t="n">
        <v>14834</v>
      </c>
      <c r="M2305" t="n">
        <v>20500</v>
      </c>
      <c r="N2305" t="n">
        <v>91</v>
      </c>
      <c r="O2305" t="n">
        <v>0.91</v>
      </c>
      <c r="P2305" t="n">
        <v>1</v>
      </c>
      <c r="Q2305" t="n">
        <v>0.02</v>
      </c>
      <c r="R2305" t="n">
        <v>1</v>
      </c>
      <c r="S2305" t="n">
        <v>2238.6</v>
      </c>
      <c r="T2305" t="n">
        <v>10</v>
      </c>
      <c r="U2305" t="n">
        <v>11</v>
      </c>
      <c r="V2305" t="n">
        <v>30</v>
      </c>
      <c r="W2305" t="n">
        <v>4</v>
      </c>
      <c r="X2305" t="n">
        <v>27.47252747252747</v>
      </c>
      <c r="Y2305" t="n">
        <v>1</v>
      </c>
      <c r="Z2305" t="n">
        <v>1</v>
      </c>
      <c r="AA2305" t="n">
        <v>0</v>
      </c>
      <c r="AB2305" t="n">
        <v>1</v>
      </c>
      <c r="AC2305" t="n">
        <v>3</v>
      </c>
      <c r="AD2305" t="n">
        <v>0</v>
      </c>
      <c r="AE2305" t="n">
        <v>44502</v>
      </c>
      <c r="AF2305" t="n">
        <v>10060</v>
      </c>
      <c r="AG2305" t="n">
        <v>78</v>
      </c>
      <c r="AH2305" t="inlineStr">
        <is>
          <t>PT. GLORIENTA P.H - PPN (PDG)</t>
        </is>
      </c>
      <c r="AI2305" t="n">
        <v>83</v>
      </c>
      <c r="AJ2305" t="inlineStr">
        <is>
          <t>IMPLORA</t>
        </is>
      </c>
      <c r="AK2305" t="n">
        <v>21</v>
      </c>
      <c r="AL2305" t="inlineStr">
        <is>
          <t>Miss Glam Damar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IMPLORA</t>
        </is>
      </c>
      <c r="B2306" s="2">
        <f>"8993883800077"</f>
        <v/>
      </c>
      <c r="C2306" t="inlineStr">
        <is>
          <t>IMPLORA Jelly Tint 05 Dream Peach</t>
        </is>
      </c>
      <c r="D2306" t="inlineStr">
        <is>
          <t>Miss Glam Damar</t>
        </is>
      </c>
      <c r="E2306" t="n">
        <v>4</v>
      </c>
      <c r="F2306" t="n">
        <v>0.3367</v>
      </c>
      <c r="G2306" t="n">
        <v>1.82</v>
      </c>
      <c r="H2306" t="n">
        <v>3</v>
      </c>
      <c r="I2306" t="n">
        <v>11</v>
      </c>
      <c r="J2306" t="n">
        <v>3</v>
      </c>
      <c r="K2306" t="n">
        <v>0</v>
      </c>
      <c r="L2306" t="n">
        <v>15900</v>
      </c>
      <c r="M2306" t="n">
        <v>20500</v>
      </c>
      <c r="N2306" t="n">
        <v>91</v>
      </c>
      <c r="O2306" t="n">
        <v>0.91</v>
      </c>
      <c r="P2306" t="n">
        <v>1</v>
      </c>
      <c r="Q2306" t="n">
        <v>0.12</v>
      </c>
      <c r="R2306" t="n">
        <v>1</v>
      </c>
      <c r="S2306" t="n">
        <v>6902.35</v>
      </c>
      <c r="T2306" t="n">
        <v>20</v>
      </c>
      <c r="U2306" t="n">
        <v>22</v>
      </c>
      <c r="V2306" t="n">
        <v>30</v>
      </c>
      <c r="W2306" t="n">
        <v>11</v>
      </c>
      <c r="X2306" t="n">
        <v>11.88001188001188</v>
      </c>
      <c r="Y2306" t="n">
        <v>1</v>
      </c>
      <c r="Z2306" t="n">
        <v>7</v>
      </c>
      <c r="AA2306" t="n">
        <v>0</v>
      </c>
      <c r="AB2306" t="n">
        <v>7</v>
      </c>
      <c r="AC2306" t="n">
        <v>7</v>
      </c>
      <c r="AD2306" t="n">
        <v>0</v>
      </c>
      <c r="AE2306" t="n">
        <v>111300</v>
      </c>
      <c r="AF2306" t="n">
        <v>10060</v>
      </c>
      <c r="AG2306" t="n">
        <v>78</v>
      </c>
      <c r="AH2306" t="inlineStr">
        <is>
          <t>PT. GLORIENTA P.H - PPN (PDG)</t>
        </is>
      </c>
      <c r="AI2306" t="n">
        <v>83</v>
      </c>
      <c r="AJ2306" t="inlineStr">
        <is>
          <t>IMPLORA</t>
        </is>
      </c>
      <c r="AK2306" t="n">
        <v>21</v>
      </c>
      <c r="AL2306" t="inlineStr">
        <is>
          <t>Miss Glam Damar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IMPLORA</t>
        </is>
      </c>
      <c r="B2307" s="2">
        <f>"8993883800107"</f>
        <v/>
      </c>
      <c r="C2307" t="inlineStr">
        <is>
          <t>IMPLORA Jelly Tint 08 Burn Orange</t>
        </is>
      </c>
      <c r="D2307" t="inlineStr">
        <is>
          <t>Miss Glam Damar</t>
        </is>
      </c>
      <c r="E2307" t="n">
        <v>6</v>
      </c>
      <c r="F2307" t="n">
        <v>0.182</v>
      </c>
      <c r="G2307" t="n">
        <v>0.91</v>
      </c>
      <c r="H2307" t="n">
        <v>3</v>
      </c>
      <c r="I2307" t="n">
        <v>11</v>
      </c>
      <c r="J2307" t="n">
        <v>3</v>
      </c>
      <c r="K2307" t="n">
        <v>0</v>
      </c>
      <c r="L2307" t="n">
        <v>15907</v>
      </c>
      <c r="M2307" t="n">
        <v>20500</v>
      </c>
      <c r="N2307" t="n">
        <v>91</v>
      </c>
      <c r="O2307" t="n">
        <v>0.91</v>
      </c>
      <c r="P2307" t="n">
        <v>1</v>
      </c>
      <c r="Q2307" t="n">
        <v>0.07000000000000001</v>
      </c>
      <c r="R2307" t="n">
        <v>1</v>
      </c>
      <c r="S2307" t="n">
        <v>3731</v>
      </c>
      <c r="T2307" t="n">
        <v>10</v>
      </c>
      <c r="U2307" t="n">
        <v>11</v>
      </c>
      <c r="V2307" t="n">
        <v>30</v>
      </c>
      <c r="W2307" t="n">
        <v>6</v>
      </c>
      <c r="X2307" t="n">
        <v>32.96703296703296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10060</v>
      </c>
      <c r="AG2307" t="n">
        <v>78</v>
      </c>
      <c r="AH2307" t="inlineStr">
        <is>
          <t>PT. GLORIENTA P.H - PPN (PDG)</t>
        </is>
      </c>
      <c r="AI2307" t="n">
        <v>83</v>
      </c>
      <c r="AJ2307" t="inlineStr">
        <is>
          <t>IMPLORA</t>
        </is>
      </c>
      <c r="AK2307" t="n">
        <v>21</v>
      </c>
      <c r="AL2307" t="inlineStr">
        <is>
          <t>Miss Glam Damar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IMPLORA</t>
        </is>
      </c>
      <c r="B2308" s="2">
        <f>"8993883800114"</f>
        <v/>
      </c>
      <c r="C2308" t="inlineStr">
        <is>
          <t>IMPLORA Jelly Tint 09 Rosewood</t>
        </is>
      </c>
      <c r="D2308" t="inlineStr">
        <is>
          <t>Miss Glam Damar</t>
        </is>
      </c>
      <c r="E2308" t="n">
        <v>5</v>
      </c>
      <c r="F2308" t="n">
        <v>0.2</v>
      </c>
      <c r="G2308" t="n">
        <v>3</v>
      </c>
      <c r="H2308" t="n">
        <v>3</v>
      </c>
      <c r="I2308" t="n">
        <v>11</v>
      </c>
      <c r="J2308" t="n">
        <v>3</v>
      </c>
      <c r="K2308" t="n">
        <v>0</v>
      </c>
      <c r="L2308" t="n">
        <v>15876</v>
      </c>
      <c r="M2308" t="n">
        <v>20500</v>
      </c>
      <c r="N2308" t="n">
        <v>91</v>
      </c>
      <c r="O2308" t="n">
        <v>0.91</v>
      </c>
      <c r="P2308" t="n">
        <v>0</v>
      </c>
      <c r="Q2308" t="n">
        <v>0.2</v>
      </c>
      <c r="R2308" t="n">
        <v>3</v>
      </c>
      <c r="S2308" t="n">
        <v>4100</v>
      </c>
      <c r="T2308" t="n">
        <v>33</v>
      </c>
      <c r="U2308" t="n">
        <v>34</v>
      </c>
      <c r="V2308" t="n">
        <v>30</v>
      </c>
      <c r="W2308" t="n">
        <v>6</v>
      </c>
      <c r="X2308" t="n">
        <v>25</v>
      </c>
      <c r="Y2308" t="n">
        <v>1</v>
      </c>
      <c r="Z2308" t="n">
        <v>1</v>
      </c>
      <c r="AA2308" t="n">
        <v>0</v>
      </c>
      <c r="AB2308" t="n">
        <v>1</v>
      </c>
      <c r="AC2308" t="n">
        <v>3</v>
      </c>
      <c r="AD2308" t="n">
        <v>0</v>
      </c>
      <c r="AE2308" t="n">
        <v>47628</v>
      </c>
      <c r="AF2308" t="n">
        <v>10060</v>
      </c>
      <c r="AG2308" t="n">
        <v>78</v>
      </c>
      <c r="AH2308" t="inlineStr">
        <is>
          <t>PT. GLORIENTA P.H - PPN (PDG)</t>
        </is>
      </c>
      <c r="AI2308" t="n">
        <v>83</v>
      </c>
      <c r="AJ2308" t="inlineStr">
        <is>
          <t>IMPLORA</t>
        </is>
      </c>
      <c r="AK2308" t="n">
        <v>21</v>
      </c>
      <c r="AL2308" t="inlineStr">
        <is>
          <t>Miss Glam Damar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IMPLORA</t>
        </is>
      </c>
      <c r="B2309" s="2">
        <f>"8993883801098"</f>
        <v/>
      </c>
      <c r="C2309" t="inlineStr">
        <is>
          <t>IMPLORA Key-Chain Lip Bullet Day To Day Series 04 Attention 1,5 gr</t>
        </is>
      </c>
      <c r="D2309" t="inlineStr">
        <is>
          <t>Miss Glam Damar</t>
        </is>
      </c>
      <c r="E2309" t="n">
        <v>4</v>
      </c>
      <c r="F2309" t="n">
        <v>0.0728</v>
      </c>
      <c r="G2309" t="n">
        <v>0.91</v>
      </c>
      <c r="H2309" t="n">
        <v>3</v>
      </c>
      <c r="I2309" t="n">
        <v>11</v>
      </c>
      <c r="J2309" t="n">
        <v>3</v>
      </c>
      <c r="K2309" t="n">
        <v>0</v>
      </c>
      <c r="L2309" t="n">
        <v>17436</v>
      </c>
      <c r="M2309" t="n">
        <v>24000</v>
      </c>
      <c r="N2309" t="n">
        <v>91</v>
      </c>
      <c r="O2309" t="n">
        <v>0.91</v>
      </c>
      <c r="P2309" t="n">
        <v>1</v>
      </c>
      <c r="Q2309" t="n">
        <v>0.03</v>
      </c>
      <c r="R2309" t="n">
        <v>1</v>
      </c>
      <c r="S2309" t="n">
        <v>1747.2</v>
      </c>
      <c r="T2309" t="n">
        <v>10</v>
      </c>
      <c r="U2309" t="n">
        <v>11</v>
      </c>
      <c r="V2309" t="n">
        <v>30</v>
      </c>
      <c r="W2309" t="n">
        <v>3</v>
      </c>
      <c r="X2309" t="n">
        <v>54.94505494505494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10060</v>
      </c>
      <c r="AG2309" t="n">
        <v>78</v>
      </c>
      <c r="AH2309" t="inlineStr">
        <is>
          <t>PT. GLORIENTA P.H - PPN (PDG)</t>
        </is>
      </c>
      <c r="AI2309" t="n">
        <v>83</v>
      </c>
      <c r="AJ2309" t="inlineStr">
        <is>
          <t>IMPLORA</t>
        </is>
      </c>
      <c r="AK2309" t="n">
        <v>21</v>
      </c>
      <c r="AL2309" t="inlineStr">
        <is>
          <t>Miss Glam Damar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IMPLORA</t>
        </is>
      </c>
      <c r="B2310" s="2">
        <f>"1212040001001"</f>
        <v/>
      </c>
      <c r="C2310" t="inlineStr">
        <is>
          <t>IMPLORA Lip Cream Matte 1 Dusky Nude</t>
        </is>
      </c>
      <c r="D2310" t="inlineStr">
        <is>
          <t>Miss Glam Damar</t>
        </is>
      </c>
      <c r="E2310" t="n">
        <v>35</v>
      </c>
      <c r="F2310" t="n">
        <v>1.2831</v>
      </c>
      <c r="G2310" t="n">
        <v>3.64</v>
      </c>
      <c r="H2310" t="n">
        <v>3</v>
      </c>
      <c r="I2310" t="n">
        <v>11</v>
      </c>
      <c r="J2310" t="n">
        <v>3</v>
      </c>
      <c r="K2310" t="n">
        <v>0</v>
      </c>
      <c r="L2310" t="n">
        <v>16218</v>
      </c>
      <c r="M2310" t="n">
        <v>21000</v>
      </c>
      <c r="N2310" t="n">
        <v>91</v>
      </c>
      <c r="O2310" t="n">
        <v>0.91</v>
      </c>
      <c r="P2310" t="n">
        <v>1</v>
      </c>
      <c r="Q2310" t="n">
        <v>0.36</v>
      </c>
      <c r="R2310" t="n">
        <v>2</v>
      </c>
      <c r="S2310" t="n">
        <v>26945.1</v>
      </c>
      <c r="T2310" t="n">
        <v>37</v>
      </c>
      <c r="U2310" t="n">
        <v>41</v>
      </c>
      <c r="V2310" t="n">
        <v>30</v>
      </c>
      <c r="W2310" t="n">
        <v>39</v>
      </c>
      <c r="X2310" t="n">
        <v>27.27768685215494</v>
      </c>
      <c r="Y2310" t="n">
        <v>1</v>
      </c>
      <c r="Z2310" t="n">
        <v>4</v>
      </c>
      <c r="AA2310" t="n">
        <v>0</v>
      </c>
      <c r="AB2310" t="n">
        <v>4</v>
      </c>
      <c r="AC2310" t="n">
        <v>4</v>
      </c>
      <c r="AD2310" t="n">
        <v>0</v>
      </c>
      <c r="AE2310" t="n">
        <v>64872</v>
      </c>
      <c r="AF2310" t="n">
        <v>10060</v>
      </c>
      <c r="AG2310" t="n">
        <v>78</v>
      </c>
      <c r="AH2310" t="inlineStr">
        <is>
          <t>PT. GLORIENTA P.H - PPN (PDG)</t>
        </is>
      </c>
      <c r="AI2310" t="n">
        <v>83</v>
      </c>
      <c r="AJ2310" t="inlineStr">
        <is>
          <t>IMPLORA</t>
        </is>
      </c>
      <c r="AK2310" t="n">
        <v>21</v>
      </c>
      <c r="AL2310" t="inlineStr">
        <is>
          <t>Miss Glam Damar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IMPLORA</t>
        </is>
      </c>
      <c r="B2311" s="2">
        <f>"1212040011000"</f>
        <v/>
      </c>
      <c r="C2311" t="inlineStr">
        <is>
          <t>IMPLORA Lip Cream Matte 11 Red Bean</t>
        </is>
      </c>
      <c r="D2311" t="inlineStr">
        <is>
          <t>Miss Glam Damar</t>
        </is>
      </c>
      <c r="E2311" t="n">
        <v>0</v>
      </c>
      <c r="F2311" t="n">
        <v>0.04</v>
      </c>
      <c r="G2311" t="n">
        <v>1</v>
      </c>
      <c r="H2311" t="n">
        <v>3</v>
      </c>
      <c r="I2311" t="n">
        <v>11</v>
      </c>
      <c r="J2311" t="n">
        <v>3</v>
      </c>
      <c r="K2311" t="n">
        <v>0</v>
      </c>
      <c r="L2311" t="n">
        <v>16219</v>
      </c>
      <c r="M2311" t="n">
        <v>21000</v>
      </c>
      <c r="N2311" t="n">
        <v>91</v>
      </c>
      <c r="O2311" t="n">
        <v>0.91</v>
      </c>
      <c r="P2311" t="n">
        <v>0</v>
      </c>
      <c r="Q2311" t="n">
        <v>0.04</v>
      </c>
      <c r="R2311" t="n">
        <v>1</v>
      </c>
      <c r="S2311" t="n">
        <v>840</v>
      </c>
      <c r="T2311" t="n">
        <v>11</v>
      </c>
      <c r="U2311" t="n">
        <v>12</v>
      </c>
      <c r="V2311" t="n">
        <v>30</v>
      </c>
      <c r="W2311" t="n">
        <v>2</v>
      </c>
      <c r="X2311" t="n">
        <v>0</v>
      </c>
      <c r="Y2311" t="n">
        <v>1</v>
      </c>
      <c r="Z2311" t="n">
        <v>2</v>
      </c>
      <c r="AA2311" t="n">
        <v>1</v>
      </c>
      <c r="AB2311" t="n">
        <v>1</v>
      </c>
      <c r="AC2311" t="n">
        <v>3</v>
      </c>
      <c r="AD2311" t="n">
        <v>16219</v>
      </c>
      <c r="AE2311" t="n">
        <v>48657</v>
      </c>
      <c r="AF2311" t="n">
        <v>10060</v>
      </c>
      <c r="AG2311" t="n">
        <v>78</v>
      </c>
      <c r="AH2311" t="inlineStr">
        <is>
          <t>PT. GLORIENTA P.H - PPN (PDG)</t>
        </is>
      </c>
      <c r="AI2311" t="n">
        <v>83</v>
      </c>
      <c r="AJ2311" t="inlineStr">
        <is>
          <t>IMPLORA</t>
        </is>
      </c>
      <c r="AK2311" t="n">
        <v>21</v>
      </c>
      <c r="AL2311" t="inlineStr">
        <is>
          <t>Miss Glam Damar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IMPLORA</t>
        </is>
      </c>
      <c r="B2312" s="2">
        <f>"8993883800305"</f>
        <v/>
      </c>
      <c r="C2312" t="inlineStr">
        <is>
          <t>IMPLORA lip Moist Essence 24ml</t>
        </is>
      </c>
      <c r="D2312" t="inlineStr">
        <is>
          <t>Miss Glam Damar</t>
        </is>
      </c>
      <c r="E2312" t="n">
        <v>8</v>
      </c>
      <c r="F2312" t="n">
        <v>0.4186</v>
      </c>
      <c r="G2312" t="n">
        <v>3.64</v>
      </c>
      <c r="H2312" t="n">
        <v>3</v>
      </c>
      <c r="I2312" t="n">
        <v>11</v>
      </c>
      <c r="J2312" t="n">
        <v>3</v>
      </c>
      <c r="K2312" t="n">
        <v>0</v>
      </c>
      <c r="L2312" t="n">
        <v>13277</v>
      </c>
      <c r="M2312" t="n">
        <v>17000</v>
      </c>
      <c r="N2312" t="n">
        <v>91</v>
      </c>
      <c r="O2312" t="n">
        <v>0.91</v>
      </c>
      <c r="P2312" t="n">
        <v>1</v>
      </c>
      <c r="Q2312" t="n">
        <v>0.1</v>
      </c>
      <c r="R2312" t="n">
        <v>2</v>
      </c>
      <c r="S2312" t="n">
        <v>7116.200000000001</v>
      </c>
      <c r="T2312" t="n">
        <v>39</v>
      </c>
      <c r="U2312" t="n">
        <v>41</v>
      </c>
      <c r="V2312" t="n">
        <v>30</v>
      </c>
      <c r="W2312" t="n">
        <v>13</v>
      </c>
      <c r="X2312" t="n">
        <v>19.11132345914955</v>
      </c>
      <c r="Y2312" t="n">
        <v>1</v>
      </c>
      <c r="Z2312" t="n">
        <v>5</v>
      </c>
      <c r="AA2312" t="n">
        <v>0</v>
      </c>
      <c r="AB2312" t="n">
        <v>5</v>
      </c>
      <c r="AC2312" t="n">
        <v>5</v>
      </c>
      <c r="AD2312" t="n">
        <v>0</v>
      </c>
      <c r="AE2312" t="n">
        <v>66385</v>
      </c>
      <c r="AF2312" t="n">
        <v>10060</v>
      </c>
      <c r="AG2312" t="n">
        <v>78</v>
      </c>
      <c r="AH2312" t="inlineStr">
        <is>
          <t>PT. GLORIENTA P.H - PPN (PDG)</t>
        </is>
      </c>
      <c r="AI2312" t="n">
        <v>83</v>
      </c>
      <c r="AJ2312" t="inlineStr">
        <is>
          <t>IMPLORA</t>
        </is>
      </c>
      <c r="AK2312" t="n">
        <v>21</v>
      </c>
      <c r="AL2312" t="inlineStr">
        <is>
          <t>Miss Glam Damar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IMPLORA</t>
        </is>
      </c>
      <c r="B2313" s="2">
        <f>"8993883800299"</f>
        <v/>
      </c>
      <c r="C2313" t="inlineStr">
        <is>
          <t>IMPLORA Lip Moist Serum 24ml</t>
        </is>
      </c>
      <c r="D2313" t="inlineStr">
        <is>
          <t>Miss Glam Damar</t>
        </is>
      </c>
      <c r="E2313" t="n">
        <v>13</v>
      </c>
      <c r="F2313" t="n">
        <v>0.25</v>
      </c>
      <c r="G2313" t="n">
        <v>4</v>
      </c>
      <c r="H2313" t="n">
        <v>3</v>
      </c>
      <c r="I2313" t="n">
        <v>11</v>
      </c>
      <c r="J2313" t="n">
        <v>3</v>
      </c>
      <c r="K2313" t="n">
        <v>0</v>
      </c>
      <c r="L2313" t="n">
        <v>13226</v>
      </c>
      <c r="M2313" t="n">
        <v>17000</v>
      </c>
      <c r="N2313" t="n">
        <v>91</v>
      </c>
      <c r="O2313" t="n">
        <v>0.91</v>
      </c>
      <c r="P2313" t="n">
        <v>0</v>
      </c>
      <c r="Q2313" t="n">
        <v>0.25</v>
      </c>
      <c r="R2313" t="n">
        <v>4</v>
      </c>
      <c r="S2313" t="n">
        <v>4250</v>
      </c>
      <c r="T2313" t="n">
        <v>44</v>
      </c>
      <c r="U2313" t="n">
        <v>45</v>
      </c>
      <c r="V2313" t="n">
        <v>30</v>
      </c>
      <c r="W2313" t="n">
        <v>8</v>
      </c>
      <c r="X2313" t="n">
        <v>52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10060</v>
      </c>
      <c r="AG2313" t="n">
        <v>78</v>
      </c>
      <c r="AH2313" t="inlineStr">
        <is>
          <t>PT. GLORIENTA P.H - PPN (PDG)</t>
        </is>
      </c>
      <c r="AI2313" t="n">
        <v>83</v>
      </c>
      <c r="AJ2313" t="inlineStr">
        <is>
          <t>IMPLORA</t>
        </is>
      </c>
      <c r="AK2313" t="n">
        <v>21</v>
      </c>
      <c r="AL2313" t="inlineStr">
        <is>
          <t>Miss Glam Damar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IMPLORA</t>
        </is>
      </c>
      <c r="B2314" s="2">
        <f>"1212130120001"</f>
        <v/>
      </c>
      <c r="C2314" t="inlineStr">
        <is>
          <t>IMPLORA Lip Velvet Attractive 4.6g</t>
        </is>
      </c>
      <c r="D2314" t="inlineStr">
        <is>
          <t>Miss Glam Damar</t>
        </is>
      </c>
      <c r="E2314" t="n">
        <v>4</v>
      </c>
      <c r="F2314" t="n">
        <v>0.1274</v>
      </c>
      <c r="G2314" t="n">
        <v>1.82</v>
      </c>
      <c r="H2314" t="n">
        <v>3</v>
      </c>
      <c r="I2314" t="n">
        <v>11</v>
      </c>
      <c r="J2314" t="n">
        <v>3</v>
      </c>
      <c r="K2314" t="n">
        <v>0</v>
      </c>
      <c r="L2314" t="n">
        <v>15397</v>
      </c>
      <c r="M2314" t="n">
        <v>20000</v>
      </c>
      <c r="N2314" t="n">
        <v>91</v>
      </c>
      <c r="O2314" t="n">
        <v>0.91</v>
      </c>
      <c r="P2314" t="n">
        <v>1</v>
      </c>
      <c r="Q2314" t="n">
        <v>0.08</v>
      </c>
      <c r="R2314" t="n">
        <v>2</v>
      </c>
      <c r="S2314" t="n">
        <v>2548</v>
      </c>
      <c r="T2314" t="n">
        <v>20</v>
      </c>
      <c r="U2314" t="n">
        <v>21</v>
      </c>
      <c r="V2314" t="n">
        <v>30</v>
      </c>
      <c r="W2314" t="n">
        <v>4</v>
      </c>
      <c r="X2314" t="n">
        <v>31.39717425431711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10060</v>
      </c>
      <c r="AG2314" t="n">
        <v>78</v>
      </c>
      <c r="AH2314" t="inlineStr">
        <is>
          <t>PT. GLORIENTA P.H - PPN (PDG)</t>
        </is>
      </c>
      <c r="AI2314" t="n">
        <v>83</v>
      </c>
      <c r="AJ2314" t="inlineStr">
        <is>
          <t>IMPLORA</t>
        </is>
      </c>
      <c r="AK2314" t="n">
        <v>21</v>
      </c>
      <c r="AL2314" t="inlineStr">
        <is>
          <t>Miss Glam Damar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IMPLORA</t>
        </is>
      </c>
      <c r="B2315" s="2">
        <f>"1212140524004"</f>
        <v/>
      </c>
      <c r="C2315" t="inlineStr">
        <is>
          <t>IMPLORA Lip Velvet Extrovert 4.6g</t>
        </is>
      </c>
      <c r="D2315" t="inlineStr">
        <is>
          <t>Miss Glam Damar</t>
        </is>
      </c>
      <c r="E2315" t="n">
        <v>1</v>
      </c>
      <c r="F2315" t="n">
        <v>0.0182</v>
      </c>
      <c r="G2315" t="n">
        <v>0.91</v>
      </c>
      <c r="H2315" t="n">
        <v>3</v>
      </c>
      <c r="I2315" t="n">
        <v>11</v>
      </c>
      <c r="J2315" t="n">
        <v>3</v>
      </c>
      <c r="K2315" t="n">
        <v>0</v>
      </c>
      <c r="L2315" t="n">
        <v>15523</v>
      </c>
      <c r="M2315" t="n">
        <v>20000</v>
      </c>
      <c r="N2315" t="n">
        <v>91</v>
      </c>
      <c r="O2315" t="n">
        <v>0.91</v>
      </c>
      <c r="P2315" t="n">
        <v>1</v>
      </c>
      <c r="Q2315" t="n">
        <v>0.02</v>
      </c>
      <c r="R2315" t="n">
        <v>1</v>
      </c>
      <c r="S2315" t="n">
        <v>364</v>
      </c>
      <c r="T2315" t="n">
        <v>10</v>
      </c>
      <c r="U2315" t="n">
        <v>11</v>
      </c>
      <c r="V2315" t="n">
        <v>30</v>
      </c>
      <c r="W2315" t="n">
        <v>1</v>
      </c>
      <c r="X2315" t="n">
        <v>54.94505494505494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10060</v>
      </c>
      <c r="AG2315" t="n">
        <v>78</v>
      </c>
      <c r="AH2315" t="inlineStr">
        <is>
          <t>PT. GLORIENTA P.H - PPN (PDG)</t>
        </is>
      </c>
      <c r="AI2315" t="n">
        <v>83</v>
      </c>
      <c r="AJ2315" t="inlineStr">
        <is>
          <t>IMPLORA</t>
        </is>
      </c>
      <c r="AK2315" t="n">
        <v>21</v>
      </c>
      <c r="AL2315" t="inlineStr">
        <is>
          <t>Miss Glam Damar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IMPLORA</t>
        </is>
      </c>
      <c r="B2316" s="2">
        <f>"1212160815007"</f>
        <v/>
      </c>
      <c r="C2316" t="inlineStr">
        <is>
          <t>IMPLORA Lip Velvet Honest 4.6g</t>
        </is>
      </c>
      <c r="D2316" t="inlineStr">
        <is>
          <t>Miss Glam Damar</t>
        </is>
      </c>
      <c r="E2316" t="n">
        <v>2</v>
      </c>
      <c r="F2316" t="n">
        <v>0.06370000000000001</v>
      </c>
      <c r="G2316" t="n">
        <v>0.91</v>
      </c>
      <c r="H2316" t="n">
        <v>3</v>
      </c>
      <c r="I2316" t="n">
        <v>11</v>
      </c>
      <c r="J2316" t="n">
        <v>3</v>
      </c>
      <c r="K2316" t="n">
        <v>0</v>
      </c>
      <c r="L2316" t="n">
        <v>15404</v>
      </c>
      <c r="M2316" t="n">
        <v>20000</v>
      </c>
      <c r="N2316" t="n">
        <v>91</v>
      </c>
      <c r="O2316" t="n">
        <v>0.91</v>
      </c>
      <c r="P2316" t="n">
        <v>1</v>
      </c>
      <c r="Q2316" t="n">
        <v>0.02</v>
      </c>
      <c r="R2316" t="n">
        <v>1</v>
      </c>
      <c r="S2316" t="n">
        <v>1274</v>
      </c>
      <c r="T2316" t="n">
        <v>10</v>
      </c>
      <c r="U2316" t="n">
        <v>11</v>
      </c>
      <c r="V2316" t="n">
        <v>30</v>
      </c>
      <c r="W2316" t="n">
        <v>2</v>
      </c>
      <c r="X2316" t="n">
        <v>31.39717425431711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10060</v>
      </c>
      <c r="AG2316" t="n">
        <v>78</v>
      </c>
      <c r="AH2316" t="inlineStr">
        <is>
          <t>PT. GLORIENTA P.H - PPN (PDG)</t>
        </is>
      </c>
      <c r="AI2316" t="n">
        <v>83</v>
      </c>
      <c r="AJ2316" t="inlineStr">
        <is>
          <t>IMPLORA</t>
        </is>
      </c>
      <c r="AK2316" t="n">
        <v>21</v>
      </c>
      <c r="AL2316" t="inlineStr">
        <is>
          <t>Miss Glam Damar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IMPLORA</t>
        </is>
      </c>
      <c r="B2317" s="2">
        <f>"1212171401008"</f>
        <v/>
      </c>
      <c r="C2317" t="inlineStr">
        <is>
          <t>IMPLORA Lip Velvet Naive 4.6g</t>
        </is>
      </c>
      <c r="D2317" t="inlineStr">
        <is>
          <t>Miss Glam Damar</t>
        </is>
      </c>
      <c r="E2317" t="n">
        <v>0</v>
      </c>
      <c r="F2317" t="n">
        <v>0.1729</v>
      </c>
      <c r="G2317" t="n">
        <v>1.82</v>
      </c>
      <c r="H2317" t="n">
        <v>3</v>
      </c>
      <c r="I2317" t="n">
        <v>11</v>
      </c>
      <c r="J2317" t="n">
        <v>3</v>
      </c>
      <c r="K2317" t="n">
        <v>0</v>
      </c>
      <c r="L2317" t="n">
        <v>15365</v>
      </c>
      <c r="M2317" t="n">
        <v>20000</v>
      </c>
      <c r="N2317" t="n">
        <v>91</v>
      </c>
      <c r="O2317" t="n">
        <v>0.91</v>
      </c>
      <c r="P2317" t="n">
        <v>1</v>
      </c>
      <c r="Q2317" t="n">
        <v>0.02</v>
      </c>
      <c r="R2317" t="n">
        <v>1</v>
      </c>
      <c r="S2317" t="n">
        <v>3458</v>
      </c>
      <c r="T2317" t="n">
        <v>20</v>
      </c>
      <c r="U2317" t="n">
        <v>21</v>
      </c>
      <c r="V2317" t="n">
        <v>30</v>
      </c>
      <c r="W2317" t="n">
        <v>6</v>
      </c>
      <c r="X2317" t="n">
        <v>0</v>
      </c>
      <c r="Y2317" t="n">
        <v>1</v>
      </c>
      <c r="Z2317" t="n">
        <v>6</v>
      </c>
      <c r="AA2317" t="n">
        <v>2</v>
      </c>
      <c r="AB2317" t="n">
        <v>4</v>
      </c>
      <c r="AC2317" t="n">
        <v>4</v>
      </c>
      <c r="AD2317" t="n">
        <v>30730</v>
      </c>
      <c r="AE2317" t="n">
        <v>61460</v>
      </c>
      <c r="AF2317" t="n">
        <v>10060</v>
      </c>
      <c r="AG2317" t="n">
        <v>78</v>
      </c>
      <c r="AH2317" t="inlineStr">
        <is>
          <t>PT. GLORIENTA P.H - PPN (PDG)</t>
        </is>
      </c>
      <c r="AI2317" t="n">
        <v>83</v>
      </c>
      <c r="AJ2317" t="inlineStr">
        <is>
          <t>IMPLORA</t>
        </is>
      </c>
      <c r="AK2317" t="n">
        <v>21</v>
      </c>
      <c r="AL2317" t="inlineStr">
        <is>
          <t>Miss Glam Damar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IMPLORA</t>
        </is>
      </c>
      <c r="B2318" s="2">
        <f>"1219011202009"</f>
        <v/>
      </c>
      <c r="C2318" t="inlineStr">
        <is>
          <t>IMPLORA Luminous Brightening Serum 20ml</t>
        </is>
      </c>
      <c r="D2318" t="inlineStr">
        <is>
          <t>Miss Glam Damar</t>
        </is>
      </c>
      <c r="E2318" t="n">
        <v>3</v>
      </c>
      <c r="F2318" t="n">
        <v>0.3367</v>
      </c>
      <c r="G2318" t="n">
        <v>1.82</v>
      </c>
      <c r="H2318" t="n">
        <v>3</v>
      </c>
      <c r="I2318" t="n">
        <v>11</v>
      </c>
      <c r="J2318" t="n">
        <v>3</v>
      </c>
      <c r="K2318" t="n">
        <v>0</v>
      </c>
      <c r="L2318" t="n">
        <v>16750</v>
      </c>
      <c r="M2318" t="n">
        <v>29000</v>
      </c>
      <c r="N2318" t="n">
        <v>91</v>
      </c>
      <c r="O2318" t="n">
        <v>0.91</v>
      </c>
      <c r="P2318" t="n">
        <v>1</v>
      </c>
      <c r="Q2318" t="n">
        <v>0.15</v>
      </c>
      <c r="R2318" t="n">
        <v>2</v>
      </c>
      <c r="S2318" t="n">
        <v>9764.299999999999</v>
      </c>
      <c r="T2318" t="n">
        <v>20</v>
      </c>
      <c r="U2318" t="n">
        <v>22</v>
      </c>
      <c r="V2318" t="n">
        <v>30</v>
      </c>
      <c r="W2318" t="n">
        <v>11</v>
      </c>
      <c r="X2318" t="n">
        <v>8.91000891000891</v>
      </c>
      <c r="Y2318" t="n">
        <v>1</v>
      </c>
      <c r="Z2318" t="n">
        <v>8</v>
      </c>
      <c r="AA2318" t="n">
        <v>1</v>
      </c>
      <c r="AB2318" t="n">
        <v>7</v>
      </c>
      <c r="AC2318" t="n">
        <v>7</v>
      </c>
      <c r="AD2318" t="n">
        <v>16750</v>
      </c>
      <c r="AE2318" t="n">
        <v>117250</v>
      </c>
      <c r="AF2318" t="n">
        <v>10060</v>
      </c>
      <c r="AG2318" t="n">
        <v>78</v>
      </c>
      <c r="AH2318" t="inlineStr">
        <is>
          <t>PT. GLORIENTA P.H - PPN (PDG)</t>
        </is>
      </c>
      <c r="AI2318" t="n">
        <v>83</v>
      </c>
      <c r="AJ2318" t="inlineStr">
        <is>
          <t>IMPLORA</t>
        </is>
      </c>
      <c r="AK2318" t="n">
        <v>21</v>
      </c>
      <c r="AL2318" t="inlineStr">
        <is>
          <t>Miss Glam Damar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IMPLORA</t>
        </is>
      </c>
      <c r="B2319" s="2">
        <f>"1411272315034"</f>
        <v/>
      </c>
      <c r="C2319" t="inlineStr">
        <is>
          <t>IMPLORA Nail Polis Wonder Biru Tosca 8ml</t>
        </is>
      </c>
      <c r="D2319" t="inlineStr">
        <is>
          <t>Miss Glam Damar</t>
        </is>
      </c>
      <c r="E2319" t="n">
        <v>0</v>
      </c>
      <c r="F2319" t="n">
        <v>0.06</v>
      </c>
      <c r="G2319" t="n">
        <v>1</v>
      </c>
      <c r="H2319" t="n">
        <v>3</v>
      </c>
      <c r="I2319" t="n">
        <v>11</v>
      </c>
      <c r="J2319" t="n">
        <v>3</v>
      </c>
      <c r="K2319" t="n">
        <v>0</v>
      </c>
      <c r="L2319" t="n">
        <v>3449</v>
      </c>
      <c r="M2319" t="n">
        <v>5000</v>
      </c>
      <c r="N2319" t="n">
        <v>91</v>
      </c>
      <c r="O2319" t="n">
        <v>0.91</v>
      </c>
      <c r="P2319" t="n">
        <v>0</v>
      </c>
      <c r="Q2319" t="n">
        <v>0.06</v>
      </c>
      <c r="R2319" t="n">
        <v>1</v>
      </c>
      <c r="S2319" t="n">
        <v>300</v>
      </c>
      <c r="T2319" t="n">
        <v>11</v>
      </c>
      <c r="U2319" t="n">
        <v>12</v>
      </c>
      <c r="V2319" t="n">
        <v>30</v>
      </c>
      <c r="W2319" t="n">
        <v>2</v>
      </c>
      <c r="X2319" t="n">
        <v>0</v>
      </c>
      <c r="Y2319" t="n">
        <v>1</v>
      </c>
      <c r="Z2319" t="n">
        <v>2</v>
      </c>
      <c r="AA2319" t="n">
        <v>1</v>
      </c>
      <c r="AB2319" t="n">
        <v>1</v>
      </c>
      <c r="AC2319" t="n">
        <v>3</v>
      </c>
      <c r="AD2319" t="n">
        <v>3449</v>
      </c>
      <c r="AE2319" t="n">
        <v>10347</v>
      </c>
      <c r="AF2319" t="n">
        <v>10060</v>
      </c>
      <c r="AG2319" t="n">
        <v>78</v>
      </c>
      <c r="AH2319" t="inlineStr">
        <is>
          <t>PT. GLORIENTA P.H - PPN (PDG)</t>
        </is>
      </c>
      <c r="AI2319" t="n">
        <v>83</v>
      </c>
      <c r="AJ2319" t="inlineStr">
        <is>
          <t>IMPLORA</t>
        </is>
      </c>
      <c r="AK2319" t="n">
        <v>21</v>
      </c>
      <c r="AL2319" t="inlineStr">
        <is>
          <t>Miss Glam Damar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IMPLORA</t>
        </is>
      </c>
      <c r="B2320" s="2">
        <f>"1411320312008"</f>
        <v/>
      </c>
      <c r="C2320" t="inlineStr">
        <is>
          <t>IMPLORA Nail Polish Clear Bening</t>
        </is>
      </c>
      <c r="D2320" t="inlineStr">
        <is>
          <t>Miss Glam Damar</t>
        </is>
      </c>
      <c r="E2320" t="n">
        <v>32</v>
      </c>
      <c r="F2320" t="n">
        <v>1.69</v>
      </c>
      <c r="G2320" t="n">
        <v>6</v>
      </c>
      <c r="H2320" t="n">
        <v>3</v>
      </c>
      <c r="I2320" t="n">
        <v>11</v>
      </c>
      <c r="J2320" t="n">
        <v>6</v>
      </c>
      <c r="K2320" t="n">
        <v>0</v>
      </c>
      <c r="L2320" t="n">
        <v>3685</v>
      </c>
      <c r="M2320" t="n">
        <v>5000</v>
      </c>
      <c r="N2320" t="n">
        <v>91</v>
      </c>
      <c r="O2320" t="n">
        <v>0.91</v>
      </c>
      <c r="P2320" t="n">
        <v>0</v>
      </c>
      <c r="Q2320" t="n">
        <v>1.69</v>
      </c>
      <c r="R2320" t="n">
        <v>6</v>
      </c>
      <c r="S2320" t="n">
        <v>8450</v>
      </c>
      <c r="T2320" t="n">
        <v>61</v>
      </c>
      <c r="U2320" t="n">
        <v>67</v>
      </c>
      <c r="V2320" t="n">
        <v>30</v>
      </c>
      <c r="W2320" t="n">
        <v>51</v>
      </c>
      <c r="X2320" t="n">
        <v>18.93491124260355</v>
      </c>
      <c r="Y2320" t="n">
        <v>1</v>
      </c>
      <c r="Z2320" t="n">
        <v>19</v>
      </c>
      <c r="AA2320" t="n">
        <v>0</v>
      </c>
      <c r="AB2320" t="n">
        <v>19</v>
      </c>
      <c r="AC2320" t="n">
        <v>19</v>
      </c>
      <c r="AD2320" t="n">
        <v>0</v>
      </c>
      <c r="AE2320" t="n">
        <v>70015</v>
      </c>
      <c r="AF2320" t="n">
        <v>10060</v>
      </c>
      <c r="AG2320" t="n">
        <v>78</v>
      </c>
      <c r="AH2320" t="inlineStr">
        <is>
          <t>PT. GLORIENTA P.H - PPN (PDG)</t>
        </is>
      </c>
      <c r="AI2320" t="n">
        <v>83</v>
      </c>
      <c r="AJ2320" t="inlineStr">
        <is>
          <t>IMPLORA</t>
        </is>
      </c>
      <c r="AK2320" t="n">
        <v>21</v>
      </c>
      <c r="AL2320" t="inlineStr">
        <is>
          <t>Miss Glam Damar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IMPLORA</t>
        </is>
      </c>
      <c r="B2321" s="2">
        <f>"1411181805015"</f>
        <v/>
      </c>
      <c r="C2321" t="inlineStr">
        <is>
          <t>IMPLORA Nail Polish Red 01</t>
        </is>
      </c>
      <c r="D2321" t="inlineStr">
        <is>
          <t>Miss Glam Damar</t>
        </is>
      </c>
      <c r="E2321" t="n">
        <v>19</v>
      </c>
      <c r="F2321" t="n">
        <v>0.182</v>
      </c>
      <c r="G2321" t="n">
        <v>1.82</v>
      </c>
      <c r="H2321" t="n">
        <v>3</v>
      </c>
      <c r="I2321" t="n">
        <v>11</v>
      </c>
      <c r="J2321" t="n">
        <v>3</v>
      </c>
      <c r="K2321" t="n">
        <v>0</v>
      </c>
      <c r="L2321" t="n">
        <v>3686</v>
      </c>
      <c r="M2321" t="n">
        <v>5000</v>
      </c>
      <c r="N2321" t="n">
        <v>91</v>
      </c>
      <c r="O2321" t="n">
        <v>0.91</v>
      </c>
      <c r="P2321" t="n">
        <v>1</v>
      </c>
      <c r="Q2321" t="n">
        <v>0.19</v>
      </c>
      <c r="R2321" t="n">
        <v>2</v>
      </c>
      <c r="S2321" t="n">
        <v>910.0000000000001</v>
      </c>
      <c r="T2321" t="n">
        <v>20</v>
      </c>
      <c r="U2321" t="n">
        <v>21</v>
      </c>
      <c r="V2321" t="n">
        <v>30</v>
      </c>
      <c r="W2321" t="n">
        <v>6</v>
      </c>
      <c r="X2321" t="n">
        <v>104.3956043956044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10060</v>
      </c>
      <c r="AG2321" t="n">
        <v>78</v>
      </c>
      <c r="AH2321" t="inlineStr">
        <is>
          <t>PT. GLORIENTA P.H - PPN (PDG)</t>
        </is>
      </c>
      <c r="AI2321" t="n">
        <v>83</v>
      </c>
      <c r="AJ2321" t="inlineStr">
        <is>
          <t>IMPLORA</t>
        </is>
      </c>
      <c r="AK2321" t="n">
        <v>21</v>
      </c>
      <c r="AL2321" t="inlineStr">
        <is>
          <t>Miss Glam Damar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IMPLORA</t>
        </is>
      </c>
      <c r="B2322" s="2">
        <f>"1411191805029"</f>
        <v/>
      </c>
      <c r="C2322" t="inlineStr">
        <is>
          <t>IMPLORA Nail Polish Red 02</t>
        </is>
      </c>
      <c r="D2322" t="inlineStr">
        <is>
          <t>Miss Glam Damar</t>
        </is>
      </c>
      <c r="E2322" t="n">
        <v>0</v>
      </c>
      <c r="F2322" t="n">
        <v>0.06</v>
      </c>
      <c r="G2322" t="n">
        <v>2</v>
      </c>
      <c r="H2322" t="n">
        <v>3</v>
      </c>
      <c r="I2322" t="n">
        <v>11</v>
      </c>
      <c r="J2322" t="n">
        <v>3</v>
      </c>
      <c r="K2322" t="n">
        <v>0</v>
      </c>
      <c r="L2322" t="n">
        <v>3686</v>
      </c>
      <c r="M2322" t="n">
        <v>5000</v>
      </c>
      <c r="N2322" t="n">
        <v>91</v>
      </c>
      <c r="O2322" t="n">
        <v>0.91</v>
      </c>
      <c r="P2322" t="n">
        <v>0</v>
      </c>
      <c r="Q2322" t="n">
        <v>0.06</v>
      </c>
      <c r="R2322" t="n">
        <v>2</v>
      </c>
      <c r="S2322" t="n">
        <v>300</v>
      </c>
      <c r="T2322" t="n">
        <v>22</v>
      </c>
      <c r="U2322" t="n">
        <v>23</v>
      </c>
      <c r="V2322" t="n">
        <v>30</v>
      </c>
      <c r="W2322" t="n">
        <v>2</v>
      </c>
      <c r="X2322" t="n">
        <v>0</v>
      </c>
      <c r="Y2322" t="n">
        <v>1</v>
      </c>
      <c r="Z2322" t="n">
        <v>2</v>
      </c>
      <c r="AA2322" t="n">
        <v>1</v>
      </c>
      <c r="AB2322" t="n">
        <v>1</v>
      </c>
      <c r="AC2322" t="n">
        <v>3</v>
      </c>
      <c r="AD2322" t="n">
        <v>3686</v>
      </c>
      <c r="AE2322" t="n">
        <v>11058</v>
      </c>
      <c r="AF2322" t="n">
        <v>10060</v>
      </c>
      <c r="AG2322" t="n">
        <v>78</v>
      </c>
      <c r="AH2322" t="inlineStr">
        <is>
          <t>PT. GLORIENTA P.H - PPN (PDG)</t>
        </is>
      </c>
      <c r="AI2322" t="n">
        <v>83</v>
      </c>
      <c r="AJ2322" t="inlineStr">
        <is>
          <t>IMPLORA</t>
        </is>
      </c>
      <c r="AK2322" t="n">
        <v>21</v>
      </c>
      <c r="AL2322" t="inlineStr">
        <is>
          <t>Miss Glam Damar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IMPLORA</t>
        </is>
      </c>
      <c r="B2323" s="2">
        <f>"1411292315052"</f>
        <v/>
      </c>
      <c r="C2323" t="inlineStr">
        <is>
          <t>IMPLORA Nail Polish Wonder Green</t>
        </is>
      </c>
      <c r="D2323" t="inlineStr">
        <is>
          <t>Miss Glam Damar</t>
        </is>
      </c>
      <c r="E2323" t="n">
        <v>5</v>
      </c>
      <c r="F2323" t="n">
        <v>0.02</v>
      </c>
      <c r="G2323" t="n">
        <v>1</v>
      </c>
      <c r="H2323" t="n">
        <v>3</v>
      </c>
      <c r="I2323" t="n">
        <v>11</v>
      </c>
      <c r="J2323" t="n">
        <v>3</v>
      </c>
      <c r="K2323" t="n">
        <v>0</v>
      </c>
      <c r="L2323" t="n">
        <v>3449</v>
      </c>
      <c r="M2323" t="n">
        <v>5000</v>
      </c>
      <c r="N2323" t="n">
        <v>91</v>
      </c>
      <c r="O2323" t="n">
        <v>0.91</v>
      </c>
      <c r="P2323" t="n">
        <v>0</v>
      </c>
      <c r="Q2323" t="n">
        <v>0.02</v>
      </c>
      <c r="R2323" t="n">
        <v>1</v>
      </c>
      <c r="S2323" t="n">
        <v>100</v>
      </c>
      <c r="T2323" t="n">
        <v>11</v>
      </c>
      <c r="U2323" t="n">
        <v>12</v>
      </c>
      <c r="V2323" t="n">
        <v>30</v>
      </c>
      <c r="W2323" t="n">
        <v>1</v>
      </c>
      <c r="X2323" t="n">
        <v>250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10060</v>
      </c>
      <c r="AG2323" t="n">
        <v>78</v>
      </c>
      <c r="AH2323" t="inlineStr">
        <is>
          <t>PT. GLORIENTA P.H - PPN (PDG)</t>
        </is>
      </c>
      <c r="AI2323" t="n">
        <v>83</v>
      </c>
      <c r="AJ2323" t="inlineStr">
        <is>
          <t>IMPLORA</t>
        </is>
      </c>
      <c r="AK2323" t="n">
        <v>21</v>
      </c>
      <c r="AL2323" t="inlineStr">
        <is>
          <t>Miss Glam Damar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IMPLORA</t>
        </is>
      </c>
      <c r="B2324" s="2">
        <f>"1411282315048"</f>
        <v/>
      </c>
      <c r="C2324" t="inlineStr">
        <is>
          <t>IMPLORA Nail Polish Wonder Kuning 8ml</t>
        </is>
      </c>
      <c r="D2324" t="inlineStr">
        <is>
          <t>Miss Glam Damar</t>
        </is>
      </c>
      <c r="E2324" t="n">
        <v>31</v>
      </c>
      <c r="F2324" t="n">
        <v>0.1729</v>
      </c>
      <c r="G2324" t="n">
        <v>0.91</v>
      </c>
      <c r="H2324" t="n">
        <v>3</v>
      </c>
      <c r="I2324" t="n">
        <v>11</v>
      </c>
      <c r="J2324" t="n">
        <v>3</v>
      </c>
      <c r="K2324" t="n">
        <v>0</v>
      </c>
      <c r="L2324" t="n">
        <v>3449</v>
      </c>
      <c r="M2324" t="n">
        <v>5000</v>
      </c>
      <c r="N2324" t="n">
        <v>91</v>
      </c>
      <c r="O2324" t="n">
        <v>0.91</v>
      </c>
      <c r="P2324" t="n">
        <v>1</v>
      </c>
      <c r="Q2324" t="n">
        <v>0.02</v>
      </c>
      <c r="R2324" t="n">
        <v>1</v>
      </c>
      <c r="S2324" t="n">
        <v>864.5</v>
      </c>
      <c r="T2324" t="n">
        <v>10</v>
      </c>
      <c r="U2324" t="n">
        <v>11</v>
      </c>
      <c r="V2324" t="n">
        <v>30</v>
      </c>
      <c r="W2324" t="n">
        <v>6</v>
      </c>
      <c r="X2324" t="n">
        <v>179.2943898207056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10060</v>
      </c>
      <c r="AG2324" t="n">
        <v>78</v>
      </c>
      <c r="AH2324" t="inlineStr">
        <is>
          <t>PT. GLORIENTA P.H - PPN (PDG)</t>
        </is>
      </c>
      <c r="AI2324" t="n">
        <v>83</v>
      </c>
      <c r="AJ2324" t="inlineStr">
        <is>
          <t>IMPLORA</t>
        </is>
      </c>
      <c r="AK2324" t="n">
        <v>21</v>
      </c>
      <c r="AL2324" t="inlineStr">
        <is>
          <t>Miss Glam Damar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IMPLORA</t>
        </is>
      </c>
      <c r="B2325" s="2">
        <f>"1411111421018"</f>
        <v/>
      </c>
      <c r="C2325" t="inlineStr">
        <is>
          <t>IMPLORA Nudes Nail Polish 01</t>
        </is>
      </c>
      <c r="D2325" t="inlineStr">
        <is>
          <t>Miss Glam Damar</t>
        </is>
      </c>
      <c r="E2325" t="n">
        <v>26</v>
      </c>
      <c r="F2325" t="n">
        <v>0.4823000000000001</v>
      </c>
      <c r="G2325" t="n">
        <v>1.82</v>
      </c>
      <c r="H2325" t="n">
        <v>3</v>
      </c>
      <c r="I2325" t="n">
        <v>11</v>
      </c>
      <c r="J2325" t="n">
        <v>3</v>
      </c>
      <c r="K2325" t="n">
        <v>0</v>
      </c>
      <c r="L2325" t="n">
        <v>3685</v>
      </c>
      <c r="M2325" t="n">
        <v>5000</v>
      </c>
      <c r="N2325" t="n">
        <v>91</v>
      </c>
      <c r="O2325" t="n">
        <v>0.91</v>
      </c>
      <c r="P2325" t="n">
        <v>1</v>
      </c>
      <c r="Q2325" t="n">
        <v>0.17</v>
      </c>
      <c r="R2325" t="n">
        <v>3</v>
      </c>
      <c r="S2325" t="n">
        <v>2411.5</v>
      </c>
      <c r="T2325" t="n">
        <v>19</v>
      </c>
      <c r="U2325" t="n">
        <v>21</v>
      </c>
      <c r="V2325" t="n">
        <v>30</v>
      </c>
      <c r="W2325" t="n">
        <v>15</v>
      </c>
      <c r="X2325" t="n">
        <v>53.90835579514824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10060</v>
      </c>
      <c r="AG2325" t="n">
        <v>78</v>
      </c>
      <c r="AH2325" t="inlineStr">
        <is>
          <t>PT. GLORIENTA P.H - PPN (PDG)</t>
        </is>
      </c>
      <c r="AI2325" t="n">
        <v>83</v>
      </c>
      <c r="AJ2325" t="inlineStr">
        <is>
          <t>IMPLORA</t>
        </is>
      </c>
      <c r="AK2325" t="n">
        <v>21</v>
      </c>
      <c r="AL2325" t="inlineStr">
        <is>
          <t>Miss Glam Damar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IMPLORA</t>
        </is>
      </c>
      <c r="B2326" s="2">
        <f>"1411121421022"</f>
        <v/>
      </c>
      <c r="C2326" t="inlineStr">
        <is>
          <t>IMPLORA Nudes Nail Polish 02</t>
        </is>
      </c>
      <c r="D2326" t="inlineStr">
        <is>
          <t>Miss Glam Damar</t>
        </is>
      </c>
      <c r="E2326" t="n">
        <v>19</v>
      </c>
      <c r="F2326" t="n">
        <v>0.4823000000000001</v>
      </c>
      <c r="G2326" t="n">
        <v>3.64</v>
      </c>
      <c r="H2326" t="n">
        <v>3</v>
      </c>
      <c r="I2326" t="n">
        <v>11</v>
      </c>
      <c r="J2326" t="n">
        <v>3</v>
      </c>
      <c r="K2326" t="n">
        <v>0</v>
      </c>
      <c r="L2326" t="n">
        <v>3685</v>
      </c>
      <c r="M2326" t="n">
        <v>5000</v>
      </c>
      <c r="N2326" t="n">
        <v>91</v>
      </c>
      <c r="O2326" t="n">
        <v>0.91</v>
      </c>
      <c r="P2326" t="n">
        <v>1</v>
      </c>
      <c r="Q2326" t="n">
        <v>0.29</v>
      </c>
      <c r="R2326" t="n">
        <v>5</v>
      </c>
      <c r="S2326" t="n">
        <v>2411.5</v>
      </c>
      <c r="T2326" t="n">
        <v>39</v>
      </c>
      <c r="U2326" t="n">
        <v>41</v>
      </c>
      <c r="V2326" t="n">
        <v>30</v>
      </c>
      <c r="W2326" t="n">
        <v>15</v>
      </c>
      <c r="X2326" t="n">
        <v>39.39456769645449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10060</v>
      </c>
      <c r="AG2326" t="n">
        <v>78</v>
      </c>
      <c r="AH2326" t="inlineStr">
        <is>
          <t>PT. GLORIENTA P.H - PPN (PDG)</t>
        </is>
      </c>
      <c r="AI2326" t="n">
        <v>83</v>
      </c>
      <c r="AJ2326" t="inlineStr">
        <is>
          <t>IMPLORA</t>
        </is>
      </c>
      <c r="AK2326" t="n">
        <v>21</v>
      </c>
      <c r="AL2326" t="inlineStr">
        <is>
          <t>Miss Glam Damar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IMPLORA</t>
        </is>
      </c>
      <c r="B2327" s="2">
        <f>"1411131421036"</f>
        <v/>
      </c>
      <c r="C2327" t="inlineStr">
        <is>
          <t>IMPLORA Nudes Nail Polish 03</t>
        </is>
      </c>
      <c r="D2327" t="inlineStr">
        <is>
          <t>Miss Glam Damar</t>
        </is>
      </c>
      <c r="E2327" t="n">
        <v>21</v>
      </c>
      <c r="F2327" t="n">
        <v>0.5096000000000001</v>
      </c>
      <c r="G2327" t="n">
        <v>2.73</v>
      </c>
      <c r="H2327" t="n">
        <v>3</v>
      </c>
      <c r="I2327" t="n">
        <v>11</v>
      </c>
      <c r="J2327" t="n">
        <v>3</v>
      </c>
      <c r="K2327" t="n">
        <v>0</v>
      </c>
      <c r="L2327" t="n">
        <v>3685</v>
      </c>
      <c r="M2327" t="n">
        <v>5000</v>
      </c>
      <c r="N2327" t="n">
        <v>91</v>
      </c>
      <c r="O2327" t="n">
        <v>0.91</v>
      </c>
      <c r="P2327" t="n">
        <v>1</v>
      </c>
      <c r="Q2327" t="n">
        <v>0.25</v>
      </c>
      <c r="R2327" t="n">
        <v>1</v>
      </c>
      <c r="S2327" t="n">
        <v>2548</v>
      </c>
      <c r="T2327" t="n">
        <v>29</v>
      </c>
      <c r="U2327" t="n">
        <v>31</v>
      </c>
      <c r="V2327" t="n">
        <v>30</v>
      </c>
      <c r="W2327" t="n">
        <v>16</v>
      </c>
      <c r="X2327" t="n">
        <v>41.2087912087912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10060</v>
      </c>
      <c r="AG2327" t="n">
        <v>78</v>
      </c>
      <c r="AH2327" t="inlineStr">
        <is>
          <t>PT. GLORIENTA P.H - PPN (PDG)</t>
        </is>
      </c>
      <c r="AI2327" t="n">
        <v>83</v>
      </c>
      <c r="AJ2327" t="inlineStr">
        <is>
          <t>IMPLORA</t>
        </is>
      </c>
      <c r="AK2327" t="n">
        <v>21</v>
      </c>
      <c r="AL2327" t="inlineStr">
        <is>
          <t>Miss Glam Damar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IMPLORA</t>
        </is>
      </c>
      <c r="B2328" s="2">
        <f>"1411141421040"</f>
        <v/>
      </c>
      <c r="C2328" t="inlineStr">
        <is>
          <t>IMPLORA Nudes Nail Polish 04</t>
        </is>
      </c>
      <c r="D2328" t="inlineStr">
        <is>
          <t>Miss Glam Damar</t>
        </is>
      </c>
      <c r="E2328" t="n">
        <v>22</v>
      </c>
      <c r="F2328" t="n">
        <v>0.4823000000000001</v>
      </c>
      <c r="G2328" t="n">
        <v>2.73</v>
      </c>
      <c r="H2328" t="n">
        <v>3</v>
      </c>
      <c r="I2328" t="n">
        <v>11</v>
      </c>
      <c r="J2328" t="n">
        <v>3</v>
      </c>
      <c r="K2328" t="n">
        <v>0</v>
      </c>
      <c r="L2328" t="n">
        <v>3685</v>
      </c>
      <c r="M2328" t="n">
        <v>5000</v>
      </c>
      <c r="N2328" t="n">
        <v>91</v>
      </c>
      <c r="O2328" t="n">
        <v>0.91</v>
      </c>
      <c r="P2328" t="n">
        <v>1</v>
      </c>
      <c r="Q2328" t="n">
        <v>0.24</v>
      </c>
      <c r="R2328" t="n">
        <v>2</v>
      </c>
      <c r="S2328" t="n">
        <v>2411.5</v>
      </c>
      <c r="T2328" t="n">
        <v>29</v>
      </c>
      <c r="U2328" t="n">
        <v>31</v>
      </c>
      <c r="V2328" t="n">
        <v>30</v>
      </c>
      <c r="W2328" t="n">
        <v>15</v>
      </c>
      <c r="X2328" t="n">
        <v>45.61476259589467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10060</v>
      </c>
      <c r="AG2328" t="n">
        <v>78</v>
      </c>
      <c r="AH2328" t="inlineStr">
        <is>
          <t>PT. GLORIENTA P.H - PPN (PDG)</t>
        </is>
      </c>
      <c r="AI2328" t="n">
        <v>83</v>
      </c>
      <c r="AJ2328" t="inlineStr">
        <is>
          <t>IMPLORA</t>
        </is>
      </c>
      <c r="AK2328" t="n">
        <v>21</v>
      </c>
      <c r="AL2328" t="inlineStr">
        <is>
          <t>Miss Glam Damar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IMPLORA</t>
        </is>
      </c>
      <c r="B2329" s="2">
        <f>"1411151421054"</f>
        <v/>
      </c>
      <c r="C2329" t="inlineStr">
        <is>
          <t>IMPLORA Nudes Nail Polish 05</t>
        </is>
      </c>
      <c r="D2329" t="inlineStr">
        <is>
          <t>Miss Glam Damar</t>
        </is>
      </c>
      <c r="E2329" t="n">
        <v>23</v>
      </c>
      <c r="F2329" t="n">
        <v>0.4641</v>
      </c>
      <c r="G2329" t="n">
        <v>3.64</v>
      </c>
      <c r="H2329" t="n">
        <v>3</v>
      </c>
      <c r="I2329" t="n">
        <v>11</v>
      </c>
      <c r="J2329" t="n">
        <v>3</v>
      </c>
      <c r="K2329" t="n">
        <v>0</v>
      </c>
      <c r="L2329" t="n">
        <v>3685</v>
      </c>
      <c r="M2329" t="n">
        <v>5000</v>
      </c>
      <c r="N2329" t="n">
        <v>91</v>
      </c>
      <c r="O2329" t="n">
        <v>0.91</v>
      </c>
      <c r="P2329" t="n">
        <v>1</v>
      </c>
      <c r="Q2329" t="n">
        <v>0.22</v>
      </c>
      <c r="R2329" t="n">
        <v>2</v>
      </c>
      <c r="S2329" t="n">
        <v>2320.5</v>
      </c>
      <c r="T2329" t="n">
        <v>39</v>
      </c>
      <c r="U2329" t="n">
        <v>41</v>
      </c>
      <c r="V2329" t="n">
        <v>30</v>
      </c>
      <c r="W2329" t="n">
        <v>14</v>
      </c>
      <c r="X2329" t="n">
        <v>49.5582848524025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10060</v>
      </c>
      <c r="AG2329" t="n">
        <v>78</v>
      </c>
      <c r="AH2329" t="inlineStr">
        <is>
          <t>PT. GLORIENTA P.H - PPN (PDG)</t>
        </is>
      </c>
      <c r="AI2329" t="n">
        <v>83</v>
      </c>
      <c r="AJ2329" t="inlineStr">
        <is>
          <t>IMPLORA</t>
        </is>
      </c>
      <c r="AK2329" t="n">
        <v>21</v>
      </c>
      <c r="AL2329" t="inlineStr">
        <is>
          <t>Miss Glam Damar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IMPLORA</t>
        </is>
      </c>
      <c r="B2330" s="2">
        <f>"1411161421068"</f>
        <v/>
      </c>
      <c r="C2330" t="inlineStr">
        <is>
          <t>IMPLORA Nudes Nail Polish 06</t>
        </is>
      </c>
      <c r="D2330" t="inlineStr">
        <is>
          <t>Miss Glam Damar</t>
        </is>
      </c>
      <c r="E2330" t="n">
        <v>19</v>
      </c>
      <c r="F2330" t="n">
        <v>0.4277</v>
      </c>
      <c r="G2330" t="n">
        <v>2.73</v>
      </c>
      <c r="H2330" t="n">
        <v>3</v>
      </c>
      <c r="I2330" t="n">
        <v>11</v>
      </c>
      <c r="J2330" t="n">
        <v>3</v>
      </c>
      <c r="K2330" t="n">
        <v>0</v>
      </c>
      <c r="L2330" t="n">
        <v>3685</v>
      </c>
      <c r="M2330" t="n">
        <v>5000</v>
      </c>
      <c r="N2330" t="n">
        <v>91</v>
      </c>
      <c r="O2330" t="n">
        <v>0.91</v>
      </c>
      <c r="P2330" t="n">
        <v>1</v>
      </c>
      <c r="Q2330" t="n">
        <v>0.29</v>
      </c>
      <c r="R2330" t="n">
        <v>2</v>
      </c>
      <c r="S2330" t="n">
        <v>2138.5</v>
      </c>
      <c r="T2330" t="n">
        <v>29</v>
      </c>
      <c r="U2330" t="n">
        <v>31</v>
      </c>
      <c r="V2330" t="n">
        <v>30</v>
      </c>
      <c r="W2330" t="n">
        <v>13</v>
      </c>
      <c r="X2330" t="n">
        <v>44.42366144493804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10060</v>
      </c>
      <c r="AG2330" t="n">
        <v>78</v>
      </c>
      <c r="AH2330" t="inlineStr">
        <is>
          <t>PT. GLORIENTA P.H - PPN (PDG)</t>
        </is>
      </c>
      <c r="AI2330" t="n">
        <v>83</v>
      </c>
      <c r="AJ2330" t="inlineStr">
        <is>
          <t>IMPLORA</t>
        </is>
      </c>
      <c r="AK2330" t="n">
        <v>21</v>
      </c>
      <c r="AL2330" t="inlineStr">
        <is>
          <t>Miss Glam Damar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IMPLORA</t>
        </is>
      </c>
      <c r="B2331" s="2">
        <f>"30500191106"</f>
        <v/>
      </c>
      <c r="C2331" t="inlineStr">
        <is>
          <t>IMPLORA Paint It Nude 01 Cream 8ml</t>
        </is>
      </c>
      <c r="D2331" t="inlineStr">
        <is>
          <t>Miss Glam Damar</t>
        </is>
      </c>
      <c r="E2331" t="n">
        <v>27</v>
      </c>
      <c r="F2331" t="n">
        <v>0.5733</v>
      </c>
      <c r="G2331" t="n">
        <v>2.73</v>
      </c>
      <c r="H2331" t="n">
        <v>3</v>
      </c>
      <c r="I2331" t="n">
        <v>11</v>
      </c>
      <c r="J2331" t="n">
        <v>1</v>
      </c>
      <c r="K2331" t="n">
        <v>0</v>
      </c>
      <c r="L2331" t="n">
        <v>5906</v>
      </c>
      <c r="M2331" t="n">
        <v>8000</v>
      </c>
      <c r="N2331" t="n">
        <v>91</v>
      </c>
      <c r="O2331" t="n">
        <v>0.91</v>
      </c>
      <c r="P2331" t="n">
        <v>1</v>
      </c>
      <c r="Q2331" t="n">
        <v>0.36</v>
      </c>
      <c r="R2331" t="n">
        <v>2</v>
      </c>
      <c r="S2331" t="n">
        <v>4586.400000000001</v>
      </c>
      <c r="T2331" t="n">
        <v>29</v>
      </c>
      <c r="U2331" t="n">
        <v>31</v>
      </c>
      <c r="V2331" t="n">
        <v>30</v>
      </c>
      <c r="W2331" t="n">
        <v>18</v>
      </c>
      <c r="X2331" t="n">
        <v>47.09576138147566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10060</v>
      </c>
      <c r="AG2331" t="n">
        <v>78</v>
      </c>
      <c r="AH2331" t="inlineStr">
        <is>
          <t>PT. GLORIENTA P.H - PPN (PDG)</t>
        </is>
      </c>
      <c r="AI2331" t="n">
        <v>83</v>
      </c>
      <c r="AJ2331" t="inlineStr">
        <is>
          <t>IMPLORA</t>
        </is>
      </c>
      <c r="AK2331" t="n">
        <v>21</v>
      </c>
      <c r="AL2331" t="inlineStr">
        <is>
          <t>Miss Glam Damar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IMPLORA</t>
        </is>
      </c>
      <c r="B2332" s="2">
        <f>"30500191249"</f>
        <v/>
      </c>
      <c r="C2332" t="inlineStr">
        <is>
          <t>IMPLORA Paint It Nude 02 Blush 8ml</t>
        </is>
      </c>
      <c r="D2332" t="inlineStr">
        <is>
          <t>Miss Glam Damar</t>
        </is>
      </c>
      <c r="E2332" t="n">
        <v>28</v>
      </c>
      <c r="F2332" t="n">
        <v>0.8918</v>
      </c>
      <c r="G2332" t="n">
        <v>2.73</v>
      </c>
      <c r="H2332" t="n">
        <v>3</v>
      </c>
      <c r="I2332" t="n">
        <v>11</v>
      </c>
      <c r="J2332" t="n">
        <v>1</v>
      </c>
      <c r="K2332" t="n">
        <v>0</v>
      </c>
      <c r="L2332" t="n">
        <v>5906</v>
      </c>
      <c r="M2332" t="n">
        <v>8000</v>
      </c>
      <c r="N2332" t="n">
        <v>91</v>
      </c>
      <c r="O2332" t="n">
        <v>0.91</v>
      </c>
      <c r="P2332" t="n">
        <v>1</v>
      </c>
      <c r="Q2332" t="n">
        <v>0.34</v>
      </c>
      <c r="R2332" t="n">
        <v>2</v>
      </c>
      <c r="S2332" t="n">
        <v>7134.400000000001</v>
      </c>
      <c r="T2332" t="n">
        <v>28</v>
      </c>
      <c r="U2332" t="n">
        <v>31</v>
      </c>
      <c r="V2332" t="n">
        <v>30</v>
      </c>
      <c r="W2332" t="n">
        <v>27</v>
      </c>
      <c r="X2332" t="n">
        <v>31.39717425431711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10060</v>
      </c>
      <c r="AG2332" t="n">
        <v>78</v>
      </c>
      <c r="AH2332" t="inlineStr">
        <is>
          <t>PT. GLORIENTA P.H - PPN (PDG)</t>
        </is>
      </c>
      <c r="AI2332" t="n">
        <v>83</v>
      </c>
      <c r="AJ2332" t="inlineStr">
        <is>
          <t>IMPLORA</t>
        </is>
      </c>
      <c r="AK2332" t="n">
        <v>21</v>
      </c>
      <c r="AL2332" t="inlineStr">
        <is>
          <t>Miss Glam Damar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IMPLORA</t>
        </is>
      </c>
      <c r="B2333" s="2">
        <f>"30500191325"</f>
        <v/>
      </c>
      <c r="C2333" t="inlineStr">
        <is>
          <t>IMPLORA Paint It Nude 03 Maple 8ml</t>
        </is>
      </c>
      <c r="D2333" t="inlineStr">
        <is>
          <t>Miss Glam Damar</t>
        </is>
      </c>
      <c r="E2333" t="n">
        <v>28</v>
      </c>
      <c r="F2333" t="n">
        <v>0.8918</v>
      </c>
      <c r="G2333" t="n">
        <v>4.55</v>
      </c>
      <c r="H2333" t="n">
        <v>3</v>
      </c>
      <c r="I2333" t="n">
        <v>11</v>
      </c>
      <c r="J2333" t="n">
        <v>1</v>
      </c>
      <c r="K2333" t="n">
        <v>0</v>
      </c>
      <c r="L2333" t="n">
        <v>5905</v>
      </c>
      <c r="M2333" t="n">
        <v>8000</v>
      </c>
      <c r="N2333" t="n">
        <v>91</v>
      </c>
      <c r="O2333" t="n">
        <v>0.91</v>
      </c>
      <c r="P2333" t="n">
        <v>1</v>
      </c>
      <c r="Q2333" t="n">
        <v>0.34</v>
      </c>
      <c r="R2333" t="n">
        <v>2</v>
      </c>
      <c r="S2333" t="n">
        <v>7134.400000000001</v>
      </c>
      <c r="T2333" t="n">
        <v>48</v>
      </c>
      <c r="U2333" t="n">
        <v>51</v>
      </c>
      <c r="V2333" t="n">
        <v>30</v>
      </c>
      <c r="W2333" t="n">
        <v>27</v>
      </c>
      <c r="X2333" t="n">
        <v>31.39717425431711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10060</v>
      </c>
      <c r="AG2333" t="n">
        <v>78</v>
      </c>
      <c r="AH2333" t="inlineStr">
        <is>
          <t>PT. GLORIENTA P.H - PPN (PDG)</t>
        </is>
      </c>
      <c r="AI2333" t="n">
        <v>83</v>
      </c>
      <c r="AJ2333" t="inlineStr">
        <is>
          <t>IMPLORA</t>
        </is>
      </c>
      <c r="AK2333" t="n">
        <v>21</v>
      </c>
      <c r="AL2333" t="inlineStr">
        <is>
          <t>Miss Glam Damar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IMPLORA</t>
        </is>
      </c>
      <c r="B2334" s="2">
        <f>"30500191416"</f>
        <v/>
      </c>
      <c r="C2334" t="inlineStr">
        <is>
          <t>IMPLORA Paint It Nude 04 Hazelnude 8ml</t>
        </is>
      </c>
      <c r="D2334" t="inlineStr">
        <is>
          <t>Miss Glam Damar</t>
        </is>
      </c>
      <c r="E2334" t="n">
        <v>29</v>
      </c>
      <c r="F2334" t="n">
        <v>0.91</v>
      </c>
      <c r="G2334" t="n">
        <v>3.64</v>
      </c>
      <c r="H2334" t="n">
        <v>3</v>
      </c>
      <c r="I2334" t="n">
        <v>11</v>
      </c>
      <c r="J2334" t="n">
        <v>1</v>
      </c>
      <c r="K2334" t="n">
        <v>0</v>
      </c>
      <c r="L2334" t="n">
        <v>5908</v>
      </c>
      <c r="M2334" t="n">
        <v>8000</v>
      </c>
      <c r="N2334" t="n">
        <v>91</v>
      </c>
      <c r="O2334" t="n">
        <v>0.91</v>
      </c>
      <c r="P2334" t="n">
        <v>1</v>
      </c>
      <c r="Q2334" t="n">
        <v>0.32</v>
      </c>
      <c r="R2334" t="n">
        <v>2</v>
      </c>
      <c r="S2334" t="n">
        <v>7280</v>
      </c>
      <c r="T2334" t="n">
        <v>38</v>
      </c>
      <c r="U2334" t="n">
        <v>41</v>
      </c>
      <c r="V2334" t="n">
        <v>30</v>
      </c>
      <c r="W2334" t="n">
        <v>28</v>
      </c>
      <c r="X2334" t="n">
        <v>31.86813186813187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10060</v>
      </c>
      <c r="AG2334" t="n">
        <v>78</v>
      </c>
      <c r="AH2334" t="inlineStr">
        <is>
          <t>PT. GLORIENTA P.H - PPN (PDG)</t>
        </is>
      </c>
      <c r="AI2334" t="n">
        <v>83</v>
      </c>
      <c r="AJ2334" t="inlineStr">
        <is>
          <t>IMPLORA</t>
        </is>
      </c>
      <c r="AK2334" t="n">
        <v>21</v>
      </c>
      <c r="AL2334" t="inlineStr">
        <is>
          <t>Miss Glam Damar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IMPLORA</t>
        </is>
      </c>
      <c r="B2335" s="2">
        <f>"30500191554"</f>
        <v/>
      </c>
      <c r="C2335" t="inlineStr">
        <is>
          <t>IMPLORA Paint It Nude 05 Latte 8ml</t>
        </is>
      </c>
      <c r="D2335" t="inlineStr">
        <is>
          <t>Miss Glam Damar</t>
        </is>
      </c>
      <c r="E2335" t="n">
        <v>32</v>
      </c>
      <c r="F2335" t="n">
        <v>0.8190000000000001</v>
      </c>
      <c r="G2335" t="n">
        <v>3.64</v>
      </c>
      <c r="H2335" t="n">
        <v>3</v>
      </c>
      <c r="I2335" t="n">
        <v>11</v>
      </c>
      <c r="J2335" t="n">
        <v>1</v>
      </c>
      <c r="K2335" t="n">
        <v>0</v>
      </c>
      <c r="L2335" t="n">
        <v>5907</v>
      </c>
      <c r="M2335" t="n">
        <v>8000</v>
      </c>
      <c r="N2335" t="n">
        <v>91</v>
      </c>
      <c r="O2335" t="n">
        <v>0.91</v>
      </c>
      <c r="P2335" t="n">
        <v>1</v>
      </c>
      <c r="Q2335" t="n">
        <v>0.27</v>
      </c>
      <c r="R2335" t="n">
        <v>2</v>
      </c>
      <c r="S2335" t="n">
        <v>6552.000000000001</v>
      </c>
      <c r="T2335" t="n">
        <v>38</v>
      </c>
      <c r="U2335" t="n">
        <v>41</v>
      </c>
      <c r="V2335" t="n">
        <v>30</v>
      </c>
      <c r="W2335" t="n">
        <v>25</v>
      </c>
      <c r="X2335" t="n">
        <v>39.07203907203907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10060</v>
      </c>
      <c r="AG2335" t="n">
        <v>78</v>
      </c>
      <c r="AH2335" t="inlineStr">
        <is>
          <t>PT. GLORIENTA P.H - PPN (PDG)</t>
        </is>
      </c>
      <c r="AI2335" t="n">
        <v>83</v>
      </c>
      <c r="AJ2335" t="inlineStr">
        <is>
          <t>IMPLORA</t>
        </is>
      </c>
      <c r="AK2335" t="n">
        <v>21</v>
      </c>
      <c r="AL2335" t="inlineStr">
        <is>
          <t>Miss Glam Damar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IMPLORA</t>
        </is>
      </c>
      <c r="B2336" s="2">
        <f>"30500191628"</f>
        <v/>
      </c>
      <c r="C2336" t="inlineStr">
        <is>
          <t>IMPLORA Paint It Nude 06 Ballete 8ml</t>
        </is>
      </c>
      <c r="D2336" t="inlineStr">
        <is>
          <t>Miss Glam Damar</t>
        </is>
      </c>
      <c r="E2336" t="n">
        <v>26</v>
      </c>
      <c r="F2336" t="n">
        <v>0.9373</v>
      </c>
      <c r="G2336" t="n">
        <v>4.55</v>
      </c>
      <c r="H2336" t="n">
        <v>3</v>
      </c>
      <c r="I2336" t="n">
        <v>11</v>
      </c>
      <c r="J2336" t="n">
        <v>1</v>
      </c>
      <c r="K2336" t="n">
        <v>0</v>
      </c>
      <c r="L2336" t="n">
        <v>5908</v>
      </c>
      <c r="M2336" t="n">
        <v>8000</v>
      </c>
      <c r="N2336" t="n">
        <v>91</v>
      </c>
      <c r="O2336" t="n">
        <v>0.91</v>
      </c>
      <c r="P2336" t="n">
        <v>1</v>
      </c>
      <c r="Q2336" t="n">
        <v>0.37</v>
      </c>
      <c r="R2336" t="n">
        <v>4</v>
      </c>
      <c r="S2336" t="n">
        <v>7498.400000000001</v>
      </c>
      <c r="T2336" t="n">
        <v>48</v>
      </c>
      <c r="U2336" t="n">
        <v>51</v>
      </c>
      <c r="V2336" t="n">
        <v>30</v>
      </c>
      <c r="W2336" t="n">
        <v>29</v>
      </c>
      <c r="X2336" t="n">
        <v>27.73925104022191</v>
      </c>
      <c r="Y2336" t="n">
        <v>1</v>
      </c>
      <c r="Z2336" t="n">
        <v>3</v>
      </c>
      <c r="AA2336" t="n">
        <v>0</v>
      </c>
      <c r="AB2336" t="n">
        <v>3</v>
      </c>
      <c r="AC2336" t="n">
        <v>3</v>
      </c>
      <c r="AD2336" t="n">
        <v>0</v>
      </c>
      <c r="AE2336" t="n">
        <v>17724</v>
      </c>
      <c r="AF2336" t="n">
        <v>10060</v>
      </c>
      <c r="AG2336" t="n">
        <v>78</v>
      </c>
      <c r="AH2336" t="inlineStr">
        <is>
          <t>PT. GLORIENTA P.H - PPN (PDG)</t>
        </is>
      </c>
      <c r="AI2336" t="n">
        <v>83</v>
      </c>
      <c r="AJ2336" t="inlineStr">
        <is>
          <t>IMPLORA</t>
        </is>
      </c>
      <c r="AK2336" t="n">
        <v>21</v>
      </c>
      <c r="AL2336" t="inlineStr">
        <is>
          <t>Miss Glam Damar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IMPLORA</t>
        </is>
      </c>
      <c r="B2337" s="2">
        <f>"8993883800848"</f>
        <v/>
      </c>
      <c r="C2337" t="inlineStr">
        <is>
          <t>IMPLORA Paint It Red Nail Polish 01 Bisou 8ml</t>
        </is>
      </c>
      <c r="D2337" t="inlineStr">
        <is>
          <t>Miss Glam Damar</t>
        </is>
      </c>
      <c r="E2337" t="n">
        <v>1</v>
      </c>
      <c r="F2337" t="n">
        <v>1.0192</v>
      </c>
      <c r="G2337" t="n">
        <v>7.28</v>
      </c>
      <c r="H2337" t="n">
        <v>3</v>
      </c>
      <c r="I2337" t="n">
        <v>11</v>
      </c>
      <c r="J2337" t="n">
        <v>3</v>
      </c>
      <c r="K2337" t="n">
        <v>0</v>
      </c>
      <c r="L2337" t="n">
        <v>5897</v>
      </c>
      <c r="M2337" t="n">
        <v>8000</v>
      </c>
      <c r="N2337" t="n">
        <v>91</v>
      </c>
      <c r="O2337" t="n">
        <v>0.91</v>
      </c>
      <c r="P2337" t="n">
        <v>1</v>
      </c>
      <c r="Q2337" t="n">
        <v>0.59</v>
      </c>
      <c r="R2337" t="n">
        <v>3</v>
      </c>
      <c r="S2337" t="n">
        <v>8153.600000000001</v>
      </c>
      <c r="T2337" t="n">
        <v>78</v>
      </c>
      <c r="U2337" t="n">
        <v>82</v>
      </c>
      <c r="V2337" t="n">
        <v>30</v>
      </c>
      <c r="W2337" t="n">
        <v>31</v>
      </c>
      <c r="X2337" t="n">
        <v>0.9811616954474096</v>
      </c>
      <c r="Y2337" t="n">
        <v>1</v>
      </c>
      <c r="Z2337" t="n">
        <v>30</v>
      </c>
      <c r="AA2337" t="n">
        <v>11</v>
      </c>
      <c r="AB2337" t="n">
        <v>19</v>
      </c>
      <c r="AC2337" t="n">
        <v>19</v>
      </c>
      <c r="AD2337" t="n">
        <v>64867</v>
      </c>
      <c r="AE2337" t="n">
        <v>112043</v>
      </c>
      <c r="AF2337" t="n">
        <v>10060</v>
      </c>
      <c r="AG2337" t="n">
        <v>78</v>
      </c>
      <c r="AH2337" t="inlineStr">
        <is>
          <t>PT. GLORIENTA P.H - PPN (PDG)</t>
        </is>
      </c>
      <c r="AI2337" t="n">
        <v>83</v>
      </c>
      <c r="AJ2337" t="inlineStr">
        <is>
          <t>IMPLORA</t>
        </is>
      </c>
      <c r="AK2337" t="n">
        <v>21</v>
      </c>
      <c r="AL2337" t="inlineStr">
        <is>
          <t>Miss Glam Damar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IMPLORA</t>
        </is>
      </c>
      <c r="B2338" s="2">
        <f>"8993883800855"</f>
        <v/>
      </c>
      <c r="C2338" t="inlineStr">
        <is>
          <t>IMPLORA Paint It Red Nail Polish 02 Poppy 8ml</t>
        </is>
      </c>
      <c r="D2338" t="inlineStr">
        <is>
          <t>Miss Glam Damar</t>
        </is>
      </c>
      <c r="E2338" t="n">
        <v>12</v>
      </c>
      <c r="F2338" t="n">
        <v>1.1739</v>
      </c>
      <c r="G2338" t="n">
        <v>6.37</v>
      </c>
      <c r="H2338" t="n">
        <v>3</v>
      </c>
      <c r="I2338" t="n">
        <v>11</v>
      </c>
      <c r="J2338" t="n">
        <v>3</v>
      </c>
      <c r="K2338" t="n">
        <v>0</v>
      </c>
      <c r="L2338" t="n">
        <v>5897</v>
      </c>
      <c r="M2338" t="n">
        <v>8000</v>
      </c>
      <c r="N2338" t="n">
        <v>91</v>
      </c>
      <c r="O2338" t="n">
        <v>0.91</v>
      </c>
      <c r="P2338" t="n">
        <v>1</v>
      </c>
      <c r="Q2338" t="n">
        <v>0.51</v>
      </c>
      <c r="R2338" t="n">
        <v>3</v>
      </c>
      <c r="S2338" t="n">
        <v>9391.200000000001</v>
      </c>
      <c r="T2338" t="n">
        <v>67</v>
      </c>
      <c r="U2338" t="n">
        <v>71</v>
      </c>
      <c r="V2338" t="n">
        <v>30</v>
      </c>
      <c r="W2338" t="n">
        <v>36</v>
      </c>
      <c r="X2338" t="n">
        <v>10.22233580373115</v>
      </c>
      <c r="Y2338" t="n">
        <v>1</v>
      </c>
      <c r="Z2338" t="n">
        <v>24</v>
      </c>
      <c r="AA2338" t="n">
        <v>1</v>
      </c>
      <c r="AB2338" t="n">
        <v>23</v>
      </c>
      <c r="AC2338" t="n">
        <v>23</v>
      </c>
      <c r="AD2338" t="n">
        <v>5897</v>
      </c>
      <c r="AE2338" t="n">
        <v>135631</v>
      </c>
      <c r="AF2338" t="n">
        <v>10060</v>
      </c>
      <c r="AG2338" t="n">
        <v>78</v>
      </c>
      <c r="AH2338" t="inlineStr">
        <is>
          <t>PT. GLORIENTA P.H - PPN (PDG)</t>
        </is>
      </c>
      <c r="AI2338" t="n">
        <v>83</v>
      </c>
      <c r="AJ2338" t="inlineStr">
        <is>
          <t>IMPLORA</t>
        </is>
      </c>
      <c r="AK2338" t="n">
        <v>21</v>
      </c>
      <c r="AL2338" t="inlineStr">
        <is>
          <t>Miss Glam Damar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IMPLORA</t>
        </is>
      </c>
      <c r="B2339" s="2">
        <f>"8993883800862"</f>
        <v/>
      </c>
      <c r="C2339" t="inlineStr">
        <is>
          <t>IMPLORA Paint It Red Nail Polish 03 Cherie 8ml</t>
        </is>
      </c>
      <c r="D2339" t="inlineStr">
        <is>
          <t>Miss Glam Damar</t>
        </is>
      </c>
      <c r="E2339" t="n">
        <v>7</v>
      </c>
      <c r="F2339" t="n">
        <v>1.1102</v>
      </c>
      <c r="G2339" t="n">
        <v>4.55</v>
      </c>
      <c r="H2339" t="n">
        <v>3</v>
      </c>
      <c r="I2339" t="n">
        <v>11</v>
      </c>
      <c r="J2339" t="n">
        <v>3</v>
      </c>
      <c r="K2339" t="n">
        <v>0</v>
      </c>
      <c r="L2339" t="n">
        <v>5897</v>
      </c>
      <c r="M2339" t="n">
        <v>8000</v>
      </c>
      <c r="N2339" t="n">
        <v>91</v>
      </c>
      <c r="O2339" t="n">
        <v>0.91</v>
      </c>
      <c r="P2339" t="n">
        <v>1</v>
      </c>
      <c r="Q2339" t="n">
        <v>0.49</v>
      </c>
      <c r="R2339" t="n">
        <v>2</v>
      </c>
      <c r="S2339" t="n">
        <v>8881.6</v>
      </c>
      <c r="T2339" t="n">
        <v>47</v>
      </c>
      <c r="U2339" t="n">
        <v>51</v>
      </c>
      <c r="V2339" t="n">
        <v>30</v>
      </c>
      <c r="W2339" t="n">
        <v>34</v>
      </c>
      <c r="X2339" t="n">
        <v>6.305170239596468</v>
      </c>
      <c r="Y2339" t="n">
        <v>1</v>
      </c>
      <c r="Z2339" t="n">
        <v>27</v>
      </c>
      <c r="AA2339" t="n">
        <v>6</v>
      </c>
      <c r="AB2339" t="n">
        <v>21</v>
      </c>
      <c r="AC2339" t="n">
        <v>21</v>
      </c>
      <c r="AD2339" t="n">
        <v>35382</v>
      </c>
      <c r="AE2339" t="n">
        <v>123837</v>
      </c>
      <c r="AF2339" t="n">
        <v>10060</v>
      </c>
      <c r="AG2339" t="n">
        <v>78</v>
      </c>
      <c r="AH2339" t="inlineStr">
        <is>
          <t>PT. GLORIENTA P.H - PPN (PDG)</t>
        </is>
      </c>
      <c r="AI2339" t="n">
        <v>83</v>
      </c>
      <c r="AJ2339" t="inlineStr">
        <is>
          <t>IMPLORA</t>
        </is>
      </c>
      <c r="AK2339" t="n">
        <v>21</v>
      </c>
      <c r="AL2339" t="inlineStr">
        <is>
          <t>Miss Glam Damar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IMPLORA</t>
        </is>
      </c>
      <c r="B2340" s="2">
        <f>"8993883800879"</f>
        <v/>
      </c>
      <c r="C2340" t="inlineStr">
        <is>
          <t>IMPLORA Paint It Red Nail Polish 04 Amour 8ml</t>
        </is>
      </c>
      <c r="D2340" t="inlineStr">
        <is>
          <t>Miss Glam Damar</t>
        </is>
      </c>
      <c r="E2340" t="n">
        <v>2</v>
      </c>
      <c r="F2340" t="n">
        <v>1.092</v>
      </c>
      <c r="G2340" t="n">
        <v>6.37</v>
      </c>
      <c r="H2340" t="n">
        <v>3</v>
      </c>
      <c r="I2340" t="n">
        <v>11</v>
      </c>
      <c r="J2340" t="n">
        <v>3</v>
      </c>
      <c r="K2340" t="n">
        <v>0</v>
      </c>
      <c r="L2340" t="n">
        <v>5897</v>
      </c>
      <c r="M2340" t="n">
        <v>8000</v>
      </c>
      <c r="N2340" t="n">
        <v>91</v>
      </c>
      <c r="O2340" t="n">
        <v>0.91</v>
      </c>
      <c r="P2340" t="n">
        <v>1</v>
      </c>
      <c r="Q2340" t="n">
        <v>0.58</v>
      </c>
      <c r="R2340" t="n">
        <v>3</v>
      </c>
      <c r="S2340" t="n">
        <v>8736</v>
      </c>
      <c r="T2340" t="n">
        <v>67</v>
      </c>
      <c r="U2340" t="n">
        <v>71</v>
      </c>
      <c r="V2340" t="n">
        <v>30</v>
      </c>
      <c r="W2340" t="n">
        <v>33</v>
      </c>
      <c r="X2340" t="n">
        <v>1.831501831501831</v>
      </c>
      <c r="Y2340" t="n">
        <v>1</v>
      </c>
      <c r="Z2340" t="n">
        <v>31</v>
      </c>
      <c r="AA2340" t="n">
        <v>11</v>
      </c>
      <c r="AB2340" t="n">
        <v>20</v>
      </c>
      <c r="AC2340" t="n">
        <v>20</v>
      </c>
      <c r="AD2340" t="n">
        <v>64867</v>
      </c>
      <c r="AE2340" t="n">
        <v>117940</v>
      </c>
      <c r="AF2340" t="n">
        <v>10060</v>
      </c>
      <c r="AG2340" t="n">
        <v>78</v>
      </c>
      <c r="AH2340" t="inlineStr">
        <is>
          <t>PT. GLORIENTA P.H - PPN (PDG)</t>
        </is>
      </c>
      <c r="AI2340" t="n">
        <v>83</v>
      </c>
      <c r="AJ2340" t="inlineStr">
        <is>
          <t>IMPLORA</t>
        </is>
      </c>
      <c r="AK2340" t="n">
        <v>21</v>
      </c>
      <c r="AL2340" t="inlineStr">
        <is>
          <t>Miss Glam Damar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IMPLORA</t>
        </is>
      </c>
      <c r="B2341" s="2">
        <f>"8993883800886"</f>
        <v/>
      </c>
      <c r="C2341" t="inlineStr">
        <is>
          <t>IMPLORA Paint It Red Nail Polish 05 Classic 8ml</t>
        </is>
      </c>
      <c r="D2341" t="inlineStr">
        <is>
          <t>Miss Glam Damar</t>
        </is>
      </c>
      <c r="E2341" t="n">
        <v>0</v>
      </c>
      <c r="F2341" t="n">
        <v>1.1284</v>
      </c>
      <c r="G2341" t="n">
        <v>8.19</v>
      </c>
      <c r="H2341" t="n">
        <v>3</v>
      </c>
      <c r="I2341" t="n">
        <v>11</v>
      </c>
      <c r="J2341" t="n">
        <v>3</v>
      </c>
      <c r="K2341" t="n">
        <v>0</v>
      </c>
      <c r="L2341" t="n">
        <v>5897</v>
      </c>
      <c r="M2341" t="n">
        <v>8000</v>
      </c>
      <c r="N2341" t="n">
        <v>91</v>
      </c>
      <c r="O2341" t="n">
        <v>0.91</v>
      </c>
      <c r="P2341" t="n">
        <v>1</v>
      </c>
      <c r="Q2341" t="n">
        <v>0.77</v>
      </c>
      <c r="R2341" t="n">
        <v>5</v>
      </c>
      <c r="S2341" t="n">
        <v>9027.200000000001</v>
      </c>
      <c r="T2341" t="n">
        <v>87</v>
      </c>
      <c r="U2341" t="n">
        <v>91</v>
      </c>
      <c r="V2341" t="n">
        <v>30</v>
      </c>
      <c r="W2341" t="n">
        <v>34</v>
      </c>
      <c r="X2341" t="n">
        <v>0</v>
      </c>
      <c r="Y2341" t="n">
        <v>1</v>
      </c>
      <c r="Z2341" t="n">
        <v>34</v>
      </c>
      <c r="AA2341" t="n">
        <v>13</v>
      </c>
      <c r="AB2341" t="n">
        <v>21</v>
      </c>
      <c r="AC2341" t="n">
        <v>21</v>
      </c>
      <c r="AD2341" t="n">
        <v>76661</v>
      </c>
      <c r="AE2341" t="n">
        <v>123837</v>
      </c>
      <c r="AF2341" t="n">
        <v>10060</v>
      </c>
      <c r="AG2341" t="n">
        <v>78</v>
      </c>
      <c r="AH2341" t="inlineStr">
        <is>
          <t>PT. GLORIENTA P.H - PPN (PDG)</t>
        </is>
      </c>
      <c r="AI2341" t="n">
        <v>83</v>
      </c>
      <c r="AJ2341" t="inlineStr">
        <is>
          <t>IMPLORA</t>
        </is>
      </c>
      <c r="AK2341" t="n">
        <v>21</v>
      </c>
      <c r="AL2341" t="inlineStr">
        <is>
          <t>Miss Glam Damar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IMPLORA</t>
        </is>
      </c>
      <c r="B2342" s="2">
        <f>"8993883800893"</f>
        <v/>
      </c>
      <c r="C2342" t="inlineStr">
        <is>
          <t>IMPLORA Paint It Red Nail Polish 06 Flame 8ml</t>
        </is>
      </c>
      <c r="D2342" t="inlineStr">
        <is>
          <t>Miss Glam Damar</t>
        </is>
      </c>
      <c r="E2342" t="n">
        <v>0</v>
      </c>
      <c r="F2342" t="n">
        <v>1.2194</v>
      </c>
      <c r="G2342" t="n">
        <v>8.19</v>
      </c>
      <c r="H2342" t="n">
        <v>3</v>
      </c>
      <c r="I2342" t="n">
        <v>11</v>
      </c>
      <c r="J2342" t="n">
        <v>3</v>
      </c>
      <c r="K2342" t="n">
        <v>0</v>
      </c>
      <c r="L2342" t="n">
        <v>5897</v>
      </c>
      <c r="M2342" t="n">
        <v>8000</v>
      </c>
      <c r="N2342" t="n">
        <v>91</v>
      </c>
      <c r="O2342" t="n">
        <v>0.91</v>
      </c>
      <c r="P2342" t="n">
        <v>1</v>
      </c>
      <c r="Q2342" t="n">
        <v>0.49</v>
      </c>
      <c r="R2342" t="n">
        <v>2</v>
      </c>
      <c r="S2342" t="n">
        <v>9755.200000000001</v>
      </c>
      <c r="T2342" t="n">
        <v>87</v>
      </c>
      <c r="U2342" t="n">
        <v>91</v>
      </c>
      <c r="V2342" t="n">
        <v>30</v>
      </c>
      <c r="W2342" t="n">
        <v>37</v>
      </c>
      <c r="X2342" t="n">
        <v>0</v>
      </c>
      <c r="Y2342" t="n">
        <v>1</v>
      </c>
      <c r="Z2342" t="n">
        <v>37</v>
      </c>
      <c r="AA2342" t="n">
        <v>14</v>
      </c>
      <c r="AB2342" t="n">
        <v>23</v>
      </c>
      <c r="AC2342" t="n">
        <v>23</v>
      </c>
      <c r="AD2342" t="n">
        <v>82558</v>
      </c>
      <c r="AE2342" t="n">
        <v>135631</v>
      </c>
      <c r="AF2342" t="n">
        <v>10060</v>
      </c>
      <c r="AG2342" t="n">
        <v>78</v>
      </c>
      <c r="AH2342" t="inlineStr">
        <is>
          <t>PT. GLORIENTA P.H - PPN (PDG)</t>
        </is>
      </c>
      <c r="AI2342" t="n">
        <v>83</v>
      </c>
      <c r="AJ2342" t="inlineStr">
        <is>
          <t>IMPLORA</t>
        </is>
      </c>
      <c r="AK2342" t="n">
        <v>21</v>
      </c>
      <c r="AL2342" t="inlineStr">
        <is>
          <t>Miss Glam Damar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IMPLORA</t>
        </is>
      </c>
      <c r="B2343" s="2">
        <f>"8993883800930"</f>
        <v/>
      </c>
      <c r="C2343" t="inlineStr">
        <is>
          <t>IMPLORA Paint Me Pretty 04 Cobalt 8ml</t>
        </is>
      </c>
      <c r="D2343" t="inlineStr">
        <is>
          <t>Miss Glam Damar</t>
        </is>
      </c>
      <c r="E2343" t="n">
        <v>46</v>
      </c>
      <c r="F2343" t="n">
        <v>0.09100000000000001</v>
      </c>
      <c r="G2343" t="n">
        <v>0.91</v>
      </c>
      <c r="H2343" t="n">
        <v>3</v>
      </c>
      <c r="I2343" t="n">
        <v>11</v>
      </c>
      <c r="J2343" t="n">
        <v>3</v>
      </c>
      <c r="K2343" t="n">
        <v>0</v>
      </c>
      <c r="L2343" t="n">
        <v>5958</v>
      </c>
      <c r="M2343" t="n">
        <v>8000</v>
      </c>
      <c r="N2343" t="n">
        <v>91</v>
      </c>
      <c r="O2343" t="n">
        <v>0.91</v>
      </c>
      <c r="P2343" t="n">
        <v>1</v>
      </c>
      <c r="Q2343" t="n">
        <v>0.05</v>
      </c>
      <c r="R2343" t="n">
        <v>1</v>
      </c>
      <c r="S2343" t="n">
        <v>728.0000000000001</v>
      </c>
      <c r="T2343" t="n">
        <v>10</v>
      </c>
      <c r="U2343" t="n">
        <v>11</v>
      </c>
      <c r="V2343" t="n">
        <v>30</v>
      </c>
      <c r="W2343" t="n">
        <v>3</v>
      </c>
      <c r="X2343" t="n">
        <v>505.4945054945054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10060</v>
      </c>
      <c r="AG2343" t="n">
        <v>78</v>
      </c>
      <c r="AH2343" t="inlineStr">
        <is>
          <t>PT. GLORIENTA P.H - PPN (PDG)</t>
        </is>
      </c>
      <c r="AI2343" t="n">
        <v>83</v>
      </c>
      <c r="AJ2343" t="inlineStr">
        <is>
          <t>IMPLORA</t>
        </is>
      </c>
      <c r="AK2343" t="n">
        <v>21</v>
      </c>
      <c r="AL2343" t="inlineStr">
        <is>
          <t>Miss Glam Damar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IMPLORA</t>
        </is>
      </c>
      <c r="B2344" s="2">
        <f>"8993883800947"</f>
        <v/>
      </c>
      <c r="C2344" t="inlineStr">
        <is>
          <t>IMPLORA Paint Me Pretty 05 Ashy  8ml</t>
        </is>
      </c>
      <c r="D2344" t="inlineStr">
        <is>
          <t>Miss Glam Damar</t>
        </is>
      </c>
      <c r="E2344" t="n">
        <v>62</v>
      </c>
      <c r="F2344" t="n">
        <v>0.1274</v>
      </c>
      <c r="G2344" t="n">
        <v>0.91</v>
      </c>
      <c r="H2344" t="n">
        <v>3</v>
      </c>
      <c r="I2344" t="n">
        <v>11</v>
      </c>
      <c r="J2344" t="n">
        <v>3</v>
      </c>
      <c r="K2344" t="n">
        <v>0</v>
      </c>
      <c r="L2344" t="n">
        <v>5958</v>
      </c>
      <c r="M2344" t="n">
        <v>8000</v>
      </c>
      <c r="N2344" t="n">
        <v>91</v>
      </c>
      <c r="O2344" t="n">
        <v>0.91</v>
      </c>
      <c r="P2344" t="n">
        <v>1</v>
      </c>
      <c r="Q2344" t="n">
        <v>0.08</v>
      </c>
      <c r="R2344" t="n">
        <v>1</v>
      </c>
      <c r="S2344" t="n">
        <v>1019.2</v>
      </c>
      <c r="T2344" t="n">
        <v>10</v>
      </c>
      <c r="U2344" t="n">
        <v>11</v>
      </c>
      <c r="V2344" t="n">
        <v>30</v>
      </c>
      <c r="W2344" t="n">
        <v>4</v>
      </c>
      <c r="X2344" t="n">
        <v>486.6562009419152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10060</v>
      </c>
      <c r="AG2344" t="n">
        <v>78</v>
      </c>
      <c r="AH2344" t="inlineStr">
        <is>
          <t>PT. GLORIENTA P.H - PPN (PDG)</t>
        </is>
      </c>
      <c r="AI2344" t="n">
        <v>83</v>
      </c>
      <c r="AJ2344" t="inlineStr">
        <is>
          <t>IMPLORA</t>
        </is>
      </c>
      <c r="AK2344" t="n">
        <v>21</v>
      </c>
      <c r="AL2344" t="inlineStr">
        <is>
          <t>Miss Glam Damar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IMPLORA</t>
        </is>
      </c>
      <c r="B2345" s="2">
        <f>"1219041605009"</f>
        <v/>
      </c>
      <c r="C2345" t="inlineStr">
        <is>
          <t>IMPLORA Peeling Serum 20ml</t>
        </is>
      </c>
      <c r="D2345" t="inlineStr">
        <is>
          <t>Miss Glam Damar</t>
        </is>
      </c>
      <c r="E2345" t="n">
        <v>2</v>
      </c>
      <c r="F2345" t="n">
        <v>0.2184</v>
      </c>
      <c r="G2345" t="n">
        <v>1.82</v>
      </c>
      <c r="H2345" t="n">
        <v>3</v>
      </c>
      <c r="I2345" t="n">
        <v>11</v>
      </c>
      <c r="J2345" t="n">
        <v>3</v>
      </c>
      <c r="K2345" t="n">
        <v>0</v>
      </c>
      <c r="L2345" t="n">
        <v>22504</v>
      </c>
      <c r="M2345" t="n">
        <v>29000</v>
      </c>
      <c r="N2345" t="n">
        <v>91</v>
      </c>
      <c r="O2345" t="n">
        <v>0.91</v>
      </c>
      <c r="P2345" t="n">
        <v>1</v>
      </c>
      <c r="Q2345" t="n">
        <v>0.07000000000000001</v>
      </c>
      <c r="R2345" t="n">
        <v>1</v>
      </c>
      <c r="S2345" t="n">
        <v>6333.6</v>
      </c>
      <c r="T2345" t="n">
        <v>20</v>
      </c>
      <c r="U2345" t="n">
        <v>21</v>
      </c>
      <c r="V2345" t="n">
        <v>30</v>
      </c>
      <c r="W2345" t="n">
        <v>7</v>
      </c>
      <c r="X2345" t="n">
        <v>9.157509157509157</v>
      </c>
      <c r="Y2345" t="n">
        <v>1</v>
      </c>
      <c r="Z2345" t="n">
        <v>5</v>
      </c>
      <c r="AA2345" t="n">
        <v>1</v>
      </c>
      <c r="AB2345" t="n">
        <v>4</v>
      </c>
      <c r="AC2345" t="n">
        <v>4</v>
      </c>
      <c r="AD2345" t="n">
        <v>22504</v>
      </c>
      <c r="AE2345" t="n">
        <v>90016</v>
      </c>
      <c r="AF2345" t="n">
        <v>10060</v>
      </c>
      <c r="AG2345" t="n">
        <v>78</v>
      </c>
      <c r="AH2345" t="inlineStr">
        <is>
          <t>PT. GLORIENTA P.H - PPN (PDG)</t>
        </is>
      </c>
      <c r="AI2345" t="n">
        <v>83</v>
      </c>
      <c r="AJ2345" t="inlineStr">
        <is>
          <t>IMPLORA</t>
        </is>
      </c>
      <c r="AK2345" t="n">
        <v>21</v>
      </c>
      <c r="AL2345" t="inlineStr">
        <is>
          <t>Miss Glam Damar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IMPLORA</t>
        </is>
      </c>
      <c r="B2346" s="2">
        <f>"8993883800015"</f>
        <v/>
      </c>
      <c r="C2346" t="inlineStr">
        <is>
          <t>IMPLORA Perfect Shield Sunscreen SPF 40 PA++++</t>
        </is>
      </c>
      <c r="D2346" t="inlineStr">
        <is>
          <t>Miss Glam Damar</t>
        </is>
      </c>
      <c r="E2346" t="n">
        <v>19</v>
      </c>
      <c r="F2346" t="n">
        <v>3.64</v>
      </c>
      <c r="G2346" t="n">
        <v>7.28</v>
      </c>
      <c r="H2346" t="n">
        <v>3</v>
      </c>
      <c r="I2346" t="n">
        <v>11</v>
      </c>
      <c r="J2346" t="n">
        <v>3</v>
      </c>
      <c r="K2346" t="n">
        <v>0</v>
      </c>
      <c r="L2346" t="n">
        <v>25988</v>
      </c>
      <c r="M2346" t="n">
        <v>33500</v>
      </c>
      <c r="N2346" t="n">
        <v>91</v>
      </c>
      <c r="O2346" t="n">
        <v>0.91</v>
      </c>
      <c r="P2346" t="n">
        <v>1</v>
      </c>
      <c r="Q2346" t="n">
        <v>1.54</v>
      </c>
      <c r="R2346" t="n">
        <v>6</v>
      </c>
      <c r="S2346" t="n">
        <v>121940</v>
      </c>
      <c r="T2346" t="n">
        <v>70</v>
      </c>
      <c r="U2346" t="n">
        <v>81</v>
      </c>
      <c r="V2346" t="n">
        <v>30</v>
      </c>
      <c r="W2346" t="n">
        <v>110</v>
      </c>
      <c r="X2346" t="n">
        <v>5.21978021978022</v>
      </c>
      <c r="Y2346" t="n">
        <v>1</v>
      </c>
      <c r="Z2346" t="n">
        <v>91</v>
      </c>
      <c r="AA2346" t="n">
        <v>22</v>
      </c>
      <c r="AB2346" t="n">
        <v>69</v>
      </c>
      <c r="AC2346" t="n">
        <v>69</v>
      </c>
      <c r="AD2346" t="n">
        <v>571736</v>
      </c>
      <c r="AE2346" t="n">
        <v>1793172</v>
      </c>
      <c r="AF2346" t="n">
        <v>10060</v>
      </c>
      <c r="AG2346" t="n">
        <v>78</v>
      </c>
      <c r="AH2346" t="inlineStr">
        <is>
          <t>PT. GLORIENTA P.H - PPN (PDG)</t>
        </is>
      </c>
      <c r="AI2346" t="n">
        <v>83</v>
      </c>
      <c r="AJ2346" t="inlineStr">
        <is>
          <t>IMPLORA</t>
        </is>
      </c>
      <c r="AK2346" t="n">
        <v>21</v>
      </c>
      <c r="AL2346" t="inlineStr">
        <is>
          <t>Miss Glam Damar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IMPLORA</t>
        </is>
      </c>
      <c r="B2347" s="2">
        <f>"1108170014007"</f>
        <v/>
      </c>
      <c r="C2347" t="inlineStr">
        <is>
          <t>IMPLORA Permanent Hair Color 14 Tosca</t>
        </is>
      </c>
      <c r="D2347" t="inlineStr">
        <is>
          <t>Miss Glam Damar</t>
        </is>
      </c>
      <c r="E2347" t="n">
        <v>1</v>
      </c>
      <c r="F2347" t="n">
        <v>0.0819</v>
      </c>
      <c r="G2347" t="n">
        <v>1.82</v>
      </c>
      <c r="H2347" t="n">
        <v>3</v>
      </c>
      <c r="I2347" t="n">
        <v>11</v>
      </c>
      <c r="J2347" t="n">
        <v>3</v>
      </c>
      <c r="K2347" t="n">
        <v>0</v>
      </c>
      <c r="L2347" t="n">
        <v>8536</v>
      </c>
      <c r="M2347" t="n">
        <v>11000</v>
      </c>
      <c r="N2347" t="n">
        <v>91</v>
      </c>
      <c r="O2347" t="n">
        <v>0.91</v>
      </c>
      <c r="P2347" t="n">
        <v>1</v>
      </c>
      <c r="Q2347" t="n">
        <v>0.07000000000000001</v>
      </c>
      <c r="R2347" t="n">
        <v>2</v>
      </c>
      <c r="S2347" t="n">
        <v>900.9</v>
      </c>
      <c r="T2347" t="n">
        <v>20</v>
      </c>
      <c r="U2347" t="n">
        <v>21</v>
      </c>
      <c r="V2347" t="n">
        <v>30</v>
      </c>
      <c r="W2347" t="n">
        <v>3</v>
      </c>
      <c r="X2347" t="n">
        <v>12.21001221001221</v>
      </c>
      <c r="Y2347" t="n">
        <v>1</v>
      </c>
      <c r="Z2347" t="n">
        <v>2</v>
      </c>
      <c r="AA2347" t="n">
        <v>0</v>
      </c>
      <c r="AB2347" t="n">
        <v>2</v>
      </c>
      <c r="AC2347" t="n">
        <v>3</v>
      </c>
      <c r="AD2347" t="n">
        <v>0</v>
      </c>
      <c r="AE2347" t="n">
        <v>25608</v>
      </c>
      <c r="AF2347" t="n">
        <v>10060</v>
      </c>
      <c r="AG2347" t="n">
        <v>78</v>
      </c>
      <c r="AH2347" t="inlineStr">
        <is>
          <t>PT. GLORIENTA P.H - PPN (PDG)</t>
        </is>
      </c>
      <c r="AI2347" t="n">
        <v>83</v>
      </c>
      <c r="AJ2347" t="inlineStr">
        <is>
          <t>IMPLORA</t>
        </is>
      </c>
      <c r="AK2347" t="n">
        <v>21</v>
      </c>
      <c r="AL2347" t="inlineStr">
        <is>
          <t>Miss Glam Damar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IMPLORA</t>
        </is>
      </c>
      <c r="B2348" s="2">
        <f>"1219101904004"</f>
        <v/>
      </c>
      <c r="C2348" t="inlineStr">
        <is>
          <t>IMPLORA Salmon DNA Serum 20ml</t>
        </is>
      </c>
      <c r="D2348" t="inlineStr">
        <is>
          <t>Miss Glam Damar</t>
        </is>
      </c>
      <c r="E2348" t="n">
        <v>2</v>
      </c>
      <c r="F2348" t="n">
        <v>0.03</v>
      </c>
      <c r="G2348" t="n">
        <v>1</v>
      </c>
      <c r="H2348" t="n">
        <v>3</v>
      </c>
      <c r="I2348" t="n">
        <v>11</v>
      </c>
      <c r="J2348" t="n">
        <v>3</v>
      </c>
      <c r="K2348" t="n">
        <v>0</v>
      </c>
      <c r="L2348" t="n">
        <v>15915</v>
      </c>
      <c r="M2348" t="n">
        <v>29000</v>
      </c>
      <c r="N2348" t="n">
        <v>91</v>
      </c>
      <c r="O2348" t="n">
        <v>0.91</v>
      </c>
      <c r="P2348" t="n">
        <v>0</v>
      </c>
      <c r="Q2348" t="n">
        <v>0.03</v>
      </c>
      <c r="R2348" t="n">
        <v>1</v>
      </c>
      <c r="S2348" t="n">
        <v>870</v>
      </c>
      <c r="T2348" t="n">
        <v>11</v>
      </c>
      <c r="U2348" t="n">
        <v>12</v>
      </c>
      <c r="V2348" t="n">
        <v>30</v>
      </c>
      <c r="W2348" t="n">
        <v>1</v>
      </c>
      <c r="X2348" t="n">
        <v>66.66666666666667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10060</v>
      </c>
      <c r="AG2348" t="n">
        <v>78</v>
      </c>
      <c r="AH2348" t="inlineStr">
        <is>
          <t>PT. GLORIENTA P.H - PPN (PDG)</t>
        </is>
      </c>
      <c r="AI2348" t="n">
        <v>83</v>
      </c>
      <c r="AJ2348" t="inlineStr">
        <is>
          <t>IMPLORA</t>
        </is>
      </c>
      <c r="AK2348" t="n">
        <v>21</v>
      </c>
      <c r="AL2348" t="inlineStr">
        <is>
          <t>Miss Glam Damar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IMPLORA</t>
        </is>
      </c>
      <c r="B2349" s="2">
        <f>"8993883801456"</f>
        <v/>
      </c>
      <c r="C2349" t="inlineStr">
        <is>
          <t>IMPLORA SPF 30 Perfect Shield Gel Sunscreen</t>
        </is>
      </c>
      <c r="D2349" t="inlineStr">
        <is>
          <t>Miss Glam Damar</t>
        </is>
      </c>
      <c r="E2349" t="n">
        <v>16</v>
      </c>
      <c r="F2349" t="n">
        <v>2.0475</v>
      </c>
      <c r="G2349" t="n">
        <v>7.28</v>
      </c>
      <c r="H2349" t="n">
        <v>3</v>
      </c>
      <c r="I2349" t="n">
        <v>11</v>
      </c>
      <c r="J2349" t="n">
        <v>3</v>
      </c>
      <c r="K2349" t="n">
        <v>0</v>
      </c>
      <c r="L2349" t="n">
        <v>21728</v>
      </c>
      <c r="M2349" t="n">
        <v>28000</v>
      </c>
      <c r="N2349" t="n">
        <v>91</v>
      </c>
      <c r="O2349" t="n">
        <v>0.91</v>
      </c>
      <c r="P2349" t="n">
        <v>1</v>
      </c>
      <c r="Q2349" t="n">
        <v>0.88</v>
      </c>
      <c r="R2349" t="n">
        <v>4</v>
      </c>
      <c r="S2349" t="n">
        <v>57330</v>
      </c>
      <c r="T2349" t="n">
        <v>74</v>
      </c>
      <c r="U2349" t="n">
        <v>81</v>
      </c>
      <c r="V2349" t="n">
        <v>30</v>
      </c>
      <c r="W2349" t="n">
        <v>62</v>
      </c>
      <c r="X2349" t="n">
        <v>7.814407814407815</v>
      </c>
      <c r="Y2349" t="n">
        <v>1</v>
      </c>
      <c r="Z2349" t="n">
        <v>46</v>
      </c>
      <c r="AA2349" t="n">
        <v>7</v>
      </c>
      <c r="AB2349" t="n">
        <v>39</v>
      </c>
      <c r="AC2349" t="n">
        <v>39</v>
      </c>
      <c r="AD2349" t="n">
        <v>152096</v>
      </c>
      <c r="AE2349" t="n">
        <v>847392</v>
      </c>
      <c r="AF2349" t="n">
        <v>10060</v>
      </c>
      <c r="AG2349" t="n">
        <v>78</v>
      </c>
      <c r="AH2349" t="inlineStr">
        <is>
          <t>PT. GLORIENTA P.H - PPN (PDG)</t>
        </is>
      </c>
      <c r="AI2349" t="n">
        <v>83</v>
      </c>
      <c r="AJ2349" t="inlineStr">
        <is>
          <t>IMPLORA</t>
        </is>
      </c>
      <c r="AK2349" t="n">
        <v>21</v>
      </c>
      <c r="AL2349" t="inlineStr">
        <is>
          <t>Miss Glam Damar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IMPLORA</t>
        </is>
      </c>
      <c r="B2350" s="2">
        <f>"8993883800633"</f>
        <v/>
      </c>
      <c r="C2350" t="inlineStr">
        <is>
          <t>IMPLORA Two Way Cake Day To Day Series 01 Porcelain Refill 10gr</t>
        </is>
      </c>
      <c r="D2350" t="inlineStr">
        <is>
          <t>Miss Glam Damar</t>
        </is>
      </c>
      <c r="E2350" t="n">
        <v>1</v>
      </c>
      <c r="F2350" t="n">
        <v>0.06370000000000001</v>
      </c>
      <c r="G2350" t="n">
        <v>0.91</v>
      </c>
      <c r="H2350" t="n">
        <v>3</v>
      </c>
      <c r="I2350" t="n">
        <v>11</v>
      </c>
      <c r="J2350" t="n">
        <v>3</v>
      </c>
      <c r="K2350" t="n">
        <v>0</v>
      </c>
      <c r="L2350" t="n">
        <v>24425</v>
      </c>
      <c r="M2350" t="n">
        <v>34500</v>
      </c>
      <c r="N2350" t="n">
        <v>91</v>
      </c>
      <c r="O2350" t="n">
        <v>0.91</v>
      </c>
      <c r="P2350" t="n">
        <v>1</v>
      </c>
      <c r="Q2350" t="n">
        <v>0.02</v>
      </c>
      <c r="R2350" t="n">
        <v>1</v>
      </c>
      <c r="S2350" t="n">
        <v>2197.65</v>
      </c>
      <c r="T2350" t="n">
        <v>10</v>
      </c>
      <c r="U2350" t="n">
        <v>11</v>
      </c>
      <c r="V2350" t="n">
        <v>30</v>
      </c>
      <c r="W2350" t="n">
        <v>2</v>
      </c>
      <c r="X2350" t="n">
        <v>15.69858712715855</v>
      </c>
      <c r="Y2350" t="n">
        <v>1</v>
      </c>
      <c r="Z2350" t="n">
        <v>1</v>
      </c>
      <c r="AA2350" t="n">
        <v>0</v>
      </c>
      <c r="AB2350" t="n">
        <v>1</v>
      </c>
      <c r="AC2350" t="n">
        <v>3</v>
      </c>
      <c r="AD2350" t="n">
        <v>0</v>
      </c>
      <c r="AE2350" t="n">
        <v>73275</v>
      </c>
      <c r="AF2350" t="n">
        <v>10060</v>
      </c>
      <c r="AG2350" t="n">
        <v>78</v>
      </c>
      <c r="AH2350" t="inlineStr">
        <is>
          <t>PT. GLORIENTA P.H - PPN (PDG)</t>
        </is>
      </c>
      <c r="AI2350" t="n">
        <v>83</v>
      </c>
      <c r="AJ2350" t="inlineStr">
        <is>
          <t>IMPLORA</t>
        </is>
      </c>
      <c r="AK2350" t="n">
        <v>21</v>
      </c>
      <c r="AL2350" t="inlineStr">
        <is>
          <t>Miss Glam Damar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IMPLORA</t>
        </is>
      </c>
      <c r="B2351" s="2">
        <f>"8993883800640"</f>
        <v/>
      </c>
      <c r="C2351" t="inlineStr">
        <is>
          <t>IMPLORA Two Way Cake Day To Day Series 02 Butter Refill 10gr</t>
        </is>
      </c>
      <c r="D2351" t="inlineStr">
        <is>
          <t>Miss Glam Damar</t>
        </is>
      </c>
      <c r="E2351" t="n">
        <v>1</v>
      </c>
      <c r="F2351" t="n">
        <v>0.09100000000000001</v>
      </c>
      <c r="G2351" t="n">
        <v>0.91</v>
      </c>
      <c r="H2351" t="n">
        <v>3</v>
      </c>
      <c r="I2351" t="n">
        <v>11</v>
      </c>
      <c r="J2351" t="n">
        <v>3</v>
      </c>
      <c r="K2351" t="n">
        <v>0</v>
      </c>
      <c r="L2351" t="n">
        <v>24238</v>
      </c>
      <c r="M2351" t="n">
        <v>34500</v>
      </c>
      <c r="N2351" t="n">
        <v>91</v>
      </c>
      <c r="O2351" t="n">
        <v>0.91</v>
      </c>
      <c r="P2351" t="n">
        <v>1</v>
      </c>
      <c r="Q2351" t="n">
        <v>0.02</v>
      </c>
      <c r="R2351" t="n">
        <v>1</v>
      </c>
      <c r="S2351" t="n">
        <v>3139.5</v>
      </c>
      <c r="T2351" t="n">
        <v>10</v>
      </c>
      <c r="U2351" t="n">
        <v>11</v>
      </c>
      <c r="V2351" t="n">
        <v>30</v>
      </c>
      <c r="W2351" t="n">
        <v>3</v>
      </c>
      <c r="X2351" t="n">
        <v>10.98901098901099</v>
      </c>
      <c r="Y2351" t="n">
        <v>1</v>
      </c>
      <c r="Z2351" t="n">
        <v>2</v>
      </c>
      <c r="AA2351" t="n">
        <v>1</v>
      </c>
      <c r="AB2351" t="n">
        <v>1</v>
      </c>
      <c r="AC2351" t="n">
        <v>3</v>
      </c>
      <c r="AD2351" t="n">
        <v>24238</v>
      </c>
      <c r="AE2351" t="n">
        <v>72714</v>
      </c>
      <c r="AF2351" t="n">
        <v>10060</v>
      </c>
      <c r="AG2351" t="n">
        <v>78</v>
      </c>
      <c r="AH2351" t="inlineStr">
        <is>
          <t>PT. GLORIENTA P.H - PPN (PDG)</t>
        </is>
      </c>
      <c r="AI2351" t="n">
        <v>83</v>
      </c>
      <c r="AJ2351" t="inlineStr">
        <is>
          <t>IMPLORA</t>
        </is>
      </c>
      <c r="AK2351" t="n">
        <v>21</v>
      </c>
      <c r="AL2351" t="inlineStr">
        <is>
          <t>Miss Glam Damar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IMPLORA</t>
        </is>
      </c>
      <c r="B2352" s="2">
        <f>"8993883800701"</f>
        <v/>
      </c>
      <c r="C2352" t="inlineStr">
        <is>
          <t>IMPLORA Two Way Cake Day To Day Series 03 Cashew 10gr</t>
        </is>
      </c>
      <c r="D2352" t="inlineStr">
        <is>
          <t>Miss Glam Damar</t>
        </is>
      </c>
      <c r="E2352" t="n">
        <v>3</v>
      </c>
      <c r="F2352" t="n">
        <v>0.2002</v>
      </c>
      <c r="G2352" t="n">
        <v>0.91</v>
      </c>
      <c r="H2352" t="n">
        <v>3</v>
      </c>
      <c r="I2352" t="n">
        <v>11</v>
      </c>
      <c r="J2352" t="n">
        <v>3</v>
      </c>
      <c r="K2352" t="n">
        <v>0</v>
      </c>
      <c r="L2352" t="n">
        <v>36565</v>
      </c>
      <c r="M2352" t="n">
        <v>52000</v>
      </c>
      <c r="N2352" t="n">
        <v>91</v>
      </c>
      <c r="O2352" t="n">
        <v>0.91</v>
      </c>
      <c r="P2352" t="n">
        <v>1</v>
      </c>
      <c r="Q2352" t="n">
        <v>0.02</v>
      </c>
      <c r="R2352" t="n">
        <v>0</v>
      </c>
      <c r="S2352" t="n">
        <v>10410.4</v>
      </c>
      <c r="T2352" t="n">
        <v>10</v>
      </c>
      <c r="U2352" t="n">
        <v>11</v>
      </c>
      <c r="V2352" t="n">
        <v>30</v>
      </c>
      <c r="W2352" t="n">
        <v>7</v>
      </c>
      <c r="X2352" t="n">
        <v>14.98501498501498</v>
      </c>
      <c r="Y2352" t="n">
        <v>1</v>
      </c>
      <c r="Z2352" t="n">
        <v>4</v>
      </c>
      <c r="AA2352" t="n">
        <v>0</v>
      </c>
      <c r="AB2352" t="n">
        <v>4</v>
      </c>
      <c r="AC2352" t="n">
        <v>4</v>
      </c>
      <c r="AD2352" t="n">
        <v>0</v>
      </c>
      <c r="AE2352" t="n">
        <v>146260</v>
      </c>
      <c r="AF2352" t="n">
        <v>10060</v>
      </c>
      <c r="AG2352" t="n">
        <v>78</v>
      </c>
      <c r="AH2352" t="inlineStr">
        <is>
          <t>PT. GLORIENTA P.H - PPN (PDG)</t>
        </is>
      </c>
      <c r="AI2352" t="n">
        <v>83</v>
      </c>
      <c r="AJ2352" t="inlineStr">
        <is>
          <t>IMPLORA</t>
        </is>
      </c>
      <c r="AK2352" t="n">
        <v>21</v>
      </c>
      <c r="AL2352" t="inlineStr">
        <is>
          <t>Miss Glam Damar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IMPLORA</t>
        </is>
      </c>
      <c r="B2353" s="2">
        <f>"8993883800657"</f>
        <v/>
      </c>
      <c r="C2353" t="inlineStr">
        <is>
          <t>IMPLORA Two Way Cake Day To Day Series 03 Cashew Refill 10gr</t>
        </is>
      </c>
      <c r="D2353" t="inlineStr">
        <is>
          <t>Miss Glam Damar</t>
        </is>
      </c>
      <c r="E2353" t="n">
        <v>5</v>
      </c>
      <c r="F2353" t="n">
        <v>0.1274</v>
      </c>
      <c r="G2353" t="n">
        <v>1.82</v>
      </c>
      <c r="H2353" t="n">
        <v>3</v>
      </c>
      <c r="I2353" t="n">
        <v>11</v>
      </c>
      <c r="J2353" t="n">
        <v>3</v>
      </c>
      <c r="K2353" t="n">
        <v>0</v>
      </c>
      <c r="L2353" t="n">
        <v>24176</v>
      </c>
      <c r="M2353" t="n">
        <v>34500</v>
      </c>
      <c r="N2353" t="n">
        <v>91</v>
      </c>
      <c r="O2353" t="n">
        <v>0.91</v>
      </c>
      <c r="P2353" t="n">
        <v>1</v>
      </c>
      <c r="Q2353" t="n">
        <v>0.03</v>
      </c>
      <c r="R2353" t="n">
        <v>1</v>
      </c>
      <c r="S2353" t="n">
        <v>4395.3</v>
      </c>
      <c r="T2353" t="n">
        <v>20</v>
      </c>
      <c r="U2353" t="n">
        <v>21</v>
      </c>
      <c r="V2353" t="n">
        <v>30</v>
      </c>
      <c r="W2353" t="n">
        <v>4</v>
      </c>
      <c r="X2353" t="n">
        <v>39.24646781789639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10060</v>
      </c>
      <c r="AG2353" t="n">
        <v>78</v>
      </c>
      <c r="AH2353" t="inlineStr">
        <is>
          <t>PT. GLORIENTA P.H - PPN (PDG)</t>
        </is>
      </c>
      <c r="AI2353" t="n">
        <v>83</v>
      </c>
      <c r="AJ2353" t="inlineStr">
        <is>
          <t>IMPLORA</t>
        </is>
      </c>
      <c r="AK2353" t="n">
        <v>21</v>
      </c>
      <c r="AL2353" t="inlineStr">
        <is>
          <t>Miss Glam Damar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IMPLORA</t>
        </is>
      </c>
      <c r="B2354" s="2">
        <f>"8993883800718"</f>
        <v/>
      </c>
      <c r="C2354" t="inlineStr">
        <is>
          <t>IMPLORA Two Way Cake Day To Day Series 04 Honey  10gr</t>
        </is>
      </c>
      <c r="D2354" t="inlineStr">
        <is>
          <t>Miss Glam Damar</t>
        </is>
      </c>
      <c r="E2354" t="n">
        <v>3</v>
      </c>
      <c r="F2354" t="n">
        <v>0.06370000000000001</v>
      </c>
      <c r="G2354" t="n">
        <v>0.91</v>
      </c>
      <c r="H2354" t="n">
        <v>3</v>
      </c>
      <c r="I2354" t="n">
        <v>11</v>
      </c>
      <c r="J2354" t="n">
        <v>3</v>
      </c>
      <c r="K2354" t="n">
        <v>0</v>
      </c>
      <c r="L2354" t="n">
        <v>36847</v>
      </c>
      <c r="M2354" t="n">
        <v>52000</v>
      </c>
      <c r="N2354" t="n">
        <v>91</v>
      </c>
      <c r="O2354" t="n">
        <v>0.91</v>
      </c>
      <c r="P2354" t="n">
        <v>1</v>
      </c>
      <c r="Q2354" t="n">
        <v>0.02</v>
      </c>
      <c r="R2354" t="n">
        <v>1</v>
      </c>
      <c r="S2354" t="n">
        <v>3312.400000000001</v>
      </c>
      <c r="T2354" t="n">
        <v>10</v>
      </c>
      <c r="U2354" t="n">
        <v>11</v>
      </c>
      <c r="V2354" t="n">
        <v>30</v>
      </c>
      <c r="W2354" t="n">
        <v>2</v>
      </c>
      <c r="X2354" t="n">
        <v>47.09576138147566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10060</v>
      </c>
      <c r="AG2354" t="n">
        <v>78</v>
      </c>
      <c r="AH2354" t="inlineStr">
        <is>
          <t>PT. GLORIENTA P.H - PPN (PDG)</t>
        </is>
      </c>
      <c r="AI2354" t="n">
        <v>83</v>
      </c>
      <c r="AJ2354" t="inlineStr">
        <is>
          <t>IMPLORA</t>
        </is>
      </c>
      <c r="AK2354" t="n">
        <v>21</v>
      </c>
      <c r="AL2354" t="inlineStr">
        <is>
          <t>Miss Glam Damar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IMPLORA</t>
        </is>
      </c>
      <c r="B2355" s="2">
        <f>"8993883800664"</f>
        <v/>
      </c>
      <c r="C2355" t="inlineStr">
        <is>
          <t>IMPLORA Two Way Cake Day To Day Series 04 Honey Refill 10gr</t>
        </is>
      </c>
      <c r="D2355" t="inlineStr">
        <is>
          <t>Miss Glam Damar</t>
        </is>
      </c>
      <c r="E2355" t="n">
        <v>4</v>
      </c>
      <c r="F2355" t="n">
        <v>0.06370000000000001</v>
      </c>
      <c r="G2355" t="n">
        <v>0.91</v>
      </c>
      <c r="H2355" t="n">
        <v>3</v>
      </c>
      <c r="I2355" t="n">
        <v>11</v>
      </c>
      <c r="J2355" t="n">
        <v>3</v>
      </c>
      <c r="K2355" t="n">
        <v>0</v>
      </c>
      <c r="L2355" t="n">
        <v>24424</v>
      </c>
      <c r="M2355" t="n">
        <v>34500</v>
      </c>
      <c r="N2355" t="n">
        <v>91</v>
      </c>
      <c r="O2355" t="n">
        <v>0.91</v>
      </c>
      <c r="P2355" t="n">
        <v>1</v>
      </c>
      <c r="Q2355" t="n">
        <v>0.02</v>
      </c>
      <c r="R2355" t="n">
        <v>1</v>
      </c>
      <c r="S2355" t="n">
        <v>2197.65</v>
      </c>
      <c r="T2355" t="n">
        <v>10</v>
      </c>
      <c r="U2355" t="n">
        <v>11</v>
      </c>
      <c r="V2355" t="n">
        <v>30</v>
      </c>
      <c r="W2355" t="n">
        <v>2</v>
      </c>
      <c r="X2355" t="n">
        <v>62.79434850863422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10060</v>
      </c>
      <c r="AG2355" t="n">
        <v>78</v>
      </c>
      <c r="AH2355" t="inlineStr">
        <is>
          <t>PT. GLORIENTA P.H - PPN (PDG)</t>
        </is>
      </c>
      <c r="AI2355" t="n">
        <v>83</v>
      </c>
      <c r="AJ2355" t="inlineStr">
        <is>
          <t>IMPLORA</t>
        </is>
      </c>
      <c r="AK2355" t="n">
        <v>21</v>
      </c>
      <c r="AL2355" t="inlineStr">
        <is>
          <t>Miss Glam Damar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IMPLORA</t>
        </is>
      </c>
      <c r="B2356" s="2">
        <f>"1212040003005"</f>
        <v/>
      </c>
      <c r="C2356" t="inlineStr">
        <is>
          <t>IMPLORA Urban Lip Cream  Matte 03 Dark Berry</t>
        </is>
      </c>
      <c r="D2356" t="inlineStr">
        <is>
          <t>Miss Glam Damar</t>
        </is>
      </c>
      <c r="E2356" t="n">
        <v>23</v>
      </c>
      <c r="F2356" t="n">
        <v>0.22</v>
      </c>
      <c r="G2356" t="n">
        <v>2</v>
      </c>
      <c r="H2356" t="n">
        <v>3</v>
      </c>
      <c r="I2356" t="n">
        <v>11</v>
      </c>
      <c r="J2356" t="n">
        <v>3</v>
      </c>
      <c r="K2356" t="n">
        <v>0</v>
      </c>
      <c r="L2356" t="n">
        <v>16219</v>
      </c>
      <c r="M2356" t="n">
        <v>21000</v>
      </c>
      <c r="N2356" t="n">
        <v>91</v>
      </c>
      <c r="O2356" t="n">
        <v>0.91</v>
      </c>
      <c r="P2356" t="n">
        <v>0</v>
      </c>
      <c r="Q2356" t="n">
        <v>0.22</v>
      </c>
      <c r="R2356" t="n">
        <v>2</v>
      </c>
      <c r="S2356" t="n">
        <v>4620</v>
      </c>
      <c r="T2356" t="n">
        <v>22</v>
      </c>
      <c r="U2356" t="n">
        <v>23</v>
      </c>
      <c r="V2356" t="n">
        <v>30</v>
      </c>
      <c r="W2356" t="n">
        <v>7</v>
      </c>
      <c r="X2356" t="n">
        <v>104.5454545454545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10060</v>
      </c>
      <c r="AG2356" t="n">
        <v>78</v>
      </c>
      <c r="AH2356" t="inlineStr">
        <is>
          <t>PT. GLORIENTA P.H - PPN (PDG)</t>
        </is>
      </c>
      <c r="AI2356" t="n">
        <v>83</v>
      </c>
      <c r="AJ2356" t="inlineStr">
        <is>
          <t>IMPLORA</t>
        </is>
      </c>
      <c r="AK2356" t="n">
        <v>21</v>
      </c>
      <c r="AL2356" t="inlineStr">
        <is>
          <t>Miss Glam Damar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IMPLORA</t>
        </is>
      </c>
      <c r="B2357" s="2">
        <f>"1212040008000"</f>
        <v/>
      </c>
      <c r="C2357" t="inlineStr">
        <is>
          <t>IMPLORA Urban Lip Cream  Matte 08 Pink Latte</t>
        </is>
      </c>
      <c r="D2357" t="inlineStr">
        <is>
          <t>Miss Glam Damar</t>
        </is>
      </c>
      <c r="E2357" t="n">
        <v>11</v>
      </c>
      <c r="F2357" t="n">
        <v>0.2639</v>
      </c>
      <c r="G2357" t="n">
        <v>1.82</v>
      </c>
      <c r="H2357" t="n">
        <v>3</v>
      </c>
      <c r="I2357" t="n">
        <v>11</v>
      </c>
      <c r="J2357" t="n">
        <v>3</v>
      </c>
      <c r="K2357" t="n">
        <v>0</v>
      </c>
      <c r="L2357" t="n">
        <v>16203</v>
      </c>
      <c r="M2357" t="n">
        <v>21000</v>
      </c>
      <c r="N2357" t="n">
        <v>91</v>
      </c>
      <c r="O2357" t="n">
        <v>0.91</v>
      </c>
      <c r="P2357" t="n">
        <v>1</v>
      </c>
      <c r="Q2357" t="n">
        <v>0.14</v>
      </c>
      <c r="R2357" t="n">
        <v>2</v>
      </c>
      <c r="S2357" t="n">
        <v>5541.9</v>
      </c>
      <c r="T2357" t="n">
        <v>20</v>
      </c>
      <c r="U2357" t="n">
        <v>21</v>
      </c>
      <c r="V2357" t="n">
        <v>30</v>
      </c>
      <c r="W2357" t="n">
        <v>8</v>
      </c>
      <c r="X2357" t="n">
        <v>41.68245547555893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10060</v>
      </c>
      <c r="AG2357" t="n">
        <v>78</v>
      </c>
      <c r="AH2357" t="inlineStr">
        <is>
          <t>PT. GLORIENTA P.H - PPN (PDG)</t>
        </is>
      </c>
      <c r="AI2357" t="n">
        <v>83</v>
      </c>
      <c r="AJ2357" t="inlineStr">
        <is>
          <t>IMPLORA</t>
        </is>
      </c>
      <c r="AK2357" t="n">
        <v>21</v>
      </c>
      <c r="AL2357" t="inlineStr">
        <is>
          <t>Miss Glam Damar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IMPLORA</t>
        </is>
      </c>
      <c r="B2358" s="2">
        <f>"1212040002008"</f>
        <v/>
      </c>
      <c r="C2358" t="inlineStr">
        <is>
          <t>IMPLORA Urban Lip Cream Matte 02 Terra Cotta</t>
        </is>
      </c>
      <c r="D2358" t="inlineStr">
        <is>
          <t>Miss Glam Damar</t>
        </is>
      </c>
      <c r="E2358" t="n">
        <v>5</v>
      </c>
      <c r="F2358" t="n">
        <v>0.04550000000000001</v>
      </c>
      <c r="G2358" t="n">
        <v>0.91</v>
      </c>
      <c r="H2358" t="n">
        <v>3</v>
      </c>
      <c r="I2358" t="n">
        <v>11</v>
      </c>
      <c r="J2358" t="n">
        <v>3</v>
      </c>
      <c r="K2358" t="n">
        <v>0</v>
      </c>
      <c r="L2358" t="n">
        <v>16219</v>
      </c>
      <c r="M2358" t="n">
        <v>21000</v>
      </c>
      <c r="N2358" t="n">
        <v>91</v>
      </c>
      <c r="O2358" t="n">
        <v>0.91</v>
      </c>
      <c r="P2358" t="n">
        <v>1</v>
      </c>
      <c r="Q2358" t="n">
        <v>0.12</v>
      </c>
      <c r="R2358" t="n">
        <v>2</v>
      </c>
      <c r="S2358" t="n">
        <v>955.5000000000001</v>
      </c>
      <c r="T2358" t="n">
        <v>10</v>
      </c>
      <c r="U2358" t="n">
        <v>11</v>
      </c>
      <c r="V2358" t="n">
        <v>30</v>
      </c>
      <c r="W2358" t="n">
        <v>2</v>
      </c>
      <c r="X2358" t="n">
        <v>109.8901098901099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10060</v>
      </c>
      <c r="AG2358" t="n">
        <v>78</v>
      </c>
      <c r="AH2358" t="inlineStr">
        <is>
          <t>PT. GLORIENTA P.H - PPN (PDG)</t>
        </is>
      </c>
      <c r="AI2358" t="n">
        <v>83</v>
      </c>
      <c r="AJ2358" t="inlineStr">
        <is>
          <t>IMPLORA</t>
        </is>
      </c>
      <c r="AK2358" t="n">
        <v>21</v>
      </c>
      <c r="AL2358" t="inlineStr">
        <is>
          <t>Miss Glam Damar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IMPLORA</t>
        </is>
      </c>
      <c r="B2359" s="2">
        <f>"1212040004002"</f>
        <v/>
      </c>
      <c r="C2359" t="inlineStr">
        <is>
          <t>IMPLORA Urban Lip Cream Matte 04 Madeline</t>
        </is>
      </c>
      <c r="D2359" t="inlineStr">
        <is>
          <t>Miss Glam Damar</t>
        </is>
      </c>
      <c r="E2359" t="n">
        <v>3</v>
      </c>
      <c r="F2359" t="n">
        <v>0.1547</v>
      </c>
      <c r="G2359" t="n">
        <v>0.91</v>
      </c>
      <c r="H2359" t="n">
        <v>3</v>
      </c>
      <c r="I2359" t="n">
        <v>11</v>
      </c>
      <c r="J2359" t="n">
        <v>3</v>
      </c>
      <c r="K2359" t="n">
        <v>0</v>
      </c>
      <c r="L2359" t="n">
        <v>15124</v>
      </c>
      <c r="M2359" t="n">
        <v>21000</v>
      </c>
      <c r="N2359" t="n">
        <v>91</v>
      </c>
      <c r="O2359" t="n">
        <v>0.91</v>
      </c>
      <c r="P2359" t="n">
        <v>1</v>
      </c>
      <c r="Q2359" t="n">
        <v>0.03</v>
      </c>
      <c r="R2359" t="n">
        <v>1</v>
      </c>
      <c r="S2359" t="n">
        <v>3248.7</v>
      </c>
      <c r="T2359" t="n">
        <v>10</v>
      </c>
      <c r="U2359" t="n">
        <v>11</v>
      </c>
      <c r="V2359" t="n">
        <v>30</v>
      </c>
      <c r="W2359" t="n">
        <v>5</v>
      </c>
      <c r="X2359" t="n">
        <v>19.3923723335488</v>
      </c>
      <c r="Y2359" t="n">
        <v>1</v>
      </c>
      <c r="Z2359" t="n">
        <v>2</v>
      </c>
      <c r="AA2359" t="n">
        <v>0</v>
      </c>
      <c r="AB2359" t="n">
        <v>2</v>
      </c>
      <c r="AC2359" t="n">
        <v>3</v>
      </c>
      <c r="AD2359" t="n">
        <v>0</v>
      </c>
      <c r="AE2359" t="n">
        <v>45372</v>
      </c>
      <c r="AF2359" t="n">
        <v>10060</v>
      </c>
      <c r="AG2359" t="n">
        <v>78</v>
      </c>
      <c r="AH2359" t="inlineStr">
        <is>
          <t>PT. GLORIENTA P.H - PPN (PDG)</t>
        </is>
      </c>
      <c r="AI2359" t="n">
        <v>83</v>
      </c>
      <c r="AJ2359" t="inlineStr">
        <is>
          <t>IMPLORA</t>
        </is>
      </c>
      <c r="AK2359" t="n">
        <v>21</v>
      </c>
      <c r="AL2359" t="inlineStr">
        <is>
          <t>Miss Glam Damar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IMPLORA</t>
        </is>
      </c>
      <c r="B2360" s="2">
        <f>"1212040006006"</f>
        <v/>
      </c>
      <c r="C2360" t="inlineStr">
        <is>
          <t>IMPLORA Urban Lip Cream Matte 06 Lumiere</t>
        </is>
      </c>
      <c r="D2360" t="inlineStr">
        <is>
          <t>Miss Glam Damar</t>
        </is>
      </c>
      <c r="E2360" t="n">
        <v>1</v>
      </c>
      <c r="F2360" t="n">
        <v>0.3276</v>
      </c>
      <c r="G2360" t="n">
        <v>1.82</v>
      </c>
      <c r="H2360" t="n">
        <v>3</v>
      </c>
      <c r="I2360" t="n">
        <v>11</v>
      </c>
      <c r="J2360" t="n">
        <v>3</v>
      </c>
      <c r="K2360" t="n">
        <v>0</v>
      </c>
      <c r="L2360" t="n">
        <v>16218</v>
      </c>
      <c r="M2360" t="n">
        <v>21000</v>
      </c>
      <c r="N2360" t="n">
        <v>91</v>
      </c>
      <c r="O2360" t="n">
        <v>0.91</v>
      </c>
      <c r="P2360" t="n">
        <v>1</v>
      </c>
      <c r="Q2360" t="n">
        <v>0.1</v>
      </c>
      <c r="R2360" t="n">
        <v>1</v>
      </c>
      <c r="S2360" t="n">
        <v>6879.6</v>
      </c>
      <c r="T2360" t="n">
        <v>20</v>
      </c>
      <c r="U2360" t="n">
        <v>21</v>
      </c>
      <c r="V2360" t="n">
        <v>30</v>
      </c>
      <c r="W2360" t="n">
        <v>10</v>
      </c>
      <c r="X2360" t="n">
        <v>3.052503052503052</v>
      </c>
      <c r="Y2360" t="n">
        <v>1</v>
      </c>
      <c r="Z2360" t="n">
        <v>9</v>
      </c>
      <c r="AA2360" t="n">
        <v>3</v>
      </c>
      <c r="AB2360" t="n">
        <v>6</v>
      </c>
      <c r="AC2360" t="n">
        <v>6</v>
      </c>
      <c r="AD2360" t="n">
        <v>48654</v>
      </c>
      <c r="AE2360" t="n">
        <v>97308</v>
      </c>
      <c r="AF2360" t="n">
        <v>10060</v>
      </c>
      <c r="AG2360" t="n">
        <v>78</v>
      </c>
      <c r="AH2360" t="inlineStr">
        <is>
          <t>PT. GLORIENTA P.H - PPN (PDG)</t>
        </is>
      </c>
      <c r="AI2360" t="n">
        <v>83</v>
      </c>
      <c r="AJ2360" t="inlineStr">
        <is>
          <t>IMPLORA</t>
        </is>
      </c>
      <c r="AK2360" t="n">
        <v>21</v>
      </c>
      <c r="AL2360" t="inlineStr">
        <is>
          <t>Miss Glam Damar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IMPLORA</t>
        </is>
      </c>
      <c r="B2361" s="2">
        <f>"1212040007003"</f>
        <v/>
      </c>
      <c r="C2361" t="inlineStr">
        <is>
          <t>IMPLORA Urban Lip Cream Matte 07 Truffle Mauve</t>
        </is>
      </c>
      <c r="D2361" t="inlineStr">
        <is>
          <t>Miss Glam Damar</t>
        </is>
      </c>
      <c r="E2361" t="n">
        <v>3</v>
      </c>
      <c r="F2361" t="n">
        <v>0.1092</v>
      </c>
      <c r="G2361" t="n">
        <v>0.91</v>
      </c>
      <c r="H2361" t="n">
        <v>3</v>
      </c>
      <c r="I2361" t="n">
        <v>11</v>
      </c>
      <c r="J2361" t="n">
        <v>3</v>
      </c>
      <c r="K2361" t="n">
        <v>0</v>
      </c>
      <c r="L2361" t="n">
        <v>16044</v>
      </c>
      <c r="M2361" t="n">
        <v>21000</v>
      </c>
      <c r="N2361" t="n">
        <v>91</v>
      </c>
      <c r="O2361" t="n">
        <v>0.91</v>
      </c>
      <c r="P2361" t="n">
        <v>1</v>
      </c>
      <c r="Q2361" t="n">
        <v>0.03</v>
      </c>
      <c r="R2361" t="n">
        <v>1</v>
      </c>
      <c r="S2361" t="n">
        <v>2293.2</v>
      </c>
      <c r="T2361" t="n">
        <v>10</v>
      </c>
      <c r="U2361" t="n">
        <v>11</v>
      </c>
      <c r="V2361" t="n">
        <v>30</v>
      </c>
      <c r="W2361" t="n">
        <v>4</v>
      </c>
      <c r="X2361" t="n">
        <v>27.47252747252747</v>
      </c>
      <c r="Y2361" t="n">
        <v>1</v>
      </c>
      <c r="Z2361" t="n">
        <v>1</v>
      </c>
      <c r="AA2361" t="n">
        <v>0</v>
      </c>
      <c r="AB2361" t="n">
        <v>1</v>
      </c>
      <c r="AC2361" t="n">
        <v>3</v>
      </c>
      <c r="AD2361" t="n">
        <v>0</v>
      </c>
      <c r="AE2361" t="n">
        <v>48132</v>
      </c>
      <c r="AF2361" t="n">
        <v>10060</v>
      </c>
      <c r="AG2361" t="n">
        <v>78</v>
      </c>
      <c r="AH2361" t="inlineStr">
        <is>
          <t>PT. GLORIENTA P.H - PPN (PDG)</t>
        </is>
      </c>
      <c r="AI2361" t="n">
        <v>83</v>
      </c>
      <c r="AJ2361" t="inlineStr">
        <is>
          <t>IMPLORA</t>
        </is>
      </c>
      <c r="AK2361" t="n">
        <v>21</v>
      </c>
      <c r="AL2361" t="inlineStr">
        <is>
          <t>Miss Glam Damar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IMPLORA</t>
        </is>
      </c>
      <c r="B2362" s="2">
        <f>"1212040009007"</f>
        <v/>
      </c>
      <c r="C2362" t="inlineStr">
        <is>
          <t>IMPLORA Urban Lip Cream Matte 09 Butterscoth</t>
        </is>
      </c>
      <c r="D2362" t="inlineStr">
        <is>
          <t>Miss Glam Damar</t>
        </is>
      </c>
      <c r="E2362" t="n">
        <v>9</v>
      </c>
      <c r="F2362" t="n">
        <v>0.2912</v>
      </c>
      <c r="G2362" t="n">
        <v>1.82</v>
      </c>
      <c r="H2362" t="n">
        <v>3</v>
      </c>
      <c r="I2362" t="n">
        <v>11</v>
      </c>
      <c r="J2362" t="n">
        <v>3</v>
      </c>
      <c r="K2362" t="n">
        <v>0</v>
      </c>
      <c r="L2362" t="n">
        <v>16205</v>
      </c>
      <c r="M2362" t="n">
        <v>21000</v>
      </c>
      <c r="N2362" t="n">
        <v>91</v>
      </c>
      <c r="O2362" t="n">
        <v>0.91</v>
      </c>
      <c r="P2362" t="n">
        <v>1</v>
      </c>
      <c r="Q2362" t="n">
        <v>0.19</v>
      </c>
      <c r="R2362" t="n">
        <v>1</v>
      </c>
      <c r="S2362" t="n">
        <v>6115.200000000001</v>
      </c>
      <c r="T2362" t="n">
        <v>20</v>
      </c>
      <c r="U2362" t="n">
        <v>21</v>
      </c>
      <c r="V2362" t="n">
        <v>30</v>
      </c>
      <c r="W2362" t="n">
        <v>9</v>
      </c>
      <c r="X2362" t="n">
        <v>30.90659340659341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10060</v>
      </c>
      <c r="AG2362" t="n">
        <v>78</v>
      </c>
      <c r="AH2362" t="inlineStr">
        <is>
          <t>PT. GLORIENTA P.H - PPN (PDG)</t>
        </is>
      </c>
      <c r="AI2362" t="n">
        <v>83</v>
      </c>
      <c r="AJ2362" t="inlineStr">
        <is>
          <t>IMPLORA</t>
        </is>
      </c>
      <c r="AK2362" t="n">
        <v>21</v>
      </c>
      <c r="AL2362" t="inlineStr">
        <is>
          <t>Miss Glam Damar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IMPLORA</t>
        </is>
      </c>
      <c r="B2363" s="2">
        <f>"1212040010003"</f>
        <v/>
      </c>
      <c r="C2363" t="inlineStr">
        <is>
          <t>IMPLORA Urban Lip Cream Matte 10 Gingerbread</t>
        </is>
      </c>
      <c r="D2363" t="inlineStr">
        <is>
          <t>Miss Glam Damar</t>
        </is>
      </c>
      <c r="E2363" t="n">
        <v>1</v>
      </c>
      <c r="F2363" t="n">
        <v>0.2821</v>
      </c>
      <c r="G2363" t="n">
        <v>1.82</v>
      </c>
      <c r="H2363" t="n">
        <v>3</v>
      </c>
      <c r="I2363" t="n">
        <v>11</v>
      </c>
      <c r="J2363" t="n">
        <v>3</v>
      </c>
      <c r="K2363" t="n">
        <v>0</v>
      </c>
      <c r="L2363" t="n">
        <v>16218</v>
      </c>
      <c r="M2363" t="n">
        <v>21000</v>
      </c>
      <c r="N2363" t="n">
        <v>91</v>
      </c>
      <c r="O2363" t="n">
        <v>0.91</v>
      </c>
      <c r="P2363" t="n">
        <v>1</v>
      </c>
      <c r="Q2363" t="n">
        <v>0.12</v>
      </c>
      <c r="R2363" t="n">
        <v>1</v>
      </c>
      <c r="S2363" t="n">
        <v>5924.1</v>
      </c>
      <c r="T2363" t="n">
        <v>20</v>
      </c>
      <c r="U2363" t="n">
        <v>21</v>
      </c>
      <c r="V2363" t="n">
        <v>30</v>
      </c>
      <c r="W2363" t="n">
        <v>9</v>
      </c>
      <c r="X2363" t="n">
        <v>3.544842254519674</v>
      </c>
      <c r="Y2363" t="n">
        <v>1</v>
      </c>
      <c r="Z2363" t="n">
        <v>8</v>
      </c>
      <c r="AA2363" t="n">
        <v>3</v>
      </c>
      <c r="AB2363" t="n">
        <v>5</v>
      </c>
      <c r="AC2363" t="n">
        <v>5</v>
      </c>
      <c r="AD2363" t="n">
        <v>48654</v>
      </c>
      <c r="AE2363" t="n">
        <v>81090</v>
      </c>
      <c r="AF2363" t="n">
        <v>10060</v>
      </c>
      <c r="AG2363" t="n">
        <v>78</v>
      </c>
      <c r="AH2363" t="inlineStr">
        <is>
          <t>PT. GLORIENTA P.H - PPN (PDG)</t>
        </is>
      </c>
      <c r="AI2363" t="n">
        <v>83</v>
      </c>
      <c r="AJ2363" t="inlineStr">
        <is>
          <t>IMPLORA</t>
        </is>
      </c>
      <c r="AK2363" t="n">
        <v>21</v>
      </c>
      <c r="AL2363" t="inlineStr">
        <is>
          <t>Miss Glam Damar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IMPLORA</t>
        </is>
      </c>
      <c r="B2364" s="2">
        <f>"1212040013004"</f>
        <v/>
      </c>
      <c r="C2364" t="inlineStr">
        <is>
          <t>IMPLORA Urban Lip Cream Matte 13 Hazelnude</t>
        </is>
      </c>
      <c r="D2364" t="inlineStr">
        <is>
          <t>Miss Glam Damar</t>
        </is>
      </c>
      <c r="E2364" t="n">
        <v>7</v>
      </c>
      <c r="F2364" t="n">
        <v>0.2912</v>
      </c>
      <c r="G2364" t="n">
        <v>0.91</v>
      </c>
      <c r="H2364" t="n">
        <v>3</v>
      </c>
      <c r="I2364" t="n">
        <v>11</v>
      </c>
      <c r="J2364" t="n">
        <v>3</v>
      </c>
      <c r="K2364" t="n">
        <v>0</v>
      </c>
      <c r="L2364" t="n">
        <v>16218</v>
      </c>
      <c r="M2364" t="n">
        <v>21000</v>
      </c>
      <c r="N2364" t="n">
        <v>91</v>
      </c>
      <c r="O2364" t="n">
        <v>0.91</v>
      </c>
      <c r="P2364" t="n">
        <v>1</v>
      </c>
      <c r="Q2364" t="n">
        <v>0.15</v>
      </c>
      <c r="R2364" t="n">
        <v>1</v>
      </c>
      <c r="S2364" t="n">
        <v>6115.200000000001</v>
      </c>
      <c r="T2364" t="n">
        <v>10</v>
      </c>
      <c r="U2364" t="n">
        <v>11</v>
      </c>
      <c r="V2364" t="n">
        <v>30</v>
      </c>
      <c r="W2364" t="n">
        <v>9</v>
      </c>
      <c r="X2364" t="n">
        <v>24.03846153846154</v>
      </c>
      <c r="Y2364" t="n">
        <v>1</v>
      </c>
      <c r="Z2364" t="n">
        <v>2</v>
      </c>
      <c r="AA2364" t="n">
        <v>0</v>
      </c>
      <c r="AB2364" t="n">
        <v>2</v>
      </c>
      <c r="AC2364" t="n">
        <v>3</v>
      </c>
      <c r="AD2364" t="n">
        <v>0</v>
      </c>
      <c r="AE2364" t="n">
        <v>48654</v>
      </c>
      <c r="AF2364" t="n">
        <v>10060</v>
      </c>
      <c r="AG2364" t="n">
        <v>78</v>
      </c>
      <c r="AH2364" t="inlineStr">
        <is>
          <t>PT. GLORIENTA P.H - PPN (PDG)</t>
        </is>
      </c>
      <c r="AI2364" t="n">
        <v>83</v>
      </c>
      <c r="AJ2364" t="inlineStr">
        <is>
          <t>IMPLORA</t>
        </is>
      </c>
      <c r="AK2364" t="n">
        <v>21</v>
      </c>
      <c r="AL2364" t="inlineStr">
        <is>
          <t>Miss Glam Damar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IMPLORA</t>
        </is>
      </c>
      <c r="B2365" s="2">
        <f>"1212040014001"</f>
        <v/>
      </c>
      <c r="C2365" t="inlineStr">
        <is>
          <t>IMPLORA Urban Lip Cream Matte 14 Baby Rose</t>
        </is>
      </c>
      <c r="D2365" t="inlineStr">
        <is>
          <t>Miss Glam Damar</t>
        </is>
      </c>
      <c r="E2365" t="n">
        <v>2</v>
      </c>
      <c r="F2365" t="n">
        <v>0.2002</v>
      </c>
      <c r="G2365" t="n">
        <v>1.82</v>
      </c>
      <c r="H2365" t="n">
        <v>3</v>
      </c>
      <c r="I2365" t="n">
        <v>11</v>
      </c>
      <c r="J2365" t="n">
        <v>3</v>
      </c>
      <c r="K2365" t="n">
        <v>0</v>
      </c>
      <c r="L2365" t="n">
        <v>16219</v>
      </c>
      <c r="M2365" t="n">
        <v>21000</v>
      </c>
      <c r="N2365" t="n">
        <v>91</v>
      </c>
      <c r="O2365" t="n">
        <v>0.91</v>
      </c>
      <c r="P2365" t="n">
        <v>1</v>
      </c>
      <c r="Q2365" t="n">
        <v>0.02</v>
      </c>
      <c r="R2365" t="n">
        <v>1</v>
      </c>
      <c r="S2365" t="n">
        <v>4204.200000000001</v>
      </c>
      <c r="T2365" t="n">
        <v>20</v>
      </c>
      <c r="U2365" t="n">
        <v>21</v>
      </c>
      <c r="V2365" t="n">
        <v>30</v>
      </c>
      <c r="W2365" t="n">
        <v>7</v>
      </c>
      <c r="X2365" t="n">
        <v>9.990009990009989</v>
      </c>
      <c r="Y2365" t="n">
        <v>1</v>
      </c>
      <c r="Z2365" t="n">
        <v>5</v>
      </c>
      <c r="AA2365" t="n">
        <v>1</v>
      </c>
      <c r="AB2365" t="n">
        <v>4</v>
      </c>
      <c r="AC2365" t="n">
        <v>4</v>
      </c>
      <c r="AD2365" t="n">
        <v>16219</v>
      </c>
      <c r="AE2365" t="n">
        <v>64876</v>
      </c>
      <c r="AF2365" t="n">
        <v>10060</v>
      </c>
      <c r="AG2365" t="n">
        <v>78</v>
      </c>
      <c r="AH2365" t="inlineStr">
        <is>
          <t>PT. GLORIENTA P.H - PPN (PDG)</t>
        </is>
      </c>
      <c r="AI2365" t="n">
        <v>83</v>
      </c>
      <c r="AJ2365" t="inlineStr">
        <is>
          <t>IMPLORA</t>
        </is>
      </c>
      <c r="AK2365" t="n">
        <v>21</v>
      </c>
      <c r="AL2365" t="inlineStr">
        <is>
          <t>Miss Glam Damar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IMPLORA</t>
        </is>
      </c>
      <c r="B2366" s="2">
        <f>"1212040016005"</f>
        <v/>
      </c>
      <c r="C2366" t="inlineStr">
        <is>
          <t>IMPLORA Urban Lip Cream Matte 16 Dusty Peach</t>
        </is>
      </c>
      <c r="D2366" t="inlineStr">
        <is>
          <t>Miss Glam Damar</t>
        </is>
      </c>
      <c r="E2366" t="n">
        <v>5</v>
      </c>
      <c r="F2366" t="n">
        <v>0.2821</v>
      </c>
      <c r="G2366" t="n">
        <v>2.73</v>
      </c>
      <c r="H2366" t="n">
        <v>3</v>
      </c>
      <c r="I2366" t="n">
        <v>11</v>
      </c>
      <c r="J2366" t="n">
        <v>3</v>
      </c>
      <c r="K2366" t="n">
        <v>0</v>
      </c>
      <c r="L2366" t="n">
        <v>16218</v>
      </c>
      <c r="M2366" t="n">
        <v>21000</v>
      </c>
      <c r="N2366" t="n">
        <v>91</v>
      </c>
      <c r="O2366" t="n">
        <v>0.91</v>
      </c>
      <c r="P2366" t="n">
        <v>1</v>
      </c>
      <c r="Q2366" t="n">
        <v>0.07000000000000001</v>
      </c>
      <c r="R2366" t="n">
        <v>2</v>
      </c>
      <c r="S2366" t="n">
        <v>5924.1</v>
      </c>
      <c r="T2366" t="n">
        <v>30</v>
      </c>
      <c r="U2366" t="n">
        <v>31</v>
      </c>
      <c r="V2366" t="n">
        <v>30</v>
      </c>
      <c r="W2366" t="n">
        <v>9</v>
      </c>
      <c r="X2366" t="n">
        <v>17.72421127259837</v>
      </c>
      <c r="Y2366" t="n">
        <v>1</v>
      </c>
      <c r="Z2366" t="n">
        <v>4</v>
      </c>
      <c r="AA2366" t="n">
        <v>0</v>
      </c>
      <c r="AB2366" t="n">
        <v>4</v>
      </c>
      <c r="AC2366" t="n">
        <v>4</v>
      </c>
      <c r="AD2366" t="n">
        <v>0</v>
      </c>
      <c r="AE2366" t="n">
        <v>64872</v>
      </c>
      <c r="AF2366" t="n">
        <v>10060</v>
      </c>
      <c r="AG2366" t="n">
        <v>78</v>
      </c>
      <c r="AH2366" t="inlineStr">
        <is>
          <t>PT. GLORIENTA P.H - PPN (PDG)</t>
        </is>
      </c>
      <c r="AI2366" t="n">
        <v>83</v>
      </c>
      <c r="AJ2366" t="inlineStr">
        <is>
          <t>IMPLORA</t>
        </is>
      </c>
      <c r="AK2366" t="n">
        <v>21</v>
      </c>
      <c r="AL2366" t="inlineStr">
        <is>
          <t>Miss Glam Damar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IMPLORA</t>
        </is>
      </c>
      <c r="B2367" s="2">
        <f>"1212040017002"</f>
        <v/>
      </c>
      <c r="C2367" t="inlineStr">
        <is>
          <t>IMPLORA Urban Lip Cream Matte 17 Redwood</t>
        </is>
      </c>
      <c r="D2367" t="inlineStr">
        <is>
          <t>Miss Glam Damar</t>
        </is>
      </c>
      <c r="E2367" t="n">
        <v>7</v>
      </c>
      <c r="F2367" t="n">
        <v>0.0273</v>
      </c>
      <c r="G2367" t="n">
        <v>1.82</v>
      </c>
      <c r="H2367" t="n">
        <v>3</v>
      </c>
      <c r="I2367" t="n">
        <v>11</v>
      </c>
      <c r="J2367" t="n">
        <v>3</v>
      </c>
      <c r="K2367" t="n">
        <v>0</v>
      </c>
      <c r="L2367" t="n">
        <v>16218</v>
      </c>
      <c r="M2367" t="n">
        <v>21000</v>
      </c>
      <c r="N2367" t="n">
        <v>91</v>
      </c>
      <c r="O2367" t="n">
        <v>0.91</v>
      </c>
      <c r="P2367" t="n">
        <v>1</v>
      </c>
      <c r="Q2367" t="n">
        <v>0.14</v>
      </c>
      <c r="R2367" t="n">
        <v>1</v>
      </c>
      <c r="S2367" t="n">
        <v>573.3000000000001</v>
      </c>
      <c r="T2367" t="n">
        <v>20</v>
      </c>
      <c r="U2367" t="n">
        <v>21</v>
      </c>
      <c r="V2367" t="n">
        <v>30</v>
      </c>
      <c r="W2367" t="n">
        <v>1</v>
      </c>
      <c r="X2367" t="n">
        <v>256.4102564102564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10060</v>
      </c>
      <c r="AG2367" t="n">
        <v>78</v>
      </c>
      <c r="AH2367" t="inlineStr">
        <is>
          <t>PT. GLORIENTA P.H - PPN (PDG)</t>
        </is>
      </c>
      <c r="AI2367" t="n">
        <v>83</v>
      </c>
      <c r="AJ2367" t="inlineStr">
        <is>
          <t>IMPLORA</t>
        </is>
      </c>
      <c r="AK2367" t="n">
        <v>21</v>
      </c>
      <c r="AL2367" t="inlineStr">
        <is>
          <t>Miss Glam Damar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IMPLORA</t>
        </is>
      </c>
      <c r="B2368" s="2">
        <f>"1212040018009"</f>
        <v/>
      </c>
      <c r="C2368" t="inlineStr">
        <is>
          <t>IMPLORA Urban Lip Cream Matte 18 Ruby</t>
        </is>
      </c>
      <c r="D2368" t="inlineStr">
        <is>
          <t>Miss Glam Damar</t>
        </is>
      </c>
      <c r="E2368" t="n">
        <v>14</v>
      </c>
      <c r="F2368" t="n">
        <v>0.182</v>
      </c>
      <c r="G2368" t="n">
        <v>1.82</v>
      </c>
      <c r="H2368" t="n">
        <v>3</v>
      </c>
      <c r="I2368" t="n">
        <v>11</v>
      </c>
      <c r="J2368" t="n">
        <v>3</v>
      </c>
      <c r="K2368" t="n">
        <v>0</v>
      </c>
      <c r="L2368" t="n">
        <v>16219</v>
      </c>
      <c r="M2368" t="n">
        <v>21000</v>
      </c>
      <c r="N2368" t="n">
        <v>91</v>
      </c>
      <c r="O2368" t="n">
        <v>0.91</v>
      </c>
      <c r="P2368" t="n">
        <v>1</v>
      </c>
      <c r="Q2368" t="n">
        <v>0.2</v>
      </c>
      <c r="R2368" t="n">
        <v>2</v>
      </c>
      <c r="S2368" t="n">
        <v>3822</v>
      </c>
      <c r="T2368" t="n">
        <v>20</v>
      </c>
      <c r="U2368" t="n">
        <v>21</v>
      </c>
      <c r="V2368" t="n">
        <v>30</v>
      </c>
      <c r="W2368" t="n">
        <v>6</v>
      </c>
      <c r="X2368" t="n">
        <v>76.92307692307692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10060</v>
      </c>
      <c r="AG2368" t="n">
        <v>78</v>
      </c>
      <c r="AH2368" t="inlineStr">
        <is>
          <t>PT. GLORIENTA P.H - PPN (PDG)</t>
        </is>
      </c>
      <c r="AI2368" t="n">
        <v>83</v>
      </c>
      <c r="AJ2368" t="inlineStr">
        <is>
          <t>IMPLORA</t>
        </is>
      </c>
      <c r="AK2368" t="n">
        <v>21</v>
      </c>
      <c r="AL2368" t="inlineStr">
        <is>
          <t>Miss Glam Damar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IMPLORA</t>
        </is>
      </c>
      <c r="B2369" s="2">
        <f>"1212040019006"</f>
        <v/>
      </c>
      <c r="C2369" t="inlineStr">
        <is>
          <t>IMPLORA Urban Lip Cream Matte 19 Carolina</t>
        </is>
      </c>
      <c r="D2369" t="inlineStr">
        <is>
          <t>Miss Glam Damar</t>
        </is>
      </c>
      <c r="E2369" t="n">
        <v>7</v>
      </c>
      <c r="F2369" t="n">
        <v>0.6916</v>
      </c>
      <c r="G2369" t="n">
        <v>3.64</v>
      </c>
      <c r="H2369" t="n">
        <v>3</v>
      </c>
      <c r="I2369" t="n">
        <v>11</v>
      </c>
      <c r="J2369" t="n">
        <v>3</v>
      </c>
      <c r="K2369" t="n">
        <v>0</v>
      </c>
      <c r="L2369" t="n">
        <v>16218</v>
      </c>
      <c r="M2369" t="n">
        <v>21000</v>
      </c>
      <c r="N2369" t="n">
        <v>91</v>
      </c>
      <c r="O2369" t="n">
        <v>0.91</v>
      </c>
      <c r="P2369" t="n">
        <v>1</v>
      </c>
      <c r="Q2369" t="n">
        <v>0.37</v>
      </c>
      <c r="R2369" t="n">
        <v>2</v>
      </c>
      <c r="S2369" t="n">
        <v>14523.6</v>
      </c>
      <c r="T2369" t="n">
        <v>38</v>
      </c>
      <c r="U2369" t="n">
        <v>41</v>
      </c>
      <c r="V2369" t="n">
        <v>30</v>
      </c>
      <c r="W2369" t="n">
        <v>21</v>
      </c>
      <c r="X2369" t="n">
        <v>10.12145748987854</v>
      </c>
      <c r="Y2369" t="n">
        <v>1</v>
      </c>
      <c r="Z2369" t="n">
        <v>14</v>
      </c>
      <c r="AA2369" t="n">
        <v>1</v>
      </c>
      <c r="AB2369" t="n">
        <v>13</v>
      </c>
      <c r="AC2369" t="n">
        <v>13</v>
      </c>
      <c r="AD2369" t="n">
        <v>16218</v>
      </c>
      <c r="AE2369" t="n">
        <v>210834</v>
      </c>
      <c r="AF2369" t="n">
        <v>10060</v>
      </c>
      <c r="AG2369" t="n">
        <v>78</v>
      </c>
      <c r="AH2369" t="inlineStr">
        <is>
          <t>PT. GLORIENTA P.H - PPN (PDG)</t>
        </is>
      </c>
      <c r="AI2369" t="n">
        <v>83</v>
      </c>
      <c r="AJ2369" t="inlineStr">
        <is>
          <t>IMPLORA</t>
        </is>
      </c>
      <c r="AK2369" t="n">
        <v>21</v>
      </c>
      <c r="AL2369" t="inlineStr">
        <is>
          <t>Miss Glam Damar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IMPLORA</t>
        </is>
      </c>
      <c r="B2370" s="2">
        <f>"1212040020002"</f>
        <v/>
      </c>
      <c r="C2370" t="inlineStr">
        <is>
          <t>IMPLORA Urban Lip Cream Matte 20 Red Gala</t>
        </is>
      </c>
      <c r="D2370" t="inlineStr">
        <is>
          <t>Miss Glam Damar</t>
        </is>
      </c>
      <c r="E2370" t="n">
        <v>6</v>
      </c>
      <c r="F2370" t="n">
        <v>0.1729</v>
      </c>
      <c r="G2370" t="n">
        <v>1.82</v>
      </c>
      <c r="H2370" t="n">
        <v>3</v>
      </c>
      <c r="I2370" t="n">
        <v>11</v>
      </c>
      <c r="J2370" t="n">
        <v>3</v>
      </c>
      <c r="K2370" t="n">
        <v>0</v>
      </c>
      <c r="L2370" t="n">
        <v>16219</v>
      </c>
      <c r="M2370" t="n">
        <v>21000</v>
      </c>
      <c r="N2370" t="n">
        <v>91</v>
      </c>
      <c r="O2370" t="n">
        <v>0.91</v>
      </c>
      <c r="P2370" t="n">
        <v>1</v>
      </c>
      <c r="Q2370" t="n">
        <v>0.03</v>
      </c>
      <c r="R2370" t="n">
        <v>1</v>
      </c>
      <c r="S2370" t="n">
        <v>3630.9</v>
      </c>
      <c r="T2370" t="n">
        <v>20</v>
      </c>
      <c r="U2370" t="n">
        <v>21</v>
      </c>
      <c r="V2370" t="n">
        <v>30</v>
      </c>
      <c r="W2370" t="n">
        <v>6</v>
      </c>
      <c r="X2370" t="n">
        <v>34.70213996529786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10060</v>
      </c>
      <c r="AG2370" t="n">
        <v>78</v>
      </c>
      <c r="AH2370" t="inlineStr">
        <is>
          <t>PT. GLORIENTA P.H - PPN (PDG)</t>
        </is>
      </c>
      <c r="AI2370" t="n">
        <v>83</v>
      </c>
      <c r="AJ2370" t="inlineStr">
        <is>
          <t>IMPLORA</t>
        </is>
      </c>
      <c r="AK2370" t="n">
        <v>21</v>
      </c>
      <c r="AL2370" t="inlineStr">
        <is>
          <t>Miss Glam Damar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IMPLORA</t>
        </is>
      </c>
      <c r="B2371" s="2">
        <f>"8993883800008"</f>
        <v/>
      </c>
      <c r="C2371" t="inlineStr">
        <is>
          <t>IMPLORA Whitening Milky Serum Ampoule 5ml</t>
        </is>
      </c>
      <c r="D2371" t="inlineStr">
        <is>
          <t>Miss Glam Damar</t>
        </is>
      </c>
      <c r="E2371" t="n">
        <v>13</v>
      </c>
      <c r="F2371" t="n">
        <v>0.0728</v>
      </c>
      <c r="G2371" t="n">
        <v>1.82</v>
      </c>
      <c r="H2371" t="n">
        <v>3</v>
      </c>
      <c r="I2371" t="n">
        <v>11</v>
      </c>
      <c r="J2371" t="n">
        <v>3</v>
      </c>
      <c r="K2371" t="n">
        <v>0</v>
      </c>
      <c r="L2371" t="n">
        <v>6130</v>
      </c>
      <c r="M2371" t="n">
        <v>8000</v>
      </c>
      <c r="N2371" t="n">
        <v>91</v>
      </c>
      <c r="O2371" t="n">
        <v>0.91</v>
      </c>
      <c r="P2371" t="n">
        <v>1</v>
      </c>
      <c r="Q2371" t="n">
        <v>0.03</v>
      </c>
      <c r="R2371" t="n">
        <v>2</v>
      </c>
      <c r="S2371" t="n">
        <v>582.4</v>
      </c>
      <c r="T2371" t="n">
        <v>20</v>
      </c>
      <c r="U2371" t="n">
        <v>21</v>
      </c>
      <c r="V2371" t="n">
        <v>30</v>
      </c>
      <c r="W2371" t="n">
        <v>3</v>
      </c>
      <c r="X2371" t="n">
        <v>178.5714285714286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10060</v>
      </c>
      <c r="AG2371" t="n">
        <v>78</v>
      </c>
      <c r="AH2371" t="inlineStr">
        <is>
          <t>PT. GLORIENTA P.H - PPN (PDG)</t>
        </is>
      </c>
      <c r="AI2371" t="n">
        <v>83</v>
      </c>
      <c r="AJ2371" t="inlineStr">
        <is>
          <t>IMPLORA</t>
        </is>
      </c>
      <c r="AK2371" t="n">
        <v>21</v>
      </c>
      <c r="AL2371" t="inlineStr">
        <is>
          <t>Miss Glam Damar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IMPLORA</t>
        </is>
      </c>
      <c r="B2372" s="2">
        <f>"8993883800800"</f>
        <v/>
      </c>
      <c r="C2372" t="inlineStr">
        <is>
          <t>IMPLORA Wow Brow Pomade Black 2,5gr</t>
        </is>
      </c>
      <c r="D2372" t="inlineStr">
        <is>
          <t>Miss Glam Damar</t>
        </is>
      </c>
      <c r="E2372" t="n">
        <v>20</v>
      </c>
      <c r="F2372" t="n">
        <v>0.9737000000000001</v>
      </c>
      <c r="G2372" t="n">
        <v>3.64</v>
      </c>
      <c r="H2372" t="n">
        <v>3</v>
      </c>
      <c r="I2372" t="n">
        <v>11</v>
      </c>
      <c r="J2372" t="n">
        <v>3</v>
      </c>
      <c r="K2372" t="n">
        <v>0</v>
      </c>
      <c r="L2372" t="n">
        <v>17072</v>
      </c>
      <c r="M2372" t="n">
        <v>22000</v>
      </c>
      <c r="N2372" t="n">
        <v>91</v>
      </c>
      <c r="O2372" t="n">
        <v>0.91</v>
      </c>
      <c r="P2372" t="n">
        <v>1</v>
      </c>
      <c r="Q2372" t="n">
        <v>0.61</v>
      </c>
      <c r="R2372" t="n">
        <v>3</v>
      </c>
      <c r="S2372" t="n">
        <v>21421.4</v>
      </c>
      <c r="T2372" t="n">
        <v>38</v>
      </c>
      <c r="U2372" t="n">
        <v>41</v>
      </c>
      <c r="V2372" t="n">
        <v>30</v>
      </c>
      <c r="W2372" t="n">
        <v>30</v>
      </c>
      <c r="X2372" t="n">
        <v>20.5402074560953</v>
      </c>
      <c r="Y2372" t="n">
        <v>1</v>
      </c>
      <c r="Z2372" t="n">
        <v>10</v>
      </c>
      <c r="AA2372" t="n">
        <v>0</v>
      </c>
      <c r="AB2372" t="n">
        <v>10</v>
      </c>
      <c r="AC2372" t="n">
        <v>10</v>
      </c>
      <c r="AD2372" t="n">
        <v>0</v>
      </c>
      <c r="AE2372" t="n">
        <v>170720</v>
      </c>
      <c r="AF2372" t="n">
        <v>10060</v>
      </c>
      <c r="AG2372" t="n">
        <v>78</v>
      </c>
      <c r="AH2372" t="inlineStr">
        <is>
          <t>PT. GLORIENTA P.H - PPN (PDG)</t>
        </is>
      </c>
      <c r="AI2372" t="n">
        <v>83</v>
      </c>
      <c r="AJ2372" t="inlineStr">
        <is>
          <t>IMPLORA</t>
        </is>
      </c>
      <c r="AK2372" t="n">
        <v>21</v>
      </c>
      <c r="AL2372" t="inlineStr">
        <is>
          <t>Miss Glam Damar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IMPLORA</t>
        </is>
      </c>
      <c r="B2373" s="2">
        <f>"8993883800817"</f>
        <v/>
      </c>
      <c r="C2373" t="inlineStr">
        <is>
          <t>IMPLORA Wow Brow Pomade Dark Brown 2,5 gr</t>
        </is>
      </c>
      <c r="D2373" t="inlineStr">
        <is>
          <t>Miss Glam Damar</t>
        </is>
      </c>
      <c r="E2373" t="n">
        <v>11</v>
      </c>
      <c r="F2373" t="n">
        <v>1.4469</v>
      </c>
      <c r="G2373" t="n">
        <v>5.46</v>
      </c>
      <c r="H2373" t="n">
        <v>3</v>
      </c>
      <c r="I2373" t="n">
        <v>11</v>
      </c>
      <c r="J2373" t="n">
        <v>3</v>
      </c>
      <c r="K2373" t="n">
        <v>0</v>
      </c>
      <c r="L2373" t="n">
        <v>17072</v>
      </c>
      <c r="M2373" t="n">
        <v>22000</v>
      </c>
      <c r="N2373" t="n">
        <v>91</v>
      </c>
      <c r="O2373" t="n">
        <v>0.91</v>
      </c>
      <c r="P2373" t="n">
        <v>1</v>
      </c>
      <c r="Q2373" t="n">
        <v>0.59</v>
      </c>
      <c r="R2373" t="n">
        <v>3</v>
      </c>
      <c r="S2373" t="n">
        <v>31831.8</v>
      </c>
      <c r="T2373" t="n">
        <v>56</v>
      </c>
      <c r="U2373" t="n">
        <v>61</v>
      </c>
      <c r="V2373" t="n">
        <v>30</v>
      </c>
      <c r="W2373" t="n">
        <v>44</v>
      </c>
      <c r="X2373" t="n">
        <v>7.602460432649112</v>
      </c>
      <c r="Y2373" t="n">
        <v>1</v>
      </c>
      <c r="Z2373" t="n">
        <v>33</v>
      </c>
      <c r="AA2373" t="n">
        <v>5</v>
      </c>
      <c r="AB2373" t="n">
        <v>28</v>
      </c>
      <c r="AC2373" t="n">
        <v>28</v>
      </c>
      <c r="AD2373" t="n">
        <v>85360</v>
      </c>
      <c r="AE2373" t="n">
        <v>478016</v>
      </c>
      <c r="AF2373" t="n">
        <v>10060</v>
      </c>
      <c r="AG2373" t="n">
        <v>78</v>
      </c>
      <c r="AH2373" t="inlineStr">
        <is>
          <t>PT. GLORIENTA P.H - PPN (PDG)</t>
        </is>
      </c>
      <c r="AI2373" t="n">
        <v>83</v>
      </c>
      <c r="AJ2373" t="inlineStr">
        <is>
          <t>IMPLORA</t>
        </is>
      </c>
      <c r="AK2373" t="n">
        <v>21</v>
      </c>
      <c r="AL2373" t="inlineStr">
        <is>
          <t>Miss Glam Damar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IMPLORA</t>
        </is>
      </c>
      <c r="B2374" s="2">
        <f>"8993883800824"</f>
        <v/>
      </c>
      <c r="C2374" t="inlineStr">
        <is>
          <t>IMPLORA Wow Brow Pomade Dark Grey 2,5 gr</t>
        </is>
      </c>
      <c r="D2374" t="inlineStr">
        <is>
          <t>Miss Glam Damar</t>
        </is>
      </c>
      <c r="E2374" t="n">
        <v>2</v>
      </c>
      <c r="F2374" t="n">
        <v>0.1729</v>
      </c>
      <c r="G2374" t="n">
        <v>1.82</v>
      </c>
      <c r="H2374" t="n">
        <v>3</v>
      </c>
      <c r="I2374" t="n">
        <v>11</v>
      </c>
      <c r="J2374" t="n">
        <v>3</v>
      </c>
      <c r="K2374" t="n">
        <v>0</v>
      </c>
      <c r="L2374" t="n">
        <v>17029</v>
      </c>
      <c r="M2374" t="n">
        <v>22000</v>
      </c>
      <c r="N2374" t="n">
        <v>91</v>
      </c>
      <c r="O2374" t="n">
        <v>0.91</v>
      </c>
      <c r="P2374" t="n">
        <v>1</v>
      </c>
      <c r="Q2374" t="n">
        <v>0.15</v>
      </c>
      <c r="R2374" t="n">
        <v>1</v>
      </c>
      <c r="S2374" t="n">
        <v>3803.8</v>
      </c>
      <c r="T2374" t="n">
        <v>20</v>
      </c>
      <c r="U2374" t="n">
        <v>21</v>
      </c>
      <c r="V2374" t="n">
        <v>30</v>
      </c>
      <c r="W2374" t="n">
        <v>6</v>
      </c>
      <c r="X2374" t="n">
        <v>11.56737998843262</v>
      </c>
      <c r="Y2374" t="n">
        <v>1</v>
      </c>
      <c r="Z2374" t="n">
        <v>4</v>
      </c>
      <c r="AA2374" t="n">
        <v>0</v>
      </c>
      <c r="AB2374" t="n">
        <v>4</v>
      </c>
      <c r="AC2374" t="n">
        <v>4</v>
      </c>
      <c r="AD2374" t="n">
        <v>0</v>
      </c>
      <c r="AE2374" t="n">
        <v>68116</v>
      </c>
      <c r="AF2374" t="n">
        <v>10060</v>
      </c>
      <c r="AG2374" t="n">
        <v>78</v>
      </c>
      <c r="AH2374" t="inlineStr">
        <is>
          <t>PT. GLORIENTA P.H - PPN (PDG)</t>
        </is>
      </c>
      <c r="AI2374" t="n">
        <v>83</v>
      </c>
      <c r="AJ2374" t="inlineStr">
        <is>
          <t>IMPLORA</t>
        </is>
      </c>
      <c r="AK2374" t="n">
        <v>21</v>
      </c>
      <c r="AL2374" t="inlineStr">
        <is>
          <t>Miss Glam Damar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IMPLORA</t>
        </is>
      </c>
      <c r="B2375" s="2">
        <f>"8993883800831"</f>
        <v/>
      </c>
      <c r="C2375" t="inlineStr">
        <is>
          <t>IMPLORA Wow Brow Pomade Medium Brown 2,5gr</t>
        </is>
      </c>
      <c r="D2375" t="inlineStr">
        <is>
          <t>Miss Glam Damar</t>
        </is>
      </c>
      <c r="E2375" t="n">
        <v>4</v>
      </c>
      <c r="F2375" t="n">
        <v>0.5824</v>
      </c>
      <c r="G2375" t="n">
        <v>2.73</v>
      </c>
      <c r="H2375" t="n">
        <v>3</v>
      </c>
      <c r="I2375" t="n">
        <v>11</v>
      </c>
      <c r="J2375" t="n">
        <v>3</v>
      </c>
      <c r="K2375" t="n">
        <v>0</v>
      </c>
      <c r="L2375" t="n">
        <v>17072</v>
      </c>
      <c r="M2375" t="n">
        <v>22000</v>
      </c>
      <c r="N2375" t="n">
        <v>91</v>
      </c>
      <c r="O2375" t="n">
        <v>0.91</v>
      </c>
      <c r="P2375" t="n">
        <v>1</v>
      </c>
      <c r="Q2375" t="n">
        <v>0.27</v>
      </c>
      <c r="R2375" t="n">
        <v>2</v>
      </c>
      <c r="S2375" t="n">
        <v>12812.8</v>
      </c>
      <c r="T2375" t="n">
        <v>29</v>
      </c>
      <c r="U2375" t="n">
        <v>31</v>
      </c>
      <c r="V2375" t="n">
        <v>30</v>
      </c>
      <c r="W2375" t="n">
        <v>18</v>
      </c>
      <c r="X2375" t="n">
        <v>6.868131868131868</v>
      </c>
      <c r="Y2375" t="n">
        <v>1</v>
      </c>
      <c r="Z2375" t="n">
        <v>14</v>
      </c>
      <c r="AA2375" t="n">
        <v>3</v>
      </c>
      <c r="AB2375" t="n">
        <v>11</v>
      </c>
      <c r="AC2375" t="n">
        <v>11</v>
      </c>
      <c r="AD2375" t="n">
        <v>51216</v>
      </c>
      <c r="AE2375" t="n">
        <v>187792</v>
      </c>
      <c r="AF2375" t="n">
        <v>10060</v>
      </c>
      <c r="AG2375" t="n">
        <v>78</v>
      </c>
      <c r="AH2375" t="inlineStr">
        <is>
          <t>PT. GLORIENTA P.H - PPN (PDG)</t>
        </is>
      </c>
      <c r="AI2375" t="n">
        <v>83</v>
      </c>
      <c r="AJ2375" t="inlineStr">
        <is>
          <t>IMPLORA</t>
        </is>
      </c>
      <c r="AK2375" t="n">
        <v>21</v>
      </c>
      <c r="AL2375" t="inlineStr">
        <is>
          <t>Miss Glam Damar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IMPLORA</t>
        </is>
      </c>
      <c r="B2376" s="2">
        <f>"8993883801425"</f>
        <v/>
      </c>
      <c r="C2376" t="inlineStr">
        <is>
          <t>IMPLORA Zodiac Series Eau De Parfum Aries 30ml</t>
        </is>
      </c>
      <c r="D2376" t="inlineStr">
        <is>
          <t>Miss Glam Damar</t>
        </is>
      </c>
      <c r="E2376" t="n">
        <v>2</v>
      </c>
      <c r="F2376" t="n">
        <v>0.4914000000000001</v>
      </c>
      <c r="G2376" t="n">
        <v>2.73</v>
      </c>
      <c r="H2376" t="n">
        <v>3</v>
      </c>
      <c r="I2376" t="n">
        <v>11</v>
      </c>
      <c r="J2376" t="n">
        <v>3</v>
      </c>
      <c r="K2376" t="n">
        <v>0</v>
      </c>
      <c r="L2376" t="n">
        <v>20176</v>
      </c>
      <c r="M2376" t="n">
        <v>26000</v>
      </c>
      <c r="N2376" t="n">
        <v>91</v>
      </c>
      <c r="O2376" t="n">
        <v>0.91</v>
      </c>
      <c r="P2376" t="n">
        <v>1</v>
      </c>
      <c r="Q2376" t="n">
        <v>0.05</v>
      </c>
      <c r="R2376" t="n">
        <v>1</v>
      </c>
      <c r="S2376" t="n">
        <v>12776.4</v>
      </c>
      <c r="T2376" t="n">
        <v>29</v>
      </c>
      <c r="U2376" t="n">
        <v>31</v>
      </c>
      <c r="V2376" t="n">
        <v>30</v>
      </c>
      <c r="W2376" t="n">
        <v>15</v>
      </c>
      <c r="X2376" t="n">
        <v>4.070004070004069</v>
      </c>
      <c r="Y2376" t="n">
        <v>1</v>
      </c>
      <c r="Z2376" t="n">
        <v>13</v>
      </c>
      <c r="AA2376" t="n">
        <v>4</v>
      </c>
      <c r="AB2376" t="n">
        <v>9</v>
      </c>
      <c r="AC2376" t="n">
        <v>9</v>
      </c>
      <c r="AD2376" t="n">
        <v>80704</v>
      </c>
      <c r="AE2376" t="n">
        <v>181584</v>
      </c>
      <c r="AF2376" t="n">
        <v>10060</v>
      </c>
      <c r="AG2376" t="n">
        <v>78</v>
      </c>
      <c r="AH2376" t="inlineStr">
        <is>
          <t>PT. GLORIENTA P.H - PPN (PDG)</t>
        </is>
      </c>
      <c r="AI2376" t="n">
        <v>83</v>
      </c>
      <c r="AJ2376" t="inlineStr">
        <is>
          <t>IMPLORA</t>
        </is>
      </c>
      <c r="AK2376" t="n">
        <v>21</v>
      </c>
      <c r="AL2376" t="inlineStr">
        <is>
          <t>Miss Glam Damar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IMPLORA</t>
        </is>
      </c>
      <c r="B2377" s="2">
        <f>"8993883801432"</f>
        <v/>
      </c>
      <c r="C2377" t="inlineStr">
        <is>
          <t>IMPLORA Zodiac Series Eau De Parfum Cancer 30ml</t>
        </is>
      </c>
      <c r="D2377" t="inlineStr">
        <is>
          <t>Miss Glam Damar</t>
        </is>
      </c>
      <c r="E2377" t="n">
        <v>7</v>
      </c>
      <c r="F2377" t="n">
        <v>0.1365</v>
      </c>
      <c r="G2377" t="n">
        <v>0.91</v>
      </c>
      <c r="H2377" t="n">
        <v>3</v>
      </c>
      <c r="I2377" t="n">
        <v>11</v>
      </c>
      <c r="J2377" t="n">
        <v>3</v>
      </c>
      <c r="K2377" t="n">
        <v>0</v>
      </c>
      <c r="L2377" t="n">
        <v>20176</v>
      </c>
      <c r="M2377" t="n">
        <v>26000</v>
      </c>
      <c r="N2377" t="n">
        <v>91</v>
      </c>
      <c r="O2377" t="n">
        <v>0.91</v>
      </c>
      <c r="P2377" t="n">
        <v>1</v>
      </c>
      <c r="Q2377" t="n">
        <v>0.02</v>
      </c>
      <c r="R2377" t="n">
        <v>1</v>
      </c>
      <c r="S2377" t="n">
        <v>3549</v>
      </c>
      <c r="T2377" t="n">
        <v>10</v>
      </c>
      <c r="U2377" t="n">
        <v>11</v>
      </c>
      <c r="V2377" t="n">
        <v>30</v>
      </c>
      <c r="W2377" t="n">
        <v>5</v>
      </c>
      <c r="X2377" t="n">
        <v>51.28205128205128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10060</v>
      </c>
      <c r="AG2377" t="n">
        <v>78</v>
      </c>
      <c r="AH2377" t="inlineStr">
        <is>
          <t>PT. GLORIENTA P.H - PPN (PDG)</t>
        </is>
      </c>
      <c r="AI2377" t="n">
        <v>83</v>
      </c>
      <c r="AJ2377" t="inlineStr">
        <is>
          <t>IMPLORA</t>
        </is>
      </c>
      <c r="AK2377" t="n">
        <v>21</v>
      </c>
      <c r="AL2377" t="inlineStr">
        <is>
          <t>Miss Glam Damar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IMPLORA</t>
        </is>
      </c>
      <c r="B2378" s="2">
        <f>"8993883801463"</f>
        <v/>
      </c>
      <c r="C2378" t="inlineStr">
        <is>
          <t>IMPLORA Zodiac Series Eau De Parfum Gemini 30ml</t>
        </is>
      </c>
      <c r="D2378" t="inlineStr">
        <is>
          <t>Miss Glam Damar</t>
        </is>
      </c>
      <c r="E2378" t="n">
        <v>9</v>
      </c>
      <c r="F2378" t="n">
        <v>0.6188</v>
      </c>
      <c r="G2378" t="n">
        <v>3.64</v>
      </c>
      <c r="H2378" t="n">
        <v>3</v>
      </c>
      <c r="I2378" t="n">
        <v>11</v>
      </c>
      <c r="J2378" t="n">
        <v>3</v>
      </c>
      <c r="K2378" t="n">
        <v>0</v>
      </c>
      <c r="L2378" t="n">
        <v>20176</v>
      </c>
      <c r="M2378" t="n">
        <v>26000</v>
      </c>
      <c r="N2378" t="n">
        <v>91</v>
      </c>
      <c r="O2378" t="n">
        <v>0.91</v>
      </c>
      <c r="P2378" t="n">
        <v>1</v>
      </c>
      <c r="Q2378" t="n">
        <v>0.05</v>
      </c>
      <c r="R2378" t="n">
        <v>1</v>
      </c>
      <c r="S2378" t="n">
        <v>16088.8</v>
      </c>
      <c r="T2378" t="n">
        <v>39</v>
      </c>
      <c r="U2378" t="n">
        <v>41</v>
      </c>
      <c r="V2378" t="n">
        <v>30</v>
      </c>
      <c r="W2378" t="n">
        <v>19</v>
      </c>
      <c r="X2378" t="n">
        <v>14.5442792501616</v>
      </c>
      <c r="Y2378" t="n">
        <v>1</v>
      </c>
      <c r="Z2378" t="n">
        <v>10</v>
      </c>
      <c r="AA2378" t="n">
        <v>0</v>
      </c>
      <c r="AB2378" t="n">
        <v>10</v>
      </c>
      <c r="AC2378" t="n">
        <v>10</v>
      </c>
      <c r="AD2378" t="n">
        <v>0</v>
      </c>
      <c r="AE2378" t="n">
        <v>201760</v>
      </c>
      <c r="AF2378" t="n">
        <v>10060</v>
      </c>
      <c r="AG2378" t="n">
        <v>78</v>
      </c>
      <c r="AH2378" t="inlineStr">
        <is>
          <t>PT. GLORIENTA P.H - PPN (PDG)</t>
        </is>
      </c>
      <c r="AI2378" t="n">
        <v>83</v>
      </c>
      <c r="AJ2378" t="inlineStr">
        <is>
          <t>IMPLORA</t>
        </is>
      </c>
      <c r="AK2378" t="n">
        <v>21</v>
      </c>
      <c r="AL2378" t="inlineStr">
        <is>
          <t>Miss Glam Damar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IMPLORA</t>
        </is>
      </c>
      <c r="B2379" s="2">
        <f>"8993883801487"</f>
        <v/>
      </c>
      <c r="C2379" t="inlineStr">
        <is>
          <t>IMPLORA Zodiac Series Eau De Parfum Libra 30ml</t>
        </is>
      </c>
      <c r="D2379" t="inlineStr">
        <is>
          <t>Miss Glam Damar</t>
        </is>
      </c>
      <c r="E2379" t="n">
        <v>8</v>
      </c>
      <c r="F2379" t="n">
        <v>0.02</v>
      </c>
      <c r="G2379" t="n">
        <v>1</v>
      </c>
      <c r="H2379" t="n">
        <v>3</v>
      </c>
      <c r="I2379" t="n">
        <v>11</v>
      </c>
      <c r="J2379" t="n">
        <v>3</v>
      </c>
      <c r="K2379" t="n">
        <v>0</v>
      </c>
      <c r="L2379" t="n">
        <v>20176</v>
      </c>
      <c r="M2379" t="n">
        <v>26000</v>
      </c>
      <c r="N2379" t="n">
        <v>91</v>
      </c>
      <c r="O2379" t="n">
        <v>0.91</v>
      </c>
      <c r="P2379" t="n">
        <v>0</v>
      </c>
      <c r="Q2379" t="n">
        <v>0.02</v>
      </c>
      <c r="R2379" t="n">
        <v>1</v>
      </c>
      <c r="S2379" t="n">
        <v>520</v>
      </c>
      <c r="T2379" t="n">
        <v>11</v>
      </c>
      <c r="U2379" t="n">
        <v>12</v>
      </c>
      <c r="V2379" t="n">
        <v>30</v>
      </c>
      <c r="W2379" t="n">
        <v>1</v>
      </c>
      <c r="X2379" t="n">
        <v>400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10060</v>
      </c>
      <c r="AG2379" t="n">
        <v>78</v>
      </c>
      <c r="AH2379" t="inlineStr">
        <is>
          <t>PT. GLORIENTA P.H - PPN (PDG)</t>
        </is>
      </c>
      <c r="AI2379" t="n">
        <v>83</v>
      </c>
      <c r="AJ2379" t="inlineStr">
        <is>
          <t>IMPLORA</t>
        </is>
      </c>
      <c r="AK2379" t="n">
        <v>21</v>
      </c>
      <c r="AL2379" t="inlineStr">
        <is>
          <t>Miss Glam Damar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IMPLORA</t>
        </is>
      </c>
      <c r="B2380" s="2">
        <f>"8993883801500"</f>
        <v/>
      </c>
      <c r="C2380" t="inlineStr">
        <is>
          <t>IMPLORA Zodiac Series Eau De Parfum Sagitarius 30ml</t>
        </is>
      </c>
      <c r="D2380" t="inlineStr">
        <is>
          <t>Miss Glam Damar</t>
        </is>
      </c>
      <c r="E2380" t="n">
        <v>6</v>
      </c>
      <c r="F2380" t="n">
        <v>0.4186</v>
      </c>
      <c r="G2380" t="n">
        <v>2.73</v>
      </c>
      <c r="H2380" t="n">
        <v>3</v>
      </c>
      <c r="I2380" t="n">
        <v>11</v>
      </c>
      <c r="J2380" t="n">
        <v>3</v>
      </c>
      <c r="K2380" t="n">
        <v>0</v>
      </c>
      <c r="L2380" t="n">
        <v>20176</v>
      </c>
      <c r="M2380" t="n">
        <v>26000</v>
      </c>
      <c r="N2380" t="n">
        <v>91</v>
      </c>
      <c r="O2380" t="n">
        <v>0.91</v>
      </c>
      <c r="P2380" t="n">
        <v>1</v>
      </c>
      <c r="Q2380" t="n">
        <v>0.05</v>
      </c>
      <c r="R2380" t="n">
        <v>1</v>
      </c>
      <c r="S2380" t="n">
        <v>10883.6</v>
      </c>
      <c r="T2380" t="n">
        <v>29</v>
      </c>
      <c r="U2380" t="n">
        <v>31</v>
      </c>
      <c r="V2380" t="n">
        <v>30</v>
      </c>
      <c r="W2380" t="n">
        <v>13</v>
      </c>
      <c r="X2380" t="n">
        <v>14.33349259436216</v>
      </c>
      <c r="Y2380" t="n">
        <v>1</v>
      </c>
      <c r="Z2380" t="n">
        <v>7</v>
      </c>
      <c r="AA2380" t="n">
        <v>0</v>
      </c>
      <c r="AB2380" t="n">
        <v>7</v>
      </c>
      <c r="AC2380" t="n">
        <v>7</v>
      </c>
      <c r="AD2380" t="n">
        <v>0</v>
      </c>
      <c r="AE2380" t="n">
        <v>141232</v>
      </c>
      <c r="AF2380" t="n">
        <v>10060</v>
      </c>
      <c r="AG2380" t="n">
        <v>78</v>
      </c>
      <c r="AH2380" t="inlineStr">
        <is>
          <t>PT. GLORIENTA P.H - PPN (PDG)</t>
        </is>
      </c>
      <c r="AI2380" t="n">
        <v>83</v>
      </c>
      <c r="AJ2380" t="inlineStr">
        <is>
          <t>IMPLORA</t>
        </is>
      </c>
      <c r="AK2380" t="n">
        <v>21</v>
      </c>
      <c r="AL2380" t="inlineStr">
        <is>
          <t>Miss Glam Damar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IMPLORA</t>
        </is>
      </c>
      <c r="B2381" s="2">
        <f>"8993883801517"</f>
        <v/>
      </c>
      <c r="C2381" t="inlineStr">
        <is>
          <t>IMPLORA Zodiac Series Eau De Parfum Scorpio 30ml</t>
        </is>
      </c>
      <c r="D2381" t="inlineStr">
        <is>
          <t>Miss Glam Damar</t>
        </is>
      </c>
      <c r="E2381" t="n">
        <v>5</v>
      </c>
      <c r="F2381" t="n">
        <v>0.2821</v>
      </c>
      <c r="G2381" t="n">
        <v>2.73</v>
      </c>
      <c r="H2381" t="n">
        <v>3</v>
      </c>
      <c r="I2381" t="n">
        <v>11</v>
      </c>
      <c r="J2381" t="n">
        <v>3</v>
      </c>
      <c r="K2381" t="n">
        <v>0</v>
      </c>
      <c r="L2381" t="n">
        <v>20176</v>
      </c>
      <c r="M2381" t="n">
        <v>26000</v>
      </c>
      <c r="N2381" t="n">
        <v>91</v>
      </c>
      <c r="O2381" t="n">
        <v>0.91</v>
      </c>
      <c r="P2381" t="n">
        <v>1</v>
      </c>
      <c r="Q2381" t="n">
        <v>0.03</v>
      </c>
      <c r="R2381" t="n">
        <v>1</v>
      </c>
      <c r="S2381" t="n">
        <v>7334.6</v>
      </c>
      <c r="T2381" t="n">
        <v>30</v>
      </c>
      <c r="U2381" t="n">
        <v>31</v>
      </c>
      <c r="V2381" t="n">
        <v>30</v>
      </c>
      <c r="W2381" t="n">
        <v>9</v>
      </c>
      <c r="X2381" t="n">
        <v>17.72421127259837</v>
      </c>
      <c r="Y2381" t="n">
        <v>1</v>
      </c>
      <c r="Z2381" t="n">
        <v>4</v>
      </c>
      <c r="AA2381" t="n">
        <v>0</v>
      </c>
      <c r="AB2381" t="n">
        <v>4</v>
      </c>
      <c r="AC2381" t="n">
        <v>4</v>
      </c>
      <c r="AD2381" t="n">
        <v>0</v>
      </c>
      <c r="AE2381" t="n">
        <v>80704</v>
      </c>
      <c r="AF2381" t="n">
        <v>10060</v>
      </c>
      <c r="AG2381" t="n">
        <v>78</v>
      </c>
      <c r="AH2381" t="inlineStr">
        <is>
          <t>PT. GLORIENTA P.H - PPN (PDG)</t>
        </is>
      </c>
      <c r="AI2381" t="n">
        <v>83</v>
      </c>
      <c r="AJ2381" t="inlineStr">
        <is>
          <t>IMPLORA</t>
        </is>
      </c>
      <c r="AK2381" t="n">
        <v>21</v>
      </c>
      <c r="AL2381" t="inlineStr">
        <is>
          <t>Miss Glam Damar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IMPLORA</t>
        </is>
      </c>
      <c r="B2382" s="2">
        <f>"8993883801531"</f>
        <v/>
      </c>
      <c r="C2382" t="inlineStr">
        <is>
          <t>IMPLORA Zodiac Series Eau De Parfum Taurus 30ml</t>
        </is>
      </c>
      <c r="D2382" t="inlineStr">
        <is>
          <t>Miss Glam Damar</t>
        </is>
      </c>
      <c r="E2382" t="n">
        <v>5</v>
      </c>
      <c r="F2382" t="n">
        <v>0.4459</v>
      </c>
      <c r="G2382" t="n">
        <v>2.73</v>
      </c>
      <c r="H2382" t="n">
        <v>3</v>
      </c>
      <c r="I2382" t="n">
        <v>11</v>
      </c>
      <c r="J2382" t="n">
        <v>3</v>
      </c>
      <c r="K2382" t="n">
        <v>0</v>
      </c>
      <c r="L2382" t="n">
        <v>20176</v>
      </c>
      <c r="M2382" t="n">
        <v>26000</v>
      </c>
      <c r="N2382" t="n">
        <v>91</v>
      </c>
      <c r="O2382" t="n">
        <v>0.91</v>
      </c>
      <c r="P2382" t="n">
        <v>1</v>
      </c>
      <c r="Q2382" t="n">
        <v>0.08</v>
      </c>
      <c r="R2382" t="n">
        <v>2</v>
      </c>
      <c r="S2382" t="n">
        <v>11593.4</v>
      </c>
      <c r="T2382" t="n">
        <v>29</v>
      </c>
      <c r="U2382" t="n">
        <v>31</v>
      </c>
      <c r="V2382" t="n">
        <v>30</v>
      </c>
      <c r="W2382" t="n">
        <v>14</v>
      </c>
      <c r="X2382" t="n">
        <v>11.21327651939897</v>
      </c>
      <c r="Y2382" t="n">
        <v>1</v>
      </c>
      <c r="Z2382" t="n">
        <v>9</v>
      </c>
      <c r="AA2382" t="n">
        <v>0</v>
      </c>
      <c r="AB2382" t="n">
        <v>9</v>
      </c>
      <c r="AC2382" t="n">
        <v>9</v>
      </c>
      <c r="AD2382" t="n">
        <v>0</v>
      </c>
      <c r="AE2382" t="n">
        <v>181584</v>
      </c>
      <c r="AF2382" t="n">
        <v>10060</v>
      </c>
      <c r="AG2382" t="n">
        <v>78</v>
      </c>
      <c r="AH2382" t="inlineStr">
        <is>
          <t>PT. GLORIENTA P.H - PPN (PDG)</t>
        </is>
      </c>
      <c r="AI2382" t="n">
        <v>83</v>
      </c>
      <c r="AJ2382" t="inlineStr">
        <is>
          <t>IMPLORA</t>
        </is>
      </c>
      <c r="AK2382" t="n">
        <v>21</v>
      </c>
      <c r="AL2382" t="inlineStr">
        <is>
          <t>Miss Glam Damar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INSTAPERFECT</t>
        </is>
      </c>
      <c r="B2383" s="2">
        <f>"8993137700795"</f>
        <v/>
      </c>
      <c r="C2383" t="inlineStr">
        <is>
          <t>INSTAPERFECT Blur Mattifying Primer 20ml</t>
        </is>
      </c>
      <c r="D2383" t="inlineStr">
        <is>
          <t>Miss Glam Damar</t>
        </is>
      </c>
      <c r="E2383" t="n">
        <v>6</v>
      </c>
      <c r="F2383" t="n">
        <v>0.1365</v>
      </c>
      <c r="G2383" t="n">
        <v>0.91</v>
      </c>
      <c r="H2383" t="n">
        <v>2</v>
      </c>
      <c r="I2383" t="n">
        <v>6</v>
      </c>
      <c r="J2383" t="n">
        <v>3</v>
      </c>
      <c r="K2383" t="n">
        <v>0</v>
      </c>
      <c r="L2383" t="n">
        <v>69727</v>
      </c>
      <c r="M2383" t="n">
        <v>91000</v>
      </c>
      <c r="N2383" t="n">
        <v>91</v>
      </c>
      <c r="O2383" t="n">
        <v>0.91</v>
      </c>
      <c r="P2383" t="n">
        <v>1</v>
      </c>
      <c r="Q2383" t="n">
        <v>0.17</v>
      </c>
      <c r="R2383" t="n">
        <v>2</v>
      </c>
      <c r="S2383" t="n">
        <v>12421.5</v>
      </c>
      <c r="T2383" t="n">
        <v>6</v>
      </c>
      <c r="U2383" t="n">
        <v>7</v>
      </c>
      <c r="V2383" t="n">
        <v>30</v>
      </c>
      <c r="W2383" t="n">
        <v>5</v>
      </c>
      <c r="X2383" t="n">
        <v>43.95604395604396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11695</v>
      </c>
      <c r="AG2383" t="n">
        <v>63</v>
      </c>
      <c r="AH2383" t="inlineStr">
        <is>
          <t>PT. PARAMA GLOBAL INSPIRA - PPN (PDG)</t>
        </is>
      </c>
      <c r="AI2383" t="n">
        <v>1516</v>
      </c>
      <c r="AJ2383" t="inlineStr">
        <is>
          <t>INSTAPERFECT</t>
        </is>
      </c>
      <c r="AK2383" t="n">
        <v>21</v>
      </c>
      <c r="AL2383" t="inlineStr">
        <is>
          <t>Miss Glam Damar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INSTAPERFECT</t>
        </is>
      </c>
      <c r="B2384" s="2">
        <f>"8993137701457"</f>
        <v/>
      </c>
      <c r="C2384" t="inlineStr">
        <is>
          <t>INSTAPERFECT Brow 3d Mascara 02</t>
        </is>
      </c>
      <c r="D2384" t="inlineStr">
        <is>
          <t>Miss Glam Damar</t>
        </is>
      </c>
      <c r="E2384" t="n">
        <v>3</v>
      </c>
      <c r="F2384" t="n">
        <v>0.03</v>
      </c>
      <c r="G2384" t="n">
        <v>1</v>
      </c>
      <c r="H2384" t="n">
        <v>2</v>
      </c>
      <c r="I2384" t="n">
        <v>6</v>
      </c>
      <c r="J2384" t="n">
        <v>3</v>
      </c>
      <c r="K2384" t="n">
        <v>0</v>
      </c>
      <c r="L2384" t="n">
        <v>72798</v>
      </c>
      <c r="M2384" t="n">
        <v>100000</v>
      </c>
      <c r="N2384" t="n">
        <v>91</v>
      </c>
      <c r="O2384" t="n">
        <v>0.91</v>
      </c>
      <c r="P2384" t="n">
        <v>0</v>
      </c>
      <c r="Q2384" t="n">
        <v>0.03</v>
      </c>
      <c r="R2384" t="n">
        <v>1</v>
      </c>
      <c r="S2384" t="n">
        <v>3000</v>
      </c>
      <c r="T2384" t="n">
        <v>6</v>
      </c>
      <c r="U2384" t="n">
        <v>7</v>
      </c>
      <c r="V2384" t="n">
        <v>30</v>
      </c>
      <c r="W2384" t="n">
        <v>1</v>
      </c>
      <c r="X2384" t="n">
        <v>100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11695</v>
      </c>
      <c r="AG2384" t="n">
        <v>63</v>
      </c>
      <c r="AH2384" t="inlineStr">
        <is>
          <t>PT. PARAMA GLOBAL INSPIRA - PPN (PDG)</t>
        </is>
      </c>
      <c r="AI2384" t="n">
        <v>1516</v>
      </c>
      <c r="AJ2384" t="inlineStr">
        <is>
          <t>INSTAPERFECT</t>
        </is>
      </c>
      <c r="AK2384" t="n">
        <v>21</v>
      </c>
      <c r="AL2384" t="inlineStr">
        <is>
          <t>Miss Glam Damar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INSTAPERFECT</t>
        </is>
      </c>
      <c r="B2385" s="2">
        <f>"8993137707664"</f>
        <v/>
      </c>
      <c r="C2385" t="inlineStr">
        <is>
          <t>INSTAPERFECT Everlast Intense Matte Liquid 06 Authentic 4.2gr</t>
        </is>
      </c>
      <c r="D2385" t="inlineStr">
        <is>
          <t>Miss Glam Damar</t>
        </is>
      </c>
      <c r="E2385" t="n">
        <v>0</v>
      </c>
      <c r="F2385" t="n">
        <v>0.0182</v>
      </c>
      <c r="G2385" t="n">
        <v>0.91</v>
      </c>
      <c r="H2385" t="n">
        <v>2</v>
      </c>
      <c r="I2385" t="n">
        <v>6</v>
      </c>
      <c r="J2385" t="n">
        <v>3</v>
      </c>
      <c r="K2385" t="n">
        <v>0</v>
      </c>
      <c r="L2385" t="n">
        <v>76629</v>
      </c>
      <c r="M2385" t="n">
        <v>105000</v>
      </c>
      <c r="N2385" t="n">
        <v>91</v>
      </c>
      <c r="O2385" t="n">
        <v>0.91</v>
      </c>
      <c r="P2385" t="n">
        <v>1</v>
      </c>
      <c r="Q2385" t="n">
        <v>0.04</v>
      </c>
      <c r="R2385" t="n">
        <v>1</v>
      </c>
      <c r="S2385" t="n">
        <v>1911</v>
      </c>
      <c r="T2385" t="n">
        <v>6</v>
      </c>
      <c r="U2385" t="n">
        <v>7</v>
      </c>
      <c r="V2385" t="n">
        <v>30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n">
        <v>0</v>
      </c>
      <c r="AC2385" t="n">
        <v>0</v>
      </c>
      <c r="AD2385" t="n">
        <v>76629</v>
      </c>
      <c r="AE2385" t="n">
        <v>0</v>
      </c>
      <c r="AF2385" t="n">
        <v>11695</v>
      </c>
      <c r="AG2385" t="n">
        <v>63</v>
      </c>
      <c r="AH2385" t="inlineStr">
        <is>
          <t>PT. PARAMA GLOBAL INSPIRA - PPN (PDG)</t>
        </is>
      </c>
      <c r="AI2385" t="n">
        <v>1516</v>
      </c>
      <c r="AJ2385" t="inlineStr">
        <is>
          <t>INSTAPERFECT</t>
        </is>
      </c>
      <c r="AK2385" t="n">
        <v>21</v>
      </c>
      <c r="AL2385" t="inlineStr">
        <is>
          <t>Miss Glam Damar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INSTAPERFECT</t>
        </is>
      </c>
      <c r="B2386" s="2">
        <f>"8993137707671"</f>
        <v/>
      </c>
      <c r="C2386" t="inlineStr">
        <is>
          <t>INSTAPERFECT Everlast Lip Liquid  07</t>
        </is>
      </c>
      <c r="D2386" t="inlineStr">
        <is>
          <t>Miss Glam Damar</t>
        </is>
      </c>
      <c r="E2386" t="n">
        <v>0</v>
      </c>
      <c r="F2386" t="n">
        <v>0.02</v>
      </c>
      <c r="G2386" t="n">
        <v>1</v>
      </c>
      <c r="H2386" t="n">
        <v>2</v>
      </c>
      <c r="I2386" t="n">
        <v>6</v>
      </c>
      <c r="J2386" t="n">
        <v>3</v>
      </c>
      <c r="K2386" t="n">
        <v>0</v>
      </c>
      <c r="L2386" t="n">
        <v>76630</v>
      </c>
      <c r="M2386" t="n">
        <v>105000</v>
      </c>
      <c r="N2386" t="n">
        <v>91</v>
      </c>
      <c r="O2386" t="n">
        <v>0.91</v>
      </c>
      <c r="P2386" t="n">
        <v>0</v>
      </c>
      <c r="Q2386" t="n">
        <v>0.02</v>
      </c>
      <c r="R2386" t="n">
        <v>1</v>
      </c>
      <c r="S2386" t="n">
        <v>2100</v>
      </c>
      <c r="T2386" t="n">
        <v>6</v>
      </c>
      <c r="U2386" t="n">
        <v>7</v>
      </c>
      <c r="V2386" t="n">
        <v>30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n">
        <v>0</v>
      </c>
      <c r="AC2386" t="n">
        <v>0</v>
      </c>
      <c r="AD2386" t="n">
        <v>76630</v>
      </c>
      <c r="AE2386" t="n">
        <v>0</v>
      </c>
      <c r="AF2386" t="n">
        <v>11695</v>
      </c>
      <c r="AG2386" t="n">
        <v>63</v>
      </c>
      <c r="AH2386" t="inlineStr">
        <is>
          <t>PT. PARAMA GLOBAL INSPIRA - PPN (PDG)</t>
        </is>
      </c>
      <c r="AI2386" t="n">
        <v>1516</v>
      </c>
      <c r="AJ2386" t="inlineStr">
        <is>
          <t>INSTAPERFECT</t>
        </is>
      </c>
      <c r="AK2386" t="n">
        <v>21</v>
      </c>
      <c r="AL2386" t="inlineStr">
        <is>
          <t>Miss Glam Damar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INSTAPERFECT</t>
        </is>
      </c>
      <c r="B2387" s="2">
        <f>"8993137701150"</f>
        <v/>
      </c>
      <c r="C2387" t="inlineStr">
        <is>
          <t>INSTAPERFECT Hypergetic Precise Black Liner 1gr</t>
        </is>
      </c>
      <c r="D2387" t="inlineStr">
        <is>
          <t>Miss Glam Damar</t>
        </is>
      </c>
      <c r="E2387" t="n">
        <v>7</v>
      </c>
      <c r="F2387" t="n">
        <v>0.0273</v>
      </c>
      <c r="G2387" t="n">
        <v>0.91</v>
      </c>
      <c r="H2387" t="n">
        <v>2</v>
      </c>
      <c r="I2387" t="n">
        <v>6</v>
      </c>
      <c r="J2387" t="n">
        <v>3</v>
      </c>
      <c r="K2387" t="n">
        <v>0</v>
      </c>
      <c r="L2387" t="n">
        <v>73530</v>
      </c>
      <c r="M2387" t="n">
        <v>96000</v>
      </c>
      <c r="N2387" t="n">
        <v>91</v>
      </c>
      <c r="O2387" t="n">
        <v>0.91</v>
      </c>
      <c r="P2387" t="n">
        <v>1</v>
      </c>
      <c r="Q2387" t="n">
        <v>0.1</v>
      </c>
      <c r="R2387" t="n">
        <v>2</v>
      </c>
      <c r="S2387" t="n">
        <v>2620.8</v>
      </c>
      <c r="T2387" t="n">
        <v>6</v>
      </c>
      <c r="U2387" t="n">
        <v>7</v>
      </c>
      <c r="V2387" t="n">
        <v>30</v>
      </c>
      <c r="W2387" t="n">
        <v>1</v>
      </c>
      <c r="X2387" t="n">
        <v>256.4102564102564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11695</v>
      </c>
      <c r="AG2387" t="n">
        <v>63</v>
      </c>
      <c r="AH2387" t="inlineStr">
        <is>
          <t>PT. PARAMA GLOBAL INSPIRA - PPN (PDG)</t>
        </is>
      </c>
      <c r="AI2387" t="n">
        <v>1516</v>
      </c>
      <c r="AJ2387" t="inlineStr">
        <is>
          <t>INSTAPERFECT</t>
        </is>
      </c>
      <c r="AK2387" t="n">
        <v>21</v>
      </c>
      <c r="AL2387" t="inlineStr">
        <is>
          <t>Miss Glam Damar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INSTAPERFECT</t>
        </is>
      </c>
      <c r="B2388" s="2">
        <f>"8993137725965"</f>
        <v/>
      </c>
      <c r="C2388" t="inlineStr">
        <is>
          <t>INSTAPERFECT Matte Fit Powder Foundation 11 Fair Pink 13gr</t>
        </is>
      </c>
      <c r="D2388" t="inlineStr">
        <is>
          <t>Miss Glam Damar</t>
        </is>
      </c>
      <c r="E2388" t="n">
        <v>2</v>
      </c>
      <c r="F2388" t="n">
        <v>0.05</v>
      </c>
      <c r="G2388" t="n">
        <v>1</v>
      </c>
      <c r="H2388" t="n">
        <v>2</v>
      </c>
      <c r="I2388" t="n">
        <v>6</v>
      </c>
      <c r="J2388" t="n">
        <v>3</v>
      </c>
      <c r="K2388" t="n">
        <v>0</v>
      </c>
      <c r="L2388" t="n">
        <v>106515</v>
      </c>
      <c r="M2388" t="n">
        <v>141000</v>
      </c>
      <c r="N2388" t="n">
        <v>91</v>
      </c>
      <c r="O2388" t="n">
        <v>0.91</v>
      </c>
      <c r="P2388" t="n">
        <v>0</v>
      </c>
      <c r="Q2388" t="n">
        <v>0.05</v>
      </c>
      <c r="R2388" t="n">
        <v>1</v>
      </c>
      <c r="S2388" t="n">
        <v>7050</v>
      </c>
      <c r="T2388" t="n">
        <v>6</v>
      </c>
      <c r="U2388" t="n">
        <v>7</v>
      </c>
      <c r="V2388" t="n">
        <v>30</v>
      </c>
      <c r="W2388" t="n">
        <v>2</v>
      </c>
      <c r="X2388" t="n">
        <v>40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11695</v>
      </c>
      <c r="AG2388" t="n">
        <v>63</v>
      </c>
      <c r="AH2388" t="inlineStr">
        <is>
          <t>PT. PARAMA GLOBAL INSPIRA - PPN (PDG)</t>
        </is>
      </c>
      <c r="AI2388" t="n">
        <v>1516</v>
      </c>
      <c r="AJ2388" t="inlineStr">
        <is>
          <t>INSTAPERFECT</t>
        </is>
      </c>
      <c r="AK2388" t="n">
        <v>21</v>
      </c>
      <c r="AL2388" t="inlineStr">
        <is>
          <t>Miss Glam Damar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INSTAPERFECT</t>
        </is>
      </c>
      <c r="B2389" s="2">
        <f>"8993137725972"</f>
        <v/>
      </c>
      <c r="C2389" t="inlineStr">
        <is>
          <t>INSTAPERFECT Matte Fit Powder Foundation 22 Light Ivory 13gr</t>
        </is>
      </c>
      <c r="D2389" t="inlineStr">
        <is>
          <t>Miss Glam Damar</t>
        </is>
      </c>
      <c r="E2389" t="n">
        <v>3</v>
      </c>
      <c r="F2389" t="n">
        <v>0.09100000000000001</v>
      </c>
      <c r="G2389" t="n">
        <v>0.91</v>
      </c>
      <c r="H2389" t="n">
        <v>2</v>
      </c>
      <c r="I2389" t="n">
        <v>6</v>
      </c>
      <c r="J2389" t="n">
        <v>3</v>
      </c>
      <c r="K2389" t="n">
        <v>0</v>
      </c>
      <c r="L2389" t="n">
        <v>107809</v>
      </c>
      <c r="M2389" t="n">
        <v>141000</v>
      </c>
      <c r="N2389" t="n">
        <v>91</v>
      </c>
      <c r="O2389" t="n">
        <v>0.91</v>
      </c>
      <c r="P2389" t="n">
        <v>1</v>
      </c>
      <c r="Q2389" t="n">
        <v>0.05</v>
      </c>
      <c r="R2389" t="n">
        <v>1</v>
      </c>
      <c r="S2389" t="n">
        <v>12831</v>
      </c>
      <c r="T2389" t="n">
        <v>6</v>
      </c>
      <c r="U2389" t="n">
        <v>7</v>
      </c>
      <c r="V2389" t="n">
        <v>30</v>
      </c>
      <c r="W2389" t="n">
        <v>3</v>
      </c>
      <c r="X2389" t="n">
        <v>32.96703296703296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11695</v>
      </c>
      <c r="AG2389" t="n">
        <v>63</v>
      </c>
      <c r="AH2389" t="inlineStr">
        <is>
          <t>PT. PARAMA GLOBAL INSPIRA - PPN (PDG)</t>
        </is>
      </c>
      <c r="AI2389" t="n">
        <v>1516</v>
      </c>
      <c r="AJ2389" t="inlineStr">
        <is>
          <t>INSTAPERFECT</t>
        </is>
      </c>
      <c r="AK2389" t="n">
        <v>21</v>
      </c>
      <c r="AL2389" t="inlineStr">
        <is>
          <t>Miss Glam Damar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INSTAPERFECT</t>
        </is>
      </c>
      <c r="B2390" s="2">
        <f>"8993137725989"</f>
        <v/>
      </c>
      <c r="C2390" t="inlineStr">
        <is>
          <t>INSTAPERFECT Matte Fit Powder Foundation 32 True Beige 13gr</t>
        </is>
      </c>
      <c r="D2390" t="inlineStr">
        <is>
          <t>Miss Glam Damar</t>
        </is>
      </c>
      <c r="E2390" t="n">
        <v>4</v>
      </c>
      <c r="F2390" t="n">
        <v>0.1729</v>
      </c>
      <c r="G2390" t="n">
        <v>1.82</v>
      </c>
      <c r="H2390" t="n">
        <v>2</v>
      </c>
      <c r="I2390" t="n">
        <v>6</v>
      </c>
      <c r="J2390" t="n">
        <v>3</v>
      </c>
      <c r="K2390" t="n">
        <v>0</v>
      </c>
      <c r="L2390" t="n">
        <v>107501</v>
      </c>
      <c r="M2390" t="n">
        <v>141000</v>
      </c>
      <c r="N2390" t="n">
        <v>91</v>
      </c>
      <c r="O2390" t="n">
        <v>0.91</v>
      </c>
      <c r="P2390" t="n">
        <v>1</v>
      </c>
      <c r="Q2390" t="n">
        <v>0.08</v>
      </c>
      <c r="R2390" t="n">
        <v>1</v>
      </c>
      <c r="S2390" t="n">
        <v>24378.9</v>
      </c>
      <c r="T2390" t="n">
        <v>11</v>
      </c>
      <c r="U2390" t="n">
        <v>12</v>
      </c>
      <c r="V2390" t="n">
        <v>30</v>
      </c>
      <c r="W2390" t="n">
        <v>6</v>
      </c>
      <c r="X2390" t="n">
        <v>23.13475997686524</v>
      </c>
      <c r="Y2390" t="n">
        <v>1</v>
      </c>
      <c r="Z2390" t="n">
        <v>2</v>
      </c>
      <c r="AA2390" t="n">
        <v>0</v>
      </c>
      <c r="AB2390" t="n">
        <v>2</v>
      </c>
      <c r="AC2390" t="n">
        <v>3</v>
      </c>
      <c r="AD2390" t="n">
        <v>0</v>
      </c>
      <c r="AE2390" t="n">
        <v>322503</v>
      </c>
      <c r="AF2390" t="n">
        <v>11695</v>
      </c>
      <c r="AG2390" t="n">
        <v>63</v>
      </c>
      <c r="AH2390" t="inlineStr">
        <is>
          <t>PT. PARAMA GLOBAL INSPIRA - PPN (PDG)</t>
        </is>
      </c>
      <c r="AI2390" t="n">
        <v>1516</v>
      </c>
      <c r="AJ2390" t="inlineStr">
        <is>
          <t>INSTAPERFECT</t>
        </is>
      </c>
      <c r="AK2390" t="n">
        <v>21</v>
      </c>
      <c r="AL2390" t="inlineStr">
        <is>
          <t>Miss Glam Damar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INSTAPERFECT</t>
        </is>
      </c>
      <c r="B2391" s="2">
        <f>"8993137726009"</f>
        <v/>
      </c>
      <c r="C2391" t="inlineStr">
        <is>
          <t>INSTAPERFECT Matte Fit Powder Foundation 43 Creme Sand 13gr</t>
        </is>
      </c>
      <c r="D2391" t="inlineStr">
        <is>
          <t>Miss Glam Damar</t>
        </is>
      </c>
      <c r="E2391" t="n">
        <v>3</v>
      </c>
      <c r="F2391" t="n">
        <v>0.03</v>
      </c>
      <c r="G2391" t="n">
        <v>1</v>
      </c>
      <c r="H2391" t="n">
        <v>2</v>
      </c>
      <c r="I2391" t="n">
        <v>6</v>
      </c>
      <c r="J2391" t="n">
        <v>3</v>
      </c>
      <c r="K2391" t="n">
        <v>0</v>
      </c>
      <c r="L2391" t="n">
        <v>107972</v>
      </c>
      <c r="M2391" t="n">
        <v>141000</v>
      </c>
      <c r="N2391" t="n">
        <v>91</v>
      </c>
      <c r="O2391" t="n">
        <v>0.91</v>
      </c>
      <c r="P2391" t="n">
        <v>0</v>
      </c>
      <c r="Q2391" t="n">
        <v>0.03</v>
      </c>
      <c r="R2391" t="n">
        <v>1</v>
      </c>
      <c r="S2391" t="n">
        <v>4230</v>
      </c>
      <c r="T2391" t="n">
        <v>6</v>
      </c>
      <c r="U2391" t="n">
        <v>7</v>
      </c>
      <c r="V2391" t="n">
        <v>30</v>
      </c>
      <c r="W2391" t="n">
        <v>1</v>
      </c>
      <c r="X2391" t="n">
        <v>100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11695</v>
      </c>
      <c r="AG2391" t="n">
        <v>63</v>
      </c>
      <c r="AH2391" t="inlineStr">
        <is>
          <t>PT. PARAMA GLOBAL INSPIRA - PPN (PDG)</t>
        </is>
      </c>
      <c r="AI2391" t="n">
        <v>1516</v>
      </c>
      <c r="AJ2391" t="inlineStr">
        <is>
          <t>INSTAPERFECT</t>
        </is>
      </c>
      <c r="AK2391" t="n">
        <v>21</v>
      </c>
      <c r="AL2391" t="inlineStr">
        <is>
          <t>Miss Glam Damar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INSTAPERFECT</t>
        </is>
      </c>
      <c r="B2392" s="2">
        <f>"8993137726047"</f>
        <v/>
      </c>
      <c r="C2392" t="inlineStr">
        <is>
          <t>INSTAPERFECT Matte Fit Powder Foundation Refill 32 True Beige 13gr</t>
        </is>
      </c>
      <c r="D2392" t="inlineStr">
        <is>
          <t>Miss Glam Damar</t>
        </is>
      </c>
      <c r="E2392" t="n">
        <v>3</v>
      </c>
      <c r="F2392" t="n">
        <v>0.1729</v>
      </c>
      <c r="G2392" t="n">
        <v>1.82</v>
      </c>
      <c r="H2392" t="n">
        <v>2</v>
      </c>
      <c r="I2392" t="n">
        <v>6</v>
      </c>
      <c r="J2392" t="n">
        <v>3</v>
      </c>
      <c r="K2392" t="n">
        <v>0</v>
      </c>
      <c r="L2392" t="n">
        <v>77226</v>
      </c>
      <c r="M2392" t="n">
        <v>101000</v>
      </c>
      <c r="N2392" t="n">
        <v>91</v>
      </c>
      <c r="O2392" t="n">
        <v>0.91</v>
      </c>
      <c r="P2392" t="n">
        <v>1</v>
      </c>
      <c r="Q2392" t="n">
        <v>0.17</v>
      </c>
      <c r="R2392" t="n">
        <v>2</v>
      </c>
      <c r="S2392" t="n">
        <v>17462.9</v>
      </c>
      <c r="T2392" t="n">
        <v>11</v>
      </c>
      <c r="U2392" t="n">
        <v>12</v>
      </c>
      <c r="V2392" t="n">
        <v>30</v>
      </c>
      <c r="W2392" t="n">
        <v>6</v>
      </c>
      <c r="X2392" t="n">
        <v>17.35106998264893</v>
      </c>
      <c r="Y2392" t="n">
        <v>1</v>
      </c>
      <c r="Z2392" t="n">
        <v>3</v>
      </c>
      <c r="AA2392" t="n">
        <v>0</v>
      </c>
      <c r="AB2392" t="n">
        <v>3</v>
      </c>
      <c r="AC2392" t="n">
        <v>3</v>
      </c>
      <c r="AD2392" t="n">
        <v>0</v>
      </c>
      <c r="AE2392" t="n">
        <v>231678</v>
      </c>
      <c r="AF2392" t="n">
        <v>11695</v>
      </c>
      <c r="AG2392" t="n">
        <v>63</v>
      </c>
      <c r="AH2392" t="inlineStr">
        <is>
          <t>PT. PARAMA GLOBAL INSPIRA - PPN (PDG)</t>
        </is>
      </c>
      <c r="AI2392" t="n">
        <v>1516</v>
      </c>
      <c r="AJ2392" t="inlineStr">
        <is>
          <t>INSTAPERFECT</t>
        </is>
      </c>
      <c r="AK2392" t="n">
        <v>21</v>
      </c>
      <c r="AL2392" t="inlineStr">
        <is>
          <t>Miss Glam Damar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INSTAPERFECT</t>
        </is>
      </c>
      <c r="B2393" s="2">
        <f>"20200219727"</f>
        <v/>
      </c>
      <c r="C2393" t="inlineStr">
        <is>
          <t>INSTAPERFECT Noir Lash Mascara 6gr</t>
        </is>
      </c>
      <c r="D2393" t="inlineStr">
        <is>
          <t>Miss Glam Damar</t>
        </is>
      </c>
      <c r="E2393" t="n">
        <v>5</v>
      </c>
      <c r="F2393" t="n">
        <v>0.0728</v>
      </c>
      <c r="G2393" t="n">
        <v>3.64</v>
      </c>
      <c r="H2393" t="n">
        <v>2</v>
      </c>
      <c r="I2393" t="n">
        <v>6</v>
      </c>
      <c r="J2393" t="n">
        <v>1</v>
      </c>
      <c r="K2393" t="n">
        <v>0</v>
      </c>
      <c r="L2393" t="n">
        <v>102684</v>
      </c>
      <c r="M2393" t="n">
        <v>128500</v>
      </c>
      <c r="N2393" t="n">
        <v>91</v>
      </c>
      <c r="O2393" t="n">
        <v>0.91</v>
      </c>
      <c r="P2393" t="n">
        <v>1</v>
      </c>
      <c r="Q2393" t="n">
        <v>0.1</v>
      </c>
      <c r="R2393" t="n">
        <v>2</v>
      </c>
      <c r="S2393" t="n">
        <v>9354.800000000001</v>
      </c>
      <c r="T2393" t="n">
        <v>22</v>
      </c>
      <c r="U2393" t="n">
        <v>23</v>
      </c>
      <c r="V2393" t="n">
        <v>30</v>
      </c>
      <c r="W2393" t="n">
        <v>3</v>
      </c>
      <c r="X2393" t="n">
        <v>68.68131868131867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11695</v>
      </c>
      <c r="AG2393" t="n">
        <v>63</v>
      </c>
      <c r="AH2393" t="inlineStr">
        <is>
          <t>PT. PARAMA GLOBAL INSPIRA - PPN (PDG)</t>
        </is>
      </c>
      <c r="AI2393" t="n">
        <v>1516</v>
      </c>
      <c r="AJ2393" t="inlineStr">
        <is>
          <t>INSTAPERFECT</t>
        </is>
      </c>
      <c r="AK2393" t="n">
        <v>21</v>
      </c>
      <c r="AL2393" t="inlineStr">
        <is>
          <t>Miss Glam Damar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INSTAPERFECT</t>
        </is>
      </c>
      <c r="B2394" s="2">
        <f>"8993137720731"</f>
        <v/>
      </c>
      <c r="C2394" t="inlineStr">
        <is>
          <t>INSTAPERFECT Quickmatte Loose Powder 11 Fair Pink 9gr</t>
        </is>
      </c>
      <c r="D2394" t="inlineStr">
        <is>
          <t>Miss Glam Damar</t>
        </is>
      </c>
      <c r="E2394" t="n">
        <v>4</v>
      </c>
      <c r="F2394" t="n">
        <v>0.0182</v>
      </c>
      <c r="G2394" t="n">
        <v>0.91</v>
      </c>
      <c r="H2394" t="n">
        <v>2</v>
      </c>
      <c r="I2394" t="n">
        <v>6</v>
      </c>
      <c r="J2394" t="n">
        <v>3</v>
      </c>
      <c r="K2394" t="n">
        <v>0</v>
      </c>
      <c r="L2394" t="n">
        <v>93296</v>
      </c>
      <c r="M2394" t="n">
        <v>123000</v>
      </c>
      <c r="N2394" t="n">
        <v>91</v>
      </c>
      <c r="O2394" t="n">
        <v>0.91</v>
      </c>
      <c r="P2394" t="n">
        <v>1</v>
      </c>
      <c r="Q2394" t="n">
        <v>0.03</v>
      </c>
      <c r="R2394" t="n">
        <v>1</v>
      </c>
      <c r="S2394" t="n">
        <v>2238.6</v>
      </c>
      <c r="T2394" t="n">
        <v>6</v>
      </c>
      <c r="U2394" t="n">
        <v>7</v>
      </c>
      <c r="V2394" t="n">
        <v>30</v>
      </c>
      <c r="W2394" t="n">
        <v>1</v>
      </c>
      <c r="X2394" t="n">
        <v>219.7802197802198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11695</v>
      </c>
      <c r="AG2394" t="n">
        <v>63</v>
      </c>
      <c r="AH2394" t="inlineStr">
        <is>
          <t>PT. PARAMA GLOBAL INSPIRA - PPN (PDG)</t>
        </is>
      </c>
      <c r="AI2394" t="n">
        <v>1516</v>
      </c>
      <c r="AJ2394" t="inlineStr">
        <is>
          <t>INSTAPERFECT</t>
        </is>
      </c>
      <c r="AK2394" t="n">
        <v>21</v>
      </c>
      <c r="AL2394" t="inlineStr">
        <is>
          <t>Miss Glam Damar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INSTAPERFECT</t>
        </is>
      </c>
      <c r="B2395" s="2">
        <f>"8993137720755"</f>
        <v/>
      </c>
      <c r="C2395" t="inlineStr">
        <is>
          <t>INSTAPERFECT Quickmatte Loose Powder 22 Light Ivory 9gr</t>
        </is>
      </c>
      <c r="D2395" t="inlineStr">
        <is>
          <t>Miss Glam Damar</t>
        </is>
      </c>
      <c r="E2395" t="n">
        <v>6</v>
      </c>
      <c r="F2395" t="n">
        <v>0.1365</v>
      </c>
      <c r="G2395" t="n">
        <v>1.82</v>
      </c>
      <c r="H2395" t="n">
        <v>2</v>
      </c>
      <c r="I2395" t="n">
        <v>6</v>
      </c>
      <c r="J2395" t="n">
        <v>3</v>
      </c>
      <c r="K2395" t="n">
        <v>0</v>
      </c>
      <c r="L2395" t="n">
        <v>94202</v>
      </c>
      <c r="M2395" t="n">
        <v>123000</v>
      </c>
      <c r="N2395" t="n">
        <v>91</v>
      </c>
      <c r="O2395" t="n">
        <v>0.91</v>
      </c>
      <c r="P2395" t="n">
        <v>1</v>
      </c>
      <c r="Q2395" t="n">
        <v>0.1</v>
      </c>
      <c r="R2395" t="n">
        <v>1</v>
      </c>
      <c r="S2395" t="n">
        <v>16789.5</v>
      </c>
      <c r="T2395" t="n">
        <v>11</v>
      </c>
      <c r="U2395" t="n">
        <v>12</v>
      </c>
      <c r="V2395" t="n">
        <v>30</v>
      </c>
      <c r="W2395" t="n">
        <v>5</v>
      </c>
      <c r="X2395" t="n">
        <v>43.95604395604396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11695</v>
      </c>
      <c r="AG2395" t="n">
        <v>63</v>
      </c>
      <c r="AH2395" t="inlineStr">
        <is>
          <t>PT. PARAMA GLOBAL INSPIRA - PPN (PDG)</t>
        </is>
      </c>
      <c r="AI2395" t="n">
        <v>1516</v>
      </c>
      <c r="AJ2395" t="inlineStr">
        <is>
          <t>INSTAPERFECT</t>
        </is>
      </c>
      <c r="AK2395" t="n">
        <v>21</v>
      </c>
      <c r="AL2395" t="inlineStr">
        <is>
          <t>Miss Glam Damar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INSTAPERFECT</t>
        </is>
      </c>
      <c r="B2396" s="2">
        <f>"8993137720748"</f>
        <v/>
      </c>
      <c r="C2396" t="inlineStr">
        <is>
          <t>INSTAPERFECT Quickmatte Loose Powder 32 True Beige 9gr</t>
        </is>
      </c>
      <c r="D2396" t="inlineStr">
        <is>
          <t>Miss Glam Damar</t>
        </is>
      </c>
      <c r="E2396" t="n">
        <v>5</v>
      </c>
      <c r="F2396" t="n">
        <v>0.0182</v>
      </c>
      <c r="G2396" t="n">
        <v>0.91</v>
      </c>
      <c r="H2396" t="n">
        <v>2</v>
      </c>
      <c r="I2396" t="n">
        <v>6</v>
      </c>
      <c r="J2396" t="n">
        <v>3</v>
      </c>
      <c r="K2396" t="n">
        <v>0</v>
      </c>
      <c r="L2396" t="n">
        <v>94227</v>
      </c>
      <c r="M2396" t="n">
        <v>123000</v>
      </c>
      <c r="N2396" t="n">
        <v>91</v>
      </c>
      <c r="O2396" t="n">
        <v>0.91</v>
      </c>
      <c r="P2396" t="n">
        <v>1</v>
      </c>
      <c r="Q2396" t="n">
        <v>0.15</v>
      </c>
      <c r="R2396" t="n">
        <v>2</v>
      </c>
      <c r="S2396" t="n">
        <v>2238.6</v>
      </c>
      <c r="T2396" t="n">
        <v>6</v>
      </c>
      <c r="U2396" t="n">
        <v>7</v>
      </c>
      <c r="V2396" t="n">
        <v>30</v>
      </c>
      <c r="W2396" t="n">
        <v>1</v>
      </c>
      <c r="X2396" t="n">
        <v>274.7252747252747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11695</v>
      </c>
      <c r="AG2396" t="n">
        <v>63</v>
      </c>
      <c r="AH2396" t="inlineStr">
        <is>
          <t>PT. PARAMA GLOBAL INSPIRA - PPN (PDG)</t>
        </is>
      </c>
      <c r="AI2396" t="n">
        <v>1516</v>
      </c>
      <c r="AJ2396" t="inlineStr">
        <is>
          <t>INSTAPERFECT</t>
        </is>
      </c>
      <c r="AK2396" t="n">
        <v>21</v>
      </c>
      <c r="AL2396" t="inlineStr">
        <is>
          <t>Miss Glam Damar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INSTAPERFECT</t>
        </is>
      </c>
      <c r="B2397" s="2">
        <f>"8993137720779"</f>
        <v/>
      </c>
      <c r="C2397" t="inlineStr">
        <is>
          <t>INSTAPERFECT Quickmatte Loose Powder 43 Crème Sand 9gr</t>
        </is>
      </c>
      <c r="D2397" t="inlineStr">
        <is>
          <t>Miss Glam Damar</t>
        </is>
      </c>
      <c r="E2397" t="n">
        <v>4</v>
      </c>
      <c r="F2397" t="n">
        <v>0.0182</v>
      </c>
      <c r="G2397" t="n">
        <v>0.91</v>
      </c>
      <c r="H2397" t="n">
        <v>2</v>
      </c>
      <c r="I2397" t="n">
        <v>6</v>
      </c>
      <c r="J2397" t="n">
        <v>3</v>
      </c>
      <c r="K2397" t="n">
        <v>0</v>
      </c>
      <c r="L2397" t="n">
        <v>93296</v>
      </c>
      <c r="M2397" t="n">
        <v>123000</v>
      </c>
      <c r="N2397" t="n">
        <v>91</v>
      </c>
      <c r="O2397" t="n">
        <v>0.91</v>
      </c>
      <c r="P2397" t="n">
        <v>1</v>
      </c>
      <c r="Q2397" t="n">
        <v>0.02</v>
      </c>
      <c r="R2397" t="n">
        <v>1</v>
      </c>
      <c r="S2397" t="n">
        <v>2238.6</v>
      </c>
      <c r="T2397" t="n">
        <v>6</v>
      </c>
      <c r="U2397" t="n">
        <v>7</v>
      </c>
      <c r="V2397" t="n">
        <v>30</v>
      </c>
      <c r="W2397" t="n">
        <v>1</v>
      </c>
      <c r="X2397" t="n">
        <v>219.7802197802198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11695</v>
      </c>
      <c r="AG2397" t="n">
        <v>63</v>
      </c>
      <c r="AH2397" t="inlineStr">
        <is>
          <t>PT. PARAMA GLOBAL INSPIRA - PPN (PDG)</t>
        </is>
      </c>
      <c r="AI2397" t="n">
        <v>1516</v>
      </c>
      <c r="AJ2397" t="inlineStr">
        <is>
          <t>INSTAPERFECT</t>
        </is>
      </c>
      <c r="AK2397" t="n">
        <v>21</v>
      </c>
      <c r="AL2397" t="inlineStr">
        <is>
          <t>Miss Glam Damar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INSTAPERFECT</t>
        </is>
      </c>
      <c r="B2398" s="2">
        <f>"8993137720786"</f>
        <v/>
      </c>
      <c r="C2398" t="inlineStr">
        <is>
          <t>INSTAPERFECT Quickmatte Loose Powder 52 Almond 9gr</t>
        </is>
      </c>
      <c r="D2398" t="inlineStr">
        <is>
          <t>Miss Glam Damar</t>
        </is>
      </c>
      <c r="E2398" t="n">
        <v>5</v>
      </c>
      <c r="F2398" t="n">
        <v>0.02</v>
      </c>
      <c r="G2398" t="n">
        <v>1</v>
      </c>
      <c r="H2398" t="n">
        <v>2</v>
      </c>
      <c r="I2398" t="n">
        <v>6</v>
      </c>
      <c r="J2398" t="n">
        <v>3</v>
      </c>
      <c r="K2398" t="n">
        <v>0</v>
      </c>
      <c r="L2398" t="n">
        <v>92722</v>
      </c>
      <c r="M2398" t="n">
        <v>123000</v>
      </c>
      <c r="N2398" t="n">
        <v>91</v>
      </c>
      <c r="O2398" t="n">
        <v>0.91</v>
      </c>
      <c r="P2398" t="n">
        <v>0</v>
      </c>
      <c r="Q2398" t="n">
        <v>0.02</v>
      </c>
      <c r="R2398" t="n">
        <v>1</v>
      </c>
      <c r="S2398" t="n">
        <v>2460</v>
      </c>
      <c r="T2398" t="n">
        <v>6</v>
      </c>
      <c r="U2398" t="n">
        <v>7</v>
      </c>
      <c r="V2398" t="n">
        <v>30</v>
      </c>
      <c r="W2398" t="n">
        <v>1</v>
      </c>
      <c r="X2398" t="n">
        <v>250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11695</v>
      </c>
      <c r="AG2398" t="n">
        <v>63</v>
      </c>
      <c r="AH2398" t="inlineStr">
        <is>
          <t>PT. PARAMA GLOBAL INSPIRA - PPN (PDG)</t>
        </is>
      </c>
      <c r="AI2398" t="n">
        <v>1516</v>
      </c>
      <c r="AJ2398" t="inlineStr">
        <is>
          <t>INSTAPERFECT</t>
        </is>
      </c>
      <c r="AK2398" t="n">
        <v>21</v>
      </c>
      <c r="AL2398" t="inlineStr">
        <is>
          <t>Miss Glam Damar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INSTAPERFECT</t>
        </is>
      </c>
      <c r="B2399" s="2">
        <f>"8993137726030"</f>
        <v/>
      </c>
      <c r="C2399" t="inlineStr">
        <is>
          <t>INSTAPERFECT Refill Matte Fit Powder Foundation 22 Light Ivory 12gr</t>
        </is>
      </c>
      <c r="D2399" t="inlineStr">
        <is>
          <t>Miss Glam Damar</t>
        </is>
      </c>
      <c r="E2399" t="n">
        <v>3</v>
      </c>
      <c r="F2399" t="n">
        <v>0.1092</v>
      </c>
      <c r="G2399" t="n">
        <v>0.91</v>
      </c>
      <c r="H2399" t="n">
        <v>2</v>
      </c>
      <c r="I2399" t="n">
        <v>6</v>
      </c>
      <c r="J2399" t="n">
        <v>3</v>
      </c>
      <c r="K2399" t="n">
        <v>0</v>
      </c>
      <c r="L2399" t="n">
        <v>74330</v>
      </c>
      <c r="M2399" t="n">
        <v>101000</v>
      </c>
      <c r="N2399" t="n">
        <v>91</v>
      </c>
      <c r="O2399" t="n">
        <v>0.91</v>
      </c>
      <c r="P2399" t="n">
        <v>1</v>
      </c>
      <c r="Q2399" t="n">
        <v>0.02</v>
      </c>
      <c r="R2399" t="n">
        <v>1</v>
      </c>
      <c r="S2399" t="n">
        <v>11029.2</v>
      </c>
      <c r="T2399" t="n">
        <v>6</v>
      </c>
      <c r="U2399" t="n">
        <v>7</v>
      </c>
      <c r="V2399" t="n">
        <v>30</v>
      </c>
      <c r="W2399" t="n">
        <v>4</v>
      </c>
      <c r="X2399" t="n">
        <v>27.47252747252747</v>
      </c>
      <c r="Y2399" t="n">
        <v>1</v>
      </c>
      <c r="Z2399" t="n">
        <v>1</v>
      </c>
      <c r="AA2399" t="n">
        <v>0</v>
      </c>
      <c r="AB2399" t="n">
        <v>1</v>
      </c>
      <c r="AC2399" t="n">
        <v>3</v>
      </c>
      <c r="AD2399" t="n">
        <v>0</v>
      </c>
      <c r="AE2399" t="n">
        <v>222990</v>
      </c>
      <c r="AF2399" t="n">
        <v>11695</v>
      </c>
      <c r="AG2399" t="n">
        <v>63</v>
      </c>
      <c r="AH2399" t="inlineStr">
        <is>
          <t>PT. PARAMA GLOBAL INSPIRA - PPN (PDG)</t>
        </is>
      </c>
      <c r="AI2399" t="n">
        <v>1516</v>
      </c>
      <c r="AJ2399" t="inlineStr">
        <is>
          <t>INSTAPERFECT</t>
        </is>
      </c>
      <c r="AK2399" t="n">
        <v>21</v>
      </c>
      <c r="AL2399" t="inlineStr">
        <is>
          <t>Miss Glam Damar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INSTAPERFECT</t>
        </is>
      </c>
      <c r="B2400" s="2">
        <f>"8993137723176"</f>
        <v/>
      </c>
      <c r="C2400" t="inlineStr">
        <is>
          <t>INSTAPERFECT Refill Skincover Air Cushion 11 Fair Pink 11gr</t>
        </is>
      </c>
      <c r="D2400" t="inlineStr">
        <is>
          <t>Miss Glam Damar</t>
        </is>
      </c>
      <c r="E2400" t="n">
        <v>14</v>
      </c>
      <c r="F2400" t="n">
        <v>0.1547</v>
      </c>
      <c r="G2400" t="n">
        <v>0.91</v>
      </c>
      <c r="H2400" t="n">
        <v>2</v>
      </c>
      <c r="I2400" t="n">
        <v>6</v>
      </c>
      <c r="J2400" t="n">
        <v>3</v>
      </c>
      <c r="K2400" t="n">
        <v>0</v>
      </c>
      <c r="L2400" t="n">
        <v>104216</v>
      </c>
      <c r="M2400" t="n">
        <v>136000</v>
      </c>
      <c r="N2400" t="n">
        <v>91</v>
      </c>
      <c r="O2400" t="n">
        <v>0.91</v>
      </c>
      <c r="P2400" t="n">
        <v>1</v>
      </c>
      <c r="Q2400" t="n">
        <v>0.24</v>
      </c>
      <c r="R2400" t="n">
        <v>2</v>
      </c>
      <c r="S2400" t="n">
        <v>21039.2</v>
      </c>
      <c r="T2400" t="n">
        <v>6</v>
      </c>
      <c r="U2400" t="n">
        <v>7</v>
      </c>
      <c r="V2400" t="n">
        <v>30</v>
      </c>
      <c r="W2400" t="n">
        <v>5</v>
      </c>
      <c r="X2400" t="n">
        <v>90.49773755656108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11695</v>
      </c>
      <c r="AG2400" t="n">
        <v>63</v>
      </c>
      <c r="AH2400" t="inlineStr">
        <is>
          <t>PT. PARAMA GLOBAL INSPIRA - PPN (PDG)</t>
        </is>
      </c>
      <c r="AI2400" t="n">
        <v>1516</v>
      </c>
      <c r="AJ2400" t="inlineStr">
        <is>
          <t>INSTAPERFECT</t>
        </is>
      </c>
      <c r="AK2400" t="n">
        <v>21</v>
      </c>
      <c r="AL2400" t="inlineStr">
        <is>
          <t>Miss Glam Damar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INSTAPERFECT</t>
        </is>
      </c>
      <c r="B2401" s="2">
        <f>"8993137723183"</f>
        <v/>
      </c>
      <c r="C2401" t="inlineStr">
        <is>
          <t>INSTAPERFECT Refill Skincover Air Cushion 22 Light Ivory 11gr</t>
        </is>
      </c>
      <c r="D2401" t="inlineStr">
        <is>
          <t>Miss Glam Damar</t>
        </is>
      </c>
      <c r="E2401" t="n">
        <v>11</v>
      </c>
      <c r="F2401" t="n">
        <v>0.6188</v>
      </c>
      <c r="G2401" t="n">
        <v>2.73</v>
      </c>
      <c r="H2401" t="n">
        <v>2</v>
      </c>
      <c r="I2401" t="n">
        <v>6</v>
      </c>
      <c r="J2401" t="n">
        <v>3</v>
      </c>
      <c r="K2401" t="n">
        <v>0</v>
      </c>
      <c r="L2401" t="n">
        <v>103028</v>
      </c>
      <c r="M2401" t="n">
        <v>136000</v>
      </c>
      <c r="N2401" t="n">
        <v>91</v>
      </c>
      <c r="O2401" t="n">
        <v>0.91</v>
      </c>
      <c r="P2401" t="n">
        <v>1</v>
      </c>
      <c r="Q2401" t="n">
        <v>0.42</v>
      </c>
      <c r="R2401" t="n">
        <v>3</v>
      </c>
      <c r="S2401" t="n">
        <v>84156.8</v>
      </c>
      <c r="T2401" t="n">
        <v>16</v>
      </c>
      <c r="U2401" t="n">
        <v>18</v>
      </c>
      <c r="V2401" t="n">
        <v>30</v>
      </c>
      <c r="W2401" t="n">
        <v>19</v>
      </c>
      <c r="X2401" t="n">
        <v>17.77634130575307</v>
      </c>
      <c r="Y2401" t="n">
        <v>1</v>
      </c>
      <c r="Z2401" t="n">
        <v>8</v>
      </c>
      <c r="AA2401" t="n">
        <v>0</v>
      </c>
      <c r="AB2401" t="n">
        <v>8</v>
      </c>
      <c r="AC2401" t="n">
        <v>8</v>
      </c>
      <c r="AD2401" t="n">
        <v>0</v>
      </c>
      <c r="AE2401" t="n">
        <v>824224</v>
      </c>
      <c r="AF2401" t="n">
        <v>11695</v>
      </c>
      <c r="AG2401" t="n">
        <v>63</v>
      </c>
      <c r="AH2401" t="inlineStr">
        <is>
          <t>PT. PARAMA GLOBAL INSPIRA - PPN (PDG)</t>
        </is>
      </c>
      <c r="AI2401" t="n">
        <v>1516</v>
      </c>
      <c r="AJ2401" t="inlineStr">
        <is>
          <t>INSTAPERFECT</t>
        </is>
      </c>
      <c r="AK2401" t="n">
        <v>21</v>
      </c>
      <c r="AL2401" t="inlineStr">
        <is>
          <t>Miss Glam Damar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INSTAPERFECT</t>
        </is>
      </c>
      <c r="B2402" s="2">
        <f>"8993137723190"</f>
        <v/>
      </c>
      <c r="C2402" t="inlineStr">
        <is>
          <t>INSTAPERFECT Refill Skincover Air Cushion 32 True Beige 11gr</t>
        </is>
      </c>
      <c r="D2402" t="inlineStr">
        <is>
          <t>Miss Glam Damar</t>
        </is>
      </c>
      <c r="E2402" t="n">
        <v>14</v>
      </c>
      <c r="F2402" t="n">
        <v>0.4914000000000001</v>
      </c>
      <c r="G2402" t="n">
        <v>2.73</v>
      </c>
      <c r="H2402" t="n">
        <v>2</v>
      </c>
      <c r="I2402" t="n">
        <v>6</v>
      </c>
      <c r="J2402" t="n">
        <v>3</v>
      </c>
      <c r="K2402" t="n">
        <v>0</v>
      </c>
      <c r="L2402" t="n">
        <v>103804</v>
      </c>
      <c r="M2402" t="n">
        <v>136000</v>
      </c>
      <c r="N2402" t="n">
        <v>91</v>
      </c>
      <c r="O2402" t="n">
        <v>0.91</v>
      </c>
      <c r="P2402" t="n">
        <v>1</v>
      </c>
      <c r="Q2402" t="n">
        <v>0.29</v>
      </c>
      <c r="R2402" t="n">
        <v>3</v>
      </c>
      <c r="S2402" t="n">
        <v>66830.40000000001</v>
      </c>
      <c r="T2402" t="n">
        <v>16</v>
      </c>
      <c r="U2402" t="n">
        <v>17</v>
      </c>
      <c r="V2402" t="n">
        <v>30</v>
      </c>
      <c r="W2402" t="n">
        <v>15</v>
      </c>
      <c r="X2402" t="n">
        <v>28.49002849002849</v>
      </c>
      <c r="Y2402" t="n">
        <v>1</v>
      </c>
      <c r="Z2402" t="n">
        <v>1</v>
      </c>
      <c r="AA2402" t="n">
        <v>0</v>
      </c>
      <c r="AB2402" t="n">
        <v>1</v>
      </c>
      <c r="AC2402" t="n">
        <v>3</v>
      </c>
      <c r="AD2402" t="n">
        <v>0</v>
      </c>
      <c r="AE2402" t="n">
        <v>311412</v>
      </c>
      <c r="AF2402" t="n">
        <v>11695</v>
      </c>
      <c r="AG2402" t="n">
        <v>63</v>
      </c>
      <c r="AH2402" t="inlineStr">
        <is>
          <t>PT. PARAMA GLOBAL INSPIRA - PPN (PDG)</t>
        </is>
      </c>
      <c r="AI2402" t="n">
        <v>1516</v>
      </c>
      <c r="AJ2402" t="inlineStr">
        <is>
          <t>INSTAPERFECT</t>
        </is>
      </c>
      <c r="AK2402" t="n">
        <v>21</v>
      </c>
      <c r="AL2402" t="inlineStr">
        <is>
          <t>Miss Glam Damar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INSTAPERFECT</t>
        </is>
      </c>
      <c r="B2403" s="2">
        <f>"8993137723206"</f>
        <v/>
      </c>
      <c r="C2403" t="inlineStr">
        <is>
          <t>INSTAPERFECT Refill Skincover Air Cushion 33 Warm Olive 11gr</t>
        </is>
      </c>
      <c r="D2403" t="inlineStr">
        <is>
          <t>Miss Glam Damar</t>
        </is>
      </c>
      <c r="E2403" t="n">
        <v>4</v>
      </c>
      <c r="F2403" t="n">
        <v>0.0273</v>
      </c>
      <c r="G2403" t="n">
        <v>0.91</v>
      </c>
      <c r="H2403" t="n">
        <v>2</v>
      </c>
      <c r="I2403" t="n">
        <v>6</v>
      </c>
      <c r="J2403" t="n">
        <v>3</v>
      </c>
      <c r="K2403" t="n">
        <v>0</v>
      </c>
      <c r="L2403" t="n">
        <v>103552</v>
      </c>
      <c r="M2403" t="n">
        <v>136000</v>
      </c>
      <c r="N2403" t="n">
        <v>91</v>
      </c>
      <c r="O2403" t="n">
        <v>0.91</v>
      </c>
      <c r="P2403" t="n">
        <v>1</v>
      </c>
      <c r="Q2403" t="n">
        <v>0.08</v>
      </c>
      <c r="R2403" t="n">
        <v>1</v>
      </c>
      <c r="S2403" t="n">
        <v>3712.8</v>
      </c>
      <c r="T2403" t="n">
        <v>6</v>
      </c>
      <c r="U2403" t="n">
        <v>7</v>
      </c>
      <c r="V2403" t="n">
        <v>30</v>
      </c>
      <c r="W2403" t="n">
        <v>1</v>
      </c>
      <c r="X2403" t="n">
        <v>146.5201465201465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11695</v>
      </c>
      <c r="AG2403" t="n">
        <v>63</v>
      </c>
      <c r="AH2403" t="inlineStr">
        <is>
          <t>PT. PARAMA GLOBAL INSPIRA - PPN (PDG)</t>
        </is>
      </c>
      <c r="AI2403" t="n">
        <v>1516</v>
      </c>
      <c r="AJ2403" t="inlineStr">
        <is>
          <t>INSTAPERFECT</t>
        </is>
      </c>
      <c r="AK2403" t="n">
        <v>21</v>
      </c>
      <c r="AL2403" t="inlineStr">
        <is>
          <t>Miss Glam Damar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INSTAPERFECT</t>
        </is>
      </c>
      <c r="B2404" s="2">
        <f>"8993137723213"</f>
        <v/>
      </c>
      <c r="C2404" t="inlineStr">
        <is>
          <t>INSTAPERFECT Refill Skincover Air Cushion 43 Crème Sand 11gr</t>
        </is>
      </c>
      <c r="D2404" t="inlineStr">
        <is>
          <t>Miss Glam Damar</t>
        </is>
      </c>
      <c r="E2404" t="n">
        <v>3</v>
      </c>
      <c r="F2404" t="n">
        <v>0.06370000000000001</v>
      </c>
      <c r="G2404" t="n">
        <v>1.82</v>
      </c>
      <c r="H2404" t="n">
        <v>2</v>
      </c>
      <c r="I2404" t="n">
        <v>6</v>
      </c>
      <c r="J2404" t="n">
        <v>3</v>
      </c>
      <c r="K2404" t="n">
        <v>0</v>
      </c>
      <c r="L2404" t="n">
        <v>93622</v>
      </c>
      <c r="M2404" t="n">
        <v>136000</v>
      </c>
      <c r="N2404" t="n">
        <v>91</v>
      </c>
      <c r="O2404" t="n">
        <v>0.91</v>
      </c>
      <c r="P2404" t="n">
        <v>1</v>
      </c>
      <c r="Q2404" t="n">
        <v>0.05</v>
      </c>
      <c r="R2404" t="n">
        <v>1</v>
      </c>
      <c r="S2404" t="n">
        <v>8663.200000000001</v>
      </c>
      <c r="T2404" t="n">
        <v>11</v>
      </c>
      <c r="U2404" t="n">
        <v>12</v>
      </c>
      <c r="V2404" t="n">
        <v>30</v>
      </c>
      <c r="W2404" t="n">
        <v>2</v>
      </c>
      <c r="X2404" t="n">
        <v>47.09576138147566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11695</v>
      </c>
      <c r="AG2404" t="n">
        <v>63</v>
      </c>
      <c r="AH2404" t="inlineStr">
        <is>
          <t>PT. PARAMA GLOBAL INSPIRA - PPN (PDG)</t>
        </is>
      </c>
      <c r="AI2404" t="n">
        <v>1516</v>
      </c>
      <c r="AJ2404" t="inlineStr">
        <is>
          <t>INSTAPERFECT</t>
        </is>
      </c>
      <c r="AK2404" t="n">
        <v>21</v>
      </c>
      <c r="AL2404" t="inlineStr">
        <is>
          <t>Miss Glam Damar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INSTAPERFECT</t>
        </is>
      </c>
      <c r="B2405" s="2">
        <f>"20100955445"</f>
        <v/>
      </c>
      <c r="C2405" t="inlineStr">
        <is>
          <t>INSTAPERFECT Silk Touch Blusher 03 Eclat 4g</t>
        </is>
      </c>
      <c r="D2405" t="inlineStr">
        <is>
          <t>Miss Glam Damar</t>
        </is>
      </c>
      <c r="E2405" t="n">
        <v>6</v>
      </c>
      <c r="F2405" t="n">
        <v>0.09100000000000001</v>
      </c>
      <c r="G2405" t="n">
        <v>2.73</v>
      </c>
      <c r="H2405" t="n">
        <v>2</v>
      </c>
      <c r="I2405" t="n">
        <v>6</v>
      </c>
      <c r="J2405" t="n">
        <v>3</v>
      </c>
      <c r="K2405" t="n">
        <v>0</v>
      </c>
      <c r="L2405" t="n">
        <v>101151</v>
      </c>
      <c r="M2405" t="n">
        <v>126500</v>
      </c>
      <c r="N2405" t="n">
        <v>91</v>
      </c>
      <c r="O2405" t="n">
        <v>0.91</v>
      </c>
      <c r="P2405" t="n">
        <v>1</v>
      </c>
      <c r="Q2405" t="n">
        <v>0.12</v>
      </c>
      <c r="R2405" t="n">
        <v>2</v>
      </c>
      <c r="S2405" t="n">
        <v>11511.5</v>
      </c>
      <c r="T2405" t="n">
        <v>17</v>
      </c>
      <c r="U2405" t="n">
        <v>18</v>
      </c>
      <c r="V2405" t="n">
        <v>30</v>
      </c>
      <c r="W2405" t="n">
        <v>3</v>
      </c>
      <c r="X2405" t="n">
        <v>65.93406593406593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11695</v>
      </c>
      <c r="AG2405" t="n">
        <v>63</v>
      </c>
      <c r="AH2405" t="inlineStr">
        <is>
          <t>PT. PARAMA GLOBAL INSPIRA - PPN (PDG)</t>
        </is>
      </c>
      <c r="AI2405" t="n">
        <v>1516</v>
      </c>
      <c r="AJ2405" t="inlineStr">
        <is>
          <t>INSTAPERFECT</t>
        </is>
      </c>
      <c r="AK2405" t="n">
        <v>21</v>
      </c>
      <c r="AL2405" t="inlineStr">
        <is>
          <t>Miss Glam Damar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INSTAPERFECT</t>
        </is>
      </c>
      <c r="B2406" s="2">
        <f>"20100955527"</f>
        <v/>
      </c>
      <c r="C2406" t="inlineStr">
        <is>
          <t>INSTAPERFECT Silk Touch Blusher 04 Soleil 4g</t>
        </is>
      </c>
      <c r="D2406" t="inlineStr">
        <is>
          <t>Miss Glam Damar</t>
        </is>
      </c>
      <c r="E2406" t="n">
        <v>3</v>
      </c>
      <c r="F2406" t="n">
        <v>0.02</v>
      </c>
      <c r="G2406" t="n">
        <v>1</v>
      </c>
      <c r="H2406" t="n">
        <v>2</v>
      </c>
      <c r="I2406" t="n">
        <v>6</v>
      </c>
      <c r="J2406" t="n">
        <v>3</v>
      </c>
      <c r="K2406" t="n">
        <v>0</v>
      </c>
      <c r="L2406" t="n">
        <v>101151</v>
      </c>
      <c r="M2406" t="n">
        <v>126500</v>
      </c>
      <c r="N2406" t="n">
        <v>91</v>
      </c>
      <c r="O2406" t="n">
        <v>0.91</v>
      </c>
      <c r="P2406" t="n">
        <v>0</v>
      </c>
      <c r="Q2406" t="n">
        <v>0.02</v>
      </c>
      <c r="R2406" t="n">
        <v>1</v>
      </c>
      <c r="S2406" t="n">
        <v>2530</v>
      </c>
      <c r="T2406" t="n">
        <v>6</v>
      </c>
      <c r="U2406" t="n">
        <v>7</v>
      </c>
      <c r="V2406" t="n">
        <v>30</v>
      </c>
      <c r="W2406" t="n">
        <v>1</v>
      </c>
      <c r="X2406" t="n">
        <v>150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11695</v>
      </c>
      <c r="AG2406" t="n">
        <v>63</v>
      </c>
      <c r="AH2406" t="inlineStr">
        <is>
          <t>PT. PARAMA GLOBAL INSPIRA - PPN (PDG)</t>
        </is>
      </c>
      <c r="AI2406" t="n">
        <v>1516</v>
      </c>
      <c r="AJ2406" t="inlineStr">
        <is>
          <t>INSTAPERFECT</t>
        </is>
      </c>
      <c r="AK2406" t="n">
        <v>21</v>
      </c>
      <c r="AL2406" t="inlineStr">
        <is>
          <t>Miss Glam Damar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INSTAPERFECT</t>
        </is>
      </c>
      <c r="B2407" s="2">
        <f>"20100490858"</f>
        <v/>
      </c>
      <c r="C2407" t="inlineStr">
        <is>
          <t>INSTAPERFECT Skin Glow Cover Mesh Cushion C11 Fair Pink 15gr</t>
        </is>
      </c>
      <c r="D2407" t="inlineStr">
        <is>
          <t>Miss Glam Damar</t>
        </is>
      </c>
      <c r="E2407" t="n">
        <v>4</v>
      </c>
      <c r="F2407" t="n">
        <v>0.0182</v>
      </c>
      <c r="G2407" t="n">
        <v>0.91</v>
      </c>
      <c r="H2407" t="n">
        <v>2</v>
      </c>
      <c r="I2407" t="n">
        <v>6</v>
      </c>
      <c r="J2407" t="n">
        <v>1</v>
      </c>
      <c r="K2407" t="n">
        <v>0</v>
      </c>
      <c r="L2407" t="n">
        <v>168586</v>
      </c>
      <c r="M2407" t="n">
        <v>211500</v>
      </c>
      <c r="N2407" t="n">
        <v>91</v>
      </c>
      <c r="O2407" t="n">
        <v>0.91</v>
      </c>
      <c r="P2407" t="n">
        <v>1</v>
      </c>
      <c r="Q2407" t="n">
        <v>0.08</v>
      </c>
      <c r="R2407" t="n">
        <v>1</v>
      </c>
      <c r="S2407" t="n">
        <v>3849.3</v>
      </c>
      <c r="T2407" t="n">
        <v>6</v>
      </c>
      <c r="U2407" t="n">
        <v>7</v>
      </c>
      <c r="V2407" t="n">
        <v>30</v>
      </c>
      <c r="W2407" t="n">
        <v>1</v>
      </c>
      <c r="X2407" t="n">
        <v>219.7802197802198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11695</v>
      </c>
      <c r="AG2407" t="n">
        <v>63</v>
      </c>
      <c r="AH2407" t="inlineStr">
        <is>
          <t>PT. PARAMA GLOBAL INSPIRA - PPN (PDG)</t>
        </is>
      </c>
      <c r="AI2407" t="n">
        <v>1516</v>
      </c>
      <c r="AJ2407" t="inlineStr">
        <is>
          <t>INSTAPERFECT</t>
        </is>
      </c>
      <c r="AK2407" t="n">
        <v>21</v>
      </c>
      <c r="AL2407" t="inlineStr">
        <is>
          <t>Miss Glam Damar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INSTAPERFECT</t>
        </is>
      </c>
      <c r="B2408" s="2">
        <f>"20100491437"</f>
        <v/>
      </c>
      <c r="C2408" t="inlineStr">
        <is>
          <t>INSTAPERFECT Skin Glow Cover Mesh Cushion N12 Fair Silk 15gr</t>
        </is>
      </c>
      <c r="D2408" t="inlineStr">
        <is>
          <t>Miss Glam Damar</t>
        </is>
      </c>
      <c r="E2408" t="n">
        <v>4</v>
      </c>
      <c r="F2408" t="n">
        <v>0.0182</v>
      </c>
      <c r="G2408" t="n">
        <v>0.91</v>
      </c>
      <c r="H2408" t="n">
        <v>2</v>
      </c>
      <c r="I2408" t="n">
        <v>6</v>
      </c>
      <c r="J2408" t="n">
        <v>1</v>
      </c>
      <c r="K2408" t="n">
        <v>0</v>
      </c>
      <c r="L2408" t="n">
        <v>168586</v>
      </c>
      <c r="M2408" t="n">
        <v>211500</v>
      </c>
      <c r="N2408" t="n">
        <v>91</v>
      </c>
      <c r="O2408" t="n">
        <v>0.91</v>
      </c>
      <c r="P2408" t="n">
        <v>1</v>
      </c>
      <c r="Q2408" t="n">
        <v>0.1</v>
      </c>
      <c r="R2408" t="n">
        <v>1</v>
      </c>
      <c r="S2408" t="n">
        <v>3849.3</v>
      </c>
      <c r="T2408" t="n">
        <v>6</v>
      </c>
      <c r="U2408" t="n">
        <v>7</v>
      </c>
      <c r="V2408" t="n">
        <v>30</v>
      </c>
      <c r="W2408" t="n">
        <v>1</v>
      </c>
      <c r="X2408" t="n">
        <v>219.7802197802198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11695</v>
      </c>
      <c r="AG2408" t="n">
        <v>63</v>
      </c>
      <c r="AH2408" t="inlineStr">
        <is>
          <t>PT. PARAMA GLOBAL INSPIRA - PPN (PDG)</t>
        </is>
      </c>
      <c r="AI2408" t="n">
        <v>1516</v>
      </c>
      <c r="AJ2408" t="inlineStr">
        <is>
          <t>INSTAPERFECT</t>
        </is>
      </c>
      <c r="AK2408" t="n">
        <v>21</v>
      </c>
      <c r="AL2408" t="inlineStr">
        <is>
          <t>Miss Glam Damar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INSTAPERFECT</t>
        </is>
      </c>
      <c r="B2409" s="2">
        <f>"20100490907"</f>
        <v/>
      </c>
      <c r="C2409" t="inlineStr">
        <is>
          <t>INSTAPERFECT Skin Glow Cover Mesh Cushion N22 Light Ivory 15gr</t>
        </is>
      </c>
      <c r="D2409" t="inlineStr">
        <is>
          <t>Miss Glam Damar</t>
        </is>
      </c>
      <c r="E2409" t="n">
        <v>7</v>
      </c>
      <c r="F2409" t="n">
        <v>0.1092</v>
      </c>
      <c r="G2409" t="n">
        <v>0.91</v>
      </c>
      <c r="H2409" t="n">
        <v>2</v>
      </c>
      <c r="I2409" t="n">
        <v>6</v>
      </c>
      <c r="J2409" t="n">
        <v>1</v>
      </c>
      <c r="K2409" t="n">
        <v>0</v>
      </c>
      <c r="L2409" t="n">
        <v>168586</v>
      </c>
      <c r="M2409" t="n">
        <v>211500</v>
      </c>
      <c r="N2409" t="n">
        <v>91</v>
      </c>
      <c r="O2409" t="n">
        <v>0.91</v>
      </c>
      <c r="P2409" t="n">
        <v>1</v>
      </c>
      <c r="Q2409" t="n">
        <v>0.14</v>
      </c>
      <c r="R2409" t="n">
        <v>2</v>
      </c>
      <c r="S2409" t="n">
        <v>23095.8</v>
      </c>
      <c r="T2409" t="n">
        <v>6</v>
      </c>
      <c r="U2409" t="n">
        <v>7</v>
      </c>
      <c r="V2409" t="n">
        <v>30</v>
      </c>
      <c r="W2409" t="n">
        <v>4</v>
      </c>
      <c r="X2409" t="n">
        <v>64.1025641025641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11695</v>
      </c>
      <c r="AG2409" t="n">
        <v>63</v>
      </c>
      <c r="AH2409" t="inlineStr">
        <is>
          <t>PT. PARAMA GLOBAL INSPIRA - PPN (PDG)</t>
        </is>
      </c>
      <c r="AI2409" t="n">
        <v>1516</v>
      </c>
      <c r="AJ2409" t="inlineStr">
        <is>
          <t>INSTAPERFECT</t>
        </is>
      </c>
      <c r="AK2409" t="n">
        <v>21</v>
      </c>
      <c r="AL2409" t="inlineStr">
        <is>
          <t>Miss Glam Damar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INSTAPERFECT</t>
        </is>
      </c>
      <c r="B2410" s="2">
        <f>"20100491021"</f>
        <v/>
      </c>
      <c r="C2410" t="inlineStr">
        <is>
          <t>INSTAPERFECT Skin Glow Cover Mesh Cushion N32 True Beige 15gr</t>
        </is>
      </c>
      <c r="D2410" t="inlineStr">
        <is>
          <t>Miss Glam Damar</t>
        </is>
      </c>
      <c r="E2410" t="n">
        <v>6</v>
      </c>
      <c r="F2410" t="n">
        <v>0.06370000000000001</v>
      </c>
      <c r="G2410" t="n">
        <v>1.82</v>
      </c>
      <c r="H2410" t="n">
        <v>2</v>
      </c>
      <c r="I2410" t="n">
        <v>6</v>
      </c>
      <c r="J2410" t="n">
        <v>1</v>
      </c>
      <c r="K2410" t="n">
        <v>0</v>
      </c>
      <c r="L2410" t="n">
        <v>168586</v>
      </c>
      <c r="M2410" t="n">
        <v>211500</v>
      </c>
      <c r="N2410" t="n">
        <v>91</v>
      </c>
      <c r="O2410" t="n">
        <v>0.91</v>
      </c>
      <c r="P2410" t="n">
        <v>1</v>
      </c>
      <c r="Q2410" t="n">
        <v>0.14</v>
      </c>
      <c r="R2410" t="n">
        <v>2</v>
      </c>
      <c r="S2410" t="n">
        <v>13472.55</v>
      </c>
      <c r="T2410" t="n">
        <v>11</v>
      </c>
      <c r="U2410" t="n">
        <v>12</v>
      </c>
      <c r="V2410" t="n">
        <v>30</v>
      </c>
      <c r="W2410" t="n">
        <v>2</v>
      </c>
      <c r="X2410" t="n">
        <v>94.19152276295132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11695</v>
      </c>
      <c r="AG2410" t="n">
        <v>63</v>
      </c>
      <c r="AH2410" t="inlineStr">
        <is>
          <t>PT. PARAMA GLOBAL INSPIRA - PPN (PDG)</t>
        </is>
      </c>
      <c r="AI2410" t="n">
        <v>1516</v>
      </c>
      <c r="AJ2410" t="inlineStr">
        <is>
          <t>INSTAPERFECT</t>
        </is>
      </c>
      <c r="AK2410" t="n">
        <v>21</v>
      </c>
      <c r="AL2410" t="inlineStr">
        <is>
          <t>Miss Glam Damar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INSTAPERFECT</t>
        </is>
      </c>
      <c r="B2411" s="2">
        <f>"20100492006"</f>
        <v/>
      </c>
      <c r="C2411" t="inlineStr">
        <is>
          <t>INSTAPERFECT Skin Glow Cover Mesh Cushion N42 Sienna Sand 15gr</t>
        </is>
      </c>
      <c r="D2411" t="inlineStr">
        <is>
          <t>Miss Glam Damar</t>
        </is>
      </c>
      <c r="E2411" t="n">
        <v>4</v>
      </c>
      <c r="F2411" t="n">
        <v>0.0273</v>
      </c>
      <c r="G2411" t="n">
        <v>0.91</v>
      </c>
      <c r="H2411" t="n">
        <v>2</v>
      </c>
      <c r="I2411" t="n">
        <v>6</v>
      </c>
      <c r="J2411" t="n">
        <v>1</v>
      </c>
      <c r="K2411" t="n">
        <v>0</v>
      </c>
      <c r="L2411" t="n">
        <v>168586</v>
      </c>
      <c r="M2411" t="n">
        <v>211500</v>
      </c>
      <c r="N2411" t="n">
        <v>91</v>
      </c>
      <c r="O2411" t="n">
        <v>0.91</v>
      </c>
      <c r="P2411" t="n">
        <v>1</v>
      </c>
      <c r="Q2411" t="n">
        <v>0.05</v>
      </c>
      <c r="R2411" t="n">
        <v>1</v>
      </c>
      <c r="S2411" t="n">
        <v>5773.950000000001</v>
      </c>
      <c r="T2411" t="n">
        <v>6</v>
      </c>
      <c r="U2411" t="n">
        <v>7</v>
      </c>
      <c r="V2411" t="n">
        <v>30</v>
      </c>
      <c r="W2411" t="n">
        <v>1</v>
      </c>
      <c r="X2411" t="n">
        <v>146.5201465201465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11695</v>
      </c>
      <c r="AG2411" t="n">
        <v>63</v>
      </c>
      <c r="AH2411" t="inlineStr">
        <is>
          <t>PT. PARAMA GLOBAL INSPIRA - PPN (PDG)</t>
        </is>
      </c>
      <c r="AI2411" t="n">
        <v>1516</v>
      </c>
      <c r="AJ2411" t="inlineStr">
        <is>
          <t>INSTAPERFECT</t>
        </is>
      </c>
      <c r="AK2411" t="n">
        <v>21</v>
      </c>
      <c r="AL2411" t="inlineStr">
        <is>
          <t>Miss Glam Damar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INSTAPERFECT</t>
        </is>
      </c>
      <c r="B2412" s="2">
        <f>"20100491513"</f>
        <v/>
      </c>
      <c r="C2412" t="inlineStr">
        <is>
          <t>INSTAPERFECT Skin Glow Cover Mesh Cushion W14 Fair Pearl 15gr</t>
        </is>
      </c>
      <c r="D2412" t="inlineStr">
        <is>
          <t>Miss Glam Damar</t>
        </is>
      </c>
      <c r="E2412" t="n">
        <v>0</v>
      </c>
      <c r="F2412" t="n">
        <v>0.0273</v>
      </c>
      <c r="G2412" t="n">
        <v>0.91</v>
      </c>
      <c r="H2412" t="n">
        <v>2</v>
      </c>
      <c r="I2412" t="n">
        <v>6</v>
      </c>
      <c r="J2412" t="n">
        <v>1</v>
      </c>
      <c r="K2412" t="n">
        <v>0</v>
      </c>
      <c r="L2412" t="n">
        <v>168586</v>
      </c>
      <c r="M2412" t="n">
        <v>211500</v>
      </c>
      <c r="N2412" t="n">
        <v>91</v>
      </c>
      <c r="O2412" t="n">
        <v>0.91</v>
      </c>
      <c r="P2412" t="n">
        <v>1</v>
      </c>
      <c r="Q2412" t="n">
        <v>0.02</v>
      </c>
      <c r="R2412" t="n">
        <v>1</v>
      </c>
      <c r="S2412" t="n">
        <v>5773.950000000001</v>
      </c>
      <c r="T2412" t="n">
        <v>6</v>
      </c>
      <c r="U2412" t="n">
        <v>7</v>
      </c>
      <c r="V2412" t="n">
        <v>30</v>
      </c>
      <c r="W2412" t="n">
        <v>1</v>
      </c>
      <c r="X2412" t="n">
        <v>0</v>
      </c>
      <c r="Y2412" t="n">
        <v>1</v>
      </c>
      <c r="Z2412" t="n">
        <v>1</v>
      </c>
      <c r="AA2412" t="n">
        <v>1</v>
      </c>
      <c r="AB2412" t="n">
        <v>0</v>
      </c>
      <c r="AC2412" t="n">
        <v>0</v>
      </c>
      <c r="AD2412" t="n">
        <v>168586</v>
      </c>
      <c r="AE2412" t="n">
        <v>0</v>
      </c>
      <c r="AF2412" t="n">
        <v>11695</v>
      </c>
      <c r="AG2412" t="n">
        <v>63</v>
      </c>
      <c r="AH2412" t="inlineStr">
        <is>
          <t>PT. PARAMA GLOBAL INSPIRA - PPN (PDG)</t>
        </is>
      </c>
      <c r="AI2412" t="n">
        <v>1516</v>
      </c>
      <c r="AJ2412" t="inlineStr">
        <is>
          <t>INSTAPERFECT</t>
        </is>
      </c>
      <c r="AK2412" t="n">
        <v>21</v>
      </c>
      <c r="AL2412" t="inlineStr">
        <is>
          <t>Miss Glam Damar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INSTAPERFECT</t>
        </is>
      </c>
      <c r="B2413" s="2">
        <f>"20100491701"</f>
        <v/>
      </c>
      <c r="C2413" t="inlineStr">
        <is>
          <t>INSTAPERFECT Skin Glow Cover Mesh Cushion W24 Light Marigold 15gr</t>
        </is>
      </c>
      <c r="D2413" t="inlineStr">
        <is>
          <t>Miss Glam Damar</t>
        </is>
      </c>
      <c r="E2413" t="n">
        <v>4</v>
      </c>
      <c r="F2413" t="n">
        <v>0.0728</v>
      </c>
      <c r="G2413" t="n">
        <v>0.91</v>
      </c>
      <c r="H2413" t="n">
        <v>2</v>
      </c>
      <c r="I2413" t="n">
        <v>6</v>
      </c>
      <c r="J2413" t="n">
        <v>1</v>
      </c>
      <c r="K2413" t="n">
        <v>0</v>
      </c>
      <c r="L2413" t="n">
        <v>168586</v>
      </c>
      <c r="M2413" t="n">
        <v>211500</v>
      </c>
      <c r="N2413" t="n">
        <v>91</v>
      </c>
      <c r="O2413" t="n">
        <v>0.91</v>
      </c>
      <c r="P2413" t="n">
        <v>1</v>
      </c>
      <c r="Q2413" t="n">
        <v>0.1</v>
      </c>
      <c r="R2413" t="n">
        <v>1</v>
      </c>
      <c r="S2413" t="n">
        <v>15397.2</v>
      </c>
      <c r="T2413" t="n">
        <v>6</v>
      </c>
      <c r="U2413" t="n">
        <v>7</v>
      </c>
      <c r="V2413" t="n">
        <v>30</v>
      </c>
      <c r="W2413" t="n">
        <v>3</v>
      </c>
      <c r="X2413" t="n">
        <v>54.94505494505494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11695</v>
      </c>
      <c r="AG2413" t="n">
        <v>63</v>
      </c>
      <c r="AH2413" t="inlineStr">
        <is>
          <t>PT. PARAMA GLOBAL INSPIRA - PPN (PDG)</t>
        </is>
      </c>
      <c r="AI2413" t="n">
        <v>1516</v>
      </c>
      <c r="AJ2413" t="inlineStr">
        <is>
          <t>INSTAPERFECT</t>
        </is>
      </c>
      <c r="AK2413" t="n">
        <v>21</v>
      </c>
      <c r="AL2413" t="inlineStr">
        <is>
          <t>Miss Glam Damar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INSTAPERFECT</t>
        </is>
      </c>
      <c r="B2414" s="2">
        <f>"20100491107"</f>
        <v/>
      </c>
      <c r="C2414" t="inlineStr">
        <is>
          <t>INSTAPERFECT Skin Glow Cover Mesh Cushion W33 Olive Beige 15gr</t>
        </is>
      </c>
      <c r="D2414" t="inlineStr">
        <is>
          <t>Miss Glam Damar</t>
        </is>
      </c>
      <c r="E2414" t="n">
        <v>4</v>
      </c>
      <c r="F2414" t="n">
        <v>0.0182</v>
      </c>
      <c r="G2414" t="n">
        <v>0.91</v>
      </c>
      <c r="H2414" t="n">
        <v>2</v>
      </c>
      <c r="I2414" t="n">
        <v>6</v>
      </c>
      <c r="J2414" t="n">
        <v>1</v>
      </c>
      <c r="K2414" t="n">
        <v>0</v>
      </c>
      <c r="L2414" t="n">
        <v>168586</v>
      </c>
      <c r="M2414" t="n">
        <v>211500</v>
      </c>
      <c r="N2414" t="n">
        <v>91</v>
      </c>
      <c r="O2414" t="n">
        <v>0.91</v>
      </c>
      <c r="P2414" t="n">
        <v>1</v>
      </c>
      <c r="Q2414" t="n">
        <v>0.08</v>
      </c>
      <c r="R2414" t="n">
        <v>1</v>
      </c>
      <c r="S2414" t="n">
        <v>3849.3</v>
      </c>
      <c r="T2414" t="n">
        <v>6</v>
      </c>
      <c r="U2414" t="n">
        <v>7</v>
      </c>
      <c r="V2414" t="n">
        <v>30</v>
      </c>
      <c r="W2414" t="n">
        <v>1</v>
      </c>
      <c r="X2414" t="n">
        <v>219.7802197802198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11695</v>
      </c>
      <c r="AG2414" t="n">
        <v>63</v>
      </c>
      <c r="AH2414" t="inlineStr">
        <is>
          <t>PT. PARAMA GLOBAL INSPIRA - PPN (PDG)</t>
        </is>
      </c>
      <c r="AI2414" t="n">
        <v>1516</v>
      </c>
      <c r="AJ2414" t="inlineStr">
        <is>
          <t>INSTAPERFECT</t>
        </is>
      </c>
      <c r="AK2414" t="n">
        <v>21</v>
      </c>
      <c r="AL2414" t="inlineStr">
        <is>
          <t>Miss Glam Damar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INSTAPERFECT</t>
        </is>
      </c>
      <c r="B2415" s="2">
        <f>"8993137723114"</f>
        <v/>
      </c>
      <c r="C2415" t="inlineStr">
        <is>
          <t>INSTAPERFECT Skincover Air Cushion 11 Fair Pink 11gr</t>
        </is>
      </c>
      <c r="D2415" t="inlineStr">
        <is>
          <t>Miss Glam Damar</t>
        </is>
      </c>
      <c r="E2415" t="n">
        <v>5</v>
      </c>
      <c r="F2415" t="n">
        <v>0.09100000000000001</v>
      </c>
      <c r="G2415" t="n">
        <v>0.91</v>
      </c>
      <c r="H2415" t="n">
        <v>2</v>
      </c>
      <c r="I2415" t="n">
        <v>6</v>
      </c>
      <c r="J2415" t="n">
        <v>3</v>
      </c>
      <c r="K2415" t="n">
        <v>0</v>
      </c>
      <c r="L2415" t="n">
        <v>137439</v>
      </c>
      <c r="M2415" t="n">
        <v>184000</v>
      </c>
      <c r="N2415" t="n">
        <v>91</v>
      </c>
      <c r="O2415" t="n">
        <v>0.91</v>
      </c>
      <c r="P2415" t="n">
        <v>1</v>
      </c>
      <c r="Q2415" t="n">
        <v>0.07000000000000001</v>
      </c>
      <c r="R2415" t="n">
        <v>1</v>
      </c>
      <c r="S2415" t="n">
        <v>16744</v>
      </c>
      <c r="T2415" t="n">
        <v>6</v>
      </c>
      <c r="U2415" t="n">
        <v>7</v>
      </c>
      <c r="V2415" t="n">
        <v>30</v>
      </c>
      <c r="W2415" t="n">
        <v>3</v>
      </c>
      <c r="X2415" t="n">
        <v>54.94505494505494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11695</v>
      </c>
      <c r="AG2415" t="n">
        <v>63</v>
      </c>
      <c r="AH2415" t="inlineStr">
        <is>
          <t>PT. PARAMA GLOBAL INSPIRA - PPN (PDG)</t>
        </is>
      </c>
      <c r="AI2415" t="n">
        <v>1516</v>
      </c>
      <c r="AJ2415" t="inlineStr">
        <is>
          <t>INSTAPERFECT</t>
        </is>
      </c>
      <c r="AK2415" t="n">
        <v>21</v>
      </c>
      <c r="AL2415" t="inlineStr">
        <is>
          <t>Miss Glam Damar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INSTAPERFECT</t>
        </is>
      </c>
      <c r="B2416" s="2">
        <f>"8993137723121"</f>
        <v/>
      </c>
      <c r="C2416" t="inlineStr">
        <is>
          <t>INSTAPERFECT Skincover Air Cushion 22 Light Ivory 11gr</t>
        </is>
      </c>
      <c r="D2416" t="inlineStr">
        <is>
          <t>Miss Glam Damar</t>
        </is>
      </c>
      <c r="E2416" t="n">
        <v>8</v>
      </c>
      <c r="F2416" t="n">
        <v>0.1274</v>
      </c>
      <c r="G2416" t="n">
        <v>1.82</v>
      </c>
      <c r="H2416" t="n">
        <v>2</v>
      </c>
      <c r="I2416" t="n">
        <v>6</v>
      </c>
      <c r="J2416" t="n">
        <v>3</v>
      </c>
      <c r="K2416" t="n">
        <v>0</v>
      </c>
      <c r="L2416" t="n">
        <v>138216</v>
      </c>
      <c r="M2416" t="n">
        <v>184000</v>
      </c>
      <c r="N2416" t="n">
        <v>91</v>
      </c>
      <c r="O2416" t="n">
        <v>0.91</v>
      </c>
      <c r="P2416" t="n">
        <v>1</v>
      </c>
      <c r="Q2416" t="n">
        <v>0.25</v>
      </c>
      <c r="R2416" t="n">
        <v>1</v>
      </c>
      <c r="S2416" t="n">
        <v>23441.6</v>
      </c>
      <c r="T2416" t="n">
        <v>11</v>
      </c>
      <c r="U2416" t="n">
        <v>12</v>
      </c>
      <c r="V2416" t="n">
        <v>30</v>
      </c>
      <c r="W2416" t="n">
        <v>4</v>
      </c>
      <c r="X2416" t="n">
        <v>62.79434850863422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11695</v>
      </c>
      <c r="AG2416" t="n">
        <v>63</v>
      </c>
      <c r="AH2416" t="inlineStr">
        <is>
          <t>PT. PARAMA GLOBAL INSPIRA - PPN (PDG)</t>
        </is>
      </c>
      <c r="AI2416" t="n">
        <v>1516</v>
      </c>
      <c r="AJ2416" t="inlineStr">
        <is>
          <t>INSTAPERFECT</t>
        </is>
      </c>
      <c r="AK2416" t="n">
        <v>21</v>
      </c>
      <c r="AL2416" t="inlineStr">
        <is>
          <t>Miss Glam Damar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INSTAPERFECT</t>
        </is>
      </c>
      <c r="B2417" s="2">
        <f>"8993137723138"</f>
        <v/>
      </c>
      <c r="C2417" t="inlineStr">
        <is>
          <t>INSTAPERFECT Skincover Air Cushion 32 True Beige 11gr</t>
        </is>
      </c>
      <c r="D2417" t="inlineStr">
        <is>
          <t>Miss Glam Damar</t>
        </is>
      </c>
      <c r="E2417" t="n">
        <v>6</v>
      </c>
      <c r="F2417" t="n">
        <v>0.2184</v>
      </c>
      <c r="G2417" t="n">
        <v>1.82</v>
      </c>
      <c r="H2417" t="n">
        <v>2</v>
      </c>
      <c r="I2417" t="n">
        <v>6</v>
      </c>
      <c r="J2417" t="n">
        <v>3</v>
      </c>
      <c r="K2417" t="n">
        <v>0</v>
      </c>
      <c r="L2417" t="n">
        <v>135233</v>
      </c>
      <c r="M2417" t="n">
        <v>184000</v>
      </c>
      <c r="N2417" t="n">
        <v>91</v>
      </c>
      <c r="O2417" t="n">
        <v>0.91</v>
      </c>
      <c r="P2417" t="n">
        <v>1</v>
      </c>
      <c r="Q2417" t="n">
        <v>0.08</v>
      </c>
      <c r="R2417" t="n">
        <v>1</v>
      </c>
      <c r="S2417" t="n">
        <v>40185.6</v>
      </c>
      <c r="T2417" t="n">
        <v>11</v>
      </c>
      <c r="U2417" t="n">
        <v>12</v>
      </c>
      <c r="V2417" t="n">
        <v>30</v>
      </c>
      <c r="W2417" t="n">
        <v>7</v>
      </c>
      <c r="X2417" t="n">
        <v>27.47252747252747</v>
      </c>
      <c r="Y2417" t="n">
        <v>1</v>
      </c>
      <c r="Z2417" t="n">
        <v>1</v>
      </c>
      <c r="AA2417" t="n">
        <v>0</v>
      </c>
      <c r="AB2417" t="n">
        <v>1</v>
      </c>
      <c r="AC2417" t="n">
        <v>3</v>
      </c>
      <c r="AD2417" t="n">
        <v>0</v>
      </c>
      <c r="AE2417" t="n">
        <v>405699</v>
      </c>
      <c r="AF2417" t="n">
        <v>11695</v>
      </c>
      <c r="AG2417" t="n">
        <v>63</v>
      </c>
      <c r="AH2417" t="inlineStr">
        <is>
          <t>PT. PARAMA GLOBAL INSPIRA - PPN (PDG)</t>
        </is>
      </c>
      <c r="AI2417" t="n">
        <v>1516</v>
      </c>
      <c r="AJ2417" t="inlineStr">
        <is>
          <t>INSTAPERFECT</t>
        </is>
      </c>
      <c r="AK2417" t="n">
        <v>21</v>
      </c>
      <c r="AL2417" t="inlineStr">
        <is>
          <t>Miss Glam Damar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INSTAPERFECT</t>
        </is>
      </c>
      <c r="B2418" s="2">
        <f>"8993137723145"</f>
        <v/>
      </c>
      <c r="C2418" t="inlineStr">
        <is>
          <t>INSTAPERFECT Skincover Air Cushion 33 Warm Olive 11gr</t>
        </is>
      </c>
      <c r="D2418" t="inlineStr">
        <is>
          <t>Miss Glam Damar</t>
        </is>
      </c>
      <c r="E2418" t="n">
        <v>5</v>
      </c>
      <c r="F2418" t="n">
        <v>0.0273</v>
      </c>
      <c r="G2418" t="n">
        <v>0.91</v>
      </c>
      <c r="H2418" t="n">
        <v>2</v>
      </c>
      <c r="I2418" t="n">
        <v>6</v>
      </c>
      <c r="J2418" t="n">
        <v>3</v>
      </c>
      <c r="K2418" t="n">
        <v>0</v>
      </c>
      <c r="L2418" t="n">
        <v>138456</v>
      </c>
      <c r="M2418" t="n">
        <v>184000</v>
      </c>
      <c r="N2418" t="n">
        <v>91</v>
      </c>
      <c r="O2418" t="n">
        <v>0.91</v>
      </c>
      <c r="P2418" t="n">
        <v>1</v>
      </c>
      <c r="Q2418" t="n">
        <v>0.07000000000000001</v>
      </c>
      <c r="R2418" t="n">
        <v>1</v>
      </c>
      <c r="S2418" t="n">
        <v>5023.2</v>
      </c>
      <c r="T2418" t="n">
        <v>6</v>
      </c>
      <c r="U2418" t="n">
        <v>7</v>
      </c>
      <c r="V2418" t="n">
        <v>30</v>
      </c>
      <c r="W2418" t="n">
        <v>1</v>
      </c>
      <c r="X2418" t="n">
        <v>183.1501831501832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11695</v>
      </c>
      <c r="AG2418" t="n">
        <v>63</v>
      </c>
      <c r="AH2418" t="inlineStr">
        <is>
          <t>PT. PARAMA GLOBAL INSPIRA - PPN (PDG)</t>
        </is>
      </c>
      <c r="AI2418" t="n">
        <v>1516</v>
      </c>
      <c r="AJ2418" t="inlineStr">
        <is>
          <t>INSTAPERFECT</t>
        </is>
      </c>
      <c r="AK2418" t="n">
        <v>21</v>
      </c>
      <c r="AL2418" t="inlineStr">
        <is>
          <t>Miss Glam Damar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INSTAPERFECT</t>
        </is>
      </c>
      <c r="B2419" s="2">
        <f>"8993137008990"</f>
        <v/>
      </c>
      <c r="C2419" t="inlineStr">
        <is>
          <t>INSTAPERFECT Skincover Air Cushion C21 Light Petal 11gr</t>
        </is>
      </c>
      <c r="D2419" t="inlineStr">
        <is>
          <t>Miss Glam Damar</t>
        </is>
      </c>
      <c r="E2419" t="n">
        <v>3</v>
      </c>
      <c r="F2419" t="n">
        <v>0.0182</v>
      </c>
      <c r="G2419" t="n">
        <v>0.91</v>
      </c>
      <c r="H2419" t="n">
        <v>2</v>
      </c>
      <c r="I2419" t="n">
        <v>6</v>
      </c>
      <c r="J2419" t="n">
        <v>3</v>
      </c>
      <c r="K2419" t="n">
        <v>0</v>
      </c>
      <c r="L2419" t="n">
        <v>126898</v>
      </c>
      <c r="M2419" t="n">
        <v>184000</v>
      </c>
      <c r="N2419" t="n">
        <v>91</v>
      </c>
      <c r="O2419" t="n">
        <v>0.91</v>
      </c>
      <c r="P2419" t="n">
        <v>1</v>
      </c>
      <c r="Q2419" t="n">
        <v>0.03</v>
      </c>
      <c r="R2419" t="n">
        <v>1</v>
      </c>
      <c r="S2419" t="n">
        <v>3348.8</v>
      </c>
      <c r="T2419" t="n">
        <v>6</v>
      </c>
      <c r="U2419" t="n">
        <v>7</v>
      </c>
      <c r="V2419" t="n">
        <v>30</v>
      </c>
      <c r="W2419" t="n">
        <v>1</v>
      </c>
      <c r="X2419" t="n">
        <v>164.8351648351648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11695</v>
      </c>
      <c r="AG2419" t="n">
        <v>63</v>
      </c>
      <c r="AH2419" t="inlineStr">
        <is>
          <t>PT. PARAMA GLOBAL INSPIRA - PPN (PDG)</t>
        </is>
      </c>
      <c r="AI2419" t="n">
        <v>1516</v>
      </c>
      <c r="AJ2419" t="inlineStr">
        <is>
          <t>INSTAPERFECT</t>
        </is>
      </c>
      <c r="AK2419" t="n">
        <v>21</v>
      </c>
      <c r="AL2419" t="inlineStr">
        <is>
          <t>Miss Glam Damar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INSTAPERFECT</t>
        </is>
      </c>
      <c r="B2420" s="2">
        <f>"8993137008976"</f>
        <v/>
      </c>
      <c r="C2420" t="inlineStr">
        <is>
          <t>INSTAPERFECT Skincover Air Cushion N12 Fair Silk 11gr</t>
        </is>
      </c>
      <c r="D2420" t="inlineStr">
        <is>
          <t>Miss Glam Damar</t>
        </is>
      </c>
      <c r="E2420" t="n">
        <v>5</v>
      </c>
      <c r="F2420" t="n">
        <v>0.1365</v>
      </c>
      <c r="G2420" t="n">
        <v>1.82</v>
      </c>
      <c r="H2420" t="n">
        <v>2</v>
      </c>
      <c r="I2420" t="n">
        <v>6</v>
      </c>
      <c r="J2420" t="n">
        <v>3</v>
      </c>
      <c r="K2420" t="n">
        <v>0</v>
      </c>
      <c r="L2420" t="n">
        <v>136784</v>
      </c>
      <c r="M2420" t="n">
        <v>184000</v>
      </c>
      <c r="N2420" t="n">
        <v>91</v>
      </c>
      <c r="O2420" t="n">
        <v>0.91</v>
      </c>
      <c r="P2420" t="n">
        <v>1</v>
      </c>
      <c r="Q2420" t="n">
        <v>0.05</v>
      </c>
      <c r="R2420" t="n">
        <v>1</v>
      </c>
      <c r="S2420" t="n">
        <v>25116</v>
      </c>
      <c r="T2420" t="n">
        <v>11</v>
      </c>
      <c r="U2420" t="n">
        <v>12</v>
      </c>
      <c r="V2420" t="n">
        <v>30</v>
      </c>
      <c r="W2420" t="n">
        <v>5</v>
      </c>
      <c r="X2420" t="n">
        <v>36.63003663003663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11695</v>
      </c>
      <c r="AG2420" t="n">
        <v>63</v>
      </c>
      <c r="AH2420" t="inlineStr">
        <is>
          <t>PT. PARAMA GLOBAL INSPIRA - PPN (PDG)</t>
        </is>
      </c>
      <c r="AI2420" t="n">
        <v>1516</v>
      </c>
      <c r="AJ2420" t="inlineStr">
        <is>
          <t>INSTAPERFECT</t>
        </is>
      </c>
      <c r="AK2420" t="n">
        <v>21</v>
      </c>
      <c r="AL2420" t="inlineStr">
        <is>
          <t>Miss Glam Damar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INSTAPERFECT</t>
        </is>
      </c>
      <c r="B2421" s="2">
        <f>"8993137008983"</f>
        <v/>
      </c>
      <c r="C2421" t="inlineStr">
        <is>
          <t>INSTAPERFECT Skincover Air Cushion W14 Fair Pearl 11gr</t>
        </is>
      </c>
      <c r="D2421" t="inlineStr">
        <is>
          <t>Miss Glam Damar</t>
        </is>
      </c>
      <c r="E2421" t="n">
        <v>4</v>
      </c>
      <c r="F2421" t="n">
        <v>0.0273</v>
      </c>
      <c r="G2421" t="n">
        <v>0.91</v>
      </c>
      <c r="H2421" t="n">
        <v>2</v>
      </c>
      <c r="I2421" t="n">
        <v>6</v>
      </c>
      <c r="J2421" t="n">
        <v>3</v>
      </c>
      <c r="K2421" t="n">
        <v>0</v>
      </c>
      <c r="L2421" t="n">
        <v>126347</v>
      </c>
      <c r="M2421" t="n">
        <v>184000</v>
      </c>
      <c r="N2421" t="n">
        <v>91</v>
      </c>
      <c r="O2421" t="n">
        <v>0.91</v>
      </c>
      <c r="P2421" t="n">
        <v>1</v>
      </c>
      <c r="Q2421" t="n">
        <v>0.02</v>
      </c>
      <c r="R2421" t="n">
        <v>1</v>
      </c>
      <c r="S2421" t="n">
        <v>5023.2</v>
      </c>
      <c r="T2421" t="n">
        <v>6</v>
      </c>
      <c r="U2421" t="n">
        <v>7</v>
      </c>
      <c r="V2421" t="n">
        <v>30</v>
      </c>
      <c r="W2421" t="n">
        <v>1</v>
      </c>
      <c r="X2421" t="n">
        <v>146.5201465201465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11695</v>
      </c>
      <c r="AG2421" t="n">
        <v>63</v>
      </c>
      <c r="AH2421" t="inlineStr">
        <is>
          <t>PT. PARAMA GLOBAL INSPIRA - PPN (PDG)</t>
        </is>
      </c>
      <c r="AI2421" t="n">
        <v>1516</v>
      </c>
      <c r="AJ2421" t="inlineStr">
        <is>
          <t>INSTAPERFECT</t>
        </is>
      </c>
      <c r="AK2421" t="n">
        <v>21</v>
      </c>
      <c r="AL2421" t="inlineStr">
        <is>
          <t>Miss Glam Damar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INSTAPERFECT</t>
        </is>
      </c>
      <c r="B2422" s="2">
        <f>"8993137009003"</f>
        <v/>
      </c>
      <c r="C2422" t="inlineStr">
        <is>
          <t>INSTAPERFECT Skincover Air Cushion W24 Light Marigold 11gr</t>
        </is>
      </c>
      <c r="D2422" t="inlineStr">
        <is>
          <t>Miss Glam Damar</t>
        </is>
      </c>
      <c r="E2422" t="n">
        <v>4</v>
      </c>
      <c r="F2422" t="n">
        <v>0.0273</v>
      </c>
      <c r="G2422" t="n">
        <v>0.91</v>
      </c>
      <c r="H2422" t="n">
        <v>2</v>
      </c>
      <c r="I2422" t="n">
        <v>6</v>
      </c>
      <c r="J2422" t="n">
        <v>3</v>
      </c>
      <c r="K2422" t="n">
        <v>0</v>
      </c>
      <c r="L2422" t="n">
        <v>126770</v>
      </c>
      <c r="M2422" t="n">
        <v>184000</v>
      </c>
      <c r="N2422" t="n">
        <v>91</v>
      </c>
      <c r="O2422" t="n">
        <v>0.91</v>
      </c>
      <c r="P2422" t="n">
        <v>1</v>
      </c>
      <c r="Q2422" t="n">
        <v>0.02</v>
      </c>
      <c r="R2422" t="n">
        <v>1</v>
      </c>
      <c r="S2422" t="n">
        <v>5023.2</v>
      </c>
      <c r="T2422" t="n">
        <v>6</v>
      </c>
      <c r="U2422" t="n">
        <v>7</v>
      </c>
      <c r="V2422" t="n">
        <v>30</v>
      </c>
      <c r="W2422" t="n">
        <v>1</v>
      </c>
      <c r="X2422" t="n">
        <v>146.5201465201465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11695</v>
      </c>
      <c r="AG2422" t="n">
        <v>63</v>
      </c>
      <c r="AH2422" t="inlineStr">
        <is>
          <t>PT. PARAMA GLOBAL INSPIRA - PPN (PDG)</t>
        </is>
      </c>
      <c r="AI2422" t="n">
        <v>1516</v>
      </c>
      <c r="AJ2422" t="inlineStr">
        <is>
          <t>INSTAPERFECT</t>
        </is>
      </c>
      <c r="AK2422" t="n">
        <v>21</v>
      </c>
      <c r="AL2422" t="inlineStr">
        <is>
          <t>Miss Glam Damar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INSTAPERFECT</t>
        </is>
      </c>
      <c r="B2423" s="2">
        <f>"8993137009027"</f>
        <v/>
      </c>
      <c r="C2423" t="inlineStr">
        <is>
          <t>INSTAPERFECT Skincover Air Cushion W34 Warm Beige 11gr</t>
        </is>
      </c>
      <c r="D2423" t="inlineStr">
        <is>
          <t>Miss Glam Damar</t>
        </is>
      </c>
      <c r="E2423" t="n">
        <v>3</v>
      </c>
      <c r="F2423" t="n">
        <v>0.06370000000000001</v>
      </c>
      <c r="G2423" t="n">
        <v>0.91</v>
      </c>
      <c r="H2423" t="n">
        <v>2</v>
      </c>
      <c r="I2423" t="n">
        <v>6</v>
      </c>
      <c r="J2423" t="n">
        <v>3</v>
      </c>
      <c r="K2423" t="n">
        <v>0</v>
      </c>
      <c r="L2423" t="n">
        <v>125795</v>
      </c>
      <c r="M2423" t="n">
        <v>184000</v>
      </c>
      <c r="N2423" t="n">
        <v>91</v>
      </c>
      <c r="O2423" t="n">
        <v>0.91</v>
      </c>
      <c r="P2423" t="n">
        <v>1</v>
      </c>
      <c r="Q2423" t="n">
        <v>0.03</v>
      </c>
      <c r="R2423" t="n">
        <v>1</v>
      </c>
      <c r="S2423" t="n">
        <v>11720.8</v>
      </c>
      <c r="T2423" t="n">
        <v>6</v>
      </c>
      <c r="U2423" t="n">
        <v>7</v>
      </c>
      <c r="V2423" t="n">
        <v>30</v>
      </c>
      <c r="W2423" t="n">
        <v>2</v>
      </c>
      <c r="X2423" t="n">
        <v>47.09576138147566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11695</v>
      </c>
      <c r="AG2423" t="n">
        <v>63</v>
      </c>
      <c r="AH2423" t="inlineStr">
        <is>
          <t>PT. PARAMA GLOBAL INSPIRA - PPN (PDG)</t>
        </is>
      </c>
      <c r="AI2423" t="n">
        <v>1516</v>
      </c>
      <c r="AJ2423" t="inlineStr">
        <is>
          <t>INSTAPERFECT</t>
        </is>
      </c>
      <c r="AK2423" t="n">
        <v>21</v>
      </c>
      <c r="AL2423" t="inlineStr">
        <is>
          <t>Miss Glam Damar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INSTAPERFECT</t>
        </is>
      </c>
      <c r="B2424" s="2">
        <f>"8993137009041"</f>
        <v/>
      </c>
      <c r="C2424" t="inlineStr">
        <is>
          <t>INSTAPERFECT Skincover Air Cushion W44 Golden Sand 11gr</t>
        </is>
      </c>
      <c r="D2424" t="inlineStr">
        <is>
          <t>Miss Glam Damar</t>
        </is>
      </c>
      <c r="E2424" t="n">
        <v>3</v>
      </c>
      <c r="F2424" t="n">
        <v>0.03</v>
      </c>
      <c r="G2424" t="n">
        <v>1</v>
      </c>
      <c r="H2424" t="n">
        <v>2</v>
      </c>
      <c r="I2424" t="n">
        <v>6</v>
      </c>
      <c r="J2424" t="n">
        <v>3</v>
      </c>
      <c r="K2424" t="n">
        <v>0</v>
      </c>
      <c r="L2424" t="n">
        <v>125795</v>
      </c>
      <c r="M2424" t="n">
        <v>184000</v>
      </c>
      <c r="N2424" t="n">
        <v>91</v>
      </c>
      <c r="O2424" t="n">
        <v>0.91</v>
      </c>
      <c r="P2424" t="n">
        <v>0</v>
      </c>
      <c r="Q2424" t="n">
        <v>0.03</v>
      </c>
      <c r="R2424" t="n">
        <v>1</v>
      </c>
      <c r="S2424" t="n">
        <v>5520</v>
      </c>
      <c r="T2424" t="n">
        <v>6</v>
      </c>
      <c r="U2424" t="n">
        <v>7</v>
      </c>
      <c r="V2424" t="n">
        <v>30</v>
      </c>
      <c r="W2424" t="n">
        <v>1</v>
      </c>
      <c r="X2424" t="n">
        <v>100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11695</v>
      </c>
      <c r="AG2424" t="n">
        <v>63</v>
      </c>
      <c r="AH2424" t="inlineStr">
        <is>
          <t>PT. PARAMA GLOBAL INSPIRA - PPN (PDG)</t>
        </is>
      </c>
      <c r="AI2424" t="n">
        <v>1516</v>
      </c>
      <c r="AJ2424" t="inlineStr">
        <is>
          <t>INSTAPERFECT</t>
        </is>
      </c>
      <c r="AK2424" t="n">
        <v>21</v>
      </c>
      <c r="AL2424" t="inlineStr">
        <is>
          <t>Miss Glam Damar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INSTAPERFECT</t>
        </is>
      </c>
      <c r="B2425" s="2">
        <f>"20100475139"</f>
        <v/>
      </c>
      <c r="C2425" t="inlineStr">
        <is>
          <t>INSTAPERFECT Skincover Air Cushion C11 Fair Pink 11gr Limited Edition</t>
        </is>
      </c>
      <c r="D2425" t="inlineStr">
        <is>
          <t>Miss Glam Damar</t>
        </is>
      </c>
      <c r="E2425" t="n">
        <v>4</v>
      </c>
      <c r="F2425" t="n">
        <v>0.0273</v>
      </c>
      <c r="G2425" t="n">
        <v>0.91</v>
      </c>
      <c r="H2425" t="n">
        <v>2</v>
      </c>
      <c r="I2425" t="n">
        <v>6</v>
      </c>
      <c r="J2425" t="n">
        <v>1</v>
      </c>
      <c r="K2425" t="n">
        <v>0</v>
      </c>
      <c r="L2425" t="n">
        <v>152494</v>
      </c>
      <c r="M2425" t="n">
        <v>191000</v>
      </c>
      <c r="N2425" t="n">
        <v>91</v>
      </c>
      <c r="O2425" t="n">
        <v>0.91</v>
      </c>
      <c r="P2425" t="n">
        <v>1</v>
      </c>
      <c r="Q2425" t="n">
        <v>0.02</v>
      </c>
      <c r="R2425" t="n">
        <v>1</v>
      </c>
      <c r="S2425" t="n">
        <v>5214.3</v>
      </c>
      <c r="T2425" t="n">
        <v>6</v>
      </c>
      <c r="U2425" t="n">
        <v>7</v>
      </c>
      <c r="V2425" t="n">
        <v>30</v>
      </c>
      <c r="W2425" t="n">
        <v>1</v>
      </c>
      <c r="X2425" t="n">
        <v>146.5201465201465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11695</v>
      </c>
      <c r="AG2425" t="n">
        <v>63</v>
      </c>
      <c r="AH2425" t="inlineStr">
        <is>
          <t>PT. PARAMA GLOBAL INSPIRA - PPN (PDG)</t>
        </is>
      </c>
      <c r="AI2425" t="n">
        <v>1516</v>
      </c>
      <c r="AJ2425" t="inlineStr">
        <is>
          <t>INSTAPERFECT</t>
        </is>
      </c>
      <c r="AK2425" t="n">
        <v>21</v>
      </c>
      <c r="AL2425" t="inlineStr">
        <is>
          <t>Miss Glam Damar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INSTAPERFECT</t>
        </is>
      </c>
      <c r="B2426" s="2">
        <f>"8993137720403"</f>
        <v/>
      </c>
      <c r="C2426" t="inlineStr">
        <is>
          <t>INSTAPERFECT Skinfocus Cover Foundation 11 Fair Pink 30ml</t>
        </is>
      </c>
      <c r="D2426" t="inlineStr">
        <is>
          <t>Miss Glam Damar</t>
        </is>
      </c>
      <c r="E2426" t="n">
        <v>3</v>
      </c>
      <c r="F2426" t="n">
        <v>0.04550000000000001</v>
      </c>
      <c r="G2426" t="n">
        <v>1.82</v>
      </c>
      <c r="H2426" t="n">
        <v>2</v>
      </c>
      <c r="I2426" t="n">
        <v>6</v>
      </c>
      <c r="J2426" t="n">
        <v>3</v>
      </c>
      <c r="K2426" t="n">
        <v>0</v>
      </c>
      <c r="L2426" t="n">
        <v>117244</v>
      </c>
      <c r="M2426" t="n">
        <v>155000</v>
      </c>
      <c r="N2426" t="n">
        <v>91</v>
      </c>
      <c r="O2426" t="n">
        <v>0.91</v>
      </c>
      <c r="P2426" t="n">
        <v>1</v>
      </c>
      <c r="Q2426" t="n">
        <v>0.03</v>
      </c>
      <c r="R2426" t="n">
        <v>1</v>
      </c>
      <c r="S2426" t="n">
        <v>7052.500000000001</v>
      </c>
      <c r="T2426" t="n">
        <v>11</v>
      </c>
      <c r="U2426" t="n">
        <v>12</v>
      </c>
      <c r="V2426" t="n">
        <v>30</v>
      </c>
      <c r="W2426" t="n">
        <v>2</v>
      </c>
      <c r="X2426" t="n">
        <v>65.93406593406593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11695</v>
      </c>
      <c r="AG2426" t="n">
        <v>63</v>
      </c>
      <c r="AH2426" t="inlineStr">
        <is>
          <t>PT. PARAMA GLOBAL INSPIRA - PPN (PDG)</t>
        </is>
      </c>
      <c r="AI2426" t="n">
        <v>1516</v>
      </c>
      <c r="AJ2426" t="inlineStr">
        <is>
          <t>INSTAPERFECT</t>
        </is>
      </c>
      <c r="AK2426" t="n">
        <v>21</v>
      </c>
      <c r="AL2426" t="inlineStr">
        <is>
          <t>Miss Glam Damar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INSTAPERFECT</t>
        </is>
      </c>
      <c r="B2427" s="2">
        <f>"8993137720427"</f>
        <v/>
      </c>
      <c r="C2427" t="inlineStr">
        <is>
          <t>INSTAPERFECT Skinfocus Cover Foundation 32 True Beige 30ml</t>
        </is>
      </c>
      <c r="D2427" t="inlineStr">
        <is>
          <t>Miss Glam Damar</t>
        </is>
      </c>
      <c r="E2427" t="n">
        <v>2</v>
      </c>
      <c r="F2427" t="n">
        <v>0.0728</v>
      </c>
      <c r="G2427" t="n">
        <v>0.91</v>
      </c>
      <c r="H2427" t="n">
        <v>2</v>
      </c>
      <c r="I2427" t="n">
        <v>6</v>
      </c>
      <c r="J2427" t="n">
        <v>3</v>
      </c>
      <c r="K2427" t="n">
        <v>0</v>
      </c>
      <c r="L2427" t="n">
        <v>118776</v>
      </c>
      <c r="M2427" t="n">
        <v>155000</v>
      </c>
      <c r="N2427" t="n">
        <v>91</v>
      </c>
      <c r="O2427" t="n">
        <v>0.91</v>
      </c>
      <c r="P2427" t="n">
        <v>1</v>
      </c>
      <c r="Q2427" t="n">
        <v>0.07000000000000001</v>
      </c>
      <c r="R2427" t="n">
        <v>1</v>
      </c>
      <c r="S2427" t="n">
        <v>11284</v>
      </c>
      <c r="T2427" t="n">
        <v>6</v>
      </c>
      <c r="U2427" t="n">
        <v>7</v>
      </c>
      <c r="V2427" t="n">
        <v>30</v>
      </c>
      <c r="W2427" t="n">
        <v>3</v>
      </c>
      <c r="X2427" t="n">
        <v>27.47252747252747</v>
      </c>
      <c r="Y2427" t="n">
        <v>1</v>
      </c>
      <c r="Z2427" t="n">
        <v>1</v>
      </c>
      <c r="AA2427" t="n">
        <v>0</v>
      </c>
      <c r="AB2427" t="n">
        <v>1</v>
      </c>
      <c r="AC2427" t="n">
        <v>3</v>
      </c>
      <c r="AD2427" t="n">
        <v>0</v>
      </c>
      <c r="AE2427" t="n">
        <v>356328</v>
      </c>
      <c r="AF2427" t="n">
        <v>11695</v>
      </c>
      <c r="AG2427" t="n">
        <v>63</v>
      </c>
      <c r="AH2427" t="inlineStr">
        <is>
          <t>PT. PARAMA GLOBAL INSPIRA - PPN (PDG)</t>
        </is>
      </c>
      <c r="AI2427" t="n">
        <v>1516</v>
      </c>
      <c r="AJ2427" t="inlineStr">
        <is>
          <t>INSTAPERFECT</t>
        </is>
      </c>
      <c r="AK2427" t="n">
        <v>21</v>
      </c>
      <c r="AL2427" t="inlineStr">
        <is>
          <t>Miss Glam Damar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INSTAPERFECT</t>
        </is>
      </c>
      <c r="B2428" s="2">
        <f>"8993137000802"</f>
        <v/>
      </c>
      <c r="C2428" t="inlineStr">
        <is>
          <t>INSTAPERFECT Suede Lip Matte 01 Tawny 4.2gr</t>
        </is>
      </c>
      <c r="D2428" t="inlineStr">
        <is>
          <t>Miss Glam Damar</t>
        </is>
      </c>
      <c r="E2428" t="n">
        <v>4</v>
      </c>
      <c r="F2428" t="n">
        <v>0.02</v>
      </c>
      <c r="G2428" t="n">
        <v>1</v>
      </c>
      <c r="H2428" t="n">
        <v>2</v>
      </c>
      <c r="I2428" t="n">
        <v>6</v>
      </c>
      <c r="J2428" t="n">
        <v>3</v>
      </c>
      <c r="K2428" t="n">
        <v>0</v>
      </c>
      <c r="L2428" t="n">
        <v>86285</v>
      </c>
      <c r="M2428" t="n">
        <v>115000</v>
      </c>
      <c r="N2428" t="n">
        <v>91</v>
      </c>
      <c r="O2428" t="n">
        <v>0.91</v>
      </c>
      <c r="P2428" t="n">
        <v>0</v>
      </c>
      <c r="Q2428" t="n">
        <v>0.02</v>
      </c>
      <c r="R2428" t="n">
        <v>1</v>
      </c>
      <c r="S2428" t="n">
        <v>2300</v>
      </c>
      <c r="T2428" t="n">
        <v>6</v>
      </c>
      <c r="U2428" t="n">
        <v>7</v>
      </c>
      <c r="V2428" t="n">
        <v>30</v>
      </c>
      <c r="W2428" t="n">
        <v>1</v>
      </c>
      <c r="X2428" t="n">
        <v>200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11695</v>
      </c>
      <c r="AG2428" t="n">
        <v>63</v>
      </c>
      <c r="AH2428" t="inlineStr">
        <is>
          <t>PT. PARAMA GLOBAL INSPIRA - PPN (PDG)</t>
        </is>
      </c>
      <c r="AI2428" t="n">
        <v>1516</v>
      </c>
      <c r="AJ2428" t="inlineStr">
        <is>
          <t>INSTAPERFECT</t>
        </is>
      </c>
      <c r="AK2428" t="n">
        <v>21</v>
      </c>
      <c r="AL2428" t="inlineStr">
        <is>
          <t>Miss Glam Damar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INSTAPERFECT</t>
        </is>
      </c>
      <c r="B2429" s="2">
        <f>"8993137000819"</f>
        <v/>
      </c>
      <c r="C2429" t="inlineStr">
        <is>
          <t>INSTAPERFECT Suede Lip Matte 02 Auburn 4.2gr</t>
        </is>
      </c>
      <c r="D2429" t="inlineStr">
        <is>
          <t>Miss Glam Damar</t>
        </is>
      </c>
      <c r="E2429" t="n">
        <v>5</v>
      </c>
      <c r="F2429" t="n">
        <v>0.0273</v>
      </c>
      <c r="G2429" t="n">
        <v>0.91</v>
      </c>
      <c r="H2429" t="n">
        <v>2</v>
      </c>
      <c r="I2429" t="n">
        <v>6</v>
      </c>
      <c r="J2429" t="n">
        <v>3</v>
      </c>
      <c r="K2429" t="n">
        <v>0</v>
      </c>
      <c r="L2429" t="n">
        <v>87247</v>
      </c>
      <c r="M2429" t="n">
        <v>115000</v>
      </c>
      <c r="N2429" t="n">
        <v>91</v>
      </c>
      <c r="O2429" t="n">
        <v>0.91</v>
      </c>
      <c r="P2429" t="n">
        <v>1</v>
      </c>
      <c r="Q2429" t="n">
        <v>0.05</v>
      </c>
      <c r="R2429" t="n">
        <v>1</v>
      </c>
      <c r="S2429" t="n">
        <v>3139.5</v>
      </c>
      <c r="T2429" t="n">
        <v>6</v>
      </c>
      <c r="U2429" t="n">
        <v>7</v>
      </c>
      <c r="V2429" t="n">
        <v>30</v>
      </c>
      <c r="W2429" t="n">
        <v>1</v>
      </c>
      <c r="X2429" t="n">
        <v>183.1501831501832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11695</v>
      </c>
      <c r="AG2429" t="n">
        <v>63</v>
      </c>
      <c r="AH2429" t="inlineStr">
        <is>
          <t>PT. PARAMA GLOBAL INSPIRA - PPN (PDG)</t>
        </is>
      </c>
      <c r="AI2429" t="n">
        <v>1516</v>
      </c>
      <c r="AJ2429" t="inlineStr">
        <is>
          <t>INSTAPERFECT</t>
        </is>
      </c>
      <c r="AK2429" t="n">
        <v>21</v>
      </c>
      <c r="AL2429" t="inlineStr">
        <is>
          <t>Miss Glam Damar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INSTAPERFECT</t>
        </is>
      </c>
      <c r="B2430" s="2">
        <f>"8993137000826"</f>
        <v/>
      </c>
      <c r="C2430" t="inlineStr">
        <is>
          <t>INSTAPERFECT Suede Lip Matte 03 Rosewood 4.2gr</t>
        </is>
      </c>
      <c r="D2430" t="inlineStr">
        <is>
          <t>Miss Glam Damar</t>
        </is>
      </c>
      <c r="E2430" t="n">
        <v>4</v>
      </c>
      <c r="F2430" t="n">
        <v>0.0273</v>
      </c>
      <c r="G2430" t="n">
        <v>0.91</v>
      </c>
      <c r="H2430" t="n">
        <v>2</v>
      </c>
      <c r="I2430" t="n">
        <v>6</v>
      </c>
      <c r="J2430" t="n">
        <v>3</v>
      </c>
      <c r="K2430" t="n">
        <v>0</v>
      </c>
      <c r="L2430" t="n">
        <v>88032</v>
      </c>
      <c r="M2430" t="n">
        <v>115000</v>
      </c>
      <c r="N2430" t="n">
        <v>91</v>
      </c>
      <c r="O2430" t="n">
        <v>0.91</v>
      </c>
      <c r="P2430" t="n">
        <v>1</v>
      </c>
      <c r="Q2430" t="n">
        <v>0.05</v>
      </c>
      <c r="R2430" t="n">
        <v>1</v>
      </c>
      <c r="S2430" t="n">
        <v>3139.5</v>
      </c>
      <c r="T2430" t="n">
        <v>6</v>
      </c>
      <c r="U2430" t="n">
        <v>7</v>
      </c>
      <c r="V2430" t="n">
        <v>30</v>
      </c>
      <c r="W2430" t="n">
        <v>1</v>
      </c>
      <c r="X2430" t="n">
        <v>146.5201465201465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11695</v>
      </c>
      <c r="AG2430" t="n">
        <v>63</v>
      </c>
      <c r="AH2430" t="inlineStr">
        <is>
          <t>PT. PARAMA GLOBAL INSPIRA - PPN (PDG)</t>
        </is>
      </c>
      <c r="AI2430" t="n">
        <v>1516</v>
      </c>
      <c r="AJ2430" t="inlineStr">
        <is>
          <t>INSTAPERFECT</t>
        </is>
      </c>
      <c r="AK2430" t="n">
        <v>21</v>
      </c>
      <c r="AL2430" t="inlineStr">
        <is>
          <t>Miss Glam Damar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INSTAPERFECT</t>
        </is>
      </c>
      <c r="B2431" s="2">
        <f>"8993137000833"</f>
        <v/>
      </c>
      <c r="C2431" t="inlineStr">
        <is>
          <t>INSTAPERFECT Suede Lip Matte 04 Sienna 4.2gr</t>
        </is>
      </c>
      <c r="D2431" t="inlineStr">
        <is>
          <t>Miss Glam Damar</t>
        </is>
      </c>
      <c r="E2431" t="n">
        <v>3</v>
      </c>
      <c r="F2431" t="n">
        <v>0.05</v>
      </c>
      <c r="G2431" t="n">
        <v>1</v>
      </c>
      <c r="H2431" t="n">
        <v>2</v>
      </c>
      <c r="I2431" t="n">
        <v>6</v>
      </c>
      <c r="J2431" t="n">
        <v>3</v>
      </c>
      <c r="K2431" t="n">
        <v>0</v>
      </c>
      <c r="L2431" t="n">
        <v>88124</v>
      </c>
      <c r="M2431" t="n">
        <v>115000</v>
      </c>
      <c r="N2431" t="n">
        <v>91</v>
      </c>
      <c r="O2431" t="n">
        <v>0.91</v>
      </c>
      <c r="P2431" t="n">
        <v>0</v>
      </c>
      <c r="Q2431" t="n">
        <v>0.05</v>
      </c>
      <c r="R2431" t="n">
        <v>1</v>
      </c>
      <c r="S2431" t="n">
        <v>5750</v>
      </c>
      <c r="T2431" t="n">
        <v>6</v>
      </c>
      <c r="U2431" t="n">
        <v>7</v>
      </c>
      <c r="V2431" t="n">
        <v>30</v>
      </c>
      <c r="W2431" t="n">
        <v>2</v>
      </c>
      <c r="X2431" t="n">
        <v>60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11695</v>
      </c>
      <c r="AG2431" t="n">
        <v>63</v>
      </c>
      <c r="AH2431" t="inlineStr">
        <is>
          <t>PT. PARAMA GLOBAL INSPIRA - PPN (PDG)</t>
        </is>
      </c>
      <c r="AI2431" t="n">
        <v>1516</v>
      </c>
      <c r="AJ2431" t="inlineStr">
        <is>
          <t>INSTAPERFECT</t>
        </is>
      </c>
      <c r="AK2431" t="n">
        <v>21</v>
      </c>
      <c r="AL2431" t="inlineStr">
        <is>
          <t>Miss Glam Damar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INSTAPERFECT</t>
        </is>
      </c>
      <c r="B2432" s="2">
        <f>"8993137000840"</f>
        <v/>
      </c>
      <c r="C2432" t="inlineStr">
        <is>
          <t>INSTAPERFECT Suede Lip Matte 05 Ochre 4.2gr</t>
        </is>
      </c>
      <c r="D2432" t="inlineStr">
        <is>
          <t>Miss Glam Damar</t>
        </is>
      </c>
      <c r="E2432" t="n">
        <v>4</v>
      </c>
      <c r="F2432" t="n">
        <v>0.0273</v>
      </c>
      <c r="G2432" t="n">
        <v>0.91</v>
      </c>
      <c r="H2432" t="n">
        <v>2</v>
      </c>
      <c r="I2432" t="n">
        <v>6</v>
      </c>
      <c r="J2432" t="n">
        <v>3</v>
      </c>
      <c r="K2432" t="n">
        <v>0</v>
      </c>
      <c r="L2432" t="n">
        <v>87576</v>
      </c>
      <c r="M2432" t="n">
        <v>115000</v>
      </c>
      <c r="N2432" t="n">
        <v>91</v>
      </c>
      <c r="O2432" t="n">
        <v>0.91</v>
      </c>
      <c r="P2432" t="n">
        <v>1</v>
      </c>
      <c r="Q2432" t="n">
        <v>0.07000000000000001</v>
      </c>
      <c r="R2432" t="n">
        <v>1</v>
      </c>
      <c r="S2432" t="n">
        <v>3139.5</v>
      </c>
      <c r="T2432" t="n">
        <v>6</v>
      </c>
      <c r="U2432" t="n">
        <v>7</v>
      </c>
      <c r="V2432" t="n">
        <v>30</v>
      </c>
      <c r="W2432" t="n">
        <v>1</v>
      </c>
      <c r="X2432" t="n">
        <v>146.5201465201465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11695</v>
      </c>
      <c r="AG2432" t="n">
        <v>63</v>
      </c>
      <c r="AH2432" t="inlineStr">
        <is>
          <t>PT. PARAMA GLOBAL INSPIRA - PPN (PDG)</t>
        </is>
      </c>
      <c r="AI2432" t="n">
        <v>1516</v>
      </c>
      <c r="AJ2432" t="inlineStr">
        <is>
          <t>INSTAPERFECT</t>
        </is>
      </c>
      <c r="AK2432" t="n">
        <v>21</v>
      </c>
      <c r="AL2432" t="inlineStr">
        <is>
          <t>Miss Glam Damar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INSTAPERFECT</t>
        </is>
      </c>
      <c r="B2433" s="2">
        <f>"8993137000857"</f>
        <v/>
      </c>
      <c r="C2433" t="inlineStr">
        <is>
          <t>INSTAPERFECT Suede Lip Matte 06 Pecan 4.2gr</t>
        </is>
      </c>
      <c r="D2433" t="inlineStr">
        <is>
          <t>Miss Glam Damar</t>
        </is>
      </c>
      <c r="E2433" t="n">
        <v>7</v>
      </c>
      <c r="F2433" t="n">
        <v>0.03</v>
      </c>
      <c r="G2433" t="n">
        <v>1</v>
      </c>
      <c r="H2433" t="n">
        <v>2</v>
      </c>
      <c r="I2433" t="n">
        <v>6</v>
      </c>
      <c r="J2433" t="n">
        <v>3</v>
      </c>
      <c r="K2433" t="n">
        <v>0</v>
      </c>
      <c r="L2433" t="n">
        <v>83527</v>
      </c>
      <c r="M2433" t="n">
        <v>115000</v>
      </c>
      <c r="N2433" t="n">
        <v>91</v>
      </c>
      <c r="O2433" t="n">
        <v>0.91</v>
      </c>
      <c r="P2433" t="n">
        <v>0</v>
      </c>
      <c r="Q2433" t="n">
        <v>0.03</v>
      </c>
      <c r="R2433" t="n">
        <v>1</v>
      </c>
      <c r="S2433" t="n">
        <v>3450</v>
      </c>
      <c r="T2433" t="n">
        <v>6</v>
      </c>
      <c r="U2433" t="n">
        <v>7</v>
      </c>
      <c r="V2433" t="n">
        <v>30</v>
      </c>
      <c r="W2433" t="n">
        <v>1</v>
      </c>
      <c r="X2433" t="n">
        <v>233.3333333333333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11695</v>
      </c>
      <c r="AG2433" t="n">
        <v>63</v>
      </c>
      <c r="AH2433" t="inlineStr">
        <is>
          <t>PT. PARAMA GLOBAL INSPIRA - PPN (PDG)</t>
        </is>
      </c>
      <c r="AI2433" t="n">
        <v>1516</v>
      </c>
      <c r="AJ2433" t="inlineStr">
        <is>
          <t>INSTAPERFECT</t>
        </is>
      </c>
      <c r="AK2433" t="n">
        <v>21</v>
      </c>
      <c r="AL2433" t="inlineStr">
        <is>
          <t>Miss Glam Damar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INSTAPERFECT</t>
        </is>
      </c>
      <c r="B2434" s="2">
        <f>"8993137000864"</f>
        <v/>
      </c>
      <c r="C2434" t="inlineStr">
        <is>
          <t>INSTAPERFECT Suede Lip Matte 07 Fawn 4.2gr</t>
        </is>
      </c>
      <c r="D2434" t="inlineStr">
        <is>
          <t>Miss Glam Damar</t>
        </is>
      </c>
      <c r="E2434" t="n">
        <v>4</v>
      </c>
      <c r="F2434" t="n">
        <v>0.0182</v>
      </c>
      <c r="G2434" t="n">
        <v>0.91</v>
      </c>
      <c r="H2434" t="n">
        <v>2</v>
      </c>
      <c r="I2434" t="n">
        <v>6</v>
      </c>
      <c r="J2434" t="n">
        <v>3</v>
      </c>
      <c r="K2434" t="n">
        <v>0</v>
      </c>
      <c r="L2434" t="n">
        <v>88123</v>
      </c>
      <c r="M2434" t="n">
        <v>115000</v>
      </c>
      <c r="N2434" t="n">
        <v>91</v>
      </c>
      <c r="O2434" t="n">
        <v>0.91</v>
      </c>
      <c r="P2434" t="n">
        <v>1</v>
      </c>
      <c r="Q2434" t="n">
        <v>0.05</v>
      </c>
      <c r="R2434" t="n">
        <v>1</v>
      </c>
      <c r="S2434" t="n">
        <v>2093</v>
      </c>
      <c r="T2434" t="n">
        <v>6</v>
      </c>
      <c r="U2434" t="n">
        <v>7</v>
      </c>
      <c r="V2434" t="n">
        <v>30</v>
      </c>
      <c r="W2434" t="n">
        <v>1</v>
      </c>
      <c r="X2434" t="n">
        <v>219.7802197802198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11695</v>
      </c>
      <c r="AG2434" t="n">
        <v>63</v>
      </c>
      <c r="AH2434" t="inlineStr">
        <is>
          <t>PT. PARAMA GLOBAL INSPIRA - PPN (PDG)</t>
        </is>
      </c>
      <c r="AI2434" t="n">
        <v>1516</v>
      </c>
      <c r="AJ2434" t="inlineStr">
        <is>
          <t>INSTAPERFECT</t>
        </is>
      </c>
      <c r="AK2434" t="n">
        <v>21</v>
      </c>
      <c r="AL2434" t="inlineStr">
        <is>
          <t>Miss Glam Damar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INSTAPERFECT</t>
        </is>
      </c>
      <c r="B2435" s="2">
        <f>"8993137000871"</f>
        <v/>
      </c>
      <c r="C2435" t="inlineStr">
        <is>
          <t>INSTAPERFECT Suede Lip Matte 08 Cloud 4.2g</t>
        </is>
      </c>
      <c r="D2435" t="inlineStr">
        <is>
          <t>Miss Glam Damar</t>
        </is>
      </c>
      <c r="E2435" t="n">
        <v>6</v>
      </c>
      <c r="F2435" t="n">
        <v>0.0182</v>
      </c>
      <c r="G2435" t="n">
        <v>0.91</v>
      </c>
      <c r="H2435" t="n">
        <v>2</v>
      </c>
      <c r="I2435" t="n">
        <v>6</v>
      </c>
      <c r="J2435" t="n">
        <v>3</v>
      </c>
      <c r="K2435" t="n">
        <v>0</v>
      </c>
      <c r="L2435" t="n">
        <v>88042</v>
      </c>
      <c r="M2435" t="n">
        <v>115000</v>
      </c>
      <c r="N2435" t="n">
        <v>91</v>
      </c>
      <c r="O2435" t="n">
        <v>0.91</v>
      </c>
      <c r="P2435" t="n">
        <v>1</v>
      </c>
      <c r="Q2435" t="n">
        <v>0.08</v>
      </c>
      <c r="R2435" t="n">
        <v>2</v>
      </c>
      <c r="S2435" t="n">
        <v>2093</v>
      </c>
      <c r="T2435" t="n">
        <v>6</v>
      </c>
      <c r="U2435" t="n">
        <v>7</v>
      </c>
      <c r="V2435" t="n">
        <v>30</v>
      </c>
      <c r="W2435" t="n">
        <v>1</v>
      </c>
      <c r="X2435" t="n">
        <v>329.6703296703296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11695</v>
      </c>
      <c r="AG2435" t="n">
        <v>63</v>
      </c>
      <c r="AH2435" t="inlineStr">
        <is>
          <t>PT. PARAMA GLOBAL INSPIRA - PPN (PDG)</t>
        </is>
      </c>
      <c r="AI2435" t="n">
        <v>1516</v>
      </c>
      <c r="AJ2435" t="inlineStr">
        <is>
          <t>INSTAPERFECT</t>
        </is>
      </c>
      <c r="AK2435" t="n">
        <v>21</v>
      </c>
      <c r="AL2435" t="inlineStr">
        <is>
          <t>Miss Glam Damar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ISWHITE</t>
        </is>
      </c>
      <c r="B2436" s="2">
        <f>"8994451563066"</f>
        <v/>
      </c>
      <c r="C2436" t="inlineStr">
        <is>
          <t>ISWHITE Arabian Night Fine Perfume Mist 100ml</t>
        </is>
      </c>
      <c r="D2436" t="inlineStr">
        <is>
          <t>Miss Glam Damar</t>
        </is>
      </c>
      <c r="E2436" t="n">
        <v>1</v>
      </c>
      <c r="F2436" t="n">
        <v>0.0364</v>
      </c>
      <c r="G2436" t="n">
        <v>0.91</v>
      </c>
      <c r="H2436" t="n">
        <v>2</v>
      </c>
      <c r="I2436" t="n">
        <v>16</v>
      </c>
      <c r="J2436" t="n">
        <v>3</v>
      </c>
      <c r="K2436" t="n">
        <v>0</v>
      </c>
      <c r="L2436" t="n">
        <v>47993</v>
      </c>
      <c r="M2436" t="n">
        <v>71000</v>
      </c>
      <c r="N2436" t="n">
        <v>91</v>
      </c>
      <c r="O2436" t="n">
        <v>0.91</v>
      </c>
      <c r="P2436" t="n">
        <v>1</v>
      </c>
      <c r="Q2436" t="n">
        <v>0.03</v>
      </c>
      <c r="R2436" t="n">
        <v>1</v>
      </c>
      <c r="S2436" t="n">
        <v>2584.4</v>
      </c>
      <c r="T2436" t="n">
        <v>15</v>
      </c>
      <c r="U2436" t="n">
        <v>16</v>
      </c>
      <c r="V2436" t="n">
        <v>30</v>
      </c>
      <c r="W2436" t="n">
        <v>2</v>
      </c>
      <c r="X2436" t="n">
        <v>27.47252747252747</v>
      </c>
      <c r="Y2436" t="n">
        <v>1</v>
      </c>
      <c r="Z2436" t="n">
        <v>1</v>
      </c>
      <c r="AA2436" t="n">
        <v>0</v>
      </c>
      <c r="AB2436" t="n">
        <v>1</v>
      </c>
      <c r="AC2436" t="n">
        <v>3</v>
      </c>
      <c r="AD2436" t="n">
        <v>0</v>
      </c>
      <c r="AE2436" t="n">
        <v>143979</v>
      </c>
      <c r="AF2436" t="n">
        <v>553</v>
      </c>
      <c r="AG2436" t="n">
        <v>107</v>
      </c>
      <c r="AH2436" t="inlineStr">
        <is>
          <t xml:space="preserve">CV. DAHLIA - PPN (PDG) </t>
        </is>
      </c>
      <c r="AI2436" t="n">
        <v>1545</v>
      </c>
      <c r="AJ2436" t="inlineStr">
        <is>
          <t>ISWHITE</t>
        </is>
      </c>
      <c r="AK2436" t="n">
        <v>21</v>
      </c>
      <c r="AL2436" t="inlineStr">
        <is>
          <t>Miss Glam Damar</t>
        </is>
      </c>
      <c r="AM2436" t="n">
        <v>3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ISWHITE</t>
        </is>
      </c>
      <c r="B2437" s="2">
        <f>"8994451560249"</f>
        <v/>
      </c>
      <c r="C2437" t="inlineStr">
        <is>
          <t>ISWHITE Brightening Body Wash</t>
        </is>
      </c>
      <c r="D2437" t="inlineStr">
        <is>
          <t>Miss Glam Damar</t>
        </is>
      </c>
      <c r="E2437" t="n">
        <v>10</v>
      </c>
      <c r="F2437" t="n">
        <v>0.17</v>
      </c>
      <c r="G2437" t="n">
        <v>2</v>
      </c>
      <c r="H2437" t="n">
        <v>2</v>
      </c>
      <c r="I2437" t="n">
        <v>16</v>
      </c>
      <c r="J2437" t="n">
        <v>3</v>
      </c>
      <c r="K2437" t="n">
        <v>0</v>
      </c>
      <c r="L2437" t="n">
        <v>59250</v>
      </c>
      <c r="M2437" t="n">
        <v>71500</v>
      </c>
      <c r="N2437" t="n">
        <v>91</v>
      </c>
      <c r="O2437" t="n">
        <v>0.91</v>
      </c>
      <c r="P2437" t="n">
        <v>0</v>
      </c>
      <c r="Q2437" t="n">
        <v>0.17</v>
      </c>
      <c r="R2437" t="n">
        <v>2</v>
      </c>
      <c r="S2437" t="n">
        <v>12155</v>
      </c>
      <c r="T2437" t="n">
        <v>32</v>
      </c>
      <c r="U2437" t="n">
        <v>33</v>
      </c>
      <c r="V2437" t="n">
        <v>30</v>
      </c>
      <c r="W2437" t="n">
        <v>6</v>
      </c>
      <c r="X2437" t="n">
        <v>58.8235294117647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553</v>
      </c>
      <c r="AG2437" t="n">
        <v>107</v>
      </c>
      <c r="AH2437" t="inlineStr">
        <is>
          <t xml:space="preserve">CV. DAHLIA - PPN (PDG) </t>
        </is>
      </c>
      <c r="AI2437" t="n">
        <v>1545</v>
      </c>
      <c r="AJ2437" t="inlineStr">
        <is>
          <t>ISWHITE</t>
        </is>
      </c>
      <c r="AK2437" t="n">
        <v>21</v>
      </c>
      <c r="AL2437" t="inlineStr">
        <is>
          <t>Miss Glam Damar</t>
        </is>
      </c>
      <c r="AM2437" t="n">
        <v>3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ISWHITE</t>
        </is>
      </c>
      <c r="B2438" s="2">
        <f>"8994451563073"</f>
        <v/>
      </c>
      <c r="C2438" t="inlineStr">
        <is>
          <t>ISWHITE Citrus Tango Fine Perfume Mist 100ml</t>
        </is>
      </c>
      <c r="D2438" t="inlineStr">
        <is>
          <t>Miss Glam Damar</t>
        </is>
      </c>
      <c r="E2438" t="n">
        <v>1</v>
      </c>
      <c r="F2438" t="n">
        <v>0.15</v>
      </c>
      <c r="G2438" t="n">
        <v>2</v>
      </c>
      <c r="H2438" t="n">
        <v>2</v>
      </c>
      <c r="I2438" t="n">
        <v>16</v>
      </c>
      <c r="J2438" t="n">
        <v>3</v>
      </c>
      <c r="K2438" t="n">
        <v>0</v>
      </c>
      <c r="L2438" t="n">
        <v>59250</v>
      </c>
      <c r="M2438" t="n">
        <v>75000</v>
      </c>
      <c r="N2438" t="n">
        <v>91</v>
      </c>
      <c r="O2438" t="n">
        <v>0.91</v>
      </c>
      <c r="P2438" t="n">
        <v>0</v>
      </c>
      <c r="Q2438" t="n">
        <v>0.15</v>
      </c>
      <c r="R2438" t="n">
        <v>2</v>
      </c>
      <c r="S2438" t="n">
        <v>11250</v>
      </c>
      <c r="T2438" t="n">
        <v>32</v>
      </c>
      <c r="U2438" t="n">
        <v>33</v>
      </c>
      <c r="V2438" t="n">
        <v>30</v>
      </c>
      <c r="W2438" t="n">
        <v>5</v>
      </c>
      <c r="X2438" t="n">
        <v>6.666666666666667</v>
      </c>
      <c r="Y2438" t="n">
        <v>1</v>
      </c>
      <c r="Z2438" t="n">
        <v>4</v>
      </c>
      <c r="AA2438" t="n">
        <v>2</v>
      </c>
      <c r="AB2438" t="n">
        <v>2</v>
      </c>
      <c r="AC2438" t="n">
        <v>3</v>
      </c>
      <c r="AD2438" t="n">
        <v>118500</v>
      </c>
      <c r="AE2438" t="n">
        <v>177750</v>
      </c>
      <c r="AF2438" t="n">
        <v>553</v>
      </c>
      <c r="AG2438" t="n">
        <v>107</v>
      </c>
      <c r="AH2438" t="inlineStr">
        <is>
          <t xml:space="preserve">CV. DAHLIA - PPN (PDG) </t>
        </is>
      </c>
      <c r="AI2438" t="n">
        <v>1545</v>
      </c>
      <c r="AJ2438" t="inlineStr">
        <is>
          <t>ISWHITE</t>
        </is>
      </c>
      <c r="AK2438" t="n">
        <v>21</v>
      </c>
      <c r="AL2438" t="inlineStr">
        <is>
          <t>Miss Glam Damar</t>
        </is>
      </c>
      <c r="AM2438" t="n">
        <v>3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ISWHITE</t>
        </is>
      </c>
      <c r="B2439" s="2">
        <f>"8994451563028"</f>
        <v/>
      </c>
      <c r="C2439" t="inlineStr">
        <is>
          <t>ISWHITE Dancing Queen Fine Perfume Mist 100ml</t>
        </is>
      </c>
      <c r="D2439" t="inlineStr">
        <is>
          <t>Miss Glam Damar</t>
        </is>
      </c>
      <c r="E2439" t="n">
        <v>4</v>
      </c>
      <c r="F2439" t="n">
        <v>0.05</v>
      </c>
      <c r="G2439" t="n">
        <v>1</v>
      </c>
      <c r="H2439" t="n">
        <v>2</v>
      </c>
      <c r="I2439" t="n">
        <v>16</v>
      </c>
      <c r="J2439" t="n">
        <v>3</v>
      </c>
      <c r="K2439" t="n">
        <v>0</v>
      </c>
      <c r="L2439" t="n">
        <v>49059</v>
      </c>
      <c r="M2439" t="n">
        <v>75000</v>
      </c>
      <c r="N2439" t="n">
        <v>91</v>
      </c>
      <c r="O2439" t="n">
        <v>0.91</v>
      </c>
      <c r="P2439" t="n">
        <v>0</v>
      </c>
      <c r="Q2439" t="n">
        <v>0.05</v>
      </c>
      <c r="R2439" t="n">
        <v>1</v>
      </c>
      <c r="S2439" t="n">
        <v>3750</v>
      </c>
      <c r="T2439" t="n">
        <v>16</v>
      </c>
      <c r="U2439" t="n">
        <v>17</v>
      </c>
      <c r="V2439" t="n">
        <v>30</v>
      </c>
      <c r="W2439" t="n">
        <v>2</v>
      </c>
      <c r="X2439" t="n">
        <v>80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553</v>
      </c>
      <c r="AG2439" t="n">
        <v>107</v>
      </c>
      <c r="AH2439" t="inlineStr">
        <is>
          <t xml:space="preserve">CV. DAHLIA - PPN (PDG) </t>
        </is>
      </c>
      <c r="AI2439" t="n">
        <v>1545</v>
      </c>
      <c r="AJ2439" t="inlineStr">
        <is>
          <t>ISWHITE</t>
        </is>
      </c>
      <c r="AK2439" t="n">
        <v>21</v>
      </c>
      <c r="AL2439" t="inlineStr">
        <is>
          <t>Miss Glam Damar</t>
        </is>
      </c>
      <c r="AM2439" t="n">
        <v>3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ISWHITE</t>
        </is>
      </c>
      <c r="B2440" s="2">
        <f>"8994451560034"</f>
        <v/>
      </c>
      <c r="C2440" t="inlineStr">
        <is>
          <t>ISWHITE Euphoria Fine Fragrance Mist 100ml</t>
        </is>
      </c>
      <c r="D2440" t="inlineStr">
        <is>
          <t>Miss Glam Damar</t>
        </is>
      </c>
      <c r="E2440" t="n">
        <v>2</v>
      </c>
      <c r="F2440" t="n">
        <v>0.03</v>
      </c>
      <c r="G2440" t="n">
        <v>1</v>
      </c>
      <c r="H2440" t="n">
        <v>2</v>
      </c>
      <c r="I2440" t="n">
        <v>16</v>
      </c>
      <c r="J2440" t="n">
        <v>3</v>
      </c>
      <c r="K2440" t="n">
        <v>0</v>
      </c>
      <c r="L2440" t="n">
        <v>53325</v>
      </c>
      <c r="M2440" t="n">
        <v>71000</v>
      </c>
      <c r="N2440" t="n">
        <v>91</v>
      </c>
      <c r="O2440" t="n">
        <v>0.91</v>
      </c>
      <c r="P2440" t="n">
        <v>0</v>
      </c>
      <c r="Q2440" t="n">
        <v>0.03</v>
      </c>
      <c r="R2440" t="n">
        <v>1</v>
      </c>
      <c r="S2440" t="n">
        <v>2130</v>
      </c>
      <c r="T2440" t="n">
        <v>16</v>
      </c>
      <c r="U2440" t="n">
        <v>17</v>
      </c>
      <c r="V2440" t="n">
        <v>30</v>
      </c>
      <c r="W2440" t="n">
        <v>1</v>
      </c>
      <c r="X2440" t="n">
        <v>66.66666666666667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553</v>
      </c>
      <c r="AG2440" t="n">
        <v>107</v>
      </c>
      <c r="AH2440" t="inlineStr">
        <is>
          <t xml:space="preserve">CV. DAHLIA - PPN (PDG) </t>
        </is>
      </c>
      <c r="AI2440" t="n">
        <v>1545</v>
      </c>
      <c r="AJ2440" t="inlineStr">
        <is>
          <t>ISWHITE</t>
        </is>
      </c>
      <c r="AK2440" t="n">
        <v>21</v>
      </c>
      <c r="AL2440" t="inlineStr">
        <is>
          <t>Miss Glam Damar</t>
        </is>
      </c>
      <c r="AM2440" t="n">
        <v>3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ISWHITE</t>
        </is>
      </c>
      <c r="B2441" s="2">
        <f>"8994451560355"</f>
        <v/>
      </c>
      <c r="C2441" t="inlineStr">
        <is>
          <t>ISWHITE Glow Body Sunscreen SPF 45 PA+++ 100ml</t>
        </is>
      </c>
      <c r="D2441" t="inlineStr">
        <is>
          <t>Miss Glam Damar</t>
        </is>
      </c>
      <c r="E2441" t="n">
        <v>7</v>
      </c>
      <c r="F2441" t="n">
        <v>0.2002</v>
      </c>
      <c r="G2441" t="n">
        <v>1.82</v>
      </c>
      <c r="H2441" t="n">
        <v>2</v>
      </c>
      <c r="I2441" t="n">
        <v>16</v>
      </c>
      <c r="J2441" t="n">
        <v>3</v>
      </c>
      <c r="K2441" t="n">
        <v>0</v>
      </c>
      <c r="L2441" t="n">
        <v>52939</v>
      </c>
      <c r="M2441" t="n">
        <v>80000</v>
      </c>
      <c r="N2441" t="n">
        <v>91</v>
      </c>
      <c r="O2441" t="n">
        <v>0.91</v>
      </c>
      <c r="P2441" t="n">
        <v>1</v>
      </c>
      <c r="Q2441" t="n">
        <v>0.07000000000000001</v>
      </c>
      <c r="R2441" t="n">
        <v>1</v>
      </c>
      <c r="S2441" t="n">
        <v>16016</v>
      </c>
      <c r="T2441" t="n">
        <v>29</v>
      </c>
      <c r="U2441" t="n">
        <v>30</v>
      </c>
      <c r="V2441" t="n">
        <v>30</v>
      </c>
      <c r="W2441" t="n">
        <v>7</v>
      </c>
      <c r="X2441" t="n">
        <v>34.96503496503496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553</v>
      </c>
      <c r="AG2441" t="n">
        <v>107</v>
      </c>
      <c r="AH2441" t="inlineStr">
        <is>
          <t xml:space="preserve">CV. DAHLIA - PPN (PDG) </t>
        </is>
      </c>
      <c r="AI2441" t="n">
        <v>1545</v>
      </c>
      <c r="AJ2441" t="inlineStr">
        <is>
          <t>ISWHITE</t>
        </is>
      </c>
      <c r="AK2441" t="n">
        <v>21</v>
      </c>
      <c r="AL2441" t="inlineStr">
        <is>
          <t>Miss Glam Damar</t>
        </is>
      </c>
      <c r="AM2441" t="n">
        <v>3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ISWHITE</t>
        </is>
      </c>
      <c r="B2442" s="2">
        <f>"8994451560041"</f>
        <v/>
      </c>
      <c r="C2442" t="inlineStr">
        <is>
          <t>ISWHITE Glow Up Your Body Scrub 120gr</t>
        </is>
      </c>
      <c r="D2442" t="inlineStr">
        <is>
          <t>Miss Glam Damar</t>
        </is>
      </c>
      <c r="E2442" t="n">
        <v>5</v>
      </c>
      <c r="F2442" t="n">
        <v>0.0273</v>
      </c>
      <c r="G2442" t="n">
        <v>0.91</v>
      </c>
      <c r="H2442" t="n">
        <v>2</v>
      </c>
      <c r="I2442" t="n">
        <v>16</v>
      </c>
      <c r="J2442" t="n">
        <v>3</v>
      </c>
      <c r="K2442" t="n">
        <v>0</v>
      </c>
      <c r="L2442" t="n">
        <v>55269</v>
      </c>
      <c r="M2442" t="n">
        <v>80000</v>
      </c>
      <c r="N2442" t="n">
        <v>91</v>
      </c>
      <c r="O2442" t="n">
        <v>0.91</v>
      </c>
      <c r="P2442" t="n">
        <v>1</v>
      </c>
      <c r="Q2442" t="n">
        <v>0.05</v>
      </c>
      <c r="R2442" t="n">
        <v>1</v>
      </c>
      <c r="S2442" t="n">
        <v>2184</v>
      </c>
      <c r="T2442" t="n">
        <v>15</v>
      </c>
      <c r="U2442" t="n">
        <v>16</v>
      </c>
      <c r="V2442" t="n">
        <v>30</v>
      </c>
      <c r="W2442" t="n">
        <v>1</v>
      </c>
      <c r="X2442" t="n">
        <v>183.1501831501832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553</v>
      </c>
      <c r="AG2442" t="n">
        <v>107</v>
      </c>
      <c r="AH2442" t="inlineStr">
        <is>
          <t xml:space="preserve">CV. DAHLIA - PPN (PDG) </t>
        </is>
      </c>
      <c r="AI2442" t="n">
        <v>1545</v>
      </c>
      <c r="AJ2442" t="inlineStr">
        <is>
          <t>ISWHITE</t>
        </is>
      </c>
      <c r="AK2442" t="n">
        <v>21</v>
      </c>
      <c r="AL2442" t="inlineStr">
        <is>
          <t>Miss Glam Damar</t>
        </is>
      </c>
      <c r="AM2442" t="n">
        <v>3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ISWHITE</t>
        </is>
      </c>
      <c r="B2443" s="2">
        <f>"8994451563059"</f>
        <v/>
      </c>
      <c r="C2443" t="inlineStr">
        <is>
          <t>ISWHITE Oh My Cake Fine Perfume Mist 100ml</t>
        </is>
      </c>
      <c r="D2443" t="inlineStr">
        <is>
          <t>Miss Glam Damar</t>
        </is>
      </c>
      <c r="E2443" t="n">
        <v>0</v>
      </c>
      <c r="F2443" t="n">
        <v>0.02</v>
      </c>
      <c r="G2443" t="n">
        <v>1</v>
      </c>
      <c r="H2443" t="n">
        <v>2</v>
      </c>
      <c r="I2443" t="n">
        <v>16</v>
      </c>
      <c r="J2443" t="n">
        <v>3</v>
      </c>
      <c r="K2443" t="n">
        <v>0</v>
      </c>
      <c r="L2443" t="n">
        <v>59250</v>
      </c>
      <c r="M2443" t="n">
        <v>75000</v>
      </c>
      <c r="N2443" t="n">
        <v>91</v>
      </c>
      <c r="O2443" t="n">
        <v>0.91</v>
      </c>
      <c r="P2443" t="n">
        <v>0</v>
      </c>
      <c r="Q2443" t="n">
        <v>0.02</v>
      </c>
      <c r="R2443" t="n">
        <v>1</v>
      </c>
      <c r="S2443" t="n">
        <v>1500</v>
      </c>
      <c r="T2443" t="n">
        <v>16</v>
      </c>
      <c r="U2443" t="n">
        <v>17</v>
      </c>
      <c r="V2443" t="n">
        <v>30</v>
      </c>
      <c r="W2443" t="n">
        <v>1</v>
      </c>
      <c r="X2443" t="n">
        <v>0</v>
      </c>
      <c r="Y2443" t="n">
        <v>1</v>
      </c>
      <c r="Z2443" t="n">
        <v>1</v>
      </c>
      <c r="AA2443" t="n">
        <v>1</v>
      </c>
      <c r="AB2443" t="n">
        <v>0</v>
      </c>
      <c r="AC2443" t="n">
        <v>0</v>
      </c>
      <c r="AD2443" t="n">
        <v>59250</v>
      </c>
      <c r="AE2443" t="n">
        <v>0</v>
      </c>
      <c r="AF2443" t="n">
        <v>553</v>
      </c>
      <c r="AG2443" t="n">
        <v>107</v>
      </c>
      <c r="AH2443" t="inlineStr">
        <is>
          <t xml:space="preserve">CV. DAHLIA - PPN (PDG) </t>
        </is>
      </c>
      <c r="AI2443" t="n">
        <v>1545</v>
      </c>
      <c r="AJ2443" t="inlineStr">
        <is>
          <t>ISWHITE</t>
        </is>
      </c>
      <c r="AK2443" t="n">
        <v>21</v>
      </c>
      <c r="AL2443" t="inlineStr">
        <is>
          <t>Miss Glam Damar</t>
        </is>
      </c>
      <c r="AM2443" t="n">
        <v>3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ISWHITE</t>
        </is>
      </c>
      <c r="B2444" s="2">
        <f>"8994451563042"</f>
        <v/>
      </c>
      <c r="C2444" t="inlineStr">
        <is>
          <t>ISWHITE Summer Pink Fine Perfume Mist 100ml</t>
        </is>
      </c>
      <c r="D2444" t="inlineStr">
        <is>
          <t>Miss Glam Damar</t>
        </is>
      </c>
      <c r="E2444" t="n">
        <v>2</v>
      </c>
      <c r="F2444" t="n">
        <v>0.0182</v>
      </c>
      <c r="G2444" t="n">
        <v>0.91</v>
      </c>
      <c r="H2444" t="n">
        <v>2</v>
      </c>
      <c r="I2444" t="n">
        <v>16</v>
      </c>
      <c r="J2444" t="n">
        <v>3</v>
      </c>
      <c r="K2444" t="n">
        <v>0</v>
      </c>
      <c r="L2444" t="n">
        <v>47993</v>
      </c>
      <c r="M2444" t="n">
        <v>75000</v>
      </c>
      <c r="N2444" t="n">
        <v>91</v>
      </c>
      <c r="O2444" t="n">
        <v>0.91</v>
      </c>
      <c r="P2444" t="n">
        <v>1</v>
      </c>
      <c r="Q2444" t="n">
        <v>0.03</v>
      </c>
      <c r="R2444" t="n">
        <v>1</v>
      </c>
      <c r="S2444" t="n">
        <v>1365</v>
      </c>
      <c r="T2444" t="n">
        <v>15</v>
      </c>
      <c r="U2444" t="n">
        <v>16</v>
      </c>
      <c r="V2444" t="n">
        <v>30</v>
      </c>
      <c r="W2444" t="n">
        <v>1</v>
      </c>
      <c r="X2444" t="n">
        <v>109.8901098901099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553</v>
      </c>
      <c r="AG2444" t="n">
        <v>107</v>
      </c>
      <c r="AH2444" t="inlineStr">
        <is>
          <t xml:space="preserve">CV. DAHLIA - PPN (PDG) </t>
        </is>
      </c>
      <c r="AI2444" t="n">
        <v>1545</v>
      </c>
      <c r="AJ2444" t="inlineStr">
        <is>
          <t>ISWHITE</t>
        </is>
      </c>
      <c r="AK2444" t="n">
        <v>21</v>
      </c>
      <c r="AL2444" t="inlineStr">
        <is>
          <t>Miss Glam Damar</t>
        </is>
      </c>
      <c r="AM2444" t="n">
        <v>3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ISWHITE</t>
        </is>
      </c>
      <c r="B2445" s="2">
        <f>"8994451560058"</f>
        <v/>
      </c>
      <c r="C2445" t="inlineStr">
        <is>
          <t>ISWHITE Ultimate Brightening Body Mask 70gr</t>
        </is>
      </c>
      <c r="D2445" t="inlineStr">
        <is>
          <t>Miss Glam Damar</t>
        </is>
      </c>
      <c r="E2445" t="n">
        <v>9</v>
      </c>
      <c r="F2445" t="n">
        <v>0.2002</v>
      </c>
      <c r="G2445" t="n">
        <v>1.82</v>
      </c>
      <c r="H2445" t="n">
        <v>2</v>
      </c>
      <c r="I2445" t="n">
        <v>16</v>
      </c>
      <c r="J2445" t="n">
        <v>3</v>
      </c>
      <c r="K2445" t="n">
        <v>0</v>
      </c>
      <c r="L2445" t="n">
        <v>21375</v>
      </c>
      <c r="M2445" t="n">
        <v>31000</v>
      </c>
      <c r="N2445" t="n">
        <v>91</v>
      </c>
      <c r="O2445" t="n">
        <v>0.91</v>
      </c>
      <c r="P2445" t="n">
        <v>1</v>
      </c>
      <c r="Q2445" t="n">
        <v>0.36</v>
      </c>
      <c r="R2445" t="n">
        <v>2</v>
      </c>
      <c r="S2445" t="n">
        <v>6206.200000000001</v>
      </c>
      <c r="T2445" t="n">
        <v>29</v>
      </c>
      <c r="U2445" t="n">
        <v>30</v>
      </c>
      <c r="V2445" t="n">
        <v>30</v>
      </c>
      <c r="W2445" t="n">
        <v>7</v>
      </c>
      <c r="X2445" t="n">
        <v>44.95504495504495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553</v>
      </c>
      <c r="AG2445" t="n">
        <v>107</v>
      </c>
      <c r="AH2445" t="inlineStr">
        <is>
          <t xml:space="preserve">CV. DAHLIA - PPN (PDG) </t>
        </is>
      </c>
      <c r="AI2445" t="n">
        <v>1545</v>
      </c>
      <c r="AJ2445" t="inlineStr">
        <is>
          <t>ISWHITE</t>
        </is>
      </c>
      <c r="AK2445" t="n">
        <v>21</v>
      </c>
      <c r="AL2445" t="inlineStr">
        <is>
          <t>Miss Glam Damar</t>
        </is>
      </c>
      <c r="AM2445" t="n">
        <v>3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ISWHITE</t>
        </is>
      </c>
      <c r="B2446" s="2">
        <f>"30200411037"</f>
        <v/>
      </c>
      <c r="C2446" t="inlineStr">
        <is>
          <t>ISWHITE Whitening Expert Body Serum 200ml</t>
        </is>
      </c>
      <c r="D2446" t="inlineStr">
        <is>
          <t>Miss Glam Damar</t>
        </is>
      </c>
      <c r="E2446" t="n">
        <v>7</v>
      </c>
      <c r="F2446" t="n">
        <v>0.1729</v>
      </c>
      <c r="G2446" t="n">
        <v>1.82</v>
      </c>
      <c r="H2446" t="n">
        <v>2</v>
      </c>
      <c r="I2446" t="n">
        <v>16</v>
      </c>
      <c r="J2446" t="n">
        <v>3</v>
      </c>
      <c r="K2446" t="n">
        <v>0</v>
      </c>
      <c r="L2446" t="n">
        <v>74250</v>
      </c>
      <c r="M2446" t="n">
        <v>99900</v>
      </c>
      <c r="N2446" t="n">
        <v>91</v>
      </c>
      <c r="O2446" t="n">
        <v>0.91</v>
      </c>
      <c r="P2446" t="n">
        <v>1</v>
      </c>
      <c r="Q2446" t="n">
        <v>0.29</v>
      </c>
      <c r="R2446" t="n">
        <v>5</v>
      </c>
      <c r="S2446" t="n">
        <v>17272.71</v>
      </c>
      <c r="T2446" t="n">
        <v>29</v>
      </c>
      <c r="U2446" t="n">
        <v>30</v>
      </c>
      <c r="V2446" t="n">
        <v>30</v>
      </c>
      <c r="W2446" t="n">
        <v>6</v>
      </c>
      <c r="X2446" t="n">
        <v>40.48582995951417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553</v>
      </c>
      <c r="AG2446" t="n">
        <v>107</v>
      </c>
      <c r="AH2446" t="inlineStr">
        <is>
          <t xml:space="preserve">CV. DAHLIA - PPN (PDG) </t>
        </is>
      </c>
      <c r="AI2446" t="n">
        <v>1545</v>
      </c>
      <c r="AJ2446" t="inlineStr">
        <is>
          <t>ISWHITE</t>
        </is>
      </c>
      <c r="AK2446" t="n">
        <v>21</v>
      </c>
      <c r="AL2446" t="inlineStr">
        <is>
          <t>Miss Glam Damar</t>
        </is>
      </c>
      <c r="AM2446" t="n">
        <v>3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ISWHITE</t>
        </is>
      </c>
      <c r="B2447" s="2">
        <f>"8994451560003"</f>
        <v/>
      </c>
      <c r="C2447" t="inlineStr">
        <is>
          <t>ISWHITE Whitening Ultimate Body Mask 200gr</t>
        </is>
      </c>
      <c r="D2447" t="inlineStr">
        <is>
          <t>Miss Glam Damar</t>
        </is>
      </c>
      <c r="E2447" t="n">
        <v>12</v>
      </c>
      <c r="F2447" t="n">
        <v>0.09100000000000001</v>
      </c>
      <c r="G2447" t="n">
        <v>0.91</v>
      </c>
      <c r="H2447" t="n">
        <v>2</v>
      </c>
      <c r="I2447" t="n">
        <v>16</v>
      </c>
      <c r="J2447" t="n">
        <v>3</v>
      </c>
      <c r="K2447" t="n">
        <v>0</v>
      </c>
      <c r="L2447" t="n">
        <v>43649</v>
      </c>
      <c r="M2447" t="n">
        <v>62000</v>
      </c>
      <c r="N2447" t="n">
        <v>91</v>
      </c>
      <c r="O2447" t="n">
        <v>0.91</v>
      </c>
      <c r="P2447" t="n">
        <v>1</v>
      </c>
      <c r="Q2447" t="n">
        <v>0.31</v>
      </c>
      <c r="R2447" t="n">
        <v>3</v>
      </c>
      <c r="S2447" t="n">
        <v>5642.000000000001</v>
      </c>
      <c r="T2447" t="n">
        <v>15</v>
      </c>
      <c r="U2447" t="n">
        <v>16</v>
      </c>
      <c r="V2447" t="n">
        <v>30</v>
      </c>
      <c r="W2447" t="n">
        <v>3</v>
      </c>
      <c r="X2447" t="n">
        <v>131.8681318681319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553</v>
      </c>
      <c r="AG2447" t="n">
        <v>107</v>
      </c>
      <c r="AH2447" t="inlineStr">
        <is>
          <t xml:space="preserve">CV. DAHLIA - PPN (PDG) </t>
        </is>
      </c>
      <c r="AI2447" t="n">
        <v>1545</v>
      </c>
      <c r="AJ2447" t="inlineStr">
        <is>
          <t>ISWHITE</t>
        </is>
      </c>
      <c r="AK2447" t="n">
        <v>21</v>
      </c>
      <c r="AL2447" t="inlineStr">
        <is>
          <t>Miss Glam Damar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JEJUBY</t>
        </is>
      </c>
      <c r="B2448" s="2">
        <f>"10500635017"</f>
        <v/>
      </c>
      <c r="C2448" t="inlineStr">
        <is>
          <t>JEJUBY Bright My Skin Gluta Rice Milk Mask 100gr</t>
        </is>
      </c>
      <c r="D2448" t="inlineStr">
        <is>
          <t>Miss Glam Damar</t>
        </is>
      </c>
      <c r="E2448" t="n">
        <v>5</v>
      </c>
      <c r="F2448" t="n">
        <v>0.5369</v>
      </c>
      <c r="G2448" t="n">
        <v>3.64</v>
      </c>
      <c r="H2448" t="n">
        <v>4</v>
      </c>
      <c r="I2448" t="n">
        <v>21</v>
      </c>
      <c r="J2448" t="n">
        <v>3</v>
      </c>
      <c r="K2448" t="n">
        <v>0</v>
      </c>
      <c r="L2448" t="n">
        <v>46350</v>
      </c>
      <c r="M2448" t="n">
        <v>65000</v>
      </c>
      <c r="N2448" t="n">
        <v>91</v>
      </c>
      <c r="O2448" t="n">
        <v>0.91</v>
      </c>
      <c r="P2448" t="n">
        <v>1</v>
      </c>
      <c r="Q2448" t="n">
        <v>0.32</v>
      </c>
      <c r="R2448" t="n">
        <v>2</v>
      </c>
      <c r="S2448" t="n">
        <v>34898.5</v>
      </c>
      <c r="T2448" t="n">
        <v>75</v>
      </c>
      <c r="U2448" t="n">
        <v>78</v>
      </c>
      <c r="V2448" t="n">
        <v>30</v>
      </c>
      <c r="W2448" t="n">
        <v>17</v>
      </c>
      <c r="X2448" t="n">
        <v>9.312721177127957</v>
      </c>
      <c r="Y2448" t="n">
        <v>1</v>
      </c>
      <c r="Z2448" t="n">
        <v>12</v>
      </c>
      <c r="AA2448" t="n">
        <v>7</v>
      </c>
      <c r="AB2448" t="n">
        <v>5</v>
      </c>
      <c r="AC2448" t="n">
        <v>5</v>
      </c>
      <c r="AD2448" t="n">
        <v>324450</v>
      </c>
      <c r="AE2448" t="n">
        <v>231750</v>
      </c>
      <c r="AF2448" t="n">
        <v>5917</v>
      </c>
      <c r="AG2448" t="n">
        <v>1</v>
      </c>
      <c r="AH2448" t="inlineStr">
        <is>
          <t>PT. BERSAMA DISTRIVERSA INDONESIA (DC CIPUTAT)</t>
        </is>
      </c>
      <c r="AI2448" t="n">
        <v>1970</v>
      </c>
      <c r="AJ2448" t="inlineStr">
        <is>
          <t>JEJUBY</t>
        </is>
      </c>
      <c r="AK2448" t="n">
        <v>21</v>
      </c>
      <c r="AL2448" t="inlineStr">
        <is>
          <t>Miss Glam Damar</t>
        </is>
      </c>
      <c r="AM2448" t="n">
        <v>4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JEJUBY</t>
        </is>
      </c>
      <c r="B2449" s="2">
        <f>"10500639053"</f>
        <v/>
      </c>
      <c r="C2449" t="inlineStr">
        <is>
          <t>JEJUBY Gluta Rice Clay Mask 100gr</t>
        </is>
      </c>
      <c r="D2449" t="inlineStr">
        <is>
          <t>Miss Glam Damar</t>
        </is>
      </c>
      <c r="E2449" t="n">
        <v>0</v>
      </c>
      <c r="F2449" t="n">
        <v>0.1547</v>
      </c>
      <c r="G2449" t="n">
        <v>0.91</v>
      </c>
      <c r="H2449" t="n">
        <v>4</v>
      </c>
      <c r="I2449" t="n">
        <v>21</v>
      </c>
      <c r="J2449" t="n">
        <v>1</v>
      </c>
      <c r="K2449" t="n">
        <v>5</v>
      </c>
      <c r="L2449" t="n">
        <v>113300</v>
      </c>
      <c r="M2449" t="n">
        <v>148000</v>
      </c>
      <c r="N2449" t="n">
        <v>91</v>
      </c>
      <c r="O2449" t="n">
        <v>0.91</v>
      </c>
      <c r="P2449" t="n">
        <v>1</v>
      </c>
      <c r="Q2449" t="n">
        <v>0.16</v>
      </c>
      <c r="R2449" t="n">
        <v>2</v>
      </c>
      <c r="S2449" t="n">
        <v>22895.6</v>
      </c>
      <c r="T2449" t="n">
        <v>19</v>
      </c>
      <c r="U2449" t="n">
        <v>20</v>
      </c>
      <c r="V2449" t="n">
        <v>30</v>
      </c>
      <c r="W2449" t="n">
        <v>5</v>
      </c>
      <c r="X2449" t="n">
        <v>0</v>
      </c>
      <c r="Y2449" t="n">
        <v>1</v>
      </c>
      <c r="Z2449" t="n">
        <v>0</v>
      </c>
      <c r="AA2449" t="n">
        <v>3</v>
      </c>
      <c r="AB2449" t="n">
        <v>0</v>
      </c>
      <c r="AC2449" t="n">
        <v>0</v>
      </c>
      <c r="AD2449" t="n">
        <v>339900</v>
      </c>
      <c r="AE2449" t="n">
        <v>0</v>
      </c>
      <c r="AF2449" t="n">
        <v>5917</v>
      </c>
      <c r="AG2449" t="n">
        <v>1</v>
      </c>
      <c r="AH2449" t="inlineStr">
        <is>
          <t>PT. BERSAMA DISTRIVERSA INDONESIA (DC CIPUTAT)</t>
        </is>
      </c>
      <c r="AI2449" t="n">
        <v>1970</v>
      </c>
      <c r="AJ2449" t="inlineStr">
        <is>
          <t>JEJUBY</t>
        </is>
      </c>
      <c r="AK2449" t="n">
        <v>21</v>
      </c>
      <c r="AL2449" t="inlineStr">
        <is>
          <t>Miss Glam Damar</t>
        </is>
      </c>
      <c r="AM2449" t="n">
        <v>4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JEJUBY</t>
        </is>
      </c>
      <c r="B2450" s="2">
        <f>"10500638949"</f>
        <v/>
      </c>
      <c r="C2450" t="inlineStr">
        <is>
          <t>JEJUBY Gluta Rice Clay Mask 50gr</t>
        </is>
      </c>
      <c r="D2450" t="inlineStr">
        <is>
          <t>Miss Glam Damar</t>
        </is>
      </c>
      <c r="E2450" t="n">
        <v>14</v>
      </c>
      <c r="F2450" t="n">
        <v>0.3731</v>
      </c>
      <c r="G2450" t="n">
        <v>4.55</v>
      </c>
      <c r="H2450" t="n">
        <v>4</v>
      </c>
      <c r="I2450" t="n">
        <v>21</v>
      </c>
      <c r="J2450" t="n">
        <v>1</v>
      </c>
      <c r="K2450" t="n">
        <v>15</v>
      </c>
      <c r="L2450" t="n">
        <v>66950</v>
      </c>
      <c r="M2450" t="n">
        <v>83000</v>
      </c>
      <c r="N2450" t="n">
        <v>91</v>
      </c>
      <c r="O2450" t="n">
        <v>0.91</v>
      </c>
      <c r="P2450" t="n">
        <v>1</v>
      </c>
      <c r="Q2450" t="n">
        <v>0.49</v>
      </c>
      <c r="R2450" t="n">
        <v>4</v>
      </c>
      <c r="S2450" t="n">
        <v>30967.3</v>
      </c>
      <c r="T2450" t="n">
        <v>95</v>
      </c>
      <c r="U2450" t="n">
        <v>97</v>
      </c>
      <c r="V2450" t="n">
        <v>30</v>
      </c>
      <c r="W2450" t="n">
        <v>12</v>
      </c>
      <c r="X2450" t="n">
        <v>37.5234521575985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5917</v>
      </c>
      <c r="AG2450" t="n">
        <v>1</v>
      </c>
      <c r="AH2450" t="inlineStr">
        <is>
          <t>PT. BERSAMA DISTRIVERSA INDONESIA (DC CIPUTAT)</t>
        </is>
      </c>
      <c r="AI2450" t="n">
        <v>1970</v>
      </c>
      <c r="AJ2450" t="inlineStr">
        <is>
          <t>JEJUBY</t>
        </is>
      </c>
      <c r="AK2450" t="n">
        <v>21</v>
      </c>
      <c r="AL2450" t="inlineStr">
        <is>
          <t>Miss Glam Damar</t>
        </is>
      </c>
      <c r="AM2450" t="n">
        <v>4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JENNSKIN</t>
        </is>
      </c>
      <c r="B2451" s="2">
        <f>"8994457260020"</f>
        <v/>
      </c>
      <c r="C2451" t="inlineStr">
        <is>
          <t>JENNSKIN Baby Fresh Deodorant Spray Aroma 60ml</t>
        </is>
      </c>
      <c r="D2451" t="inlineStr">
        <is>
          <t>Miss Glam Damar</t>
        </is>
      </c>
      <c r="E2451" t="n">
        <v>0</v>
      </c>
      <c r="F2451" t="n">
        <v>1.1284</v>
      </c>
      <c r="G2451" t="n">
        <v>2.73</v>
      </c>
      <c r="H2451" t="n">
        <v>4</v>
      </c>
      <c r="I2451" t="n">
        <v>21</v>
      </c>
      <c r="J2451" t="n">
        <v>3</v>
      </c>
      <c r="K2451" t="n">
        <v>15</v>
      </c>
      <c r="L2451" t="n">
        <v>39750</v>
      </c>
      <c r="M2451" t="n">
        <v>55000</v>
      </c>
      <c r="N2451" t="n">
        <v>91</v>
      </c>
      <c r="O2451" t="n">
        <v>0.91</v>
      </c>
      <c r="P2451" t="n">
        <v>1</v>
      </c>
      <c r="Q2451" t="n">
        <v>0.27</v>
      </c>
      <c r="R2451" t="n">
        <v>2</v>
      </c>
      <c r="S2451" t="n">
        <v>62062.00000000001</v>
      </c>
      <c r="T2451" t="n">
        <v>53</v>
      </c>
      <c r="U2451" t="n">
        <v>58</v>
      </c>
      <c r="V2451" t="n">
        <v>30</v>
      </c>
      <c r="W2451" t="n">
        <v>34</v>
      </c>
      <c r="X2451" t="n">
        <v>0</v>
      </c>
      <c r="Y2451" t="n">
        <v>1</v>
      </c>
      <c r="Z2451" t="n">
        <v>19</v>
      </c>
      <c r="AA2451" t="n">
        <v>23</v>
      </c>
      <c r="AB2451" t="n">
        <v>0</v>
      </c>
      <c r="AC2451" t="n">
        <v>0</v>
      </c>
      <c r="AD2451" t="n">
        <v>914250</v>
      </c>
      <c r="AE2451" t="n">
        <v>0</v>
      </c>
      <c r="AF2451" t="n">
        <v>5950</v>
      </c>
      <c r="AG2451" t="n">
        <v>1</v>
      </c>
      <c r="AH2451" t="inlineStr">
        <is>
          <t>PT. BERSAMA DISTRIVERSA INDONESIA (DC CIPUTAT)</t>
        </is>
      </c>
      <c r="AI2451" t="n">
        <v>1875</v>
      </c>
      <c r="AJ2451" t="inlineStr">
        <is>
          <t>JENNSKIN</t>
        </is>
      </c>
      <c r="AK2451" t="n">
        <v>21</v>
      </c>
      <c r="AL2451" t="inlineStr">
        <is>
          <t>Miss Glam Damar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JENNSKIN</t>
        </is>
      </c>
      <c r="B2452" s="2">
        <f>"8994457260037"</f>
        <v/>
      </c>
      <c r="C2452" t="inlineStr">
        <is>
          <t>JENNSKIN Bubble Gum Deodorant Spray Aroma 60ml</t>
        </is>
      </c>
      <c r="D2452" t="inlineStr">
        <is>
          <t>Miss Glam Damar</t>
        </is>
      </c>
      <c r="E2452" t="n">
        <v>0</v>
      </c>
      <c r="F2452" t="n">
        <v>0.6825</v>
      </c>
      <c r="G2452" t="n">
        <v>4.55</v>
      </c>
      <c r="H2452" t="n">
        <v>4</v>
      </c>
      <c r="I2452" t="n">
        <v>21</v>
      </c>
      <c r="J2452" t="n">
        <v>3</v>
      </c>
      <c r="K2452" t="n">
        <v>24</v>
      </c>
      <c r="L2452" t="n">
        <v>39750</v>
      </c>
      <c r="M2452" t="n">
        <v>55000</v>
      </c>
      <c r="N2452" t="n">
        <v>91</v>
      </c>
      <c r="O2452" t="n">
        <v>0.91</v>
      </c>
      <c r="P2452" t="n">
        <v>1</v>
      </c>
      <c r="Q2452" t="n">
        <v>0.73</v>
      </c>
      <c r="R2452" t="n">
        <v>2</v>
      </c>
      <c r="S2452" t="n">
        <v>37537.5</v>
      </c>
      <c r="T2452" t="n">
        <v>93</v>
      </c>
      <c r="U2452" t="n">
        <v>96</v>
      </c>
      <c r="V2452" t="n">
        <v>30</v>
      </c>
      <c r="W2452" t="n">
        <v>21</v>
      </c>
      <c r="X2452" t="n">
        <v>0</v>
      </c>
      <c r="Y2452" t="n">
        <v>1</v>
      </c>
      <c r="Z2452" t="n">
        <v>0</v>
      </c>
      <c r="AA2452" t="n">
        <v>14</v>
      </c>
      <c r="AB2452" t="n">
        <v>0</v>
      </c>
      <c r="AC2452" t="n">
        <v>0</v>
      </c>
      <c r="AD2452" t="n">
        <v>556500</v>
      </c>
      <c r="AE2452" t="n">
        <v>0</v>
      </c>
      <c r="AF2452" t="n">
        <v>5950</v>
      </c>
      <c r="AG2452" t="n">
        <v>1</v>
      </c>
      <c r="AH2452" t="inlineStr">
        <is>
          <t>PT. BERSAMA DISTRIVERSA INDONESIA (DC CIPUTAT)</t>
        </is>
      </c>
      <c r="AI2452" t="n">
        <v>1875</v>
      </c>
      <c r="AJ2452" t="inlineStr">
        <is>
          <t>JENNSKIN</t>
        </is>
      </c>
      <c r="AK2452" t="n">
        <v>21</v>
      </c>
      <c r="AL2452" t="inlineStr">
        <is>
          <t>Miss Glam Damar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JENNSKIN</t>
        </is>
      </c>
      <c r="B2453" s="2">
        <f>"8994457260044"</f>
        <v/>
      </c>
      <c r="C2453" t="inlineStr">
        <is>
          <t>JENNSKIN Jasmine Deodorant Spray Aroma 60ml</t>
        </is>
      </c>
      <c r="D2453" t="inlineStr">
        <is>
          <t>Miss Glam Damar</t>
        </is>
      </c>
      <c r="E2453" t="n">
        <v>0</v>
      </c>
      <c r="F2453" t="n">
        <v>0.3822</v>
      </c>
      <c r="G2453" t="n">
        <v>2.73</v>
      </c>
      <c r="H2453" t="n">
        <v>4</v>
      </c>
      <c r="I2453" t="n">
        <v>21</v>
      </c>
      <c r="J2453" t="n">
        <v>3</v>
      </c>
      <c r="K2453" t="n">
        <v>12</v>
      </c>
      <c r="L2453" t="n">
        <v>40051</v>
      </c>
      <c r="M2453" t="n">
        <v>55000</v>
      </c>
      <c r="N2453" t="n">
        <v>91</v>
      </c>
      <c r="O2453" t="n">
        <v>0.91</v>
      </c>
      <c r="P2453" t="n">
        <v>1</v>
      </c>
      <c r="Q2453" t="n">
        <v>0.41</v>
      </c>
      <c r="R2453" t="n">
        <v>2</v>
      </c>
      <c r="S2453" t="n">
        <v>21021</v>
      </c>
      <c r="T2453" t="n">
        <v>56</v>
      </c>
      <c r="U2453" t="n">
        <v>58</v>
      </c>
      <c r="V2453" t="n">
        <v>30</v>
      </c>
      <c r="W2453" t="n">
        <v>12</v>
      </c>
      <c r="X2453" t="n">
        <v>0</v>
      </c>
      <c r="Y2453" t="n">
        <v>1</v>
      </c>
      <c r="Z2453" t="n">
        <v>0</v>
      </c>
      <c r="AA2453" t="n">
        <v>8</v>
      </c>
      <c r="AB2453" t="n">
        <v>0</v>
      </c>
      <c r="AC2453" t="n">
        <v>0</v>
      </c>
      <c r="AD2453" t="n">
        <v>320408</v>
      </c>
      <c r="AE2453" t="n">
        <v>0</v>
      </c>
      <c r="AF2453" t="n">
        <v>5950</v>
      </c>
      <c r="AG2453" t="n">
        <v>1</v>
      </c>
      <c r="AH2453" t="inlineStr">
        <is>
          <t>PT. BERSAMA DISTRIVERSA INDONESIA (DC CIPUTAT)</t>
        </is>
      </c>
      <c r="AI2453" t="n">
        <v>1875</v>
      </c>
      <c r="AJ2453" t="inlineStr">
        <is>
          <t>JENNSKIN</t>
        </is>
      </c>
      <c r="AK2453" t="n">
        <v>21</v>
      </c>
      <c r="AL2453" t="inlineStr">
        <is>
          <t>Miss Glam Damar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JENNSKIN</t>
        </is>
      </c>
      <c r="B2454" s="2">
        <f>"8994457260013"</f>
        <v/>
      </c>
      <c r="C2454" t="inlineStr">
        <is>
          <t>JENNSKIN Vanilla Deodorant Spray Aroma 60ml</t>
        </is>
      </c>
      <c r="D2454" t="inlineStr">
        <is>
          <t>Miss Glam Damar</t>
        </is>
      </c>
      <c r="E2454" t="n">
        <v>0</v>
      </c>
      <c r="F2454" t="n">
        <v>0.8372000000000001</v>
      </c>
      <c r="G2454" t="n">
        <v>3.64</v>
      </c>
      <c r="H2454" t="n">
        <v>4</v>
      </c>
      <c r="I2454" t="n">
        <v>21</v>
      </c>
      <c r="J2454" t="n">
        <v>3</v>
      </c>
      <c r="K2454" t="n">
        <v>18</v>
      </c>
      <c r="L2454" t="n">
        <v>39750</v>
      </c>
      <c r="M2454" t="n">
        <v>55000</v>
      </c>
      <c r="N2454" t="n">
        <v>91</v>
      </c>
      <c r="O2454" t="n">
        <v>0.91</v>
      </c>
      <c r="P2454" t="n">
        <v>1</v>
      </c>
      <c r="Q2454" t="n">
        <v>0.6</v>
      </c>
      <c r="R2454" t="n">
        <v>3</v>
      </c>
      <c r="S2454" t="n">
        <v>46046</v>
      </c>
      <c r="T2454" t="n">
        <v>74</v>
      </c>
      <c r="U2454" t="n">
        <v>78</v>
      </c>
      <c r="V2454" t="n">
        <v>30</v>
      </c>
      <c r="W2454" t="n">
        <v>26</v>
      </c>
      <c r="X2454" t="n">
        <v>0</v>
      </c>
      <c r="Y2454" t="n">
        <v>1</v>
      </c>
      <c r="Z2454" t="n">
        <v>8</v>
      </c>
      <c r="AA2454" t="n">
        <v>17</v>
      </c>
      <c r="AB2454" t="n">
        <v>0</v>
      </c>
      <c r="AC2454" t="n">
        <v>0</v>
      </c>
      <c r="AD2454" t="n">
        <v>675750</v>
      </c>
      <c r="AE2454" t="n">
        <v>0</v>
      </c>
      <c r="AF2454" t="n">
        <v>5950</v>
      </c>
      <c r="AG2454" t="n">
        <v>1</v>
      </c>
      <c r="AH2454" t="inlineStr">
        <is>
          <t>PT. BERSAMA DISTRIVERSA INDONESIA (DC CIPUTAT)</t>
        </is>
      </c>
      <c r="AI2454" t="n">
        <v>1875</v>
      </c>
      <c r="AJ2454" t="inlineStr">
        <is>
          <t>JENNSKIN</t>
        </is>
      </c>
      <c r="AK2454" t="n">
        <v>21</v>
      </c>
      <c r="AL2454" t="inlineStr">
        <is>
          <t>Miss Glam Damar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JF THE SKIN SPECIALIST</t>
        </is>
      </c>
      <c r="B2455" s="2">
        <f>"8993005116062"</f>
        <v/>
      </c>
      <c r="C2455" t="inlineStr">
        <is>
          <t>JF THE SKIN SPECIALIST Acne Protect 65gr</t>
        </is>
      </c>
      <c r="D2455" t="inlineStr">
        <is>
          <t>Miss Glam Damar</t>
        </is>
      </c>
      <c r="E2455" t="n">
        <v>0</v>
      </c>
      <c r="F2455" t="n">
        <v>0.182</v>
      </c>
      <c r="G2455" t="n">
        <v>0.91</v>
      </c>
      <c r="H2455" t="n">
        <v>2</v>
      </c>
      <c r="I2455" t="n">
        <v>3</v>
      </c>
      <c r="J2455" t="n">
        <v>3</v>
      </c>
      <c r="K2455" t="n">
        <v>0</v>
      </c>
      <c r="L2455" t="n">
        <v>9746</v>
      </c>
      <c r="M2455" t="n">
        <v>11500</v>
      </c>
      <c r="N2455" t="n">
        <v>91</v>
      </c>
      <c r="O2455" t="n">
        <v>0.91</v>
      </c>
      <c r="P2455" t="n">
        <v>1</v>
      </c>
      <c r="Q2455" t="n">
        <v>0.03</v>
      </c>
      <c r="R2455" t="n">
        <v>2</v>
      </c>
      <c r="S2455" t="n">
        <v>2093</v>
      </c>
      <c r="T2455" t="n">
        <v>3</v>
      </c>
      <c r="U2455" t="n">
        <v>4</v>
      </c>
      <c r="V2455" t="n">
        <v>30</v>
      </c>
      <c r="W2455" t="n">
        <v>6</v>
      </c>
      <c r="X2455" t="n">
        <v>0</v>
      </c>
      <c r="Y2455" t="n">
        <v>1</v>
      </c>
      <c r="Z2455" t="n">
        <v>6</v>
      </c>
      <c r="AA2455" t="n">
        <v>1</v>
      </c>
      <c r="AB2455" t="n">
        <v>5</v>
      </c>
      <c r="AC2455" t="n">
        <v>5</v>
      </c>
      <c r="AD2455" t="n">
        <v>9746</v>
      </c>
      <c r="AE2455" t="n">
        <v>48730</v>
      </c>
      <c r="AF2455" t="n">
        <v>1352</v>
      </c>
      <c r="AG2455" t="n">
        <v>2042</v>
      </c>
      <c r="AH2455" t="inlineStr">
        <is>
          <t>CV. PUTRIALICIA - PPN (PDG)</t>
        </is>
      </c>
      <c r="AI2455" t="n">
        <v>875</v>
      </c>
      <c r="AJ2455" t="inlineStr">
        <is>
          <t>JF THE SKIN SPECIALIST</t>
        </is>
      </c>
      <c r="AK2455" t="n">
        <v>21</v>
      </c>
      <c r="AL2455" t="inlineStr">
        <is>
          <t>Miss Glam Damar</t>
        </is>
      </c>
      <c r="AM2455" t="n">
        <v>1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JF THE SKIN SPECIALIST</t>
        </is>
      </c>
      <c r="B2456" s="2">
        <f>"8993005102102"</f>
        <v/>
      </c>
      <c r="C2456" t="inlineStr">
        <is>
          <t>JF THE SKIN SPECIALIST Acne Spot Care Cleanser Bar 65gr</t>
        </is>
      </c>
      <c r="D2456" t="inlineStr">
        <is>
          <t>Miss Glam Damar</t>
        </is>
      </c>
      <c r="E2456" t="n">
        <v>0</v>
      </c>
      <c r="F2456" t="n">
        <v>0.1456</v>
      </c>
      <c r="G2456" t="n">
        <v>1.82</v>
      </c>
      <c r="H2456" t="n">
        <v>2</v>
      </c>
      <c r="I2456" t="n">
        <v>3</v>
      </c>
      <c r="J2456" t="n">
        <v>3</v>
      </c>
      <c r="K2456" t="n">
        <v>0</v>
      </c>
      <c r="L2456" t="n">
        <v>15840</v>
      </c>
      <c r="M2456" t="n">
        <v>22000</v>
      </c>
      <c r="N2456" t="n">
        <v>91</v>
      </c>
      <c r="O2456" t="n">
        <v>0.91</v>
      </c>
      <c r="P2456" t="n">
        <v>1</v>
      </c>
      <c r="Q2456" t="n">
        <v>0.13</v>
      </c>
      <c r="R2456" t="n">
        <v>1</v>
      </c>
      <c r="S2456" t="n">
        <v>3203.2</v>
      </c>
      <c r="T2456" t="n">
        <v>6</v>
      </c>
      <c r="U2456" t="n">
        <v>7</v>
      </c>
      <c r="V2456" t="n">
        <v>30</v>
      </c>
      <c r="W2456" t="n">
        <v>5</v>
      </c>
      <c r="X2456" t="n">
        <v>0</v>
      </c>
      <c r="Y2456" t="n">
        <v>1</v>
      </c>
      <c r="Z2456" t="n">
        <v>5</v>
      </c>
      <c r="AA2456" t="n">
        <v>1</v>
      </c>
      <c r="AB2456" t="n">
        <v>4</v>
      </c>
      <c r="AC2456" t="n">
        <v>4</v>
      </c>
      <c r="AD2456" t="n">
        <v>15840</v>
      </c>
      <c r="AE2456" t="n">
        <v>63360</v>
      </c>
      <c r="AF2456" t="n">
        <v>1352</v>
      </c>
      <c r="AG2456" t="n">
        <v>2042</v>
      </c>
      <c r="AH2456" t="inlineStr">
        <is>
          <t>CV. PUTRIALICIA - PPN (PDG)</t>
        </is>
      </c>
      <c r="AI2456" t="n">
        <v>875</v>
      </c>
      <c r="AJ2456" t="inlineStr">
        <is>
          <t>JF THE SKIN SPECIALIST</t>
        </is>
      </c>
      <c r="AK2456" t="n">
        <v>21</v>
      </c>
      <c r="AL2456" t="inlineStr">
        <is>
          <t>Miss Glam Damar</t>
        </is>
      </c>
      <c r="AM2456" t="n">
        <v>1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JF THE SKIN SPECIALIST</t>
        </is>
      </c>
      <c r="B2457" s="2">
        <f>"8993005112019"</f>
        <v/>
      </c>
      <c r="C2457" t="inlineStr">
        <is>
          <t>JF THE SKIN SPECIALIST Dermamed Care Cleanser Bar 90gr</t>
        </is>
      </c>
      <c r="D2457" t="inlineStr">
        <is>
          <t>Miss Glam Damar</t>
        </is>
      </c>
      <c r="E2457" t="n">
        <v>0</v>
      </c>
      <c r="F2457" t="n">
        <v>0.03</v>
      </c>
      <c r="G2457" t="n">
        <v>1</v>
      </c>
      <c r="H2457" t="n">
        <v>2</v>
      </c>
      <c r="I2457" t="n">
        <v>3</v>
      </c>
      <c r="J2457" t="n">
        <v>3</v>
      </c>
      <c r="K2457" t="n">
        <v>0</v>
      </c>
      <c r="L2457" t="n">
        <v>12410</v>
      </c>
      <c r="M2457" t="n">
        <v>17500</v>
      </c>
      <c r="N2457" t="n">
        <v>91</v>
      </c>
      <c r="O2457" t="n">
        <v>0.91</v>
      </c>
      <c r="P2457" t="n">
        <v>0</v>
      </c>
      <c r="Q2457" t="n">
        <v>0.03</v>
      </c>
      <c r="R2457" t="n">
        <v>1</v>
      </c>
      <c r="S2457" t="n">
        <v>525</v>
      </c>
      <c r="T2457" t="n">
        <v>3</v>
      </c>
      <c r="U2457" t="n">
        <v>4</v>
      </c>
      <c r="V2457" t="n">
        <v>30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n">
        <v>0</v>
      </c>
      <c r="AC2457" t="n">
        <v>0</v>
      </c>
      <c r="AD2457" t="n">
        <v>12410</v>
      </c>
      <c r="AE2457" t="n">
        <v>0</v>
      </c>
      <c r="AF2457" t="n">
        <v>1352</v>
      </c>
      <c r="AG2457" t="n">
        <v>2042</v>
      </c>
      <c r="AH2457" t="inlineStr">
        <is>
          <t>CV. PUTRIALICIA - PPN (PDG)</t>
        </is>
      </c>
      <c r="AI2457" t="n">
        <v>875</v>
      </c>
      <c r="AJ2457" t="inlineStr">
        <is>
          <t>JF THE SKIN SPECIALIST</t>
        </is>
      </c>
      <c r="AK2457" t="n">
        <v>21</v>
      </c>
      <c r="AL2457" t="inlineStr">
        <is>
          <t>Miss Glam Damar</t>
        </is>
      </c>
      <c r="AM2457" t="n">
        <v>1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JIERA</t>
        </is>
      </c>
      <c r="B2458" s="2">
        <f>"8993319780164"</f>
        <v/>
      </c>
      <c r="C2458" t="inlineStr">
        <is>
          <t>JIERA Advanced Natural Lip Serum 20ml</t>
        </is>
      </c>
      <c r="D2458" t="inlineStr">
        <is>
          <t>Miss Glam Damar</t>
        </is>
      </c>
      <c r="E2458" t="n">
        <v>4</v>
      </c>
      <c r="F2458" t="n">
        <v>0.04550000000000001</v>
      </c>
      <c r="G2458" t="n">
        <v>1.82</v>
      </c>
      <c r="H2458" t="n">
        <v>4</v>
      </c>
      <c r="I2458" t="n">
        <v>21</v>
      </c>
      <c r="J2458" t="n">
        <v>3</v>
      </c>
      <c r="K2458" t="n">
        <v>0</v>
      </c>
      <c r="L2458" t="n">
        <v>58730</v>
      </c>
      <c r="M2458" t="n">
        <v>83900</v>
      </c>
      <c r="N2458" t="n">
        <v>91</v>
      </c>
      <c r="O2458" t="n">
        <v>0.91</v>
      </c>
      <c r="P2458" t="n">
        <v>1</v>
      </c>
      <c r="Q2458" t="n">
        <v>0.05</v>
      </c>
      <c r="R2458" t="n">
        <v>1</v>
      </c>
      <c r="S2458" t="n">
        <v>3817.45</v>
      </c>
      <c r="T2458" t="n">
        <v>39</v>
      </c>
      <c r="U2458" t="n">
        <v>40</v>
      </c>
      <c r="V2458" t="n">
        <v>30</v>
      </c>
      <c r="W2458" t="n">
        <v>2</v>
      </c>
      <c r="X2458" t="n">
        <v>87.9120879120879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5985</v>
      </c>
      <c r="AG2458" t="n">
        <v>1</v>
      </c>
      <c r="AH2458" t="inlineStr">
        <is>
          <t>PT. BERSAMA DISTRIVERSA INDONESIA (DC CIPUTAT)</t>
        </is>
      </c>
      <c r="AI2458" t="n">
        <v>1069</v>
      </c>
      <c r="AJ2458" t="inlineStr">
        <is>
          <t>JIERA</t>
        </is>
      </c>
      <c r="AK2458" t="n">
        <v>21</v>
      </c>
      <c r="AL2458" t="inlineStr">
        <is>
          <t>Miss Glam Damar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JIERA</t>
        </is>
      </c>
      <c r="B2459" s="2">
        <f>"8993319780072"</f>
        <v/>
      </c>
      <c r="C2459" t="inlineStr">
        <is>
          <t>JIERA Colla C Lip Infusion 3ml</t>
        </is>
      </c>
      <c r="D2459" t="inlineStr">
        <is>
          <t>Miss Glam Damar</t>
        </is>
      </c>
      <c r="E2459" t="n">
        <v>9</v>
      </c>
      <c r="F2459" t="n">
        <v>0.0182</v>
      </c>
      <c r="G2459" t="n">
        <v>0.91</v>
      </c>
      <c r="H2459" t="n">
        <v>4</v>
      </c>
      <c r="I2459" t="n">
        <v>21</v>
      </c>
      <c r="J2459" t="n">
        <v>3</v>
      </c>
      <c r="K2459" t="n">
        <v>0</v>
      </c>
      <c r="L2459" t="n">
        <v>55930</v>
      </c>
      <c r="M2459" t="n">
        <v>79900</v>
      </c>
      <c r="N2459" t="n">
        <v>91</v>
      </c>
      <c r="O2459" t="n">
        <v>0.91</v>
      </c>
      <c r="P2459" t="n">
        <v>1</v>
      </c>
      <c r="Q2459" t="n">
        <v>0.03</v>
      </c>
      <c r="R2459" t="n">
        <v>1</v>
      </c>
      <c r="S2459" t="n">
        <v>1454.18</v>
      </c>
      <c r="T2459" t="n">
        <v>20</v>
      </c>
      <c r="U2459" t="n">
        <v>21</v>
      </c>
      <c r="V2459" t="n">
        <v>30</v>
      </c>
      <c r="W2459" t="n">
        <v>1</v>
      </c>
      <c r="X2459" t="n">
        <v>494.5054945054945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5985</v>
      </c>
      <c r="AG2459" t="n">
        <v>1</v>
      </c>
      <c r="AH2459" t="inlineStr">
        <is>
          <t>PT. BERSAMA DISTRIVERSA INDONESIA (DC CIPUTAT)</t>
        </is>
      </c>
      <c r="AI2459" t="n">
        <v>1069</v>
      </c>
      <c r="AJ2459" t="inlineStr">
        <is>
          <t>JIERA</t>
        </is>
      </c>
      <c r="AK2459" t="n">
        <v>21</v>
      </c>
      <c r="AL2459" t="inlineStr">
        <is>
          <t>Miss Glam Damar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JIERA</t>
        </is>
      </c>
      <c r="B2460" s="2">
        <f>"8997236239262"</f>
        <v/>
      </c>
      <c r="C2460" t="inlineStr">
        <is>
          <t>JIERA Glominum-C Mixed Berries Flavour 150gr</t>
        </is>
      </c>
      <c r="D2460" t="inlineStr">
        <is>
          <t>Miss Glam Damar</t>
        </is>
      </c>
      <c r="E2460" t="n">
        <v>15</v>
      </c>
      <c r="F2460" t="n">
        <v>0.0182</v>
      </c>
      <c r="G2460" t="n">
        <v>0.91</v>
      </c>
      <c r="H2460" t="n">
        <v>4</v>
      </c>
      <c r="I2460" t="n">
        <v>21</v>
      </c>
      <c r="J2460" t="n">
        <v>3</v>
      </c>
      <c r="K2460" t="n">
        <v>3</v>
      </c>
      <c r="L2460" t="n">
        <v>140079</v>
      </c>
      <c r="M2460" t="n">
        <v>209900</v>
      </c>
      <c r="N2460" t="n">
        <v>91</v>
      </c>
      <c r="O2460" t="n">
        <v>0.91</v>
      </c>
      <c r="P2460" t="n">
        <v>1</v>
      </c>
      <c r="Q2460" t="n">
        <v>0.02</v>
      </c>
      <c r="R2460" t="n">
        <v>1</v>
      </c>
      <c r="S2460" t="n">
        <v>3820.18</v>
      </c>
      <c r="T2460" t="n">
        <v>20</v>
      </c>
      <c r="U2460" t="n">
        <v>21</v>
      </c>
      <c r="V2460" t="n">
        <v>30</v>
      </c>
      <c r="W2460" t="n">
        <v>1</v>
      </c>
      <c r="X2460" t="n">
        <v>824.1758241758241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5985</v>
      </c>
      <c r="AG2460" t="n">
        <v>1</v>
      </c>
      <c r="AH2460" t="inlineStr">
        <is>
          <t>PT. BERSAMA DISTRIVERSA INDONESIA (DC CIPUTAT)</t>
        </is>
      </c>
      <c r="AI2460" t="n">
        <v>1069</v>
      </c>
      <c r="AJ2460" t="inlineStr">
        <is>
          <t>JIERA</t>
        </is>
      </c>
      <c r="AK2460" t="n">
        <v>21</v>
      </c>
      <c r="AL2460" t="inlineStr">
        <is>
          <t>Miss Glam Damar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JIERA</t>
        </is>
      </c>
      <c r="B2461" s="2">
        <f>"8993319780102"</f>
        <v/>
      </c>
      <c r="C2461" t="inlineStr">
        <is>
          <t>JIERA Hues Of You Lip Balm 4gr</t>
        </is>
      </c>
      <c r="D2461" t="inlineStr">
        <is>
          <t>Miss Glam Damar</t>
        </is>
      </c>
      <c r="E2461" t="n">
        <v>6</v>
      </c>
      <c r="F2461" t="n">
        <v>0.0273</v>
      </c>
      <c r="G2461" t="n">
        <v>0.91</v>
      </c>
      <c r="H2461" t="n">
        <v>4</v>
      </c>
      <c r="I2461" t="n">
        <v>21</v>
      </c>
      <c r="J2461" t="n">
        <v>3</v>
      </c>
      <c r="K2461" t="n">
        <v>0</v>
      </c>
      <c r="L2461" t="n">
        <v>55930</v>
      </c>
      <c r="M2461" t="n">
        <v>79900</v>
      </c>
      <c r="N2461" t="n">
        <v>91</v>
      </c>
      <c r="O2461" t="n">
        <v>0.91</v>
      </c>
      <c r="P2461" t="n">
        <v>1</v>
      </c>
      <c r="Q2461" t="n">
        <v>0.02</v>
      </c>
      <c r="R2461" t="n">
        <v>1</v>
      </c>
      <c r="S2461" t="n">
        <v>2181.27</v>
      </c>
      <c r="T2461" t="n">
        <v>20</v>
      </c>
      <c r="U2461" t="n">
        <v>21</v>
      </c>
      <c r="V2461" t="n">
        <v>30</v>
      </c>
      <c r="W2461" t="n">
        <v>1</v>
      </c>
      <c r="X2461" t="n">
        <v>219.7802197802198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5985</v>
      </c>
      <c r="AG2461" t="n">
        <v>1</v>
      </c>
      <c r="AH2461" t="inlineStr">
        <is>
          <t>PT. BERSAMA DISTRIVERSA INDONESIA (DC CIPUTAT)</t>
        </is>
      </c>
      <c r="AI2461" t="n">
        <v>1069</v>
      </c>
      <c r="AJ2461" t="inlineStr">
        <is>
          <t>JIERA</t>
        </is>
      </c>
      <c r="AK2461" t="n">
        <v>21</v>
      </c>
      <c r="AL2461" t="inlineStr">
        <is>
          <t>Miss Glam Damar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JIERA</t>
        </is>
      </c>
      <c r="B2462" s="2">
        <f>"203003100360"</f>
        <v/>
      </c>
      <c r="C2462" t="inlineStr">
        <is>
          <t>JIERA Lip Peptint 02 Lily Pink 2,5ml</t>
        </is>
      </c>
      <c r="D2462" t="inlineStr">
        <is>
          <t>Miss Glam Damar</t>
        </is>
      </c>
      <c r="E2462" t="n">
        <v>1</v>
      </c>
      <c r="F2462" t="n">
        <v>0.0273</v>
      </c>
      <c r="G2462" t="n">
        <v>0.91</v>
      </c>
      <c r="H2462" t="n">
        <v>4</v>
      </c>
      <c r="I2462" t="n">
        <v>21</v>
      </c>
      <c r="J2462" t="n">
        <v>1</v>
      </c>
      <c r="K2462" t="n">
        <v>0</v>
      </c>
      <c r="L2462" t="n">
        <v>41930</v>
      </c>
      <c r="M2462" t="n">
        <v>52500</v>
      </c>
      <c r="N2462" t="n">
        <v>91</v>
      </c>
      <c r="O2462" t="n">
        <v>0.91</v>
      </c>
      <c r="P2462" t="n">
        <v>1</v>
      </c>
      <c r="Q2462" t="n">
        <v>0.07000000000000001</v>
      </c>
      <c r="R2462" t="n">
        <v>1</v>
      </c>
      <c r="S2462" t="n">
        <v>1433.25</v>
      </c>
      <c r="T2462" t="n">
        <v>20</v>
      </c>
      <c r="U2462" t="n">
        <v>21</v>
      </c>
      <c r="V2462" t="n">
        <v>30</v>
      </c>
      <c r="W2462" t="n">
        <v>1</v>
      </c>
      <c r="X2462" t="n">
        <v>36.63003663003663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5985</v>
      </c>
      <c r="AG2462" t="n">
        <v>1</v>
      </c>
      <c r="AH2462" t="inlineStr">
        <is>
          <t>PT. BERSAMA DISTRIVERSA INDONESIA (DC CIPUTAT)</t>
        </is>
      </c>
      <c r="AI2462" t="n">
        <v>1069</v>
      </c>
      <c r="AJ2462" t="inlineStr">
        <is>
          <t>JIERA</t>
        </is>
      </c>
      <c r="AK2462" t="n">
        <v>21</v>
      </c>
      <c r="AL2462" t="inlineStr">
        <is>
          <t>Miss Glam Damar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JIERA</t>
        </is>
      </c>
      <c r="B2463" s="2">
        <f>"203003106730"</f>
        <v/>
      </c>
      <c r="C2463" t="inlineStr">
        <is>
          <t>JIERA Lip Peptint 06 Peony Blush 2.5ml</t>
        </is>
      </c>
      <c r="D2463" t="inlineStr">
        <is>
          <t>Miss Glam Damar</t>
        </is>
      </c>
      <c r="E2463" t="n">
        <v>2</v>
      </c>
      <c r="F2463" t="n">
        <v>0.04550000000000001</v>
      </c>
      <c r="G2463" t="n">
        <v>0.91</v>
      </c>
      <c r="H2463" t="n">
        <v>4</v>
      </c>
      <c r="I2463" t="n">
        <v>21</v>
      </c>
      <c r="J2463" t="n">
        <v>1</v>
      </c>
      <c r="K2463" t="n">
        <v>0</v>
      </c>
      <c r="L2463" t="n">
        <v>41930</v>
      </c>
      <c r="M2463" t="n">
        <v>59900</v>
      </c>
      <c r="N2463" t="n">
        <v>91</v>
      </c>
      <c r="O2463" t="n">
        <v>0.91</v>
      </c>
      <c r="P2463" t="n">
        <v>1</v>
      </c>
      <c r="Q2463" t="n">
        <v>0.14</v>
      </c>
      <c r="R2463" t="n">
        <v>1</v>
      </c>
      <c r="S2463" t="n">
        <v>2725.45</v>
      </c>
      <c r="T2463" t="n">
        <v>19</v>
      </c>
      <c r="U2463" t="n">
        <v>20</v>
      </c>
      <c r="V2463" t="n">
        <v>30</v>
      </c>
      <c r="W2463" t="n">
        <v>2</v>
      </c>
      <c r="X2463" t="n">
        <v>43.95604395604395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5985</v>
      </c>
      <c r="AG2463" t="n">
        <v>1</v>
      </c>
      <c r="AH2463" t="inlineStr">
        <is>
          <t>PT. BERSAMA DISTRIVERSA INDONESIA (DC CIPUTAT)</t>
        </is>
      </c>
      <c r="AI2463" t="n">
        <v>1069</v>
      </c>
      <c r="AJ2463" t="inlineStr">
        <is>
          <t>JIERA</t>
        </is>
      </c>
      <c r="AK2463" t="n">
        <v>21</v>
      </c>
      <c r="AL2463" t="inlineStr">
        <is>
          <t>Miss Glam Damar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JIERA</t>
        </is>
      </c>
      <c r="B2464" s="2">
        <f>"8993319780096"</f>
        <v/>
      </c>
      <c r="C2464" t="inlineStr">
        <is>
          <t>JIERA Natural Lip Serum Roll On 5ml</t>
        </is>
      </c>
      <c r="D2464" t="inlineStr">
        <is>
          <t>Miss Glam Damar</t>
        </is>
      </c>
      <c r="E2464" t="n">
        <v>4</v>
      </c>
      <c r="F2464" t="n">
        <v>0.0182</v>
      </c>
      <c r="G2464" t="n">
        <v>0.91</v>
      </c>
      <c r="H2464" t="n">
        <v>4</v>
      </c>
      <c r="I2464" t="n">
        <v>21</v>
      </c>
      <c r="J2464" t="n">
        <v>3</v>
      </c>
      <c r="K2464" t="n">
        <v>0</v>
      </c>
      <c r="L2464" t="n">
        <v>37122</v>
      </c>
      <c r="M2464" t="n">
        <v>49900</v>
      </c>
      <c r="N2464" t="n">
        <v>91</v>
      </c>
      <c r="O2464" t="n">
        <v>0.91</v>
      </c>
      <c r="P2464" t="n">
        <v>1</v>
      </c>
      <c r="Q2464" t="n">
        <v>0.02</v>
      </c>
      <c r="R2464" t="n">
        <v>1</v>
      </c>
      <c r="S2464" t="n">
        <v>908.1800000000001</v>
      </c>
      <c r="T2464" t="n">
        <v>20</v>
      </c>
      <c r="U2464" t="n">
        <v>21</v>
      </c>
      <c r="V2464" t="n">
        <v>30</v>
      </c>
      <c r="W2464" t="n">
        <v>1</v>
      </c>
      <c r="X2464" t="n">
        <v>219.7802197802198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5985</v>
      </c>
      <c r="AG2464" t="n">
        <v>1</v>
      </c>
      <c r="AH2464" t="inlineStr">
        <is>
          <t>PT. BERSAMA DISTRIVERSA INDONESIA (DC CIPUTAT)</t>
        </is>
      </c>
      <c r="AI2464" t="n">
        <v>1069</v>
      </c>
      <c r="AJ2464" t="inlineStr">
        <is>
          <t>JIERA</t>
        </is>
      </c>
      <c r="AK2464" t="n">
        <v>21</v>
      </c>
      <c r="AL2464" t="inlineStr">
        <is>
          <t>Miss Glam Damar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JUDYDOLL</t>
        </is>
      </c>
      <c r="B2465" s="2">
        <f>"20100956208"</f>
        <v/>
      </c>
      <c r="C2465" t="inlineStr">
        <is>
          <t>JUDYDOLL Blush Powder #03 2.7gr</t>
        </is>
      </c>
      <c r="D2465" t="inlineStr">
        <is>
          <t>Miss Glam Damar</t>
        </is>
      </c>
      <c r="E2465" t="n">
        <v>13</v>
      </c>
      <c r="F2465" t="n">
        <v>0.0182</v>
      </c>
      <c r="G2465" t="n">
        <v>0.91</v>
      </c>
      <c r="H2465" t="n">
        <v>2</v>
      </c>
      <c r="I2465" t="n">
        <v>6</v>
      </c>
      <c r="J2465" t="n">
        <v>3</v>
      </c>
      <c r="K2465" t="n">
        <v>0</v>
      </c>
      <c r="L2465" t="n">
        <v>51750</v>
      </c>
      <c r="M2465" t="n">
        <v>69000</v>
      </c>
      <c r="N2465" t="n">
        <v>91</v>
      </c>
      <c r="O2465" t="n">
        <v>0.91</v>
      </c>
      <c r="P2465" t="n">
        <v>1</v>
      </c>
      <c r="Q2465" t="n">
        <v>0.22</v>
      </c>
      <c r="R2465" t="n">
        <v>3</v>
      </c>
      <c r="S2465" t="n">
        <v>1255.8</v>
      </c>
      <c r="T2465" t="n">
        <v>6</v>
      </c>
      <c r="U2465" t="n">
        <v>7</v>
      </c>
      <c r="V2465" t="n">
        <v>30</v>
      </c>
      <c r="W2465" t="n">
        <v>1</v>
      </c>
      <c r="X2465" t="n">
        <v>714.2857142857142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12462</v>
      </c>
      <c r="AG2465" t="n">
        <v>3502</v>
      </c>
      <c r="AH2465" t="inlineStr">
        <is>
          <t>PT. SAI - PPN (PDG)</t>
        </is>
      </c>
      <c r="AI2465" t="n">
        <v>2247</v>
      </c>
      <c r="AJ2465" t="inlineStr">
        <is>
          <t>JUDYDOLL</t>
        </is>
      </c>
      <c r="AK2465" t="n">
        <v>21</v>
      </c>
      <c r="AL2465" t="inlineStr">
        <is>
          <t>Miss Glam Damar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JUDYDOLL</t>
        </is>
      </c>
      <c r="B2466" s="2">
        <f>"203002178856"</f>
        <v/>
      </c>
      <c r="C2466" t="inlineStr">
        <is>
          <t>JUDYDOLL Cushion Matte Lip Cream #D10 5gr</t>
        </is>
      </c>
      <c r="D2466" t="inlineStr">
        <is>
          <t>Miss Glam Damar</t>
        </is>
      </c>
      <c r="E2466" t="n">
        <v>3</v>
      </c>
      <c r="F2466" t="n">
        <v>0.02</v>
      </c>
      <c r="G2466" t="n">
        <v>1</v>
      </c>
      <c r="H2466" t="n">
        <v>2</v>
      </c>
      <c r="I2466" t="n">
        <v>6</v>
      </c>
      <c r="J2466" t="n">
        <v>3</v>
      </c>
      <c r="K2466" t="n">
        <v>0</v>
      </c>
      <c r="L2466" t="n">
        <v>74250</v>
      </c>
      <c r="M2466" t="n">
        <v>99000</v>
      </c>
      <c r="N2466" t="n">
        <v>91</v>
      </c>
      <c r="O2466" t="n">
        <v>0.91</v>
      </c>
      <c r="P2466" t="n">
        <v>0</v>
      </c>
      <c r="Q2466" t="n">
        <v>0.02</v>
      </c>
      <c r="R2466" t="n">
        <v>1</v>
      </c>
      <c r="S2466" t="n">
        <v>1980</v>
      </c>
      <c r="T2466" t="n">
        <v>6</v>
      </c>
      <c r="U2466" t="n">
        <v>7</v>
      </c>
      <c r="V2466" t="n">
        <v>30</v>
      </c>
      <c r="W2466" t="n">
        <v>1</v>
      </c>
      <c r="X2466" t="n">
        <v>150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12462</v>
      </c>
      <c r="AG2466" t="n">
        <v>3502</v>
      </c>
      <c r="AH2466" t="inlineStr">
        <is>
          <t>PT. SAI - PPN (PDG)</t>
        </is>
      </c>
      <c r="AI2466" t="n">
        <v>2247</v>
      </c>
      <c r="AJ2466" t="inlineStr">
        <is>
          <t>JUDYDOLL</t>
        </is>
      </c>
      <c r="AK2466" t="n">
        <v>21</v>
      </c>
      <c r="AL2466" t="inlineStr">
        <is>
          <t>Miss Glam Damar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JUDYDOLL</t>
        </is>
      </c>
      <c r="B2467" s="2">
        <f>"203002179019"</f>
        <v/>
      </c>
      <c r="C2467" t="inlineStr">
        <is>
          <t>JUDYDOLL Cushion Matte Lip Cream #N01 5gr</t>
        </is>
      </c>
      <c r="D2467" t="inlineStr">
        <is>
          <t>Miss Glam Damar</t>
        </is>
      </c>
      <c r="E2467" t="n">
        <v>3</v>
      </c>
      <c r="F2467" t="n">
        <v>0.0182</v>
      </c>
      <c r="G2467" t="n">
        <v>0.91</v>
      </c>
      <c r="H2467" t="n">
        <v>2</v>
      </c>
      <c r="I2467" t="n">
        <v>6</v>
      </c>
      <c r="J2467" t="n">
        <v>3</v>
      </c>
      <c r="K2467" t="n">
        <v>0</v>
      </c>
      <c r="L2467" t="n">
        <v>74251</v>
      </c>
      <c r="M2467" t="n">
        <v>99000</v>
      </c>
      <c r="N2467" t="n">
        <v>91</v>
      </c>
      <c r="O2467" t="n">
        <v>0.91</v>
      </c>
      <c r="P2467" t="n">
        <v>1</v>
      </c>
      <c r="Q2467" t="n">
        <v>0.02</v>
      </c>
      <c r="R2467" t="n">
        <v>1</v>
      </c>
      <c r="S2467" t="n">
        <v>1801.8</v>
      </c>
      <c r="T2467" t="n">
        <v>6</v>
      </c>
      <c r="U2467" t="n">
        <v>7</v>
      </c>
      <c r="V2467" t="n">
        <v>30</v>
      </c>
      <c r="W2467" t="n">
        <v>1</v>
      </c>
      <c r="X2467" t="n">
        <v>164.8351648351648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12462</v>
      </c>
      <c r="AG2467" t="n">
        <v>3502</v>
      </c>
      <c r="AH2467" t="inlineStr">
        <is>
          <t>PT. SAI - PPN (PDG)</t>
        </is>
      </c>
      <c r="AI2467" t="n">
        <v>2247</v>
      </c>
      <c r="AJ2467" t="inlineStr">
        <is>
          <t>JUDYDOLL</t>
        </is>
      </c>
      <c r="AK2467" t="n">
        <v>21</v>
      </c>
      <c r="AL2467" t="inlineStr">
        <is>
          <t>Miss Glam Damar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JUDYDOLL</t>
        </is>
      </c>
      <c r="B2468" s="2">
        <f>"203002179153"</f>
        <v/>
      </c>
      <c r="C2468" t="inlineStr">
        <is>
          <t>JUDYDOLL Cushion Matte Lip Cream #N03 5gr</t>
        </is>
      </c>
      <c r="D2468" t="inlineStr">
        <is>
          <t>Miss Glam Damar</t>
        </is>
      </c>
      <c r="E2468" t="n">
        <v>1</v>
      </c>
      <c r="F2468" t="n">
        <v>0.03</v>
      </c>
      <c r="G2468" t="n">
        <v>1</v>
      </c>
      <c r="H2468" t="n">
        <v>2</v>
      </c>
      <c r="I2468" t="n">
        <v>6</v>
      </c>
      <c r="J2468" t="n">
        <v>3</v>
      </c>
      <c r="K2468" t="n">
        <v>0</v>
      </c>
      <c r="L2468" t="n">
        <v>74250</v>
      </c>
      <c r="M2468" t="n">
        <v>99000</v>
      </c>
      <c r="N2468" t="n">
        <v>91</v>
      </c>
      <c r="O2468" t="n">
        <v>0.91</v>
      </c>
      <c r="P2468" t="n">
        <v>0</v>
      </c>
      <c r="Q2468" t="n">
        <v>0.03</v>
      </c>
      <c r="R2468" t="n">
        <v>1</v>
      </c>
      <c r="S2468" t="n">
        <v>2970</v>
      </c>
      <c r="T2468" t="n">
        <v>6</v>
      </c>
      <c r="U2468" t="n">
        <v>7</v>
      </c>
      <c r="V2468" t="n">
        <v>30</v>
      </c>
      <c r="W2468" t="n">
        <v>1</v>
      </c>
      <c r="X2468" t="n">
        <v>33.33333333333334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12462</v>
      </c>
      <c r="AG2468" t="n">
        <v>3502</v>
      </c>
      <c r="AH2468" t="inlineStr">
        <is>
          <t>PT. SAI - PPN (PDG)</t>
        </is>
      </c>
      <c r="AI2468" t="n">
        <v>2247</v>
      </c>
      <c r="AJ2468" t="inlineStr">
        <is>
          <t>JUDYDOLL</t>
        </is>
      </c>
      <c r="AK2468" t="n">
        <v>21</v>
      </c>
      <c r="AL2468" t="inlineStr">
        <is>
          <t>Miss Glam Damar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JUDYDOLL</t>
        </is>
      </c>
      <c r="B2469" s="2">
        <f>"203002179426"</f>
        <v/>
      </c>
      <c r="C2469" t="inlineStr">
        <is>
          <t>JUDYDOLL Cushion Matte Lip Cream #N12 5gr</t>
        </is>
      </c>
      <c r="D2469" t="inlineStr">
        <is>
          <t>Miss Glam Damar</t>
        </is>
      </c>
      <c r="E2469" t="n">
        <v>4</v>
      </c>
      <c r="F2469" t="n">
        <v>0.02</v>
      </c>
      <c r="G2469" t="n">
        <v>1</v>
      </c>
      <c r="H2469" t="n">
        <v>2</v>
      </c>
      <c r="I2469" t="n">
        <v>6</v>
      </c>
      <c r="J2469" t="n">
        <v>3</v>
      </c>
      <c r="K2469" t="n">
        <v>0</v>
      </c>
      <c r="L2469" t="n">
        <v>74251</v>
      </c>
      <c r="M2469" t="n">
        <v>99000</v>
      </c>
      <c r="N2469" t="n">
        <v>91</v>
      </c>
      <c r="O2469" t="n">
        <v>0.91</v>
      </c>
      <c r="P2469" t="n">
        <v>0</v>
      </c>
      <c r="Q2469" t="n">
        <v>0.02</v>
      </c>
      <c r="R2469" t="n">
        <v>1</v>
      </c>
      <c r="S2469" t="n">
        <v>1980</v>
      </c>
      <c r="T2469" t="n">
        <v>6</v>
      </c>
      <c r="U2469" t="n">
        <v>7</v>
      </c>
      <c r="V2469" t="n">
        <v>30</v>
      </c>
      <c r="W2469" t="n">
        <v>1</v>
      </c>
      <c r="X2469" t="n">
        <v>200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12462</v>
      </c>
      <c r="AG2469" t="n">
        <v>3502</v>
      </c>
      <c r="AH2469" t="inlineStr">
        <is>
          <t>PT. SAI - PPN (PDG)</t>
        </is>
      </c>
      <c r="AI2469" t="n">
        <v>2247</v>
      </c>
      <c r="AJ2469" t="inlineStr">
        <is>
          <t>JUDYDOLL</t>
        </is>
      </c>
      <c r="AK2469" t="n">
        <v>21</v>
      </c>
      <c r="AL2469" t="inlineStr">
        <is>
          <t>Miss Glam Damar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JUDYDOLL</t>
        </is>
      </c>
      <c r="B2470" s="2">
        <f>"203002179554"</f>
        <v/>
      </c>
      <c r="C2470" t="inlineStr">
        <is>
          <t>JUDYDOLL Cushion Matte Lip Cream #N13 5gr</t>
        </is>
      </c>
      <c r="D2470" t="inlineStr">
        <is>
          <t>Miss Glam Damar</t>
        </is>
      </c>
      <c r="E2470" t="n">
        <v>4</v>
      </c>
      <c r="F2470" t="n">
        <v>0.02</v>
      </c>
      <c r="G2470" t="n">
        <v>1</v>
      </c>
      <c r="H2470" t="n">
        <v>2</v>
      </c>
      <c r="I2470" t="n">
        <v>6</v>
      </c>
      <c r="J2470" t="n">
        <v>3</v>
      </c>
      <c r="K2470" t="n">
        <v>0</v>
      </c>
      <c r="L2470" t="n">
        <v>74250</v>
      </c>
      <c r="M2470" t="n">
        <v>99000</v>
      </c>
      <c r="N2470" t="n">
        <v>91</v>
      </c>
      <c r="O2470" t="n">
        <v>0.91</v>
      </c>
      <c r="P2470" t="n">
        <v>0</v>
      </c>
      <c r="Q2470" t="n">
        <v>0.02</v>
      </c>
      <c r="R2470" t="n">
        <v>1</v>
      </c>
      <c r="S2470" t="n">
        <v>1980</v>
      </c>
      <c r="T2470" t="n">
        <v>6</v>
      </c>
      <c r="U2470" t="n">
        <v>7</v>
      </c>
      <c r="V2470" t="n">
        <v>30</v>
      </c>
      <c r="W2470" t="n">
        <v>1</v>
      </c>
      <c r="X2470" t="n">
        <v>200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12462</v>
      </c>
      <c r="AG2470" t="n">
        <v>3502</v>
      </c>
      <c r="AH2470" t="inlineStr">
        <is>
          <t>PT. SAI - PPN (PDG)</t>
        </is>
      </c>
      <c r="AI2470" t="n">
        <v>2247</v>
      </c>
      <c r="AJ2470" t="inlineStr">
        <is>
          <t>JUDYDOLL</t>
        </is>
      </c>
      <c r="AK2470" t="n">
        <v>21</v>
      </c>
      <c r="AL2470" t="inlineStr">
        <is>
          <t>Miss Glam Damar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JUDYDOLL</t>
        </is>
      </c>
      <c r="B2471" s="2">
        <f>"20200218827"</f>
        <v/>
      </c>
      <c r="C2471" t="inlineStr">
        <is>
          <t>JUDYDOLL Fine Curling Mascara #01 Black 18.2gr</t>
        </is>
      </c>
      <c r="D2471" t="inlineStr">
        <is>
          <t>Miss Glam Damar</t>
        </is>
      </c>
      <c r="E2471" t="n">
        <v>1</v>
      </c>
      <c r="F2471" t="n">
        <v>0.1092</v>
      </c>
      <c r="G2471" t="n">
        <v>1.82</v>
      </c>
      <c r="H2471" t="n">
        <v>2</v>
      </c>
      <c r="I2471" t="n">
        <v>6</v>
      </c>
      <c r="J2471" t="n">
        <v>3</v>
      </c>
      <c r="K2471" t="n">
        <v>0</v>
      </c>
      <c r="L2471" t="n">
        <v>93750</v>
      </c>
      <c r="M2471" t="n">
        <v>125000</v>
      </c>
      <c r="N2471" t="n">
        <v>91</v>
      </c>
      <c r="O2471" t="n">
        <v>0.91</v>
      </c>
      <c r="P2471" t="n">
        <v>1</v>
      </c>
      <c r="Q2471" t="n">
        <v>0.24</v>
      </c>
      <c r="R2471" t="n">
        <v>3</v>
      </c>
      <c r="S2471" t="n">
        <v>13650</v>
      </c>
      <c r="T2471" t="n">
        <v>11</v>
      </c>
      <c r="U2471" t="n">
        <v>12</v>
      </c>
      <c r="V2471" t="n">
        <v>30</v>
      </c>
      <c r="W2471" t="n">
        <v>4</v>
      </c>
      <c r="X2471" t="n">
        <v>9.157509157509157</v>
      </c>
      <c r="Y2471" t="n">
        <v>1</v>
      </c>
      <c r="Z2471" t="n">
        <v>3</v>
      </c>
      <c r="AA2471" t="n">
        <v>0</v>
      </c>
      <c r="AB2471" t="n">
        <v>3</v>
      </c>
      <c r="AC2471" t="n">
        <v>3</v>
      </c>
      <c r="AD2471" t="n">
        <v>0</v>
      </c>
      <c r="AE2471" t="n">
        <v>281250</v>
      </c>
      <c r="AF2471" t="n">
        <v>12462</v>
      </c>
      <c r="AG2471" t="n">
        <v>3502</v>
      </c>
      <c r="AH2471" t="inlineStr">
        <is>
          <t>PT. SAI - PPN (PDG)</t>
        </is>
      </c>
      <c r="AI2471" t="n">
        <v>2247</v>
      </c>
      <c r="AJ2471" t="inlineStr">
        <is>
          <t>JUDYDOLL</t>
        </is>
      </c>
      <c r="AK2471" t="n">
        <v>21</v>
      </c>
      <c r="AL2471" t="inlineStr">
        <is>
          <t>Miss Glam Damar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JUDYDOLL</t>
        </is>
      </c>
      <c r="B2472" s="2">
        <f>"20101112714"</f>
        <v/>
      </c>
      <c r="C2472" t="inlineStr">
        <is>
          <t>JUDYDOLL Highlight &amp; Contour #01 - Cool 13.8gr</t>
        </is>
      </c>
      <c r="D2472" t="inlineStr">
        <is>
          <t>Miss Glam Damar</t>
        </is>
      </c>
      <c r="E2472" t="n">
        <v>4</v>
      </c>
      <c r="F2472" t="n">
        <v>0.06370000000000001</v>
      </c>
      <c r="G2472" t="n">
        <v>0.91</v>
      </c>
      <c r="H2472" t="n">
        <v>2</v>
      </c>
      <c r="I2472" t="n">
        <v>6</v>
      </c>
      <c r="J2472" t="n">
        <v>3</v>
      </c>
      <c r="K2472" t="n">
        <v>0</v>
      </c>
      <c r="L2472" t="n">
        <v>149250</v>
      </c>
      <c r="M2472" t="n">
        <v>199000</v>
      </c>
      <c r="N2472" t="n">
        <v>91</v>
      </c>
      <c r="O2472" t="n">
        <v>0.91</v>
      </c>
      <c r="P2472" t="n">
        <v>1</v>
      </c>
      <c r="Q2472" t="n">
        <v>0.14</v>
      </c>
      <c r="R2472" t="n">
        <v>2</v>
      </c>
      <c r="S2472" t="n">
        <v>12676.3</v>
      </c>
      <c r="T2472" t="n">
        <v>6</v>
      </c>
      <c r="U2472" t="n">
        <v>7</v>
      </c>
      <c r="V2472" t="n">
        <v>30</v>
      </c>
      <c r="W2472" t="n">
        <v>2</v>
      </c>
      <c r="X2472" t="n">
        <v>62.79434850863422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12462</v>
      </c>
      <c r="AG2472" t="n">
        <v>3502</v>
      </c>
      <c r="AH2472" t="inlineStr">
        <is>
          <t>PT. SAI - PPN (PDG)</t>
        </is>
      </c>
      <c r="AI2472" t="n">
        <v>2247</v>
      </c>
      <c r="AJ2472" t="inlineStr">
        <is>
          <t>JUDYDOLL</t>
        </is>
      </c>
      <c r="AK2472" t="n">
        <v>21</v>
      </c>
      <c r="AL2472" t="inlineStr">
        <is>
          <t>Miss Glam Damar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JUDYDOLL</t>
        </is>
      </c>
      <c r="B2473" s="2">
        <f>"20200332704"</f>
        <v/>
      </c>
      <c r="C2473" t="inlineStr">
        <is>
          <t>JUDYDOLL Hyper Sharp Eyeliner #01 Black 4.4gr</t>
        </is>
      </c>
      <c r="D2473" t="inlineStr">
        <is>
          <t>Miss Glam Damar</t>
        </is>
      </c>
      <c r="E2473" t="n">
        <v>6</v>
      </c>
      <c r="F2473" t="n">
        <v>0.0182</v>
      </c>
      <c r="G2473" t="n">
        <v>0.91</v>
      </c>
      <c r="H2473" t="n">
        <v>2</v>
      </c>
      <c r="I2473" t="n">
        <v>6</v>
      </c>
      <c r="J2473" t="n">
        <v>3</v>
      </c>
      <c r="K2473" t="n">
        <v>0</v>
      </c>
      <c r="L2473" t="n">
        <v>89250</v>
      </c>
      <c r="M2473" t="n">
        <v>119000</v>
      </c>
      <c r="N2473" t="n">
        <v>91</v>
      </c>
      <c r="O2473" t="n">
        <v>0.91</v>
      </c>
      <c r="P2473" t="n">
        <v>1</v>
      </c>
      <c r="Q2473" t="n">
        <v>0.02</v>
      </c>
      <c r="R2473" t="n">
        <v>1</v>
      </c>
      <c r="S2473" t="n">
        <v>2165.8</v>
      </c>
      <c r="T2473" t="n">
        <v>6</v>
      </c>
      <c r="U2473" t="n">
        <v>7</v>
      </c>
      <c r="V2473" t="n">
        <v>30</v>
      </c>
      <c r="W2473" t="n">
        <v>1</v>
      </c>
      <c r="X2473" t="n">
        <v>329.6703296703296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12462</v>
      </c>
      <c r="AG2473" t="n">
        <v>3502</v>
      </c>
      <c r="AH2473" t="inlineStr">
        <is>
          <t>PT. SAI - PPN (PDG)</t>
        </is>
      </c>
      <c r="AI2473" t="n">
        <v>2247</v>
      </c>
      <c r="AJ2473" t="inlineStr">
        <is>
          <t>JUDYDOLL</t>
        </is>
      </c>
      <c r="AK2473" t="n">
        <v>21</v>
      </c>
      <c r="AL2473" t="inlineStr">
        <is>
          <t>Miss Glam Damar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JUDYDOLL</t>
        </is>
      </c>
      <c r="B2474" s="2">
        <f>"20200332850"</f>
        <v/>
      </c>
      <c r="C2474" t="inlineStr">
        <is>
          <t>JUDYDOLL Hyper Sharp Eyeliner #02 Deep Brown 4.4gr</t>
        </is>
      </c>
      <c r="D2474" t="inlineStr">
        <is>
          <t>Miss Glam Damar</t>
        </is>
      </c>
      <c r="E2474" t="n">
        <v>2</v>
      </c>
      <c r="F2474" t="n">
        <v>0.03</v>
      </c>
      <c r="G2474" t="n">
        <v>1</v>
      </c>
      <c r="H2474" t="n">
        <v>2</v>
      </c>
      <c r="I2474" t="n">
        <v>6</v>
      </c>
      <c r="J2474" t="n">
        <v>3</v>
      </c>
      <c r="K2474" t="n">
        <v>0</v>
      </c>
      <c r="L2474" t="n">
        <v>96750</v>
      </c>
      <c r="M2474" t="n">
        <v>119000</v>
      </c>
      <c r="N2474" t="n">
        <v>91</v>
      </c>
      <c r="O2474" t="n">
        <v>0.91</v>
      </c>
      <c r="P2474" t="n">
        <v>0</v>
      </c>
      <c r="Q2474" t="n">
        <v>0.03</v>
      </c>
      <c r="R2474" t="n">
        <v>1</v>
      </c>
      <c r="S2474" t="n">
        <v>3570</v>
      </c>
      <c r="T2474" t="n">
        <v>6</v>
      </c>
      <c r="U2474" t="n">
        <v>7</v>
      </c>
      <c r="V2474" t="n">
        <v>30</v>
      </c>
      <c r="W2474" t="n">
        <v>1</v>
      </c>
      <c r="X2474" t="n">
        <v>66.66666666666667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12462</v>
      </c>
      <c r="AG2474" t="n">
        <v>3502</v>
      </c>
      <c r="AH2474" t="inlineStr">
        <is>
          <t>PT. SAI - PPN (PDG)</t>
        </is>
      </c>
      <c r="AI2474" t="n">
        <v>2247</v>
      </c>
      <c r="AJ2474" t="inlineStr">
        <is>
          <t>JUDYDOLL</t>
        </is>
      </c>
      <c r="AK2474" t="n">
        <v>21</v>
      </c>
      <c r="AL2474" t="inlineStr">
        <is>
          <t>Miss Glam Damar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JUDYDOLL</t>
        </is>
      </c>
      <c r="B2475" s="2">
        <f>"20200219213"</f>
        <v/>
      </c>
      <c r="C2475" t="inlineStr">
        <is>
          <t>JUDYDOLL Mascara Remover 3.5gr</t>
        </is>
      </c>
      <c r="D2475" t="inlineStr">
        <is>
          <t>Miss Glam Damar</t>
        </is>
      </c>
      <c r="E2475" t="n">
        <v>1</v>
      </c>
      <c r="F2475" t="n">
        <v>0.0182</v>
      </c>
      <c r="G2475" t="n">
        <v>0.91</v>
      </c>
      <c r="H2475" t="n">
        <v>2</v>
      </c>
      <c r="I2475" t="n">
        <v>6</v>
      </c>
      <c r="J2475" t="n">
        <v>3</v>
      </c>
      <c r="K2475" t="n">
        <v>0</v>
      </c>
      <c r="L2475" t="n">
        <v>66750</v>
      </c>
      <c r="M2475" t="n">
        <v>89000</v>
      </c>
      <c r="N2475" t="n">
        <v>91</v>
      </c>
      <c r="O2475" t="n">
        <v>0.91</v>
      </c>
      <c r="P2475" t="n">
        <v>1</v>
      </c>
      <c r="Q2475" t="n">
        <v>0.02</v>
      </c>
      <c r="R2475" t="n">
        <v>1</v>
      </c>
      <c r="S2475" t="n">
        <v>1619.8</v>
      </c>
      <c r="T2475" t="n">
        <v>6</v>
      </c>
      <c r="U2475" t="n">
        <v>7</v>
      </c>
      <c r="V2475" t="n">
        <v>30</v>
      </c>
      <c r="W2475" t="n">
        <v>1</v>
      </c>
      <c r="X2475" t="n">
        <v>54.94505494505494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12462</v>
      </c>
      <c r="AG2475" t="n">
        <v>3502</v>
      </c>
      <c r="AH2475" t="inlineStr">
        <is>
          <t>PT. SAI - PPN (PDG)</t>
        </is>
      </c>
      <c r="AI2475" t="n">
        <v>2247</v>
      </c>
      <c r="AJ2475" t="inlineStr">
        <is>
          <t>JUDYDOLL</t>
        </is>
      </c>
      <c r="AK2475" t="n">
        <v>21</v>
      </c>
      <c r="AL2475" t="inlineStr">
        <is>
          <t>Miss Glam Damar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JUDYDOLL</t>
        </is>
      </c>
      <c r="B2476" s="2">
        <f>"20200464643"</f>
        <v/>
      </c>
      <c r="C2476" t="inlineStr">
        <is>
          <t>JUDYDOLL Slim Eyebrow Pencil #03 Gray Black 10gr</t>
        </is>
      </c>
      <c r="D2476" t="inlineStr">
        <is>
          <t>Miss Glam Damar</t>
        </is>
      </c>
      <c r="E2476" t="n">
        <v>1</v>
      </c>
      <c r="F2476" t="n">
        <v>0.02</v>
      </c>
      <c r="G2476" t="n">
        <v>1</v>
      </c>
      <c r="H2476" t="n">
        <v>2</v>
      </c>
      <c r="I2476" t="n">
        <v>6</v>
      </c>
      <c r="J2476" t="n">
        <v>3</v>
      </c>
      <c r="K2476" t="n">
        <v>0</v>
      </c>
      <c r="L2476" t="n">
        <v>119250</v>
      </c>
      <c r="M2476" t="n">
        <v>159000</v>
      </c>
      <c r="N2476" t="n">
        <v>91</v>
      </c>
      <c r="O2476" t="n">
        <v>0.91</v>
      </c>
      <c r="P2476" t="n">
        <v>0</v>
      </c>
      <c r="Q2476" t="n">
        <v>0.02</v>
      </c>
      <c r="R2476" t="n">
        <v>1</v>
      </c>
      <c r="S2476" t="n">
        <v>3180</v>
      </c>
      <c r="T2476" t="n">
        <v>6</v>
      </c>
      <c r="U2476" t="n">
        <v>7</v>
      </c>
      <c r="V2476" t="n">
        <v>30</v>
      </c>
      <c r="W2476" t="n">
        <v>1</v>
      </c>
      <c r="X2476" t="n">
        <v>50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12462</v>
      </c>
      <c r="AG2476" t="n">
        <v>3502</v>
      </c>
      <c r="AH2476" t="inlineStr">
        <is>
          <t>PT. SAI - PPN (PDG)</t>
        </is>
      </c>
      <c r="AI2476" t="n">
        <v>2247</v>
      </c>
      <c r="AJ2476" t="inlineStr">
        <is>
          <t>JUDYDOLL</t>
        </is>
      </c>
      <c r="AK2476" t="n">
        <v>21</v>
      </c>
      <c r="AL2476" t="inlineStr">
        <is>
          <t>Miss Glam Damar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JUDYDOLL</t>
        </is>
      </c>
      <c r="B2477" s="2">
        <f>"20200333023"</f>
        <v/>
      </c>
      <c r="C2477" t="inlineStr">
        <is>
          <t>JUDYDOLL Slim Gel Eyeliner #01 Black Brown 4.6gr</t>
        </is>
      </c>
      <c r="D2477" t="inlineStr">
        <is>
          <t>Miss Glam Damar</t>
        </is>
      </c>
      <c r="E2477" t="n">
        <v>2</v>
      </c>
      <c r="F2477" t="n">
        <v>0.02</v>
      </c>
      <c r="G2477" t="n">
        <v>1</v>
      </c>
      <c r="H2477" t="n">
        <v>2</v>
      </c>
      <c r="I2477" t="n">
        <v>6</v>
      </c>
      <c r="J2477" t="n">
        <v>3</v>
      </c>
      <c r="K2477" t="n">
        <v>0</v>
      </c>
      <c r="L2477" t="n">
        <v>96750</v>
      </c>
      <c r="M2477" t="n">
        <v>119000</v>
      </c>
      <c r="N2477" t="n">
        <v>91</v>
      </c>
      <c r="O2477" t="n">
        <v>0.91</v>
      </c>
      <c r="P2477" t="n">
        <v>0</v>
      </c>
      <c r="Q2477" t="n">
        <v>0.02</v>
      </c>
      <c r="R2477" t="n">
        <v>1</v>
      </c>
      <c r="S2477" t="n">
        <v>2380</v>
      </c>
      <c r="T2477" t="n">
        <v>6</v>
      </c>
      <c r="U2477" t="n">
        <v>7</v>
      </c>
      <c r="V2477" t="n">
        <v>30</v>
      </c>
      <c r="W2477" t="n">
        <v>1</v>
      </c>
      <c r="X2477" t="n">
        <v>100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12462</v>
      </c>
      <c r="AG2477" t="n">
        <v>3502</v>
      </c>
      <c r="AH2477" t="inlineStr">
        <is>
          <t>PT. SAI - PPN (PDG)</t>
        </is>
      </c>
      <c r="AI2477" t="n">
        <v>2247</v>
      </c>
      <c r="AJ2477" t="inlineStr">
        <is>
          <t>JUDYDOLL</t>
        </is>
      </c>
      <c r="AK2477" t="n">
        <v>21</v>
      </c>
      <c r="AL2477" t="inlineStr">
        <is>
          <t>Miss Glam Damar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JUDYDOLL</t>
        </is>
      </c>
      <c r="B2478" s="2">
        <f>"20200333240"</f>
        <v/>
      </c>
      <c r="C2478" t="inlineStr">
        <is>
          <t>JUDYDOLL Slim Liquid Eyeliner #01 Black 4.3gr</t>
        </is>
      </c>
      <c r="D2478" t="inlineStr">
        <is>
          <t>Miss Glam Damar</t>
        </is>
      </c>
      <c r="E2478" t="n">
        <v>2</v>
      </c>
      <c r="F2478" t="n">
        <v>0.05</v>
      </c>
      <c r="G2478" t="n">
        <v>1</v>
      </c>
      <c r="H2478" t="n">
        <v>2</v>
      </c>
      <c r="I2478" t="n">
        <v>6</v>
      </c>
      <c r="J2478" t="n">
        <v>3</v>
      </c>
      <c r="K2478" t="n">
        <v>0</v>
      </c>
      <c r="L2478" t="n">
        <v>96750</v>
      </c>
      <c r="M2478" t="n">
        <v>119000</v>
      </c>
      <c r="N2478" t="n">
        <v>91</v>
      </c>
      <c r="O2478" t="n">
        <v>0.91</v>
      </c>
      <c r="P2478" t="n">
        <v>0</v>
      </c>
      <c r="Q2478" t="n">
        <v>0.05</v>
      </c>
      <c r="R2478" t="n">
        <v>1</v>
      </c>
      <c r="S2478" t="n">
        <v>5950</v>
      </c>
      <c r="T2478" t="n">
        <v>6</v>
      </c>
      <c r="U2478" t="n">
        <v>7</v>
      </c>
      <c r="V2478" t="n">
        <v>30</v>
      </c>
      <c r="W2478" t="n">
        <v>2</v>
      </c>
      <c r="X2478" t="n">
        <v>40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12462</v>
      </c>
      <c r="AG2478" t="n">
        <v>3502</v>
      </c>
      <c r="AH2478" t="inlineStr">
        <is>
          <t>PT. SAI - PPN (PDG)</t>
        </is>
      </c>
      <c r="AI2478" t="n">
        <v>2247</v>
      </c>
      <c r="AJ2478" t="inlineStr">
        <is>
          <t>JUDYDOLL</t>
        </is>
      </c>
      <c r="AK2478" t="n">
        <v>21</v>
      </c>
      <c r="AL2478" t="inlineStr">
        <is>
          <t>Miss Glam Damar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JUDYDOLL</t>
        </is>
      </c>
      <c r="B2479" s="2">
        <f>"20200333460"</f>
        <v/>
      </c>
      <c r="C2479" t="inlineStr">
        <is>
          <t>JUDYDOLL Slim Liquid Eyeliner #07 Flax Grey Brown 4.3gr</t>
        </is>
      </c>
      <c r="D2479" t="inlineStr">
        <is>
          <t>Miss Glam Damar</t>
        </is>
      </c>
      <c r="E2479" t="n">
        <v>0</v>
      </c>
      <c r="F2479" t="n">
        <v>0.03</v>
      </c>
      <c r="G2479" t="n">
        <v>1</v>
      </c>
      <c r="H2479" t="n">
        <v>2</v>
      </c>
      <c r="I2479" t="n">
        <v>6</v>
      </c>
      <c r="J2479" t="n">
        <v>3</v>
      </c>
      <c r="K2479" t="n">
        <v>0</v>
      </c>
      <c r="L2479" t="n">
        <v>89250</v>
      </c>
      <c r="M2479" t="n">
        <v>119000</v>
      </c>
      <c r="N2479" t="n">
        <v>91</v>
      </c>
      <c r="O2479" t="n">
        <v>0.91</v>
      </c>
      <c r="P2479" t="n">
        <v>0</v>
      </c>
      <c r="Q2479" t="n">
        <v>0.03</v>
      </c>
      <c r="R2479" t="n">
        <v>1</v>
      </c>
      <c r="S2479" t="n">
        <v>3570</v>
      </c>
      <c r="T2479" t="n">
        <v>6</v>
      </c>
      <c r="U2479" t="n">
        <v>7</v>
      </c>
      <c r="V2479" t="n">
        <v>30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n">
        <v>0</v>
      </c>
      <c r="AC2479" t="n">
        <v>0</v>
      </c>
      <c r="AD2479" t="n">
        <v>89250</v>
      </c>
      <c r="AE2479" t="n">
        <v>0</v>
      </c>
      <c r="AF2479" t="n">
        <v>12462</v>
      </c>
      <c r="AG2479" t="n">
        <v>3502</v>
      </c>
      <c r="AH2479" t="inlineStr">
        <is>
          <t>PT. SAI - PPN (PDG)</t>
        </is>
      </c>
      <c r="AI2479" t="n">
        <v>2247</v>
      </c>
      <c r="AJ2479" t="inlineStr">
        <is>
          <t>JUDYDOLL</t>
        </is>
      </c>
      <c r="AK2479" t="n">
        <v>21</v>
      </c>
      <c r="AL2479" t="inlineStr">
        <is>
          <t>Miss Glam Damar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JUDYDOLL</t>
        </is>
      </c>
      <c r="B2480" s="2">
        <f>"50200481532"</f>
        <v/>
      </c>
      <c r="C2480" t="inlineStr">
        <is>
          <t>JUDYDOLL Tools Douyin / Traceless Powder Puff 6gr</t>
        </is>
      </c>
      <c r="D2480" t="inlineStr">
        <is>
          <t>Miss Glam Damar</t>
        </is>
      </c>
      <c r="E2480" t="n">
        <v>12</v>
      </c>
      <c r="F2480" t="n">
        <v>0</v>
      </c>
      <c r="G2480" t="n">
        <v>0</v>
      </c>
      <c r="H2480" t="n">
        <v>0</v>
      </c>
      <c r="I2480" t="n">
        <v>0</v>
      </c>
      <c r="J2480" t="n">
        <v>3</v>
      </c>
      <c r="K2480" t="n">
        <v>0</v>
      </c>
      <c r="L2480" t="n">
        <v>44250</v>
      </c>
      <c r="M2480" t="n">
        <v>59000</v>
      </c>
      <c r="N2480" t="n">
        <v>91</v>
      </c>
      <c r="O2480" t="n">
        <v>0.91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30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12462</v>
      </c>
      <c r="AG2480" t="n">
        <v>3502</v>
      </c>
      <c r="AH2480" t="inlineStr">
        <is>
          <t>PT. SAI - PPN (PDG)</t>
        </is>
      </c>
      <c r="AI2480" t="n">
        <v>2247</v>
      </c>
      <c r="AJ2480" t="inlineStr">
        <is>
          <t>JUDYDOLL</t>
        </is>
      </c>
      <c r="AK2480" t="n">
        <v>21</v>
      </c>
      <c r="AL2480" t="inlineStr">
        <is>
          <t>Miss Glam Damar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JUDYDOLL</t>
        </is>
      </c>
      <c r="B2481" s="2">
        <f>"50100315842"</f>
        <v/>
      </c>
      <c r="C2481" t="inlineStr">
        <is>
          <t>JUDYDOLL Tools Eyelash Curler</t>
        </is>
      </c>
      <c r="D2481" t="inlineStr">
        <is>
          <t>Miss Glam Damar</t>
        </is>
      </c>
      <c r="E2481" t="n">
        <v>3</v>
      </c>
      <c r="F2481" t="n">
        <v>0.02</v>
      </c>
      <c r="G2481" t="n">
        <v>1</v>
      </c>
      <c r="H2481" t="n">
        <v>2</v>
      </c>
      <c r="I2481" t="n">
        <v>6</v>
      </c>
      <c r="J2481" t="n">
        <v>3</v>
      </c>
      <c r="K2481" t="n">
        <v>0</v>
      </c>
      <c r="L2481" t="n">
        <v>29250</v>
      </c>
      <c r="M2481" t="n">
        <v>39000</v>
      </c>
      <c r="N2481" t="n">
        <v>91</v>
      </c>
      <c r="O2481" t="n">
        <v>0.91</v>
      </c>
      <c r="P2481" t="n">
        <v>0</v>
      </c>
      <c r="Q2481" t="n">
        <v>0.02</v>
      </c>
      <c r="R2481" t="n">
        <v>1</v>
      </c>
      <c r="S2481" t="n">
        <v>780</v>
      </c>
      <c r="T2481" t="n">
        <v>6</v>
      </c>
      <c r="U2481" t="n">
        <v>7</v>
      </c>
      <c r="V2481" t="n">
        <v>30</v>
      </c>
      <c r="W2481" t="n">
        <v>1</v>
      </c>
      <c r="X2481" t="n">
        <v>150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12462</v>
      </c>
      <c r="AG2481" t="n">
        <v>3502</v>
      </c>
      <c r="AH2481" t="inlineStr">
        <is>
          <t>PT. SAI - PPN (PDG)</t>
        </is>
      </c>
      <c r="AI2481" t="n">
        <v>2247</v>
      </c>
      <c r="AJ2481" t="inlineStr">
        <is>
          <t>JUDYDOLL</t>
        </is>
      </c>
      <c r="AK2481" t="n">
        <v>21</v>
      </c>
      <c r="AL2481" t="inlineStr">
        <is>
          <t>Miss Glam Damar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JUDYDOLL</t>
        </is>
      </c>
      <c r="B2482" s="2">
        <f>"50200481641"</f>
        <v/>
      </c>
      <c r="C2482" t="inlineStr">
        <is>
          <t>JUDYDOLL Tools Mini Puff?1Pc)</t>
        </is>
      </c>
      <c r="D2482" t="inlineStr">
        <is>
          <t>Miss Glam Damar</t>
        </is>
      </c>
      <c r="E2482" t="n">
        <v>0</v>
      </c>
      <c r="F2482" t="n">
        <v>0.09</v>
      </c>
      <c r="G2482" t="n">
        <v>2</v>
      </c>
      <c r="H2482" t="n">
        <v>2</v>
      </c>
      <c r="I2482" t="n">
        <v>6</v>
      </c>
      <c r="J2482" t="n">
        <v>3</v>
      </c>
      <c r="K2482" t="n">
        <v>0</v>
      </c>
      <c r="L2482" t="n">
        <v>26250</v>
      </c>
      <c r="M2482" t="n">
        <v>35000</v>
      </c>
      <c r="N2482" t="n">
        <v>91</v>
      </c>
      <c r="O2482" t="n">
        <v>0.91</v>
      </c>
      <c r="P2482" t="n">
        <v>0</v>
      </c>
      <c r="Q2482" t="n">
        <v>0.09</v>
      </c>
      <c r="R2482" t="n">
        <v>2</v>
      </c>
      <c r="S2482" t="n">
        <v>3150</v>
      </c>
      <c r="T2482" t="n">
        <v>12</v>
      </c>
      <c r="U2482" t="n">
        <v>13</v>
      </c>
      <c r="V2482" t="n">
        <v>30</v>
      </c>
      <c r="W2482" t="n">
        <v>3</v>
      </c>
      <c r="X2482" t="n">
        <v>0</v>
      </c>
      <c r="Y2482" t="n">
        <v>1</v>
      </c>
      <c r="Z2482" t="n">
        <v>3</v>
      </c>
      <c r="AA2482" t="n">
        <v>1</v>
      </c>
      <c r="AB2482" t="n">
        <v>2</v>
      </c>
      <c r="AC2482" t="n">
        <v>3</v>
      </c>
      <c r="AD2482" t="n">
        <v>26250</v>
      </c>
      <c r="AE2482" t="n">
        <v>78750</v>
      </c>
      <c r="AF2482" t="n">
        <v>12462</v>
      </c>
      <c r="AG2482" t="n">
        <v>3502</v>
      </c>
      <c r="AH2482" t="inlineStr">
        <is>
          <t>PT. SAI - PPN (PDG)</t>
        </is>
      </c>
      <c r="AI2482" t="n">
        <v>2247</v>
      </c>
      <c r="AJ2482" t="inlineStr">
        <is>
          <t>JUDYDOLL</t>
        </is>
      </c>
      <c r="AK2482" t="n">
        <v>21</v>
      </c>
      <c r="AL2482" t="inlineStr">
        <is>
          <t>Miss Glam Damar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JUDYDOLL</t>
        </is>
      </c>
      <c r="B2483" s="2">
        <f>"20300198457"</f>
        <v/>
      </c>
      <c r="C2483" t="inlineStr">
        <is>
          <t>JUDYDOLL Watery Glow Lipstick #04 7.5gr</t>
        </is>
      </c>
      <c r="D2483" t="inlineStr">
        <is>
          <t>Miss Glam Damar</t>
        </is>
      </c>
      <c r="E2483" t="n">
        <v>4</v>
      </c>
      <c r="F2483" t="n">
        <v>0.02</v>
      </c>
      <c r="G2483" t="n">
        <v>1</v>
      </c>
      <c r="H2483" t="n">
        <v>2</v>
      </c>
      <c r="I2483" t="n">
        <v>6</v>
      </c>
      <c r="J2483" t="n">
        <v>3</v>
      </c>
      <c r="K2483" t="n">
        <v>0</v>
      </c>
      <c r="L2483" t="n">
        <v>96750</v>
      </c>
      <c r="M2483" t="n">
        <v>129000</v>
      </c>
      <c r="N2483" t="n">
        <v>91</v>
      </c>
      <c r="O2483" t="n">
        <v>0.91</v>
      </c>
      <c r="P2483" t="n">
        <v>0</v>
      </c>
      <c r="Q2483" t="n">
        <v>0.02</v>
      </c>
      <c r="R2483" t="n">
        <v>1</v>
      </c>
      <c r="S2483" t="n">
        <v>2580</v>
      </c>
      <c r="T2483" t="n">
        <v>6</v>
      </c>
      <c r="U2483" t="n">
        <v>7</v>
      </c>
      <c r="V2483" t="n">
        <v>30</v>
      </c>
      <c r="W2483" t="n">
        <v>1</v>
      </c>
      <c r="X2483" t="n">
        <v>200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12462</v>
      </c>
      <c r="AG2483" t="n">
        <v>3502</v>
      </c>
      <c r="AH2483" t="inlineStr">
        <is>
          <t>PT. SAI - PPN (PDG)</t>
        </is>
      </c>
      <c r="AI2483" t="n">
        <v>2247</v>
      </c>
      <c r="AJ2483" t="inlineStr">
        <is>
          <t>JUDYDOLL</t>
        </is>
      </c>
      <c r="AK2483" t="n">
        <v>21</v>
      </c>
      <c r="AL2483" t="inlineStr">
        <is>
          <t>Miss Glam Damar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JUDYDOLL</t>
        </is>
      </c>
      <c r="B2484" s="2">
        <f>"20300443601"</f>
        <v/>
      </c>
      <c r="C2484" t="inlineStr">
        <is>
          <t>JUDYDOLL Watery Lip Gloss 02 7.4gr</t>
        </is>
      </c>
      <c r="D2484" t="inlineStr">
        <is>
          <t>Miss Glam Damar</t>
        </is>
      </c>
      <c r="E2484" t="n">
        <v>2</v>
      </c>
      <c r="F2484" t="n">
        <v>0.02</v>
      </c>
      <c r="G2484" t="n">
        <v>1</v>
      </c>
      <c r="H2484" t="n">
        <v>2</v>
      </c>
      <c r="I2484" t="n">
        <v>6</v>
      </c>
      <c r="J2484" t="n">
        <v>3</v>
      </c>
      <c r="K2484" t="n">
        <v>0</v>
      </c>
      <c r="L2484" t="n">
        <v>96750</v>
      </c>
      <c r="M2484" t="n">
        <v>129000</v>
      </c>
      <c r="N2484" t="n">
        <v>91</v>
      </c>
      <c r="O2484" t="n">
        <v>0.91</v>
      </c>
      <c r="P2484" t="n">
        <v>0</v>
      </c>
      <c r="Q2484" t="n">
        <v>0.02</v>
      </c>
      <c r="R2484" t="n">
        <v>1</v>
      </c>
      <c r="S2484" t="n">
        <v>2580</v>
      </c>
      <c r="T2484" t="n">
        <v>6</v>
      </c>
      <c r="U2484" t="n">
        <v>7</v>
      </c>
      <c r="V2484" t="n">
        <v>30</v>
      </c>
      <c r="W2484" t="n">
        <v>1</v>
      </c>
      <c r="X2484" t="n">
        <v>100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12462</v>
      </c>
      <c r="AG2484" t="n">
        <v>3502</v>
      </c>
      <c r="AH2484" t="inlineStr">
        <is>
          <t>PT. SAI - PPN (PDG)</t>
        </is>
      </c>
      <c r="AI2484" t="n">
        <v>2247</v>
      </c>
      <c r="AJ2484" t="inlineStr">
        <is>
          <t>JUDYDOLL</t>
        </is>
      </c>
      <c r="AK2484" t="n">
        <v>21</v>
      </c>
      <c r="AL2484" t="inlineStr">
        <is>
          <t>Miss Glam Damar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JUDYDOLL</t>
        </is>
      </c>
      <c r="B2485" s="2">
        <f>"20300443821"</f>
        <v/>
      </c>
      <c r="C2485" t="inlineStr">
        <is>
          <t>JUDYDOLL Watery Lip Gloss 04 7.4gr</t>
        </is>
      </c>
      <c r="D2485" t="inlineStr">
        <is>
          <t>Miss Glam Damar</t>
        </is>
      </c>
      <c r="E2485" t="n">
        <v>3</v>
      </c>
      <c r="F2485" t="n">
        <v>0.05</v>
      </c>
      <c r="G2485" t="n">
        <v>1</v>
      </c>
      <c r="H2485" t="n">
        <v>2</v>
      </c>
      <c r="I2485" t="n">
        <v>6</v>
      </c>
      <c r="J2485" t="n">
        <v>3</v>
      </c>
      <c r="K2485" t="n">
        <v>0</v>
      </c>
      <c r="L2485" t="n">
        <v>96750</v>
      </c>
      <c r="M2485" t="n">
        <v>129000</v>
      </c>
      <c r="N2485" t="n">
        <v>91</v>
      </c>
      <c r="O2485" t="n">
        <v>0.91</v>
      </c>
      <c r="P2485" t="n">
        <v>0</v>
      </c>
      <c r="Q2485" t="n">
        <v>0.05</v>
      </c>
      <c r="R2485" t="n">
        <v>1</v>
      </c>
      <c r="S2485" t="n">
        <v>6450</v>
      </c>
      <c r="T2485" t="n">
        <v>6</v>
      </c>
      <c r="U2485" t="n">
        <v>7</v>
      </c>
      <c r="V2485" t="n">
        <v>30</v>
      </c>
      <c r="W2485" t="n">
        <v>2</v>
      </c>
      <c r="X2485" t="n">
        <v>60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12462</v>
      </c>
      <c r="AG2485" t="n">
        <v>3502</v>
      </c>
      <c r="AH2485" t="inlineStr">
        <is>
          <t>PT. SAI - PPN (PDG)</t>
        </is>
      </c>
      <c r="AI2485" t="n">
        <v>2247</v>
      </c>
      <c r="AJ2485" t="inlineStr">
        <is>
          <t>JUDYDOLL</t>
        </is>
      </c>
      <c r="AK2485" t="n">
        <v>21</v>
      </c>
      <c r="AL2485" t="inlineStr">
        <is>
          <t>Miss Glam Damar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JUST MISS</t>
        </is>
      </c>
      <c r="B2486" s="2">
        <f>"20200551645"</f>
        <v/>
      </c>
      <c r="C2486" t="inlineStr">
        <is>
          <t>JUST MISS Wonder PAlette Eyeshadow 03. T.G.I.F 5g</t>
        </is>
      </c>
      <c r="D2486" t="inlineStr">
        <is>
          <t>Miss Glam Damar</t>
        </is>
      </c>
      <c r="E2486" t="n">
        <v>0</v>
      </c>
      <c r="F2486" t="n">
        <v>0.02</v>
      </c>
      <c r="G2486" t="n">
        <v>1</v>
      </c>
      <c r="H2486" t="n">
        <v>4</v>
      </c>
      <c r="I2486" t="n">
        <v>21</v>
      </c>
      <c r="J2486" t="n">
        <v>3</v>
      </c>
      <c r="K2486" t="n">
        <v>0</v>
      </c>
      <c r="L2486" t="n">
        <v>17142</v>
      </c>
      <c r="M2486" t="n">
        <v>22000</v>
      </c>
      <c r="N2486" t="n">
        <v>91</v>
      </c>
      <c r="O2486" t="n">
        <v>0.91</v>
      </c>
      <c r="P2486" t="n">
        <v>0</v>
      </c>
      <c r="Q2486" t="n">
        <v>0.02</v>
      </c>
      <c r="R2486" t="n">
        <v>1</v>
      </c>
      <c r="S2486" t="n">
        <v>440</v>
      </c>
      <c r="T2486" t="n">
        <v>21</v>
      </c>
      <c r="U2486" t="n">
        <v>22</v>
      </c>
      <c r="V2486" t="n">
        <v>30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n">
        <v>0</v>
      </c>
      <c r="AC2486" t="n">
        <v>0</v>
      </c>
      <c r="AD2486" t="n">
        <v>17142</v>
      </c>
      <c r="AE2486" t="n">
        <v>0</v>
      </c>
      <c r="AF2486" t="n">
        <v>6021</v>
      </c>
      <c r="AG2486" t="n">
        <v>1</v>
      </c>
      <c r="AH2486" t="inlineStr">
        <is>
          <t>PT. BERSAMA DISTRIVERSA INDONESIA (DC CIPUTAT)</t>
        </is>
      </c>
      <c r="AI2486" t="n">
        <v>714</v>
      </c>
      <c r="AJ2486" t="inlineStr">
        <is>
          <t>JUST MISS</t>
        </is>
      </c>
      <c r="AK2486" t="n">
        <v>21</v>
      </c>
      <c r="AL2486" t="inlineStr">
        <is>
          <t>Miss Glam Damar</t>
        </is>
      </c>
      <c r="AM2486" t="n">
        <v>4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KAHF</t>
        </is>
      </c>
      <c r="B2487" s="2">
        <f>"8993137713634"</f>
        <v/>
      </c>
      <c r="C2487" t="inlineStr">
        <is>
          <t>KAFH Brightening And Dark Spot Scrub Face Wash 100ml</t>
        </is>
      </c>
      <c r="D2487" t="inlineStr">
        <is>
          <t>Miss Glam Damar</t>
        </is>
      </c>
      <c r="E2487" t="n">
        <v>20</v>
      </c>
      <c r="F2487" t="n">
        <v>0.9555000000000001</v>
      </c>
      <c r="G2487" t="n">
        <v>4.55</v>
      </c>
      <c r="H2487" t="n">
        <v>2</v>
      </c>
      <c r="I2487" t="n">
        <v>6</v>
      </c>
      <c r="J2487" t="n">
        <v>3</v>
      </c>
      <c r="K2487" t="n">
        <v>0</v>
      </c>
      <c r="L2487" t="n">
        <v>32398</v>
      </c>
      <c r="M2487" t="n">
        <v>40000</v>
      </c>
      <c r="N2487" t="n">
        <v>91</v>
      </c>
      <c r="O2487" t="n">
        <v>0.91</v>
      </c>
      <c r="P2487" t="n">
        <v>1</v>
      </c>
      <c r="Q2487" t="n">
        <v>0.71</v>
      </c>
      <c r="R2487" t="n">
        <v>4</v>
      </c>
      <c r="S2487" t="n">
        <v>38220.00000000001</v>
      </c>
      <c r="T2487" t="n">
        <v>26</v>
      </c>
      <c r="U2487" t="n">
        <v>28</v>
      </c>
      <c r="V2487" t="n">
        <v>30</v>
      </c>
      <c r="W2487" t="n">
        <v>29</v>
      </c>
      <c r="X2487" t="n">
        <v>20.93144950287807</v>
      </c>
      <c r="Y2487" t="n">
        <v>1</v>
      </c>
      <c r="Z2487" t="n">
        <v>9</v>
      </c>
      <c r="AA2487" t="n">
        <v>0</v>
      </c>
      <c r="AB2487" t="n">
        <v>9</v>
      </c>
      <c r="AC2487" t="n">
        <v>9</v>
      </c>
      <c r="AD2487" t="n">
        <v>0</v>
      </c>
      <c r="AE2487" t="n">
        <v>291582</v>
      </c>
      <c r="AF2487" t="n">
        <v>11699</v>
      </c>
      <c r="AG2487" t="n">
        <v>63</v>
      </c>
      <c r="AH2487" t="inlineStr">
        <is>
          <t>PT. PARAMA GLOBAL INSPIRA - PPN (PDG)</t>
        </is>
      </c>
      <c r="AI2487" t="n">
        <v>1218</v>
      </c>
      <c r="AJ2487" t="inlineStr">
        <is>
          <t>KAHF</t>
        </is>
      </c>
      <c r="AK2487" t="n">
        <v>21</v>
      </c>
      <c r="AL2487" t="inlineStr">
        <is>
          <t>Miss Glam Damar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KAHF</t>
        </is>
      </c>
      <c r="B2488" s="2">
        <f>"8993137008471"</f>
        <v/>
      </c>
      <c r="C2488" t="inlineStr">
        <is>
          <t>KAHF Acne And Pore Cleanse Scrub Face Wash 100ml</t>
        </is>
      </c>
      <c r="D2488" t="inlineStr">
        <is>
          <t>Miss Glam Damar</t>
        </is>
      </c>
      <c r="E2488" t="n">
        <v>8</v>
      </c>
      <c r="F2488" t="n">
        <v>0.6279</v>
      </c>
      <c r="G2488" t="n">
        <v>2.73</v>
      </c>
      <c r="H2488" t="n">
        <v>2</v>
      </c>
      <c r="I2488" t="n">
        <v>6</v>
      </c>
      <c r="J2488" t="n">
        <v>3</v>
      </c>
      <c r="K2488" t="n">
        <v>0</v>
      </c>
      <c r="L2488" t="n">
        <v>32400</v>
      </c>
      <c r="M2488" t="n">
        <v>40000</v>
      </c>
      <c r="N2488" t="n">
        <v>91</v>
      </c>
      <c r="O2488" t="n">
        <v>0.91</v>
      </c>
      <c r="P2488" t="n">
        <v>1</v>
      </c>
      <c r="Q2488" t="n">
        <v>0.41</v>
      </c>
      <c r="R2488" t="n">
        <v>2</v>
      </c>
      <c r="S2488" t="n">
        <v>25116</v>
      </c>
      <c r="T2488" t="n">
        <v>16</v>
      </c>
      <c r="U2488" t="n">
        <v>18</v>
      </c>
      <c r="V2488" t="n">
        <v>30</v>
      </c>
      <c r="W2488" t="n">
        <v>19</v>
      </c>
      <c r="X2488" t="n">
        <v>12.7408823060997</v>
      </c>
      <c r="Y2488" t="n">
        <v>1</v>
      </c>
      <c r="Z2488" t="n">
        <v>11</v>
      </c>
      <c r="AA2488" t="n">
        <v>0</v>
      </c>
      <c r="AB2488" t="n">
        <v>11</v>
      </c>
      <c r="AC2488" t="n">
        <v>11</v>
      </c>
      <c r="AD2488" t="n">
        <v>0</v>
      </c>
      <c r="AE2488" t="n">
        <v>356400</v>
      </c>
      <c r="AF2488" t="n">
        <v>11699</v>
      </c>
      <c r="AG2488" t="n">
        <v>63</v>
      </c>
      <c r="AH2488" t="inlineStr">
        <is>
          <t>PT. PARAMA GLOBAL INSPIRA - PPN (PDG)</t>
        </is>
      </c>
      <c r="AI2488" t="n">
        <v>1218</v>
      </c>
      <c r="AJ2488" t="inlineStr">
        <is>
          <t>KAHF</t>
        </is>
      </c>
      <c r="AK2488" t="n">
        <v>21</v>
      </c>
      <c r="AL2488" t="inlineStr">
        <is>
          <t>Miss Glam Damar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KAHF</t>
        </is>
      </c>
      <c r="B2489" s="2">
        <f>"101001113820"</f>
        <v/>
      </c>
      <c r="C2489" t="inlineStr">
        <is>
          <t>KAHF Acne Care AminoGel Face Wash 100ml</t>
        </is>
      </c>
      <c r="D2489" t="inlineStr">
        <is>
          <t>Miss Glam Damar</t>
        </is>
      </c>
      <c r="E2489" t="n">
        <v>10</v>
      </c>
      <c r="F2489" t="n">
        <v>0.5733</v>
      </c>
      <c r="G2489" t="n">
        <v>3.64</v>
      </c>
      <c r="H2489" t="n">
        <v>2</v>
      </c>
      <c r="I2489" t="n">
        <v>6</v>
      </c>
      <c r="J2489" t="n">
        <v>1</v>
      </c>
      <c r="K2489" t="n">
        <v>0</v>
      </c>
      <c r="L2489" t="n">
        <v>34000</v>
      </c>
      <c r="M2489" t="n">
        <v>42500</v>
      </c>
      <c r="N2489" t="n">
        <v>91</v>
      </c>
      <c r="O2489" t="n">
        <v>0.91</v>
      </c>
      <c r="P2489" t="n">
        <v>1</v>
      </c>
      <c r="Q2489" t="n">
        <v>0.46</v>
      </c>
      <c r="R2489" t="n">
        <v>3</v>
      </c>
      <c r="S2489" t="n">
        <v>24365.25</v>
      </c>
      <c r="T2489" t="n">
        <v>21</v>
      </c>
      <c r="U2489" t="n">
        <v>23</v>
      </c>
      <c r="V2489" t="n">
        <v>30</v>
      </c>
      <c r="W2489" t="n">
        <v>18</v>
      </c>
      <c r="X2489" t="n">
        <v>17.44287458573173</v>
      </c>
      <c r="Y2489" t="n">
        <v>1</v>
      </c>
      <c r="Z2489" t="n">
        <v>8</v>
      </c>
      <c r="AA2489" t="n">
        <v>0</v>
      </c>
      <c r="AB2489" t="n">
        <v>8</v>
      </c>
      <c r="AC2489" t="n">
        <v>8</v>
      </c>
      <c r="AD2489" t="n">
        <v>0</v>
      </c>
      <c r="AE2489" t="n">
        <v>272000</v>
      </c>
      <c r="AF2489" t="n">
        <v>11699</v>
      </c>
      <c r="AG2489" t="n">
        <v>63</v>
      </c>
      <c r="AH2489" t="inlineStr">
        <is>
          <t>PT. PARAMA GLOBAL INSPIRA - PPN (PDG)</t>
        </is>
      </c>
      <c r="AI2489" t="n">
        <v>1218</v>
      </c>
      <c r="AJ2489" t="inlineStr">
        <is>
          <t>KAHF</t>
        </is>
      </c>
      <c r="AK2489" t="n">
        <v>21</v>
      </c>
      <c r="AL2489" t="inlineStr">
        <is>
          <t>Miss Glam Damar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KAHF</t>
        </is>
      </c>
      <c r="B2490" s="2">
        <f>"8993137728195"</f>
        <v/>
      </c>
      <c r="C2490" t="inlineStr">
        <is>
          <t>KAHF Acne Fight And Relaxing Body Wash 200ml</t>
        </is>
      </c>
      <c r="D2490" t="inlineStr">
        <is>
          <t>Miss Glam Damar</t>
        </is>
      </c>
      <c r="E2490" t="n">
        <v>9</v>
      </c>
      <c r="F2490" t="n">
        <v>0.1729</v>
      </c>
      <c r="G2490" t="n">
        <v>0.91</v>
      </c>
      <c r="H2490" t="n">
        <v>2</v>
      </c>
      <c r="I2490" t="n">
        <v>6</v>
      </c>
      <c r="J2490" t="n">
        <v>3</v>
      </c>
      <c r="K2490" t="n">
        <v>0</v>
      </c>
      <c r="L2490" t="n">
        <v>21596</v>
      </c>
      <c r="M2490" t="n">
        <v>25700</v>
      </c>
      <c r="N2490" t="n">
        <v>91</v>
      </c>
      <c r="O2490" t="n">
        <v>0.91</v>
      </c>
      <c r="P2490" t="n">
        <v>1</v>
      </c>
      <c r="Q2490" t="n">
        <v>0.36</v>
      </c>
      <c r="R2490" t="n">
        <v>4</v>
      </c>
      <c r="S2490" t="n">
        <v>4443.53</v>
      </c>
      <c r="T2490" t="n">
        <v>6</v>
      </c>
      <c r="U2490" t="n">
        <v>7</v>
      </c>
      <c r="V2490" t="n">
        <v>30</v>
      </c>
      <c r="W2490" t="n">
        <v>6</v>
      </c>
      <c r="X2490" t="n">
        <v>52.05320994794679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11699</v>
      </c>
      <c r="AG2490" t="n">
        <v>63</v>
      </c>
      <c r="AH2490" t="inlineStr">
        <is>
          <t>PT. PARAMA GLOBAL INSPIRA - PPN (PDG)</t>
        </is>
      </c>
      <c r="AI2490" t="n">
        <v>1218</v>
      </c>
      <c r="AJ2490" t="inlineStr">
        <is>
          <t>KAHF</t>
        </is>
      </c>
      <c r="AK2490" t="n">
        <v>21</v>
      </c>
      <c r="AL2490" t="inlineStr">
        <is>
          <t>Miss Glam Damar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KAHF</t>
        </is>
      </c>
      <c r="B2491" s="2">
        <f>"8993137710558"</f>
        <v/>
      </c>
      <c r="C2491" t="inlineStr">
        <is>
          <t>KAHF Advancing Beard Serum 30ml</t>
        </is>
      </c>
      <c r="D2491" t="inlineStr">
        <is>
          <t>Miss Glam Damar</t>
        </is>
      </c>
      <c r="E2491" t="n">
        <v>5</v>
      </c>
      <c r="F2491" t="n">
        <v>0.05</v>
      </c>
      <c r="G2491" t="n">
        <v>1</v>
      </c>
      <c r="H2491" t="n">
        <v>2</v>
      </c>
      <c r="I2491" t="n">
        <v>6</v>
      </c>
      <c r="J2491" t="n">
        <v>3</v>
      </c>
      <c r="K2491" t="n">
        <v>0</v>
      </c>
      <c r="L2491" t="n">
        <v>110400</v>
      </c>
      <c r="M2491" t="n">
        <v>132000</v>
      </c>
      <c r="N2491" t="n">
        <v>91</v>
      </c>
      <c r="O2491" t="n">
        <v>0.91</v>
      </c>
      <c r="P2491" t="n">
        <v>0</v>
      </c>
      <c r="Q2491" t="n">
        <v>0.05</v>
      </c>
      <c r="R2491" t="n">
        <v>1</v>
      </c>
      <c r="S2491" t="n">
        <v>6600</v>
      </c>
      <c r="T2491" t="n">
        <v>6</v>
      </c>
      <c r="U2491" t="n">
        <v>7</v>
      </c>
      <c r="V2491" t="n">
        <v>30</v>
      </c>
      <c r="W2491" t="n">
        <v>2</v>
      </c>
      <c r="X2491" t="n">
        <v>100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11699</v>
      </c>
      <c r="AG2491" t="n">
        <v>63</v>
      </c>
      <c r="AH2491" t="inlineStr">
        <is>
          <t>PT. PARAMA GLOBAL INSPIRA - PPN (PDG)</t>
        </is>
      </c>
      <c r="AI2491" t="n">
        <v>1218</v>
      </c>
      <c r="AJ2491" t="inlineStr">
        <is>
          <t>KAHF</t>
        </is>
      </c>
      <c r="AK2491" t="n">
        <v>21</v>
      </c>
      <c r="AL2491" t="inlineStr">
        <is>
          <t>Miss Glam Damar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KAHF</t>
        </is>
      </c>
      <c r="B2492" s="2">
        <f>"8993137729765"</f>
        <v/>
      </c>
      <c r="C2492" t="inlineStr">
        <is>
          <t>KAHF All In One Power Toning Face Spray 100ml</t>
        </is>
      </c>
      <c r="D2492" t="inlineStr">
        <is>
          <t>Miss Glam Damar</t>
        </is>
      </c>
      <c r="E2492" t="n">
        <v>4</v>
      </c>
      <c r="F2492" t="n">
        <v>0.09100000000000001</v>
      </c>
      <c r="G2492" t="n">
        <v>0.91</v>
      </c>
      <c r="H2492" t="n">
        <v>2</v>
      </c>
      <c r="I2492" t="n">
        <v>6</v>
      </c>
      <c r="J2492" t="n">
        <v>3</v>
      </c>
      <c r="K2492" t="n">
        <v>0</v>
      </c>
      <c r="L2492" t="n">
        <v>59076</v>
      </c>
      <c r="M2492" t="n">
        <v>72000</v>
      </c>
      <c r="N2492" t="n">
        <v>91</v>
      </c>
      <c r="O2492" t="n">
        <v>0.91</v>
      </c>
      <c r="P2492" t="n">
        <v>1</v>
      </c>
      <c r="Q2492" t="n">
        <v>0.08</v>
      </c>
      <c r="R2492" t="n">
        <v>1</v>
      </c>
      <c r="S2492" t="n">
        <v>6552.000000000001</v>
      </c>
      <c r="T2492" t="n">
        <v>6</v>
      </c>
      <c r="U2492" t="n">
        <v>7</v>
      </c>
      <c r="V2492" t="n">
        <v>30</v>
      </c>
      <c r="W2492" t="n">
        <v>3</v>
      </c>
      <c r="X2492" t="n">
        <v>43.95604395604395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11699</v>
      </c>
      <c r="AG2492" t="n">
        <v>63</v>
      </c>
      <c r="AH2492" t="inlineStr">
        <is>
          <t>PT. PARAMA GLOBAL INSPIRA - PPN (PDG)</t>
        </is>
      </c>
      <c r="AI2492" t="n">
        <v>1218</v>
      </c>
      <c r="AJ2492" t="inlineStr">
        <is>
          <t>KAHF</t>
        </is>
      </c>
      <c r="AK2492" t="n">
        <v>21</v>
      </c>
      <c r="AL2492" t="inlineStr">
        <is>
          <t>Miss Glam Damar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KAHF</t>
        </is>
      </c>
      <c r="B2493" s="2">
        <f>"11000109541"</f>
        <v/>
      </c>
      <c r="C2493" t="inlineStr">
        <is>
          <t>KAHF Bright Revitalizing AminoGel Face Wash 100ml</t>
        </is>
      </c>
      <c r="D2493" t="inlineStr">
        <is>
          <t>Miss Glam Damar</t>
        </is>
      </c>
      <c r="E2493" t="n">
        <v>52</v>
      </c>
      <c r="F2493" t="n">
        <v>1.2831</v>
      </c>
      <c r="G2493" t="n">
        <v>4.55</v>
      </c>
      <c r="H2493" t="n">
        <v>2</v>
      </c>
      <c r="I2493" t="n">
        <v>6</v>
      </c>
      <c r="J2493" t="n">
        <v>1</v>
      </c>
      <c r="K2493" t="n">
        <v>0</v>
      </c>
      <c r="L2493" t="n">
        <v>34000</v>
      </c>
      <c r="M2493" t="n">
        <v>42500</v>
      </c>
      <c r="N2493" t="n">
        <v>91</v>
      </c>
      <c r="O2493" t="n">
        <v>0.91</v>
      </c>
      <c r="P2493" t="n">
        <v>1</v>
      </c>
      <c r="Q2493" t="n">
        <v>1.05</v>
      </c>
      <c r="R2493" t="n">
        <v>4</v>
      </c>
      <c r="S2493" t="n">
        <v>54531.74999999999</v>
      </c>
      <c r="T2493" t="n">
        <v>25</v>
      </c>
      <c r="U2493" t="n">
        <v>28</v>
      </c>
      <c r="V2493" t="n">
        <v>30</v>
      </c>
      <c r="W2493" t="n">
        <v>39</v>
      </c>
      <c r="X2493" t="n">
        <v>40.52684903748734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11699</v>
      </c>
      <c r="AG2493" t="n">
        <v>63</v>
      </c>
      <c r="AH2493" t="inlineStr">
        <is>
          <t>PT. PARAMA GLOBAL INSPIRA - PPN (PDG)</t>
        </is>
      </c>
      <c r="AI2493" t="n">
        <v>1218</v>
      </c>
      <c r="AJ2493" t="inlineStr">
        <is>
          <t>KAHF</t>
        </is>
      </c>
      <c r="AK2493" t="n">
        <v>21</v>
      </c>
      <c r="AL2493" t="inlineStr">
        <is>
          <t>Miss Glam Damar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KAHF</t>
        </is>
      </c>
      <c r="B2494" s="2">
        <f>"8993137728201"</f>
        <v/>
      </c>
      <c r="C2494" t="inlineStr">
        <is>
          <t>KAHF Brightening And Cooling Body Wash 200ml</t>
        </is>
      </c>
      <c r="D2494" t="inlineStr">
        <is>
          <t>Miss Glam Damar</t>
        </is>
      </c>
      <c r="E2494" t="n">
        <v>11</v>
      </c>
      <c r="F2494" t="n">
        <v>0.2275</v>
      </c>
      <c r="G2494" t="n">
        <v>1.82</v>
      </c>
      <c r="H2494" t="n">
        <v>2</v>
      </c>
      <c r="I2494" t="n">
        <v>6</v>
      </c>
      <c r="J2494" t="n">
        <v>3</v>
      </c>
      <c r="K2494" t="n">
        <v>0</v>
      </c>
      <c r="L2494" t="n">
        <v>21600</v>
      </c>
      <c r="M2494" t="n">
        <v>25700</v>
      </c>
      <c r="N2494" t="n">
        <v>91</v>
      </c>
      <c r="O2494" t="n">
        <v>0.91</v>
      </c>
      <c r="P2494" t="n">
        <v>1</v>
      </c>
      <c r="Q2494" t="n">
        <v>0.37</v>
      </c>
      <c r="R2494" t="n">
        <v>5</v>
      </c>
      <c r="S2494" t="n">
        <v>5846.75</v>
      </c>
      <c r="T2494" t="n">
        <v>11</v>
      </c>
      <c r="U2494" t="n">
        <v>12</v>
      </c>
      <c r="V2494" t="n">
        <v>30</v>
      </c>
      <c r="W2494" t="n">
        <v>7</v>
      </c>
      <c r="X2494" t="n">
        <v>48.35164835164835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11699</v>
      </c>
      <c r="AG2494" t="n">
        <v>63</v>
      </c>
      <c r="AH2494" t="inlineStr">
        <is>
          <t>PT. PARAMA GLOBAL INSPIRA - PPN (PDG)</t>
        </is>
      </c>
      <c r="AI2494" t="n">
        <v>1218</v>
      </c>
      <c r="AJ2494" t="inlineStr">
        <is>
          <t>KAHF</t>
        </is>
      </c>
      <c r="AK2494" t="n">
        <v>21</v>
      </c>
      <c r="AL2494" t="inlineStr">
        <is>
          <t>Miss Glam Damar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KAHF</t>
        </is>
      </c>
      <c r="B2495" s="2">
        <f>"8993137713658"</f>
        <v/>
      </c>
      <c r="C2495" t="inlineStr">
        <is>
          <t>KAHF Brightening And Texture Refining Face Serum 30ml</t>
        </is>
      </c>
      <c r="D2495" t="inlineStr">
        <is>
          <t>Miss Glam Damar</t>
        </is>
      </c>
      <c r="E2495" t="n">
        <v>7</v>
      </c>
      <c r="F2495" t="n">
        <v>0.2821</v>
      </c>
      <c r="G2495" t="n">
        <v>2.73</v>
      </c>
      <c r="H2495" t="n">
        <v>2</v>
      </c>
      <c r="I2495" t="n">
        <v>6</v>
      </c>
      <c r="J2495" t="n">
        <v>3</v>
      </c>
      <c r="K2495" t="n">
        <v>0</v>
      </c>
      <c r="L2495" t="n">
        <v>79145</v>
      </c>
      <c r="M2495" t="n">
        <v>98500</v>
      </c>
      <c r="N2495" t="n">
        <v>91</v>
      </c>
      <c r="O2495" t="n">
        <v>0.91</v>
      </c>
      <c r="P2495" t="n">
        <v>1</v>
      </c>
      <c r="Q2495" t="n">
        <v>0.32</v>
      </c>
      <c r="R2495" t="n">
        <v>3</v>
      </c>
      <c r="S2495" t="n">
        <v>27786.85</v>
      </c>
      <c r="T2495" t="n">
        <v>16</v>
      </c>
      <c r="U2495" t="n">
        <v>17</v>
      </c>
      <c r="V2495" t="n">
        <v>30</v>
      </c>
      <c r="W2495" t="n">
        <v>9</v>
      </c>
      <c r="X2495" t="n">
        <v>24.81389578163772</v>
      </c>
      <c r="Y2495" t="n">
        <v>1</v>
      </c>
      <c r="Z2495" t="n">
        <v>2</v>
      </c>
      <c r="AA2495" t="n">
        <v>0</v>
      </c>
      <c r="AB2495" t="n">
        <v>2</v>
      </c>
      <c r="AC2495" t="n">
        <v>3</v>
      </c>
      <c r="AD2495" t="n">
        <v>0</v>
      </c>
      <c r="AE2495" t="n">
        <v>237435</v>
      </c>
      <c r="AF2495" t="n">
        <v>11699</v>
      </c>
      <c r="AG2495" t="n">
        <v>63</v>
      </c>
      <c r="AH2495" t="inlineStr">
        <is>
          <t>PT. PARAMA GLOBAL INSPIRA - PPN (PDG)</t>
        </is>
      </c>
      <c r="AI2495" t="n">
        <v>1218</v>
      </c>
      <c r="AJ2495" t="inlineStr">
        <is>
          <t>KAHF</t>
        </is>
      </c>
      <c r="AK2495" t="n">
        <v>21</v>
      </c>
      <c r="AL2495" t="inlineStr">
        <is>
          <t>Miss Glam Damar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KAHF</t>
        </is>
      </c>
      <c r="B2496" s="2">
        <f>"8993137741460"</f>
        <v/>
      </c>
      <c r="C2496" t="inlineStr">
        <is>
          <t>KAHF Clean Fresh Antiperspirant Deodorant 45ml</t>
        </is>
      </c>
      <c r="D2496" t="inlineStr">
        <is>
          <t>Miss Glam Damar</t>
        </is>
      </c>
      <c r="E2496" t="n">
        <v>28</v>
      </c>
      <c r="F2496" t="n">
        <v>1.1921</v>
      </c>
      <c r="G2496" t="n">
        <v>3.64</v>
      </c>
      <c r="H2496" t="n">
        <v>2</v>
      </c>
      <c r="I2496" t="n">
        <v>6</v>
      </c>
      <c r="J2496" t="n">
        <v>3</v>
      </c>
      <c r="K2496" t="n">
        <v>0</v>
      </c>
      <c r="L2496" t="n">
        <v>17599</v>
      </c>
      <c r="M2496" t="n">
        <v>21500</v>
      </c>
      <c r="N2496" t="n">
        <v>91</v>
      </c>
      <c r="O2496" t="n">
        <v>0.91</v>
      </c>
      <c r="P2496" t="n">
        <v>1</v>
      </c>
      <c r="Q2496" t="n">
        <v>0.95</v>
      </c>
      <c r="R2496" t="n">
        <v>5</v>
      </c>
      <c r="S2496" t="n">
        <v>25630.15000000001</v>
      </c>
      <c r="T2496" t="n">
        <v>20</v>
      </c>
      <c r="U2496" t="n">
        <v>23</v>
      </c>
      <c r="V2496" t="n">
        <v>30</v>
      </c>
      <c r="W2496" t="n">
        <v>36</v>
      </c>
      <c r="X2496" t="n">
        <v>23.48796241926012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11699</v>
      </c>
      <c r="AG2496" t="n">
        <v>63</v>
      </c>
      <c r="AH2496" t="inlineStr">
        <is>
          <t>PT. PARAMA GLOBAL INSPIRA - PPN (PDG)</t>
        </is>
      </c>
      <c r="AI2496" t="n">
        <v>1218</v>
      </c>
      <c r="AJ2496" t="inlineStr">
        <is>
          <t>KAHF</t>
        </is>
      </c>
      <c r="AK2496" t="n">
        <v>21</v>
      </c>
      <c r="AL2496" t="inlineStr">
        <is>
          <t>Miss Glam Damar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KAHF</t>
        </is>
      </c>
      <c r="B2497" s="2">
        <f>"8993137741330"</f>
        <v/>
      </c>
      <c r="C2497" t="inlineStr">
        <is>
          <t>KAHF Cooling Power Antiperspirant Deodorant Roll On 45ml</t>
        </is>
      </c>
      <c r="D2497" t="inlineStr">
        <is>
          <t>Miss Glam Damar</t>
        </is>
      </c>
      <c r="E2497" t="n">
        <v>38</v>
      </c>
      <c r="F2497" t="n">
        <v>1.3741</v>
      </c>
      <c r="G2497" t="n">
        <v>3.64</v>
      </c>
      <c r="H2497" t="n">
        <v>2</v>
      </c>
      <c r="I2497" t="n">
        <v>6</v>
      </c>
      <c r="J2497" t="n">
        <v>3</v>
      </c>
      <c r="K2497" t="n">
        <v>0</v>
      </c>
      <c r="L2497" t="n">
        <v>17597</v>
      </c>
      <c r="M2497" t="n">
        <v>21500</v>
      </c>
      <c r="N2497" t="n">
        <v>91</v>
      </c>
      <c r="O2497" t="n">
        <v>0.91</v>
      </c>
      <c r="P2497" t="n">
        <v>1</v>
      </c>
      <c r="Q2497" t="n">
        <v>1.25</v>
      </c>
      <c r="R2497" t="n">
        <v>5</v>
      </c>
      <c r="S2497" t="n">
        <v>29543.15</v>
      </c>
      <c r="T2497" t="n">
        <v>20</v>
      </c>
      <c r="U2497" t="n">
        <v>23</v>
      </c>
      <c r="V2497" t="n">
        <v>30</v>
      </c>
      <c r="W2497" t="n">
        <v>42</v>
      </c>
      <c r="X2497" t="n">
        <v>27.65446474055745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11699</v>
      </c>
      <c r="AG2497" t="n">
        <v>63</v>
      </c>
      <c r="AH2497" t="inlineStr">
        <is>
          <t>PT. PARAMA GLOBAL INSPIRA - PPN (PDG)</t>
        </is>
      </c>
      <c r="AI2497" t="n">
        <v>1218</v>
      </c>
      <c r="AJ2497" t="inlineStr">
        <is>
          <t>KAHF</t>
        </is>
      </c>
      <c r="AK2497" t="n">
        <v>21</v>
      </c>
      <c r="AL2497" t="inlineStr">
        <is>
          <t>Miss Glam Damar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KAHF</t>
        </is>
      </c>
      <c r="B2498" s="2">
        <f>"8993137729291"</f>
        <v/>
      </c>
      <c r="C2498" t="inlineStr">
        <is>
          <t>KAHF Eau De Parfum Revered Oud 100ml</t>
        </is>
      </c>
      <c r="D2498" t="inlineStr">
        <is>
          <t>Miss Glam Damar</t>
        </is>
      </c>
      <c r="E2498" t="n">
        <v>10</v>
      </c>
      <c r="F2498" t="n">
        <v>0.0182</v>
      </c>
      <c r="G2498" t="n">
        <v>0.91</v>
      </c>
      <c r="H2498" t="n">
        <v>2</v>
      </c>
      <c r="I2498" t="n">
        <v>6</v>
      </c>
      <c r="J2498" t="n">
        <v>3</v>
      </c>
      <c r="K2498" t="n">
        <v>0</v>
      </c>
      <c r="L2498" t="n">
        <v>227870</v>
      </c>
      <c r="M2498" t="n">
        <v>284500</v>
      </c>
      <c r="N2498" t="n">
        <v>91</v>
      </c>
      <c r="O2498" t="n">
        <v>0.91</v>
      </c>
      <c r="P2498" t="n">
        <v>1</v>
      </c>
      <c r="Q2498" t="n">
        <v>0.03</v>
      </c>
      <c r="R2498" t="n">
        <v>1</v>
      </c>
      <c r="S2498" t="n">
        <v>5177.900000000001</v>
      </c>
      <c r="T2498" t="n">
        <v>6</v>
      </c>
      <c r="U2498" t="n">
        <v>7</v>
      </c>
      <c r="V2498" t="n">
        <v>30</v>
      </c>
      <c r="W2498" t="n">
        <v>1</v>
      </c>
      <c r="X2498" t="n">
        <v>549.4505494505494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11699</v>
      </c>
      <c r="AG2498" t="n">
        <v>63</v>
      </c>
      <c r="AH2498" t="inlineStr">
        <is>
          <t>PT. PARAMA GLOBAL INSPIRA - PPN (PDG)</t>
        </is>
      </c>
      <c r="AI2498" t="n">
        <v>1218</v>
      </c>
      <c r="AJ2498" t="inlineStr">
        <is>
          <t>KAHF</t>
        </is>
      </c>
      <c r="AK2498" t="n">
        <v>21</v>
      </c>
      <c r="AL2498" t="inlineStr">
        <is>
          <t>Miss Glam Damar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KAHF</t>
        </is>
      </c>
      <c r="B2499" s="2">
        <f>"8993137729307"</f>
        <v/>
      </c>
      <c r="C2499" t="inlineStr">
        <is>
          <t>KAHF Eau De Parfum Saffron Oud 100ml</t>
        </is>
      </c>
      <c r="D2499" t="inlineStr">
        <is>
          <t>Miss Glam Damar</t>
        </is>
      </c>
      <c r="E2499" t="n">
        <v>8</v>
      </c>
      <c r="F2499" t="n">
        <v>0.0182</v>
      </c>
      <c r="G2499" t="n">
        <v>0.91</v>
      </c>
      <c r="H2499" t="n">
        <v>2</v>
      </c>
      <c r="I2499" t="n">
        <v>6</v>
      </c>
      <c r="J2499" t="n">
        <v>3</v>
      </c>
      <c r="K2499" t="n">
        <v>0</v>
      </c>
      <c r="L2499" t="n">
        <v>228000</v>
      </c>
      <c r="M2499" t="n">
        <v>285000</v>
      </c>
      <c r="N2499" t="n">
        <v>91</v>
      </c>
      <c r="O2499" t="n">
        <v>0.91</v>
      </c>
      <c r="P2499" t="n">
        <v>1</v>
      </c>
      <c r="Q2499" t="n">
        <v>0.02</v>
      </c>
      <c r="R2499" t="n">
        <v>1</v>
      </c>
      <c r="S2499" t="n">
        <v>5187</v>
      </c>
      <c r="T2499" t="n">
        <v>6</v>
      </c>
      <c r="U2499" t="n">
        <v>7</v>
      </c>
      <c r="V2499" t="n">
        <v>30</v>
      </c>
      <c r="W2499" t="n">
        <v>1</v>
      </c>
      <c r="X2499" t="n">
        <v>439.5604395604395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11699</v>
      </c>
      <c r="AG2499" t="n">
        <v>63</v>
      </c>
      <c r="AH2499" t="inlineStr">
        <is>
          <t>PT. PARAMA GLOBAL INSPIRA - PPN (PDG)</t>
        </is>
      </c>
      <c r="AI2499" t="n">
        <v>1218</v>
      </c>
      <c r="AJ2499" t="inlineStr">
        <is>
          <t>KAHF</t>
        </is>
      </c>
      <c r="AK2499" t="n">
        <v>21</v>
      </c>
      <c r="AL2499" t="inlineStr">
        <is>
          <t>Miss Glam Damar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KAHF</t>
        </is>
      </c>
      <c r="B2500" s="2">
        <f>"8993137741347"</f>
        <v/>
      </c>
      <c r="C2500" t="inlineStr">
        <is>
          <t>KAHF Extra Dry Antiperspirant Deodorant Roll On 45ml</t>
        </is>
      </c>
      <c r="D2500" t="inlineStr">
        <is>
          <t>Miss Glam Damar</t>
        </is>
      </c>
      <c r="E2500" t="n">
        <v>13</v>
      </c>
      <c r="F2500" t="n">
        <v>1.2012</v>
      </c>
      <c r="G2500" t="n">
        <v>4.55</v>
      </c>
      <c r="H2500" t="n">
        <v>2</v>
      </c>
      <c r="I2500" t="n">
        <v>6</v>
      </c>
      <c r="J2500" t="n">
        <v>3</v>
      </c>
      <c r="K2500" t="n">
        <v>0</v>
      </c>
      <c r="L2500" t="n">
        <v>19600</v>
      </c>
      <c r="M2500" t="n">
        <v>24000</v>
      </c>
      <c r="N2500" t="n">
        <v>91</v>
      </c>
      <c r="O2500" t="n">
        <v>0.91</v>
      </c>
      <c r="P2500" t="n">
        <v>1</v>
      </c>
      <c r="Q2500" t="n">
        <v>1.08</v>
      </c>
      <c r="R2500" t="n">
        <v>5</v>
      </c>
      <c r="S2500" t="n">
        <v>28828.8</v>
      </c>
      <c r="T2500" t="n">
        <v>25</v>
      </c>
      <c r="U2500" t="n">
        <v>28</v>
      </c>
      <c r="V2500" t="n">
        <v>30</v>
      </c>
      <c r="W2500" t="n">
        <v>37</v>
      </c>
      <c r="X2500" t="n">
        <v>10.82251082251082</v>
      </c>
      <c r="Y2500" t="n">
        <v>1</v>
      </c>
      <c r="Z2500" t="n">
        <v>24</v>
      </c>
      <c r="AA2500" t="n">
        <v>0</v>
      </c>
      <c r="AB2500" t="n">
        <v>24</v>
      </c>
      <c r="AC2500" t="n">
        <v>24</v>
      </c>
      <c r="AD2500" t="n">
        <v>0</v>
      </c>
      <c r="AE2500" t="n">
        <v>470400</v>
      </c>
      <c r="AF2500" t="n">
        <v>11699</v>
      </c>
      <c r="AG2500" t="n">
        <v>63</v>
      </c>
      <c r="AH2500" t="inlineStr">
        <is>
          <t>PT. PARAMA GLOBAL INSPIRA - PPN (PDG)</t>
        </is>
      </c>
      <c r="AI2500" t="n">
        <v>1218</v>
      </c>
      <c r="AJ2500" t="inlineStr">
        <is>
          <t>KAHF</t>
        </is>
      </c>
      <c r="AK2500" t="n">
        <v>21</v>
      </c>
      <c r="AL2500" t="inlineStr">
        <is>
          <t>Miss Glam Damar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KAHF</t>
        </is>
      </c>
      <c r="B2501" s="2">
        <f>"30400257913"</f>
        <v/>
      </c>
      <c r="C2501" t="inlineStr">
        <is>
          <t>KAHF Extrait de Parfum Aquaterra 50ml</t>
        </is>
      </c>
      <c r="D2501" t="inlineStr">
        <is>
          <t>Miss Glam Damar</t>
        </is>
      </c>
      <c r="E2501" t="n">
        <v>5</v>
      </c>
      <c r="F2501" t="n">
        <v>0.04550000000000001</v>
      </c>
      <c r="G2501" t="n">
        <v>0.91</v>
      </c>
      <c r="H2501" t="n">
        <v>2</v>
      </c>
      <c r="I2501" t="n">
        <v>6</v>
      </c>
      <c r="J2501" t="n">
        <v>1</v>
      </c>
      <c r="K2501" t="n">
        <v>0</v>
      </c>
      <c r="L2501" t="n">
        <v>262200</v>
      </c>
      <c r="M2501" t="n">
        <v>332500</v>
      </c>
      <c r="N2501" t="n">
        <v>91</v>
      </c>
      <c r="O2501" t="n">
        <v>0.91</v>
      </c>
      <c r="P2501" t="n">
        <v>1</v>
      </c>
      <c r="Q2501" t="n">
        <v>0.03</v>
      </c>
      <c r="R2501" t="n">
        <v>1</v>
      </c>
      <c r="S2501" t="n">
        <v>15128.75</v>
      </c>
      <c r="T2501" t="n">
        <v>6</v>
      </c>
      <c r="U2501" t="n">
        <v>7</v>
      </c>
      <c r="V2501" t="n">
        <v>30</v>
      </c>
      <c r="W2501" t="n">
        <v>2</v>
      </c>
      <c r="X2501" t="n">
        <v>109.8901098901099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11699</v>
      </c>
      <c r="AG2501" t="n">
        <v>63</v>
      </c>
      <c r="AH2501" t="inlineStr">
        <is>
          <t>PT. PARAMA GLOBAL INSPIRA - PPN (PDG)</t>
        </is>
      </c>
      <c r="AI2501" t="n">
        <v>1218</v>
      </c>
      <c r="AJ2501" t="inlineStr">
        <is>
          <t>KAHF</t>
        </is>
      </c>
      <c r="AK2501" t="n">
        <v>21</v>
      </c>
      <c r="AL2501" t="inlineStr">
        <is>
          <t>Miss Glam Damar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KAHF</t>
        </is>
      </c>
      <c r="B2502" s="2">
        <f>"30400257718"</f>
        <v/>
      </c>
      <c r="C2502" t="inlineStr">
        <is>
          <t>KAHF Extrait de Parfum Leatherfield 50ml</t>
        </is>
      </c>
      <c r="D2502" t="inlineStr">
        <is>
          <t>Miss Glam Damar</t>
        </is>
      </c>
      <c r="E2502" t="n">
        <v>5</v>
      </c>
      <c r="F2502" t="n">
        <v>0.0182</v>
      </c>
      <c r="G2502" t="n">
        <v>0.91</v>
      </c>
      <c r="H2502" t="n">
        <v>2</v>
      </c>
      <c r="I2502" t="n">
        <v>6</v>
      </c>
      <c r="J2502" t="n">
        <v>1</v>
      </c>
      <c r="K2502" t="n">
        <v>0</v>
      </c>
      <c r="L2502" t="n">
        <v>266000</v>
      </c>
      <c r="M2502" t="n">
        <v>332500</v>
      </c>
      <c r="N2502" t="n">
        <v>91</v>
      </c>
      <c r="O2502" t="n">
        <v>0.91</v>
      </c>
      <c r="P2502" t="n">
        <v>1</v>
      </c>
      <c r="Q2502" t="n">
        <v>0.02</v>
      </c>
      <c r="R2502" t="n">
        <v>1</v>
      </c>
      <c r="S2502" t="n">
        <v>6051.5</v>
      </c>
      <c r="T2502" t="n">
        <v>6</v>
      </c>
      <c r="U2502" t="n">
        <v>7</v>
      </c>
      <c r="V2502" t="n">
        <v>30</v>
      </c>
      <c r="W2502" t="n">
        <v>1</v>
      </c>
      <c r="X2502" t="n">
        <v>274.7252747252747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11699</v>
      </c>
      <c r="AG2502" t="n">
        <v>63</v>
      </c>
      <c r="AH2502" t="inlineStr">
        <is>
          <t>PT. PARAMA GLOBAL INSPIRA - PPN (PDG)</t>
        </is>
      </c>
      <c r="AI2502" t="n">
        <v>1218</v>
      </c>
      <c r="AJ2502" t="inlineStr">
        <is>
          <t>KAHF</t>
        </is>
      </c>
      <c r="AK2502" t="n">
        <v>21</v>
      </c>
      <c r="AL2502" t="inlineStr">
        <is>
          <t>Miss Glam Damar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KAHF</t>
        </is>
      </c>
      <c r="B2503" s="2">
        <f>"30400257642"</f>
        <v/>
      </c>
      <c r="C2503" t="inlineStr">
        <is>
          <t>KAHF Extrait de Parfum Santalscape 50ml</t>
        </is>
      </c>
      <c r="D2503" t="inlineStr">
        <is>
          <t>Miss Glam Damar</t>
        </is>
      </c>
      <c r="E2503" t="n">
        <v>5</v>
      </c>
      <c r="F2503" t="n">
        <v>0.03</v>
      </c>
      <c r="G2503" t="n">
        <v>1</v>
      </c>
      <c r="H2503" t="n">
        <v>2</v>
      </c>
      <c r="I2503" t="n">
        <v>6</v>
      </c>
      <c r="J2503" t="n">
        <v>1</v>
      </c>
      <c r="K2503" t="n">
        <v>0</v>
      </c>
      <c r="L2503" t="n">
        <v>266000</v>
      </c>
      <c r="M2503" t="n">
        <v>332500</v>
      </c>
      <c r="N2503" t="n">
        <v>91</v>
      </c>
      <c r="O2503" t="n">
        <v>0.91</v>
      </c>
      <c r="P2503" t="n">
        <v>0</v>
      </c>
      <c r="Q2503" t="n">
        <v>0.03</v>
      </c>
      <c r="R2503" t="n">
        <v>1</v>
      </c>
      <c r="S2503" t="n">
        <v>9975</v>
      </c>
      <c r="T2503" t="n">
        <v>6</v>
      </c>
      <c r="U2503" t="n">
        <v>7</v>
      </c>
      <c r="V2503" t="n">
        <v>30</v>
      </c>
      <c r="W2503" t="n">
        <v>1</v>
      </c>
      <c r="X2503" t="n">
        <v>166.6666666666667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11699</v>
      </c>
      <c r="AG2503" t="n">
        <v>63</v>
      </c>
      <c r="AH2503" t="inlineStr">
        <is>
          <t>PT. PARAMA GLOBAL INSPIRA - PPN (PDG)</t>
        </is>
      </c>
      <c r="AI2503" t="n">
        <v>1218</v>
      </c>
      <c r="AJ2503" t="inlineStr">
        <is>
          <t>KAHF</t>
        </is>
      </c>
      <c r="AK2503" t="n">
        <v>21</v>
      </c>
      <c r="AL2503" t="inlineStr">
        <is>
          <t>Miss Glam Damar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KAHF</t>
        </is>
      </c>
      <c r="B2504" s="2">
        <f>"30400257848"</f>
        <v/>
      </c>
      <c r="C2504" t="inlineStr">
        <is>
          <t>KAHF Extrait de Parfum Silverwood 50ml</t>
        </is>
      </c>
      <c r="D2504" t="inlineStr">
        <is>
          <t>Miss Glam Damar</t>
        </is>
      </c>
      <c r="E2504" t="n">
        <v>7</v>
      </c>
      <c r="F2504" t="n">
        <v>0.0182</v>
      </c>
      <c r="G2504" t="n">
        <v>0.91</v>
      </c>
      <c r="H2504" t="n">
        <v>2</v>
      </c>
      <c r="I2504" t="n">
        <v>6</v>
      </c>
      <c r="J2504" t="n">
        <v>1</v>
      </c>
      <c r="K2504" t="n">
        <v>0</v>
      </c>
      <c r="L2504" t="n">
        <v>265999</v>
      </c>
      <c r="M2504" t="n">
        <v>332500</v>
      </c>
      <c r="N2504" t="n">
        <v>91</v>
      </c>
      <c r="O2504" t="n">
        <v>0.91</v>
      </c>
      <c r="P2504" t="n">
        <v>1</v>
      </c>
      <c r="Q2504" t="n">
        <v>0.08</v>
      </c>
      <c r="R2504" t="n">
        <v>1</v>
      </c>
      <c r="S2504" t="n">
        <v>6051.5</v>
      </c>
      <c r="T2504" t="n">
        <v>6</v>
      </c>
      <c r="U2504" t="n">
        <v>7</v>
      </c>
      <c r="V2504" t="n">
        <v>30</v>
      </c>
      <c r="W2504" t="n">
        <v>1</v>
      </c>
      <c r="X2504" t="n">
        <v>384.6153846153846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11699</v>
      </c>
      <c r="AG2504" t="n">
        <v>63</v>
      </c>
      <c r="AH2504" t="inlineStr">
        <is>
          <t>PT. PARAMA GLOBAL INSPIRA - PPN (PDG)</t>
        </is>
      </c>
      <c r="AI2504" t="n">
        <v>1218</v>
      </c>
      <c r="AJ2504" t="inlineStr">
        <is>
          <t>KAHF</t>
        </is>
      </c>
      <c r="AK2504" t="n">
        <v>21</v>
      </c>
      <c r="AL2504" t="inlineStr">
        <is>
          <t>Miss Glam Damar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KAHF</t>
        </is>
      </c>
      <c r="B2505" s="2">
        <f>"8993137710442"</f>
        <v/>
      </c>
      <c r="C2505" t="inlineStr">
        <is>
          <t>KAHF Humbling Forest Eau De Toilette 35ml</t>
        </is>
      </c>
      <c r="D2505" t="inlineStr">
        <is>
          <t>Miss Glam Damar</t>
        </is>
      </c>
      <c r="E2505" t="n">
        <v>11</v>
      </c>
      <c r="F2505" t="n">
        <v>0.3822</v>
      </c>
      <c r="G2505" t="n">
        <v>1.82</v>
      </c>
      <c r="H2505" t="n">
        <v>2</v>
      </c>
      <c r="I2505" t="n">
        <v>6</v>
      </c>
      <c r="J2505" t="n">
        <v>3</v>
      </c>
      <c r="K2505" t="n">
        <v>0</v>
      </c>
      <c r="L2505" t="n">
        <v>62103</v>
      </c>
      <c r="M2505" t="n">
        <v>77500</v>
      </c>
      <c r="N2505" t="n">
        <v>91</v>
      </c>
      <c r="O2505" t="n">
        <v>0.91</v>
      </c>
      <c r="P2505" t="n">
        <v>1</v>
      </c>
      <c r="Q2505" t="n">
        <v>0.15</v>
      </c>
      <c r="R2505" t="n">
        <v>1</v>
      </c>
      <c r="S2505" t="n">
        <v>29620.5</v>
      </c>
      <c r="T2505" t="n">
        <v>11</v>
      </c>
      <c r="U2505" t="n">
        <v>12</v>
      </c>
      <c r="V2505" t="n">
        <v>30</v>
      </c>
      <c r="W2505" t="n">
        <v>12</v>
      </c>
      <c r="X2505" t="n">
        <v>28.78074306645735</v>
      </c>
      <c r="Y2505" t="n">
        <v>1</v>
      </c>
      <c r="Z2505" t="n">
        <v>1</v>
      </c>
      <c r="AA2505" t="n">
        <v>0</v>
      </c>
      <c r="AB2505" t="n">
        <v>1</v>
      </c>
      <c r="AC2505" t="n">
        <v>3</v>
      </c>
      <c r="AD2505" t="n">
        <v>0</v>
      </c>
      <c r="AE2505" t="n">
        <v>186309</v>
      </c>
      <c r="AF2505" t="n">
        <v>11699</v>
      </c>
      <c r="AG2505" t="n">
        <v>63</v>
      </c>
      <c r="AH2505" t="inlineStr">
        <is>
          <t>PT. PARAMA GLOBAL INSPIRA - PPN (PDG)</t>
        </is>
      </c>
      <c r="AI2505" t="n">
        <v>1218</v>
      </c>
      <c r="AJ2505" t="inlineStr">
        <is>
          <t>KAHF</t>
        </is>
      </c>
      <c r="AK2505" t="n">
        <v>21</v>
      </c>
      <c r="AL2505" t="inlineStr">
        <is>
          <t>Miss Glam Damar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KAHF</t>
        </is>
      </c>
      <c r="B2506" s="2">
        <f>"8993137710435"</f>
        <v/>
      </c>
      <c r="C2506" t="inlineStr">
        <is>
          <t>KAHF Invigorating Waterfall Eau De Toilette 35ml</t>
        </is>
      </c>
      <c r="D2506" t="inlineStr">
        <is>
          <t>Miss Glam Damar</t>
        </is>
      </c>
      <c r="E2506" t="n">
        <v>6</v>
      </c>
      <c r="F2506" t="n">
        <v>0.3276</v>
      </c>
      <c r="G2506" t="n">
        <v>1.82</v>
      </c>
      <c r="H2506" t="n">
        <v>2</v>
      </c>
      <c r="I2506" t="n">
        <v>6</v>
      </c>
      <c r="J2506" t="n">
        <v>3</v>
      </c>
      <c r="K2506" t="n">
        <v>0</v>
      </c>
      <c r="L2506" t="n">
        <v>62234</v>
      </c>
      <c r="M2506" t="n">
        <v>77500</v>
      </c>
      <c r="N2506" t="n">
        <v>91</v>
      </c>
      <c r="O2506" t="n">
        <v>0.91</v>
      </c>
      <c r="P2506" t="n">
        <v>1</v>
      </c>
      <c r="Q2506" t="n">
        <v>0.24</v>
      </c>
      <c r="R2506" t="n">
        <v>2</v>
      </c>
      <c r="S2506" t="n">
        <v>25389</v>
      </c>
      <c r="T2506" t="n">
        <v>11</v>
      </c>
      <c r="U2506" t="n">
        <v>12</v>
      </c>
      <c r="V2506" t="n">
        <v>30</v>
      </c>
      <c r="W2506" t="n">
        <v>10</v>
      </c>
      <c r="X2506" t="n">
        <v>18.31501831501831</v>
      </c>
      <c r="Y2506" t="n">
        <v>1</v>
      </c>
      <c r="Z2506" t="n">
        <v>4</v>
      </c>
      <c r="AA2506" t="n">
        <v>0</v>
      </c>
      <c r="AB2506" t="n">
        <v>4</v>
      </c>
      <c r="AC2506" t="n">
        <v>4</v>
      </c>
      <c r="AD2506" t="n">
        <v>0</v>
      </c>
      <c r="AE2506" t="n">
        <v>248936</v>
      </c>
      <c r="AF2506" t="n">
        <v>11699</v>
      </c>
      <c r="AG2506" t="n">
        <v>63</v>
      </c>
      <c r="AH2506" t="inlineStr">
        <is>
          <t>PT. PARAMA GLOBAL INSPIRA - PPN (PDG)</t>
        </is>
      </c>
      <c r="AI2506" t="n">
        <v>1218</v>
      </c>
      <c r="AJ2506" t="inlineStr">
        <is>
          <t>KAHF</t>
        </is>
      </c>
      <c r="AK2506" t="n">
        <v>21</v>
      </c>
      <c r="AL2506" t="inlineStr">
        <is>
          <t>Miss Glam Damar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KAHF</t>
        </is>
      </c>
      <c r="B2507" s="2">
        <f>"8993137741163"</f>
        <v/>
      </c>
      <c r="C2507" t="inlineStr">
        <is>
          <t>KAHF Invisible Matte Sunscreen Stick SPF 50 PA++++ 22gr</t>
        </is>
      </c>
      <c r="D2507" t="inlineStr">
        <is>
          <t>Miss Glam Damar</t>
        </is>
      </c>
      <c r="E2507" t="n">
        <v>7</v>
      </c>
      <c r="F2507" t="n">
        <v>0.2821</v>
      </c>
      <c r="G2507" t="n">
        <v>1.82</v>
      </c>
      <c r="H2507" t="n">
        <v>2</v>
      </c>
      <c r="I2507" t="n">
        <v>6</v>
      </c>
      <c r="J2507" t="n">
        <v>3</v>
      </c>
      <c r="K2507" t="n">
        <v>0</v>
      </c>
      <c r="L2507" t="n">
        <v>83372</v>
      </c>
      <c r="M2507" t="n">
        <v>104500</v>
      </c>
      <c r="N2507" t="n">
        <v>91</v>
      </c>
      <c r="O2507" t="n">
        <v>0.91</v>
      </c>
      <c r="P2507" t="n">
        <v>1</v>
      </c>
      <c r="Q2507" t="n">
        <v>0.22</v>
      </c>
      <c r="R2507" t="n">
        <v>2</v>
      </c>
      <c r="S2507" t="n">
        <v>29479.45</v>
      </c>
      <c r="T2507" t="n">
        <v>11</v>
      </c>
      <c r="U2507" t="n">
        <v>12</v>
      </c>
      <c r="V2507" t="n">
        <v>30</v>
      </c>
      <c r="W2507" t="n">
        <v>9</v>
      </c>
      <c r="X2507" t="n">
        <v>24.81389578163772</v>
      </c>
      <c r="Y2507" t="n">
        <v>1</v>
      </c>
      <c r="Z2507" t="n">
        <v>2</v>
      </c>
      <c r="AA2507" t="n">
        <v>0</v>
      </c>
      <c r="AB2507" t="n">
        <v>2</v>
      </c>
      <c r="AC2507" t="n">
        <v>3</v>
      </c>
      <c r="AD2507" t="n">
        <v>0</v>
      </c>
      <c r="AE2507" t="n">
        <v>250116</v>
      </c>
      <c r="AF2507" t="n">
        <v>11699</v>
      </c>
      <c r="AG2507" t="n">
        <v>63</v>
      </c>
      <c r="AH2507" t="inlineStr">
        <is>
          <t>PT. PARAMA GLOBAL INSPIRA - PPN (PDG)</t>
        </is>
      </c>
      <c r="AI2507" t="n">
        <v>1218</v>
      </c>
      <c r="AJ2507" t="inlineStr">
        <is>
          <t>KAHF</t>
        </is>
      </c>
      <c r="AK2507" t="n">
        <v>21</v>
      </c>
      <c r="AL2507" t="inlineStr">
        <is>
          <t>Miss Glam Damar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KAHF</t>
        </is>
      </c>
      <c r="B2508" s="2">
        <f>"11000414613"</f>
        <v/>
      </c>
      <c r="C2508" t="inlineStr">
        <is>
          <t>KAHF Matte Dapper Water Based Pomade 70gr</t>
        </is>
      </c>
      <c r="D2508" t="inlineStr">
        <is>
          <t>Miss Glam Damar</t>
        </is>
      </c>
      <c r="E2508" t="n">
        <v>5</v>
      </c>
      <c r="F2508" t="n">
        <v>0.2275</v>
      </c>
      <c r="G2508" t="n">
        <v>1.82</v>
      </c>
      <c r="H2508" t="n">
        <v>2</v>
      </c>
      <c r="I2508" t="n">
        <v>6</v>
      </c>
      <c r="J2508" t="n">
        <v>3</v>
      </c>
      <c r="K2508" t="n">
        <v>0</v>
      </c>
      <c r="L2508" t="n">
        <v>30285</v>
      </c>
      <c r="M2508" t="n">
        <v>38000</v>
      </c>
      <c r="N2508" t="n">
        <v>91</v>
      </c>
      <c r="O2508" t="n">
        <v>0.91</v>
      </c>
      <c r="P2508" t="n">
        <v>1</v>
      </c>
      <c r="Q2508" t="n">
        <v>0.36</v>
      </c>
      <c r="R2508" t="n">
        <v>2</v>
      </c>
      <c r="S2508" t="n">
        <v>8645</v>
      </c>
      <c r="T2508" t="n">
        <v>11</v>
      </c>
      <c r="U2508" t="n">
        <v>12</v>
      </c>
      <c r="V2508" t="n">
        <v>30</v>
      </c>
      <c r="W2508" t="n">
        <v>7</v>
      </c>
      <c r="X2508" t="n">
        <v>21.97802197802198</v>
      </c>
      <c r="Y2508" t="n">
        <v>1</v>
      </c>
      <c r="Z2508" t="n">
        <v>2</v>
      </c>
      <c r="AA2508" t="n">
        <v>0</v>
      </c>
      <c r="AB2508" t="n">
        <v>2</v>
      </c>
      <c r="AC2508" t="n">
        <v>3</v>
      </c>
      <c r="AD2508" t="n">
        <v>0</v>
      </c>
      <c r="AE2508" t="n">
        <v>90855</v>
      </c>
      <c r="AF2508" t="n">
        <v>11699</v>
      </c>
      <c r="AG2508" t="n">
        <v>63</v>
      </c>
      <c r="AH2508" t="inlineStr">
        <is>
          <t>PT. PARAMA GLOBAL INSPIRA - PPN (PDG)</t>
        </is>
      </c>
      <c r="AI2508" t="n">
        <v>1218</v>
      </c>
      <c r="AJ2508" t="inlineStr">
        <is>
          <t>KAHF</t>
        </is>
      </c>
      <c r="AK2508" t="n">
        <v>21</v>
      </c>
      <c r="AL2508" t="inlineStr">
        <is>
          <t>Miss Glam Damar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KAHF</t>
        </is>
      </c>
      <c r="B2509" s="2">
        <f>"8993137710428"</f>
        <v/>
      </c>
      <c r="C2509" t="inlineStr">
        <is>
          <t>KAHF Oil And Acne Care Face Wash 100ml</t>
        </is>
      </c>
      <c r="D2509" t="inlineStr">
        <is>
          <t>Miss Glam Damar</t>
        </is>
      </c>
      <c r="E2509" t="n">
        <v>34</v>
      </c>
      <c r="F2509" t="n">
        <v>1.729</v>
      </c>
      <c r="G2509" t="n">
        <v>7.28</v>
      </c>
      <c r="H2509" t="n">
        <v>2</v>
      </c>
      <c r="I2509" t="n">
        <v>6</v>
      </c>
      <c r="J2509" t="n">
        <v>3</v>
      </c>
      <c r="K2509" t="n">
        <v>0</v>
      </c>
      <c r="L2509" t="n">
        <v>32400</v>
      </c>
      <c r="M2509" t="n">
        <v>40000</v>
      </c>
      <c r="N2509" t="n">
        <v>91</v>
      </c>
      <c r="O2509" t="n">
        <v>0.91</v>
      </c>
      <c r="P2509" t="n">
        <v>1</v>
      </c>
      <c r="Q2509" t="n">
        <v>1.44</v>
      </c>
      <c r="R2509" t="n">
        <v>6</v>
      </c>
      <c r="S2509" t="n">
        <v>69160</v>
      </c>
      <c r="T2509" t="n">
        <v>41</v>
      </c>
      <c r="U2509" t="n">
        <v>45</v>
      </c>
      <c r="V2509" t="n">
        <v>30</v>
      </c>
      <c r="W2509" t="n">
        <v>52</v>
      </c>
      <c r="X2509" t="n">
        <v>19.66454598033545</v>
      </c>
      <c r="Y2509" t="n">
        <v>1</v>
      </c>
      <c r="Z2509" t="n">
        <v>18</v>
      </c>
      <c r="AA2509" t="n">
        <v>0</v>
      </c>
      <c r="AB2509" t="n">
        <v>18</v>
      </c>
      <c r="AC2509" t="n">
        <v>18</v>
      </c>
      <c r="AD2509" t="n">
        <v>0</v>
      </c>
      <c r="AE2509" t="n">
        <v>583200</v>
      </c>
      <c r="AF2509" t="n">
        <v>11699</v>
      </c>
      <c r="AG2509" t="n">
        <v>63</v>
      </c>
      <c r="AH2509" t="inlineStr">
        <is>
          <t>PT. PARAMA GLOBAL INSPIRA - PPN (PDG)</t>
        </is>
      </c>
      <c r="AI2509" t="n">
        <v>1218</v>
      </c>
      <c r="AJ2509" t="inlineStr">
        <is>
          <t>KAHF</t>
        </is>
      </c>
      <c r="AK2509" t="n">
        <v>21</v>
      </c>
      <c r="AL2509" t="inlineStr">
        <is>
          <t>Miss Glam Damar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KAHF</t>
        </is>
      </c>
      <c r="B2510" s="2">
        <f>"8993137740838"</f>
        <v/>
      </c>
      <c r="C2510" t="inlineStr">
        <is>
          <t>KAHF Oil And Acne Face Wash 50ml</t>
        </is>
      </c>
      <c r="D2510" t="inlineStr">
        <is>
          <t>Miss Glam Damar</t>
        </is>
      </c>
      <c r="E2510" t="n">
        <v>21</v>
      </c>
      <c r="F2510" t="n">
        <v>1.0829</v>
      </c>
      <c r="G2510" t="n">
        <v>3.64</v>
      </c>
      <c r="H2510" t="n">
        <v>2</v>
      </c>
      <c r="I2510" t="n">
        <v>6</v>
      </c>
      <c r="J2510" t="n">
        <v>3</v>
      </c>
      <c r="K2510" t="n">
        <v>0</v>
      </c>
      <c r="L2510" t="n">
        <v>21999</v>
      </c>
      <c r="M2510" t="n">
        <v>27000</v>
      </c>
      <c r="N2510" t="n">
        <v>91</v>
      </c>
      <c r="O2510" t="n">
        <v>0.91</v>
      </c>
      <c r="P2510" t="n">
        <v>1</v>
      </c>
      <c r="Q2510" t="n">
        <v>1</v>
      </c>
      <c r="R2510" t="n">
        <v>3</v>
      </c>
      <c r="S2510" t="n">
        <v>29238.3</v>
      </c>
      <c r="T2510" t="n">
        <v>20</v>
      </c>
      <c r="U2510" t="n">
        <v>23</v>
      </c>
      <c r="V2510" t="n">
        <v>30</v>
      </c>
      <c r="W2510" t="n">
        <v>33</v>
      </c>
      <c r="X2510" t="n">
        <v>19.39237233354881</v>
      </c>
      <c r="Y2510" t="n">
        <v>1</v>
      </c>
      <c r="Z2510" t="n">
        <v>12</v>
      </c>
      <c r="AA2510" t="n">
        <v>0</v>
      </c>
      <c r="AB2510" t="n">
        <v>12</v>
      </c>
      <c r="AC2510" t="n">
        <v>12</v>
      </c>
      <c r="AD2510" t="n">
        <v>0</v>
      </c>
      <c r="AE2510" t="n">
        <v>263988</v>
      </c>
      <c r="AF2510" t="n">
        <v>11699</v>
      </c>
      <c r="AG2510" t="n">
        <v>63</v>
      </c>
      <c r="AH2510" t="inlineStr">
        <is>
          <t>PT. PARAMA GLOBAL INSPIRA - PPN (PDG)</t>
        </is>
      </c>
      <c r="AI2510" t="n">
        <v>1218</v>
      </c>
      <c r="AJ2510" t="inlineStr">
        <is>
          <t>KAHF</t>
        </is>
      </c>
      <c r="AK2510" t="n">
        <v>21</v>
      </c>
      <c r="AL2510" t="inlineStr">
        <is>
          <t>Miss Glam Damar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KAHF</t>
        </is>
      </c>
      <c r="B2511" s="2">
        <f>"8993137713702"</f>
        <v/>
      </c>
      <c r="C2511" t="inlineStr">
        <is>
          <t>KAHF Refreshing Spray 100ml</t>
        </is>
      </c>
      <c r="D2511" t="inlineStr">
        <is>
          <t>Miss Glam Damar</t>
        </is>
      </c>
      <c r="E2511" t="n">
        <v>2</v>
      </c>
      <c r="F2511" t="n">
        <v>0.0273</v>
      </c>
      <c r="G2511" t="n">
        <v>0.91</v>
      </c>
      <c r="H2511" t="n">
        <v>2</v>
      </c>
      <c r="I2511" t="n">
        <v>6</v>
      </c>
      <c r="J2511" t="n">
        <v>3</v>
      </c>
      <c r="K2511" t="n">
        <v>0</v>
      </c>
      <c r="L2511" t="n">
        <v>22400</v>
      </c>
      <c r="M2511" t="n">
        <v>27000</v>
      </c>
      <c r="N2511" t="n">
        <v>91</v>
      </c>
      <c r="O2511" t="n">
        <v>0.91</v>
      </c>
      <c r="P2511" t="n">
        <v>1</v>
      </c>
      <c r="Q2511" t="n">
        <v>0.02</v>
      </c>
      <c r="R2511" t="n">
        <v>1</v>
      </c>
      <c r="S2511" t="n">
        <v>737.1</v>
      </c>
      <c r="T2511" t="n">
        <v>6</v>
      </c>
      <c r="U2511" t="n">
        <v>7</v>
      </c>
      <c r="V2511" t="n">
        <v>30</v>
      </c>
      <c r="W2511" t="n">
        <v>1</v>
      </c>
      <c r="X2511" t="n">
        <v>73.26007326007326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11699</v>
      </c>
      <c r="AG2511" t="n">
        <v>63</v>
      </c>
      <c r="AH2511" t="inlineStr">
        <is>
          <t>PT. PARAMA GLOBAL INSPIRA - PPN (PDG)</t>
        </is>
      </c>
      <c r="AI2511" t="n">
        <v>1218</v>
      </c>
      <c r="AJ2511" t="inlineStr">
        <is>
          <t>KAHF</t>
        </is>
      </c>
      <c r="AK2511" t="n">
        <v>21</v>
      </c>
      <c r="AL2511" t="inlineStr">
        <is>
          <t>Miss Glam Damar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KAHF</t>
        </is>
      </c>
      <c r="B2512" s="2">
        <f>"8993137710466"</f>
        <v/>
      </c>
      <c r="C2512" t="inlineStr">
        <is>
          <t>KAHF Revered Oud Eau De Toilette 35ml</t>
        </is>
      </c>
      <c r="D2512" t="inlineStr">
        <is>
          <t>Miss Glam Damar</t>
        </is>
      </c>
      <c r="E2512" t="n">
        <v>14</v>
      </c>
      <c r="F2512" t="n">
        <v>0.5369</v>
      </c>
      <c r="G2512" t="n">
        <v>5.46</v>
      </c>
      <c r="H2512" t="n">
        <v>2</v>
      </c>
      <c r="I2512" t="n">
        <v>6</v>
      </c>
      <c r="J2512" t="n">
        <v>3</v>
      </c>
      <c r="K2512" t="n">
        <v>0</v>
      </c>
      <c r="L2512" t="n">
        <v>62397</v>
      </c>
      <c r="M2512" t="n">
        <v>75000</v>
      </c>
      <c r="N2512" t="n">
        <v>91</v>
      </c>
      <c r="O2512" t="n">
        <v>0.91</v>
      </c>
      <c r="P2512" t="n">
        <v>1</v>
      </c>
      <c r="Q2512" t="n">
        <v>0.53</v>
      </c>
      <c r="R2512" t="n">
        <v>4</v>
      </c>
      <c r="S2512" t="n">
        <v>40267.5</v>
      </c>
      <c r="T2512" t="n">
        <v>32</v>
      </c>
      <c r="U2512" t="n">
        <v>34</v>
      </c>
      <c r="V2512" t="n">
        <v>30</v>
      </c>
      <c r="W2512" t="n">
        <v>17</v>
      </c>
      <c r="X2512" t="n">
        <v>26.07561929595828</v>
      </c>
      <c r="Y2512" t="n">
        <v>1</v>
      </c>
      <c r="Z2512" t="n">
        <v>3</v>
      </c>
      <c r="AA2512" t="n">
        <v>0</v>
      </c>
      <c r="AB2512" t="n">
        <v>3</v>
      </c>
      <c r="AC2512" t="n">
        <v>3</v>
      </c>
      <c r="AD2512" t="n">
        <v>0</v>
      </c>
      <c r="AE2512" t="n">
        <v>187191</v>
      </c>
      <c r="AF2512" t="n">
        <v>11699</v>
      </c>
      <c r="AG2512" t="n">
        <v>63</v>
      </c>
      <c r="AH2512" t="inlineStr">
        <is>
          <t>PT. PARAMA GLOBAL INSPIRA - PPN (PDG)</t>
        </is>
      </c>
      <c r="AI2512" t="n">
        <v>1218</v>
      </c>
      <c r="AJ2512" t="inlineStr">
        <is>
          <t>KAHF</t>
        </is>
      </c>
      <c r="AK2512" t="n">
        <v>21</v>
      </c>
      <c r="AL2512" t="inlineStr">
        <is>
          <t>Miss Glam Damar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KAHF</t>
        </is>
      </c>
      <c r="B2513" s="2">
        <f>"8993137710411"</f>
        <v/>
      </c>
      <c r="C2513" t="inlineStr">
        <is>
          <t>KAHF Skin Energizing And Brightening Face Wash 100ml</t>
        </is>
      </c>
      <c r="D2513" t="inlineStr">
        <is>
          <t>Miss Glam Damar</t>
        </is>
      </c>
      <c r="E2513" t="n">
        <v>48</v>
      </c>
      <c r="F2513" t="n">
        <v>2.4206</v>
      </c>
      <c r="G2513" t="n">
        <v>6.37</v>
      </c>
      <c r="H2513" t="n">
        <v>2</v>
      </c>
      <c r="I2513" t="n">
        <v>6</v>
      </c>
      <c r="J2513" t="n">
        <v>3</v>
      </c>
      <c r="K2513" t="n">
        <v>0</v>
      </c>
      <c r="L2513" t="n">
        <v>32400</v>
      </c>
      <c r="M2513" t="n">
        <v>40000</v>
      </c>
      <c r="N2513" t="n">
        <v>91</v>
      </c>
      <c r="O2513" t="n">
        <v>0.91</v>
      </c>
      <c r="P2513" t="n">
        <v>1</v>
      </c>
      <c r="Q2513" t="n">
        <v>2.24</v>
      </c>
      <c r="R2513" t="n">
        <v>8</v>
      </c>
      <c r="S2513" t="n">
        <v>96824.00000000001</v>
      </c>
      <c r="T2513" t="n">
        <v>34</v>
      </c>
      <c r="U2513" t="n">
        <v>39</v>
      </c>
      <c r="V2513" t="n">
        <v>30</v>
      </c>
      <c r="W2513" t="n">
        <v>73</v>
      </c>
      <c r="X2513" t="n">
        <v>19.82979426588449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11699</v>
      </c>
      <c r="AG2513" t="n">
        <v>63</v>
      </c>
      <c r="AH2513" t="inlineStr">
        <is>
          <t>PT. PARAMA GLOBAL INSPIRA - PPN (PDG)</t>
        </is>
      </c>
      <c r="AI2513" t="n">
        <v>1218</v>
      </c>
      <c r="AJ2513" t="inlineStr">
        <is>
          <t>KAHF</t>
        </is>
      </c>
      <c r="AK2513" t="n">
        <v>21</v>
      </c>
      <c r="AL2513" t="inlineStr">
        <is>
          <t>Miss Glam Damar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KAHF</t>
        </is>
      </c>
      <c r="B2514" s="2">
        <f>"8993137740845"</f>
        <v/>
      </c>
      <c r="C2514" t="inlineStr">
        <is>
          <t>KAHF Skin Energizing And Brightening Face Wash 50ml</t>
        </is>
      </c>
      <c r="D2514" t="inlineStr">
        <is>
          <t>Miss Glam Damar</t>
        </is>
      </c>
      <c r="E2514" t="n">
        <v>25</v>
      </c>
      <c r="F2514" t="n">
        <v>1.8655</v>
      </c>
      <c r="G2514" t="n">
        <v>4.55</v>
      </c>
      <c r="H2514" t="n">
        <v>2</v>
      </c>
      <c r="I2514" t="n">
        <v>6</v>
      </c>
      <c r="J2514" t="n">
        <v>3</v>
      </c>
      <c r="K2514" t="n">
        <v>0</v>
      </c>
      <c r="L2514" t="n">
        <v>21999</v>
      </c>
      <c r="M2514" t="n">
        <v>27000</v>
      </c>
      <c r="N2514" t="n">
        <v>91</v>
      </c>
      <c r="O2514" t="n">
        <v>0.91</v>
      </c>
      <c r="P2514" t="n">
        <v>1</v>
      </c>
      <c r="Q2514" t="n">
        <v>1.19</v>
      </c>
      <c r="R2514" t="n">
        <v>5</v>
      </c>
      <c r="S2514" t="n">
        <v>50368.5</v>
      </c>
      <c r="T2514" t="n">
        <v>24</v>
      </c>
      <c r="U2514" t="n">
        <v>28</v>
      </c>
      <c r="V2514" t="n">
        <v>30</v>
      </c>
      <c r="W2514" t="n">
        <v>56</v>
      </c>
      <c r="X2514" t="n">
        <v>13.40123291342804</v>
      </c>
      <c r="Y2514" t="n">
        <v>1</v>
      </c>
      <c r="Z2514" t="n">
        <v>31</v>
      </c>
      <c r="AA2514" t="n">
        <v>0</v>
      </c>
      <c r="AB2514" t="n">
        <v>31</v>
      </c>
      <c r="AC2514" t="n">
        <v>31</v>
      </c>
      <c r="AD2514" t="n">
        <v>0</v>
      </c>
      <c r="AE2514" t="n">
        <v>681969</v>
      </c>
      <c r="AF2514" t="n">
        <v>11699</v>
      </c>
      <c r="AG2514" t="n">
        <v>63</v>
      </c>
      <c r="AH2514" t="inlineStr">
        <is>
          <t>PT. PARAMA GLOBAL INSPIRA - PPN (PDG)</t>
        </is>
      </c>
      <c r="AI2514" t="n">
        <v>1218</v>
      </c>
      <c r="AJ2514" t="inlineStr">
        <is>
          <t>KAHF</t>
        </is>
      </c>
      <c r="AK2514" t="n">
        <v>21</v>
      </c>
      <c r="AL2514" t="inlineStr">
        <is>
          <t>Miss Glam Damar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KAHF</t>
        </is>
      </c>
      <c r="B2515" s="2">
        <f>"11000414703"</f>
        <v/>
      </c>
      <c r="C2515" t="inlineStr">
        <is>
          <t>KAHF Sleek Classy Water Based Pomade 70gr</t>
        </is>
      </c>
      <c r="D2515" t="inlineStr">
        <is>
          <t>Miss Glam Damar</t>
        </is>
      </c>
      <c r="E2515" t="n">
        <v>11</v>
      </c>
      <c r="F2515" t="n">
        <v>0.4823000000000001</v>
      </c>
      <c r="G2515" t="n">
        <v>3.64</v>
      </c>
      <c r="H2515" t="n">
        <v>2</v>
      </c>
      <c r="I2515" t="n">
        <v>6</v>
      </c>
      <c r="J2515" t="n">
        <v>3</v>
      </c>
      <c r="K2515" t="n">
        <v>0</v>
      </c>
      <c r="L2515" t="n">
        <v>30317</v>
      </c>
      <c r="M2515" t="n">
        <v>38000</v>
      </c>
      <c r="N2515" t="n">
        <v>91</v>
      </c>
      <c r="O2515" t="n">
        <v>0.91</v>
      </c>
      <c r="P2515" t="n">
        <v>1</v>
      </c>
      <c r="Q2515" t="n">
        <v>0.68</v>
      </c>
      <c r="R2515" t="n">
        <v>3</v>
      </c>
      <c r="S2515" t="n">
        <v>18327.4</v>
      </c>
      <c r="T2515" t="n">
        <v>21</v>
      </c>
      <c r="U2515" t="n">
        <v>22</v>
      </c>
      <c r="V2515" t="n">
        <v>30</v>
      </c>
      <c r="W2515" t="n">
        <v>15</v>
      </c>
      <c r="X2515" t="n">
        <v>22.80738129794733</v>
      </c>
      <c r="Y2515" t="n">
        <v>1</v>
      </c>
      <c r="Z2515" t="n">
        <v>4</v>
      </c>
      <c r="AA2515" t="n">
        <v>0</v>
      </c>
      <c r="AB2515" t="n">
        <v>4</v>
      </c>
      <c r="AC2515" t="n">
        <v>4</v>
      </c>
      <c r="AD2515" t="n">
        <v>0</v>
      </c>
      <c r="AE2515" t="n">
        <v>121268</v>
      </c>
      <c r="AF2515" t="n">
        <v>11699</v>
      </c>
      <c r="AG2515" t="n">
        <v>63</v>
      </c>
      <c r="AH2515" t="inlineStr">
        <is>
          <t>PT. PARAMA GLOBAL INSPIRA - PPN (PDG)</t>
        </is>
      </c>
      <c r="AI2515" t="n">
        <v>1218</v>
      </c>
      <c r="AJ2515" t="inlineStr">
        <is>
          <t>KAHF</t>
        </is>
      </c>
      <c r="AK2515" t="n">
        <v>21</v>
      </c>
      <c r="AL2515" t="inlineStr">
        <is>
          <t>Miss Glam Damar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KAHF</t>
        </is>
      </c>
      <c r="B2516" s="2">
        <f>"8993137723756"</f>
        <v/>
      </c>
      <c r="C2516" t="inlineStr">
        <is>
          <t>KAHF Triple Action Oil And Comedo Defense Face Wash 100ml</t>
        </is>
      </c>
      <c r="D2516" t="inlineStr">
        <is>
          <t>Miss Glam Damar</t>
        </is>
      </c>
      <c r="E2516" t="n">
        <v>30</v>
      </c>
      <c r="F2516" t="n">
        <v>1.2831</v>
      </c>
      <c r="G2516" t="n">
        <v>4.55</v>
      </c>
      <c r="H2516" t="n">
        <v>2</v>
      </c>
      <c r="I2516" t="n">
        <v>6</v>
      </c>
      <c r="J2516" t="n">
        <v>3</v>
      </c>
      <c r="K2516" t="n">
        <v>0</v>
      </c>
      <c r="L2516" t="n">
        <v>34000</v>
      </c>
      <c r="M2516" t="n">
        <v>42500</v>
      </c>
      <c r="N2516" t="n">
        <v>91</v>
      </c>
      <c r="O2516" t="n">
        <v>0.91</v>
      </c>
      <c r="P2516" t="n">
        <v>1</v>
      </c>
      <c r="Q2516" t="n">
        <v>0.75</v>
      </c>
      <c r="R2516" t="n">
        <v>4</v>
      </c>
      <c r="S2516" t="n">
        <v>54531.74999999999</v>
      </c>
      <c r="T2516" t="n">
        <v>25</v>
      </c>
      <c r="U2516" t="n">
        <v>28</v>
      </c>
      <c r="V2516" t="n">
        <v>30</v>
      </c>
      <c r="W2516" t="n">
        <v>39</v>
      </c>
      <c r="X2516" t="n">
        <v>23.38087444470423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11699</v>
      </c>
      <c r="AG2516" t="n">
        <v>63</v>
      </c>
      <c r="AH2516" t="inlineStr">
        <is>
          <t>PT. PARAMA GLOBAL INSPIRA - PPN (PDG)</t>
        </is>
      </c>
      <c r="AI2516" t="n">
        <v>1218</v>
      </c>
      <c r="AJ2516" t="inlineStr">
        <is>
          <t>KAHF</t>
        </is>
      </c>
      <c r="AK2516" t="n">
        <v>21</v>
      </c>
      <c r="AL2516" t="inlineStr">
        <is>
          <t>Miss Glam Damar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KAHF</t>
        </is>
      </c>
      <c r="B2517" s="2">
        <f>"8993137713641"</f>
        <v/>
      </c>
      <c r="C2517" t="inlineStr">
        <is>
          <t>KAHF Triple Protection Sunscreen Moisturizer 30ml</t>
        </is>
      </c>
      <c r="D2517" t="inlineStr">
        <is>
          <t>Miss Glam Damar</t>
        </is>
      </c>
      <c r="E2517" t="n">
        <v>25</v>
      </c>
      <c r="F2517" t="n">
        <v>1.5379</v>
      </c>
      <c r="G2517" t="n">
        <v>5.46</v>
      </c>
      <c r="H2517" t="n">
        <v>2</v>
      </c>
      <c r="I2517" t="n">
        <v>6</v>
      </c>
      <c r="J2517" t="n">
        <v>3</v>
      </c>
      <c r="K2517" t="n">
        <v>0</v>
      </c>
      <c r="L2517" t="n">
        <v>33199</v>
      </c>
      <c r="M2517" t="n">
        <v>40500</v>
      </c>
      <c r="N2517" t="n">
        <v>91</v>
      </c>
      <c r="O2517" t="n">
        <v>0.91</v>
      </c>
      <c r="P2517" t="n">
        <v>1</v>
      </c>
      <c r="Q2517" t="n">
        <v>1.02</v>
      </c>
      <c r="R2517" t="n">
        <v>5</v>
      </c>
      <c r="S2517" t="n">
        <v>62284.95</v>
      </c>
      <c r="T2517" t="n">
        <v>30</v>
      </c>
      <c r="U2517" t="n">
        <v>34</v>
      </c>
      <c r="V2517" t="n">
        <v>30</v>
      </c>
      <c r="W2517" t="n">
        <v>47</v>
      </c>
      <c r="X2517" t="n">
        <v>16.25593341569673</v>
      </c>
      <c r="Y2517" t="n">
        <v>1</v>
      </c>
      <c r="Z2517" t="n">
        <v>22</v>
      </c>
      <c r="AA2517" t="n">
        <v>0</v>
      </c>
      <c r="AB2517" t="n">
        <v>22</v>
      </c>
      <c r="AC2517" t="n">
        <v>22</v>
      </c>
      <c r="AD2517" t="n">
        <v>0</v>
      </c>
      <c r="AE2517" t="n">
        <v>730378</v>
      </c>
      <c r="AF2517" t="n">
        <v>11699</v>
      </c>
      <c r="AG2517" t="n">
        <v>63</v>
      </c>
      <c r="AH2517" t="inlineStr">
        <is>
          <t>PT. PARAMA GLOBAL INSPIRA - PPN (PDG)</t>
        </is>
      </c>
      <c r="AI2517" t="n">
        <v>1218</v>
      </c>
      <c r="AJ2517" t="inlineStr">
        <is>
          <t>KAHF</t>
        </is>
      </c>
      <c r="AK2517" t="n">
        <v>21</v>
      </c>
      <c r="AL2517" t="inlineStr">
        <is>
          <t>Miss Glam Damar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KAHF</t>
        </is>
      </c>
      <c r="B2518" s="2">
        <f>"8993137710459"</f>
        <v/>
      </c>
      <c r="C2518" t="inlineStr">
        <is>
          <t>KAHF True Brotherhood Eau De Toilette 35ml</t>
        </is>
      </c>
      <c r="D2518" t="inlineStr">
        <is>
          <t>Miss Glam Damar</t>
        </is>
      </c>
      <c r="E2518" t="n">
        <v>3</v>
      </c>
      <c r="F2518" t="n">
        <v>0.1365</v>
      </c>
      <c r="G2518" t="n">
        <v>1.82</v>
      </c>
      <c r="H2518" t="n">
        <v>2</v>
      </c>
      <c r="I2518" t="n">
        <v>6</v>
      </c>
      <c r="J2518" t="n">
        <v>3</v>
      </c>
      <c r="K2518" t="n">
        <v>0</v>
      </c>
      <c r="L2518" t="n">
        <v>62400</v>
      </c>
      <c r="M2518" t="n">
        <v>77500</v>
      </c>
      <c r="N2518" t="n">
        <v>91</v>
      </c>
      <c r="O2518" t="n">
        <v>0.91</v>
      </c>
      <c r="P2518" t="n">
        <v>1</v>
      </c>
      <c r="Q2518" t="n">
        <v>0.05</v>
      </c>
      <c r="R2518" t="n">
        <v>1</v>
      </c>
      <c r="S2518" t="n">
        <v>10578.75</v>
      </c>
      <c r="T2518" t="n">
        <v>11</v>
      </c>
      <c r="U2518" t="n">
        <v>12</v>
      </c>
      <c r="V2518" t="n">
        <v>30</v>
      </c>
      <c r="W2518" t="n">
        <v>5</v>
      </c>
      <c r="X2518" t="n">
        <v>21.97802197802198</v>
      </c>
      <c r="Y2518" t="n">
        <v>1</v>
      </c>
      <c r="Z2518" t="n">
        <v>2</v>
      </c>
      <c r="AA2518" t="n">
        <v>0</v>
      </c>
      <c r="AB2518" t="n">
        <v>2</v>
      </c>
      <c r="AC2518" t="n">
        <v>3</v>
      </c>
      <c r="AD2518" t="n">
        <v>0</v>
      </c>
      <c r="AE2518" t="n">
        <v>187200</v>
      </c>
      <c r="AF2518" t="n">
        <v>11699</v>
      </c>
      <c r="AG2518" t="n">
        <v>63</v>
      </c>
      <c r="AH2518" t="inlineStr">
        <is>
          <t>PT. PARAMA GLOBAL INSPIRA - PPN (PDG)</t>
        </is>
      </c>
      <c r="AI2518" t="n">
        <v>1218</v>
      </c>
      <c r="AJ2518" t="inlineStr">
        <is>
          <t>KAHF</t>
        </is>
      </c>
      <c r="AK2518" t="n">
        <v>21</v>
      </c>
      <c r="AL2518" t="inlineStr">
        <is>
          <t>Miss Glam Damar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KAHF</t>
        </is>
      </c>
      <c r="B2519" s="2">
        <f>"11000414831"</f>
        <v/>
      </c>
      <c r="C2519" t="inlineStr">
        <is>
          <t>KAHF Volumized Suave Hair Powder 10gr</t>
        </is>
      </c>
      <c r="D2519" t="inlineStr">
        <is>
          <t>Miss Glam Damar</t>
        </is>
      </c>
      <c r="E2519" t="n">
        <v>8</v>
      </c>
      <c r="F2519" t="n">
        <v>0.2002</v>
      </c>
      <c r="G2519" t="n">
        <v>0.91</v>
      </c>
      <c r="H2519" t="n">
        <v>2</v>
      </c>
      <c r="I2519" t="n">
        <v>6</v>
      </c>
      <c r="J2519" t="n">
        <v>3</v>
      </c>
      <c r="K2519" t="n">
        <v>0</v>
      </c>
      <c r="L2519" t="n">
        <v>53199</v>
      </c>
      <c r="M2519" t="n">
        <v>66500</v>
      </c>
      <c r="N2519" t="n">
        <v>91</v>
      </c>
      <c r="O2519" t="n">
        <v>0.91</v>
      </c>
      <c r="P2519" t="n">
        <v>1</v>
      </c>
      <c r="Q2519" t="n">
        <v>0.2</v>
      </c>
      <c r="R2519" t="n">
        <v>4</v>
      </c>
      <c r="S2519" t="n">
        <v>13313.3</v>
      </c>
      <c r="T2519" t="n">
        <v>6</v>
      </c>
      <c r="U2519" t="n">
        <v>7</v>
      </c>
      <c r="V2519" t="n">
        <v>30</v>
      </c>
      <c r="W2519" t="n">
        <v>7</v>
      </c>
      <c r="X2519" t="n">
        <v>39.96003996003996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11699</v>
      </c>
      <c r="AG2519" t="n">
        <v>63</v>
      </c>
      <c r="AH2519" t="inlineStr">
        <is>
          <t>PT. PARAMA GLOBAL INSPIRA - PPN (PDG)</t>
        </is>
      </c>
      <c r="AI2519" t="n">
        <v>1218</v>
      </c>
      <c r="AJ2519" t="inlineStr">
        <is>
          <t>KAHF</t>
        </is>
      </c>
      <c r="AK2519" t="n">
        <v>21</v>
      </c>
      <c r="AL2519" t="inlineStr">
        <is>
          <t>Miss Glam Damar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KALEIDO</t>
        </is>
      </c>
      <c r="B2520" s="2">
        <f>"6920052022261"</f>
        <v/>
      </c>
      <c r="C2520" t="inlineStr">
        <is>
          <t>KALEIDO Acne Patch Playful Series Heart &amp; Star Hologram 20 Patches</t>
        </is>
      </c>
      <c r="D2520" t="inlineStr">
        <is>
          <t>Miss Glam Damar</t>
        </is>
      </c>
      <c r="E2520" t="n">
        <v>0</v>
      </c>
      <c r="F2520" t="n">
        <v>0.07000000000000001</v>
      </c>
      <c r="G2520" t="n">
        <v>2</v>
      </c>
      <c r="H2520" t="n">
        <v>4</v>
      </c>
      <c r="I2520" t="n">
        <v>21</v>
      </c>
      <c r="J2520" t="n">
        <v>3</v>
      </c>
      <c r="K2520" t="n">
        <v>0</v>
      </c>
      <c r="L2520" t="n">
        <v>23261</v>
      </c>
      <c r="M2520" t="n">
        <v>37500</v>
      </c>
      <c r="N2520" t="n">
        <v>91</v>
      </c>
      <c r="O2520" t="n">
        <v>0.91</v>
      </c>
      <c r="P2520" t="n">
        <v>0</v>
      </c>
      <c r="Q2520" t="n">
        <v>0.07000000000000001</v>
      </c>
      <c r="R2520" t="n">
        <v>2</v>
      </c>
      <c r="S2520" t="n">
        <v>2625</v>
      </c>
      <c r="T2520" t="n">
        <v>42</v>
      </c>
      <c r="U2520" t="n">
        <v>43</v>
      </c>
      <c r="V2520" t="n">
        <v>30</v>
      </c>
      <c r="W2520" t="n">
        <v>3</v>
      </c>
      <c r="X2520" t="n">
        <v>0</v>
      </c>
      <c r="Y2520" t="n">
        <v>1</v>
      </c>
      <c r="Z2520" t="n">
        <v>3</v>
      </c>
      <c r="AA2520" t="n">
        <v>2</v>
      </c>
      <c r="AB2520" t="n">
        <v>1</v>
      </c>
      <c r="AC2520" t="n">
        <v>3</v>
      </c>
      <c r="AD2520" t="n">
        <v>46522</v>
      </c>
      <c r="AE2520" t="n">
        <v>69783</v>
      </c>
      <c r="AF2520" t="n">
        <v>6087</v>
      </c>
      <c r="AG2520" t="n">
        <v>1</v>
      </c>
      <c r="AH2520" t="inlineStr">
        <is>
          <t>PT. BERSAMA DISTRIVERSA INDONESIA (DC CIPUTAT)</t>
        </is>
      </c>
      <c r="AI2520" t="n">
        <v>1451</v>
      </c>
      <c r="AJ2520" t="inlineStr">
        <is>
          <t>KALEIDO</t>
        </is>
      </c>
      <c r="AK2520" t="n">
        <v>21</v>
      </c>
      <c r="AL2520" t="inlineStr">
        <is>
          <t>Miss Glam Damar</t>
        </is>
      </c>
      <c r="AM2520" t="n">
        <v>4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KALEIDO</t>
        </is>
      </c>
      <c r="B2521" s="2">
        <f>"6920052022247"</f>
        <v/>
      </c>
      <c r="C2521" t="inlineStr">
        <is>
          <t>KALEIDO Acne Patch Playful Series Sparkle &amp; Cloud 20 Patches</t>
        </is>
      </c>
      <c r="D2521" t="inlineStr">
        <is>
          <t>Miss Glam Damar</t>
        </is>
      </c>
      <c r="E2521" t="n">
        <v>0</v>
      </c>
      <c r="F2521" t="n">
        <v>0.0273</v>
      </c>
      <c r="G2521" t="n">
        <v>0.91</v>
      </c>
      <c r="H2521" t="n">
        <v>4</v>
      </c>
      <c r="I2521" t="n">
        <v>21</v>
      </c>
      <c r="J2521" t="n">
        <v>3</v>
      </c>
      <c r="K2521" t="n">
        <v>0</v>
      </c>
      <c r="L2521" t="n">
        <v>23261</v>
      </c>
      <c r="M2521" t="n">
        <v>37000</v>
      </c>
      <c r="N2521" t="n">
        <v>91</v>
      </c>
      <c r="O2521" t="n">
        <v>0.91</v>
      </c>
      <c r="P2521" t="n">
        <v>1</v>
      </c>
      <c r="Q2521" t="n">
        <v>0.08</v>
      </c>
      <c r="R2521" t="n">
        <v>1</v>
      </c>
      <c r="S2521" t="n">
        <v>1010.1</v>
      </c>
      <c r="T2521" t="n">
        <v>20</v>
      </c>
      <c r="U2521" t="n">
        <v>21</v>
      </c>
      <c r="V2521" t="n">
        <v>30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n">
        <v>0</v>
      </c>
      <c r="AC2521" t="n">
        <v>0</v>
      </c>
      <c r="AD2521" t="n">
        <v>23261</v>
      </c>
      <c r="AE2521" t="n">
        <v>0</v>
      </c>
      <c r="AF2521" t="n">
        <v>6087</v>
      </c>
      <c r="AG2521" t="n">
        <v>1</v>
      </c>
      <c r="AH2521" t="inlineStr">
        <is>
          <t>PT. BERSAMA DISTRIVERSA INDONESIA (DC CIPUTAT)</t>
        </is>
      </c>
      <c r="AI2521" t="n">
        <v>1451</v>
      </c>
      <c r="AJ2521" t="inlineStr">
        <is>
          <t>KALEIDO</t>
        </is>
      </c>
      <c r="AK2521" t="n">
        <v>21</v>
      </c>
      <c r="AL2521" t="inlineStr">
        <is>
          <t>Miss Glam Damar</t>
        </is>
      </c>
      <c r="AM2521" t="n">
        <v>4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KELAYA</t>
        </is>
      </c>
      <c r="B2522" s="2">
        <f>"8998183923327"</f>
        <v/>
      </c>
      <c r="C2522" t="inlineStr">
        <is>
          <t>KELAYA Conditioner Leave On Hair Fall 250ml</t>
        </is>
      </c>
      <c r="D2522" t="inlineStr">
        <is>
          <t>Miss Glam Damar</t>
        </is>
      </c>
      <c r="E2522" t="n">
        <v>26</v>
      </c>
      <c r="F2522" t="n">
        <v>0.0728</v>
      </c>
      <c r="G2522" t="n">
        <v>0.91</v>
      </c>
      <c r="H2522" t="n">
        <v>3</v>
      </c>
      <c r="I2522" t="n">
        <v>11</v>
      </c>
      <c r="J2522" t="n">
        <v>3</v>
      </c>
      <c r="K2522" t="n">
        <v>0</v>
      </c>
      <c r="L2522" t="n">
        <v>58320</v>
      </c>
      <c r="M2522" t="n">
        <v>72900</v>
      </c>
      <c r="N2522" t="n">
        <v>91</v>
      </c>
      <c r="O2522" t="n">
        <v>0.91</v>
      </c>
      <c r="P2522" t="n">
        <v>1</v>
      </c>
      <c r="Q2522" t="n">
        <v>0.14</v>
      </c>
      <c r="R2522" t="n">
        <v>1</v>
      </c>
      <c r="S2522" t="n">
        <v>5307.12</v>
      </c>
      <c r="T2522" t="n">
        <v>10</v>
      </c>
      <c r="U2522" t="n">
        <v>11</v>
      </c>
      <c r="V2522" t="n">
        <v>30</v>
      </c>
      <c r="W2522" t="n">
        <v>3</v>
      </c>
      <c r="X2522" t="n">
        <v>357.1428571428571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12840</v>
      </c>
      <c r="AG2522" t="n">
        <v>2122</v>
      </c>
      <c r="AH2522" t="inlineStr">
        <is>
          <t>PT. SINAR PADANG LESTARI - PPN (PDG)</t>
        </is>
      </c>
      <c r="AI2522" t="n">
        <v>1219</v>
      </c>
      <c r="AJ2522" t="inlineStr">
        <is>
          <t>KELAYA</t>
        </is>
      </c>
      <c r="AK2522" t="n">
        <v>21</v>
      </c>
      <c r="AL2522" t="inlineStr">
        <is>
          <t>Miss Glam Damar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KELAYA</t>
        </is>
      </c>
      <c r="B2523" s="2">
        <f>"8994458580011"</f>
        <v/>
      </c>
      <c r="C2523" t="inlineStr">
        <is>
          <t>KELAYA Gentle Hair Essensce Shampoo 0% SLS 250ml</t>
        </is>
      </c>
      <c r="D2523" t="inlineStr">
        <is>
          <t>Miss Glam Damar</t>
        </is>
      </c>
      <c r="E2523" t="n">
        <v>14</v>
      </c>
      <c r="F2523" t="n">
        <v>0.24</v>
      </c>
      <c r="G2523" t="n">
        <v>3</v>
      </c>
      <c r="H2523" t="n">
        <v>3</v>
      </c>
      <c r="I2523" t="n">
        <v>11</v>
      </c>
      <c r="J2523" t="n">
        <v>6</v>
      </c>
      <c r="K2523" t="n">
        <v>0</v>
      </c>
      <c r="L2523" t="n">
        <v>72000</v>
      </c>
      <c r="M2523" t="n">
        <v>82500</v>
      </c>
      <c r="N2523" t="n">
        <v>91</v>
      </c>
      <c r="O2523" t="n">
        <v>0.91</v>
      </c>
      <c r="P2523" t="n">
        <v>0</v>
      </c>
      <c r="Q2523" t="n">
        <v>0.24</v>
      </c>
      <c r="R2523" t="n">
        <v>3</v>
      </c>
      <c r="S2523" t="n">
        <v>19800</v>
      </c>
      <c r="T2523" t="n">
        <v>33</v>
      </c>
      <c r="U2523" t="n">
        <v>34</v>
      </c>
      <c r="V2523" t="n">
        <v>30</v>
      </c>
      <c r="W2523" t="n">
        <v>8</v>
      </c>
      <c r="X2523" t="n">
        <v>58.33333333333334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12840</v>
      </c>
      <c r="AG2523" t="n">
        <v>2122</v>
      </c>
      <c r="AH2523" t="inlineStr">
        <is>
          <t>PT. SINAR PADANG LESTARI - PPN (PDG)</t>
        </is>
      </c>
      <c r="AI2523" t="n">
        <v>1219</v>
      </c>
      <c r="AJ2523" t="inlineStr">
        <is>
          <t>KELAYA</t>
        </is>
      </c>
      <c r="AK2523" t="n">
        <v>21</v>
      </c>
      <c r="AL2523" t="inlineStr">
        <is>
          <t>Miss Glam Damar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KELAYA</t>
        </is>
      </c>
      <c r="B2524" s="2">
        <f>"8998183926038"</f>
        <v/>
      </c>
      <c r="C2524" t="inlineStr">
        <is>
          <t>KELAYA Hair Serum 100ml</t>
        </is>
      </c>
      <c r="D2524" t="inlineStr">
        <is>
          <t>Miss Glam Damar</t>
        </is>
      </c>
      <c r="E2524" t="n">
        <v>2</v>
      </c>
      <c r="F2524" t="n">
        <v>0.04550000000000001</v>
      </c>
      <c r="G2524" t="n">
        <v>0.91</v>
      </c>
      <c r="H2524" t="n">
        <v>3</v>
      </c>
      <c r="I2524" t="n">
        <v>11</v>
      </c>
      <c r="J2524" t="n">
        <v>3</v>
      </c>
      <c r="K2524" t="n">
        <v>0</v>
      </c>
      <c r="L2524" t="n">
        <v>151599</v>
      </c>
      <c r="M2524" t="n">
        <v>189500</v>
      </c>
      <c r="N2524" t="n">
        <v>91</v>
      </c>
      <c r="O2524" t="n">
        <v>0.91</v>
      </c>
      <c r="P2524" t="n">
        <v>1</v>
      </c>
      <c r="Q2524" t="n">
        <v>0.02</v>
      </c>
      <c r="R2524" t="n">
        <v>1</v>
      </c>
      <c r="S2524" t="n">
        <v>8622.250000000002</v>
      </c>
      <c r="T2524" t="n">
        <v>10</v>
      </c>
      <c r="U2524" t="n">
        <v>11</v>
      </c>
      <c r="V2524" t="n">
        <v>30</v>
      </c>
      <c r="W2524" t="n">
        <v>2</v>
      </c>
      <c r="X2524" t="n">
        <v>43.95604395604395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12840</v>
      </c>
      <c r="AG2524" t="n">
        <v>2122</v>
      </c>
      <c r="AH2524" t="inlineStr">
        <is>
          <t>PT. SINAR PADANG LESTARI - PPN (PDG)</t>
        </is>
      </c>
      <c r="AI2524" t="n">
        <v>1219</v>
      </c>
      <c r="AJ2524" t="inlineStr">
        <is>
          <t>KELAYA</t>
        </is>
      </c>
      <c r="AK2524" t="n">
        <v>21</v>
      </c>
      <c r="AL2524" t="inlineStr">
        <is>
          <t>Miss Glam Damar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KELAYA</t>
        </is>
      </c>
      <c r="B2525" s="2">
        <f>"8998183923167"</f>
        <v/>
      </c>
      <c r="C2525" t="inlineStr">
        <is>
          <t>KELAYA Hair Treatment Hair Revitalizer Mist Fresh Morning UV Protect 100ml</t>
        </is>
      </c>
      <c r="D2525" t="inlineStr">
        <is>
          <t>Miss Glam Damar</t>
        </is>
      </c>
      <c r="E2525" t="n">
        <v>3</v>
      </c>
      <c r="F2525" t="n">
        <v>0.1092</v>
      </c>
      <c r="G2525" t="n">
        <v>0.91</v>
      </c>
      <c r="H2525" t="n">
        <v>3</v>
      </c>
      <c r="I2525" t="n">
        <v>11</v>
      </c>
      <c r="J2525" t="n">
        <v>6</v>
      </c>
      <c r="K2525" t="n">
        <v>0</v>
      </c>
      <c r="L2525" t="n">
        <v>30320</v>
      </c>
      <c r="M2525" t="n">
        <v>37900</v>
      </c>
      <c r="N2525" t="n">
        <v>91</v>
      </c>
      <c r="O2525" t="n">
        <v>0.91</v>
      </c>
      <c r="P2525" t="n">
        <v>1</v>
      </c>
      <c r="Q2525" t="n">
        <v>0.2</v>
      </c>
      <c r="R2525" t="n">
        <v>2</v>
      </c>
      <c r="S2525" t="n">
        <v>4138.68</v>
      </c>
      <c r="T2525" t="n">
        <v>10</v>
      </c>
      <c r="U2525" t="n">
        <v>11</v>
      </c>
      <c r="V2525" t="n">
        <v>30</v>
      </c>
      <c r="W2525" t="n">
        <v>4</v>
      </c>
      <c r="X2525" t="n">
        <v>27.47252747252747</v>
      </c>
      <c r="Y2525" t="n">
        <v>1</v>
      </c>
      <c r="Z2525" t="n">
        <v>1</v>
      </c>
      <c r="AA2525" t="n">
        <v>0</v>
      </c>
      <c r="AB2525" t="n">
        <v>1</v>
      </c>
      <c r="AC2525" t="n">
        <v>6</v>
      </c>
      <c r="AD2525" t="n">
        <v>0</v>
      </c>
      <c r="AE2525" t="n">
        <v>181920</v>
      </c>
      <c r="AF2525" t="n">
        <v>12840</v>
      </c>
      <c r="AG2525" t="n">
        <v>2122</v>
      </c>
      <c r="AH2525" t="inlineStr">
        <is>
          <t>PT. SINAR PADANG LESTARI - PPN (PDG)</t>
        </is>
      </c>
      <c r="AI2525" t="n">
        <v>1219</v>
      </c>
      <c r="AJ2525" t="inlineStr">
        <is>
          <t>KELAYA</t>
        </is>
      </c>
      <c r="AK2525" t="n">
        <v>21</v>
      </c>
      <c r="AL2525" t="inlineStr">
        <is>
          <t>Miss Glam Damar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KELAYA</t>
        </is>
      </c>
      <c r="B2526" s="2">
        <f>"8998183926847"</f>
        <v/>
      </c>
      <c r="C2526" t="inlineStr">
        <is>
          <t>KELAYA Hair Treatment Minyak Kemiri 50ml</t>
        </is>
      </c>
      <c r="D2526" t="inlineStr">
        <is>
          <t>Miss Glam Damar</t>
        </is>
      </c>
      <c r="E2526" t="n">
        <v>4</v>
      </c>
      <c r="F2526" t="n">
        <v>0.0273</v>
      </c>
      <c r="G2526" t="n">
        <v>0.91</v>
      </c>
      <c r="H2526" t="n">
        <v>3</v>
      </c>
      <c r="I2526" t="n">
        <v>11</v>
      </c>
      <c r="J2526" t="n">
        <v>3</v>
      </c>
      <c r="K2526" t="n">
        <v>0</v>
      </c>
      <c r="L2526" t="n">
        <v>71440</v>
      </c>
      <c r="M2526" t="n">
        <v>89500</v>
      </c>
      <c r="N2526" t="n">
        <v>91</v>
      </c>
      <c r="O2526" t="n">
        <v>0.91</v>
      </c>
      <c r="P2526" t="n">
        <v>1</v>
      </c>
      <c r="Q2526" t="n">
        <v>0.14</v>
      </c>
      <c r="R2526" t="n">
        <v>1</v>
      </c>
      <c r="S2526" t="n">
        <v>2443.35</v>
      </c>
      <c r="T2526" t="n">
        <v>10</v>
      </c>
      <c r="U2526" t="n">
        <v>11</v>
      </c>
      <c r="V2526" t="n">
        <v>30</v>
      </c>
      <c r="W2526" t="n">
        <v>1</v>
      </c>
      <c r="X2526" t="n">
        <v>146.5201465201465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12840</v>
      </c>
      <c r="AG2526" t="n">
        <v>2122</v>
      </c>
      <c r="AH2526" t="inlineStr">
        <is>
          <t>PT. SINAR PADANG LESTARI - PPN (PDG)</t>
        </is>
      </c>
      <c r="AI2526" t="n">
        <v>1219</v>
      </c>
      <c r="AJ2526" t="inlineStr">
        <is>
          <t>KELAYA</t>
        </is>
      </c>
      <c r="AK2526" t="n">
        <v>21</v>
      </c>
      <c r="AL2526" t="inlineStr">
        <is>
          <t>Miss Glam Damar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KELAYA</t>
        </is>
      </c>
      <c r="B2527" s="2">
        <f>"8998183923136"</f>
        <v/>
      </c>
      <c r="C2527" t="inlineStr">
        <is>
          <t>KELAYA Hair Treatment Mist Party Glamour 100ml</t>
        </is>
      </c>
      <c r="D2527" t="inlineStr">
        <is>
          <t>Miss Glam Damar</t>
        </is>
      </c>
      <c r="E2527" t="n">
        <v>2</v>
      </c>
      <c r="F2527" t="n">
        <v>0.0182</v>
      </c>
      <c r="G2527" t="n">
        <v>0.91</v>
      </c>
      <c r="H2527" t="n">
        <v>3</v>
      </c>
      <c r="I2527" t="n">
        <v>11</v>
      </c>
      <c r="J2527" t="n">
        <v>3</v>
      </c>
      <c r="K2527" t="n">
        <v>0</v>
      </c>
      <c r="L2527" t="n">
        <v>30320</v>
      </c>
      <c r="M2527" t="n">
        <v>37900</v>
      </c>
      <c r="N2527" t="n">
        <v>91</v>
      </c>
      <c r="O2527" t="n">
        <v>0.91</v>
      </c>
      <c r="P2527" t="n">
        <v>1</v>
      </c>
      <c r="Q2527" t="n">
        <v>0.12</v>
      </c>
      <c r="R2527" t="n">
        <v>1</v>
      </c>
      <c r="S2527" t="n">
        <v>689.7800000000001</v>
      </c>
      <c r="T2527" t="n">
        <v>10</v>
      </c>
      <c r="U2527" t="n">
        <v>11</v>
      </c>
      <c r="V2527" t="n">
        <v>30</v>
      </c>
      <c r="W2527" t="n">
        <v>1</v>
      </c>
      <c r="X2527" t="n">
        <v>109.8901098901099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12840</v>
      </c>
      <c r="AG2527" t="n">
        <v>2122</v>
      </c>
      <c r="AH2527" t="inlineStr">
        <is>
          <t>PT. SINAR PADANG LESTARI - PPN (PDG)</t>
        </is>
      </c>
      <c r="AI2527" t="n">
        <v>1219</v>
      </c>
      <c r="AJ2527" t="inlineStr">
        <is>
          <t>KELAYA</t>
        </is>
      </c>
      <c r="AK2527" t="n">
        <v>21</v>
      </c>
      <c r="AL2527" t="inlineStr">
        <is>
          <t>Miss Glam Damar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KELAYA</t>
        </is>
      </c>
      <c r="B2528" s="2">
        <f>"8998183923105"</f>
        <v/>
      </c>
      <c r="C2528" t="inlineStr">
        <is>
          <t>KELAYA Hair Treatment Mist Rise &amp; Shine 100ml</t>
        </is>
      </c>
      <c r="D2528" t="inlineStr">
        <is>
          <t>Miss Glam Damar</t>
        </is>
      </c>
      <c r="E2528" t="n">
        <v>8</v>
      </c>
      <c r="F2528" t="n">
        <v>0.06370000000000001</v>
      </c>
      <c r="G2528" t="n">
        <v>0.91</v>
      </c>
      <c r="H2528" t="n">
        <v>3</v>
      </c>
      <c r="I2528" t="n">
        <v>11</v>
      </c>
      <c r="J2528" t="n">
        <v>3</v>
      </c>
      <c r="K2528" t="n">
        <v>0</v>
      </c>
      <c r="L2528" t="n">
        <v>30320</v>
      </c>
      <c r="M2528" t="n">
        <v>37900</v>
      </c>
      <c r="N2528" t="n">
        <v>91</v>
      </c>
      <c r="O2528" t="n">
        <v>0.91</v>
      </c>
      <c r="P2528" t="n">
        <v>1</v>
      </c>
      <c r="Q2528" t="n">
        <v>0.14</v>
      </c>
      <c r="R2528" t="n">
        <v>2</v>
      </c>
      <c r="S2528" t="n">
        <v>2414.23</v>
      </c>
      <c r="T2528" t="n">
        <v>10</v>
      </c>
      <c r="U2528" t="n">
        <v>11</v>
      </c>
      <c r="V2528" t="n">
        <v>30</v>
      </c>
      <c r="W2528" t="n">
        <v>2</v>
      </c>
      <c r="X2528" t="n">
        <v>125.5886970172684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12840</v>
      </c>
      <c r="AG2528" t="n">
        <v>2122</v>
      </c>
      <c r="AH2528" t="inlineStr">
        <is>
          <t>PT. SINAR PADANG LESTARI - PPN (PDG)</t>
        </is>
      </c>
      <c r="AI2528" t="n">
        <v>1219</v>
      </c>
      <c r="AJ2528" t="inlineStr">
        <is>
          <t>KELAYA</t>
        </is>
      </c>
      <c r="AK2528" t="n">
        <v>21</v>
      </c>
      <c r="AL2528" t="inlineStr">
        <is>
          <t>Miss Glam Damar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KELAYA</t>
        </is>
      </c>
      <c r="B2529" s="2">
        <f>"8998183923129"</f>
        <v/>
      </c>
      <c r="C2529" t="inlineStr">
        <is>
          <t>KELAYA Hair Treatment Mist Romantic Love 100ml</t>
        </is>
      </c>
      <c r="D2529" t="inlineStr">
        <is>
          <t>Miss Glam Damar</t>
        </is>
      </c>
      <c r="E2529" t="n">
        <v>8</v>
      </c>
      <c r="F2529" t="n">
        <v>0.07000000000000001</v>
      </c>
      <c r="G2529" t="n">
        <v>1</v>
      </c>
      <c r="H2529" t="n">
        <v>3</v>
      </c>
      <c r="I2529" t="n">
        <v>11</v>
      </c>
      <c r="J2529" t="n">
        <v>3</v>
      </c>
      <c r="K2529" t="n">
        <v>0</v>
      </c>
      <c r="L2529" t="n">
        <v>30320</v>
      </c>
      <c r="M2529" t="n">
        <v>37900</v>
      </c>
      <c r="N2529" t="n">
        <v>91</v>
      </c>
      <c r="O2529" t="n">
        <v>0.91</v>
      </c>
      <c r="P2529" t="n">
        <v>0</v>
      </c>
      <c r="Q2529" t="n">
        <v>0.07000000000000001</v>
      </c>
      <c r="R2529" t="n">
        <v>1</v>
      </c>
      <c r="S2529" t="n">
        <v>2653</v>
      </c>
      <c r="T2529" t="n">
        <v>11</v>
      </c>
      <c r="U2529" t="n">
        <v>12</v>
      </c>
      <c r="V2529" t="n">
        <v>30</v>
      </c>
      <c r="W2529" t="n">
        <v>3</v>
      </c>
      <c r="X2529" t="n">
        <v>114.2857142857143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12840</v>
      </c>
      <c r="AG2529" t="n">
        <v>2122</v>
      </c>
      <c r="AH2529" t="inlineStr">
        <is>
          <t>PT. SINAR PADANG LESTARI - PPN (PDG)</t>
        </is>
      </c>
      <c r="AI2529" t="n">
        <v>1219</v>
      </c>
      <c r="AJ2529" t="inlineStr">
        <is>
          <t>KELAYA</t>
        </is>
      </c>
      <c r="AK2529" t="n">
        <v>21</v>
      </c>
      <c r="AL2529" t="inlineStr">
        <is>
          <t>Miss Glam Damar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KELAYA</t>
        </is>
      </c>
      <c r="B2530" s="2">
        <f>"8998183923143"</f>
        <v/>
      </c>
      <c r="C2530" t="inlineStr">
        <is>
          <t>KELAYA Hair Treatment Mist Sweet Cofident 100ml</t>
        </is>
      </c>
      <c r="D2530" t="inlineStr">
        <is>
          <t>Miss Glam Damar</t>
        </is>
      </c>
      <c r="E2530" t="n">
        <v>7</v>
      </c>
      <c r="F2530" t="n">
        <v>0.0273</v>
      </c>
      <c r="G2530" t="n">
        <v>0.91</v>
      </c>
      <c r="H2530" t="n">
        <v>3</v>
      </c>
      <c r="I2530" t="n">
        <v>11</v>
      </c>
      <c r="J2530" t="n">
        <v>3</v>
      </c>
      <c r="K2530" t="n">
        <v>0</v>
      </c>
      <c r="L2530" t="n">
        <v>30320</v>
      </c>
      <c r="M2530" t="n">
        <v>37900</v>
      </c>
      <c r="N2530" t="n">
        <v>91</v>
      </c>
      <c r="O2530" t="n">
        <v>0.91</v>
      </c>
      <c r="P2530" t="n">
        <v>1</v>
      </c>
      <c r="Q2530" t="n">
        <v>0.07000000000000001</v>
      </c>
      <c r="R2530" t="n">
        <v>1</v>
      </c>
      <c r="S2530" t="n">
        <v>1034.67</v>
      </c>
      <c r="T2530" t="n">
        <v>10</v>
      </c>
      <c r="U2530" t="n">
        <v>11</v>
      </c>
      <c r="V2530" t="n">
        <v>30</v>
      </c>
      <c r="W2530" t="n">
        <v>1</v>
      </c>
      <c r="X2530" t="n">
        <v>256.4102564102564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12840</v>
      </c>
      <c r="AG2530" t="n">
        <v>2122</v>
      </c>
      <c r="AH2530" t="inlineStr">
        <is>
          <t>PT. SINAR PADANG LESTARI - PPN (PDG)</t>
        </is>
      </c>
      <c r="AI2530" t="n">
        <v>1219</v>
      </c>
      <c r="AJ2530" t="inlineStr">
        <is>
          <t>KELAYA</t>
        </is>
      </c>
      <c r="AK2530" t="n">
        <v>21</v>
      </c>
      <c r="AL2530" t="inlineStr">
        <is>
          <t>Miss Glam Damar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KELAYA</t>
        </is>
      </c>
      <c r="B2531" s="2">
        <f>"8998183923303"</f>
        <v/>
      </c>
      <c r="C2531" t="inlineStr">
        <is>
          <t>KELAYA Hair Treatment Shampoo 250ml</t>
        </is>
      </c>
      <c r="D2531" t="inlineStr">
        <is>
          <t>Miss Glam Damar</t>
        </is>
      </c>
      <c r="E2531" t="n">
        <v>7</v>
      </c>
      <c r="F2531" t="n">
        <v>0.3731</v>
      </c>
      <c r="G2531" t="n">
        <v>2.73</v>
      </c>
      <c r="H2531" t="n">
        <v>3</v>
      </c>
      <c r="I2531" t="n">
        <v>11</v>
      </c>
      <c r="J2531" t="n">
        <v>3</v>
      </c>
      <c r="K2531" t="n">
        <v>0</v>
      </c>
      <c r="L2531" t="n">
        <v>73841</v>
      </c>
      <c r="M2531" t="n">
        <v>92300</v>
      </c>
      <c r="N2531" t="n">
        <v>91</v>
      </c>
      <c r="O2531" t="n">
        <v>0.91</v>
      </c>
      <c r="P2531" t="n">
        <v>1</v>
      </c>
      <c r="Q2531" t="n">
        <v>0.19</v>
      </c>
      <c r="R2531" t="n">
        <v>3</v>
      </c>
      <c r="S2531" t="n">
        <v>34437.13</v>
      </c>
      <c r="T2531" t="n">
        <v>29</v>
      </c>
      <c r="U2531" t="n">
        <v>31</v>
      </c>
      <c r="V2531" t="n">
        <v>30</v>
      </c>
      <c r="W2531" t="n">
        <v>12</v>
      </c>
      <c r="X2531" t="n">
        <v>18.76172607879925</v>
      </c>
      <c r="Y2531" t="n">
        <v>1</v>
      </c>
      <c r="Z2531" t="n">
        <v>5</v>
      </c>
      <c r="AA2531" t="n">
        <v>0</v>
      </c>
      <c r="AB2531" t="n">
        <v>5</v>
      </c>
      <c r="AC2531" t="n">
        <v>5</v>
      </c>
      <c r="AD2531" t="n">
        <v>0</v>
      </c>
      <c r="AE2531" t="n">
        <v>369205</v>
      </c>
      <c r="AF2531" t="n">
        <v>12840</v>
      </c>
      <c r="AG2531" t="n">
        <v>2122</v>
      </c>
      <c r="AH2531" t="inlineStr">
        <is>
          <t>PT. SINAR PADANG LESTARI - PPN (PDG)</t>
        </is>
      </c>
      <c r="AI2531" t="n">
        <v>1219</v>
      </c>
      <c r="AJ2531" t="inlineStr">
        <is>
          <t>KELAYA</t>
        </is>
      </c>
      <c r="AK2531" t="n">
        <v>21</v>
      </c>
      <c r="AL2531" t="inlineStr">
        <is>
          <t>Miss Glam Damar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KELAYA</t>
        </is>
      </c>
      <c r="B2532" s="2">
        <f>"8994458580028"</f>
        <v/>
      </c>
      <c r="C2532" t="inlineStr">
        <is>
          <t>KELAYA Intensive Hair Mask 190gr</t>
        </is>
      </c>
      <c r="D2532" t="inlineStr">
        <is>
          <t>Miss Glam Damar</t>
        </is>
      </c>
      <c r="E2532" t="n">
        <v>6</v>
      </c>
      <c r="F2532" t="n">
        <v>0.07000000000000001</v>
      </c>
      <c r="G2532" t="n">
        <v>2</v>
      </c>
      <c r="H2532" t="n">
        <v>3</v>
      </c>
      <c r="I2532" t="n">
        <v>11</v>
      </c>
      <c r="J2532" t="n">
        <v>3</v>
      </c>
      <c r="K2532" t="n">
        <v>0</v>
      </c>
      <c r="L2532" t="n">
        <v>48001</v>
      </c>
      <c r="M2532" t="n">
        <v>60000</v>
      </c>
      <c r="N2532" t="n">
        <v>91</v>
      </c>
      <c r="O2532" t="n">
        <v>0.91</v>
      </c>
      <c r="P2532" t="n">
        <v>0</v>
      </c>
      <c r="Q2532" t="n">
        <v>0.07000000000000001</v>
      </c>
      <c r="R2532" t="n">
        <v>2</v>
      </c>
      <c r="S2532" t="n">
        <v>4200</v>
      </c>
      <c r="T2532" t="n">
        <v>22</v>
      </c>
      <c r="U2532" t="n">
        <v>23</v>
      </c>
      <c r="V2532" t="n">
        <v>30</v>
      </c>
      <c r="W2532" t="n">
        <v>3</v>
      </c>
      <c r="X2532" t="n">
        <v>85.71428571428571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12840</v>
      </c>
      <c r="AG2532" t="n">
        <v>2122</v>
      </c>
      <c r="AH2532" t="inlineStr">
        <is>
          <t>PT. SINAR PADANG LESTARI - PPN (PDG)</t>
        </is>
      </c>
      <c r="AI2532" t="n">
        <v>1219</v>
      </c>
      <c r="AJ2532" t="inlineStr">
        <is>
          <t>KELAYA</t>
        </is>
      </c>
      <c r="AK2532" t="n">
        <v>21</v>
      </c>
      <c r="AL2532" t="inlineStr">
        <is>
          <t>Miss Glam Damar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KELAYA</t>
        </is>
      </c>
      <c r="B2533" s="2">
        <f>"8998183926069"</f>
        <v/>
      </c>
      <c r="C2533" t="inlineStr">
        <is>
          <t>KELAYA Protein Power Hair Essence 100ml</t>
        </is>
      </c>
      <c r="D2533" t="inlineStr">
        <is>
          <t>Miss Glam Damar</t>
        </is>
      </c>
      <c r="E2533" t="n">
        <v>5</v>
      </c>
      <c r="F2533" t="n">
        <v>0.0182</v>
      </c>
      <c r="G2533" t="n">
        <v>0.91</v>
      </c>
      <c r="H2533" t="n">
        <v>3</v>
      </c>
      <c r="I2533" t="n">
        <v>11</v>
      </c>
      <c r="J2533" t="n">
        <v>3</v>
      </c>
      <c r="K2533" t="n">
        <v>0</v>
      </c>
      <c r="L2533" t="n">
        <v>135200</v>
      </c>
      <c r="M2533" t="n">
        <v>169000</v>
      </c>
      <c r="N2533" t="n">
        <v>91</v>
      </c>
      <c r="O2533" t="n">
        <v>0.91</v>
      </c>
      <c r="P2533" t="n">
        <v>1</v>
      </c>
      <c r="Q2533" t="n">
        <v>0.02</v>
      </c>
      <c r="R2533" t="n">
        <v>1</v>
      </c>
      <c r="S2533" t="n">
        <v>3075.8</v>
      </c>
      <c r="T2533" t="n">
        <v>10</v>
      </c>
      <c r="U2533" t="n">
        <v>11</v>
      </c>
      <c r="V2533" t="n">
        <v>30</v>
      </c>
      <c r="W2533" t="n">
        <v>1</v>
      </c>
      <c r="X2533" t="n">
        <v>274.7252747252747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12840</v>
      </c>
      <c r="AG2533" t="n">
        <v>2122</v>
      </c>
      <c r="AH2533" t="inlineStr">
        <is>
          <t>PT. SINAR PADANG LESTARI - PPN (PDG)</t>
        </is>
      </c>
      <c r="AI2533" t="n">
        <v>1219</v>
      </c>
      <c r="AJ2533" t="inlineStr">
        <is>
          <t>KELAYA</t>
        </is>
      </c>
      <c r="AK2533" t="n">
        <v>21</v>
      </c>
      <c r="AL2533" t="inlineStr">
        <is>
          <t>Miss Glam Damar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KELLY</t>
        </is>
      </c>
      <c r="B2534" s="2">
        <f>"8994324300705"</f>
        <v/>
      </c>
      <c r="C2534" t="inlineStr">
        <is>
          <t>KELLY Cream 15gr</t>
        </is>
      </c>
      <c r="D2534" t="inlineStr">
        <is>
          <t>Miss Glam Damar</t>
        </is>
      </c>
      <c r="E2534" t="n">
        <v>0</v>
      </c>
      <c r="F2534" t="n">
        <v>1.0465</v>
      </c>
      <c r="G2534" t="n">
        <v>4.55</v>
      </c>
      <c r="H2534" t="n">
        <v>4</v>
      </c>
      <c r="I2534" t="n">
        <v>21</v>
      </c>
      <c r="J2534" t="n">
        <v>3</v>
      </c>
      <c r="K2534" t="n">
        <v>0</v>
      </c>
      <c r="L2534" t="n">
        <v>8858</v>
      </c>
      <c r="M2534" t="n">
        <v>12000</v>
      </c>
      <c r="N2534" t="n">
        <v>91</v>
      </c>
      <c r="O2534" t="n">
        <v>0.91</v>
      </c>
      <c r="P2534" t="n">
        <v>1</v>
      </c>
      <c r="Q2534" t="n">
        <v>0.22</v>
      </c>
      <c r="R2534" t="n">
        <v>4</v>
      </c>
      <c r="S2534" t="n">
        <v>12558</v>
      </c>
      <c r="T2534" t="n">
        <v>92</v>
      </c>
      <c r="U2534" t="n">
        <v>97</v>
      </c>
      <c r="V2534" t="n">
        <v>30</v>
      </c>
      <c r="W2534" t="n">
        <v>32</v>
      </c>
      <c r="X2534" t="n">
        <v>0</v>
      </c>
      <c r="Y2534" t="n">
        <v>1</v>
      </c>
      <c r="Z2534" t="n">
        <v>32</v>
      </c>
      <c r="AA2534" t="n">
        <v>22</v>
      </c>
      <c r="AB2534" t="n">
        <v>10</v>
      </c>
      <c r="AC2534" t="n">
        <v>10</v>
      </c>
      <c r="AD2534" t="n">
        <v>194876</v>
      </c>
      <c r="AE2534" t="n">
        <v>88580</v>
      </c>
      <c r="AF2534" t="n">
        <v>6120</v>
      </c>
      <c r="AG2534" t="n">
        <v>1</v>
      </c>
      <c r="AH2534" t="inlineStr">
        <is>
          <t>PT. BERSAMA DISTRIVERSA INDONESIA (DC CIPUTAT)</t>
        </is>
      </c>
      <c r="AI2534" t="n">
        <v>91</v>
      </c>
      <c r="AJ2534" t="inlineStr">
        <is>
          <t>KELLY</t>
        </is>
      </c>
      <c r="AK2534" t="n">
        <v>21</v>
      </c>
      <c r="AL2534" t="inlineStr">
        <is>
          <t>Miss Glam Damar</t>
        </is>
      </c>
      <c r="AM2534" t="n">
        <v>3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KELLY</t>
        </is>
      </c>
      <c r="B2535" s="2">
        <f>"8994324300736"</f>
        <v/>
      </c>
      <c r="C2535" t="inlineStr">
        <is>
          <t>KELLY Cream 6gr</t>
        </is>
      </c>
      <c r="D2535" t="inlineStr">
        <is>
          <t>Miss Glam Damar</t>
        </is>
      </c>
      <c r="E2535" t="n">
        <v>0</v>
      </c>
      <c r="F2535" t="n">
        <v>1.5925</v>
      </c>
      <c r="G2535" t="n">
        <v>5.46</v>
      </c>
      <c r="H2535" t="n">
        <v>4</v>
      </c>
      <c r="I2535" t="n">
        <v>21</v>
      </c>
      <c r="J2535" t="n">
        <v>3</v>
      </c>
      <c r="K2535" t="n">
        <v>0</v>
      </c>
      <c r="L2535" t="n">
        <v>5047</v>
      </c>
      <c r="M2535" t="n">
        <v>7500</v>
      </c>
      <c r="N2535" t="n">
        <v>91</v>
      </c>
      <c r="O2535" t="n">
        <v>0.91</v>
      </c>
      <c r="P2535" t="n">
        <v>1</v>
      </c>
      <c r="Q2535" t="n">
        <v>0.41</v>
      </c>
      <c r="R2535" t="n">
        <v>4</v>
      </c>
      <c r="S2535" t="n">
        <v>11943.75</v>
      </c>
      <c r="T2535" t="n">
        <v>109</v>
      </c>
      <c r="U2535" t="n">
        <v>116</v>
      </c>
      <c r="V2535" t="n">
        <v>30</v>
      </c>
      <c r="W2535" t="n">
        <v>48</v>
      </c>
      <c r="X2535" t="n">
        <v>0</v>
      </c>
      <c r="Y2535" t="n">
        <v>1</v>
      </c>
      <c r="Z2535" t="n">
        <v>48</v>
      </c>
      <c r="AA2535" t="n">
        <v>34</v>
      </c>
      <c r="AB2535" t="n">
        <v>14</v>
      </c>
      <c r="AC2535" t="n">
        <v>14</v>
      </c>
      <c r="AD2535" t="n">
        <v>171598</v>
      </c>
      <c r="AE2535" t="n">
        <v>70658</v>
      </c>
      <c r="AF2535" t="n">
        <v>6120</v>
      </c>
      <c r="AG2535" t="n">
        <v>1</v>
      </c>
      <c r="AH2535" t="inlineStr">
        <is>
          <t>PT. BERSAMA DISTRIVERSA INDONESIA (DC CIPUTAT)</t>
        </is>
      </c>
      <c r="AI2535" t="n">
        <v>91</v>
      </c>
      <c r="AJ2535" t="inlineStr">
        <is>
          <t>KELLY</t>
        </is>
      </c>
      <c r="AK2535" t="n">
        <v>21</v>
      </c>
      <c r="AL2535" t="inlineStr">
        <is>
          <t>Miss Glam Damar</t>
        </is>
      </c>
      <c r="AM2535" t="n">
        <v>3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KERITH</t>
        </is>
      </c>
      <c r="B2536" s="2">
        <f>"30200421315"</f>
        <v/>
      </c>
      <c r="C2536" t="inlineStr">
        <is>
          <t>KERITH Body Serum Whitening Nourish &amp; Moisturizer 100ml</t>
        </is>
      </c>
      <c r="D2536" t="inlineStr">
        <is>
          <t>Miss Glam Damar</t>
        </is>
      </c>
      <c r="E2536" t="n">
        <v>1</v>
      </c>
      <c r="F2536" t="n">
        <v>0.08</v>
      </c>
      <c r="G2536" t="n">
        <v>1</v>
      </c>
      <c r="H2536" t="n">
        <v>4</v>
      </c>
      <c r="I2536" t="n">
        <v>21</v>
      </c>
      <c r="J2536" t="n">
        <v>3</v>
      </c>
      <c r="K2536" t="n">
        <v>0</v>
      </c>
      <c r="L2536" t="n">
        <v>23678</v>
      </c>
      <c r="M2536" t="n">
        <v>30000</v>
      </c>
      <c r="N2536" t="n">
        <v>91</v>
      </c>
      <c r="O2536" t="n">
        <v>0.91</v>
      </c>
      <c r="P2536" t="n">
        <v>0</v>
      </c>
      <c r="Q2536" t="n">
        <v>0.08</v>
      </c>
      <c r="R2536" t="n">
        <v>1</v>
      </c>
      <c r="S2536" t="n">
        <v>2400</v>
      </c>
      <c r="T2536" t="n">
        <v>21</v>
      </c>
      <c r="U2536" t="n">
        <v>22</v>
      </c>
      <c r="V2536" t="n">
        <v>30</v>
      </c>
      <c r="W2536" t="n">
        <v>3</v>
      </c>
      <c r="X2536" t="n">
        <v>12.5</v>
      </c>
      <c r="Y2536" t="n">
        <v>1</v>
      </c>
      <c r="Z2536" t="n">
        <v>2</v>
      </c>
      <c r="AA2536" t="n">
        <v>1</v>
      </c>
      <c r="AB2536" t="n">
        <v>1</v>
      </c>
      <c r="AC2536" t="n">
        <v>3</v>
      </c>
      <c r="AD2536" t="n">
        <v>23678</v>
      </c>
      <c r="AE2536" t="n">
        <v>71034</v>
      </c>
      <c r="AF2536" t="n">
        <v>6153</v>
      </c>
      <c r="AG2536" t="n">
        <v>1</v>
      </c>
      <c r="AH2536" t="inlineStr">
        <is>
          <t>PT. BERSAMA DISTRIVERSA INDONESIA (DC CIPUTAT)</t>
        </is>
      </c>
      <c r="AI2536" t="n">
        <v>1943</v>
      </c>
      <c r="AJ2536" t="inlineStr">
        <is>
          <t>KERITH</t>
        </is>
      </c>
      <c r="AK2536" t="n">
        <v>21</v>
      </c>
      <c r="AL2536" t="inlineStr">
        <is>
          <t>Miss Glam Damar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KOJIC PLANKTON</t>
        </is>
      </c>
      <c r="B2537" s="2">
        <f>"10100812139"</f>
        <v/>
      </c>
      <c r="C2537" t="inlineStr">
        <is>
          <t>KOJIC PLANKTON Bright &amp; Glow Soap 40gr</t>
        </is>
      </c>
      <c r="D2537" t="inlineStr">
        <is>
          <t>Miss Glam Damar</t>
        </is>
      </c>
      <c r="E2537" t="n">
        <v>36</v>
      </c>
      <c r="F2537" t="n">
        <v>1.2922</v>
      </c>
      <c r="G2537" t="n">
        <v>6.37</v>
      </c>
      <c r="H2537" t="n">
        <v>4</v>
      </c>
      <c r="I2537" t="n">
        <v>21</v>
      </c>
      <c r="J2537" t="n">
        <v>3</v>
      </c>
      <c r="K2537" t="n">
        <v>0</v>
      </c>
      <c r="L2537" t="n">
        <v>18540</v>
      </c>
      <c r="M2537" t="n">
        <v>22000</v>
      </c>
      <c r="N2537" t="n">
        <v>91</v>
      </c>
      <c r="O2537" t="n">
        <v>0.91</v>
      </c>
      <c r="P2537" t="n">
        <v>1</v>
      </c>
      <c r="Q2537" t="n">
        <v>0.88</v>
      </c>
      <c r="R2537" t="n">
        <v>3</v>
      </c>
      <c r="S2537" t="n">
        <v>28428.4</v>
      </c>
      <c r="T2537" t="n">
        <v>129</v>
      </c>
      <c r="U2537" t="n">
        <v>135</v>
      </c>
      <c r="V2537" t="n">
        <v>30</v>
      </c>
      <c r="W2537" t="n">
        <v>39</v>
      </c>
      <c r="X2537" t="n">
        <v>27.85946447918279</v>
      </c>
      <c r="Y2537" t="n">
        <v>1</v>
      </c>
      <c r="Z2537" t="n">
        <v>3</v>
      </c>
      <c r="AA2537" t="n">
        <v>0</v>
      </c>
      <c r="AB2537" t="n">
        <v>3</v>
      </c>
      <c r="AC2537" t="n">
        <v>3</v>
      </c>
      <c r="AD2537" t="n">
        <v>0</v>
      </c>
      <c r="AE2537" t="n">
        <v>55620</v>
      </c>
      <c r="AF2537" t="n">
        <v>6219</v>
      </c>
      <c r="AG2537" t="n">
        <v>1</v>
      </c>
      <c r="AH2537" t="inlineStr">
        <is>
          <t>PT. BERSAMA DISTRIVERSA INDONESIA (DC CIPUTAT)</t>
        </is>
      </c>
      <c r="AI2537" t="n">
        <v>1511</v>
      </c>
      <c r="AJ2537" t="inlineStr">
        <is>
          <t>KOJIC PLANKTON</t>
        </is>
      </c>
      <c r="AK2537" t="n">
        <v>21</v>
      </c>
      <c r="AL2537" t="inlineStr">
        <is>
          <t>Miss Glam Damar</t>
        </is>
      </c>
      <c r="AM2537" t="n">
        <v>3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KOJIC PLANKTON</t>
        </is>
      </c>
      <c r="B2538" s="2">
        <f>"8994452280009"</f>
        <v/>
      </c>
      <c r="C2538" t="inlineStr">
        <is>
          <t>KOJIC PLANKTON Bright &amp; Glow Soap 90gr</t>
        </is>
      </c>
      <c r="D2538" t="inlineStr">
        <is>
          <t>Miss Glam Damar</t>
        </is>
      </c>
      <c r="E2538" t="n">
        <v>1</v>
      </c>
      <c r="F2538" t="n">
        <v>0.8008000000000001</v>
      </c>
      <c r="G2538" t="n">
        <v>5.46</v>
      </c>
      <c r="H2538" t="n">
        <v>4</v>
      </c>
      <c r="I2538" t="n">
        <v>21</v>
      </c>
      <c r="J2538" t="n">
        <v>3</v>
      </c>
      <c r="K2538" t="n">
        <v>12</v>
      </c>
      <c r="L2538" t="n">
        <v>27038</v>
      </c>
      <c r="M2538" t="n">
        <v>32000</v>
      </c>
      <c r="N2538" t="n">
        <v>91</v>
      </c>
      <c r="O2538" t="n">
        <v>0.91</v>
      </c>
      <c r="P2538" t="n">
        <v>1</v>
      </c>
      <c r="Q2538" t="n">
        <v>0.39</v>
      </c>
      <c r="R2538" t="n">
        <v>4</v>
      </c>
      <c r="S2538" t="n">
        <v>25625.6</v>
      </c>
      <c r="T2538" t="n">
        <v>112</v>
      </c>
      <c r="U2538" t="n">
        <v>116</v>
      </c>
      <c r="V2538" t="n">
        <v>30</v>
      </c>
      <c r="W2538" t="n">
        <v>25</v>
      </c>
      <c r="X2538" t="n">
        <v>1.248751248751249</v>
      </c>
      <c r="Y2538" t="n">
        <v>1</v>
      </c>
      <c r="Z2538" t="n">
        <v>12</v>
      </c>
      <c r="AA2538" t="n">
        <v>15</v>
      </c>
      <c r="AB2538" t="n">
        <v>0</v>
      </c>
      <c r="AC2538" t="n">
        <v>0</v>
      </c>
      <c r="AD2538" t="n">
        <v>405570</v>
      </c>
      <c r="AE2538" t="n">
        <v>0</v>
      </c>
      <c r="AF2538" t="n">
        <v>6219</v>
      </c>
      <c r="AG2538" t="n">
        <v>1</v>
      </c>
      <c r="AH2538" t="inlineStr">
        <is>
          <t>PT. BERSAMA DISTRIVERSA INDONESIA (DC CIPUTAT)</t>
        </is>
      </c>
      <c r="AI2538" t="n">
        <v>1511</v>
      </c>
      <c r="AJ2538" t="inlineStr">
        <is>
          <t>KOJIC PLANKTON</t>
        </is>
      </c>
      <c r="AK2538" t="n">
        <v>21</v>
      </c>
      <c r="AL2538" t="inlineStr">
        <is>
          <t>Miss Glam Damar</t>
        </is>
      </c>
      <c r="AM2538" t="n">
        <v>3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KOJIC PLANKTON</t>
        </is>
      </c>
      <c r="B2539" s="2">
        <f>"8994452280061"</f>
        <v/>
      </c>
      <c r="C2539" t="inlineStr">
        <is>
          <t>KOJIC PLANKTON Go To Bright 100gr</t>
        </is>
      </c>
      <c r="D2539" t="inlineStr">
        <is>
          <t>Miss Glam Damar</t>
        </is>
      </c>
      <c r="E2539" t="n">
        <v>1</v>
      </c>
      <c r="F2539" t="n">
        <v>0.02</v>
      </c>
      <c r="G2539" t="n">
        <v>0</v>
      </c>
      <c r="H2539" t="n">
        <v>4</v>
      </c>
      <c r="I2539" t="n">
        <v>21</v>
      </c>
      <c r="J2539" t="n">
        <v>3</v>
      </c>
      <c r="K2539" t="n">
        <v>0</v>
      </c>
      <c r="L2539" t="n">
        <v>27195</v>
      </c>
      <c r="M2539" t="n">
        <v>32000</v>
      </c>
      <c r="N2539" t="n">
        <v>91</v>
      </c>
      <c r="O2539" t="n">
        <v>0.91</v>
      </c>
      <c r="P2539" t="n">
        <v>0</v>
      </c>
      <c r="Q2539" t="n">
        <v>0.02</v>
      </c>
      <c r="R2539" t="n">
        <v>0</v>
      </c>
      <c r="S2539" t="n">
        <v>640</v>
      </c>
      <c r="T2539" t="n">
        <v>0</v>
      </c>
      <c r="U2539" t="n">
        <v>1</v>
      </c>
      <c r="V2539" t="n">
        <v>30</v>
      </c>
      <c r="W2539" t="n">
        <v>1</v>
      </c>
      <c r="X2539" t="n">
        <v>50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6219</v>
      </c>
      <c r="AG2539" t="n">
        <v>1</v>
      </c>
      <c r="AH2539" t="inlineStr">
        <is>
          <t>PT. BERSAMA DISTRIVERSA INDONESIA (DC CIPUTAT)</t>
        </is>
      </c>
      <c r="AI2539" t="n">
        <v>1511</v>
      </c>
      <c r="AJ2539" t="inlineStr">
        <is>
          <t>KOJIC PLANKTON</t>
        </is>
      </c>
      <c r="AK2539" t="n">
        <v>21</v>
      </c>
      <c r="AL2539" t="inlineStr">
        <is>
          <t>Miss Glam Damar</t>
        </is>
      </c>
      <c r="AM2539" t="n">
        <v>3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KOJIE SAN</t>
        </is>
      </c>
      <c r="B2540" s="2">
        <f>"4809014128030"</f>
        <v/>
      </c>
      <c r="C2540" t="inlineStr">
        <is>
          <t>KOJIE SAN Skin Lightening Body Lotion 100gr</t>
        </is>
      </c>
      <c r="D2540" t="inlineStr">
        <is>
          <t>Miss Glam Damar</t>
        </is>
      </c>
      <c r="E2540" t="n">
        <v>4</v>
      </c>
      <c r="F2540" t="n">
        <v>0.04550000000000001</v>
      </c>
      <c r="G2540" t="n">
        <v>0.91</v>
      </c>
      <c r="H2540" t="n">
        <v>2</v>
      </c>
      <c r="I2540" t="n">
        <v>6</v>
      </c>
      <c r="J2540" t="n">
        <v>3</v>
      </c>
      <c r="K2540" t="n">
        <v>0</v>
      </c>
      <c r="L2540" t="n">
        <v>54087</v>
      </c>
      <c r="M2540" t="n">
        <v>67500</v>
      </c>
      <c r="N2540" t="n">
        <v>91</v>
      </c>
      <c r="O2540" t="n">
        <v>0.91</v>
      </c>
      <c r="P2540" t="n">
        <v>1</v>
      </c>
      <c r="Q2540" t="n">
        <v>0.05</v>
      </c>
      <c r="R2540" t="n">
        <v>1</v>
      </c>
      <c r="S2540" t="n">
        <v>3071.25</v>
      </c>
      <c r="T2540" t="n">
        <v>6</v>
      </c>
      <c r="U2540" t="n">
        <v>7</v>
      </c>
      <c r="V2540" t="n">
        <v>30</v>
      </c>
      <c r="W2540" t="n">
        <v>2</v>
      </c>
      <c r="X2540" t="n">
        <v>87.9120879120879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12475</v>
      </c>
      <c r="AG2540" t="n">
        <v>3502</v>
      </c>
      <c r="AH2540" t="inlineStr">
        <is>
          <t>PT. SAI - PPN (PDG)</t>
        </is>
      </c>
      <c r="AI2540" t="n">
        <v>92</v>
      </c>
      <c r="AJ2540" t="inlineStr">
        <is>
          <t>KOJIE SAN</t>
        </is>
      </c>
      <c r="AK2540" t="n">
        <v>21</v>
      </c>
      <c r="AL2540" t="inlineStr">
        <is>
          <t>Miss Glam Damar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KOJIE SAN</t>
        </is>
      </c>
      <c r="B2541" s="2">
        <f>"4806520412875"</f>
        <v/>
      </c>
      <c r="C2541" t="inlineStr">
        <is>
          <t>KOJIE SAN Skin Lightening Soap with HydroMoist 135gr</t>
        </is>
      </c>
      <c r="D2541" t="inlineStr">
        <is>
          <t>Miss Glam Damar</t>
        </is>
      </c>
      <c r="E2541" t="n">
        <v>5</v>
      </c>
      <c r="F2541" t="n">
        <v>0.4823000000000001</v>
      </c>
      <c r="G2541" t="n">
        <v>3.64</v>
      </c>
      <c r="H2541" t="n">
        <v>2</v>
      </c>
      <c r="I2541" t="n">
        <v>6</v>
      </c>
      <c r="J2541" t="n">
        <v>3</v>
      </c>
      <c r="K2541" t="n">
        <v>0</v>
      </c>
      <c r="L2541" t="n">
        <v>31773</v>
      </c>
      <c r="M2541" t="n">
        <v>39000</v>
      </c>
      <c r="N2541" t="n">
        <v>91</v>
      </c>
      <c r="O2541" t="n">
        <v>0.91</v>
      </c>
      <c r="P2541" t="n">
        <v>1</v>
      </c>
      <c r="Q2541" t="n">
        <v>0.29</v>
      </c>
      <c r="R2541" t="n">
        <v>5</v>
      </c>
      <c r="S2541" t="n">
        <v>18809.7</v>
      </c>
      <c r="T2541" t="n">
        <v>21</v>
      </c>
      <c r="U2541" t="n">
        <v>22</v>
      </c>
      <c r="V2541" t="n">
        <v>30</v>
      </c>
      <c r="W2541" t="n">
        <v>15</v>
      </c>
      <c r="X2541" t="n">
        <v>10.36699149906697</v>
      </c>
      <c r="Y2541" t="n">
        <v>1</v>
      </c>
      <c r="Z2541" t="n">
        <v>10</v>
      </c>
      <c r="AA2541" t="n">
        <v>0</v>
      </c>
      <c r="AB2541" t="n">
        <v>10</v>
      </c>
      <c r="AC2541" t="n">
        <v>10</v>
      </c>
      <c r="AD2541" t="n">
        <v>0</v>
      </c>
      <c r="AE2541" t="n">
        <v>317730</v>
      </c>
      <c r="AF2541" t="n">
        <v>12475</v>
      </c>
      <c r="AG2541" t="n">
        <v>3502</v>
      </c>
      <c r="AH2541" t="inlineStr">
        <is>
          <t>PT. SAI - PPN (PDG)</t>
        </is>
      </c>
      <c r="AI2541" t="n">
        <v>92</v>
      </c>
      <c r="AJ2541" t="inlineStr">
        <is>
          <t>KOJIE SAN</t>
        </is>
      </c>
      <c r="AK2541" t="n">
        <v>21</v>
      </c>
      <c r="AL2541" t="inlineStr">
        <is>
          <t>Miss Glam Damar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KOJIE SAN</t>
        </is>
      </c>
      <c r="B2542" s="2">
        <f>"4806520412868"</f>
        <v/>
      </c>
      <c r="C2542" t="inlineStr">
        <is>
          <t>KOJIE SAN Skin Lightening Soap With HydroMoist 65gr</t>
        </is>
      </c>
      <c r="D2542" t="inlineStr">
        <is>
          <t>Miss Glam Damar</t>
        </is>
      </c>
      <c r="E2542" t="n">
        <v>20</v>
      </c>
      <c r="F2542" t="n">
        <v>1.2467</v>
      </c>
      <c r="G2542" t="n">
        <v>4.55</v>
      </c>
      <c r="H2542" t="n">
        <v>2</v>
      </c>
      <c r="I2542" t="n">
        <v>6</v>
      </c>
      <c r="J2542" t="n">
        <v>3</v>
      </c>
      <c r="K2542" t="n">
        <v>0</v>
      </c>
      <c r="L2542" t="n">
        <v>15081</v>
      </c>
      <c r="M2542" t="n">
        <v>19500</v>
      </c>
      <c r="N2542" t="n">
        <v>91</v>
      </c>
      <c r="O2542" t="n">
        <v>0.91</v>
      </c>
      <c r="P2542" t="n">
        <v>1</v>
      </c>
      <c r="Q2542" t="n">
        <v>0.6899999999999999</v>
      </c>
      <c r="R2542" t="n">
        <v>3</v>
      </c>
      <c r="S2542" t="n">
        <v>24310.65</v>
      </c>
      <c r="T2542" t="n">
        <v>25</v>
      </c>
      <c r="U2542" t="n">
        <v>28</v>
      </c>
      <c r="V2542" t="n">
        <v>30</v>
      </c>
      <c r="W2542" t="n">
        <v>38</v>
      </c>
      <c r="X2542" t="n">
        <v>16.04235180877517</v>
      </c>
      <c r="Y2542" t="n">
        <v>1</v>
      </c>
      <c r="Z2542" t="n">
        <v>18</v>
      </c>
      <c r="AA2542" t="n">
        <v>0</v>
      </c>
      <c r="AB2542" t="n">
        <v>18</v>
      </c>
      <c r="AC2542" t="n">
        <v>18</v>
      </c>
      <c r="AD2542" t="n">
        <v>0</v>
      </c>
      <c r="AE2542" t="n">
        <v>271458</v>
      </c>
      <c r="AF2542" t="n">
        <v>12475</v>
      </c>
      <c r="AG2542" t="n">
        <v>3502</v>
      </c>
      <c r="AH2542" t="inlineStr">
        <is>
          <t>PT. SAI - PPN (PDG)</t>
        </is>
      </c>
      <c r="AI2542" t="n">
        <v>92</v>
      </c>
      <c r="AJ2542" t="inlineStr">
        <is>
          <t>KOJIE SAN</t>
        </is>
      </c>
      <c r="AK2542" t="n">
        <v>21</v>
      </c>
      <c r="AL2542" t="inlineStr">
        <is>
          <t>Miss Glam Damar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KOJIE SAN</t>
        </is>
      </c>
      <c r="B2543" s="2">
        <f>"4809013300451"</f>
        <v/>
      </c>
      <c r="C2543" t="inlineStr">
        <is>
          <t>KOJIESAN Dream White AntiAging Soap 65gr</t>
        </is>
      </c>
      <c r="D2543" t="inlineStr">
        <is>
          <t>Miss Glam Damar</t>
        </is>
      </c>
      <c r="E2543" t="n">
        <v>5</v>
      </c>
      <c r="F2543" t="n">
        <v>0.17</v>
      </c>
      <c r="G2543" t="n">
        <v>2</v>
      </c>
      <c r="H2543" t="n">
        <v>2</v>
      </c>
      <c r="I2543" t="n">
        <v>6</v>
      </c>
      <c r="J2543" t="n">
        <v>3</v>
      </c>
      <c r="K2543" t="n">
        <v>0</v>
      </c>
      <c r="L2543" t="n">
        <v>15362</v>
      </c>
      <c r="M2543" t="n">
        <v>19500</v>
      </c>
      <c r="N2543" t="n">
        <v>91</v>
      </c>
      <c r="O2543" t="n">
        <v>0.91</v>
      </c>
      <c r="P2543" t="n">
        <v>0</v>
      </c>
      <c r="Q2543" t="n">
        <v>0.17</v>
      </c>
      <c r="R2543" t="n">
        <v>2</v>
      </c>
      <c r="S2543" t="n">
        <v>3315</v>
      </c>
      <c r="T2543" t="n">
        <v>12</v>
      </c>
      <c r="U2543" t="n">
        <v>13</v>
      </c>
      <c r="V2543" t="n">
        <v>30</v>
      </c>
      <c r="W2543" t="n">
        <v>6</v>
      </c>
      <c r="X2543" t="n">
        <v>29.41176470588235</v>
      </c>
      <c r="Y2543" t="n">
        <v>1</v>
      </c>
      <c r="Z2543" t="n">
        <v>1</v>
      </c>
      <c r="AA2543" t="n">
        <v>0</v>
      </c>
      <c r="AB2543" t="n">
        <v>1</v>
      </c>
      <c r="AC2543" t="n">
        <v>3</v>
      </c>
      <c r="AD2543" t="n">
        <v>0</v>
      </c>
      <c r="AE2543" t="n">
        <v>46086</v>
      </c>
      <c r="AF2543" t="n">
        <v>12475</v>
      </c>
      <c r="AG2543" t="n">
        <v>3502</v>
      </c>
      <c r="AH2543" t="inlineStr">
        <is>
          <t>PT. SAI - PPN (PDG)</t>
        </is>
      </c>
      <c r="AI2543" t="n">
        <v>92</v>
      </c>
      <c r="AJ2543" t="inlineStr">
        <is>
          <t>KOJIE SAN</t>
        </is>
      </c>
      <c r="AK2543" t="n">
        <v>21</v>
      </c>
      <c r="AL2543" t="inlineStr">
        <is>
          <t>Miss Glam Damar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KOJIE SAN</t>
        </is>
      </c>
      <c r="B2544" s="2">
        <f>"4806520410994"</f>
        <v/>
      </c>
      <c r="C2544" t="inlineStr">
        <is>
          <t>KOJIESAN Kojic Acid Soap Travel Pack 4x30gr</t>
        </is>
      </c>
      <c r="D2544" t="inlineStr">
        <is>
          <t>Miss Glam Damar</t>
        </is>
      </c>
      <c r="E2544" t="n">
        <v>10</v>
      </c>
      <c r="F2544" t="n">
        <v>0.8644999999999999</v>
      </c>
      <c r="G2544" t="n">
        <v>2.73</v>
      </c>
      <c r="H2544" t="n">
        <v>2</v>
      </c>
      <c r="I2544" t="n">
        <v>6</v>
      </c>
      <c r="J2544" t="n">
        <v>3</v>
      </c>
      <c r="K2544" t="n">
        <v>0</v>
      </c>
      <c r="L2544" t="n">
        <v>23613</v>
      </c>
      <c r="M2544" t="n">
        <v>28500</v>
      </c>
      <c r="N2544" t="n">
        <v>91</v>
      </c>
      <c r="O2544" t="n">
        <v>0.91</v>
      </c>
      <c r="P2544" t="n">
        <v>1</v>
      </c>
      <c r="Q2544" t="n">
        <v>0.42</v>
      </c>
      <c r="R2544" t="n">
        <v>3</v>
      </c>
      <c r="S2544" t="n">
        <v>24638.25</v>
      </c>
      <c r="T2544" t="n">
        <v>15</v>
      </c>
      <c r="U2544" t="n">
        <v>17</v>
      </c>
      <c r="V2544" t="n">
        <v>30</v>
      </c>
      <c r="W2544" t="n">
        <v>26</v>
      </c>
      <c r="X2544" t="n">
        <v>11.56737998843262</v>
      </c>
      <c r="Y2544" t="n">
        <v>1</v>
      </c>
      <c r="Z2544" t="n">
        <v>16</v>
      </c>
      <c r="AA2544" t="n">
        <v>0</v>
      </c>
      <c r="AB2544" t="n">
        <v>16</v>
      </c>
      <c r="AC2544" t="n">
        <v>16</v>
      </c>
      <c r="AD2544" t="n">
        <v>0</v>
      </c>
      <c r="AE2544" t="n">
        <v>377808</v>
      </c>
      <c r="AF2544" t="n">
        <v>12475</v>
      </c>
      <c r="AG2544" t="n">
        <v>3502</v>
      </c>
      <c r="AH2544" t="inlineStr">
        <is>
          <t>PT. SAI - PPN (PDG)</t>
        </is>
      </c>
      <c r="AI2544" t="n">
        <v>92</v>
      </c>
      <c r="AJ2544" t="inlineStr">
        <is>
          <t>KOJIE SAN</t>
        </is>
      </c>
      <c r="AK2544" t="n">
        <v>21</v>
      </c>
      <c r="AL2544" t="inlineStr">
        <is>
          <t>Miss Glam Damar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KOJIE SAN</t>
        </is>
      </c>
      <c r="B2545" s="2">
        <f>"4809014128399"</f>
        <v/>
      </c>
      <c r="C2545" t="inlineStr">
        <is>
          <t>KOJIESAN Lightening Soap 45gr</t>
        </is>
      </c>
      <c r="D2545" t="inlineStr">
        <is>
          <t>Miss Glam Damar</t>
        </is>
      </c>
      <c r="E2545" t="n">
        <v>12</v>
      </c>
      <c r="F2545" t="n">
        <v>0.9555000000000001</v>
      </c>
      <c r="G2545" t="n">
        <v>3.64</v>
      </c>
      <c r="H2545" t="n">
        <v>2</v>
      </c>
      <c r="I2545" t="n">
        <v>6</v>
      </c>
      <c r="J2545" t="n">
        <v>3</v>
      </c>
      <c r="K2545" t="n">
        <v>0</v>
      </c>
      <c r="L2545" t="n">
        <v>11246</v>
      </c>
      <c r="M2545" t="n">
        <v>15000</v>
      </c>
      <c r="N2545" t="n">
        <v>91</v>
      </c>
      <c r="O2545" t="n">
        <v>0.91</v>
      </c>
      <c r="P2545" t="n">
        <v>1</v>
      </c>
      <c r="Q2545" t="n">
        <v>0.46</v>
      </c>
      <c r="R2545" t="n">
        <v>3</v>
      </c>
      <c r="S2545" t="n">
        <v>14332.5</v>
      </c>
      <c r="T2545" t="n">
        <v>20</v>
      </c>
      <c r="U2545" t="n">
        <v>22</v>
      </c>
      <c r="V2545" t="n">
        <v>30</v>
      </c>
      <c r="W2545" t="n">
        <v>29</v>
      </c>
      <c r="X2545" t="n">
        <v>12.55886970172684</v>
      </c>
      <c r="Y2545" t="n">
        <v>1</v>
      </c>
      <c r="Z2545" t="n">
        <v>17</v>
      </c>
      <c r="AA2545" t="n">
        <v>0</v>
      </c>
      <c r="AB2545" t="n">
        <v>17</v>
      </c>
      <c r="AC2545" t="n">
        <v>17</v>
      </c>
      <c r="AD2545" t="n">
        <v>0</v>
      </c>
      <c r="AE2545" t="n">
        <v>191182</v>
      </c>
      <c r="AF2545" t="n">
        <v>12475</v>
      </c>
      <c r="AG2545" t="n">
        <v>3502</v>
      </c>
      <c r="AH2545" t="inlineStr">
        <is>
          <t>PT. SAI - PPN (PDG)</t>
        </is>
      </c>
      <c r="AI2545" t="n">
        <v>92</v>
      </c>
      <c r="AJ2545" t="inlineStr">
        <is>
          <t>KOJIE SAN</t>
        </is>
      </c>
      <c r="AK2545" t="n">
        <v>21</v>
      </c>
      <c r="AL2545" t="inlineStr">
        <is>
          <t>Miss Glam Damar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KOJIE SAN</t>
        </is>
      </c>
      <c r="B2546" s="2">
        <f>"4806520410444"</f>
        <v/>
      </c>
      <c r="C2546" t="inlineStr">
        <is>
          <t>KOJIESAN Skin Lightening Soap 135gr</t>
        </is>
      </c>
      <c r="D2546" t="inlineStr">
        <is>
          <t>Miss Glam Damar</t>
        </is>
      </c>
      <c r="E2546" t="n">
        <v>24</v>
      </c>
      <c r="F2546" t="n">
        <v>0.8918</v>
      </c>
      <c r="G2546" t="n">
        <v>4.55</v>
      </c>
      <c r="H2546" t="n">
        <v>2</v>
      </c>
      <c r="I2546" t="n">
        <v>6</v>
      </c>
      <c r="J2546" t="n">
        <v>3</v>
      </c>
      <c r="K2546" t="n">
        <v>0</v>
      </c>
      <c r="L2546" t="n">
        <v>27942</v>
      </c>
      <c r="M2546" t="n">
        <v>35500</v>
      </c>
      <c r="N2546" t="n">
        <v>91</v>
      </c>
      <c r="O2546" t="n">
        <v>0.91</v>
      </c>
      <c r="P2546" t="n">
        <v>1</v>
      </c>
      <c r="Q2546" t="n">
        <v>0.46</v>
      </c>
      <c r="R2546" t="n">
        <v>4</v>
      </c>
      <c r="S2546" t="n">
        <v>31658.9</v>
      </c>
      <c r="T2546" t="n">
        <v>26</v>
      </c>
      <c r="U2546" t="n">
        <v>28</v>
      </c>
      <c r="V2546" t="n">
        <v>30</v>
      </c>
      <c r="W2546" t="n">
        <v>27</v>
      </c>
      <c r="X2546" t="n">
        <v>26.91186364655752</v>
      </c>
      <c r="Y2546" t="n">
        <v>1</v>
      </c>
      <c r="Z2546" t="n">
        <v>3</v>
      </c>
      <c r="AA2546" t="n">
        <v>0</v>
      </c>
      <c r="AB2546" t="n">
        <v>3</v>
      </c>
      <c r="AC2546" t="n">
        <v>3</v>
      </c>
      <c r="AD2546" t="n">
        <v>0</v>
      </c>
      <c r="AE2546" t="n">
        <v>83826</v>
      </c>
      <c r="AF2546" t="n">
        <v>12475</v>
      </c>
      <c r="AG2546" t="n">
        <v>3502</v>
      </c>
      <c r="AH2546" t="inlineStr">
        <is>
          <t>PT. SAI - PPN (PDG)</t>
        </is>
      </c>
      <c r="AI2546" t="n">
        <v>92</v>
      </c>
      <c r="AJ2546" t="inlineStr">
        <is>
          <t>KOJIE SAN</t>
        </is>
      </c>
      <c r="AK2546" t="n">
        <v>21</v>
      </c>
      <c r="AL2546" t="inlineStr">
        <is>
          <t>Miss Glam Damar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KOJIE SAN</t>
        </is>
      </c>
      <c r="B2547" s="2">
        <f>"4809013300093"</f>
        <v/>
      </c>
      <c r="C2547" t="inlineStr">
        <is>
          <t>KOJIESAN Skin Lightening Soap 65gr</t>
        </is>
      </c>
      <c r="D2547" t="inlineStr">
        <is>
          <t>Miss Glam Damar</t>
        </is>
      </c>
      <c r="E2547" t="n">
        <v>18</v>
      </c>
      <c r="F2547" t="n">
        <v>2.0384</v>
      </c>
      <c r="G2547" t="n">
        <v>6.37</v>
      </c>
      <c r="H2547" t="n">
        <v>2</v>
      </c>
      <c r="I2547" t="n">
        <v>6</v>
      </c>
      <c r="J2547" t="n">
        <v>3</v>
      </c>
      <c r="K2547" t="n">
        <v>0</v>
      </c>
      <c r="L2547" t="n">
        <v>13874</v>
      </c>
      <c r="M2547" t="n">
        <v>17500</v>
      </c>
      <c r="N2547" t="n">
        <v>91</v>
      </c>
      <c r="O2547" t="n">
        <v>0.91</v>
      </c>
      <c r="P2547" t="n">
        <v>1</v>
      </c>
      <c r="Q2547" t="n">
        <v>0.83</v>
      </c>
      <c r="R2547" t="n">
        <v>4</v>
      </c>
      <c r="S2547" t="n">
        <v>35672.00000000001</v>
      </c>
      <c r="T2547" t="n">
        <v>35</v>
      </c>
      <c r="U2547" t="n">
        <v>40</v>
      </c>
      <c r="V2547" t="n">
        <v>30</v>
      </c>
      <c r="W2547" t="n">
        <v>62</v>
      </c>
      <c r="X2547" t="n">
        <v>8.830455259026687</v>
      </c>
      <c r="Y2547" t="n">
        <v>1</v>
      </c>
      <c r="Z2547" t="n">
        <v>44</v>
      </c>
      <c r="AA2547" t="n">
        <v>0</v>
      </c>
      <c r="AB2547" t="n">
        <v>44</v>
      </c>
      <c r="AC2547" t="n">
        <v>44</v>
      </c>
      <c r="AD2547" t="n">
        <v>0</v>
      </c>
      <c r="AE2547" t="n">
        <v>610456</v>
      </c>
      <c r="AF2547" t="n">
        <v>12475</v>
      </c>
      <c r="AG2547" t="n">
        <v>3502</v>
      </c>
      <c r="AH2547" t="inlineStr">
        <is>
          <t>PT. SAI - PPN (PDG)</t>
        </is>
      </c>
      <c r="AI2547" t="n">
        <v>92</v>
      </c>
      <c r="AJ2547" t="inlineStr">
        <is>
          <t>KOJIE SAN</t>
        </is>
      </c>
      <c r="AK2547" t="n">
        <v>21</v>
      </c>
      <c r="AL2547" t="inlineStr">
        <is>
          <t>Miss Glam Damar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KOJIESAN SAKURA</t>
        </is>
      </c>
      <c r="B2548" s="2">
        <f>"8997024498642"</f>
        <v/>
      </c>
      <c r="C2548" t="inlineStr">
        <is>
          <t>KOJIESAN SAKURA Body Scrub With Goats Milk 250gr</t>
        </is>
      </c>
      <c r="D2548" t="inlineStr">
        <is>
          <t>Miss Glam Damar</t>
        </is>
      </c>
      <c r="E2548" t="n">
        <v>6</v>
      </c>
      <c r="F2548" t="n">
        <v>0.09100000000000001</v>
      </c>
      <c r="G2548" t="n">
        <v>0.91</v>
      </c>
      <c r="H2548" t="n">
        <v>3</v>
      </c>
      <c r="I2548" t="n">
        <v>11</v>
      </c>
      <c r="J2548" t="n">
        <v>3</v>
      </c>
      <c r="K2548" t="n">
        <v>0</v>
      </c>
      <c r="L2548" t="n">
        <v>29331</v>
      </c>
      <c r="M2548" t="n">
        <v>37000</v>
      </c>
      <c r="N2548" t="n">
        <v>91</v>
      </c>
      <c r="O2548" t="n">
        <v>0.91</v>
      </c>
      <c r="P2548" t="n">
        <v>1</v>
      </c>
      <c r="Q2548" t="n">
        <v>0.03</v>
      </c>
      <c r="R2548" t="n">
        <v>1</v>
      </c>
      <c r="S2548" t="n">
        <v>3367</v>
      </c>
      <c r="T2548" t="n">
        <v>10</v>
      </c>
      <c r="U2548" t="n">
        <v>11</v>
      </c>
      <c r="V2548" t="n">
        <v>30</v>
      </c>
      <c r="W2548" t="n">
        <v>3</v>
      </c>
      <c r="X2548" t="n">
        <v>65.93406593406593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10070</v>
      </c>
      <c r="AG2548" t="n">
        <v>78</v>
      </c>
      <c r="AH2548" t="inlineStr">
        <is>
          <t>PT. GLORIENTA P.H - PPN (PDG)</t>
        </is>
      </c>
      <c r="AI2548" t="n">
        <v>1632</v>
      </c>
      <c r="AJ2548" t="inlineStr">
        <is>
          <t>KOJIESAN SAKURA</t>
        </is>
      </c>
      <c r="AK2548" t="n">
        <v>21</v>
      </c>
      <c r="AL2548" t="inlineStr">
        <is>
          <t>Miss Glam Damar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KOJIESAN SAKURA</t>
        </is>
      </c>
      <c r="B2549" s="2">
        <f>"8997024498574"</f>
        <v/>
      </c>
      <c r="C2549" t="inlineStr">
        <is>
          <t>KOJIESAN SAKURA Body Scrub With Kojic Acid 250gr</t>
        </is>
      </c>
      <c r="D2549" t="inlineStr">
        <is>
          <t>Miss Glam Damar</t>
        </is>
      </c>
      <c r="E2549" t="n">
        <v>5</v>
      </c>
      <c r="F2549" t="n">
        <v>0.7280000000000001</v>
      </c>
      <c r="G2549" t="n">
        <v>2.73</v>
      </c>
      <c r="H2549" t="n">
        <v>3</v>
      </c>
      <c r="I2549" t="n">
        <v>11</v>
      </c>
      <c r="J2549" t="n">
        <v>3</v>
      </c>
      <c r="K2549" t="n">
        <v>0</v>
      </c>
      <c r="L2549" t="n">
        <v>29331</v>
      </c>
      <c r="M2549" t="n">
        <v>37000</v>
      </c>
      <c r="N2549" t="n">
        <v>91</v>
      </c>
      <c r="O2549" t="n">
        <v>0.91</v>
      </c>
      <c r="P2549" t="n">
        <v>1</v>
      </c>
      <c r="Q2549" t="n">
        <v>0.58</v>
      </c>
      <c r="R2549" t="n">
        <v>3</v>
      </c>
      <c r="S2549" t="n">
        <v>26936</v>
      </c>
      <c r="T2549" t="n">
        <v>28</v>
      </c>
      <c r="U2549" t="n">
        <v>31</v>
      </c>
      <c r="V2549" t="n">
        <v>30</v>
      </c>
      <c r="W2549" t="n">
        <v>22</v>
      </c>
      <c r="X2549" t="n">
        <v>6.868131868131868</v>
      </c>
      <c r="Y2549" t="n">
        <v>1</v>
      </c>
      <c r="Z2549" t="n">
        <v>17</v>
      </c>
      <c r="AA2549" t="n">
        <v>4</v>
      </c>
      <c r="AB2549" t="n">
        <v>13</v>
      </c>
      <c r="AC2549" t="n">
        <v>13</v>
      </c>
      <c r="AD2549" t="n">
        <v>117324</v>
      </c>
      <c r="AE2549" t="n">
        <v>381303</v>
      </c>
      <c r="AF2549" t="n">
        <v>10070</v>
      </c>
      <c r="AG2549" t="n">
        <v>78</v>
      </c>
      <c r="AH2549" t="inlineStr">
        <is>
          <t>PT. GLORIENTA P.H - PPN (PDG)</t>
        </is>
      </c>
      <c r="AI2549" t="n">
        <v>1632</v>
      </c>
      <c r="AJ2549" t="inlineStr">
        <is>
          <t>KOJIESAN SAKURA</t>
        </is>
      </c>
      <c r="AK2549" t="n">
        <v>21</v>
      </c>
      <c r="AL2549" t="inlineStr">
        <is>
          <t>Miss Glam Damar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KOJIESAN SAKURA</t>
        </is>
      </c>
      <c r="B2550" s="2">
        <f>"8997024498598"</f>
        <v/>
      </c>
      <c r="C2550" t="inlineStr">
        <is>
          <t>KOJIESAN SAKURA Body Wash With Goats Milk 250ml</t>
        </is>
      </c>
      <c r="D2550" t="inlineStr">
        <is>
          <t>Miss Glam Damar</t>
        </is>
      </c>
      <c r="E2550" t="n">
        <v>2</v>
      </c>
      <c r="F2550" t="n">
        <v>0.04550000000000001</v>
      </c>
      <c r="G2550" t="n">
        <v>0.91</v>
      </c>
      <c r="H2550" t="n">
        <v>3</v>
      </c>
      <c r="I2550" t="n">
        <v>11</v>
      </c>
      <c r="J2550" t="n">
        <v>3</v>
      </c>
      <c r="K2550" t="n">
        <v>0</v>
      </c>
      <c r="L2550" t="n">
        <v>29331</v>
      </c>
      <c r="M2550" t="n">
        <v>37000</v>
      </c>
      <c r="N2550" t="n">
        <v>91</v>
      </c>
      <c r="O2550" t="n">
        <v>0.91</v>
      </c>
      <c r="P2550" t="n">
        <v>1</v>
      </c>
      <c r="Q2550" t="n">
        <v>0.03</v>
      </c>
      <c r="R2550" t="n">
        <v>1</v>
      </c>
      <c r="S2550" t="n">
        <v>1683.5</v>
      </c>
      <c r="T2550" t="n">
        <v>10</v>
      </c>
      <c r="U2550" t="n">
        <v>11</v>
      </c>
      <c r="V2550" t="n">
        <v>30</v>
      </c>
      <c r="W2550" t="n">
        <v>2</v>
      </c>
      <c r="X2550" t="n">
        <v>43.95604395604395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10070</v>
      </c>
      <c r="AG2550" t="n">
        <v>78</v>
      </c>
      <c r="AH2550" t="inlineStr">
        <is>
          <t>PT. GLORIENTA P.H - PPN (PDG)</t>
        </is>
      </c>
      <c r="AI2550" t="n">
        <v>1632</v>
      </c>
      <c r="AJ2550" t="inlineStr">
        <is>
          <t>KOJIESAN SAKURA</t>
        </is>
      </c>
      <c r="AK2550" t="n">
        <v>21</v>
      </c>
      <c r="AL2550" t="inlineStr">
        <is>
          <t>Miss Glam Damar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KOJIESAN SAKURA</t>
        </is>
      </c>
      <c r="B2551" s="2">
        <f>"8997024498581"</f>
        <v/>
      </c>
      <c r="C2551" t="inlineStr">
        <is>
          <t>KOJIESAN SAKURA Body Wash With Kojic Acid 250ml</t>
        </is>
      </c>
      <c r="D2551" t="inlineStr">
        <is>
          <t>Miss Glam Damar</t>
        </is>
      </c>
      <c r="E2551" t="n">
        <v>7</v>
      </c>
      <c r="F2551" t="n">
        <v>0.09100000000000001</v>
      </c>
      <c r="G2551" t="n">
        <v>0.91</v>
      </c>
      <c r="H2551" t="n">
        <v>3</v>
      </c>
      <c r="I2551" t="n">
        <v>11</v>
      </c>
      <c r="J2551" t="n">
        <v>3</v>
      </c>
      <c r="K2551" t="n">
        <v>0</v>
      </c>
      <c r="L2551" t="n">
        <v>29331</v>
      </c>
      <c r="M2551" t="n">
        <v>37000</v>
      </c>
      <c r="N2551" t="n">
        <v>91</v>
      </c>
      <c r="O2551" t="n">
        <v>0.91</v>
      </c>
      <c r="P2551" t="n">
        <v>1</v>
      </c>
      <c r="Q2551" t="n">
        <v>0.15</v>
      </c>
      <c r="R2551" t="n">
        <v>1</v>
      </c>
      <c r="S2551" t="n">
        <v>3367</v>
      </c>
      <c r="T2551" t="n">
        <v>10</v>
      </c>
      <c r="U2551" t="n">
        <v>11</v>
      </c>
      <c r="V2551" t="n">
        <v>30</v>
      </c>
      <c r="W2551" t="n">
        <v>3</v>
      </c>
      <c r="X2551" t="n">
        <v>76.92307692307692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10070</v>
      </c>
      <c r="AG2551" t="n">
        <v>78</v>
      </c>
      <c r="AH2551" t="inlineStr">
        <is>
          <t>PT. GLORIENTA P.H - PPN (PDG)</t>
        </is>
      </c>
      <c r="AI2551" t="n">
        <v>1632</v>
      </c>
      <c r="AJ2551" t="inlineStr">
        <is>
          <t>KOJIESAN SAKURA</t>
        </is>
      </c>
      <c r="AK2551" t="n">
        <v>21</v>
      </c>
      <c r="AL2551" t="inlineStr">
        <is>
          <t>Miss Glam Damar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KOJIESAN SAKURA</t>
        </is>
      </c>
      <c r="B2552" s="2">
        <f>"8997024498666"</f>
        <v/>
      </c>
      <c r="C2552" t="inlineStr">
        <is>
          <t>KOJIESAN SAKURA Brightening Serum Niacinamide &amp; Marine Collagen 25ml</t>
        </is>
      </c>
      <c r="D2552" t="inlineStr">
        <is>
          <t>Miss Glam Damar</t>
        </is>
      </c>
      <c r="E2552" t="n">
        <v>8</v>
      </c>
      <c r="F2552" t="n">
        <v>0.04550000000000001</v>
      </c>
      <c r="G2552" t="n">
        <v>0.91</v>
      </c>
      <c r="H2552" t="n">
        <v>3</v>
      </c>
      <c r="I2552" t="n">
        <v>11</v>
      </c>
      <c r="J2552" t="n">
        <v>3</v>
      </c>
      <c r="K2552" t="n">
        <v>0</v>
      </c>
      <c r="L2552" t="n">
        <v>31996</v>
      </c>
      <c r="M2552" t="n">
        <v>40000</v>
      </c>
      <c r="N2552" t="n">
        <v>91</v>
      </c>
      <c r="O2552" t="n">
        <v>0.91</v>
      </c>
      <c r="P2552" t="n">
        <v>1</v>
      </c>
      <c r="Q2552" t="n">
        <v>0.05</v>
      </c>
      <c r="R2552" t="n">
        <v>1</v>
      </c>
      <c r="S2552" t="n">
        <v>1820</v>
      </c>
      <c r="T2552" t="n">
        <v>10</v>
      </c>
      <c r="U2552" t="n">
        <v>11</v>
      </c>
      <c r="V2552" t="n">
        <v>30</v>
      </c>
      <c r="W2552" t="n">
        <v>2</v>
      </c>
      <c r="X2552" t="n">
        <v>175.8241758241758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10070</v>
      </c>
      <c r="AG2552" t="n">
        <v>78</v>
      </c>
      <c r="AH2552" t="inlineStr">
        <is>
          <t>PT. GLORIENTA P.H - PPN (PDG)</t>
        </is>
      </c>
      <c r="AI2552" t="n">
        <v>1632</v>
      </c>
      <c r="AJ2552" t="inlineStr">
        <is>
          <t>KOJIESAN SAKURA</t>
        </is>
      </c>
      <c r="AK2552" t="n">
        <v>21</v>
      </c>
      <c r="AL2552" t="inlineStr">
        <is>
          <t>Miss Glam Damar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KOJIESAN SAKURA</t>
        </is>
      </c>
      <c r="B2553" s="2">
        <f>"8997024498994"</f>
        <v/>
      </c>
      <c r="C2553" t="inlineStr">
        <is>
          <t>KOJIESAN SAKURA Glow Skin Body Lotion With Glutathione And Niacinamide 250ml</t>
        </is>
      </c>
      <c r="D2553" t="inlineStr">
        <is>
          <t>Miss Glam Damar</t>
        </is>
      </c>
      <c r="E2553" t="n">
        <v>13</v>
      </c>
      <c r="F2553" t="n">
        <v>0.182</v>
      </c>
      <c r="G2553" t="n">
        <v>0.91</v>
      </c>
      <c r="H2553" t="n">
        <v>3</v>
      </c>
      <c r="I2553" t="n">
        <v>11</v>
      </c>
      <c r="J2553" t="n">
        <v>3</v>
      </c>
      <c r="K2553" t="n">
        <v>0</v>
      </c>
      <c r="L2553" t="n">
        <v>29331</v>
      </c>
      <c r="M2553" t="n">
        <v>37000</v>
      </c>
      <c r="N2553" t="n">
        <v>91</v>
      </c>
      <c r="O2553" t="n">
        <v>0.91</v>
      </c>
      <c r="P2553" t="n">
        <v>1</v>
      </c>
      <c r="Q2553" t="n">
        <v>0.2</v>
      </c>
      <c r="R2553" t="n">
        <v>1</v>
      </c>
      <c r="S2553" t="n">
        <v>6734.000000000001</v>
      </c>
      <c r="T2553" t="n">
        <v>10</v>
      </c>
      <c r="U2553" t="n">
        <v>11</v>
      </c>
      <c r="V2553" t="n">
        <v>30</v>
      </c>
      <c r="W2553" t="n">
        <v>6</v>
      </c>
      <c r="X2553" t="n">
        <v>71.42857142857142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10070</v>
      </c>
      <c r="AG2553" t="n">
        <v>78</v>
      </c>
      <c r="AH2553" t="inlineStr">
        <is>
          <t>PT. GLORIENTA P.H - PPN (PDG)</t>
        </is>
      </c>
      <c r="AI2553" t="n">
        <v>1632</v>
      </c>
      <c r="AJ2553" t="inlineStr">
        <is>
          <t>KOJIESAN SAKURA</t>
        </is>
      </c>
      <c r="AK2553" t="n">
        <v>21</v>
      </c>
      <c r="AL2553" t="inlineStr">
        <is>
          <t>Miss Glam Damar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KOJIESAN SAKURA</t>
        </is>
      </c>
      <c r="B2554" s="2">
        <f>"8997024499007"</f>
        <v/>
      </c>
      <c r="C2554" t="inlineStr">
        <is>
          <t>KOJIESAN SAKURA Glow Skin Body Scrub With Glutathione And Niacinamide 250gr</t>
        </is>
      </c>
      <c r="D2554" t="inlineStr">
        <is>
          <t>Miss Glam Damar</t>
        </is>
      </c>
      <c r="E2554" t="n">
        <v>12</v>
      </c>
      <c r="F2554" t="n">
        <v>0.4186</v>
      </c>
      <c r="G2554" t="n">
        <v>2.73</v>
      </c>
      <c r="H2554" t="n">
        <v>3</v>
      </c>
      <c r="I2554" t="n">
        <v>11</v>
      </c>
      <c r="J2554" t="n">
        <v>3</v>
      </c>
      <c r="K2554" t="n">
        <v>0</v>
      </c>
      <c r="L2554" t="n">
        <v>29331</v>
      </c>
      <c r="M2554" t="n">
        <v>37000</v>
      </c>
      <c r="N2554" t="n">
        <v>91</v>
      </c>
      <c r="O2554" t="n">
        <v>0.91</v>
      </c>
      <c r="P2554" t="n">
        <v>1</v>
      </c>
      <c r="Q2554" t="n">
        <v>0.54</v>
      </c>
      <c r="R2554" t="n">
        <v>3</v>
      </c>
      <c r="S2554" t="n">
        <v>15488.2</v>
      </c>
      <c r="T2554" t="n">
        <v>29</v>
      </c>
      <c r="U2554" t="n">
        <v>31</v>
      </c>
      <c r="V2554" t="n">
        <v>30</v>
      </c>
      <c r="W2554" t="n">
        <v>13</v>
      </c>
      <c r="X2554" t="n">
        <v>28.66698518872432</v>
      </c>
      <c r="Y2554" t="n">
        <v>1</v>
      </c>
      <c r="Z2554" t="n">
        <v>1</v>
      </c>
      <c r="AA2554" t="n">
        <v>0</v>
      </c>
      <c r="AB2554" t="n">
        <v>1</v>
      </c>
      <c r="AC2554" t="n">
        <v>3</v>
      </c>
      <c r="AD2554" t="n">
        <v>0</v>
      </c>
      <c r="AE2554" t="n">
        <v>87993</v>
      </c>
      <c r="AF2554" t="n">
        <v>10070</v>
      </c>
      <c r="AG2554" t="n">
        <v>78</v>
      </c>
      <c r="AH2554" t="inlineStr">
        <is>
          <t>PT. GLORIENTA P.H - PPN (PDG)</t>
        </is>
      </c>
      <c r="AI2554" t="n">
        <v>1632</v>
      </c>
      <c r="AJ2554" t="inlineStr">
        <is>
          <t>KOJIESAN SAKURA</t>
        </is>
      </c>
      <c r="AK2554" t="n">
        <v>21</v>
      </c>
      <c r="AL2554" t="inlineStr">
        <is>
          <t>Miss Glam Damar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KOJIESAN SAKURA</t>
        </is>
      </c>
      <c r="B2555" s="2">
        <f>"8997024499014"</f>
        <v/>
      </c>
      <c r="C2555" t="inlineStr">
        <is>
          <t>KOJIESAN SAKURA Glow Skin Body Wash With Glutathione And Niacinamide 250ml</t>
        </is>
      </c>
      <c r="D2555" t="inlineStr">
        <is>
          <t>Miss Glam Damar</t>
        </is>
      </c>
      <c r="E2555" t="n">
        <v>4</v>
      </c>
      <c r="F2555" t="n">
        <v>0.2002</v>
      </c>
      <c r="G2555" t="n">
        <v>1.82</v>
      </c>
      <c r="H2555" t="n">
        <v>3</v>
      </c>
      <c r="I2555" t="n">
        <v>11</v>
      </c>
      <c r="J2555" t="n">
        <v>3</v>
      </c>
      <c r="K2555" t="n">
        <v>0</v>
      </c>
      <c r="L2555" t="n">
        <v>29331</v>
      </c>
      <c r="M2555" t="n">
        <v>37000</v>
      </c>
      <c r="N2555" t="n">
        <v>91</v>
      </c>
      <c r="O2555" t="n">
        <v>0.91</v>
      </c>
      <c r="P2555" t="n">
        <v>1</v>
      </c>
      <c r="Q2555" t="n">
        <v>0.22</v>
      </c>
      <c r="R2555" t="n">
        <v>2</v>
      </c>
      <c r="S2555" t="n">
        <v>7407.400000000001</v>
      </c>
      <c r="T2555" t="n">
        <v>20</v>
      </c>
      <c r="U2555" t="n">
        <v>21</v>
      </c>
      <c r="V2555" t="n">
        <v>30</v>
      </c>
      <c r="W2555" t="n">
        <v>7</v>
      </c>
      <c r="X2555" t="n">
        <v>19.98001998001998</v>
      </c>
      <c r="Y2555" t="n">
        <v>1</v>
      </c>
      <c r="Z2555" t="n">
        <v>3</v>
      </c>
      <c r="AA2555" t="n">
        <v>0</v>
      </c>
      <c r="AB2555" t="n">
        <v>3</v>
      </c>
      <c r="AC2555" t="n">
        <v>3</v>
      </c>
      <c r="AD2555" t="n">
        <v>0</v>
      </c>
      <c r="AE2555" t="n">
        <v>87993</v>
      </c>
      <c r="AF2555" t="n">
        <v>10070</v>
      </c>
      <c r="AG2555" t="n">
        <v>78</v>
      </c>
      <c r="AH2555" t="inlineStr">
        <is>
          <t>PT. GLORIENTA P.H - PPN (PDG)</t>
        </is>
      </c>
      <c r="AI2555" t="n">
        <v>1632</v>
      </c>
      <c r="AJ2555" t="inlineStr">
        <is>
          <t>KOJIESAN SAKURA</t>
        </is>
      </c>
      <c r="AK2555" t="n">
        <v>21</v>
      </c>
      <c r="AL2555" t="inlineStr">
        <is>
          <t>Miss Glam Damar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KOJIESAN SAKURA</t>
        </is>
      </c>
      <c r="B2556" s="2">
        <f>"8997024498628"</f>
        <v/>
      </c>
      <c r="C2556" t="inlineStr">
        <is>
          <t>KOJIESAN SAKURA Glow Skin Transparant Soap 135gr</t>
        </is>
      </c>
      <c r="D2556" t="inlineStr">
        <is>
          <t>Miss Glam Damar</t>
        </is>
      </c>
      <c r="E2556" t="n">
        <v>5</v>
      </c>
      <c r="F2556" t="n">
        <v>0.2002</v>
      </c>
      <c r="G2556" t="n">
        <v>1.82</v>
      </c>
      <c r="H2556" t="n">
        <v>3</v>
      </c>
      <c r="I2556" t="n">
        <v>11</v>
      </c>
      <c r="J2556" t="n">
        <v>3</v>
      </c>
      <c r="K2556" t="n">
        <v>0</v>
      </c>
      <c r="L2556" t="n">
        <v>22220</v>
      </c>
      <c r="M2556" t="n">
        <v>28000</v>
      </c>
      <c r="N2556" t="n">
        <v>91</v>
      </c>
      <c r="O2556" t="n">
        <v>0.91</v>
      </c>
      <c r="P2556" t="n">
        <v>1</v>
      </c>
      <c r="Q2556" t="n">
        <v>0.25</v>
      </c>
      <c r="R2556" t="n">
        <v>1</v>
      </c>
      <c r="S2556" t="n">
        <v>5605.6</v>
      </c>
      <c r="T2556" t="n">
        <v>20</v>
      </c>
      <c r="U2556" t="n">
        <v>21</v>
      </c>
      <c r="V2556" t="n">
        <v>30</v>
      </c>
      <c r="W2556" t="n">
        <v>7</v>
      </c>
      <c r="X2556" t="n">
        <v>24.97502497502497</v>
      </c>
      <c r="Y2556" t="n">
        <v>1</v>
      </c>
      <c r="Z2556" t="n">
        <v>2</v>
      </c>
      <c r="AA2556" t="n">
        <v>0</v>
      </c>
      <c r="AB2556" t="n">
        <v>2</v>
      </c>
      <c r="AC2556" t="n">
        <v>3</v>
      </c>
      <c r="AD2556" t="n">
        <v>0</v>
      </c>
      <c r="AE2556" t="n">
        <v>66660</v>
      </c>
      <c r="AF2556" t="n">
        <v>10070</v>
      </c>
      <c r="AG2556" t="n">
        <v>78</v>
      </c>
      <c r="AH2556" t="inlineStr">
        <is>
          <t>PT. GLORIENTA P.H - PPN (PDG)</t>
        </is>
      </c>
      <c r="AI2556" t="n">
        <v>1632</v>
      </c>
      <c r="AJ2556" t="inlineStr">
        <is>
          <t>KOJIESAN SAKURA</t>
        </is>
      </c>
      <c r="AK2556" t="n">
        <v>21</v>
      </c>
      <c r="AL2556" t="inlineStr">
        <is>
          <t>Miss Glam Damar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KOJIESAN SAKURA</t>
        </is>
      </c>
      <c r="B2557" s="2">
        <f>"8997024498536"</f>
        <v/>
      </c>
      <c r="C2557" t="inlineStr">
        <is>
          <t>KOJIESAN SAKURA Goats Milk Soap 135gr</t>
        </is>
      </c>
      <c r="D2557" t="inlineStr">
        <is>
          <t>Miss Glam Damar</t>
        </is>
      </c>
      <c r="E2557" t="n">
        <v>6</v>
      </c>
      <c r="F2557" t="n">
        <v>0.1365</v>
      </c>
      <c r="G2557" t="n">
        <v>3.64</v>
      </c>
      <c r="H2557" t="n">
        <v>3</v>
      </c>
      <c r="I2557" t="n">
        <v>11</v>
      </c>
      <c r="J2557" t="n">
        <v>3</v>
      </c>
      <c r="K2557" t="n">
        <v>0</v>
      </c>
      <c r="L2557" t="n">
        <v>22220</v>
      </c>
      <c r="M2557" t="n">
        <v>28000</v>
      </c>
      <c r="N2557" t="n">
        <v>91</v>
      </c>
      <c r="O2557" t="n">
        <v>0.91</v>
      </c>
      <c r="P2557" t="n">
        <v>1</v>
      </c>
      <c r="Q2557" t="n">
        <v>0.02</v>
      </c>
      <c r="R2557" t="n">
        <v>1</v>
      </c>
      <c r="S2557" t="n">
        <v>3822</v>
      </c>
      <c r="T2557" t="n">
        <v>40</v>
      </c>
      <c r="U2557" t="n">
        <v>41</v>
      </c>
      <c r="V2557" t="n">
        <v>30</v>
      </c>
      <c r="W2557" t="n">
        <v>5</v>
      </c>
      <c r="X2557" t="n">
        <v>43.95604395604396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10070</v>
      </c>
      <c r="AG2557" t="n">
        <v>78</v>
      </c>
      <c r="AH2557" t="inlineStr">
        <is>
          <t>PT. GLORIENTA P.H - PPN (PDG)</t>
        </is>
      </c>
      <c r="AI2557" t="n">
        <v>1632</v>
      </c>
      <c r="AJ2557" t="inlineStr">
        <is>
          <t>KOJIESAN SAKURA</t>
        </is>
      </c>
      <c r="AK2557" t="n">
        <v>21</v>
      </c>
      <c r="AL2557" t="inlineStr">
        <is>
          <t>Miss Glam Damar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KOJIESAN SAKURA</t>
        </is>
      </c>
      <c r="B2558" s="2">
        <f>"8997024498529"</f>
        <v/>
      </c>
      <c r="C2558" t="inlineStr">
        <is>
          <t>KOJIESAN SAKURA Kojic Dipalmitate Soap 135gr</t>
        </is>
      </c>
      <c r="D2558" t="inlineStr">
        <is>
          <t>Miss Glam Damar</t>
        </is>
      </c>
      <c r="E2558" t="n">
        <v>6</v>
      </c>
      <c r="F2558" t="n">
        <v>0.3094</v>
      </c>
      <c r="G2558" t="n">
        <v>1.82</v>
      </c>
      <c r="H2558" t="n">
        <v>3</v>
      </c>
      <c r="I2558" t="n">
        <v>11</v>
      </c>
      <c r="J2558" t="n">
        <v>12</v>
      </c>
      <c r="K2558" t="n">
        <v>0</v>
      </c>
      <c r="L2558" t="n">
        <v>22220</v>
      </c>
      <c r="M2558" t="n">
        <v>28000</v>
      </c>
      <c r="N2558" t="n">
        <v>91</v>
      </c>
      <c r="O2558" t="n">
        <v>0.91</v>
      </c>
      <c r="P2558" t="n">
        <v>1</v>
      </c>
      <c r="Q2558" t="n">
        <v>0.17</v>
      </c>
      <c r="R2558" t="n">
        <v>2</v>
      </c>
      <c r="S2558" t="n">
        <v>8663.200000000001</v>
      </c>
      <c r="T2558" t="n">
        <v>20</v>
      </c>
      <c r="U2558" t="n">
        <v>21</v>
      </c>
      <c r="V2558" t="n">
        <v>30</v>
      </c>
      <c r="W2558" t="n">
        <v>10</v>
      </c>
      <c r="X2558" t="n">
        <v>19.3923723335488</v>
      </c>
      <c r="Y2558" t="n">
        <v>1</v>
      </c>
      <c r="Z2558" t="n">
        <v>4</v>
      </c>
      <c r="AA2558" t="n">
        <v>0</v>
      </c>
      <c r="AB2558" t="n">
        <v>4</v>
      </c>
      <c r="AC2558" t="n">
        <v>12</v>
      </c>
      <c r="AD2558" t="n">
        <v>0</v>
      </c>
      <c r="AE2558" t="n">
        <v>266640</v>
      </c>
      <c r="AF2558" t="n">
        <v>10070</v>
      </c>
      <c r="AG2558" t="n">
        <v>78</v>
      </c>
      <c r="AH2558" t="inlineStr">
        <is>
          <t>PT. GLORIENTA P.H - PPN (PDG)</t>
        </is>
      </c>
      <c r="AI2558" t="n">
        <v>1632</v>
      </c>
      <c r="AJ2558" t="inlineStr">
        <is>
          <t>KOJIESAN SAKURA</t>
        </is>
      </c>
      <c r="AK2558" t="n">
        <v>21</v>
      </c>
      <c r="AL2558" t="inlineStr">
        <is>
          <t>Miss Glam Damar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KOJIESAN SAKURA</t>
        </is>
      </c>
      <c r="B2559" s="2">
        <f>"10100824953"</f>
        <v/>
      </c>
      <c r="C2559" t="inlineStr">
        <is>
          <t>KOJIESAN SAKURA Kojic Moisture Glow Bar 40gr</t>
        </is>
      </c>
      <c r="D2559" t="inlineStr">
        <is>
          <t>Miss Glam Damar</t>
        </is>
      </c>
      <c r="E2559" t="n">
        <v>10</v>
      </c>
      <c r="F2559" t="n">
        <v>0.0273</v>
      </c>
      <c r="G2559" t="n">
        <v>0.91</v>
      </c>
      <c r="H2559" t="n">
        <v>3</v>
      </c>
      <c r="I2559" t="n">
        <v>11</v>
      </c>
      <c r="J2559" t="n">
        <v>1</v>
      </c>
      <c r="K2559" t="n">
        <v>0</v>
      </c>
      <c r="L2559" t="n">
        <v>18000</v>
      </c>
      <c r="M2559" t="n">
        <v>22500</v>
      </c>
      <c r="N2559" t="n">
        <v>91</v>
      </c>
      <c r="O2559" t="n">
        <v>0.91</v>
      </c>
      <c r="P2559" t="n">
        <v>1</v>
      </c>
      <c r="Q2559" t="n">
        <v>0.02</v>
      </c>
      <c r="R2559" t="n">
        <v>1</v>
      </c>
      <c r="S2559" t="n">
        <v>614.25</v>
      </c>
      <c r="T2559" t="n">
        <v>10</v>
      </c>
      <c r="U2559" t="n">
        <v>11</v>
      </c>
      <c r="V2559" t="n">
        <v>30</v>
      </c>
      <c r="W2559" t="n">
        <v>1</v>
      </c>
      <c r="X2559" t="n">
        <v>366.3003663003663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10070</v>
      </c>
      <c r="AG2559" t="n">
        <v>78</v>
      </c>
      <c r="AH2559" t="inlineStr">
        <is>
          <t>PT. GLORIENTA P.H - PPN (PDG)</t>
        </is>
      </c>
      <c r="AI2559" t="n">
        <v>1632</v>
      </c>
      <c r="AJ2559" t="inlineStr">
        <is>
          <t>KOJIESAN SAKURA</t>
        </is>
      </c>
      <c r="AK2559" t="n">
        <v>21</v>
      </c>
      <c r="AL2559" t="inlineStr">
        <is>
          <t>Miss Glam Damar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KOJIESAN SAKURA</t>
        </is>
      </c>
      <c r="B2560" s="2">
        <f>"10100825103"</f>
        <v/>
      </c>
      <c r="C2560" t="inlineStr">
        <is>
          <t>KOJIESAN SAKURA Kojic Pure Bright Bar Soap 40gr</t>
        </is>
      </c>
      <c r="D2560" t="inlineStr">
        <is>
          <t>Miss Glam Damar</t>
        </is>
      </c>
      <c r="E2560" t="n">
        <v>7</v>
      </c>
      <c r="F2560" t="n">
        <v>0.2457</v>
      </c>
      <c r="G2560" t="n">
        <v>2.73</v>
      </c>
      <c r="H2560" t="n">
        <v>3</v>
      </c>
      <c r="I2560" t="n">
        <v>11</v>
      </c>
      <c r="J2560" t="n">
        <v>1</v>
      </c>
      <c r="K2560" t="n">
        <v>0</v>
      </c>
      <c r="L2560" t="n">
        <v>18000</v>
      </c>
      <c r="M2560" t="n">
        <v>22500</v>
      </c>
      <c r="N2560" t="n">
        <v>91</v>
      </c>
      <c r="O2560" t="n">
        <v>0.91</v>
      </c>
      <c r="P2560" t="n">
        <v>1</v>
      </c>
      <c r="Q2560" t="n">
        <v>0.05</v>
      </c>
      <c r="R2560" t="n">
        <v>2</v>
      </c>
      <c r="S2560" t="n">
        <v>5528.250000000001</v>
      </c>
      <c r="T2560" t="n">
        <v>30</v>
      </c>
      <c r="U2560" t="n">
        <v>31</v>
      </c>
      <c r="V2560" t="n">
        <v>30</v>
      </c>
      <c r="W2560" t="n">
        <v>8</v>
      </c>
      <c r="X2560" t="n">
        <v>28.49002849002849</v>
      </c>
      <c r="Y2560" t="n">
        <v>1</v>
      </c>
      <c r="Z2560" t="n">
        <v>1</v>
      </c>
      <c r="AA2560" t="n">
        <v>0</v>
      </c>
      <c r="AB2560" t="n">
        <v>1</v>
      </c>
      <c r="AC2560" t="n">
        <v>1</v>
      </c>
      <c r="AD2560" t="n">
        <v>0</v>
      </c>
      <c r="AE2560" t="n">
        <v>18000</v>
      </c>
      <c r="AF2560" t="n">
        <v>10070</v>
      </c>
      <c r="AG2560" t="n">
        <v>78</v>
      </c>
      <c r="AH2560" t="inlineStr">
        <is>
          <t>PT. GLORIENTA P.H - PPN (PDG)</t>
        </is>
      </c>
      <c r="AI2560" t="n">
        <v>1632</v>
      </c>
      <c r="AJ2560" t="inlineStr">
        <is>
          <t>KOJIESAN SAKURA</t>
        </is>
      </c>
      <c r="AK2560" t="n">
        <v>21</v>
      </c>
      <c r="AL2560" t="inlineStr">
        <is>
          <t>Miss Glam Damar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KOJIESAN SAKURA</t>
        </is>
      </c>
      <c r="B2561" s="2">
        <f>"8997024498123"</f>
        <v/>
      </c>
      <c r="C2561" t="inlineStr">
        <is>
          <t>KOJIESAN SAKURA Skin Brightening Soap With Goats Milk 65gr</t>
        </is>
      </c>
      <c r="D2561" t="inlineStr">
        <is>
          <t>Miss Glam Damar</t>
        </is>
      </c>
      <c r="E2561" t="n">
        <v>13</v>
      </c>
      <c r="F2561" t="n">
        <v>0.3822</v>
      </c>
      <c r="G2561" t="n">
        <v>2.73</v>
      </c>
      <c r="H2561" t="n">
        <v>3</v>
      </c>
      <c r="I2561" t="n">
        <v>11</v>
      </c>
      <c r="J2561" t="n">
        <v>3</v>
      </c>
      <c r="K2561" t="n">
        <v>0</v>
      </c>
      <c r="L2561" t="n">
        <v>11111</v>
      </c>
      <c r="M2561" t="n">
        <v>14000</v>
      </c>
      <c r="N2561" t="n">
        <v>91</v>
      </c>
      <c r="O2561" t="n">
        <v>0.91</v>
      </c>
      <c r="P2561" t="n">
        <v>1</v>
      </c>
      <c r="Q2561" t="n">
        <v>0.36</v>
      </c>
      <c r="R2561" t="n">
        <v>2</v>
      </c>
      <c r="S2561" t="n">
        <v>5350.8</v>
      </c>
      <c r="T2561" t="n">
        <v>29</v>
      </c>
      <c r="U2561" t="n">
        <v>31</v>
      </c>
      <c r="V2561" t="n">
        <v>30</v>
      </c>
      <c r="W2561" t="n">
        <v>12</v>
      </c>
      <c r="X2561" t="n">
        <v>34.01360544217687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10070</v>
      </c>
      <c r="AG2561" t="n">
        <v>78</v>
      </c>
      <c r="AH2561" t="inlineStr">
        <is>
          <t>PT. GLORIENTA P.H - PPN (PDG)</t>
        </is>
      </c>
      <c r="AI2561" t="n">
        <v>1632</v>
      </c>
      <c r="AJ2561" t="inlineStr">
        <is>
          <t>KOJIESAN SAKURA</t>
        </is>
      </c>
      <c r="AK2561" t="n">
        <v>21</v>
      </c>
      <c r="AL2561" t="inlineStr">
        <is>
          <t>Miss Glam Damar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KOJIESAN SAKURA</t>
        </is>
      </c>
      <c r="B2562" s="2">
        <f>"8997024498376"</f>
        <v/>
      </c>
      <c r="C2562" t="inlineStr">
        <is>
          <t>KOJIESAN SAKURA Skin Brightening Soap With Kojic Dipalmitate 65gr</t>
        </is>
      </c>
      <c r="D2562" t="inlineStr">
        <is>
          <t>Miss Glam Damar</t>
        </is>
      </c>
      <c r="E2562" t="n">
        <v>22</v>
      </c>
      <c r="F2562" t="n">
        <v>1.5379</v>
      </c>
      <c r="G2562" t="n">
        <v>9.1</v>
      </c>
      <c r="H2562" t="n">
        <v>3</v>
      </c>
      <c r="I2562" t="n">
        <v>11</v>
      </c>
      <c r="J2562" t="n">
        <v>3</v>
      </c>
      <c r="K2562" t="n">
        <v>0</v>
      </c>
      <c r="L2562" t="n">
        <v>11111</v>
      </c>
      <c r="M2562" t="n">
        <v>14000</v>
      </c>
      <c r="N2562" t="n">
        <v>91</v>
      </c>
      <c r="O2562" t="n">
        <v>0.91</v>
      </c>
      <c r="P2562" t="n">
        <v>1</v>
      </c>
      <c r="Q2562" t="n">
        <v>0.63</v>
      </c>
      <c r="R2562" t="n">
        <v>5</v>
      </c>
      <c r="S2562" t="n">
        <v>21530.6</v>
      </c>
      <c r="T2562" t="n">
        <v>96</v>
      </c>
      <c r="U2562" t="n">
        <v>101</v>
      </c>
      <c r="V2562" t="n">
        <v>30</v>
      </c>
      <c r="W2562" t="n">
        <v>47</v>
      </c>
      <c r="X2562" t="n">
        <v>14.30522140581312</v>
      </c>
      <c r="Y2562" t="n">
        <v>1</v>
      </c>
      <c r="Z2562" t="n">
        <v>25</v>
      </c>
      <c r="AA2562" t="n">
        <v>0</v>
      </c>
      <c r="AB2562" t="n">
        <v>25</v>
      </c>
      <c r="AC2562" t="n">
        <v>25</v>
      </c>
      <c r="AD2562" t="n">
        <v>0</v>
      </c>
      <c r="AE2562" t="n">
        <v>277775</v>
      </c>
      <c r="AF2562" t="n">
        <v>10070</v>
      </c>
      <c r="AG2562" t="n">
        <v>78</v>
      </c>
      <c r="AH2562" t="inlineStr">
        <is>
          <t>PT. GLORIENTA P.H - PPN (PDG)</t>
        </is>
      </c>
      <c r="AI2562" t="n">
        <v>1632</v>
      </c>
      <c r="AJ2562" t="inlineStr">
        <is>
          <t>KOJIESAN SAKURA</t>
        </is>
      </c>
      <c r="AK2562" t="n">
        <v>21</v>
      </c>
      <c r="AL2562" t="inlineStr">
        <is>
          <t>Miss Glam Damar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KOJIESAN SAKURA</t>
        </is>
      </c>
      <c r="B2563" s="2">
        <f>"8997024498611"</f>
        <v/>
      </c>
      <c r="C2563" t="inlineStr">
        <is>
          <t>KOJIESAN SAKURA Skin Glow Skin Transparant Soap With Niacinamide &amp; Glutathione 65gr</t>
        </is>
      </c>
      <c r="D2563" t="inlineStr">
        <is>
          <t>Miss Glam Damar</t>
        </is>
      </c>
      <c r="E2563" t="n">
        <v>19</v>
      </c>
      <c r="F2563" t="n">
        <v>1.2194</v>
      </c>
      <c r="G2563" t="n">
        <v>4.55</v>
      </c>
      <c r="H2563" t="n">
        <v>3</v>
      </c>
      <c r="I2563" t="n">
        <v>11</v>
      </c>
      <c r="J2563" t="n">
        <v>3</v>
      </c>
      <c r="K2563" t="n">
        <v>0</v>
      </c>
      <c r="L2563" t="n">
        <v>11111</v>
      </c>
      <c r="M2563" t="n">
        <v>14000</v>
      </c>
      <c r="N2563" t="n">
        <v>91</v>
      </c>
      <c r="O2563" t="n">
        <v>0.91</v>
      </c>
      <c r="P2563" t="n">
        <v>1</v>
      </c>
      <c r="Q2563" t="n">
        <v>0.41</v>
      </c>
      <c r="R2563" t="n">
        <v>2</v>
      </c>
      <c r="S2563" t="n">
        <v>17071.6</v>
      </c>
      <c r="T2563" t="n">
        <v>47</v>
      </c>
      <c r="U2563" t="n">
        <v>51</v>
      </c>
      <c r="V2563" t="n">
        <v>30</v>
      </c>
      <c r="W2563" t="n">
        <v>37</v>
      </c>
      <c r="X2563" t="n">
        <v>15.58143349188125</v>
      </c>
      <c r="Y2563" t="n">
        <v>1</v>
      </c>
      <c r="Z2563" t="n">
        <v>18</v>
      </c>
      <c r="AA2563" t="n">
        <v>0</v>
      </c>
      <c r="AB2563" t="n">
        <v>18</v>
      </c>
      <c r="AC2563" t="n">
        <v>18</v>
      </c>
      <c r="AD2563" t="n">
        <v>0</v>
      </c>
      <c r="AE2563" t="n">
        <v>199998</v>
      </c>
      <c r="AF2563" t="n">
        <v>10070</v>
      </c>
      <c r="AG2563" t="n">
        <v>78</v>
      </c>
      <c r="AH2563" t="inlineStr">
        <is>
          <t>PT. GLORIENTA P.H - PPN (PDG)</t>
        </is>
      </c>
      <c r="AI2563" t="n">
        <v>1632</v>
      </c>
      <c r="AJ2563" t="inlineStr">
        <is>
          <t>KOJIESAN SAKURA</t>
        </is>
      </c>
      <c r="AK2563" t="n">
        <v>21</v>
      </c>
      <c r="AL2563" t="inlineStr">
        <is>
          <t>Miss Glam Damar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KOJIESAN SAKURA</t>
        </is>
      </c>
      <c r="B2564" s="2">
        <f>"8997024498765"</f>
        <v/>
      </c>
      <c r="C2564" t="inlineStr">
        <is>
          <t>KOJIESAN SAKURA Whitening Body Lotion Kojic Acid 250ml</t>
        </is>
      </c>
      <c r="D2564" t="inlineStr">
        <is>
          <t>Miss Glam Damar</t>
        </is>
      </c>
      <c r="E2564" t="n">
        <v>15</v>
      </c>
      <c r="F2564" t="n">
        <v>0.7280000000000001</v>
      </c>
      <c r="G2564" t="n">
        <v>2.73</v>
      </c>
      <c r="H2564" t="n">
        <v>3</v>
      </c>
      <c r="I2564" t="n">
        <v>11</v>
      </c>
      <c r="J2564" t="n">
        <v>3</v>
      </c>
      <c r="K2564" t="n">
        <v>0</v>
      </c>
      <c r="L2564" t="n">
        <v>29331</v>
      </c>
      <c r="M2564" t="n">
        <v>37000</v>
      </c>
      <c r="N2564" t="n">
        <v>91</v>
      </c>
      <c r="O2564" t="n">
        <v>0.91</v>
      </c>
      <c r="P2564" t="n">
        <v>1</v>
      </c>
      <c r="Q2564" t="n">
        <v>0.8</v>
      </c>
      <c r="R2564" t="n">
        <v>3</v>
      </c>
      <c r="S2564" t="n">
        <v>26936</v>
      </c>
      <c r="T2564" t="n">
        <v>28</v>
      </c>
      <c r="U2564" t="n">
        <v>31</v>
      </c>
      <c r="V2564" t="n">
        <v>30</v>
      </c>
      <c r="W2564" t="n">
        <v>22</v>
      </c>
      <c r="X2564" t="n">
        <v>20.6043956043956</v>
      </c>
      <c r="Y2564" t="n">
        <v>1</v>
      </c>
      <c r="Z2564" t="n">
        <v>7</v>
      </c>
      <c r="AA2564" t="n">
        <v>0</v>
      </c>
      <c r="AB2564" t="n">
        <v>7</v>
      </c>
      <c r="AC2564" t="n">
        <v>7</v>
      </c>
      <c r="AD2564" t="n">
        <v>0</v>
      </c>
      <c r="AE2564" t="n">
        <v>205317</v>
      </c>
      <c r="AF2564" t="n">
        <v>10070</v>
      </c>
      <c r="AG2564" t="n">
        <v>78</v>
      </c>
      <c r="AH2564" t="inlineStr">
        <is>
          <t>PT. GLORIENTA P.H - PPN (PDG)</t>
        </is>
      </c>
      <c r="AI2564" t="n">
        <v>1632</v>
      </c>
      <c r="AJ2564" t="inlineStr">
        <is>
          <t>KOJIESAN SAKURA</t>
        </is>
      </c>
      <c r="AK2564" t="n">
        <v>21</v>
      </c>
      <c r="AL2564" t="inlineStr">
        <is>
          <t>Miss Glam Damar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KOJIS</t>
        </is>
      </c>
      <c r="B2565" s="2">
        <f>"10100825655"</f>
        <v/>
      </c>
      <c r="C2565" t="inlineStr">
        <is>
          <t>KOJIS Kojic Acid Advance Brightening Gluta DNA Soap 100gr</t>
        </is>
      </c>
      <c r="D2565" t="inlineStr">
        <is>
          <t>Miss Glam Damar</t>
        </is>
      </c>
      <c r="E2565" t="n">
        <v>10</v>
      </c>
      <c r="F2565" t="n">
        <v>0.1547</v>
      </c>
      <c r="G2565" t="n">
        <v>1.82</v>
      </c>
      <c r="H2565" t="n">
        <v>4</v>
      </c>
      <c r="I2565" t="n">
        <v>21</v>
      </c>
      <c r="J2565" t="n">
        <v>1</v>
      </c>
      <c r="K2565" t="n">
        <v>0</v>
      </c>
      <c r="L2565" t="n">
        <v>19235</v>
      </c>
      <c r="M2565" t="n">
        <v>25000</v>
      </c>
      <c r="N2565" t="n">
        <v>91</v>
      </c>
      <c r="O2565" t="n">
        <v>0.91</v>
      </c>
      <c r="P2565" t="n">
        <v>1</v>
      </c>
      <c r="Q2565" t="n">
        <v>0.03</v>
      </c>
      <c r="R2565" t="n">
        <v>1</v>
      </c>
      <c r="S2565" t="n">
        <v>3867.5</v>
      </c>
      <c r="T2565" t="n">
        <v>38</v>
      </c>
      <c r="U2565" t="n">
        <v>39</v>
      </c>
      <c r="V2565" t="n">
        <v>30</v>
      </c>
      <c r="W2565" t="n">
        <v>5</v>
      </c>
      <c r="X2565" t="n">
        <v>64.64124111182934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6252</v>
      </c>
      <c r="AG2565" t="n">
        <v>1</v>
      </c>
      <c r="AH2565" t="inlineStr">
        <is>
          <t>PT. BERSAMA DISTRIVERSA INDONESIA (DC CIPUTAT)</t>
        </is>
      </c>
      <c r="AI2565" t="n">
        <v>2300</v>
      </c>
      <c r="AJ2565" t="inlineStr">
        <is>
          <t>KOJIS</t>
        </is>
      </c>
      <c r="AK2565" t="n">
        <v>21</v>
      </c>
      <c r="AL2565" t="inlineStr">
        <is>
          <t>Miss Glam Damar</t>
        </is>
      </c>
      <c r="AM2565" t="n">
        <v>3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KOJIS</t>
        </is>
      </c>
      <c r="B2566" s="2">
        <f>"30100244856"</f>
        <v/>
      </c>
      <c r="C2566" t="inlineStr">
        <is>
          <t>KOJIS Kojic Body Scrub Lulur Pemutih Badan Skin Lightening Booster 250gr</t>
        </is>
      </c>
      <c r="D2566" t="inlineStr">
        <is>
          <t>Miss Glam Damar</t>
        </is>
      </c>
      <c r="E2566" t="n">
        <v>0</v>
      </c>
      <c r="F2566" t="n">
        <v>0.03</v>
      </c>
      <c r="G2566" t="n">
        <v>1</v>
      </c>
      <c r="H2566" t="n">
        <v>4</v>
      </c>
      <c r="I2566" t="n">
        <v>21</v>
      </c>
      <c r="J2566" t="n">
        <v>1</v>
      </c>
      <c r="K2566" t="n">
        <v>0</v>
      </c>
      <c r="L2566" t="n">
        <v>30227</v>
      </c>
      <c r="M2566" t="n">
        <v>39000</v>
      </c>
      <c r="N2566" t="n">
        <v>91</v>
      </c>
      <c r="O2566" t="n">
        <v>0.91</v>
      </c>
      <c r="P2566" t="n">
        <v>0</v>
      </c>
      <c r="Q2566" t="n">
        <v>0.03</v>
      </c>
      <c r="R2566" t="n">
        <v>1</v>
      </c>
      <c r="S2566" t="n">
        <v>1170</v>
      </c>
      <c r="T2566" t="n">
        <v>21</v>
      </c>
      <c r="U2566" t="n">
        <v>22</v>
      </c>
      <c r="V2566" t="n">
        <v>30</v>
      </c>
      <c r="W2566" t="n">
        <v>1</v>
      </c>
      <c r="X2566" t="n">
        <v>0</v>
      </c>
      <c r="Y2566" t="n">
        <v>1</v>
      </c>
      <c r="Z2566" t="n">
        <v>1</v>
      </c>
      <c r="AA2566" t="n">
        <v>1</v>
      </c>
      <c r="AB2566" t="n">
        <v>0</v>
      </c>
      <c r="AC2566" t="n">
        <v>0</v>
      </c>
      <c r="AD2566" t="n">
        <v>30227</v>
      </c>
      <c r="AE2566" t="n">
        <v>0</v>
      </c>
      <c r="AF2566" t="n">
        <v>6252</v>
      </c>
      <c r="AG2566" t="n">
        <v>1</v>
      </c>
      <c r="AH2566" t="inlineStr">
        <is>
          <t>PT. BERSAMA DISTRIVERSA INDONESIA (DC CIPUTAT)</t>
        </is>
      </c>
      <c r="AI2566" t="n">
        <v>2300</v>
      </c>
      <c r="AJ2566" t="inlineStr">
        <is>
          <t>KOJIS</t>
        </is>
      </c>
      <c r="AK2566" t="n">
        <v>21</v>
      </c>
      <c r="AL2566" t="inlineStr">
        <is>
          <t>Miss Glam Damar</t>
        </is>
      </c>
      <c r="AM2566" t="n">
        <v>3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KOJIS</t>
        </is>
      </c>
      <c r="B2567" s="2">
        <f>"10100825410"</f>
        <v/>
      </c>
      <c r="C2567" t="inlineStr">
        <is>
          <t>KOJIS Kojic Charcoal Brightening Deep Cleansing Soap 100gr</t>
        </is>
      </c>
      <c r="D2567" t="inlineStr">
        <is>
          <t>Miss Glam Damar</t>
        </is>
      </c>
      <c r="E2567" t="n">
        <v>15</v>
      </c>
      <c r="F2567" t="n">
        <v>0.2821</v>
      </c>
      <c r="G2567" t="n">
        <v>2.73</v>
      </c>
      <c r="H2567" t="n">
        <v>4</v>
      </c>
      <c r="I2567" t="n">
        <v>21</v>
      </c>
      <c r="J2567" t="n">
        <v>1</v>
      </c>
      <c r="K2567" t="n">
        <v>0</v>
      </c>
      <c r="L2567" t="n">
        <v>18750</v>
      </c>
      <c r="M2567" t="n">
        <v>22500</v>
      </c>
      <c r="N2567" t="n">
        <v>91</v>
      </c>
      <c r="O2567" t="n">
        <v>0.91</v>
      </c>
      <c r="P2567" t="n">
        <v>1</v>
      </c>
      <c r="Q2567" t="n">
        <v>0.12</v>
      </c>
      <c r="R2567" t="n">
        <v>1</v>
      </c>
      <c r="S2567" t="n">
        <v>6347.25</v>
      </c>
      <c r="T2567" t="n">
        <v>57</v>
      </c>
      <c r="U2567" t="n">
        <v>59</v>
      </c>
      <c r="V2567" t="n">
        <v>30</v>
      </c>
      <c r="W2567" t="n">
        <v>9</v>
      </c>
      <c r="X2567" t="n">
        <v>53.1726338177951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6252</v>
      </c>
      <c r="AG2567" t="n">
        <v>1</v>
      </c>
      <c r="AH2567" t="inlineStr">
        <is>
          <t>PT. BERSAMA DISTRIVERSA INDONESIA (DC CIPUTAT)</t>
        </is>
      </c>
      <c r="AI2567" t="n">
        <v>2300</v>
      </c>
      <c r="AJ2567" t="inlineStr">
        <is>
          <t>KOJIS</t>
        </is>
      </c>
      <c r="AK2567" t="n">
        <v>21</v>
      </c>
      <c r="AL2567" t="inlineStr">
        <is>
          <t>Miss Glam Damar</t>
        </is>
      </c>
      <c r="AM2567" t="n">
        <v>3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KOJIS</t>
        </is>
      </c>
      <c r="B2568" s="2">
        <f>"30100167423"</f>
        <v/>
      </c>
      <c r="C2568" t="inlineStr">
        <is>
          <t>KOJIS Kojic Collagen Brightening Soap 90gr</t>
        </is>
      </c>
      <c r="D2568" t="inlineStr">
        <is>
          <t>Miss Glam Damar</t>
        </is>
      </c>
      <c r="E2568" t="n">
        <v>7</v>
      </c>
      <c r="F2568" t="n">
        <v>0.4914000000000001</v>
      </c>
      <c r="G2568" t="n">
        <v>4.55</v>
      </c>
      <c r="H2568" t="n">
        <v>4</v>
      </c>
      <c r="I2568" t="n">
        <v>21</v>
      </c>
      <c r="J2568" t="n">
        <v>1</v>
      </c>
      <c r="K2568" t="n">
        <v>0</v>
      </c>
      <c r="L2568" t="n">
        <v>18500</v>
      </c>
      <c r="M2568" t="n">
        <v>22000</v>
      </c>
      <c r="N2568" t="n">
        <v>91</v>
      </c>
      <c r="O2568" t="n">
        <v>0.91</v>
      </c>
      <c r="P2568" t="n">
        <v>1</v>
      </c>
      <c r="Q2568" t="n">
        <v>0.15</v>
      </c>
      <c r="R2568" t="n">
        <v>1</v>
      </c>
      <c r="S2568" t="n">
        <v>10810.8</v>
      </c>
      <c r="T2568" t="n">
        <v>94</v>
      </c>
      <c r="U2568" t="n">
        <v>96</v>
      </c>
      <c r="V2568" t="n">
        <v>30</v>
      </c>
      <c r="W2568" t="n">
        <v>15</v>
      </c>
      <c r="X2568" t="n">
        <v>14.24501424501424</v>
      </c>
      <c r="Y2568" t="n">
        <v>1</v>
      </c>
      <c r="Z2568" t="n">
        <v>8</v>
      </c>
      <c r="AA2568" t="n">
        <v>4</v>
      </c>
      <c r="AB2568" t="n">
        <v>4</v>
      </c>
      <c r="AC2568" t="n">
        <v>4</v>
      </c>
      <c r="AD2568" t="n">
        <v>74000</v>
      </c>
      <c r="AE2568" t="n">
        <v>74000</v>
      </c>
      <c r="AF2568" t="n">
        <v>6252</v>
      </c>
      <c r="AG2568" t="n">
        <v>1</v>
      </c>
      <c r="AH2568" t="inlineStr">
        <is>
          <t>PT. BERSAMA DISTRIVERSA INDONESIA (DC CIPUTAT)</t>
        </is>
      </c>
      <c r="AI2568" t="n">
        <v>2300</v>
      </c>
      <c r="AJ2568" t="inlineStr">
        <is>
          <t>KOJIS</t>
        </is>
      </c>
      <c r="AK2568" t="n">
        <v>21</v>
      </c>
      <c r="AL2568" t="inlineStr">
        <is>
          <t>Miss Glam Damar</t>
        </is>
      </c>
      <c r="AM2568" t="n">
        <v>3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KYE</t>
        </is>
      </c>
      <c r="B2569" s="2">
        <f>"8994942026827"</f>
        <v/>
      </c>
      <c r="C2569" t="inlineStr">
        <is>
          <t>KYE Acne Clear Patch Tea Tree Infusion 36 Patches</t>
        </is>
      </c>
      <c r="D2569" t="inlineStr">
        <is>
          <t>Miss Glam Damar</t>
        </is>
      </c>
      <c r="E2569" t="n">
        <v>43</v>
      </c>
      <c r="F2569" t="n">
        <v>0.09100000000000001</v>
      </c>
      <c r="G2569" t="n">
        <v>0.91</v>
      </c>
      <c r="H2569" t="n">
        <v>7</v>
      </c>
      <c r="I2569" t="n">
        <v>14</v>
      </c>
      <c r="J2569" t="n">
        <v>3</v>
      </c>
      <c r="K2569" t="n">
        <v>0</v>
      </c>
      <c r="L2569" t="n">
        <v>24975</v>
      </c>
      <c r="M2569" t="n">
        <v>33500</v>
      </c>
      <c r="N2569" t="n">
        <v>91</v>
      </c>
      <c r="O2569" t="n">
        <v>0.91</v>
      </c>
      <c r="P2569" t="n">
        <v>1</v>
      </c>
      <c r="Q2569" t="n">
        <v>0.66</v>
      </c>
      <c r="R2569" t="n">
        <v>3</v>
      </c>
      <c r="S2569" t="n">
        <v>3048.5</v>
      </c>
      <c r="T2569" t="n">
        <v>13</v>
      </c>
      <c r="U2569" t="n">
        <v>14</v>
      </c>
      <c r="V2569" t="n">
        <v>30</v>
      </c>
      <c r="W2569" t="n">
        <v>3</v>
      </c>
      <c r="X2569" t="n">
        <v>472.5274725274725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9589</v>
      </c>
      <c r="AG2569" t="n">
        <v>2037</v>
      </c>
      <c r="AH2569" t="inlineStr">
        <is>
          <t>PT. CAKRA DAYA UNGGUL - PPN (PDG)</t>
        </is>
      </c>
      <c r="AI2569" t="n">
        <v>1649</v>
      </c>
      <c r="AJ2569" t="inlineStr">
        <is>
          <t>KYE</t>
        </is>
      </c>
      <c r="AK2569" t="n">
        <v>21</v>
      </c>
      <c r="AL2569" t="inlineStr">
        <is>
          <t>Miss Glam Damar</t>
        </is>
      </c>
      <c r="AM2569" t="n">
        <v>3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KYE</t>
        </is>
      </c>
      <c r="B2570" s="2">
        <f>"8994942026926"</f>
        <v/>
      </c>
      <c r="C2570" t="inlineStr">
        <is>
          <t>KYE Amino Watermelon Eye &amp; Lip Makeup Remover Pads 15 Pads</t>
        </is>
      </c>
      <c r="D2570" t="inlineStr">
        <is>
          <t>Miss Glam Damar</t>
        </is>
      </c>
      <c r="E2570" t="n">
        <v>6</v>
      </c>
      <c r="F2570" t="n">
        <v>0.1</v>
      </c>
      <c r="G2570" t="n">
        <v>1</v>
      </c>
      <c r="H2570" t="n">
        <v>7</v>
      </c>
      <c r="I2570" t="n">
        <v>14</v>
      </c>
      <c r="J2570" t="n">
        <v>3</v>
      </c>
      <c r="K2570" t="n">
        <v>0</v>
      </c>
      <c r="L2570" t="n">
        <v>19980</v>
      </c>
      <c r="M2570" t="n">
        <v>27000</v>
      </c>
      <c r="N2570" t="n">
        <v>91</v>
      </c>
      <c r="O2570" t="n">
        <v>0.91</v>
      </c>
      <c r="P2570" t="n">
        <v>0</v>
      </c>
      <c r="Q2570" t="n">
        <v>0.1</v>
      </c>
      <c r="R2570" t="n">
        <v>1</v>
      </c>
      <c r="S2570" t="n">
        <v>2700</v>
      </c>
      <c r="T2570" t="n">
        <v>14</v>
      </c>
      <c r="U2570" t="n">
        <v>15</v>
      </c>
      <c r="V2570" t="n">
        <v>30</v>
      </c>
      <c r="W2570" t="n">
        <v>3</v>
      </c>
      <c r="X2570" t="n">
        <v>60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9589</v>
      </c>
      <c r="AG2570" t="n">
        <v>2037</v>
      </c>
      <c r="AH2570" t="inlineStr">
        <is>
          <t>PT. CAKRA DAYA UNGGUL - PPN (PDG)</t>
        </is>
      </c>
      <c r="AI2570" t="n">
        <v>1649</v>
      </c>
      <c r="AJ2570" t="inlineStr">
        <is>
          <t>KYE</t>
        </is>
      </c>
      <c r="AK2570" t="n">
        <v>21</v>
      </c>
      <c r="AL2570" t="inlineStr">
        <is>
          <t>Miss Glam Damar</t>
        </is>
      </c>
      <c r="AM2570" t="n">
        <v>3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KYE</t>
        </is>
      </c>
      <c r="B2571" s="2">
        <f>"8994942027039"</f>
        <v/>
      </c>
      <c r="C2571" t="inlineStr">
        <is>
          <t>KYE Avocado Guava Glow Micellar Cleansing 15Pads</t>
        </is>
      </c>
      <c r="D2571" t="inlineStr">
        <is>
          <t>Miss Glam Damar</t>
        </is>
      </c>
      <c r="E2571" t="n">
        <v>1</v>
      </c>
      <c r="F2571" t="n">
        <v>0.09100000000000001</v>
      </c>
      <c r="G2571" t="n">
        <v>1.82</v>
      </c>
      <c r="H2571" t="n">
        <v>7</v>
      </c>
      <c r="I2571" t="n">
        <v>14</v>
      </c>
      <c r="J2571" t="n">
        <v>3</v>
      </c>
      <c r="K2571" t="n">
        <v>0</v>
      </c>
      <c r="L2571" t="n">
        <v>13986</v>
      </c>
      <c r="M2571" t="n">
        <v>21500</v>
      </c>
      <c r="N2571" t="n">
        <v>91</v>
      </c>
      <c r="O2571" t="n">
        <v>0.91</v>
      </c>
      <c r="P2571" t="n">
        <v>1</v>
      </c>
      <c r="Q2571" t="n">
        <v>0.14</v>
      </c>
      <c r="R2571" t="n">
        <v>1</v>
      </c>
      <c r="S2571" t="n">
        <v>1956.5</v>
      </c>
      <c r="T2571" t="n">
        <v>25</v>
      </c>
      <c r="U2571" t="n">
        <v>26</v>
      </c>
      <c r="V2571" t="n">
        <v>30</v>
      </c>
      <c r="W2571" t="n">
        <v>3</v>
      </c>
      <c r="X2571" t="n">
        <v>10.98901098901099</v>
      </c>
      <c r="Y2571" t="n">
        <v>1</v>
      </c>
      <c r="Z2571" t="n">
        <v>2</v>
      </c>
      <c r="AA2571" t="n">
        <v>1</v>
      </c>
      <c r="AB2571" t="n">
        <v>1</v>
      </c>
      <c r="AC2571" t="n">
        <v>3</v>
      </c>
      <c r="AD2571" t="n">
        <v>13986</v>
      </c>
      <c r="AE2571" t="n">
        <v>41958</v>
      </c>
      <c r="AF2571" t="n">
        <v>9589</v>
      </c>
      <c r="AG2571" t="n">
        <v>2037</v>
      </c>
      <c r="AH2571" t="inlineStr">
        <is>
          <t>PT. CAKRA DAYA UNGGUL - PPN (PDG)</t>
        </is>
      </c>
      <c r="AI2571" t="n">
        <v>1649</v>
      </c>
      <c r="AJ2571" t="inlineStr">
        <is>
          <t>KYE</t>
        </is>
      </c>
      <c r="AK2571" t="n">
        <v>21</v>
      </c>
      <c r="AL2571" t="inlineStr">
        <is>
          <t>Miss Glam Damar</t>
        </is>
      </c>
      <c r="AM2571" t="n">
        <v>3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KYE</t>
        </is>
      </c>
      <c r="B2572" s="2">
        <f>"8994942025851"</f>
        <v/>
      </c>
      <c r="C2572" t="inlineStr">
        <is>
          <t>KYE Jeju Cica Probiotics Aqua Toner Pads 15 Sheets</t>
        </is>
      </c>
      <c r="D2572" t="inlineStr">
        <is>
          <t>Miss Glam Damar</t>
        </is>
      </c>
      <c r="E2572" t="n">
        <v>9</v>
      </c>
      <c r="F2572" t="n">
        <v>0.05</v>
      </c>
      <c r="G2572" t="n">
        <v>1</v>
      </c>
      <c r="H2572" t="n">
        <v>7</v>
      </c>
      <c r="I2572" t="n">
        <v>14</v>
      </c>
      <c r="J2572" t="n">
        <v>3</v>
      </c>
      <c r="K2572" t="n">
        <v>0</v>
      </c>
      <c r="L2572" t="n">
        <v>22705</v>
      </c>
      <c r="M2572" t="n">
        <v>35000</v>
      </c>
      <c r="N2572" t="n">
        <v>91</v>
      </c>
      <c r="O2572" t="n">
        <v>0.91</v>
      </c>
      <c r="P2572" t="n">
        <v>0</v>
      </c>
      <c r="Q2572" t="n">
        <v>0.05</v>
      </c>
      <c r="R2572" t="n">
        <v>1</v>
      </c>
      <c r="S2572" t="n">
        <v>1750</v>
      </c>
      <c r="T2572" t="n">
        <v>14</v>
      </c>
      <c r="U2572" t="n">
        <v>15</v>
      </c>
      <c r="V2572" t="n">
        <v>30</v>
      </c>
      <c r="W2572" t="n">
        <v>2</v>
      </c>
      <c r="X2572" t="n">
        <v>180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9589</v>
      </c>
      <c r="AG2572" t="n">
        <v>2037</v>
      </c>
      <c r="AH2572" t="inlineStr">
        <is>
          <t>PT. CAKRA DAYA UNGGUL - PPN (PDG)</t>
        </is>
      </c>
      <c r="AI2572" t="n">
        <v>1649</v>
      </c>
      <c r="AJ2572" t="inlineStr">
        <is>
          <t>KYE</t>
        </is>
      </c>
      <c r="AK2572" t="n">
        <v>21</v>
      </c>
      <c r="AL2572" t="inlineStr">
        <is>
          <t>Miss Glam Damar</t>
        </is>
      </c>
      <c r="AM2572" t="n">
        <v>3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KYE</t>
        </is>
      </c>
      <c r="B2573" s="2">
        <f>"8994942030534"</f>
        <v/>
      </c>
      <c r="C2573" t="inlineStr">
        <is>
          <t>KYE T-Zone Cleansing Pore Strips Charcoal 3 Strips Sachet</t>
        </is>
      </c>
      <c r="D2573" t="inlineStr">
        <is>
          <t>Miss Glam Damar</t>
        </is>
      </c>
      <c r="E2573" t="n">
        <v>0</v>
      </c>
      <c r="F2573" t="n">
        <v>0.6188</v>
      </c>
      <c r="G2573" t="n">
        <v>4.55</v>
      </c>
      <c r="H2573" t="n">
        <v>7</v>
      </c>
      <c r="I2573" t="n">
        <v>14</v>
      </c>
      <c r="J2573" t="n">
        <v>3</v>
      </c>
      <c r="K2573" t="n">
        <v>0</v>
      </c>
      <c r="L2573" t="n">
        <v>10989</v>
      </c>
      <c r="M2573" t="n">
        <v>15000</v>
      </c>
      <c r="N2573" t="n">
        <v>91</v>
      </c>
      <c r="O2573" t="n">
        <v>0.91</v>
      </c>
      <c r="P2573" t="n">
        <v>1</v>
      </c>
      <c r="Q2573" t="n">
        <v>0.11</v>
      </c>
      <c r="R2573" t="n">
        <v>2</v>
      </c>
      <c r="S2573" t="n">
        <v>9282</v>
      </c>
      <c r="T2573" t="n">
        <v>60</v>
      </c>
      <c r="U2573" t="n">
        <v>65</v>
      </c>
      <c r="V2573" t="n">
        <v>30</v>
      </c>
      <c r="W2573" t="n">
        <v>19</v>
      </c>
      <c r="X2573" t="n">
        <v>0</v>
      </c>
      <c r="Y2573" t="n">
        <v>1</v>
      </c>
      <c r="Z2573" t="n">
        <v>19</v>
      </c>
      <c r="AA2573" t="n">
        <v>9</v>
      </c>
      <c r="AB2573" t="n">
        <v>10</v>
      </c>
      <c r="AC2573" t="n">
        <v>10</v>
      </c>
      <c r="AD2573" t="n">
        <v>98901</v>
      </c>
      <c r="AE2573" t="n">
        <v>109890</v>
      </c>
      <c r="AF2573" t="n">
        <v>9589</v>
      </c>
      <c r="AG2573" t="n">
        <v>2037</v>
      </c>
      <c r="AH2573" t="inlineStr">
        <is>
          <t>PT. CAKRA DAYA UNGGUL - PPN (PDG)</t>
        </is>
      </c>
      <c r="AI2573" t="n">
        <v>1649</v>
      </c>
      <c r="AJ2573" t="inlineStr">
        <is>
          <t>KYE</t>
        </is>
      </c>
      <c r="AK2573" t="n">
        <v>21</v>
      </c>
      <c r="AL2573" t="inlineStr">
        <is>
          <t>Miss Glam Damar</t>
        </is>
      </c>
      <c r="AM2573" t="n">
        <v>3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KYE</t>
        </is>
      </c>
      <c r="B2574" s="2">
        <f>"8994942030541"</f>
        <v/>
      </c>
      <c r="C2574" t="inlineStr">
        <is>
          <t>KYE T-Zone Cleansing Pore Strips Tiger Cica 3 Stripes Sachet</t>
        </is>
      </c>
      <c r="D2574" t="inlineStr">
        <is>
          <t>Miss Glam Damar</t>
        </is>
      </c>
      <c r="E2574" t="n">
        <v>5</v>
      </c>
      <c r="F2574" t="n">
        <v>0.02</v>
      </c>
      <c r="G2574" t="n">
        <v>1</v>
      </c>
      <c r="H2574" t="n">
        <v>7</v>
      </c>
      <c r="I2574" t="n">
        <v>14</v>
      </c>
      <c r="J2574" t="n">
        <v>3</v>
      </c>
      <c r="K2574" t="n">
        <v>0</v>
      </c>
      <c r="L2574" t="n">
        <v>10989</v>
      </c>
      <c r="M2574" t="n">
        <v>15000</v>
      </c>
      <c r="N2574" t="n">
        <v>91</v>
      </c>
      <c r="O2574" t="n">
        <v>0.91</v>
      </c>
      <c r="P2574" t="n">
        <v>0</v>
      </c>
      <c r="Q2574" t="n">
        <v>0.02</v>
      </c>
      <c r="R2574" t="n">
        <v>1</v>
      </c>
      <c r="S2574" t="n">
        <v>300</v>
      </c>
      <c r="T2574" t="n">
        <v>14</v>
      </c>
      <c r="U2574" t="n">
        <v>15</v>
      </c>
      <c r="V2574" t="n">
        <v>30</v>
      </c>
      <c r="W2574" t="n">
        <v>1</v>
      </c>
      <c r="X2574" t="n">
        <v>250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9589</v>
      </c>
      <c r="AG2574" t="n">
        <v>2037</v>
      </c>
      <c r="AH2574" t="inlineStr">
        <is>
          <t>PT. CAKRA DAYA UNGGUL - PPN (PDG)</t>
        </is>
      </c>
      <c r="AI2574" t="n">
        <v>1649</v>
      </c>
      <c r="AJ2574" t="inlineStr">
        <is>
          <t>KYE</t>
        </is>
      </c>
      <c r="AK2574" t="n">
        <v>21</v>
      </c>
      <c r="AL2574" t="inlineStr">
        <is>
          <t>Miss Glam Damar</t>
        </is>
      </c>
      <c r="AM2574" t="n">
        <v>3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LA ROCHE POSAY</t>
        </is>
      </c>
      <c r="B2575" s="2">
        <f>"3337875816847"</f>
        <v/>
      </c>
      <c r="C2575" t="inlineStr">
        <is>
          <t>LA ROCHE POSAY Cicaplast Baume B5+ Shooting Balm 100ml</t>
        </is>
      </c>
      <c r="D2575" t="inlineStr">
        <is>
          <t>Miss Glam Damar</t>
        </is>
      </c>
      <c r="E2575" t="n">
        <v>0</v>
      </c>
      <c r="F2575" t="n">
        <v>0.1274</v>
      </c>
      <c r="G2575" t="n">
        <v>0.91</v>
      </c>
      <c r="H2575" t="n">
        <v>4</v>
      </c>
      <c r="I2575" t="n">
        <v>21</v>
      </c>
      <c r="J2575" t="n">
        <v>3</v>
      </c>
      <c r="K2575" t="n">
        <v>0</v>
      </c>
      <c r="L2575" t="n">
        <v>379200</v>
      </c>
      <c r="M2575" t="n">
        <v>480000</v>
      </c>
      <c r="N2575" t="n">
        <v>91</v>
      </c>
      <c r="O2575" t="n">
        <v>0.91</v>
      </c>
      <c r="P2575" t="n">
        <v>1</v>
      </c>
      <c r="Q2575" t="n">
        <v>0.18</v>
      </c>
      <c r="R2575" t="n">
        <v>1</v>
      </c>
      <c r="S2575" t="n">
        <v>61152.00000000001</v>
      </c>
      <c r="T2575" t="n">
        <v>19</v>
      </c>
      <c r="U2575" t="n">
        <v>20</v>
      </c>
      <c r="V2575" t="n">
        <v>30</v>
      </c>
      <c r="W2575" t="n">
        <v>4</v>
      </c>
      <c r="X2575" t="n">
        <v>0</v>
      </c>
      <c r="Y2575" t="n">
        <v>1</v>
      </c>
      <c r="Z2575" t="n">
        <v>4</v>
      </c>
      <c r="AA2575" t="n">
        <v>3</v>
      </c>
      <c r="AB2575" t="n">
        <v>1</v>
      </c>
      <c r="AC2575" t="n">
        <v>3</v>
      </c>
      <c r="AD2575" t="n">
        <v>1137600</v>
      </c>
      <c r="AE2575" t="n">
        <v>1137600</v>
      </c>
      <c r="AF2575" t="n">
        <v>6287</v>
      </c>
      <c r="AG2575" t="n">
        <v>1</v>
      </c>
      <c r="AH2575" t="inlineStr">
        <is>
          <t>PT. BERSAMA DISTRIVERSA INDONESIA (DC CIPUTAT)</t>
        </is>
      </c>
      <c r="AI2575" t="n">
        <v>1409</v>
      </c>
      <c r="AJ2575" t="inlineStr">
        <is>
          <t>LA ROCHE POSAY</t>
        </is>
      </c>
      <c r="AK2575" t="n">
        <v>21</v>
      </c>
      <c r="AL2575" t="inlineStr">
        <is>
          <t>Miss Glam Damar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LA ROCHE POSAY</t>
        </is>
      </c>
      <c r="B2576" s="2">
        <f>"3337875863377"</f>
        <v/>
      </c>
      <c r="C2576" t="inlineStr">
        <is>
          <t>LA ROCHE POSAY Effacalr Duo + M Soin Triple Correction Anti-Imperfections 40ml</t>
        </is>
      </c>
      <c r="D2576" t="inlineStr">
        <is>
          <t>Miss Glam Damar</t>
        </is>
      </c>
      <c r="E2576" t="n">
        <v>19</v>
      </c>
      <c r="F2576" t="n">
        <v>0.0273</v>
      </c>
      <c r="G2576" t="n">
        <v>0.91</v>
      </c>
      <c r="H2576" t="n">
        <v>4</v>
      </c>
      <c r="I2576" t="n">
        <v>21</v>
      </c>
      <c r="J2576" t="n">
        <v>3</v>
      </c>
      <c r="K2576" t="n">
        <v>0</v>
      </c>
      <c r="L2576" t="n">
        <v>269963</v>
      </c>
      <c r="M2576" t="n">
        <v>390000</v>
      </c>
      <c r="N2576" t="n">
        <v>91</v>
      </c>
      <c r="O2576" t="n">
        <v>0.91</v>
      </c>
      <c r="P2576" t="n">
        <v>1</v>
      </c>
      <c r="Q2576" t="n">
        <v>0.12</v>
      </c>
      <c r="R2576" t="n">
        <v>2</v>
      </c>
      <c r="S2576" t="n">
        <v>10647</v>
      </c>
      <c r="T2576" t="n">
        <v>20</v>
      </c>
      <c r="U2576" t="n">
        <v>21</v>
      </c>
      <c r="V2576" t="n">
        <v>30</v>
      </c>
      <c r="W2576" t="n">
        <v>1</v>
      </c>
      <c r="X2576" t="n">
        <v>695.9706959706959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6287</v>
      </c>
      <c r="AG2576" t="n">
        <v>1</v>
      </c>
      <c r="AH2576" t="inlineStr">
        <is>
          <t>PT. BERSAMA DISTRIVERSA INDONESIA (DC CIPUTAT)</t>
        </is>
      </c>
      <c r="AI2576" t="n">
        <v>1409</v>
      </c>
      <c r="AJ2576" t="inlineStr">
        <is>
          <t>LA ROCHE POSAY</t>
        </is>
      </c>
      <c r="AK2576" t="n">
        <v>21</v>
      </c>
      <c r="AL2576" t="inlineStr">
        <is>
          <t>Miss Glam Damar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LA ROCHE POSAY</t>
        </is>
      </c>
      <c r="B2577" s="2">
        <f>"3337872411083"</f>
        <v/>
      </c>
      <c r="C2577" t="inlineStr">
        <is>
          <t>LA ROCHE POSAY Effaclar Purifying Foaming Gel 200ml</t>
        </is>
      </c>
      <c r="D2577" t="inlineStr">
        <is>
          <t>Miss Glam Damar</t>
        </is>
      </c>
      <c r="E2577" t="n">
        <v>3</v>
      </c>
      <c r="F2577" t="n">
        <v>0.06370000000000001</v>
      </c>
      <c r="G2577" t="n">
        <v>0.91</v>
      </c>
      <c r="H2577" t="n">
        <v>4</v>
      </c>
      <c r="I2577" t="n">
        <v>21</v>
      </c>
      <c r="J2577" t="n">
        <v>3</v>
      </c>
      <c r="K2577" t="n">
        <v>0</v>
      </c>
      <c r="L2577" t="n">
        <v>237930</v>
      </c>
      <c r="M2577" t="n">
        <v>330000</v>
      </c>
      <c r="N2577" t="n">
        <v>91</v>
      </c>
      <c r="O2577" t="n">
        <v>0.91</v>
      </c>
      <c r="P2577" t="n">
        <v>1</v>
      </c>
      <c r="Q2577" t="n">
        <v>0.05</v>
      </c>
      <c r="R2577" t="n">
        <v>1</v>
      </c>
      <c r="S2577" t="n">
        <v>21021</v>
      </c>
      <c r="T2577" t="n">
        <v>19</v>
      </c>
      <c r="U2577" t="n">
        <v>20</v>
      </c>
      <c r="V2577" t="n">
        <v>30</v>
      </c>
      <c r="W2577" t="n">
        <v>2</v>
      </c>
      <c r="X2577" t="n">
        <v>47.09576138147566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6287</v>
      </c>
      <c r="AG2577" t="n">
        <v>1</v>
      </c>
      <c r="AH2577" t="inlineStr">
        <is>
          <t>PT. BERSAMA DISTRIVERSA INDONESIA (DC CIPUTAT)</t>
        </is>
      </c>
      <c r="AI2577" t="n">
        <v>1409</v>
      </c>
      <c r="AJ2577" t="inlineStr">
        <is>
          <t>LA ROCHE POSAY</t>
        </is>
      </c>
      <c r="AK2577" t="n">
        <v>21</v>
      </c>
      <c r="AL2577" t="inlineStr">
        <is>
          <t>Miss Glam Damar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LA ROCHE POSAY</t>
        </is>
      </c>
      <c r="B2578" s="2">
        <f>"3337875816809"</f>
        <v/>
      </c>
      <c r="C2578" t="inlineStr">
        <is>
          <t>LA ROCHE-POSAY Cicaplast Baume B5+ Shooting Balm 40ml</t>
        </is>
      </c>
      <c r="D2578" t="inlineStr">
        <is>
          <t>Miss Glam Damar</t>
        </is>
      </c>
      <c r="E2578" t="n">
        <v>5</v>
      </c>
      <c r="F2578" t="n">
        <v>0.0728</v>
      </c>
      <c r="G2578" t="n">
        <v>0.91</v>
      </c>
      <c r="H2578" t="n">
        <v>4</v>
      </c>
      <c r="I2578" t="n">
        <v>21</v>
      </c>
      <c r="J2578" t="n">
        <v>3</v>
      </c>
      <c r="K2578" t="n">
        <v>0</v>
      </c>
      <c r="L2578" t="n">
        <v>187563</v>
      </c>
      <c r="M2578" t="n">
        <v>260000</v>
      </c>
      <c r="N2578" t="n">
        <v>91</v>
      </c>
      <c r="O2578" t="n">
        <v>0.91</v>
      </c>
      <c r="P2578" t="n">
        <v>1</v>
      </c>
      <c r="Q2578" t="n">
        <v>0.42</v>
      </c>
      <c r="R2578" t="n">
        <v>3</v>
      </c>
      <c r="S2578" t="n">
        <v>18928</v>
      </c>
      <c r="T2578" t="n">
        <v>19</v>
      </c>
      <c r="U2578" t="n">
        <v>20</v>
      </c>
      <c r="V2578" t="n">
        <v>30</v>
      </c>
      <c r="W2578" t="n">
        <v>3</v>
      </c>
      <c r="X2578" t="n">
        <v>68.68131868131867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6287</v>
      </c>
      <c r="AG2578" t="n">
        <v>1</v>
      </c>
      <c r="AH2578" t="inlineStr">
        <is>
          <t>PT. BERSAMA DISTRIVERSA INDONESIA (DC CIPUTAT)</t>
        </is>
      </c>
      <c r="AI2578" t="n">
        <v>1409</v>
      </c>
      <c r="AJ2578" t="inlineStr">
        <is>
          <t>LA ROCHE POSAY</t>
        </is>
      </c>
      <c r="AK2578" t="n">
        <v>21</v>
      </c>
      <c r="AL2578" t="inlineStr">
        <is>
          <t>Miss Glam Damar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LA ROCHE POSAY</t>
        </is>
      </c>
      <c r="B2579" s="2">
        <f>"3337875847292"</f>
        <v/>
      </c>
      <c r="C2579" t="inlineStr">
        <is>
          <t>LAROCHE-POSAY Anthelios UV Mune 400 SPF50+ Oil Control Fluid 50ml</t>
        </is>
      </c>
      <c r="D2579" t="inlineStr">
        <is>
          <t>Miss Glam Damar</t>
        </is>
      </c>
      <c r="E2579" t="n">
        <v>3</v>
      </c>
      <c r="F2579" t="n">
        <v>0.03</v>
      </c>
      <c r="G2579" t="n">
        <v>1</v>
      </c>
      <c r="H2579" t="n">
        <v>4</v>
      </c>
      <c r="I2579" t="n">
        <v>21</v>
      </c>
      <c r="J2579" t="n">
        <v>3</v>
      </c>
      <c r="K2579" t="n">
        <v>0</v>
      </c>
      <c r="L2579" t="n">
        <v>317240</v>
      </c>
      <c r="M2579" t="n">
        <v>440000</v>
      </c>
      <c r="N2579" t="n">
        <v>91</v>
      </c>
      <c r="O2579" t="n">
        <v>0.91</v>
      </c>
      <c r="P2579" t="n">
        <v>0</v>
      </c>
      <c r="Q2579" t="n">
        <v>0.03</v>
      </c>
      <c r="R2579" t="n">
        <v>1</v>
      </c>
      <c r="S2579" t="n">
        <v>13200</v>
      </c>
      <c r="T2579" t="n">
        <v>21</v>
      </c>
      <c r="U2579" t="n">
        <v>22</v>
      </c>
      <c r="V2579" t="n">
        <v>30</v>
      </c>
      <c r="W2579" t="n">
        <v>1</v>
      </c>
      <c r="X2579" t="n">
        <v>100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6287</v>
      </c>
      <c r="AG2579" t="n">
        <v>1</v>
      </c>
      <c r="AH2579" t="inlineStr">
        <is>
          <t>PT. BERSAMA DISTRIVERSA INDONESIA (DC CIPUTAT)</t>
        </is>
      </c>
      <c r="AI2579" t="n">
        <v>1409</v>
      </c>
      <c r="AJ2579" t="inlineStr">
        <is>
          <t>LA ROCHE POSAY</t>
        </is>
      </c>
      <c r="AK2579" t="n">
        <v>21</v>
      </c>
      <c r="AL2579" t="inlineStr">
        <is>
          <t>Miss Glam Damar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LA ROCHE POSAY</t>
        </is>
      </c>
      <c r="B2580" s="2">
        <f>"3337875797641"</f>
        <v/>
      </c>
      <c r="C2580" t="inlineStr">
        <is>
          <t>LAROCHE-POSAY Anthelios UV Mune 400 Tinted Fluid 50ml</t>
        </is>
      </c>
      <c r="D2580" t="inlineStr">
        <is>
          <t>Miss Glam Damar</t>
        </is>
      </c>
      <c r="E2580" t="n">
        <v>0</v>
      </c>
      <c r="F2580" t="n">
        <v>0.0273</v>
      </c>
      <c r="G2580" t="n">
        <v>1.82</v>
      </c>
      <c r="H2580" t="n">
        <v>4</v>
      </c>
      <c r="I2580" t="n">
        <v>21</v>
      </c>
      <c r="J2580" t="n">
        <v>3</v>
      </c>
      <c r="K2580" t="n">
        <v>0</v>
      </c>
      <c r="L2580" t="n">
        <v>308646</v>
      </c>
      <c r="M2580" t="n">
        <v>440000</v>
      </c>
      <c r="N2580" t="n">
        <v>91</v>
      </c>
      <c r="O2580" t="n">
        <v>0.91</v>
      </c>
      <c r="P2580" t="n">
        <v>1</v>
      </c>
      <c r="Q2580" t="n">
        <v>0.02</v>
      </c>
      <c r="R2580" t="n">
        <v>1</v>
      </c>
      <c r="S2580" t="n">
        <v>12012</v>
      </c>
      <c r="T2580" t="n">
        <v>39</v>
      </c>
      <c r="U2580" t="n">
        <v>40</v>
      </c>
      <c r="V2580" t="n">
        <v>30</v>
      </c>
      <c r="W2580" t="n">
        <v>1</v>
      </c>
      <c r="X2580" t="n">
        <v>0</v>
      </c>
      <c r="Y2580" t="n">
        <v>1</v>
      </c>
      <c r="Z2580" t="n">
        <v>1</v>
      </c>
      <c r="AA2580" t="n">
        <v>1</v>
      </c>
      <c r="AB2580" t="n">
        <v>0</v>
      </c>
      <c r="AC2580" t="n">
        <v>0</v>
      </c>
      <c r="AD2580" t="n">
        <v>308646</v>
      </c>
      <c r="AE2580" t="n">
        <v>0</v>
      </c>
      <c r="AF2580" t="n">
        <v>6287</v>
      </c>
      <c r="AG2580" t="n">
        <v>1</v>
      </c>
      <c r="AH2580" t="inlineStr">
        <is>
          <t>PT. BERSAMA DISTRIVERSA INDONESIA (DC CIPUTAT)</t>
        </is>
      </c>
      <c r="AI2580" t="n">
        <v>1409</v>
      </c>
      <c r="AJ2580" t="inlineStr">
        <is>
          <t>LA ROCHE POSAY</t>
        </is>
      </c>
      <c r="AK2580" t="n">
        <v>21</v>
      </c>
      <c r="AL2580" t="inlineStr">
        <is>
          <t>Miss Glam Damar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LA ROCHE POSAY</t>
        </is>
      </c>
      <c r="B2581" s="2">
        <f>"3337875816779"</f>
        <v/>
      </c>
      <c r="C2581" t="inlineStr">
        <is>
          <t>LAROCHE-POSAY Cicaplast Baume B5+ Shooting Balm 15ml</t>
        </is>
      </c>
      <c r="D2581" t="inlineStr">
        <is>
          <t>Miss Glam Damar</t>
        </is>
      </c>
      <c r="E2581" t="n">
        <v>5</v>
      </c>
      <c r="F2581" t="n">
        <v>0.04550000000000001</v>
      </c>
      <c r="G2581" t="n">
        <v>0.91</v>
      </c>
      <c r="H2581" t="n">
        <v>4</v>
      </c>
      <c r="I2581" t="n">
        <v>21</v>
      </c>
      <c r="J2581" t="n">
        <v>3</v>
      </c>
      <c r="K2581" t="n">
        <v>0</v>
      </c>
      <c r="L2581" t="n">
        <v>137093</v>
      </c>
      <c r="M2581" t="n">
        <v>190000</v>
      </c>
      <c r="N2581" t="n">
        <v>91</v>
      </c>
      <c r="O2581" t="n">
        <v>0.91</v>
      </c>
      <c r="P2581" t="n">
        <v>1</v>
      </c>
      <c r="Q2581" t="n">
        <v>0.27</v>
      </c>
      <c r="R2581" t="n">
        <v>2</v>
      </c>
      <c r="S2581" t="n">
        <v>8645.000000000002</v>
      </c>
      <c r="T2581" t="n">
        <v>19</v>
      </c>
      <c r="U2581" t="n">
        <v>20</v>
      </c>
      <c r="V2581" t="n">
        <v>30</v>
      </c>
      <c r="W2581" t="n">
        <v>2</v>
      </c>
      <c r="X2581" t="n">
        <v>109.8901098901099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6287</v>
      </c>
      <c r="AG2581" t="n">
        <v>1</v>
      </c>
      <c r="AH2581" t="inlineStr">
        <is>
          <t>PT. BERSAMA DISTRIVERSA INDONESIA (DC CIPUTAT)</t>
        </is>
      </c>
      <c r="AI2581" t="n">
        <v>1409</v>
      </c>
      <c r="AJ2581" t="inlineStr">
        <is>
          <t>LA ROCHE POSAY</t>
        </is>
      </c>
      <c r="AK2581" t="n">
        <v>21</v>
      </c>
      <c r="AL2581" t="inlineStr">
        <is>
          <t>Miss Glam Damar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LA ROCHE POSAY</t>
        </is>
      </c>
      <c r="B2582" s="2">
        <f>"3337875890021"</f>
        <v/>
      </c>
      <c r="C2582" t="inlineStr">
        <is>
          <t>LAROCHE-POSAY Mela B3 10% Niacinamide Serum 30ml</t>
        </is>
      </c>
      <c r="D2582" t="inlineStr">
        <is>
          <t>Miss Glam Damar</t>
        </is>
      </c>
      <c r="E2582" t="n">
        <v>8</v>
      </c>
      <c r="F2582" t="n">
        <v>0.02</v>
      </c>
      <c r="G2582" t="n">
        <v>1</v>
      </c>
      <c r="H2582" t="n">
        <v>4</v>
      </c>
      <c r="I2582" t="n">
        <v>21</v>
      </c>
      <c r="J2582" t="n">
        <v>3</v>
      </c>
      <c r="K2582" t="n">
        <v>0</v>
      </c>
      <c r="L2582" t="n">
        <v>569590</v>
      </c>
      <c r="M2582" t="n">
        <v>790000</v>
      </c>
      <c r="N2582" t="n">
        <v>91</v>
      </c>
      <c r="O2582" t="n">
        <v>0.91</v>
      </c>
      <c r="P2582" t="n">
        <v>0</v>
      </c>
      <c r="Q2582" t="n">
        <v>0.02</v>
      </c>
      <c r="R2582" t="n">
        <v>1</v>
      </c>
      <c r="S2582" t="n">
        <v>15800</v>
      </c>
      <c r="T2582" t="n">
        <v>21</v>
      </c>
      <c r="U2582" t="n">
        <v>22</v>
      </c>
      <c r="V2582" t="n">
        <v>30</v>
      </c>
      <c r="W2582" t="n">
        <v>1</v>
      </c>
      <c r="X2582" t="n">
        <v>400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6287</v>
      </c>
      <c r="AG2582" t="n">
        <v>1</v>
      </c>
      <c r="AH2582" t="inlineStr">
        <is>
          <t>PT. BERSAMA DISTRIVERSA INDONESIA (DC CIPUTAT)</t>
        </is>
      </c>
      <c r="AI2582" t="n">
        <v>1409</v>
      </c>
      <c r="AJ2582" t="inlineStr">
        <is>
          <t>LA ROCHE POSAY</t>
        </is>
      </c>
      <c r="AK2582" t="n">
        <v>21</v>
      </c>
      <c r="AL2582" t="inlineStr">
        <is>
          <t>Miss Glam Damar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LAB ON HAIR</t>
        </is>
      </c>
      <c r="B2583" s="2">
        <f>"6970146294158"</f>
        <v/>
      </c>
      <c r="C2583" t="inlineStr">
        <is>
          <t>LAB ON HAIR Hair &amp; Scalp Spray 160ml</t>
        </is>
      </c>
      <c r="D2583" t="inlineStr">
        <is>
          <t>Miss Glam Damar</t>
        </is>
      </c>
      <c r="E2583" t="n">
        <v>0</v>
      </c>
      <c r="F2583" t="n">
        <v>0.06</v>
      </c>
      <c r="G2583" t="n">
        <v>1</v>
      </c>
      <c r="H2583" t="n">
        <v>2</v>
      </c>
      <c r="I2583" t="n">
        <v>16</v>
      </c>
      <c r="J2583" t="n">
        <v>3</v>
      </c>
      <c r="K2583" t="n">
        <v>0</v>
      </c>
      <c r="L2583" t="n">
        <v>111491</v>
      </c>
      <c r="M2583" t="n">
        <v>170000</v>
      </c>
      <c r="N2583" t="n">
        <v>91</v>
      </c>
      <c r="O2583" t="n">
        <v>0.91</v>
      </c>
      <c r="P2583" t="n">
        <v>0</v>
      </c>
      <c r="Q2583" t="n">
        <v>0.06</v>
      </c>
      <c r="R2583" t="n">
        <v>1</v>
      </c>
      <c r="S2583" t="n">
        <v>10200</v>
      </c>
      <c r="T2583" t="n">
        <v>16</v>
      </c>
      <c r="U2583" t="n">
        <v>17</v>
      </c>
      <c r="V2583" t="n">
        <v>30</v>
      </c>
      <c r="W2583" t="n">
        <v>2</v>
      </c>
      <c r="X2583" t="n">
        <v>0</v>
      </c>
      <c r="Y2583" t="n">
        <v>1</v>
      </c>
      <c r="Z2583" t="n">
        <v>2</v>
      </c>
      <c r="AA2583" t="n">
        <v>1</v>
      </c>
      <c r="AB2583" t="n">
        <v>1</v>
      </c>
      <c r="AC2583" t="n">
        <v>3</v>
      </c>
      <c r="AD2583" t="n">
        <v>111491</v>
      </c>
      <c r="AE2583" t="n">
        <v>334473</v>
      </c>
      <c r="AF2583" t="n">
        <v>576</v>
      </c>
      <c r="AG2583" t="n">
        <v>107</v>
      </c>
      <c r="AH2583" t="inlineStr">
        <is>
          <t xml:space="preserve">CV. DAHLIA - PPN (PDG) </t>
        </is>
      </c>
      <c r="AI2583" t="n">
        <v>1524</v>
      </c>
      <c r="AJ2583" t="inlineStr">
        <is>
          <t>LAB ON HAIR</t>
        </is>
      </c>
      <c r="AK2583" t="n">
        <v>21</v>
      </c>
      <c r="AL2583" t="inlineStr">
        <is>
          <t>Miss Glam Damar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LAB ON HAIR</t>
        </is>
      </c>
      <c r="B2584" s="2">
        <f>"764460290868"</f>
        <v/>
      </c>
      <c r="C2584" t="inlineStr">
        <is>
          <t>LAB ON HAIR Hair Fall Control Ampoule 60ml</t>
        </is>
      </c>
      <c r="D2584" t="inlineStr">
        <is>
          <t>Miss Glam Damar</t>
        </is>
      </c>
      <c r="E2584" t="n">
        <v>1</v>
      </c>
      <c r="F2584" t="n">
        <v>0.03</v>
      </c>
      <c r="G2584" t="n">
        <v>2</v>
      </c>
      <c r="H2584" t="n">
        <v>2</v>
      </c>
      <c r="I2584" t="n">
        <v>16</v>
      </c>
      <c r="J2584" t="n">
        <v>3</v>
      </c>
      <c r="K2584" t="n">
        <v>0</v>
      </c>
      <c r="L2584" t="n">
        <v>131349</v>
      </c>
      <c r="M2584" t="n">
        <v>168000</v>
      </c>
      <c r="N2584" t="n">
        <v>91</v>
      </c>
      <c r="O2584" t="n">
        <v>0.91</v>
      </c>
      <c r="P2584" t="n">
        <v>0</v>
      </c>
      <c r="Q2584" t="n">
        <v>0.03</v>
      </c>
      <c r="R2584" t="n">
        <v>2</v>
      </c>
      <c r="S2584" t="n">
        <v>5040</v>
      </c>
      <c r="T2584" t="n">
        <v>32</v>
      </c>
      <c r="U2584" t="n">
        <v>33</v>
      </c>
      <c r="V2584" t="n">
        <v>30</v>
      </c>
      <c r="W2584" t="n">
        <v>1</v>
      </c>
      <c r="X2584" t="n">
        <v>33.33333333333334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576</v>
      </c>
      <c r="AG2584" t="n">
        <v>107</v>
      </c>
      <c r="AH2584" t="inlineStr">
        <is>
          <t xml:space="preserve">CV. DAHLIA - PPN (PDG) </t>
        </is>
      </c>
      <c r="AI2584" t="n">
        <v>1524</v>
      </c>
      <c r="AJ2584" t="inlineStr">
        <is>
          <t>LAB ON HAIR</t>
        </is>
      </c>
      <c r="AK2584" t="n">
        <v>21</v>
      </c>
      <c r="AL2584" t="inlineStr">
        <is>
          <t>Miss Glam Damar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LAB ON HAIR</t>
        </is>
      </c>
      <c r="B2585" s="2">
        <f>"764460290851"</f>
        <v/>
      </c>
      <c r="C2585" t="inlineStr">
        <is>
          <t>LAB ON HAIR Hair Fall Control Shampoo</t>
        </is>
      </c>
      <c r="D2585" t="inlineStr">
        <is>
          <t>Miss Glam Damar</t>
        </is>
      </c>
      <c r="E2585" t="n">
        <v>2</v>
      </c>
      <c r="F2585" t="n">
        <v>0.03</v>
      </c>
      <c r="G2585" t="n">
        <v>1</v>
      </c>
      <c r="H2585" t="n">
        <v>2</v>
      </c>
      <c r="I2585" t="n">
        <v>16</v>
      </c>
      <c r="J2585" t="n">
        <v>3</v>
      </c>
      <c r="K2585" t="n">
        <v>0</v>
      </c>
      <c r="L2585" t="n">
        <v>94895</v>
      </c>
      <c r="M2585" t="n">
        <v>136000</v>
      </c>
      <c r="N2585" t="n">
        <v>91</v>
      </c>
      <c r="O2585" t="n">
        <v>0.91</v>
      </c>
      <c r="P2585" t="n">
        <v>0</v>
      </c>
      <c r="Q2585" t="n">
        <v>0.03</v>
      </c>
      <c r="R2585" t="n">
        <v>1</v>
      </c>
      <c r="S2585" t="n">
        <v>4080</v>
      </c>
      <c r="T2585" t="n">
        <v>16</v>
      </c>
      <c r="U2585" t="n">
        <v>17</v>
      </c>
      <c r="V2585" t="n">
        <v>30</v>
      </c>
      <c r="W2585" t="n">
        <v>1</v>
      </c>
      <c r="X2585" t="n">
        <v>66.66666666666667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576</v>
      </c>
      <c r="AG2585" t="n">
        <v>107</v>
      </c>
      <c r="AH2585" t="inlineStr">
        <is>
          <t xml:space="preserve">CV. DAHLIA - PPN (PDG) </t>
        </is>
      </c>
      <c r="AI2585" t="n">
        <v>1524</v>
      </c>
      <c r="AJ2585" t="inlineStr">
        <is>
          <t>LAB ON HAIR</t>
        </is>
      </c>
      <c r="AK2585" t="n">
        <v>21</v>
      </c>
      <c r="AL2585" t="inlineStr">
        <is>
          <t>Miss Glam Damar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LABORE</t>
        </is>
      </c>
      <c r="B2586" s="2">
        <f>"10400309835"</f>
        <v/>
      </c>
      <c r="C2586" t="inlineStr">
        <is>
          <t>LABORE BiomeProtect Acne &amp; Oil Correct Physical Sunscreen 10 ml</t>
        </is>
      </c>
      <c r="D2586" t="inlineStr">
        <is>
          <t>Miss Glam Damar</t>
        </is>
      </c>
      <c r="E2586" t="n">
        <v>28</v>
      </c>
      <c r="F2586" t="n">
        <v>0.9373</v>
      </c>
      <c r="G2586" t="n">
        <v>5.46</v>
      </c>
      <c r="H2586" t="n">
        <v>2</v>
      </c>
      <c r="I2586" t="n">
        <v>6</v>
      </c>
      <c r="J2586" t="n">
        <v>1</v>
      </c>
      <c r="K2586" t="n">
        <v>0</v>
      </c>
      <c r="L2586" t="n">
        <v>47200</v>
      </c>
      <c r="M2586" t="n">
        <v>59000</v>
      </c>
      <c r="N2586" t="n">
        <v>91</v>
      </c>
      <c r="O2586" t="n">
        <v>0.91</v>
      </c>
      <c r="P2586" t="n">
        <v>1</v>
      </c>
      <c r="Q2586" t="n">
        <v>1.2</v>
      </c>
      <c r="R2586" t="n">
        <v>3</v>
      </c>
      <c r="S2586" t="n">
        <v>55300.7</v>
      </c>
      <c r="T2586" t="n">
        <v>31</v>
      </c>
      <c r="U2586" t="n">
        <v>33</v>
      </c>
      <c r="V2586" t="n">
        <v>30</v>
      </c>
      <c r="W2586" t="n">
        <v>29</v>
      </c>
      <c r="X2586" t="n">
        <v>29.87303958177744</v>
      </c>
      <c r="Y2586" t="n">
        <v>1</v>
      </c>
      <c r="Z2586" t="n">
        <v>1</v>
      </c>
      <c r="AA2586" t="n">
        <v>0</v>
      </c>
      <c r="AB2586" t="n">
        <v>1</v>
      </c>
      <c r="AC2586" t="n">
        <v>1</v>
      </c>
      <c r="AD2586" t="n">
        <v>0</v>
      </c>
      <c r="AE2586" t="n">
        <v>47200</v>
      </c>
      <c r="AF2586" t="n">
        <v>11703</v>
      </c>
      <c r="AG2586" t="n">
        <v>63</v>
      </c>
      <c r="AH2586" t="inlineStr">
        <is>
          <t>PT. PARAMA GLOBAL INSPIRA - PPN (PDG)</t>
        </is>
      </c>
      <c r="AI2586" t="n">
        <v>1483</v>
      </c>
      <c r="AJ2586" t="inlineStr">
        <is>
          <t>LABORE</t>
        </is>
      </c>
      <c r="AK2586" t="n">
        <v>21</v>
      </c>
      <c r="AL2586" t="inlineStr">
        <is>
          <t>Miss Glam Damar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LABORE</t>
        </is>
      </c>
      <c r="B2587" s="2">
        <f>"10400309757"</f>
        <v/>
      </c>
      <c r="C2587" t="inlineStr">
        <is>
          <t>LABORE BiomeProtect Acne &amp; Oil Correct Physical Sunscreen 40 ml</t>
        </is>
      </c>
      <c r="D2587" t="inlineStr">
        <is>
          <t>Miss Glam Damar</t>
        </is>
      </c>
      <c r="E2587" t="n">
        <v>20</v>
      </c>
      <c r="F2587" t="n">
        <v>0.5369</v>
      </c>
      <c r="G2587" t="n">
        <v>4.55</v>
      </c>
      <c r="H2587" t="n">
        <v>2</v>
      </c>
      <c r="I2587" t="n">
        <v>6</v>
      </c>
      <c r="J2587" t="n">
        <v>1</v>
      </c>
      <c r="K2587" t="n">
        <v>0</v>
      </c>
      <c r="L2587" t="n">
        <v>134396</v>
      </c>
      <c r="M2587" t="n">
        <v>168000</v>
      </c>
      <c r="N2587" t="n">
        <v>91</v>
      </c>
      <c r="O2587" t="n">
        <v>0.91</v>
      </c>
      <c r="P2587" t="n">
        <v>1</v>
      </c>
      <c r="Q2587" t="n">
        <v>0.9</v>
      </c>
      <c r="R2587" t="n">
        <v>3</v>
      </c>
      <c r="S2587" t="n">
        <v>90199.20000000001</v>
      </c>
      <c r="T2587" t="n">
        <v>27</v>
      </c>
      <c r="U2587" t="n">
        <v>29</v>
      </c>
      <c r="V2587" t="n">
        <v>30</v>
      </c>
      <c r="W2587" t="n">
        <v>17</v>
      </c>
      <c r="X2587" t="n">
        <v>37.25088470851183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11703</v>
      </c>
      <c r="AG2587" t="n">
        <v>63</v>
      </c>
      <c r="AH2587" t="inlineStr">
        <is>
          <t>PT. PARAMA GLOBAL INSPIRA - PPN (PDG)</t>
        </is>
      </c>
      <c r="AI2587" t="n">
        <v>1483</v>
      </c>
      <c r="AJ2587" t="inlineStr">
        <is>
          <t>LABORE</t>
        </is>
      </c>
      <c r="AK2587" t="n">
        <v>21</v>
      </c>
      <c r="AL2587" t="inlineStr">
        <is>
          <t>Miss Glam Damar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LABORE</t>
        </is>
      </c>
      <c r="B2588" s="2">
        <f>"30200197031"</f>
        <v/>
      </c>
      <c r="C2588" t="inlineStr">
        <is>
          <t>LABORÉ Dermalab Revolutionaire Barrier Restorative Advanced Lotion 225ml</t>
        </is>
      </c>
      <c r="D2588" t="inlineStr">
        <is>
          <t>Miss Glam Damar</t>
        </is>
      </c>
      <c r="E2588" t="n">
        <v>3</v>
      </c>
      <c r="F2588" t="n">
        <v>0.0182</v>
      </c>
      <c r="G2588" t="n">
        <v>0</v>
      </c>
      <c r="H2588" t="n">
        <v>2</v>
      </c>
      <c r="I2588" t="n">
        <v>6</v>
      </c>
      <c r="J2588" t="n">
        <v>1</v>
      </c>
      <c r="K2588" t="n">
        <v>0</v>
      </c>
      <c r="L2588" t="n">
        <v>216000</v>
      </c>
      <c r="M2588" t="n">
        <v>270000</v>
      </c>
      <c r="N2588" t="n">
        <v>91</v>
      </c>
      <c r="O2588" t="n">
        <v>0.91</v>
      </c>
      <c r="P2588" t="n">
        <v>1</v>
      </c>
      <c r="Q2588" t="n">
        <v>0.02</v>
      </c>
      <c r="R2588" t="n">
        <v>0</v>
      </c>
      <c r="S2588" t="n">
        <v>4914</v>
      </c>
      <c r="T2588" t="n">
        <v>0</v>
      </c>
      <c r="U2588" t="n">
        <v>1</v>
      </c>
      <c r="V2588" t="n">
        <v>30</v>
      </c>
      <c r="W2588" t="n">
        <v>1</v>
      </c>
      <c r="X2588" t="n">
        <v>164.8351648351648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11703</v>
      </c>
      <c r="AG2588" t="n">
        <v>63</v>
      </c>
      <c r="AH2588" t="inlineStr">
        <is>
          <t>PT. PARAMA GLOBAL INSPIRA - PPN (PDG)</t>
        </is>
      </c>
      <c r="AI2588" t="n">
        <v>1483</v>
      </c>
      <c r="AJ2588" t="inlineStr">
        <is>
          <t>LABORE</t>
        </is>
      </c>
      <c r="AK2588" t="n">
        <v>21</v>
      </c>
      <c r="AL2588" t="inlineStr">
        <is>
          <t>Miss Glam Damar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LABORE</t>
        </is>
      </c>
      <c r="B2589" s="2">
        <f>"30200196936"</f>
        <v/>
      </c>
      <c r="C2589" t="inlineStr">
        <is>
          <t>LABORÉ Dermalab Revolutionaire Barrier Restorative Advanced Lotion 75ml</t>
        </is>
      </c>
      <c r="D2589" t="inlineStr">
        <is>
          <t>Miss Glam Damar</t>
        </is>
      </c>
      <c r="E2589" t="n">
        <v>6</v>
      </c>
      <c r="F2589" t="n">
        <v>0.05</v>
      </c>
      <c r="G2589" t="n">
        <v>2</v>
      </c>
      <c r="H2589" t="n">
        <v>2</v>
      </c>
      <c r="I2589" t="n">
        <v>6</v>
      </c>
      <c r="J2589" t="n">
        <v>1</v>
      </c>
      <c r="K2589" t="n">
        <v>0</v>
      </c>
      <c r="L2589" t="n">
        <v>83999</v>
      </c>
      <c r="M2589" t="n">
        <v>105000</v>
      </c>
      <c r="N2589" t="n">
        <v>91</v>
      </c>
      <c r="O2589" t="n">
        <v>0.91</v>
      </c>
      <c r="P2589" t="n">
        <v>0</v>
      </c>
      <c r="Q2589" t="n">
        <v>0.05</v>
      </c>
      <c r="R2589" t="n">
        <v>2</v>
      </c>
      <c r="S2589" t="n">
        <v>5250</v>
      </c>
      <c r="T2589" t="n">
        <v>12</v>
      </c>
      <c r="U2589" t="n">
        <v>13</v>
      </c>
      <c r="V2589" t="n">
        <v>30</v>
      </c>
      <c r="W2589" t="n">
        <v>2</v>
      </c>
      <c r="X2589" t="n">
        <v>120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11703</v>
      </c>
      <c r="AG2589" t="n">
        <v>63</v>
      </c>
      <c r="AH2589" t="inlineStr">
        <is>
          <t>PT. PARAMA GLOBAL INSPIRA - PPN (PDG)</t>
        </is>
      </c>
      <c r="AI2589" t="n">
        <v>1483</v>
      </c>
      <c r="AJ2589" t="inlineStr">
        <is>
          <t>LABORE</t>
        </is>
      </c>
      <c r="AK2589" t="n">
        <v>21</v>
      </c>
      <c r="AL2589" t="inlineStr">
        <is>
          <t>Miss Glam Damar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LABORE</t>
        </is>
      </c>
      <c r="B2590" s="2">
        <f>"11200151945"</f>
        <v/>
      </c>
      <c r="C2590" t="inlineStr">
        <is>
          <t>LABORE Multi-Pigmentation Brightening Serum 20ml</t>
        </is>
      </c>
      <c r="D2590" t="inlineStr">
        <is>
          <t>Miss Glam Damar</t>
        </is>
      </c>
      <c r="E2590" t="n">
        <v>10</v>
      </c>
      <c r="F2590" t="n">
        <v>0.1092</v>
      </c>
      <c r="G2590" t="n">
        <v>0.91</v>
      </c>
      <c r="H2590" t="n">
        <v>2</v>
      </c>
      <c r="I2590" t="n">
        <v>6</v>
      </c>
      <c r="J2590" t="n">
        <v>1</v>
      </c>
      <c r="K2590" t="n">
        <v>0</v>
      </c>
      <c r="L2590" t="n">
        <v>180799</v>
      </c>
      <c r="M2590" t="n">
        <v>226000</v>
      </c>
      <c r="N2590" t="n">
        <v>91</v>
      </c>
      <c r="O2590" t="n">
        <v>0.91</v>
      </c>
      <c r="P2590" t="n">
        <v>1</v>
      </c>
      <c r="Q2590" t="n">
        <v>0.24</v>
      </c>
      <c r="R2590" t="n">
        <v>2</v>
      </c>
      <c r="S2590" t="n">
        <v>24679.2</v>
      </c>
      <c r="T2590" t="n">
        <v>6</v>
      </c>
      <c r="U2590" t="n">
        <v>7</v>
      </c>
      <c r="V2590" t="n">
        <v>30</v>
      </c>
      <c r="W2590" t="n">
        <v>4</v>
      </c>
      <c r="X2590" t="n">
        <v>91.57509157509158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11703</v>
      </c>
      <c r="AG2590" t="n">
        <v>63</v>
      </c>
      <c r="AH2590" t="inlineStr">
        <is>
          <t>PT. PARAMA GLOBAL INSPIRA - PPN (PDG)</t>
        </is>
      </c>
      <c r="AI2590" t="n">
        <v>1483</v>
      </c>
      <c r="AJ2590" t="inlineStr">
        <is>
          <t>LABORE</t>
        </is>
      </c>
      <c r="AK2590" t="n">
        <v>21</v>
      </c>
      <c r="AL2590" t="inlineStr">
        <is>
          <t>Miss Glam Damar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LABORE</t>
        </is>
      </c>
      <c r="B2591" s="2">
        <f>"11200152028"</f>
        <v/>
      </c>
      <c r="C2591" t="inlineStr">
        <is>
          <t>LABORE Multi-Pigmentation Brightening Serum 7ml</t>
        </is>
      </c>
      <c r="D2591" t="inlineStr">
        <is>
          <t>Miss Glam Damar</t>
        </is>
      </c>
      <c r="E2591" t="n">
        <v>7</v>
      </c>
      <c r="F2591" t="n">
        <v>0.2002</v>
      </c>
      <c r="G2591" t="n">
        <v>1.82</v>
      </c>
      <c r="H2591" t="n">
        <v>2</v>
      </c>
      <c r="I2591" t="n">
        <v>6</v>
      </c>
      <c r="J2591" t="n">
        <v>1</v>
      </c>
      <c r="K2591" t="n">
        <v>0</v>
      </c>
      <c r="L2591" t="n">
        <v>64799</v>
      </c>
      <c r="M2591" t="n">
        <v>81000</v>
      </c>
      <c r="N2591" t="n">
        <v>91</v>
      </c>
      <c r="O2591" t="n">
        <v>0.91</v>
      </c>
      <c r="P2591" t="n">
        <v>1</v>
      </c>
      <c r="Q2591" t="n">
        <v>0.36</v>
      </c>
      <c r="R2591" t="n">
        <v>2</v>
      </c>
      <c r="S2591" t="n">
        <v>16216.2</v>
      </c>
      <c r="T2591" t="n">
        <v>11</v>
      </c>
      <c r="U2591" t="n">
        <v>12</v>
      </c>
      <c r="V2591" t="n">
        <v>30</v>
      </c>
      <c r="W2591" t="n">
        <v>7</v>
      </c>
      <c r="X2591" t="n">
        <v>34.96503496503496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11703</v>
      </c>
      <c r="AG2591" t="n">
        <v>63</v>
      </c>
      <c r="AH2591" t="inlineStr">
        <is>
          <t>PT. PARAMA GLOBAL INSPIRA - PPN (PDG)</t>
        </is>
      </c>
      <c r="AI2591" t="n">
        <v>1483</v>
      </c>
      <c r="AJ2591" t="inlineStr">
        <is>
          <t>LABORE</t>
        </is>
      </c>
      <c r="AK2591" t="n">
        <v>21</v>
      </c>
      <c r="AL2591" t="inlineStr">
        <is>
          <t>Miss Glam Damar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LABORE</t>
        </is>
      </c>
      <c r="B2592" s="2">
        <f>"8993137004138"</f>
        <v/>
      </c>
      <c r="C2592" t="inlineStr">
        <is>
          <t>LABORE Sensitive Skin Care Acne Spot Gel 15ml</t>
        </is>
      </c>
      <c r="D2592" t="inlineStr">
        <is>
          <t>Miss Glam Damar</t>
        </is>
      </c>
      <c r="E2592" t="n">
        <v>5</v>
      </c>
      <c r="F2592" t="n">
        <v>0.182</v>
      </c>
      <c r="G2592" t="n">
        <v>1.82</v>
      </c>
      <c r="H2592" t="n">
        <v>2</v>
      </c>
      <c r="I2592" t="n">
        <v>6</v>
      </c>
      <c r="J2592" t="n">
        <v>3</v>
      </c>
      <c r="K2592" t="n">
        <v>0</v>
      </c>
      <c r="L2592" t="n">
        <v>104886</v>
      </c>
      <c r="M2592" t="n">
        <v>128000</v>
      </c>
      <c r="N2592" t="n">
        <v>91</v>
      </c>
      <c r="O2592" t="n">
        <v>0.91</v>
      </c>
      <c r="P2592" t="n">
        <v>1</v>
      </c>
      <c r="Q2592" t="n">
        <v>0.25</v>
      </c>
      <c r="R2592" t="n">
        <v>3</v>
      </c>
      <c r="S2592" t="n">
        <v>23296</v>
      </c>
      <c r="T2592" t="n">
        <v>11</v>
      </c>
      <c r="U2592" t="n">
        <v>12</v>
      </c>
      <c r="V2592" t="n">
        <v>30</v>
      </c>
      <c r="W2592" t="n">
        <v>6</v>
      </c>
      <c r="X2592" t="n">
        <v>27.47252747252747</v>
      </c>
      <c r="Y2592" t="n">
        <v>1</v>
      </c>
      <c r="Z2592" t="n">
        <v>1</v>
      </c>
      <c r="AA2592" t="n">
        <v>0</v>
      </c>
      <c r="AB2592" t="n">
        <v>1</v>
      </c>
      <c r="AC2592" t="n">
        <v>3</v>
      </c>
      <c r="AD2592" t="n">
        <v>0</v>
      </c>
      <c r="AE2592" t="n">
        <v>314658</v>
      </c>
      <c r="AF2592" t="n">
        <v>11703</v>
      </c>
      <c r="AG2592" t="n">
        <v>63</v>
      </c>
      <c r="AH2592" t="inlineStr">
        <is>
          <t>PT. PARAMA GLOBAL INSPIRA - PPN (PDG)</t>
        </is>
      </c>
      <c r="AI2592" t="n">
        <v>1483</v>
      </c>
      <c r="AJ2592" t="inlineStr">
        <is>
          <t>LABORE</t>
        </is>
      </c>
      <c r="AK2592" t="n">
        <v>21</v>
      </c>
      <c r="AL2592" t="inlineStr">
        <is>
          <t>Miss Glam Damar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LABORE</t>
        </is>
      </c>
      <c r="B2593" s="2">
        <f>"8993137711906"</f>
        <v/>
      </c>
      <c r="C2593" t="inlineStr">
        <is>
          <t>LABORE Sensitive Skin Care Barrier Repair Serum 20ml</t>
        </is>
      </c>
      <c r="D2593" t="inlineStr">
        <is>
          <t>Miss Glam Damar</t>
        </is>
      </c>
      <c r="E2593" t="n">
        <v>6</v>
      </c>
      <c r="F2593" t="n">
        <v>0.09100000000000001</v>
      </c>
      <c r="G2593" t="n">
        <v>0.91</v>
      </c>
      <c r="H2593" t="n">
        <v>2</v>
      </c>
      <c r="I2593" t="n">
        <v>6</v>
      </c>
      <c r="J2593" t="n">
        <v>3</v>
      </c>
      <c r="K2593" t="n">
        <v>0</v>
      </c>
      <c r="L2593" t="n">
        <v>146399</v>
      </c>
      <c r="M2593" t="n">
        <v>188000</v>
      </c>
      <c r="N2593" t="n">
        <v>91</v>
      </c>
      <c r="O2593" t="n">
        <v>0.91</v>
      </c>
      <c r="P2593" t="n">
        <v>1</v>
      </c>
      <c r="Q2593" t="n">
        <v>0.05</v>
      </c>
      <c r="R2593" t="n">
        <v>1</v>
      </c>
      <c r="S2593" t="n">
        <v>17108</v>
      </c>
      <c r="T2593" t="n">
        <v>6</v>
      </c>
      <c r="U2593" t="n">
        <v>7</v>
      </c>
      <c r="V2593" t="n">
        <v>30</v>
      </c>
      <c r="W2593" t="n">
        <v>3</v>
      </c>
      <c r="X2593" t="n">
        <v>65.93406593406593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11703</v>
      </c>
      <c r="AG2593" t="n">
        <v>63</v>
      </c>
      <c r="AH2593" t="inlineStr">
        <is>
          <t>PT. PARAMA GLOBAL INSPIRA - PPN (PDG)</t>
        </is>
      </c>
      <c r="AI2593" t="n">
        <v>1483</v>
      </c>
      <c r="AJ2593" t="inlineStr">
        <is>
          <t>LABORE</t>
        </is>
      </c>
      <c r="AK2593" t="n">
        <v>21</v>
      </c>
      <c r="AL2593" t="inlineStr">
        <is>
          <t>Miss Glam Damar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LABORE</t>
        </is>
      </c>
      <c r="B2594" s="2">
        <f>"10400309637"</f>
        <v/>
      </c>
      <c r="C2594" t="inlineStr">
        <is>
          <t>LABORE Sensitive Skin Care BiomeProtect Physical Sunscreen SPF50+ PA++++ 80 g</t>
        </is>
      </c>
      <c r="D2594" t="inlineStr">
        <is>
          <t>Miss Glam Damar</t>
        </is>
      </c>
      <c r="E2594" t="n">
        <v>11</v>
      </c>
      <c r="F2594" t="n">
        <v>0.0273</v>
      </c>
      <c r="G2594" t="n">
        <v>0.91</v>
      </c>
      <c r="H2594" t="n">
        <v>2</v>
      </c>
      <c r="I2594" t="n">
        <v>6</v>
      </c>
      <c r="J2594" t="n">
        <v>1</v>
      </c>
      <c r="K2594" t="n">
        <v>0</v>
      </c>
      <c r="L2594" t="n">
        <v>291199</v>
      </c>
      <c r="M2594" t="n">
        <v>359000</v>
      </c>
      <c r="N2594" t="n">
        <v>91</v>
      </c>
      <c r="O2594" t="n">
        <v>0.91</v>
      </c>
      <c r="P2594" t="n">
        <v>1</v>
      </c>
      <c r="Q2594" t="n">
        <v>0.2</v>
      </c>
      <c r="R2594" t="n">
        <v>2</v>
      </c>
      <c r="S2594" t="n">
        <v>9800.700000000001</v>
      </c>
      <c r="T2594" t="n">
        <v>6</v>
      </c>
      <c r="U2594" t="n">
        <v>7</v>
      </c>
      <c r="V2594" t="n">
        <v>30</v>
      </c>
      <c r="W2594" t="n">
        <v>1</v>
      </c>
      <c r="X2594" t="n">
        <v>402.9304029304029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11703</v>
      </c>
      <c r="AG2594" t="n">
        <v>63</v>
      </c>
      <c r="AH2594" t="inlineStr">
        <is>
          <t>PT. PARAMA GLOBAL INSPIRA - PPN (PDG)</t>
        </is>
      </c>
      <c r="AI2594" t="n">
        <v>1483</v>
      </c>
      <c r="AJ2594" t="inlineStr">
        <is>
          <t>LABORE</t>
        </is>
      </c>
      <c r="AK2594" t="n">
        <v>21</v>
      </c>
      <c r="AL2594" t="inlineStr">
        <is>
          <t>Miss Glam Damar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LABORE</t>
        </is>
      </c>
      <c r="B2595" s="2">
        <f>"10300725012"</f>
        <v/>
      </c>
      <c r="C2595" t="inlineStr">
        <is>
          <t>LABORE Sensitive Skin Care BiomeRepair Barrier Revive Cream 100 ml</t>
        </is>
      </c>
      <c r="D2595" t="inlineStr">
        <is>
          <t>Miss Glam Damar</t>
        </is>
      </c>
      <c r="E2595" t="n">
        <v>10</v>
      </c>
      <c r="F2595" t="n">
        <v>0.1547</v>
      </c>
      <c r="G2595" t="n">
        <v>1.82</v>
      </c>
      <c r="H2595" t="n">
        <v>2</v>
      </c>
      <c r="I2595" t="n">
        <v>6</v>
      </c>
      <c r="J2595" t="n">
        <v>1</v>
      </c>
      <c r="K2595" t="n">
        <v>0</v>
      </c>
      <c r="L2595" t="n">
        <v>243979</v>
      </c>
      <c r="M2595" t="n">
        <v>297000</v>
      </c>
      <c r="N2595" t="n">
        <v>91</v>
      </c>
      <c r="O2595" t="n">
        <v>0.91</v>
      </c>
      <c r="P2595" t="n">
        <v>1</v>
      </c>
      <c r="Q2595" t="n">
        <v>0.32</v>
      </c>
      <c r="R2595" t="n">
        <v>2</v>
      </c>
      <c r="S2595" t="n">
        <v>45945.9</v>
      </c>
      <c r="T2595" t="n">
        <v>11</v>
      </c>
      <c r="U2595" t="n">
        <v>12</v>
      </c>
      <c r="V2595" t="n">
        <v>30</v>
      </c>
      <c r="W2595" t="n">
        <v>5</v>
      </c>
      <c r="X2595" t="n">
        <v>64.64124111182934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11703</v>
      </c>
      <c r="AG2595" t="n">
        <v>63</v>
      </c>
      <c r="AH2595" t="inlineStr">
        <is>
          <t>PT. PARAMA GLOBAL INSPIRA - PPN (PDG)</t>
        </is>
      </c>
      <c r="AI2595" t="n">
        <v>1483</v>
      </c>
      <c r="AJ2595" t="inlineStr">
        <is>
          <t>LABORE</t>
        </is>
      </c>
      <c r="AK2595" t="n">
        <v>21</v>
      </c>
      <c r="AL2595" t="inlineStr">
        <is>
          <t>Miss Glam Damar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LABORE</t>
        </is>
      </c>
      <c r="B2596" s="2">
        <f>"8993137713207"</f>
        <v/>
      </c>
      <c r="C2596" t="inlineStr">
        <is>
          <t>LABORE Sensitive Skin Care Gentle Biome Mild Cleanser 225ml</t>
        </is>
      </c>
      <c r="D2596" t="inlineStr">
        <is>
          <t>Miss Glam Damar</t>
        </is>
      </c>
      <c r="E2596" t="n">
        <v>17</v>
      </c>
      <c r="F2596" t="n">
        <v>0.2912</v>
      </c>
      <c r="G2596" t="n">
        <v>1.82</v>
      </c>
      <c r="H2596" t="n">
        <v>2</v>
      </c>
      <c r="I2596" t="n">
        <v>6</v>
      </c>
      <c r="J2596" t="n">
        <v>3</v>
      </c>
      <c r="K2596" t="n">
        <v>0</v>
      </c>
      <c r="L2596" t="n">
        <v>121675</v>
      </c>
      <c r="M2596" t="n">
        <v>145000</v>
      </c>
      <c r="N2596" t="n">
        <v>91</v>
      </c>
      <c r="O2596" t="n">
        <v>0.91</v>
      </c>
      <c r="P2596" t="n">
        <v>1</v>
      </c>
      <c r="Q2596" t="n">
        <v>0.51</v>
      </c>
      <c r="R2596" t="n">
        <v>2</v>
      </c>
      <c r="S2596" t="n">
        <v>42224</v>
      </c>
      <c r="T2596" t="n">
        <v>11</v>
      </c>
      <c r="U2596" t="n">
        <v>12</v>
      </c>
      <c r="V2596" t="n">
        <v>30</v>
      </c>
      <c r="W2596" t="n">
        <v>9</v>
      </c>
      <c r="X2596" t="n">
        <v>58.37912087912088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11703</v>
      </c>
      <c r="AG2596" t="n">
        <v>63</v>
      </c>
      <c r="AH2596" t="inlineStr">
        <is>
          <t>PT. PARAMA GLOBAL INSPIRA - PPN (PDG)</t>
        </is>
      </c>
      <c r="AI2596" t="n">
        <v>1483</v>
      </c>
      <c r="AJ2596" t="inlineStr">
        <is>
          <t>LABORE</t>
        </is>
      </c>
      <c r="AK2596" t="n">
        <v>21</v>
      </c>
      <c r="AL2596" t="inlineStr">
        <is>
          <t>Miss Glam Damar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LABORE</t>
        </is>
      </c>
      <c r="B2597" s="2">
        <f>"8993137735827"</f>
        <v/>
      </c>
      <c r="C2597" t="inlineStr">
        <is>
          <t>LABORE Sensitive Skin Care GentleBiome Hydrating Face &amp; Body Cleanser 250ml</t>
        </is>
      </c>
      <c r="D2597" t="inlineStr">
        <is>
          <t>Miss Glam Damar</t>
        </is>
      </c>
      <c r="E2597" t="n">
        <v>5</v>
      </c>
      <c r="F2597" t="n">
        <v>0.1547</v>
      </c>
      <c r="G2597" t="n">
        <v>1.82</v>
      </c>
      <c r="H2597" t="n">
        <v>2</v>
      </c>
      <c r="I2597" t="n">
        <v>6</v>
      </c>
      <c r="J2597" t="n">
        <v>3</v>
      </c>
      <c r="K2597" t="n">
        <v>0</v>
      </c>
      <c r="L2597" t="n">
        <v>115290</v>
      </c>
      <c r="M2597" t="n">
        <v>149000</v>
      </c>
      <c r="N2597" t="n">
        <v>91</v>
      </c>
      <c r="O2597" t="n">
        <v>0.91</v>
      </c>
      <c r="P2597" t="n">
        <v>1</v>
      </c>
      <c r="Q2597" t="n">
        <v>0.1</v>
      </c>
      <c r="R2597" t="n">
        <v>2</v>
      </c>
      <c r="S2597" t="n">
        <v>23050.3</v>
      </c>
      <c r="T2597" t="n">
        <v>11</v>
      </c>
      <c r="U2597" t="n">
        <v>12</v>
      </c>
      <c r="V2597" t="n">
        <v>30</v>
      </c>
      <c r="W2597" t="n">
        <v>5</v>
      </c>
      <c r="X2597" t="n">
        <v>32.32062055591467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11703</v>
      </c>
      <c r="AG2597" t="n">
        <v>63</v>
      </c>
      <c r="AH2597" t="inlineStr">
        <is>
          <t>PT. PARAMA GLOBAL INSPIRA - PPN (PDG)</t>
        </is>
      </c>
      <c r="AI2597" t="n">
        <v>1483</v>
      </c>
      <c r="AJ2597" t="inlineStr">
        <is>
          <t>LABORE</t>
        </is>
      </c>
      <c r="AK2597" t="n">
        <v>21</v>
      </c>
      <c r="AL2597" t="inlineStr">
        <is>
          <t>Miss Glam Damar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LABORE</t>
        </is>
      </c>
      <c r="B2598" s="2">
        <f>"8993137004145"</f>
        <v/>
      </c>
      <c r="C2598" t="inlineStr">
        <is>
          <t>LABORE Sensitive Skin Care Intensive Acne Serun 7ml</t>
        </is>
      </c>
      <c r="D2598" t="inlineStr">
        <is>
          <t>Miss Glam Damar</t>
        </is>
      </c>
      <c r="E2598" t="n">
        <v>7</v>
      </c>
      <c r="F2598" t="n">
        <v>0.1547</v>
      </c>
      <c r="G2598" t="n">
        <v>0.91</v>
      </c>
      <c r="H2598" t="n">
        <v>2</v>
      </c>
      <c r="I2598" t="n">
        <v>6</v>
      </c>
      <c r="J2598" t="n">
        <v>3</v>
      </c>
      <c r="K2598" t="n">
        <v>0</v>
      </c>
      <c r="L2598" t="n">
        <v>61576</v>
      </c>
      <c r="M2598" t="n">
        <v>77000</v>
      </c>
      <c r="N2598" t="n">
        <v>91</v>
      </c>
      <c r="O2598" t="n">
        <v>0.91</v>
      </c>
      <c r="P2598" t="n">
        <v>1</v>
      </c>
      <c r="Q2598" t="n">
        <v>0.15</v>
      </c>
      <c r="R2598" t="n">
        <v>2</v>
      </c>
      <c r="S2598" t="n">
        <v>11911.9</v>
      </c>
      <c r="T2598" t="n">
        <v>6</v>
      </c>
      <c r="U2598" t="n">
        <v>7</v>
      </c>
      <c r="V2598" t="n">
        <v>30</v>
      </c>
      <c r="W2598" t="n">
        <v>5</v>
      </c>
      <c r="X2598" t="n">
        <v>45.24886877828054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11703</v>
      </c>
      <c r="AG2598" t="n">
        <v>63</v>
      </c>
      <c r="AH2598" t="inlineStr">
        <is>
          <t>PT. PARAMA GLOBAL INSPIRA - PPN (PDG)</t>
        </is>
      </c>
      <c r="AI2598" t="n">
        <v>1483</v>
      </c>
      <c r="AJ2598" t="inlineStr">
        <is>
          <t>LABORE</t>
        </is>
      </c>
      <c r="AK2598" t="n">
        <v>21</v>
      </c>
      <c r="AL2598" t="inlineStr">
        <is>
          <t>Miss Glam Damar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LABORE</t>
        </is>
      </c>
      <c r="B2599" s="2">
        <f>"8993137004114"</f>
        <v/>
      </c>
      <c r="C2599" t="inlineStr">
        <is>
          <t>LABORE Sensitive Skin Care Micro Exfoliating Gentle Toner 100ml</t>
        </is>
      </c>
      <c r="D2599" t="inlineStr">
        <is>
          <t>Miss Glam Damar</t>
        </is>
      </c>
      <c r="E2599" t="n">
        <v>5</v>
      </c>
      <c r="F2599" t="n">
        <v>0.0728</v>
      </c>
      <c r="G2599" t="n">
        <v>0.91</v>
      </c>
      <c r="H2599" t="n">
        <v>2</v>
      </c>
      <c r="I2599" t="n">
        <v>6</v>
      </c>
      <c r="J2599" t="n">
        <v>3</v>
      </c>
      <c r="K2599" t="n">
        <v>0</v>
      </c>
      <c r="L2599" t="n">
        <v>134311</v>
      </c>
      <c r="M2599" t="n">
        <v>163000</v>
      </c>
      <c r="N2599" t="n">
        <v>91</v>
      </c>
      <c r="O2599" t="n">
        <v>0.91</v>
      </c>
      <c r="P2599" t="n">
        <v>1</v>
      </c>
      <c r="Q2599" t="n">
        <v>0.07000000000000001</v>
      </c>
      <c r="R2599" t="n">
        <v>1</v>
      </c>
      <c r="S2599" t="n">
        <v>11866.4</v>
      </c>
      <c r="T2599" t="n">
        <v>6</v>
      </c>
      <c r="U2599" t="n">
        <v>7</v>
      </c>
      <c r="V2599" t="n">
        <v>30</v>
      </c>
      <c r="W2599" t="n">
        <v>3</v>
      </c>
      <c r="X2599" t="n">
        <v>68.68131868131867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11703</v>
      </c>
      <c r="AG2599" t="n">
        <v>63</v>
      </c>
      <c r="AH2599" t="inlineStr">
        <is>
          <t>PT. PARAMA GLOBAL INSPIRA - PPN (PDG)</t>
        </is>
      </c>
      <c r="AI2599" t="n">
        <v>1483</v>
      </c>
      <c r="AJ2599" t="inlineStr">
        <is>
          <t>LABORE</t>
        </is>
      </c>
      <c r="AK2599" t="n">
        <v>21</v>
      </c>
      <c r="AL2599" t="inlineStr">
        <is>
          <t>Miss Glam Damar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LABORE</t>
        </is>
      </c>
      <c r="B2600" s="2">
        <f>"8993137004169"</f>
        <v/>
      </c>
      <c r="C2600" t="inlineStr">
        <is>
          <t>LABORE Sensitive Skin Care Sebum &amp; Acne Cleansing Mousse 25ml</t>
        </is>
      </c>
      <c r="D2600" t="inlineStr">
        <is>
          <t>Miss Glam Damar</t>
        </is>
      </c>
      <c r="E2600" t="n">
        <v>14</v>
      </c>
      <c r="F2600" t="n">
        <v>0.4459</v>
      </c>
      <c r="G2600" t="n">
        <v>2.73</v>
      </c>
      <c r="H2600" t="n">
        <v>2</v>
      </c>
      <c r="I2600" t="n">
        <v>6</v>
      </c>
      <c r="J2600" t="n">
        <v>3</v>
      </c>
      <c r="K2600" t="n">
        <v>0</v>
      </c>
      <c r="L2600" t="n">
        <v>50399</v>
      </c>
      <c r="M2600" t="n">
        <v>63000</v>
      </c>
      <c r="N2600" t="n">
        <v>91</v>
      </c>
      <c r="O2600" t="n">
        <v>0.91</v>
      </c>
      <c r="P2600" t="n">
        <v>1</v>
      </c>
      <c r="Q2600" t="n">
        <v>0.47</v>
      </c>
      <c r="R2600" t="n">
        <v>4</v>
      </c>
      <c r="S2600" t="n">
        <v>28091.7</v>
      </c>
      <c r="T2600" t="n">
        <v>16</v>
      </c>
      <c r="U2600" t="n">
        <v>17</v>
      </c>
      <c r="V2600" t="n">
        <v>30</v>
      </c>
      <c r="W2600" t="n">
        <v>14</v>
      </c>
      <c r="X2600" t="n">
        <v>31.39717425431711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11703</v>
      </c>
      <c r="AG2600" t="n">
        <v>63</v>
      </c>
      <c r="AH2600" t="inlineStr">
        <is>
          <t>PT. PARAMA GLOBAL INSPIRA - PPN (PDG)</t>
        </is>
      </c>
      <c r="AI2600" t="n">
        <v>1483</v>
      </c>
      <c r="AJ2600" t="inlineStr">
        <is>
          <t>LABORE</t>
        </is>
      </c>
      <c r="AK2600" t="n">
        <v>21</v>
      </c>
      <c r="AL2600" t="inlineStr">
        <is>
          <t>Miss Glam Damar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LABORE</t>
        </is>
      </c>
      <c r="B2601" s="2">
        <f>"8993137736572"</f>
        <v/>
      </c>
      <c r="C2601" t="inlineStr">
        <is>
          <t>LABORE Sensitive Skin Care Topi Calm Cream 20ml</t>
        </is>
      </c>
      <c r="D2601" t="inlineStr">
        <is>
          <t>Miss Glam Damar</t>
        </is>
      </c>
      <c r="E2601" t="n">
        <v>15</v>
      </c>
      <c r="F2601" t="n">
        <v>0.6916</v>
      </c>
      <c r="G2601" t="n">
        <v>2.73</v>
      </c>
      <c r="H2601" t="n">
        <v>2</v>
      </c>
      <c r="I2601" t="n">
        <v>6</v>
      </c>
      <c r="J2601" t="n">
        <v>3</v>
      </c>
      <c r="K2601" t="n">
        <v>0</v>
      </c>
      <c r="L2601" t="n">
        <v>51197</v>
      </c>
      <c r="M2601" t="n">
        <v>62500</v>
      </c>
      <c r="N2601" t="n">
        <v>91</v>
      </c>
      <c r="O2601" t="n">
        <v>0.91</v>
      </c>
      <c r="P2601" t="n">
        <v>1</v>
      </c>
      <c r="Q2601" t="n">
        <v>0.47</v>
      </c>
      <c r="R2601" t="n">
        <v>3</v>
      </c>
      <c r="S2601" t="n">
        <v>43225</v>
      </c>
      <c r="T2601" t="n">
        <v>15</v>
      </c>
      <c r="U2601" t="n">
        <v>17</v>
      </c>
      <c r="V2601" t="n">
        <v>30</v>
      </c>
      <c r="W2601" t="n">
        <v>21</v>
      </c>
      <c r="X2601" t="n">
        <v>21.68883747831116</v>
      </c>
      <c r="Y2601" t="n">
        <v>1</v>
      </c>
      <c r="Z2601" t="n">
        <v>6</v>
      </c>
      <c r="AA2601" t="n">
        <v>0</v>
      </c>
      <c r="AB2601" t="n">
        <v>6</v>
      </c>
      <c r="AC2601" t="n">
        <v>6</v>
      </c>
      <c r="AD2601" t="n">
        <v>0</v>
      </c>
      <c r="AE2601" t="n">
        <v>307182</v>
      </c>
      <c r="AF2601" t="n">
        <v>11703</v>
      </c>
      <c r="AG2601" t="n">
        <v>63</v>
      </c>
      <c r="AH2601" t="inlineStr">
        <is>
          <t>PT. PARAMA GLOBAL INSPIRA - PPN (PDG)</t>
        </is>
      </c>
      <c r="AI2601" t="n">
        <v>1483</v>
      </c>
      <c r="AJ2601" t="inlineStr">
        <is>
          <t>LABORE</t>
        </is>
      </c>
      <c r="AK2601" t="n">
        <v>21</v>
      </c>
      <c r="AL2601" t="inlineStr">
        <is>
          <t>Miss Glam Damar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LABORE</t>
        </is>
      </c>
      <c r="B2602" s="2">
        <f>"8993137736275"</f>
        <v/>
      </c>
      <c r="C2602" t="inlineStr">
        <is>
          <t>LABORE Sensitive Skin Care Topi Calm Cream 85ml</t>
        </is>
      </c>
      <c r="D2602" t="inlineStr">
        <is>
          <t>Miss Glam Damar</t>
        </is>
      </c>
      <c r="E2602" t="n">
        <v>6</v>
      </c>
      <c r="F2602" t="n">
        <v>0.1274</v>
      </c>
      <c r="G2602" t="n">
        <v>0.91</v>
      </c>
      <c r="H2602" t="n">
        <v>2</v>
      </c>
      <c r="I2602" t="n">
        <v>6</v>
      </c>
      <c r="J2602" t="n">
        <v>3</v>
      </c>
      <c r="K2602" t="n">
        <v>0</v>
      </c>
      <c r="L2602" t="n">
        <v>163199</v>
      </c>
      <c r="M2602" t="n">
        <v>204000</v>
      </c>
      <c r="N2602" t="n">
        <v>91</v>
      </c>
      <c r="O2602" t="n">
        <v>0.91</v>
      </c>
      <c r="P2602" t="n">
        <v>1</v>
      </c>
      <c r="Q2602" t="n">
        <v>0.1</v>
      </c>
      <c r="R2602" t="n">
        <v>1</v>
      </c>
      <c r="S2602" t="n">
        <v>25989.6</v>
      </c>
      <c r="T2602" t="n">
        <v>6</v>
      </c>
      <c r="U2602" t="n">
        <v>7</v>
      </c>
      <c r="V2602" t="n">
        <v>30</v>
      </c>
      <c r="W2602" t="n">
        <v>4</v>
      </c>
      <c r="X2602" t="n">
        <v>47.09576138147566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11703</v>
      </c>
      <c r="AG2602" t="n">
        <v>63</v>
      </c>
      <c r="AH2602" t="inlineStr">
        <is>
          <t>PT. PARAMA GLOBAL INSPIRA - PPN (PDG)</t>
        </is>
      </c>
      <c r="AI2602" t="n">
        <v>1483</v>
      </c>
      <c r="AJ2602" t="inlineStr">
        <is>
          <t>LABORE</t>
        </is>
      </c>
      <c r="AK2602" t="n">
        <v>21</v>
      </c>
      <c r="AL2602" t="inlineStr">
        <is>
          <t>Miss Glam Damar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LABORE</t>
        </is>
      </c>
      <c r="B2603" s="2">
        <f>"8993137712873"</f>
        <v/>
      </c>
      <c r="C2603" t="inlineStr">
        <is>
          <t>LABORE Sensitive Skincare BiomeProctect Physical Sunscreen SPF 45 PA+++ 10ml</t>
        </is>
      </c>
      <c r="D2603" t="inlineStr">
        <is>
          <t>Miss Glam Damar</t>
        </is>
      </c>
      <c r="E2603" t="n">
        <v>22</v>
      </c>
      <c r="F2603" t="n">
        <v>1.2467</v>
      </c>
      <c r="G2603" t="n">
        <v>6.37</v>
      </c>
      <c r="H2603" t="n">
        <v>2</v>
      </c>
      <c r="I2603" t="n">
        <v>6</v>
      </c>
      <c r="J2603" t="n">
        <v>3</v>
      </c>
      <c r="K2603" t="n">
        <v>0</v>
      </c>
      <c r="L2603" t="n">
        <v>48786</v>
      </c>
      <c r="M2603" t="n">
        <v>59000</v>
      </c>
      <c r="N2603" t="n">
        <v>91</v>
      </c>
      <c r="O2603" t="n">
        <v>0.91</v>
      </c>
      <c r="P2603" t="n">
        <v>1</v>
      </c>
      <c r="Q2603" t="n">
        <v>0.8100000000000001</v>
      </c>
      <c r="R2603" t="n">
        <v>3</v>
      </c>
      <c r="S2603" t="n">
        <v>73555.3</v>
      </c>
      <c r="T2603" t="n">
        <v>36</v>
      </c>
      <c r="U2603" t="n">
        <v>39</v>
      </c>
      <c r="V2603" t="n">
        <v>30</v>
      </c>
      <c r="W2603" t="n">
        <v>38</v>
      </c>
      <c r="X2603" t="n">
        <v>17.64658698965268</v>
      </c>
      <c r="Y2603" t="n">
        <v>1</v>
      </c>
      <c r="Z2603" t="n">
        <v>16</v>
      </c>
      <c r="AA2603" t="n">
        <v>0</v>
      </c>
      <c r="AB2603" t="n">
        <v>16</v>
      </c>
      <c r="AC2603" t="n">
        <v>16</v>
      </c>
      <c r="AD2603" t="n">
        <v>0</v>
      </c>
      <c r="AE2603" t="n">
        <v>780576</v>
      </c>
      <c r="AF2603" t="n">
        <v>11703</v>
      </c>
      <c r="AG2603" t="n">
        <v>63</v>
      </c>
      <c r="AH2603" t="inlineStr">
        <is>
          <t>PT. PARAMA GLOBAL INSPIRA - PPN (PDG)</t>
        </is>
      </c>
      <c r="AI2603" t="n">
        <v>1483</v>
      </c>
      <c r="AJ2603" t="inlineStr">
        <is>
          <t>LABORE</t>
        </is>
      </c>
      <c r="AK2603" t="n">
        <v>21</v>
      </c>
      <c r="AL2603" t="inlineStr">
        <is>
          <t>Miss Glam Damar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LABORE</t>
        </is>
      </c>
      <c r="B2604" s="2">
        <f>"8993137711951"</f>
        <v/>
      </c>
      <c r="C2604" t="inlineStr">
        <is>
          <t>LABORE Sensitive Skincare BiomeProctect Physical Sunscreen SPF 45 PA+++ 30ml</t>
        </is>
      </c>
      <c r="D2604" t="inlineStr">
        <is>
          <t>Miss Glam Damar</t>
        </is>
      </c>
      <c r="E2604" t="n">
        <v>31</v>
      </c>
      <c r="F2604" t="n">
        <v>0.7553</v>
      </c>
      <c r="G2604" t="n">
        <v>3.64</v>
      </c>
      <c r="H2604" t="n">
        <v>2</v>
      </c>
      <c r="I2604" t="n">
        <v>6</v>
      </c>
      <c r="J2604" t="n">
        <v>3</v>
      </c>
      <c r="K2604" t="n">
        <v>0</v>
      </c>
      <c r="L2604" t="n">
        <v>128797</v>
      </c>
      <c r="M2604" t="n">
        <v>161000</v>
      </c>
      <c r="N2604" t="n">
        <v>91</v>
      </c>
      <c r="O2604" t="n">
        <v>0.91</v>
      </c>
      <c r="P2604" t="n">
        <v>1</v>
      </c>
      <c r="Q2604" t="n">
        <v>1.02</v>
      </c>
      <c r="R2604" t="n">
        <v>4</v>
      </c>
      <c r="S2604" t="n">
        <v>121603.3</v>
      </c>
      <c r="T2604" t="n">
        <v>21</v>
      </c>
      <c r="U2604" t="n">
        <v>23</v>
      </c>
      <c r="V2604" t="n">
        <v>30</v>
      </c>
      <c r="W2604" t="n">
        <v>23</v>
      </c>
      <c r="X2604" t="n">
        <v>41.04329405534225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11703</v>
      </c>
      <c r="AG2604" t="n">
        <v>63</v>
      </c>
      <c r="AH2604" t="inlineStr">
        <is>
          <t>PT. PARAMA GLOBAL INSPIRA - PPN (PDG)</t>
        </is>
      </c>
      <c r="AI2604" t="n">
        <v>1483</v>
      </c>
      <c r="AJ2604" t="inlineStr">
        <is>
          <t>LABORE</t>
        </is>
      </c>
      <c r="AK2604" t="n">
        <v>21</v>
      </c>
      <c r="AL2604" t="inlineStr">
        <is>
          <t>Miss Glam Damar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LABORE</t>
        </is>
      </c>
      <c r="B2605" s="2">
        <f>"8993137712880"</f>
        <v/>
      </c>
      <c r="C2605" t="inlineStr">
        <is>
          <t>LABORE Sensitive Skincare BiomeRepair Barier Revive Cream 10ml</t>
        </is>
      </c>
      <c r="D2605" t="inlineStr">
        <is>
          <t>Miss Glam Damar</t>
        </is>
      </c>
      <c r="E2605" t="n">
        <v>69</v>
      </c>
      <c r="F2605" t="n">
        <v>4.1041</v>
      </c>
      <c r="G2605" t="n">
        <v>13.65</v>
      </c>
      <c r="H2605" t="n">
        <v>2</v>
      </c>
      <c r="I2605" t="n">
        <v>6</v>
      </c>
      <c r="J2605" t="n">
        <v>3</v>
      </c>
      <c r="K2605" t="n">
        <v>0</v>
      </c>
      <c r="L2605" t="n">
        <v>48799</v>
      </c>
      <c r="M2605" t="n">
        <v>59000</v>
      </c>
      <c r="N2605" t="n">
        <v>91</v>
      </c>
      <c r="O2605" t="n">
        <v>0.91</v>
      </c>
      <c r="P2605" t="n">
        <v>1</v>
      </c>
      <c r="Q2605" t="n">
        <v>2.47</v>
      </c>
      <c r="R2605" t="n">
        <v>7</v>
      </c>
      <c r="S2605" t="n">
        <v>242141.9</v>
      </c>
      <c r="T2605" t="n">
        <v>74</v>
      </c>
      <c r="U2605" t="n">
        <v>83</v>
      </c>
      <c r="V2605" t="n">
        <v>30</v>
      </c>
      <c r="W2605" t="n">
        <v>124</v>
      </c>
      <c r="X2605" t="n">
        <v>16.81245583684608</v>
      </c>
      <c r="Y2605" t="n">
        <v>1</v>
      </c>
      <c r="Z2605" t="n">
        <v>55</v>
      </c>
      <c r="AA2605" t="n">
        <v>0</v>
      </c>
      <c r="AB2605" t="n">
        <v>55</v>
      </c>
      <c r="AC2605" t="n">
        <v>55</v>
      </c>
      <c r="AD2605" t="n">
        <v>0</v>
      </c>
      <c r="AE2605" t="n">
        <v>2683945</v>
      </c>
      <c r="AF2605" t="n">
        <v>11703</v>
      </c>
      <c r="AG2605" t="n">
        <v>63</v>
      </c>
      <c r="AH2605" t="inlineStr">
        <is>
          <t>PT. PARAMA GLOBAL INSPIRA - PPN (PDG)</t>
        </is>
      </c>
      <c r="AI2605" t="n">
        <v>1483</v>
      </c>
      <c r="AJ2605" t="inlineStr">
        <is>
          <t>LABORE</t>
        </is>
      </c>
      <c r="AK2605" t="n">
        <v>21</v>
      </c>
      <c r="AL2605" t="inlineStr">
        <is>
          <t>Miss Glam Damar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LABORE</t>
        </is>
      </c>
      <c r="B2606" s="2">
        <f>"8993137711883"</f>
        <v/>
      </c>
      <c r="C2606" t="inlineStr">
        <is>
          <t>LABORE Sensitive Skincare BiomeRepair Barier Revive Cream 50ml</t>
        </is>
      </c>
      <c r="D2606" t="inlineStr">
        <is>
          <t>Miss Glam Damar</t>
        </is>
      </c>
      <c r="E2606" t="n">
        <v>49</v>
      </c>
      <c r="F2606" t="n">
        <v>1.82</v>
      </c>
      <c r="G2606" t="n">
        <v>5.46</v>
      </c>
      <c r="H2606" t="n">
        <v>2</v>
      </c>
      <c r="I2606" t="n">
        <v>6</v>
      </c>
      <c r="J2606" t="n">
        <v>3</v>
      </c>
      <c r="K2606" t="n">
        <v>0</v>
      </c>
      <c r="L2606" t="n">
        <v>152799</v>
      </c>
      <c r="M2606" t="n">
        <v>185000</v>
      </c>
      <c r="N2606" t="n">
        <v>91</v>
      </c>
      <c r="O2606" t="n">
        <v>0.91</v>
      </c>
      <c r="P2606" t="n">
        <v>1</v>
      </c>
      <c r="Q2606" t="n">
        <v>2.03</v>
      </c>
      <c r="R2606" t="n">
        <v>9</v>
      </c>
      <c r="S2606" t="n">
        <v>336700</v>
      </c>
      <c r="T2606" t="n">
        <v>30</v>
      </c>
      <c r="U2606" t="n">
        <v>34</v>
      </c>
      <c r="V2606" t="n">
        <v>30</v>
      </c>
      <c r="W2606" t="n">
        <v>55</v>
      </c>
      <c r="X2606" t="n">
        <v>26.92307692307692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11703</v>
      </c>
      <c r="AG2606" t="n">
        <v>63</v>
      </c>
      <c r="AH2606" t="inlineStr">
        <is>
          <t>PT. PARAMA GLOBAL INSPIRA - PPN (PDG)</t>
        </is>
      </c>
      <c r="AI2606" t="n">
        <v>1483</v>
      </c>
      <c r="AJ2606" t="inlineStr">
        <is>
          <t>LABORE</t>
        </is>
      </c>
      <c r="AK2606" t="n">
        <v>21</v>
      </c>
      <c r="AL2606" t="inlineStr">
        <is>
          <t>Miss Glam Damar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LABORE</t>
        </is>
      </c>
      <c r="B2607" s="2">
        <f>"8993137711913"</f>
        <v/>
      </c>
      <c r="C2607" t="inlineStr">
        <is>
          <t>LABORE Sensitive Skincare Gentle Biome Mild Cleanser 100ml</t>
        </is>
      </c>
      <c r="D2607" t="inlineStr">
        <is>
          <t>Miss Glam Damar</t>
        </is>
      </c>
      <c r="E2607" t="n">
        <v>37</v>
      </c>
      <c r="F2607" t="n">
        <v>0.6825</v>
      </c>
      <c r="G2607" t="n">
        <v>2.73</v>
      </c>
      <c r="H2607" t="n">
        <v>2</v>
      </c>
      <c r="I2607" t="n">
        <v>6</v>
      </c>
      <c r="J2607" t="n">
        <v>3</v>
      </c>
      <c r="K2607" t="n">
        <v>0</v>
      </c>
      <c r="L2607" t="n">
        <v>71999</v>
      </c>
      <c r="M2607" t="n">
        <v>90000</v>
      </c>
      <c r="N2607" t="n">
        <v>91</v>
      </c>
      <c r="O2607" t="n">
        <v>0.91</v>
      </c>
      <c r="P2607" t="n">
        <v>1</v>
      </c>
      <c r="Q2607" t="n">
        <v>0.75</v>
      </c>
      <c r="R2607" t="n">
        <v>4</v>
      </c>
      <c r="S2607" t="n">
        <v>61425</v>
      </c>
      <c r="T2607" t="n">
        <v>16</v>
      </c>
      <c r="U2607" t="n">
        <v>18</v>
      </c>
      <c r="V2607" t="n">
        <v>30</v>
      </c>
      <c r="W2607" t="n">
        <v>21</v>
      </c>
      <c r="X2607" t="n">
        <v>54.21245421245421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11703</v>
      </c>
      <c r="AG2607" t="n">
        <v>63</v>
      </c>
      <c r="AH2607" t="inlineStr">
        <is>
          <t>PT. PARAMA GLOBAL INSPIRA - PPN (PDG)</t>
        </is>
      </c>
      <c r="AI2607" t="n">
        <v>1483</v>
      </c>
      <c r="AJ2607" t="inlineStr">
        <is>
          <t>LABORE</t>
        </is>
      </c>
      <c r="AK2607" t="n">
        <v>21</v>
      </c>
      <c r="AL2607" t="inlineStr">
        <is>
          <t>Miss Glam Damar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LABORE</t>
        </is>
      </c>
      <c r="B2608" s="2">
        <f>"8993137711920"</f>
        <v/>
      </c>
      <c r="C2608" t="inlineStr">
        <is>
          <t>LABORE Sensitive Skincare GentleBiome Hydration Toner 100ml</t>
        </is>
      </c>
      <c r="D2608" t="inlineStr">
        <is>
          <t>Miss Glam Damar</t>
        </is>
      </c>
      <c r="E2608" t="n">
        <v>9</v>
      </c>
      <c r="F2608" t="n">
        <v>0.1547</v>
      </c>
      <c r="G2608" t="n">
        <v>1.82</v>
      </c>
      <c r="H2608" t="n">
        <v>2</v>
      </c>
      <c r="I2608" t="n">
        <v>6</v>
      </c>
      <c r="J2608" t="n">
        <v>3</v>
      </c>
      <c r="K2608" t="n">
        <v>0</v>
      </c>
      <c r="L2608" t="n">
        <v>110387</v>
      </c>
      <c r="M2608" t="n">
        <v>134000</v>
      </c>
      <c r="N2608" t="n">
        <v>91</v>
      </c>
      <c r="O2608" t="n">
        <v>0.91</v>
      </c>
      <c r="P2608" t="n">
        <v>1</v>
      </c>
      <c r="Q2608" t="n">
        <v>0.2</v>
      </c>
      <c r="R2608" t="n">
        <v>2</v>
      </c>
      <c r="S2608" t="n">
        <v>20729.8</v>
      </c>
      <c r="T2608" t="n">
        <v>11</v>
      </c>
      <c r="U2608" t="n">
        <v>12</v>
      </c>
      <c r="V2608" t="n">
        <v>30</v>
      </c>
      <c r="W2608" t="n">
        <v>5</v>
      </c>
      <c r="X2608" t="n">
        <v>58.17711700064641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11703</v>
      </c>
      <c r="AG2608" t="n">
        <v>63</v>
      </c>
      <c r="AH2608" t="inlineStr">
        <is>
          <t>PT. PARAMA GLOBAL INSPIRA - PPN (PDG)</t>
        </is>
      </c>
      <c r="AI2608" t="n">
        <v>1483</v>
      </c>
      <c r="AJ2608" t="inlineStr">
        <is>
          <t>LABORE</t>
        </is>
      </c>
      <c r="AK2608" t="n">
        <v>21</v>
      </c>
      <c r="AL2608" t="inlineStr">
        <is>
          <t>Miss Glam Damar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LABORE</t>
        </is>
      </c>
      <c r="B2609" s="2">
        <f>"8993137711944"</f>
        <v/>
      </c>
      <c r="C2609" t="inlineStr">
        <is>
          <t>LABORE Sensitive Skincare GentleBiome Skin Nutrition Gel 50ml</t>
        </is>
      </c>
      <c r="D2609" t="inlineStr">
        <is>
          <t>Miss Glam Damar</t>
        </is>
      </c>
      <c r="E2609" t="n">
        <v>20</v>
      </c>
      <c r="F2609" t="n">
        <v>0.3822</v>
      </c>
      <c r="G2609" t="n">
        <v>1.82</v>
      </c>
      <c r="H2609" t="n">
        <v>2</v>
      </c>
      <c r="I2609" t="n">
        <v>6</v>
      </c>
      <c r="J2609" t="n">
        <v>3</v>
      </c>
      <c r="K2609" t="n">
        <v>0</v>
      </c>
      <c r="L2609" t="n">
        <v>130321</v>
      </c>
      <c r="M2609" t="n">
        <v>159500</v>
      </c>
      <c r="N2609" t="n">
        <v>91</v>
      </c>
      <c r="O2609" t="n">
        <v>0.91</v>
      </c>
      <c r="P2609" t="n">
        <v>1</v>
      </c>
      <c r="Q2609" t="n">
        <v>0.58</v>
      </c>
      <c r="R2609" t="n">
        <v>4</v>
      </c>
      <c r="S2609" t="n">
        <v>60960.89999999999</v>
      </c>
      <c r="T2609" t="n">
        <v>11</v>
      </c>
      <c r="U2609" t="n">
        <v>12</v>
      </c>
      <c r="V2609" t="n">
        <v>30</v>
      </c>
      <c r="W2609" t="n">
        <v>12</v>
      </c>
      <c r="X2609" t="n">
        <v>52.32862375719519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11703</v>
      </c>
      <c r="AG2609" t="n">
        <v>63</v>
      </c>
      <c r="AH2609" t="inlineStr">
        <is>
          <t>PT. PARAMA GLOBAL INSPIRA - PPN (PDG)</t>
        </is>
      </c>
      <c r="AI2609" t="n">
        <v>1483</v>
      </c>
      <c r="AJ2609" t="inlineStr">
        <is>
          <t>LABORE</t>
        </is>
      </c>
      <c r="AK2609" t="n">
        <v>21</v>
      </c>
      <c r="AL2609" t="inlineStr">
        <is>
          <t>Miss Glam Damar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LACTACYD</t>
        </is>
      </c>
      <c r="B2610" s="2">
        <f>"8993237343021"</f>
        <v/>
      </c>
      <c r="C2610" t="inlineStr">
        <is>
          <t>LACTACYD All Day Care 150ml</t>
        </is>
      </c>
      <c r="D2610" t="inlineStr">
        <is>
          <t>Miss Glam Damar</t>
        </is>
      </c>
      <c r="E2610" t="n">
        <v>5</v>
      </c>
      <c r="F2610" t="n">
        <v>0.02</v>
      </c>
      <c r="G2610" t="n">
        <v>1</v>
      </c>
      <c r="H2610" t="n">
        <v>4</v>
      </c>
      <c r="I2610" t="n">
        <v>21</v>
      </c>
      <c r="J2610" t="n">
        <v>3</v>
      </c>
      <c r="K2610" t="n">
        <v>0</v>
      </c>
      <c r="L2610" t="n">
        <v>60611</v>
      </c>
      <c r="M2610" t="n">
        <v>80000</v>
      </c>
      <c r="N2610" t="n">
        <v>91</v>
      </c>
      <c r="O2610" t="n">
        <v>0.91</v>
      </c>
      <c r="P2610" t="n">
        <v>0</v>
      </c>
      <c r="Q2610" t="n">
        <v>0.02</v>
      </c>
      <c r="R2610" t="n">
        <v>1</v>
      </c>
      <c r="S2610" t="n">
        <v>1600</v>
      </c>
      <c r="T2610" t="n">
        <v>21</v>
      </c>
      <c r="U2610" t="n">
        <v>22</v>
      </c>
      <c r="V2610" t="n">
        <v>30</v>
      </c>
      <c r="W2610" t="n">
        <v>1</v>
      </c>
      <c r="X2610" t="n">
        <v>250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6320</v>
      </c>
      <c r="AG2610" t="n">
        <v>1</v>
      </c>
      <c r="AH2610" t="inlineStr">
        <is>
          <t>PT. BERSAMA DISTRIVERSA INDONESIA (DC CIPUTAT)</t>
        </is>
      </c>
      <c r="AI2610" t="n">
        <v>1579</v>
      </c>
      <c r="AJ2610" t="inlineStr">
        <is>
          <t>LACTACYD</t>
        </is>
      </c>
      <c r="AK2610" t="n">
        <v>21</v>
      </c>
      <c r="AL2610" t="inlineStr">
        <is>
          <t>Miss Glam Damar</t>
        </is>
      </c>
      <c r="AM2610" t="n">
        <v>3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LACTACYD</t>
        </is>
      </c>
      <c r="B2611" s="2">
        <f>"8993237343014"</f>
        <v/>
      </c>
      <c r="C2611" t="inlineStr">
        <is>
          <t>LACTACYD Daily Feminine Wash Hygiene All Day Care 60ml</t>
        </is>
      </c>
      <c r="D2611" t="inlineStr">
        <is>
          <t>Miss Glam Damar</t>
        </is>
      </c>
      <c r="E2611" t="n">
        <v>13</v>
      </c>
      <c r="F2611" t="n">
        <v>0.12</v>
      </c>
      <c r="G2611" t="n">
        <v>1</v>
      </c>
      <c r="H2611" t="n">
        <v>4</v>
      </c>
      <c r="I2611" t="n">
        <v>21</v>
      </c>
      <c r="J2611" t="n">
        <v>3</v>
      </c>
      <c r="K2611" t="n">
        <v>0</v>
      </c>
      <c r="L2611" t="n">
        <v>28347</v>
      </c>
      <c r="M2611" t="n">
        <v>38000</v>
      </c>
      <c r="N2611" t="n">
        <v>91</v>
      </c>
      <c r="O2611" t="n">
        <v>0.91</v>
      </c>
      <c r="P2611" t="n">
        <v>0</v>
      </c>
      <c r="Q2611" t="n">
        <v>0.12</v>
      </c>
      <c r="R2611" t="n">
        <v>1</v>
      </c>
      <c r="S2611" t="n">
        <v>4560</v>
      </c>
      <c r="T2611" t="n">
        <v>21</v>
      </c>
      <c r="U2611" t="n">
        <v>22</v>
      </c>
      <c r="V2611" t="n">
        <v>30</v>
      </c>
      <c r="W2611" t="n">
        <v>4</v>
      </c>
      <c r="X2611" t="n">
        <v>108.3333333333333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6320</v>
      </c>
      <c r="AG2611" t="n">
        <v>1</v>
      </c>
      <c r="AH2611" t="inlineStr">
        <is>
          <t>PT. BERSAMA DISTRIVERSA INDONESIA (DC CIPUTAT)</t>
        </is>
      </c>
      <c r="AI2611" t="n">
        <v>1579</v>
      </c>
      <c r="AJ2611" t="inlineStr">
        <is>
          <t>LACTACYD</t>
        </is>
      </c>
      <c r="AK2611" t="n">
        <v>21</v>
      </c>
      <c r="AL2611" t="inlineStr">
        <is>
          <t>Miss Glam Damar</t>
        </is>
      </c>
      <c r="AM2611" t="n">
        <v>3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LACTACYD</t>
        </is>
      </c>
      <c r="B2612" s="2">
        <f>"30800115855"</f>
        <v/>
      </c>
      <c r="C2612" t="inlineStr">
        <is>
          <t>LACTACYD Odor Fresh Daily Feminine Wash 150ml</t>
        </is>
      </c>
      <c r="D2612" t="inlineStr">
        <is>
          <t>Miss Glam Damar</t>
        </is>
      </c>
      <c r="E2612" t="n">
        <v>6</v>
      </c>
      <c r="F2612" t="n">
        <v>0.0273</v>
      </c>
      <c r="G2612" t="n">
        <v>0.91</v>
      </c>
      <c r="H2612" t="n">
        <v>4</v>
      </c>
      <c r="I2612" t="n">
        <v>21</v>
      </c>
      <c r="J2612" t="n">
        <v>1</v>
      </c>
      <c r="K2612" t="n">
        <v>0</v>
      </c>
      <c r="L2612" t="n">
        <v>60703</v>
      </c>
      <c r="M2612" t="n">
        <v>75500</v>
      </c>
      <c r="N2612" t="n">
        <v>91</v>
      </c>
      <c r="O2612" t="n">
        <v>0.91</v>
      </c>
      <c r="P2612" t="n">
        <v>1</v>
      </c>
      <c r="Q2612" t="n">
        <v>0.07000000000000001</v>
      </c>
      <c r="R2612" t="n">
        <v>1</v>
      </c>
      <c r="S2612" t="n">
        <v>2061.15</v>
      </c>
      <c r="T2612" t="n">
        <v>20</v>
      </c>
      <c r="U2612" t="n">
        <v>21</v>
      </c>
      <c r="V2612" t="n">
        <v>30</v>
      </c>
      <c r="W2612" t="n">
        <v>1</v>
      </c>
      <c r="X2612" t="n">
        <v>219.7802197802198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6320</v>
      </c>
      <c r="AG2612" t="n">
        <v>1</v>
      </c>
      <c r="AH2612" t="inlineStr">
        <is>
          <t>PT. BERSAMA DISTRIVERSA INDONESIA (DC CIPUTAT)</t>
        </is>
      </c>
      <c r="AI2612" t="n">
        <v>1579</v>
      </c>
      <c r="AJ2612" t="inlineStr">
        <is>
          <t>LACTACYD</t>
        </is>
      </c>
      <c r="AK2612" t="n">
        <v>21</v>
      </c>
      <c r="AL2612" t="inlineStr">
        <is>
          <t>Miss Glam Damar</t>
        </is>
      </c>
      <c r="AM2612" t="n">
        <v>3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LACTACYD</t>
        </is>
      </c>
      <c r="B2613" s="2">
        <f>"4800136680024"</f>
        <v/>
      </c>
      <c r="C2613" t="inlineStr">
        <is>
          <t>LACTACYD Odor Fresh Daily Feminine Wash 60ml</t>
        </is>
      </c>
      <c r="D2613" t="inlineStr">
        <is>
          <t>Miss Glam Damar</t>
        </is>
      </c>
      <c r="E2613" t="n">
        <v>8</v>
      </c>
      <c r="F2613" t="n">
        <v>0.09100000000000001</v>
      </c>
      <c r="G2613" t="n">
        <v>0.91</v>
      </c>
      <c r="H2613" t="n">
        <v>4</v>
      </c>
      <c r="I2613" t="n">
        <v>21</v>
      </c>
      <c r="J2613" t="n">
        <v>3</v>
      </c>
      <c r="K2613" t="n">
        <v>0</v>
      </c>
      <c r="L2613" t="n">
        <v>28347</v>
      </c>
      <c r="M2613" t="n">
        <v>37500</v>
      </c>
      <c r="N2613" t="n">
        <v>91</v>
      </c>
      <c r="O2613" t="n">
        <v>0.91</v>
      </c>
      <c r="P2613" t="n">
        <v>1</v>
      </c>
      <c r="Q2613" t="n">
        <v>0.17</v>
      </c>
      <c r="R2613" t="n">
        <v>2</v>
      </c>
      <c r="S2613" t="n">
        <v>3412.5</v>
      </c>
      <c r="T2613" t="n">
        <v>19</v>
      </c>
      <c r="U2613" t="n">
        <v>20</v>
      </c>
      <c r="V2613" t="n">
        <v>30</v>
      </c>
      <c r="W2613" t="n">
        <v>3</v>
      </c>
      <c r="X2613" t="n">
        <v>87.9120879120879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6320</v>
      </c>
      <c r="AG2613" t="n">
        <v>1</v>
      </c>
      <c r="AH2613" t="inlineStr">
        <is>
          <t>PT. BERSAMA DISTRIVERSA INDONESIA (DC CIPUTAT)</t>
        </is>
      </c>
      <c r="AI2613" t="n">
        <v>1579</v>
      </c>
      <c r="AJ2613" t="inlineStr">
        <is>
          <t>LACTACYD</t>
        </is>
      </c>
      <c r="AK2613" t="n">
        <v>21</v>
      </c>
      <c r="AL2613" t="inlineStr">
        <is>
          <t>Miss Glam Damar</t>
        </is>
      </c>
      <c r="AM2613" t="n">
        <v>3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LADY SPEED</t>
        </is>
      </c>
      <c r="B2614" s="2">
        <f>"022200963695"</f>
        <v/>
      </c>
      <c r="C2614" t="inlineStr">
        <is>
          <t>LADY SPEED Stick Deo Invisible Dry 39.6g</t>
        </is>
      </c>
      <c r="D2614" t="inlineStr">
        <is>
          <t>Miss Glam Damar</t>
        </is>
      </c>
      <c r="E2614" t="n">
        <v>0</v>
      </c>
      <c r="F2614" t="n">
        <v>0.66</v>
      </c>
      <c r="G2614" t="n">
        <v>5</v>
      </c>
      <c r="H2614" t="n">
        <v>4</v>
      </c>
      <c r="I2614" t="n">
        <v>21</v>
      </c>
      <c r="J2614" t="n">
        <v>3</v>
      </c>
      <c r="K2614" t="n">
        <v>24</v>
      </c>
      <c r="L2614" t="n">
        <v>37631</v>
      </c>
      <c r="M2614" t="n">
        <v>59000</v>
      </c>
      <c r="N2614" t="n">
        <v>91</v>
      </c>
      <c r="O2614" t="n">
        <v>0.91</v>
      </c>
      <c r="P2614" t="n">
        <v>0</v>
      </c>
      <c r="Q2614" t="n">
        <v>0.66</v>
      </c>
      <c r="R2614" t="n">
        <v>5</v>
      </c>
      <c r="S2614" t="n">
        <v>38940</v>
      </c>
      <c r="T2614" t="n">
        <v>103</v>
      </c>
      <c r="U2614" t="n">
        <v>106</v>
      </c>
      <c r="V2614" t="n">
        <v>30</v>
      </c>
      <c r="W2614" t="n">
        <v>20</v>
      </c>
      <c r="X2614" t="n">
        <v>0</v>
      </c>
      <c r="Y2614" t="n">
        <v>1</v>
      </c>
      <c r="Z2614" t="n">
        <v>0</v>
      </c>
      <c r="AA2614" t="n">
        <v>13</v>
      </c>
      <c r="AB2614" t="n">
        <v>0</v>
      </c>
      <c r="AC2614" t="n">
        <v>0</v>
      </c>
      <c r="AD2614" t="n">
        <v>489203</v>
      </c>
      <c r="AE2614" t="n">
        <v>0</v>
      </c>
      <c r="AF2614" t="n">
        <v>6355</v>
      </c>
      <c r="AG2614" t="n">
        <v>1</v>
      </c>
      <c r="AH2614" t="inlineStr">
        <is>
          <t>PT. BERSAMA DISTRIVERSA INDONESIA (DC CIPUTAT)</t>
        </is>
      </c>
      <c r="AI2614" t="n">
        <v>454</v>
      </c>
      <c r="AJ2614" t="inlineStr">
        <is>
          <t>LADY SPEED</t>
        </is>
      </c>
      <c r="AK2614" t="n">
        <v>21</v>
      </c>
      <c r="AL2614" t="inlineStr">
        <is>
          <t>Miss Glam Damar</t>
        </is>
      </c>
      <c r="AM2614" t="n">
        <v>3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LAE SA LUAY</t>
        </is>
      </c>
      <c r="B2615" s="2">
        <f>"8851364944583"</f>
        <v/>
      </c>
      <c r="C2615" t="inlineStr">
        <is>
          <t>LAE SA LUAY Spa Smooth Keratin 250ml</t>
        </is>
      </c>
      <c r="D2615" t="inlineStr">
        <is>
          <t>Miss Glam Damar</t>
        </is>
      </c>
      <c r="E2615" t="n">
        <v>0</v>
      </c>
      <c r="F2615" t="n">
        <v>0.51</v>
      </c>
      <c r="G2615" t="n">
        <v>3</v>
      </c>
      <c r="H2615" t="n">
        <v>4</v>
      </c>
      <c r="I2615" t="n">
        <v>21</v>
      </c>
      <c r="J2615" t="n">
        <v>3</v>
      </c>
      <c r="K2615" t="n">
        <v>15</v>
      </c>
      <c r="L2615" t="n">
        <v>47262</v>
      </c>
      <c r="M2615" t="n">
        <v>56000</v>
      </c>
      <c r="N2615" t="n">
        <v>91</v>
      </c>
      <c r="O2615" t="n">
        <v>0.91</v>
      </c>
      <c r="P2615" t="n">
        <v>0</v>
      </c>
      <c r="Q2615" t="n">
        <v>0.51</v>
      </c>
      <c r="R2615" t="n">
        <v>3</v>
      </c>
      <c r="S2615" t="n">
        <v>28560</v>
      </c>
      <c r="T2615" t="n">
        <v>61</v>
      </c>
      <c r="U2615" t="n">
        <v>64</v>
      </c>
      <c r="V2615" t="n">
        <v>30</v>
      </c>
      <c r="W2615" t="n">
        <v>16</v>
      </c>
      <c r="X2615" t="n">
        <v>0</v>
      </c>
      <c r="Y2615" t="n">
        <v>1</v>
      </c>
      <c r="Z2615" t="n">
        <v>1</v>
      </c>
      <c r="AA2615" t="n">
        <v>10</v>
      </c>
      <c r="AB2615" t="n">
        <v>0</v>
      </c>
      <c r="AC2615" t="n">
        <v>0</v>
      </c>
      <c r="AD2615" t="n">
        <v>472620</v>
      </c>
      <c r="AE2615" t="n">
        <v>0</v>
      </c>
      <c r="AF2615" t="n">
        <v>6388</v>
      </c>
      <c r="AG2615" t="n">
        <v>1</v>
      </c>
      <c r="AH2615" t="inlineStr">
        <is>
          <t>PT. BERSAMA DISTRIVERSA INDONESIA (DC CIPUTAT)</t>
        </is>
      </c>
      <c r="AI2615" t="n">
        <v>336</v>
      </c>
      <c r="AJ2615" t="inlineStr">
        <is>
          <t>LAE SA LUAY</t>
        </is>
      </c>
      <c r="AK2615" t="n">
        <v>21</v>
      </c>
      <c r="AL2615" t="inlineStr">
        <is>
          <t>Miss Glam Damar</t>
        </is>
      </c>
      <c r="AM2615" t="n">
        <v>4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LAE SA LUAY</t>
        </is>
      </c>
      <c r="B2616" s="2">
        <f>"8851364944743"</f>
        <v/>
      </c>
      <c r="C2616" t="inlineStr">
        <is>
          <t>LAE SA LUAY Supreme Charcoal Keratin Shampoo 200ml</t>
        </is>
      </c>
      <c r="D2616" t="inlineStr">
        <is>
          <t>Miss Glam Damar</t>
        </is>
      </c>
      <c r="E2616" t="n">
        <v>1</v>
      </c>
      <c r="F2616" t="n">
        <v>0.02</v>
      </c>
      <c r="G2616" t="n">
        <v>1</v>
      </c>
      <c r="H2616" t="n">
        <v>4</v>
      </c>
      <c r="I2616" t="n">
        <v>21</v>
      </c>
      <c r="J2616" t="n">
        <v>3</v>
      </c>
      <c r="K2616" t="n">
        <v>0</v>
      </c>
      <c r="L2616" t="n">
        <v>59295</v>
      </c>
      <c r="M2616" t="n">
        <v>85000</v>
      </c>
      <c r="N2616" t="n">
        <v>91</v>
      </c>
      <c r="O2616" t="n">
        <v>0.91</v>
      </c>
      <c r="P2616" t="n">
        <v>0</v>
      </c>
      <c r="Q2616" t="n">
        <v>0.02</v>
      </c>
      <c r="R2616" t="n">
        <v>1</v>
      </c>
      <c r="S2616" t="n">
        <v>1700</v>
      </c>
      <c r="T2616" t="n">
        <v>21</v>
      </c>
      <c r="U2616" t="n">
        <v>22</v>
      </c>
      <c r="V2616" t="n">
        <v>30</v>
      </c>
      <c r="W2616" t="n">
        <v>1</v>
      </c>
      <c r="X2616" t="n">
        <v>50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6388</v>
      </c>
      <c r="AG2616" t="n">
        <v>1</v>
      </c>
      <c r="AH2616" t="inlineStr">
        <is>
          <t>PT. BERSAMA DISTRIVERSA INDONESIA (DC CIPUTAT)</t>
        </is>
      </c>
      <c r="AI2616" t="n">
        <v>336</v>
      </c>
      <c r="AJ2616" t="inlineStr">
        <is>
          <t>LAE SA LUAY</t>
        </is>
      </c>
      <c r="AK2616" t="n">
        <v>21</v>
      </c>
      <c r="AL2616" t="inlineStr">
        <is>
          <t>Miss Glam Damar</t>
        </is>
      </c>
      <c r="AM2616" t="n">
        <v>4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LANBENA</t>
        </is>
      </c>
      <c r="B2617" s="2">
        <f>"30700103612"</f>
        <v/>
      </c>
      <c r="C2617" t="inlineStr">
        <is>
          <t>LANBENA Vitamin C Foot Peel Mask Remove Calluses 40gr</t>
        </is>
      </c>
      <c r="D2617" t="inlineStr">
        <is>
          <t>Miss Glam Damar</t>
        </is>
      </c>
      <c r="E2617" t="n">
        <v>11</v>
      </c>
      <c r="F2617" t="n">
        <v>0.06370000000000001</v>
      </c>
      <c r="G2617" t="n">
        <v>0.91</v>
      </c>
      <c r="H2617" t="n">
        <v>4</v>
      </c>
      <c r="I2617" t="n">
        <v>21</v>
      </c>
      <c r="J2617" t="n">
        <v>1</v>
      </c>
      <c r="K2617" t="n">
        <v>0</v>
      </c>
      <c r="L2617" t="n">
        <v>28260</v>
      </c>
      <c r="M2617" t="n">
        <v>38500</v>
      </c>
      <c r="N2617" t="n">
        <v>91</v>
      </c>
      <c r="O2617" t="n">
        <v>0.91</v>
      </c>
      <c r="P2617" t="n">
        <v>1</v>
      </c>
      <c r="Q2617" t="n">
        <v>0.12</v>
      </c>
      <c r="R2617" t="n">
        <v>2</v>
      </c>
      <c r="S2617" t="n">
        <v>2452.45</v>
      </c>
      <c r="T2617" t="n">
        <v>19</v>
      </c>
      <c r="U2617" t="n">
        <v>20</v>
      </c>
      <c r="V2617" t="n">
        <v>30</v>
      </c>
      <c r="W2617" t="n">
        <v>2</v>
      </c>
      <c r="X2617" t="n">
        <v>172.6844583987441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6421</v>
      </c>
      <c r="AG2617" t="n">
        <v>1</v>
      </c>
      <c r="AH2617" t="inlineStr">
        <is>
          <t>PT. BERSAMA DISTRIVERSA INDONESIA (DC CIPUTAT)</t>
        </is>
      </c>
      <c r="AI2617" t="n">
        <v>574</v>
      </c>
      <c r="AJ2617" t="inlineStr">
        <is>
          <t>LANBENA</t>
        </is>
      </c>
      <c r="AK2617" t="n">
        <v>21</v>
      </c>
      <c r="AL2617" t="inlineStr">
        <is>
          <t>Miss Glam Damar</t>
        </is>
      </c>
      <c r="AM2617" t="n">
        <v>4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LANBENA</t>
        </is>
      </c>
      <c r="B2618" s="2">
        <f>"30700103806"</f>
        <v/>
      </c>
      <c r="C2618" t="inlineStr">
        <is>
          <t>LANBENA Aloe Vera Foot Peel Mask 40gr</t>
        </is>
      </c>
      <c r="D2618" t="inlineStr">
        <is>
          <t>Miss Glam Damar</t>
        </is>
      </c>
      <c r="E2618" t="n">
        <v>13</v>
      </c>
      <c r="F2618" t="n">
        <v>0.1092</v>
      </c>
      <c r="G2618" t="n">
        <v>0.91</v>
      </c>
      <c r="H2618" t="n">
        <v>4</v>
      </c>
      <c r="I2618" t="n">
        <v>21</v>
      </c>
      <c r="J2618" t="n">
        <v>1</v>
      </c>
      <c r="K2618" t="n">
        <v>0</v>
      </c>
      <c r="L2618" t="n">
        <v>28260</v>
      </c>
      <c r="M2618" t="n">
        <v>38000</v>
      </c>
      <c r="N2618" t="n">
        <v>91</v>
      </c>
      <c r="O2618" t="n">
        <v>0.91</v>
      </c>
      <c r="P2618" t="n">
        <v>1</v>
      </c>
      <c r="Q2618" t="n">
        <v>0.08</v>
      </c>
      <c r="R2618" t="n">
        <v>2</v>
      </c>
      <c r="S2618" t="n">
        <v>4149.6</v>
      </c>
      <c r="T2618" t="n">
        <v>19</v>
      </c>
      <c r="U2618" t="n">
        <v>20</v>
      </c>
      <c r="V2618" t="n">
        <v>30</v>
      </c>
      <c r="W2618" t="n">
        <v>4</v>
      </c>
      <c r="X2618" t="n">
        <v>119.047619047619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6421</v>
      </c>
      <c r="AG2618" t="n">
        <v>1</v>
      </c>
      <c r="AH2618" t="inlineStr">
        <is>
          <t>PT. BERSAMA DISTRIVERSA INDONESIA (DC CIPUTAT)</t>
        </is>
      </c>
      <c r="AI2618" t="n">
        <v>574</v>
      </c>
      <c r="AJ2618" t="inlineStr">
        <is>
          <t>LANBENA</t>
        </is>
      </c>
      <c r="AK2618" t="n">
        <v>21</v>
      </c>
      <c r="AL2618" t="inlineStr">
        <is>
          <t>Miss Glam Damar</t>
        </is>
      </c>
      <c r="AM2618" t="n">
        <v>4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LANBENA</t>
        </is>
      </c>
      <c r="B2619" s="2">
        <f>"30700103758"</f>
        <v/>
      </c>
      <c r="C2619" t="inlineStr">
        <is>
          <t>LANBENA Coffee Foot Peel Mask 40gr</t>
        </is>
      </c>
      <c r="D2619" t="inlineStr">
        <is>
          <t>Miss Glam Damar</t>
        </is>
      </c>
      <c r="E2619" t="n">
        <v>16</v>
      </c>
      <c r="F2619" t="n">
        <v>0.04550000000000001</v>
      </c>
      <c r="G2619" t="n">
        <v>0.91</v>
      </c>
      <c r="H2619" t="n">
        <v>4</v>
      </c>
      <c r="I2619" t="n">
        <v>21</v>
      </c>
      <c r="J2619" t="n">
        <v>1</v>
      </c>
      <c r="K2619" t="n">
        <v>0</v>
      </c>
      <c r="L2619" t="n">
        <v>28260</v>
      </c>
      <c r="M2619" t="n">
        <v>38000</v>
      </c>
      <c r="N2619" t="n">
        <v>91</v>
      </c>
      <c r="O2619" t="n">
        <v>0.91</v>
      </c>
      <c r="P2619" t="n">
        <v>1</v>
      </c>
      <c r="Q2619" t="n">
        <v>0.03</v>
      </c>
      <c r="R2619" t="n">
        <v>1</v>
      </c>
      <c r="S2619" t="n">
        <v>1729</v>
      </c>
      <c r="T2619" t="n">
        <v>19</v>
      </c>
      <c r="U2619" t="n">
        <v>20</v>
      </c>
      <c r="V2619" t="n">
        <v>30</v>
      </c>
      <c r="W2619" t="n">
        <v>2</v>
      </c>
      <c r="X2619" t="n">
        <v>351.6483516483516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6421</v>
      </c>
      <c r="AG2619" t="n">
        <v>1</v>
      </c>
      <c r="AH2619" t="inlineStr">
        <is>
          <t>PT. BERSAMA DISTRIVERSA INDONESIA (DC CIPUTAT)</t>
        </is>
      </c>
      <c r="AI2619" t="n">
        <v>574</v>
      </c>
      <c r="AJ2619" t="inlineStr">
        <is>
          <t>LANBENA</t>
        </is>
      </c>
      <c r="AK2619" t="n">
        <v>21</v>
      </c>
      <c r="AL2619" t="inlineStr">
        <is>
          <t>Miss Glam Damar</t>
        </is>
      </c>
      <c r="AM2619" t="n">
        <v>4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LANBENA</t>
        </is>
      </c>
      <c r="B2620" s="2">
        <f>"6970470537075"</f>
        <v/>
      </c>
      <c r="C2620" t="inlineStr">
        <is>
          <t>LANBENA Foot Peel Mask Sheet 2pcs 40 gr</t>
        </is>
      </c>
      <c r="D2620" t="inlineStr">
        <is>
          <t>Miss Glam Damar</t>
        </is>
      </c>
      <c r="E2620" t="n">
        <v>0</v>
      </c>
      <c r="F2620" t="n">
        <v>0.02</v>
      </c>
      <c r="G2620" t="n">
        <v>1</v>
      </c>
      <c r="H2620" t="n">
        <v>4</v>
      </c>
      <c r="I2620" t="n">
        <v>21</v>
      </c>
      <c r="J2620" t="n">
        <v>3</v>
      </c>
      <c r="K2620" t="n">
        <v>0</v>
      </c>
      <c r="L2620" t="n">
        <v>27237</v>
      </c>
      <c r="M2620" t="n">
        <v>35000</v>
      </c>
      <c r="N2620" t="n">
        <v>91</v>
      </c>
      <c r="O2620" t="n">
        <v>0.91</v>
      </c>
      <c r="P2620" t="n">
        <v>0</v>
      </c>
      <c r="Q2620" t="n">
        <v>0.02</v>
      </c>
      <c r="R2620" t="n">
        <v>1</v>
      </c>
      <c r="S2620" t="n">
        <v>700</v>
      </c>
      <c r="T2620" t="n">
        <v>21</v>
      </c>
      <c r="U2620" t="n">
        <v>22</v>
      </c>
      <c r="V2620" t="n">
        <v>30</v>
      </c>
      <c r="W2620" t="n">
        <v>1</v>
      </c>
      <c r="X2620" t="n">
        <v>0</v>
      </c>
      <c r="Y2620" t="n">
        <v>1</v>
      </c>
      <c r="Z2620" t="n">
        <v>1</v>
      </c>
      <c r="AA2620" t="n">
        <v>1</v>
      </c>
      <c r="AB2620" t="n">
        <v>0</v>
      </c>
      <c r="AC2620" t="n">
        <v>0</v>
      </c>
      <c r="AD2620" t="n">
        <v>27237</v>
      </c>
      <c r="AE2620" t="n">
        <v>0</v>
      </c>
      <c r="AF2620" t="n">
        <v>6421</v>
      </c>
      <c r="AG2620" t="n">
        <v>1</v>
      </c>
      <c r="AH2620" t="inlineStr">
        <is>
          <t>PT. BERSAMA DISTRIVERSA INDONESIA (DC CIPUTAT)</t>
        </is>
      </c>
      <c r="AI2620" t="n">
        <v>574</v>
      </c>
      <c r="AJ2620" t="inlineStr">
        <is>
          <t>LANBENA</t>
        </is>
      </c>
      <c r="AK2620" t="n">
        <v>21</v>
      </c>
      <c r="AL2620" t="inlineStr">
        <is>
          <t>Miss Glam Damar</t>
        </is>
      </c>
      <c r="AM2620" t="n">
        <v>4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LANBENA</t>
        </is>
      </c>
      <c r="B2621" s="2">
        <f>"30600204112"</f>
        <v/>
      </c>
      <c r="C2621" t="inlineStr">
        <is>
          <t>LANBENA Hyaluronic Acid Hand Mask 30gr</t>
        </is>
      </c>
      <c r="D2621" t="inlineStr">
        <is>
          <t>Miss Glam Damar</t>
        </is>
      </c>
      <c r="E2621" t="n">
        <v>17</v>
      </c>
      <c r="F2621" t="n">
        <v>0.0728</v>
      </c>
      <c r="G2621" t="n">
        <v>0.91</v>
      </c>
      <c r="H2621" t="n">
        <v>4</v>
      </c>
      <c r="I2621" t="n">
        <v>21</v>
      </c>
      <c r="J2621" t="n">
        <v>1</v>
      </c>
      <c r="K2621" t="n">
        <v>0</v>
      </c>
      <c r="L2621" t="n">
        <v>28260</v>
      </c>
      <c r="M2621" t="n">
        <v>38000</v>
      </c>
      <c r="N2621" t="n">
        <v>91</v>
      </c>
      <c r="O2621" t="n">
        <v>0.91</v>
      </c>
      <c r="P2621" t="n">
        <v>1</v>
      </c>
      <c r="Q2621" t="n">
        <v>0.02</v>
      </c>
      <c r="R2621" t="n">
        <v>1</v>
      </c>
      <c r="S2621" t="n">
        <v>2766.4</v>
      </c>
      <c r="T2621" t="n">
        <v>19</v>
      </c>
      <c r="U2621" t="n">
        <v>20</v>
      </c>
      <c r="V2621" t="n">
        <v>30</v>
      </c>
      <c r="W2621" t="n">
        <v>3</v>
      </c>
      <c r="X2621" t="n">
        <v>233.5164835164835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6421</v>
      </c>
      <c r="AG2621" t="n">
        <v>1</v>
      </c>
      <c r="AH2621" t="inlineStr">
        <is>
          <t>PT. BERSAMA DISTRIVERSA INDONESIA (DC CIPUTAT)</t>
        </is>
      </c>
      <c r="AI2621" t="n">
        <v>574</v>
      </c>
      <c r="AJ2621" t="inlineStr">
        <is>
          <t>LANBENA</t>
        </is>
      </c>
      <c r="AK2621" t="n">
        <v>21</v>
      </c>
      <c r="AL2621" t="inlineStr">
        <is>
          <t>Miss Glam Damar</t>
        </is>
      </c>
      <c r="AM2621" t="n">
        <v>4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LANBENA</t>
        </is>
      </c>
      <c r="B2622" s="2">
        <f>"30700104028"</f>
        <v/>
      </c>
      <c r="C2622" t="inlineStr">
        <is>
          <t>LANBENA Lavender Foot Peel Mask Remove Calluses Dry &amp; Dead Skin Cracked Heels Calluses 40gr</t>
        </is>
      </c>
      <c r="D2622" t="inlineStr">
        <is>
          <t>Miss Glam Damar</t>
        </is>
      </c>
      <c r="E2622" t="n">
        <v>14</v>
      </c>
      <c r="F2622" t="n">
        <v>0.0182</v>
      </c>
      <c r="G2622" t="n">
        <v>0.91</v>
      </c>
      <c r="H2622" t="n">
        <v>4</v>
      </c>
      <c r="I2622" t="n">
        <v>21</v>
      </c>
      <c r="J2622" t="n">
        <v>1</v>
      </c>
      <c r="K2622" t="n">
        <v>0</v>
      </c>
      <c r="L2622" t="n">
        <v>28260</v>
      </c>
      <c r="M2622" t="n">
        <v>38000</v>
      </c>
      <c r="N2622" t="n">
        <v>91</v>
      </c>
      <c r="O2622" t="n">
        <v>0.91</v>
      </c>
      <c r="P2622" t="n">
        <v>1</v>
      </c>
      <c r="Q2622" t="n">
        <v>0.05</v>
      </c>
      <c r="R2622" t="n">
        <v>1</v>
      </c>
      <c r="S2622" t="n">
        <v>691.6</v>
      </c>
      <c r="T2622" t="n">
        <v>20</v>
      </c>
      <c r="U2622" t="n">
        <v>21</v>
      </c>
      <c r="V2622" t="n">
        <v>30</v>
      </c>
      <c r="W2622" t="n">
        <v>1</v>
      </c>
      <c r="X2622" t="n">
        <v>769.2307692307692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6421</v>
      </c>
      <c r="AG2622" t="n">
        <v>1</v>
      </c>
      <c r="AH2622" t="inlineStr">
        <is>
          <t>PT. BERSAMA DISTRIVERSA INDONESIA (DC CIPUTAT)</t>
        </is>
      </c>
      <c r="AI2622" t="n">
        <v>574</v>
      </c>
      <c r="AJ2622" t="inlineStr">
        <is>
          <t>LANBENA</t>
        </is>
      </c>
      <c r="AK2622" t="n">
        <v>21</v>
      </c>
      <c r="AL2622" t="inlineStr">
        <is>
          <t>Miss Glam Damar</t>
        </is>
      </c>
      <c r="AM2622" t="n">
        <v>4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LANBENA</t>
        </is>
      </c>
      <c r="B2623" s="2">
        <f>"30700103921"</f>
        <v/>
      </c>
      <c r="C2623" t="inlineStr">
        <is>
          <t>LANBENA Milk Foot Peel Mask 40gr</t>
        </is>
      </c>
      <c r="D2623" t="inlineStr">
        <is>
          <t>Miss Glam Damar</t>
        </is>
      </c>
      <c r="E2623" t="n">
        <v>17</v>
      </c>
      <c r="F2623" t="n">
        <v>0.0182</v>
      </c>
      <c r="G2623" t="n">
        <v>0.91</v>
      </c>
      <c r="H2623" t="n">
        <v>4</v>
      </c>
      <c r="I2623" t="n">
        <v>21</v>
      </c>
      <c r="J2623" t="n">
        <v>1</v>
      </c>
      <c r="K2623" t="n">
        <v>0</v>
      </c>
      <c r="L2623" t="n">
        <v>28260</v>
      </c>
      <c r="M2623" t="n">
        <v>38000</v>
      </c>
      <c r="N2623" t="n">
        <v>91</v>
      </c>
      <c r="O2623" t="n">
        <v>0.91</v>
      </c>
      <c r="P2623" t="n">
        <v>1</v>
      </c>
      <c r="Q2623" t="n">
        <v>0.02</v>
      </c>
      <c r="R2623" t="n">
        <v>0</v>
      </c>
      <c r="S2623" t="n">
        <v>691.6</v>
      </c>
      <c r="T2623" t="n">
        <v>20</v>
      </c>
      <c r="U2623" t="n">
        <v>21</v>
      </c>
      <c r="V2623" t="n">
        <v>30</v>
      </c>
      <c r="W2623" t="n">
        <v>1</v>
      </c>
      <c r="X2623" t="n">
        <v>934.065934065934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6421</v>
      </c>
      <c r="AG2623" t="n">
        <v>1</v>
      </c>
      <c r="AH2623" t="inlineStr">
        <is>
          <t>PT. BERSAMA DISTRIVERSA INDONESIA (DC CIPUTAT)</t>
        </is>
      </c>
      <c r="AI2623" t="n">
        <v>574</v>
      </c>
      <c r="AJ2623" t="inlineStr">
        <is>
          <t>LANBENA</t>
        </is>
      </c>
      <c r="AK2623" t="n">
        <v>21</v>
      </c>
      <c r="AL2623" t="inlineStr">
        <is>
          <t>Miss Glam Damar</t>
        </is>
      </c>
      <c r="AM2623" t="n">
        <v>4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LANBENA</t>
        </is>
      </c>
      <c r="B2624" s="2">
        <f>"30600204221"</f>
        <v/>
      </c>
      <c r="C2624" t="inlineStr">
        <is>
          <t>LANBENA Niacinamide Hand Mask 30gr</t>
        </is>
      </c>
      <c r="D2624" t="inlineStr">
        <is>
          <t>Miss Glam Damar</t>
        </is>
      </c>
      <c r="E2624" t="n">
        <v>17</v>
      </c>
      <c r="F2624" t="n">
        <v>0.0273</v>
      </c>
      <c r="G2624" t="n">
        <v>0.91</v>
      </c>
      <c r="H2624" t="n">
        <v>4</v>
      </c>
      <c r="I2624" t="n">
        <v>21</v>
      </c>
      <c r="J2624" t="n">
        <v>1</v>
      </c>
      <c r="K2624" t="n">
        <v>0</v>
      </c>
      <c r="L2624" t="n">
        <v>28260</v>
      </c>
      <c r="M2624" t="n">
        <v>38000</v>
      </c>
      <c r="N2624" t="n">
        <v>91</v>
      </c>
      <c r="O2624" t="n">
        <v>0.91</v>
      </c>
      <c r="P2624" t="n">
        <v>1</v>
      </c>
      <c r="Q2624" t="n">
        <v>0.02</v>
      </c>
      <c r="R2624" t="n">
        <v>1</v>
      </c>
      <c r="S2624" t="n">
        <v>1037.4</v>
      </c>
      <c r="T2624" t="n">
        <v>20</v>
      </c>
      <c r="U2624" t="n">
        <v>21</v>
      </c>
      <c r="V2624" t="n">
        <v>30</v>
      </c>
      <c r="W2624" t="n">
        <v>1</v>
      </c>
      <c r="X2624" t="n">
        <v>622.7106227106227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6421</v>
      </c>
      <c r="AG2624" t="n">
        <v>1</v>
      </c>
      <c r="AH2624" t="inlineStr">
        <is>
          <t>PT. BERSAMA DISTRIVERSA INDONESIA (DC CIPUTAT)</t>
        </is>
      </c>
      <c r="AI2624" t="n">
        <v>574</v>
      </c>
      <c r="AJ2624" t="inlineStr">
        <is>
          <t>LANBENA</t>
        </is>
      </c>
      <c r="AK2624" t="n">
        <v>21</v>
      </c>
      <c r="AL2624" t="inlineStr">
        <is>
          <t>Miss Glam Damar</t>
        </is>
      </c>
      <c r="AM2624" t="n">
        <v>4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LANBENA</t>
        </is>
      </c>
      <c r="B2625" s="2">
        <f>"30600204322"</f>
        <v/>
      </c>
      <c r="C2625" t="inlineStr">
        <is>
          <t>LANBENA Nourishing Hand Mask 30gr</t>
        </is>
      </c>
      <c r="D2625" t="inlineStr">
        <is>
          <t>Miss Glam Damar</t>
        </is>
      </c>
      <c r="E2625" t="n">
        <v>17</v>
      </c>
      <c r="F2625" t="n">
        <v>0.04550000000000001</v>
      </c>
      <c r="G2625" t="n">
        <v>0.91</v>
      </c>
      <c r="H2625" t="n">
        <v>4</v>
      </c>
      <c r="I2625" t="n">
        <v>21</v>
      </c>
      <c r="J2625" t="n">
        <v>1</v>
      </c>
      <c r="K2625" t="n">
        <v>0</v>
      </c>
      <c r="L2625" t="n">
        <v>28260</v>
      </c>
      <c r="M2625" t="n">
        <v>38000</v>
      </c>
      <c r="N2625" t="n">
        <v>91</v>
      </c>
      <c r="O2625" t="n">
        <v>0.91</v>
      </c>
      <c r="P2625" t="n">
        <v>1</v>
      </c>
      <c r="Q2625" t="n">
        <v>0.02</v>
      </c>
      <c r="R2625" t="n">
        <v>1</v>
      </c>
      <c r="S2625" t="n">
        <v>1729</v>
      </c>
      <c r="T2625" t="n">
        <v>19</v>
      </c>
      <c r="U2625" t="n">
        <v>20</v>
      </c>
      <c r="V2625" t="n">
        <v>30</v>
      </c>
      <c r="W2625" t="n">
        <v>2</v>
      </c>
      <c r="X2625" t="n">
        <v>373.6263736263736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6421</v>
      </c>
      <c r="AG2625" t="n">
        <v>1</v>
      </c>
      <c r="AH2625" t="inlineStr">
        <is>
          <t>PT. BERSAMA DISTRIVERSA INDONESIA (DC CIPUTAT)</t>
        </is>
      </c>
      <c r="AI2625" t="n">
        <v>574</v>
      </c>
      <c r="AJ2625" t="inlineStr">
        <is>
          <t>LANBENA</t>
        </is>
      </c>
      <c r="AK2625" t="n">
        <v>21</v>
      </c>
      <c r="AL2625" t="inlineStr">
        <is>
          <t>Miss Glam Damar</t>
        </is>
      </c>
      <c r="AM2625" t="n">
        <v>4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LANBENA</t>
        </is>
      </c>
      <c r="B2626" s="2">
        <f>"10800103131"</f>
        <v/>
      </c>
      <c r="C2626" t="inlineStr">
        <is>
          <t>LANBENA Rejuvenating Retinol Hydra Gel Eye Patches 60 pcs</t>
        </is>
      </c>
      <c r="D2626" t="inlineStr">
        <is>
          <t>Miss Glam Damar</t>
        </is>
      </c>
      <c r="E2626" t="n">
        <v>13</v>
      </c>
      <c r="F2626" t="n">
        <v>0.1092</v>
      </c>
      <c r="G2626" t="n">
        <v>0.91</v>
      </c>
      <c r="H2626" t="n">
        <v>4</v>
      </c>
      <c r="I2626" t="n">
        <v>21</v>
      </c>
      <c r="J2626" t="n">
        <v>1</v>
      </c>
      <c r="K2626" t="n">
        <v>0</v>
      </c>
      <c r="L2626" t="n">
        <v>73340</v>
      </c>
      <c r="M2626" t="n">
        <v>99000</v>
      </c>
      <c r="N2626" t="n">
        <v>91</v>
      </c>
      <c r="O2626" t="n">
        <v>0.91</v>
      </c>
      <c r="P2626" t="n">
        <v>1</v>
      </c>
      <c r="Q2626" t="n">
        <v>0.05</v>
      </c>
      <c r="R2626" t="n">
        <v>2</v>
      </c>
      <c r="S2626" t="n">
        <v>10810.8</v>
      </c>
      <c r="T2626" t="n">
        <v>19</v>
      </c>
      <c r="U2626" t="n">
        <v>20</v>
      </c>
      <c r="V2626" t="n">
        <v>30</v>
      </c>
      <c r="W2626" t="n">
        <v>4</v>
      </c>
      <c r="X2626" t="n">
        <v>119.047619047619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6421</v>
      </c>
      <c r="AG2626" t="n">
        <v>1</v>
      </c>
      <c r="AH2626" t="inlineStr">
        <is>
          <t>PT. BERSAMA DISTRIVERSA INDONESIA (DC CIPUTAT)</t>
        </is>
      </c>
      <c r="AI2626" t="n">
        <v>574</v>
      </c>
      <c r="AJ2626" t="inlineStr">
        <is>
          <t>LANBENA</t>
        </is>
      </c>
      <c r="AK2626" t="n">
        <v>21</v>
      </c>
      <c r="AL2626" t="inlineStr">
        <is>
          <t>Miss Glam Damar</t>
        </is>
      </c>
      <c r="AM2626" t="n">
        <v>4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LANBENA</t>
        </is>
      </c>
      <c r="B2627" s="2">
        <f>"10800103226"</f>
        <v/>
      </c>
      <c r="C2627" t="inlineStr">
        <is>
          <t>LANBENA Rejuvenating Retinol Hydra-Gel Eye Patches/ 7 Pairs</t>
        </is>
      </c>
      <c r="D2627" t="inlineStr">
        <is>
          <t>Miss Glam Damar</t>
        </is>
      </c>
      <c r="E2627" t="n">
        <v>9</v>
      </c>
      <c r="F2627" t="n">
        <v>0.2002</v>
      </c>
      <c r="G2627" t="n">
        <v>2.73</v>
      </c>
      <c r="H2627" t="n">
        <v>4</v>
      </c>
      <c r="I2627" t="n">
        <v>21</v>
      </c>
      <c r="J2627" t="n">
        <v>1</v>
      </c>
      <c r="K2627" t="n">
        <v>0</v>
      </c>
      <c r="L2627" t="n">
        <v>28260</v>
      </c>
      <c r="M2627" t="n">
        <v>38000</v>
      </c>
      <c r="N2627" t="n">
        <v>91</v>
      </c>
      <c r="O2627" t="n">
        <v>0.91</v>
      </c>
      <c r="P2627" t="n">
        <v>1</v>
      </c>
      <c r="Q2627" t="n">
        <v>0.15</v>
      </c>
      <c r="R2627" t="n">
        <v>2</v>
      </c>
      <c r="S2627" t="n">
        <v>7607.6</v>
      </c>
      <c r="T2627" t="n">
        <v>57</v>
      </c>
      <c r="U2627" t="n">
        <v>58</v>
      </c>
      <c r="V2627" t="n">
        <v>30</v>
      </c>
      <c r="W2627" t="n">
        <v>7</v>
      </c>
      <c r="X2627" t="n">
        <v>44.95504495504495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6421</v>
      </c>
      <c r="AG2627" t="n">
        <v>1</v>
      </c>
      <c r="AH2627" t="inlineStr">
        <is>
          <t>PT. BERSAMA DISTRIVERSA INDONESIA (DC CIPUTAT)</t>
        </is>
      </c>
      <c r="AI2627" t="n">
        <v>574</v>
      </c>
      <c r="AJ2627" t="inlineStr">
        <is>
          <t>LANBENA</t>
        </is>
      </c>
      <c r="AK2627" t="n">
        <v>21</v>
      </c>
      <c r="AL2627" t="inlineStr">
        <is>
          <t>Miss Glam Damar</t>
        </is>
      </c>
      <c r="AM2627" t="n">
        <v>4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LASH BOSS</t>
        </is>
      </c>
      <c r="B2628" s="2">
        <f>"20200451950"</f>
        <v/>
      </c>
      <c r="C2628" t="inlineStr">
        <is>
          <t>LASH BOSS Lash and Brow Serum Multivitamin Advanced + Aloe Extract 5ml</t>
        </is>
      </c>
      <c r="D2628" t="inlineStr">
        <is>
          <t>Miss Glam Damar</t>
        </is>
      </c>
      <c r="E2628" t="n">
        <v>12</v>
      </c>
      <c r="F2628" t="n">
        <v>0.09100000000000001</v>
      </c>
      <c r="G2628" t="n">
        <v>0.91</v>
      </c>
      <c r="H2628" t="n">
        <v>4</v>
      </c>
      <c r="I2628" t="n">
        <v>21</v>
      </c>
      <c r="J2628" t="n">
        <v>3</v>
      </c>
      <c r="K2628" t="n">
        <v>0</v>
      </c>
      <c r="L2628" t="n">
        <v>56249</v>
      </c>
      <c r="M2628" t="n">
        <v>72000</v>
      </c>
      <c r="N2628" t="n">
        <v>91</v>
      </c>
      <c r="O2628" t="n">
        <v>0.91</v>
      </c>
      <c r="P2628" t="n">
        <v>1</v>
      </c>
      <c r="Q2628" t="n">
        <v>0.2</v>
      </c>
      <c r="R2628" t="n">
        <v>3</v>
      </c>
      <c r="S2628" t="n">
        <v>6552.000000000001</v>
      </c>
      <c r="T2628" t="n">
        <v>19</v>
      </c>
      <c r="U2628" t="n">
        <v>20</v>
      </c>
      <c r="V2628" t="n">
        <v>30</v>
      </c>
      <c r="W2628" t="n">
        <v>3</v>
      </c>
      <c r="X2628" t="n">
        <v>131.8681318681319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6454</v>
      </c>
      <c r="AG2628" t="n">
        <v>1</v>
      </c>
      <c r="AH2628" t="inlineStr">
        <is>
          <t>PT. BERSAMA DISTRIVERSA INDONESIA (DC CIPUTAT)</t>
        </is>
      </c>
      <c r="AI2628" t="n">
        <v>1106</v>
      </c>
      <c r="AJ2628" t="inlineStr">
        <is>
          <t>LASH BOSS</t>
        </is>
      </c>
      <c r="AK2628" t="n">
        <v>21</v>
      </c>
      <c r="AL2628" t="inlineStr">
        <is>
          <t>Miss Glam Damar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LASH BOSS</t>
        </is>
      </c>
      <c r="B2629" s="2">
        <f>"20200452012"</f>
        <v/>
      </c>
      <c r="C2629" t="inlineStr">
        <is>
          <t>LASH BOSS Multivitamin Advanced Serum + Capixyl</t>
        </is>
      </c>
      <c r="D2629" t="inlineStr">
        <is>
          <t>Miss Glam Damar</t>
        </is>
      </c>
      <c r="E2629" t="n">
        <v>18</v>
      </c>
      <c r="F2629" t="n">
        <v>0.0728</v>
      </c>
      <c r="G2629" t="n">
        <v>1.82</v>
      </c>
      <c r="H2629" t="n">
        <v>4</v>
      </c>
      <c r="I2629" t="n">
        <v>21</v>
      </c>
      <c r="J2629" t="n">
        <v>3</v>
      </c>
      <c r="K2629" t="n">
        <v>0</v>
      </c>
      <c r="L2629" t="n">
        <v>58000</v>
      </c>
      <c r="M2629" t="n">
        <v>73000</v>
      </c>
      <c r="N2629" t="n">
        <v>91</v>
      </c>
      <c r="O2629" t="n">
        <v>0.91</v>
      </c>
      <c r="P2629" t="n">
        <v>1</v>
      </c>
      <c r="Q2629" t="n">
        <v>0.1</v>
      </c>
      <c r="R2629" t="n">
        <v>1</v>
      </c>
      <c r="S2629" t="n">
        <v>5314.400000000001</v>
      </c>
      <c r="T2629" t="n">
        <v>38</v>
      </c>
      <c r="U2629" t="n">
        <v>39</v>
      </c>
      <c r="V2629" t="n">
        <v>30</v>
      </c>
      <c r="W2629" t="n">
        <v>3</v>
      </c>
      <c r="X2629" t="n">
        <v>247.2527472527472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6454</v>
      </c>
      <c r="AG2629" t="n">
        <v>1</v>
      </c>
      <c r="AH2629" t="inlineStr">
        <is>
          <t>PT. BERSAMA DISTRIVERSA INDONESIA (DC CIPUTAT)</t>
        </is>
      </c>
      <c r="AI2629" t="n">
        <v>1106</v>
      </c>
      <c r="AJ2629" t="inlineStr">
        <is>
          <t>LASH BOSS</t>
        </is>
      </c>
      <c r="AK2629" t="n">
        <v>21</v>
      </c>
      <c r="AL2629" t="inlineStr">
        <is>
          <t>Miss Glam Damar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LASH BOSS</t>
        </is>
      </c>
      <c r="B2630" s="2">
        <f>"010720071999"</f>
        <v/>
      </c>
      <c r="C2630" t="inlineStr">
        <is>
          <t>LASH BOSS Rapunzel Serum For Lash And Brow 5.5gr</t>
        </is>
      </c>
      <c r="D2630" t="inlineStr">
        <is>
          <t>Miss Glam Damar</t>
        </is>
      </c>
      <c r="E2630" t="n">
        <v>11</v>
      </c>
      <c r="F2630" t="n">
        <v>0.22</v>
      </c>
      <c r="G2630" t="n">
        <v>2</v>
      </c>
      <c r="H2630" t="n">
        <v>4</v>
      </c>
      <c r="I2630" t="n">
        <v>21</v>
      </c>
      <c r="J2630" t="n">
        <v>3</v>
      </c>
      <c r="K2630" t="n">
        <v>0</v>
      </c>
      <c r="L2630" t="n">
        <v>48750</v>
      </c>
      <c r="M2630" t="n">
        <v>75000</v>
      </c>
      <c r="N2630" t="n">
        <v>91</v>
      </c>
      <c r="O2630" t="n">
        <v>0.91</v>
      </c>
      <c r="P2630" t="n">
        <v>0</v>
      </c>
      <c r="Q2630" t="n">
        <v>0.22</v>
      </c>
      <c r="R2630" t="n">
        <v>2</v>
      </c>
      <c r="S2630" t="n">
        <v>16500</v>
      </c>
      <c r="T2630" t="n">
        <v>42</v>
      </c>
      <c r="U2630" t="n">
        <v>43</v>
      </c>
      <c r="V2630" t="n">
        <v>30</v>
      </c>
      <c r="W2630" t="n">
        <v>7</v>
      </c>
      <c r="X2630" t="n">
        <v>50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6454</v>
      </c>
      <c r="AG2630" t="n">
        <v>1</v>
      </c>
      <c r="AH2630" t="inlineStr">
        <is>
          <t>PT. BERSAMA DISTRIVERSA INDONESIA (DC CIPUTAT)</t>
        </is>
      </c>
      <c r="AI2630" t="n">
        <v>1106</v>
      </c>
      <c r="AJ2630" t="inlineStr">
        <is>
          <t>LASH BOSS</t>
        </is>
      </c>
      <c r="AK2630" t="n">
        <v>21</v>
      </c>
      <c r="AL2630" t="inlineStr">
        <is>
          <t>Miss Glam Damar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LASH BOSS</t>
        </is>
      </c>
      <c r="B2631" s="2">
        <f>"40200305842"</f>
        <v/>
      </c>
      <c r="C2631" t="inlineStr">
        <is>
          <t>LASH BOSS Rosemary Hair Growth Oil 50ml</t>
        </is>
      </c>
      <c r="D2631" t="inlineStr">
        <is>
          <t>Miss Glam Damar</t>
        </is>
      </c>
      <c r="E2631" t="n">
        <v>12</v>
      </c>
      <c r="F2631" t="n">
        <v>0.2184</v>
      </c>
      <c r="G2631" t="n">
        <v>1.82</v>
      </c>
      <c r="H2631" t="n">
        <v>4</v>
      </c>
      <c r="I2631" t="n">
        <v>21</v>
      </c>
      <c r="J2631" t="n">
        <v>3</v>
      </c>
      <c r="K2631" t="n">
        <v>0</v>
      </c>
      <c r="L2631" t="n">
        <v>84999</v>
      </c>
      <c r="M2631" t="n">
        <v>109000</v>
      </c>
      <c r="N2631" t="n">
        <v>91</v>
      </c>
      <c r="O2631" t="n">
        <v>0.91</v>
      </c>
      <c r="P2631" t="n">
        <v>1</v>
      </c>
      <c r="Q2631" t="n">
        <v>0.2</v>
      </c>
      <c r="R2631" t="n">
        <v>2</v>
      </c>
      <c r="S2631" t="n">
        <v>23805.6</v>
      </c>
      <c r="T2631" t="n">
        <v>38</v>
      </c>
      <c r="U2631" t="n">
        <v>39</v>
      </c>
      <c r="V2631" t="n">
        <v>30</v>
      </c>
      <c r="W2631" t="n">
        <v>7</v>
      </c>
      <c r="X2631" t="n">
        <v>54.94505494505494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6454</v>
      </c>
      <c r="AG2631" t="n">
        <v>1</v>
      </c>
      <c r="AH2631" t="inlineStr">
        <is>
          <t>PT. BERSAMA DISTRIVERSA INDONESIA (DC CIPUTAT)</t>
        </is>
      </c>
      <c r="AI2631" t="n">
        <v>1106</v>
      </c>
      <c r="AJ2631" t="inlineStr">
        <is>
          <t>LASH BOSS</t>
        </is>
      </c>
      <c r="AK2631" t="n">
        <v>21</v>
      </c>
      <c r="AL2631" t="inlineStr">
        <is>
          <t>Miss Glam Damar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LAURIER</t>
        </is>
      </c>
      <c r="B2632" s="2">
        <f>"8992727000062"</f>
        <v/>
      </c>
      <c r="C2632" t="inlineStr">
        <is>
          <t>LAURIER Activ Day X-Tra Non Wings 22cm 20pcs</t>
        </is>
      </c>
      <c r="D2632" t="inlineStr">
        <is>
          <t>Miss Glam Damar</t>
        </is>
      </c>
      <c r="E2632" t="n">
        <v>1</v>
      </c>
      <c r="F2632" t="n">
        <v>0.1</v>
      </c>
      <c r="G2632" t="n">
        <v>1</v>
      </c>
      <c r="H2632" t="n">
        <v>2</v>
      </c>
      <c r="I2632" t="n">
        <v>2</v>
      </c>
      <c r="J2632" t="n">
        <v>3</v>
      </c>
      <c r="K2632" t="n">
        <v>0</v>
      </c>
      <c r="L2632" t="n">
        <v>10212</v>
      </c>
      <c r="M2632" t="n">
        <v>12500</v>
      </c>
      <c r="N2632" t="n">
        <v>91</v>
      </c>
      <c r="O2632" t="n">
        <v>0.91</v>
      </c>
      <c r="P2632" t="n">
        <v>0</v>
      </c>
      <c r="Q2632" t="n">
        <v>0.1</v>
      </c>
      <c r="R2632" t="n">
        <v>1</v>
      </c>
      <c r="S2632" t="n">
        <v>1250</v>
      </c>
      <c r="T2632" t="n">
        <v>2</v>
      </c>
      <c r="U2632" t="n">
        <v>3</v>
      </c>
      <c r="V2632" t="n">
        <v>30</v>
      </c>
      <c r="W2632" t="n">
        <v>3</v>
      </c>
      <c r="X2632" t="n">
        <v>10</v>
      </c>
      <c r="Y2632" t="n">
        <v>1</v>
      </c>
      <c r="Z2632" t="n">
        <v>2</v>
      </c>
      <c r="AA2632" t="n">
        <v>0</v>
      </c>
      <c r="AB2632" t="n">
        <v>2</v>
      </c>
      <c r="AC2632" t="n">
        <v>3</v>
      </c>
      <c r="AD2632" t="n">
        <v>0</v>
      </c>
      <c r="AE2632" t="n">
        <v>30636</v>
      </c>
      <c r="AF2632" t="n">
        <v>1860</v>
      </c>
      <c r="AG2632" t="n">
        <v>3299</v>
      </c>
      <c r="AH2632" t="inlineStr">
        <is>
          <t>CV. ZIHABIB CIPTA MANDIRI - PPN (PDG)</t>
        </is>
      </c>
      <c r="AI2632" t="n">
        <v>1595</v>
      </c>
      <c r="AJ2632" t="inlineStr">
        <is>
          <t>LAURIER</t>
        </is>
      </c>
      <c r="AK2632" t="n">
        <v>21</v>
      </c>
      <c r="AL2632" t="inlineStr">
        <is>
          <t>Miss Glam Damar</t>
        </is>
      </c>
      <c r="AM2632" t="n">
        <v>4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LAURIER</t>
        </is>
      </c>
      <c r="B2633" s="2">
        <f>"8992727002714"</f>
        <v/>
      </c>
      <c r="C2633" t="inlineStr">
        <is>
          <t>LAURIER Activ Day X-Tra Non Wings 22cm 30pcs</t>
        </is>
      </c>
      <c r="D2633" t="inlineStr">
        <is>
          <t>Miss Glam Damar</t>
        </is>
      </c>
      <c r="E2633" t="n">
        <v>1</v>
      </c>
      <c r="F2633" t="n">
        <v>0.4641</v>
      </c>
      <c r="G2633" t="n">
        <v>2.73</v>
      </c>
      <c r="H2633" t="n">
        <v>2</v>
      </c>
      <c r="I2633" t="n">
        <v>2</v>
      </c>
      <c r="J2633" t="n">
        <v>3</v>
      </c>
      <c r="K2633" t="n">
        <v>0</v>
      </c>
      <c r="L2633" t="n">
        <v>14430</v>
      </c>
      <c r="M2633" t="n">
        <v>17000</v>
      </c>
      <c r="N2633" t="n">
        <v>91</v>
      </c>
      <c r="O2633" t="n">
        <v>0.91</v>
      </c>
      <c r="P2633" t="n">
        <v>1</v>
      </c>
      <c r="Q2633" t="n">
        <v>0.08</v>
      </c>
      <c r="R2633" t="n">
        <v>1</v>
      </c>
      <c r="S2633" t="n">
        <v>7889.7</v>
      </c>
      <c r="T2633" t="n">
        <v>5</v>
      </c>
      <c r="U2633" t="n">
        <v>6</v>
      </c>
      <c r="V2633" t="n">
        <v>30</v>
      </c>
      <c r="W2633" t="n">
        <v>14</v>
      </c>
      <c r="X2633" t="n">
        <v>2.154708037060978</v>
      </c>
      <c r="Y2633" t="n">
        <v>1</v>
      </c>
      <c r="Z2633" t="n">
        <v>13</v>
      </c>
      <c r="AA2633" t="n">
        <v>0</v>
      </c>
      <c r="AB2633" t="n">
        <v>13</v>
      </c>
      <c r="AC2633" t="n">
        <v>13</v>
      </c>
      <c r="AD2633" t="n">
        <v>0</v>
      </c>
      <c r="AE2633" t="n">
        <v>187590</v>
      </c>
      <c r="AF2633" t="n">
        <v>1860</v>
      </c>
      <c r="AG2633" t="n">
        <v>3299</v>
      </c>
      <c r="AH2633" t="inlineStr">
        <is>
          <t>CV. ZIHABIB CIPTA MANDIRI - PPN (PDG)</t>
        </is>
      </c>
      <c r="AI2633" t="n">
        <v>1595</v>
      </c>
      <c r="AJ2633" t="inlineStr">
        <is>
          <t>LAURIER</t>
        </is>
      </c>
      <c r="AK2633" t="n">
        <v>21</v>
      </c>
      <c r="AL2633" t="inlineStr">
        <is>
          <t>Miss Glam Damar</t>
        </is>
      </c>
      <c r="AM2633" t="n">
        <v>4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LAURIER</t>
        </is>
      </c>
      <c r="B2634" s="2">
        <f>"8992727000048"</f>
        <v/>
      </c>
      <c r="C2634" t="inlineStr">
        <is>
          <t>LAURIER Active Day Super Maxi Non Wing 8pcs</t>
        </is>
      </c>
      <c r="D2634" t="inlineStr">
        <is>
          <t>Miss Glam Damar</t>
        </is>
      </c>
      <c r="E2634" t="n">
        <v>0</v>
      </c>
      <c r="F2634" t="n">
        <v>0.71</v>
      </c>
      <c r="G2634" t="n">
        <v>2</v>
      </c>
      <c r="H2634" t="n">
        <v>2</v>
      </c>
      <c r="I2634" t="n">
        <v>2</v>
      </c>
      <c r="J2634" t="n">
        <v>3</v>
      </c>
      <c r="K2634" t="n">
        <v>18</v>
      </c>
      <c r="L2634" t="n">
        <v>3896</v>
      </c>
      <c r="M2634" t="n">
        <v>5000</v>
      </c>
      <c r="N2634" t="n">
        <v>91</v>
      </c>
      <c r="O2634" t="n">
        <v>0.91</v>
      </c>
      <c r="P2634" t="n">
        <v>0</v>
      </c>
      <c r="Q2634" t="n">
        <v>0.71</v>
      </c>
      <c r="R2634" t="n">
        <v>2</v>
      </c>
      <c r="S2634" t="n">
        <v>3550</v>
      </c>
      <c r="T2634" t="n">
        <v>3</v>
      </c>
      <c r="U2634" t="n">
        <v>5</v>
      </c>
      <c r="V2634" t="n">
        <v>30</v>
      </c>
      <c r="W2634" t="n">
        <v>22</v>
      </c>
      <c r="X2634" t="n">
        <v>0</v>
      </c>
      <c r="Y2634" t="n">
        <v>1</v>
      </c>
      <c r="Z2634" t="n">
        <v>4</v>
      </c>
      <c r="AA2634" t="n">
        <v>1</v>
      </c>
      <c r="AB2634" t="n">
        <v>3</v>
      </c>
      <c r="AC2634" t="n">
        <v>3</v>
      </c>
      <c r="AD2634" t="n">
        <v>3896</v>
      </c>
      <c r="AE2634" t="n">
        <v>11688</v>
      </c>
      <c r="AF2634" t="n">
        <v>1860</v>
      </c>
      <c r="AG2634" t="n">
        <v>3299</v>
      </c>
      <c r="AH2634" t="inlineStr">
        <is>
          <t>CV. ZIHABIB CIPTA MANDIRI - PPN (PDG)</t>
        </is>
      </c>
      <c r="AI2634" t="n">
        <v>1595</v>
      </c>
      <c r="AJ2634" t="inlineStr">
        <is>
          <t>LAURIER</t>
        </is>
      </c>
      <c r="AK2634" t="n">
        <v>21</v>
      </c>
      <c r="AL2634" t="inlineStr">
        <is>
          <t>Miss Glam Damar</t>
        </is>
      </c>
      <c r="AM2634" t="n">
        <v>4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LAURIER</t>
        </is>
      </c>
      <c r="B2635" s="2">
        <f>"8992727002981"</f>
        <v/>
      </c>
      <c r="C2635" t="inlineStr">
        <is>
          <t>LAURIER Active Day X-Tra 22cm Wing 20pcs</t>
        </is>
      </c>
      <c r="D2635" t="inlineStr">
        <is>
          <t>Miss Glam Damar</t>
        </is>
      </c>
      <c r="E2635" t="n">
        <v>1</v>
      </c>
      <c r="F2635" t="n">
        <v>0.4641</v>
      </c>
      <c r="G2635" t="n">
        <v>2.73</v>
      </c>
      <c r="H2635" t="n">
        <v>2</v>
      </c>
      <c r="I2635" t="n">
        <v>2</v>
      </c>
      <c r="J2635" t="n">
        <v>3</v>
      </c>
      <c r="K2635" t="n">
        <v>0</v>
      </c>
      <c r="L2635" t="n">
        <v>14152</v>
      </c>
      <c r="M2635" t="n">
        <v>17000</v>
      </c>
      <c r="N2635" t="n">
        <v>91</v>
      </c>
      <c r="O2635" t="n">
        <v>0.91</v>
      </c>
      <c r="P2635" t="n">
        <v>1</v>
      </c>
      <c r="Q2635" t="n">
        <v>0.17</v>
      </c>
      <c r="R2635" t="n">
        <v>1</v>
      </c>
      <c r="S2635" t="n">
        <v>7889.7</v>
      </c>
      <c r="T2635" t="n">
        <v>5</v>
      </c>
      <c r="U2635" t="n">
        <v>6</v>
      </c>
      <c r="V2635" t="n">
        <v>30</v>
      </c>
      <c r="W2635" t="n">
        <v>14</v>
      </c>
      <c r="X2635" t="n">
        <v>2.154708037060978</v>
      </c>
      <c r="Y2635" t="n">
        <v>1</v>
      </c>
      <c r="Z2635" t="n">
        <v>13</v>
      </c>
      <c r="AA2635" t="n">
        <v>0</v>
      </c>
      <c r="AB2635" t="n">
        <v>13</v>
      </c>
      <c r="AC2635" t="n">
        <v>13</v>
      </c>
      <c r="AD2635" t="n">
        <v>0</v>
      </c>
      <c r="AE2635" t="n">
        <v>183976</v>
      </c>
      <c r="AF2635" t="n">
        <v>1860</v>
      </c>
      <c r="AG2635" t="n">
        <v>3299</v>
      </c>
      <c r="AH2635" t="inlineStr">
        <is>
          <t>CV. ZIHABIB CIPTA MANDIRI - PPN (PDG)</t>
        </is>
      </c>
      <c r="AI2635" t="n">
        <v>1595</v>
      </c>
      <c r="AJ2635" t="inlineStr">
        <is>
          <t>LAURIER</t>
        </is>
      </c>
      <c r="AK2635" t="n">
        <v>21</v>
      </c>
      <c r="AL2635" t="inlineStr">
        <is>
          <t>Miss Glam Damar</t>
        </is>
      </c>
      <c r="AM2635" t="n">
        <v>4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LAURIER</t>
        </is>
      </c>
      <c r="B2636" s="2">
        <f>"8992727002974"</f>
        <v/>
      </c>
      <c r="C2636" t="inlineStr">
        <is>
          <t>LAURIER Active Day X-Tra 22cm Wing 30pcs</t>
        </is>
      </c>
      <c r="D2636" t="inlineStr">
        <is>
          <t>Miss Glam Damar</t>
        </is>
      </c>
      <c r="E2636" t="n">
        <v>14</v>
      </c>
      <c r="F2636" t="n">
        <v>0.2912</v>
      </c>
      <c r="G2636" t="n">
        <v>1.82</v>
      </c>
      <c r="H2636" t="n">
        <v>2</v>
      </c>
      <c r="I2636" t="n">
        <v>2</v>
      </c>
      <c r="J2636" t="n">
        <v>3</v>
      </c>
      <c r="K2636" t="n">
        <v>0</v>
      </c>
      <c r="L2636" t="n">
        <v>19591</v>
      </c>
      <c r="M2636" t="n">
        <v>23500</v>
      </c>
      <c r="N2636" t="n">
        <v>91</v>
      </c>
      <c r="O2636" t="n">
        <v>0.91</v>
      </c>
      <c r="P2636" t="n">
        <v>1</v>
      </c>
      <c r="Q2636" t="n">
        <v>0.24</v>
      </c>
      <c r="R2636" t="n">
        <v>1</v>
      </c>
      <c r="S2636" t="n">
        <v>6843.200000000001</v>
      </c>
      <c r="T2636" t="n">
        <v>4</v>
      </c>
      <c r="U2636" t="n">
        <v>5</v>
      </c>
      <c r="V2636" t="n">
        <v>30</v>
      </c>
      <c r="W2636" t="n">
        <v>9</v>
      </c>
      <c r="X2636" t="n">
        <v>48.07692307692307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1860</v>
      </c>
      <c r="AG2636" t="n">
        <v>3299</v>
      </c>
      <c r="AH2636" t="inlineStr">
        <is>
          <t>CV. ZIHABIB CIPTA MANDIRI - PPN (PDG)</t>
        </is>
      </c>
      <c r="AI2636" t="n">
        <v>1595</v>
      </c>
      <c r="AJ2636" t="inlineStr">
        <is>
          <t>LAURIER</t>
        </is>
      </c>
      <c r="AK2636" t="n">
        <v>21</v>
      </c>
      <c r="AL2636" t="inlineStr">
        <is>
          <t>Miss Glam Damar</t>
        </is>
      </c>
      <c r="AM2636" t="n">
        <v>4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LAURIER</t>
        </is>
      </c>
      <c r="B2637" s="2">
        <f>"8992727002387"</f>
        <v/>
      </c>
      <c r="C2637" t="inlineStr">
        <is>
          <t>LAURIER Gathers Relax Night Wing 35cm 8pcs</t>
        </is>
      </c>
      <c r="D2637" t="inlineStr">
        <is>
          <t>Miss Glam Damar</t>
        </is>
      </c>
      <c r="E2637" t="n">
        <v>4</v>
      </c>
      <c r="F2637" t="n">
        <v>0.3094</v>
      </c>
      <c r="G2637" t="n">
        <v>4.55</v>
      </c>
      <c r="H2637" t="n">
        <v>2</v>
      </c>
      <c r="I2637" t="n">
        <v>2</v>
      </c>
      <c r="J2637" t="n">
        <v>3</v>
      </c>
      <c r="K2637" t="n">
        <v>0</v>
      </c>
      <c r="L2637" t="n">
        <v>13653</v>
      </c>
      <c r="M2637" t="n">
        <v>16500</v>
      </c>
      <c r="N2637" t="n">
        <v>91</v>
      </c>
      <c r="O2637" t="n">
        <v>0.91</v>
      </c>
      <c r="P2637" t="n">
        <v>1</v>
      </c>
      <c r="Q2637" t="n">
        <v>0.41</v>
      </c>
      <c r="R2637" t="n">
        <v>2</v>
      </c>
      <c r="S2637" t="n">
        <v>5105.1</v>
      </c>
      <c r="T2637" t="n">
        <v>9</v>
      </c>
      <c r="U2637" t="n">
        <v>10</v>
      </c>
      <c r="V2637" t="n">
        <v>30</v>
      </c>
      <c r="W2637" t="n">
        <v>10</v>
      </c>
      <c r="X2637" t="n">
        <v>12.92824822236587</v>
      </c>
      <c r="Y2637" t="n">
        <v>1</v>
      </c>
      <c r="Z2637" t="n">
        <v>6</v>
      </c>
      <c r="AA2637" t="n">
        <v>0</v>
      </c>
      <c r="AB2637" t="n">
        <v>6</v>
      </c>
      <c r="AC2637" t="n">
        <v>6</v>
      </c>
      <c r="AD2637" t="n">
        <v>0</v>
      </c>
      <c r="AE2637" t="n">
        <v>81918</v>
      </c>
      <c r="AF2637" t="n">
        <v>1860</v>
      </c>
      <c r="AG2637" t="n">
        <v>3299</v>
      </c>
      <c r="AH2637" t="inlineStr">
        <is>
          <t>CV. ZIHABIB CIPTA MANDIRI - PPN (PDG)</t>
        </is>
      </c>
      <c r="AI2637" t="n">
        <v>1595</v>
      </c>
      <c r="AJ2637" t="inlineStr">
        <is>
          <t>LAURIER</t>
        </is>
      </c>
      <c r="AK2637" t="n">
        <v>21</v>
      </c>
      <c r="AL2637" t="inlineStr">
        <is>
          <t>Miss Glam Damar</t>
        </is>
      </c>
      <c r="AM2637" t="n">
        <v>4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LAURIER</t>
        </is>
      </c>
      <c r="B2638" s="2">
        <f>"8992727006224"</f>
        <v/>
      </c>
      <c r="C2638" t="inlineStr">
        <is>
          <t>LAURIER Healthy Skin Night Wing 30cm 8pcs</t>
        </is>
      </c>
      <c r="D2638" t="inlineStr">
        <is>
          <t>Miss Glam Damar</t>
        </is>
      </c>
      <c r="E2638" t="n">
        <v>3</v>
      </c>
      <c r="F2638" t="n">
        <v>0.29</v>
      </c>
      <c r="G2638" t="n">
        <v>2</v>
      </c>
      <c r="H2638" t="n">
        <v>2</v>
      </c>
      <c r="I2638" t="n">
        <v>2</v>
      </c>
      <c r="J2638" t="n">
        <v>3</v>
      </c>
      <c r="K2638" t="n">
        <v>0</v>
      </c>
      <c r="L2638" t="n">
        <v>12987</v>
      </c>
      <c r="M2638" t="n">
        <v>15500</v>
      </c>
      <c r="N2638" t="n">
        <v>91</v>
      </c>
      <c r="O2638" t="n">
        <v>0.91</v>
      </c>
      <c r="P2638" t="n">
        <v>0</v>
      </c>
      <c r="Q2638" t="n">
        <v>0.29</v>
      </c>
      <c r="R2638" t="n">
        <v>2</v>
      </c>
      <c r="S2638" t="n">
        <v>4495</v>
      </c>
      <c r="T2638" t="n">
        <v>4</v>
      </c>
      <c r="U2638" t="n">
        <v>5</v>
      </c>
      <c r="V2638" t="n">
        <v>30</v>
      </c>
      <c r="W2638" t="n">
        <v>9</v>
      </c>
      <c r="X2638" t="n">
        <v>10.3448275862069</v>
      </c>
      <c r="Y2638" t="n">
        <v>1</v>
      </c>
      <c r="Z2638" t="n">
        <v>6</v>
      </c>
      <c r="AA2638" t="n">
        <v>0</v>
      </c>
      <c r="AB2638" t="n">
        <v>6</v>
      </c>
      <c r="AC2638" t="n">
        <v>6</v>
      </c>
      <c r="AD2638" t="n">
        <v>0</v>
      </c>
      <c r="AE2638" t="n">
        <v>77922</v>
      </c>
      <c r="AF2638" t="n">
        <v>1860</v>
      </c>
      <c r="AG2638" t="n">
        <v>3299</v>
      </c>
      <c r="AH2638" t="inlineStr">
        <is>
          <t>CV. ZIHABIB CIPTA MANDIRI - PPN (PDG)</t>
        </is>
      </c>
      <c r="AI2638" t="n">
        <v>1595</v>
      </c>
      <c r="AJ2638" t="inlineStr">
        <is>
          <t>LAURIER</t>
        </is>
      </c>
      <c r="AK2638" t="n">
        <v>21</v>
      </c>
      <c r="AL2638" t="inlineStr">
        <is>
          <t>Miss Glam Damar</t>
        </is>
      </c>
      <c r="AM2638" t="n">
        <v>4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LAURIER</t>
        </is>
      </c>
      <c r="B2639" s="2">
        <f>"8992727006262"</f>
        <v/>
      </c>
      <c r="C2639" t="inlineStr">
        <is>
          <t>LAURIER Healthy Skin Night Wing 35cm 6pcs</t>
        </is>
      </c>
      <c r="D2639" t="inlineStr">
        <is>
          <t>Miss Glam Damar</t>
        </is>
      </c>
      <c r="E2639" t="n">
        <v>3</v>
      </c>
      <c r="F2639" t="n">
        <v>0.0182</v>
      </c>
      <c r="G2639" t="n">
        <v>0.91</v>
      </c>
      <c r="H2639" t="n">
        <v>2</v>
      </c>
      <c r="I2639" t="n">
        <v>2</v>
      </c>
      <c r="J2639" t="n">
        <v>3</v>
      </c>
      <c r="K2639" t="n">
        <v>0</v>
      </c>
      <c r="L2639" t="n">
        <v>11266</v>
      </c>
      <c r="M2639" t="n">
        <v>13500</v>
      </c>
      <c r="N2639" t="n">
        <v>91</v>
      </c>
      <c r="O2639" t="n">
        <v>0.91</v>
      </c>
      <c r="P2639" t="n">
        <v>1</v>
      </c>
      <c r="Q2639" t="n">
        <v>0.12</v>
      </c>
      <c r="R2639" t="n">
        <v>2</v>
      </c>
      <c r="S2639" t="n">
        <v>245.7</v>
      </c>
      <c r="T2639" t="n">
        <v>2</v>
      </c>
      <c r="U2639" t="n">
        <v>3</v>
      </c>
      <c r="V2639" t="n">
        <v>30</v>
      </c>
      <c r="W2639" t="n">
        <v>1</v>
      </c>
      <c r="X2639" t="n">
        <v>164.8351648351648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1860</v>
      </c>
      <c r="AG2639" t="n">
        <v>3299</v>
      </c>
      <c r="AH2639" t="inlineStr">
        <is>
          <t>CV. ZIHABIB CIPTA MANDIRI - PPN (PDG)</t>
        </is>
      </c>
      <c r="AI2639" t="n">
        <v>1595</v>
      </c>
      <c r="AJ2639" t="inlineStr">
        <is>
          <t>LAURIER</t>
        </is>
      </c>
      <c r="AK2639" t="n">
        <v>21</v>
      </c>
      <c r="AL2639" t="inlineStr">
        <is>
          <t>Miss Glam Damar</t>
        </is>
      </c>
      <c r="AM2639" t="n">
        <v>4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LAURIER</t>
        </is>
      </c>
      <c r="B2640" s="2">
        <f>"8992727008365"</f>
        <v/>
      </c>
      <c r="C2640" t="inlineStr">
        <is>
          <t>LAURIER Natural Clean Wing 25cm 16pcs</t>
        </is>
      </c>
      <c r="D2640" t="inlineStr">
        <is>
          <t>Miss Glam Damar</t>
        </is>
      </c>
      <c r="E2640" t="n">
        <v>12</v>
      </c>
      <c r="F2640" t="n">
        <v>0.41</v>
      </c>
      <c r="G2640" t="n">
        <v>3</v>
      </c>
      <c r="H2640" t="n">
        <v>2</v>
      </c>
      <c r="I2640" t="n">
        <v>2</v>
      </c>
      <c r="J2640" t="n">
        <v>3</v>
      </c>
      <c r="K2640" t="n">
        <v>0</v>
      </c>
      <c r="L2640" t="n">
        <v>15762</v>
      </c>
      <c r="M2640" t="n">
        <v>19000</v>
      </c>
      <c r="N2640" t="n">
        <v>91</v>
      </c>
      <c r="O2640" t="n">
        <v>0.91</v>
      </c>
      <c r="P2640" t="n">
        <v>0</v>
      </c>
      <c r="Q2640" t="n">
        <v>0.41</v>
      </c>
      <c r="R2640" t="n">
        <v>3</v>
      </c>
      <c r="S2640" t="n">
        <v>7789.999999999999</v>
      </c>
      <c r="T2640" t="n">
        <v>6</v>
      </c>
      <c r="U2640" t="n">
        <v>7</v>
      </c>
      <c r="V2640" t="n">
        <v>30</v>
      </c>
      <c r="W2640" t="n">
        <v>13</v>
      </c>
      <c r="X2640" t="n">
        <v>29.26829268292683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1860</v>
      </c>
      <c r="AG2640" t="n">
        <v>3299</v>
      </c>
      <c r="AH2640" t="inlineStr">
        <is>
          <t>CV. ZIHABIB CIPTA MANDIRI - PPN (PDG)</t>
        </is>
      </c>
      <c r="AI2640" t="n">
        <v>1595</v>
      </c>
      <c r="AJ2640" t="inlineStr">
        <is>
          <t>LAURIER</t>
        </is>
      </c>
      <c r="AK2640" t="n">
        <v>21</v>
      </c>
      <c r="AL2640" t="inlineStr">
        <is>
          <t>Miss Glam Damar</t>
        </is>
      </c>
      <c r="AM2640" t="n">
        <v>4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LAURIER</t>
        </is>
      </c>
      <c r="B2641" s="2">
        <f>"8992727008341"</f>
        <v/>
      </c>
      <c r="C2641" t="inlineStr">
        <is>
          <t>LAURIER Pembalut Natural Clean 22cm 5pcs</t>
        </is>
      </c>
      <c r="D2641" t="inlineStr">
        <is>
          <t>Miss Glam Damar</t>
        </is>
      </c>
      <c r="E2641" t="n">
        <v>0</v>
      </c>
      <c r="F2641" t="n">
        <v>0.71</v>
      </c>
      <c r="G2641" t="n">
        <v>3</v>
      </c>
      <c r="H2641" t="n">
        <v>2</v>
      </c>
      <c r="I2641" t="n">
        <v>2</v>
      </c>
      <c r="J2641" t="n">
        <v>3</v>
      </c>
      <c r="K2641" t="n">
        <v>21</v>
      </c>
      <c r="L2641" t="n">
        <v>3605</v>
      </c>
      <c r="M2641" t="n">
        <v>4500</v>
      </c>
      <c r="N2641" t="n">
        <v>91</v>
      </c>
      <c r="O2641" t="n">
        <v>0.91</v>
      </c>
      <c r="P2641" t="n">
        <v>0</v>
      </c>
      <c r="Q2641" t="n">
        <v>0.71</v>
      </c>
      <c r="R2641" t="n">
        <v>3</v>
      </c>
      <c r="S2641" t="n">
        <v>3195</v>
      </c>
      <c r="T2641" t="n">
        <v>5</v>
      </c>
      <c r="U2641" t="n">
        <v>7</v>
      </c>
      <c r="V2641" t="n">
        <v>30</v>
      </c>
      <c r="W2641" t="n">
        <v>22</v>
      </c>
      <c r="X2641" t="n">
        <v>0</v>
      </c>
      <c r="Y2641" t="n">
        <v>1</v>
      </c>
      <c r="Z2641" t="n">
        <v>1</v>
      </c>
      <c r="AA2641" t="n">
        <v>1</v>
      </c>
      <c r="AB2641" t="n">
        <v>0</v>
      </c>
      <c r="AC2641" t="n">
        <v>0</v>
      </c>
      <c r="AD2641" t="n">
        <v>3605</v>
      </c>
      <c r="AE2641" t="n">
        <v>0</v>
      </c>
      <c r="AF2641" t="n">
        <v>1860</v>
      </c>
      <c r="AG2641" t="n">
        <v>3299</v>
      </c>
      <c r="AH2641" t="inlineStr">
        <is>
          <t>CV. ZIHABIB CIPTA MANDIRI - PPN (PDG)</t>
        </is>
      </c>
      <c r="AI2641" t="n">
        <v>1595</v>
      </c>
      <c r="AJ2641" t="inlineStr">
        <is>
          <t>LAURIER</t>
        </is>
      </c>
      <c r="AK2641" t="n">
        <v>21</v>
      </c>
      <c r="AL2641" t="inlineStr">
        <is>
          <t>Miss Glam Damar</t>
        </is>
      </c>
      <c r="AM2641" t="n">
        <v>4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LAURIER</t>
        </is>
      </c>
      <c r="B2642" s="2">
        <f>"8851818936805"</f>
        <v/>
      </c>
      <c r="C2642" t="inlineStr">
        <is>
          <t>LAURIER Relax Night 30cm Wing 8pcs</t>
        </is>
      </c>
      <c r="D2642" t="inlineStr">
        <is>
          <t>Miss Glam Damar</t>
        </is>
      </c>
      <c r="E2642" t="n">
        <v>6</v>
      </c>
      <c r="F2642" t="n">
        <v>0.64</v>
      </c>
      <c r="G2642" t="n">
        <v>6</v>
      </c>
      <c r="H2642" t="n">
        <v>2</v>
      </c>
      <c r="I2642" t="n">
        <v>2</v>
      </c>
      <c r="J2642" t="n">
        <v>3</v>
      </c>
      <c r="K2642" t="n">
        <v>0</v>
      </c>
      <c r="L2642" t="n">
        <v>6879</v>
      </c>
      <c r="M2642" t="n">
        <v>9000</v>
      </c>
      <c r="N2642" t="n">
        <v>91</v>
      </c>
      <c r="O2642" t="n">
        <v>0.91</v>
      </c>
      <c r="P2642" t="n">
        <v>0</v>
      </c>
      <c r="Q2642" t="n">
        <v>0.64</v>
      </c>
      <c r="R2642" t="n">
        <v>6</v>
      </c>
      <c r="S2642" t="n">
        <v>5760</v>
      </c>
      <c r="T2642" t="n">
        <v>11</v>
      </c>
      <c r="U2642" t="n">
        <v>13</v>
      </c>
      <c r="V2642" t="n">
        <v>30</v>
      </c>
      <c r="W2642" t="n">
        <v>20</v>
      </c>
      <c r="X2642" t="n">
        <v>9.375</v>
      </c>
      <c r="Y2642" t="n">
        <v>1</v>
      </c>
      <c r="Z2642" t="n">
        <v>14</v>
      </c>
      <c r="AA2642" t="n">
        <v>0</v>
      </c>
      <c r="AB2642" t="n">
        <v>14</v>
      </c>
      <c r="AC2642" t="n">
        <v>14</v>
      </c>
      <c r="AD2642" t="n">
        <v>0</v>
      </c>
      <c r="AE2642" t="n">
        <v>96306</v>
      </c>
      <c r="AF2642" t="n">
        <v>1860</v>
      </c>
      <c r="AG2642" t="n">
        <v>3299</v>
      </c>
      <c r="AH2642" t="inlineStr">
        <is>
          <t>CV. ZIHABIB CIPTA MANDIRI - PPN (PDG)</t>
        </is>
      </c>
      <c r="AI2642" t="n">
        <v>1595</v>
      </c>
      <c r="AJ2642" t="inlineStr">
        <is>
          <t>LAURIER</t>
        </is>
      </c>
      <c r="AK2642" t="n">
        <v>21</v>
      </c>
      <c r="AL2642" t="inlineStr">
        <is>
          <t>Miss Glam Damar</t>
        </is>
      </c>
      <c r="AM2642" t="n">
        <v>4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LAURIER</t>
        </is>
      </c>
      <c r="B2643" s="2">
        <f>"8851818936812"</f>
        <v/>
      </c>
      <c r="C2643" t="inlineStr">
        <is>
          <t>LAURIER Relax Night 30cm x 16pcs</t>
        </is>
      </c>
      <c r="D2643" t="inlineStr">
        <is>
          <t>Miss Glam Damar</t>
        </is>
      </c>
      <c r="E2643" t="n">
        <v>0</v>
      </c>
      <c r="F2643" t="n">
        <v>0.47</v>
      </c>
      <c r="G2643" t="n">
        <v>2</v>
      </c>
      <c r="H2643" t="n">
        <v>2</v>
      </c>
      <c r="I2643" t="n">
        <v>2</v>
      </c>
      <c r="J2643" t="n">
        <v>3</v>
      </c>
      <c r="K2643" t="n">
        <v>12</v>
      </c>
      <c r="L2643" t="n">
        <v>14541</v>
      </c>
      <c r="M2643" t="n">
        <v>17500</v>
      </c>
      <c r="N2643" t="n">
        <v>91</v>
      </c>
      <c r="O2643" t="n">
        <v>0.91</v>
      </c>
      <c r="P2643" t="n">
        <v>0</v>
      </c>
      <c r="Q2643" t="n">
        <v>0.47</v>
      </c>
      <c r="R2643" t="n">
        <v>2</v>
      </c>
      <c r="S2643" t="n">
        <v>8225</v>
      </c>
      <c r="T2643" t="n">
        <v>4</v>
      </c>
      <c r="U2643" t="n">
        <v>5</v>
      </c>
      <c r="V2643" t="n">
        <v>30</v>
      </c>
      <c r="W2643" t="n">
        <v>15</v>
      </c>
      <c r="X2643" t="n">
        <v>0</v>
      </c>
      <c r="Y2643" t="n">
        <v>1</v>
      </c>
      <c r="Z2643" t="n">
        <v>3</v>
      </c>
      <c r="AA2643" t="n">
        <v>0</v>
      </c>
      <c r="AB2643" t="n">
        <v>3</v>
      </c>
      <c r="AC2643" t="n">
        <v>3</v>
      </c>
      <c r="AD2643" t="n">
        <v>0</v>
      </c>
      <c r="AE2643" t="n">
        <v>43623</v>
      </c>
      <c r="AF2643" t="n">
        <v>1860</v>
      </c>
      <c r="AG2643" t="n">
        <v>3299</v>
      </c>
      <c r="AH2643" t="inlineStr">
        <is>
          <t>CV. ZIHABIB CIPTA MANDIRI - PPN (PDG)</t>
        </is>
      </c>
      <c r="AI2643" t="n">
        <v>1595</v>
      </c>
      <c r="AJ2643" t="inlineStr">
        <is>
          <t>LAURIER</t>
        </is>
      </c>
      <c r="AK2643" t="n">
        <v>21</v>
      </c>
      <c r="AL2643" t="inlineStr">
        <is>
          <t>Miss Glam Damar</t>
        </is>
      </c>
      <c r="AM2643" t="n">
        <v>4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LAURIER</t>
        </is>
      </c>
      <c r="B2644" s="2">
        <f>"8992727003094"</f>
        <v/>
      </c>
      <c r="C2644" t="inlineStr">
        <is>
          <t>LAURIER Relax Night 35cm Wing 12pcs</t>
        </is>
      </c>
      <c r="D2644" t="inlineStr">
        <is>
          <t>Miss Glam Damar</t>
        </is>
      </c>
      <c r="E2644" t="n">
        <v>0</v>
      </c>
      <c r="F2644" t="n">
        <v>0.21</v>
      </c>
      <c r="G2644" t="n">
        <v>1</v>
      </c>
      <c r="H2644" t="n">
        <v>2</v>
      </c>
      <c r="I2644" t="n">
        <v>2</v>
      </c>
      <c r="J2644" t="n">
        <v>3</v>
      </c>
      <c r="K2644" t="n">
        <v>6</v>
      </c>
      <c r="L2644" t="n">
        <v>15429</v>
      </c>
      <c r="M2644" t="n">
        <v>18500</v>
      </c>
      <c r="N2644" t="n">
        <v>91</v>
      </c>
      <c r="O2644" t="n">
        <v>0.91</v>
      </c>
      <c r="P2644" t="n">
        <v>0</v>
      </c>
      <c r="Q2644" t="n">
        <v>0.21</v>
      </c>
      <c r="R2644" t="n">
        <v>1</v>
      </c>
      <c r="S2644" t="n">
        <v>3885</v>
      </c>
      <c r="T2644" t="n">
        <v>2</v>
      </c>
      <c r="U2644" t="n">
        <v>3</v>
      </c>
      <c r="V2644" t="n">
        <v>30</v>
      </c>
      <c r="W2644" t="n">
        <v>7</v>
      </c>
      <c r="X2644" t="n">
        <v>0</v>
      </c>
      <c r="Y2644" t="n">
        <v>1</v>
      </c>
      <c r="Z2644" t="n">
        <v>1</v>
      </c>
      <c r="AA2644" t="n">
        <v>0</v>
      </c>
      <c r="AB2644" t="n">
        <v>1</v>
      </c>
      <c r="AC2644" t="n">
        <v>3</v>
      </c>
      <c r="AD2644" t="n">
        <v>0</v>
      </c>
      <c r="AE2644" t="n">
        <v>46287</v>
      </c>
      <c r="AF2644" t="n">
        <v>1860</v>
      </c>
      <c r="AG2644" t="n">
        <v>3299</v>
      </c>
      <c r="AH2644" t="inlineStr">
        <is>
          <t>CV. ZIHABIB CIPTA MANDIRI - PPN (PDG)</t>
        </is>
      </c>
      <c r="AI2644" t="n">
        <v>1595</v>
      </c>
      <c r="AJ2644" t="inlineStr">
        <is>
          <t>LAURIER</t>
        </is>
      </c>
      <c r="AK2644" t="n">
        <v>21</v>
      </c>
      <c r="AL2644" t="inlineStr">
        <is>
          <t>Miss Glam Damar</t>
        </is>
      </c>
      <c r="AM2644" t="n">
        <v>4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LAURIER</t>
        </is>
      </c>
      <c r="B2645" s="2">
        <f>"8992727003087"</f>
        <v/>
      </c>
      <c r="C2645" t="inlineStr">
        <is>
          <t>LAURIER Relax Night 35cm x 6pcs</t>
        </is>
      </c>
      <c r="D2645" t="inlineStr">
        <is>
          <t>Miss Glam Damar</t>
        </is>
      </c>
      <c r="E2645" t="n">
        <v>0</v>
      </c>
      <c r="F2645" t="n">
        <v>0.8008000000000001</v>
      </c>
      <c r="G2645" t="n">
        <v>7.28</v>
      </c>
      <c r="H2645" t="n">
        <v>2</v>
      </c>
      <c r="I2645" t="n">
        <v>2</v>
      </c>
      <c r="J2645" t="n">
        <v>3</v>
      </c>
      <c r="K2645" t="n">
        <v>0</v>
      </c>
      <c r="L2645" t="n">
        <v>7539</v>
      </c>
      <c r="M2645" t="n">
        <v>9500</v>
      </c>
      <c r="N2645" t="n">
        <v>91</v>
      </c>
      <c r="O2645" t="n">
        <v>0.91</v>
      </c>
      <c r="P2645" t="n">
        <v>1</v>
      </c>
      <c r="Q2645" t="n">
        <v>0.23</v>
      </c>
      <c r="R2645" t="n">
        <v>2</v>
      </c>
      <c r="S2645" t="n">
        <v>7607.6</v>
      </c>
      <c r="T2645" t="n">
        <v>13</v>
      </c>
      <c r="U2645" t="n">
        <v>15</v>
      </c>
      <c r="V2645" t="n">
        <v>30</v>
      </c>
      <c r="W2645" t="n">
        <v>25</v>
      </c>
      <c r="X2645" t="n">
        <v>0</v>
      </c>
      <c r="Y2645" t="n">
        <v>1</v>
      </c>
      <c r="Z2645" t="n">
        <v>25</v>
      </c>
      <c r="AA2645" t="n">
        <v>2</v>
      </c>
      <c r="AB2645" t="n">
        <v>23</v>
      </c>
      <c r="AC2645" t="n">
        <v>23</v>
      </c>
      <c r="AD2645" t="n">
        <v>15078</v>
      </c>
      <c r="AE2645" t="n">
        <v>173397</v>
      </c>
      <c r="AF2645" t="n">
        <v>1860</v>
      </c>
      <c r="AG2645" t="n">
        <v>3299</v>
      </c>
      <c r="AH2645" t="inlineStr">
        <is>
          <t>CV. ZIHABIB CIPTA MANDIRI - PPN (PDG)</t>
        </is>
      </c>
      <c r="AI2645" t="n">
        <v>1595</v>
      </c>
      <c r="AJ2645" t="inlineStr">
        <is>
          <t>LAURIER</t>
        </is>
      </c>
      <c r="AK2645" t="n">
        <v>21</v>
      </c>
      <c r="AL2645" t="inlineStr">
        <is>
          <t>Miss Glam Damar</t>
        </is>
      </c>
      <c r="AM2645" t="n">
        <v>4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LAVOJOY</t>
        </is>
      </c>
      <c r="B2646" s="2">
        <f>"30600112503"</f>
        <v/>
      </c>
      <c r="C2646" t="inlineStr">
        <is>
          <t>LAVOJOY  Keep It Chill Hand Cream 30ml</t>
        </is>
      </c>
      <c r="D2646" t="inlineStr">
        <is>
          <t>Miss Glam Damar</t>
        </is>
      </c>
      <c r="E2646" t="n">
        <v>12</v>
      </c>
      <c r="F2646" t="n">
        <v>0.04550000000000001</v>
      </c>
      <c r="G2646" t="n">
        <v>0.91</v>
      </c>
      <c r="H2646" t="n">
        <v>2</v>
      </c>
      <c r="I2646" t="n">
        <v>9</v>
      </c>
      <c r="J2646" t="n">
        <v>3</v>
      </c>
      <c r="K2646" t="n">
        <v>0</v>
      </c>
      <c r="L2646" t="n">
        <v>29520</v>
      </c>
      <c r="M2646" t="n">
        <v>36900</v>
      </c>
      <c r="N2646" t="n">
        <v>91</v>
      </c>
      <c r="O2646" t="n">
        <v>0.91</v>
      </c>
      <c r="P2646" t="n">
        <v>1</v>
      </c>
      <c r="Q2646" t="n">
        <v>0.08</v>
      </c>
      <c r="R2646" t="n">
        <v>3</v>
      </c>
      <c r="S2646" t="n">
        <v>1678.95</v>
      </c>
      <c r="T2646" t="n">
        <v>9</v>
      </c>
      <c r="U2646" t="n">
        <v>10</v>
      </c>
      <c r="V2646" t="n">
        <v>30</v>
      </c>
      <c r="W2646" t="n">
        <v>2</v>
      </c>
      <c r="X2646" t="n">
        <v>263.7362637362637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10384</v>
      </c>
      <c r="AG2646" t="n">
        <v>170</v>
      </c>
      <c r="AH2646" t="inlineStr">
        <is>
          <t>PT. JALUR MANDIRI UTAMA - PPN (PDG)</t>
        </is>
      </c>
      <c r="AI2646" t="n">
        <v>1492</v>
      </c>
      <c r="AJ2646" t="inlineStr">
        <is>
          <t>LAVOJOY</t>
        </is>
      </c>
      <c r="AK2646" t="n">
        <v>21</v>
      </c>
      <c r="AL2646" t="inlineStr">
        <is>
          <t>Miss Glam Damar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LAVOJOY</t>
        </is>
      </c>
      <c r="B2647" s="2">
        <f>"40100203934"</f>
        <v/>
      </c>
      <c r="C2647" t="inlineStr">
        <is>
          <t>LAVOJOY Hair We Bloom Dry Shampoo Season Of Flower 150ml</t>
        </is>
      </c>
      <c r="D2647" t="inlineStr">
        <is>
          <t>Miss Glam Damar</t>
        </is>
      </c>
      <c r="E2647" t="n">
        <v>5</v>
      </c>
      <c r="F2647" t="n">
        <v>0.09100000000000001</v>
      </c>
      <c r="G2647" t="n">
        <v>1.82</v>
      </c>
      <c r="H2647" t="n">
        <v>2</v>
      </c>
      <c r="I2647" t="n">
        <v>9</v>
      </c>
      <c r="J2647" t="n">
        <v>1</v>
      </c>
      <c r="K2647" t="n">
        <v>0</v>
      </c>
      <c r="L2647" t="n">
        <v>71200</v>
      </c>
      <c r="M2647" t="n">
        <v>89000</v>
      </c>
      <c r="N2647" t="n">
        <v>91</v>
      </c>
      <c r="O2647" t="n">
        <v>0.91</v>
      </c>
      <c r="P2647" t="n">
        <v>1</v>
      </c>
      <c r="Q2647" t="n">
        <v>0.64</v>
      </c>
      <c r="R2647" t="n">
        <v>3</v>
      </c>
      <c r="S2647" t="n">
        <v>8099.000000000001</v>
      </c>
      <c r="T2647" t="n">
        <v>17</v>
      </c>
      <c r="U2647" t="n">
        <v>18</v>
      </c>
      <c r="V2647" t="n">
        <v>30</v>
      </c>
      <c r="W2647" t="n">
        <v>3</v>
      </c>
      <c r="X2647" t="n">
        <v>54.94505494505494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10384</v>
      </c>
      <c r="AG2647" t="n">
        <v>170</v>
      </c>
      <c r="AH2647" t="inlineStr">
        <is>
          <t>PT. JALUR MANDIRI UTAMA - PPN (PDG)</t>
        </is>
      </c>
      <c r="AI2647" t="n">
        <v>1492</v>
      </c>
      <c r="AJ2647" t="inlineStr">
        <is>
          <t>LAVOJOY</t>
        </is>
      </c>
      <c r="AK2647" t="n">
        <v>21</v>
      </c>
      <c r="AL2647" t="inlineStr">
        <is>
          <t>Miss Glam Damar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LAVOJOY</t>
        </is>
      </c>
      <c r="B2648" s="2">
        <f>"8991748012016"</f>
        <v/>
      </c>
      <c r="C2648" t="inlineStr">
        <is>
          <t>LAVOJOY Hair We Bloom Shampoo 300ml</t>
        </is>
      </c>
      <c r="D2648" t="inlineStr">
        <is>
          <t>Miss Glam Damar</t>
        </is>
      </c>
      <c r="E2648" t="n">
        <v>73</v>
      </c>
      <c r="F2648" t="n">
        <v>0.1729</v>
      </c>
      <c r="G2648" t="n">
        <v>0.91</v>
      </c>
      <c r="H2648" t="n">
        <v>2</v>
      </c>
      <c r="I2648" t="n">
        <v>9</v>
      </c>
      <c r="J2648" t="n">
        <v>3</v>
      </c>
      <c r="K2648" t="n">
        <v>0</v>
      </c>
      <c r="L2648" t="n">
        <v>57520</v>
      </c>
      <c r="M2648" t="n">
        <v>71900</v>
      </c>
      <c r="N2648" t="n">
        <v>91</v>
      </c>
      <c r="O2648" t="n">
        <v>0.91</v>
      </c>
      <c r="P2648" t="n">
        <v>1</v>
      </c>
      <c r="Q2648" t="n">
        <v>0.17</v>
      </c>
      <c r="R2648" t="n">
        <v>3</v>
      </c>
      <c r="S2648" t="n">
        <v>12431.51</v>
      </c>
      <c r="T2648" t="n">
        <v>8</v>
      </c>
      <c r="U2648" t="n">
        <v>9</v>
      </c>
      <c r="V2648" t="n">
        <v>30</v>
      </c>
      <c r="W2648" t="n">
        <v>6</v>
      </c>
      <c r="X2648" t="n">
        <v>422.2093695777907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10384</v>
      </c>
      <c r="AG2648" t="n">
        <v>170</v>
      </c>
      <c r="AH2648" t="inlineStr">
        <is>
          <t>PT. JALUR MANDIRI UTAMA - PPN (PDG)</t>
        </is>
      </c>
      <c r="AI2648" t="n">
        <v>1492</v>
      </c>
      <c r="AJ2648" t="inlineStr">
        <is>
          <t>LAVOJOY</t>
        </is>
      </c>
      <c r="AK2648" t="n">
        <v>21</v>
      </c>
      <c r="AL2648" t="inlineStr">
        <is>
          <t>Miss Glam Damar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LAVOJOY</t>
        </is>
      </c>
      <c r="B2649" s="2">
        <f>"8991748010326"</f>
        <v/>
      </c>
      <c r="C2649" t="inlineStr">
        <is>
          <t>LAVOJOY Hold Me Tight Pro Conditioner Spring Wonder 280ml</t>
        </is>
      </c>
      <c r="D2649" t="inlineStr">
        <is>
          <t>Miss Glam Damar</t>
        </is>
      </c>
      <c r="E2649" t="n">
        <v>27</v>
      </c>
      <c r="F2649" t="n">
        <v>0.1547</v>
      </c>
      <c r="G2649" t="n">
        <v>0.91</v>
      </c>
      <c r="H2649" t="n">
        <v>2</v>
      </c>
      <c r="I2649" t="n">
        <v>9</v>
      </c>
      <c r="J2649" t="n">
        <v>3</v>
      </c>
      <c r="K2649" t="n">
        <v>0</v>
      </c>
      <c r="L2649" t="n">
        <v>80720</v>
      </c>
      <c r="M2649" t="n">
        <v>100900</v>
      </c>
      <c r="N2649" t="n">
        <v>91</v>
      </c>
      <c r="O2649" t="n">
        <v>0.91</v>
      </c>
      <c r="P2649" t="n">
        <v>1</v>
      </c>
      <c r="Q2649" t="n">
        <v>0.42</v>
      </c>
      <c r="R2649" t="n">
        <v>3</v>
      </c>
      <c r="S2649" t="n">
        <v>15609.23</v>
      </c>
      <c r="T2649" t="n">
        <v>8</v>
      </c>
      <c r="U2649" t="n">
        <v>9</v>
      </c>
      <c r="V2649" t="n">
        <v>30</v>
      </c>
      <c r="W2649" t="n">
        <v>5</v>
      </c>
      <c r="X2649" t="n">
        <v>174.5313510019392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10384</v>
      </c>
      <c r="AG2649" t="n">
        <v>170</v>
      </c>
      <c r="AH2649" t="inlineStr">
        <is>
          <t>PT. JALUR MANDIRI UTAMA - PPN (PDG)</t>
        </is>
      </c>
      <c r="AI2649" t="n">
        <v>1492</v>
      </c>
      <c r="AJ2649" t="inlineStr">
        <is>
          <t>LAVOJOY</t>
        </is>
      </c>
      <c r="AK2649" t="n">
        <v>21</v>
      </c>
      <c r="AL2649" t="inlineStr">
        <is>
          <t>Miss Glam Damar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LAVOJOY</t>
        </is>
      </c>
      <c r="B2650" s="2">
        <f>"8991748006381"</f>
        <v/>
      </c>
      <c r="C2650" t="inlineStr">
        <is>
          <t>LAVOJOY Hold Me Tight Pro Scalp Essense Spring Wonder</t>
        </is>
      </c>
      <c r="D2650" t="inlineStr">
        <is>
          <t>Miss Glam Damar</t>
        </is>
      </c>
      <c r="E2650" t="n">
        <v>12</v>
      </c>
      <c r="F2650" t="n">
        <v>0.1274</v>
      </c>
      <c r="G2650" t="n">
        <v>1.82</v>
      </c>
      <c r="H2650" t="n">
        <v>2</v>
      </c>
      <c r="I2650" t="n">
        <v>9</v>
      </c>
      <c r="J2650" t="n">
        <v>3</v>
      </c>
      <c r="K2650" t="n">
        <v>0</v>
      </c>
      <c r="L2650" t="n">
        <v>97520</v>
      </c>
      <c r="M2650" t="n">
        <v>121900</v>
      </c>
      <c r="N2650" t="n">
        <v>91</v>
      </c>
      <c r="O2650" t="n">
        <v>0.91</v>
      </c>
      <c r="P2650" t="n">
        <v>1</v>
      </c>
      <c r="Q2650" t="n">
        <v>0.19</v>
      </c>
      <c r="R2650" t="n">
        <v>2</v>
      </c>
      <c r="S2650" t="n">
        <v>15530.06</v>
      </c>
      <c r="T2650" t="n">
        <v>17</v>
      </c>
      <c r="U2650" t="n">
        <v>18</v>
      </c>
      <c r="V2650" t="n">
        <v>30</v>
      </c>
      <c r="W2650" t="n">
        <v>4</v>
      </c>
      <c r="X2650" t="n">
        <v>94.19152276295132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10384</v>
      </c>
      <c r="AG2650" t="n">
        <v>170</v>
      </c>
      <c r="AH2650" t="inlineStr">
        <is>
          <t>PT. JALUR MANDIRI UTAMA - PPN (PDG)</t>
        </is>
      </c>
      <c r="AI2650" t="n">
        <v>1492</v>
      </c>
      <c r="AJ2650" t="inlineStr">
        <is>
          <t>LAVOJOY</t>
        </is>
      </c>
      <c r="AK2650" t="n">
        <v>21</v>
      </c>
      <c r="AL2650" t="inlineStr">
        <is>
          <t>Miss Glam Damar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LAVOJOY</t>
        </is>
      </c>
      <c r="B2651" s="2">
        <f>"8991748006367"</f>
        <v/>
      </c>
      <c r="C2651" t="inlineStr">
        <is>
          <t>LAVOJOY Hold Me Tight Pro Shampoo Spring Wonder 280ml</t>
        </is>
      </c>
      <c r="D2651" t="inlineStr">
        <is>
          <t>Miss Glam Damar</t>
        </is>
      </c>
      <c r="E2651" t="n">
        <v>81</v>
      </c>
      <c r="F2651" t="n">
        <v>0.3549</v>
      </c>
      <c r="G2651" t="n">
        <v>3.64</v>
      </c>
      <c r="H2651" t="n">
        <v>2</v>
      </c>
      <c r="I2651" t="n">
        <v>9</v>
      </c>
      <c r="J2651" t="n">
        <v>3</v>
      </c>
      <c r="K2651" t="n">
        <v>0</v>
      </c>
      <c r="L2651" t="n">
        <v>97520</v>
      </c>
      <c r="M2651" t="n">
        <v>121900</v>
      </c>
      <c r="N2651" t="n">
        <v>91</v>
      </c>
      <c r="O2651" t="n">
        <v>0.91</v>
      </c>
      <c r="P2651" t="n">
        <v>1</v>
      </c>
      <c r="Q2651" t="n">
        <v>1.47</v>
      </c>
      <c r="R2651" t="n">
        <v>6</v>
      </c>
      <c r="S2651" t="n">
        <v>43262.31</v>
      </c>
      <c r="T2651" t="n">
        <v>33</v>
      </c>
      <c r="U2651" t="n">
        <v>34</v>
      </c>
      <c r="V2651" t="n">
        <v>30</v>
      </c>
      <c r="W2651" t="n">
        <v>11</v>
      </c>
      <c r="X2651" t="n">
        <v>228.233305156382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10384</v>
      </c>
      <c r="AG2651" t="n">
        <v>170</v>
      </c>
      <c r="AH2651" t="inlineStr">
        <is>
          <t>PT. JALUR MANDIRI UTAMA - PPN (PDG)</t>
        </is>
      </c>
      <c r="AI2651" t="n">
        <v>1492</v>
      </c>
      <c r="AJ2651" t="inlineStr">
        <is>
          <t>LAVOJOY</t>
        </is>
      </c>
      <c r="AK2651" t="n">
        <v>21</v>
      </c>
      <c r="AL2651" t="inlineStr">
        <is>
          <t>Miss Glam Damar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LAVOJOY</t>
        </is>
      </c>
      <c r="B2652" s="2">
        <f>"30200423428"</f>
        <v/>
      </c>
      <c r="C2652" t="inlineStr">
        <is>
          <t>LAVOJOY Keep It Chill Body Serum Cooling &amp; Soothing 180ml</t>
        </is>
      </c>
      <c r="D2652" t="inlineStr">
        <is>
          <t>Miss Glam Damar</t>
        </is>
      </c>
      <c r="E2652" t="n">
        <v>25</v>
      </c>
      <c r="F2652" t="n">
        <v>0.8372000000000001</v>
      </c>
      <c r="G2652" t="n">
        <v>3.64</v>
      </c>
      <c r="H2652" t="n">
        <v>2</v>
      </c>
      <c r="I2652" t="n">
        <v>9</v>
      </c>
      <c r="J2652" t="n">
        <v>3</v>
      </c>
      <c r="K2652" t="n">
        <v>0</v>
      </c>
      <c r="L2652" t="n">
        <v>36720</v>
      </c>
      <c r="M2652" t="n">
        <v>45900</v>
      </c>
      <c r="N2652" t="n">
        <v>91</v>
      </c>
      <c r="O2652" t="n">
        <v>0.91</v>
      </c>
      <c r="P2652" t="n">
        <v>1</v>
      </c>
      <c r="Q2652" t="n">
        <v>0.51</v>
      </c>
      <c r="R2652" t="n">
        <v>5</v>
      </c>
      <c r="S2652" t="n">
        <v>38427.48</v>
      </c>
      <c r="T2652" t="n">
        <v>32</v>
      </c>
      <c r="U2652" t="n">
        <v>34</v>
      </c>
      <c r="V2652" t="n">
        <v>30</v>
      </c>
      <c r="W2652" t="n">
        <v>26</v>
      </c>
      <c r="X2652" t="n">
        <v>29.86144290492116</v>
      </c>
      <c r="Y2652" t="n">
        <v>1</v>
      </c>
      <c r="Z2652" t="n">
        <v>1</v>
      </c>
      <c r="AA2652" t="n">
        <v>0</v>
      </c>
      <c r="AB2652" t="n">
        <v>1</v>
      </c>
      <c r="AC2652" t="n">
        <v>3</v>
      </c>
      <c r="AD2652" t="n">
        <v>0</v>
      </c>
      <c r="AE2652" t="n">
        <v>110160</v>
      </c>
      <c r="AF2652" t="n">
        <v>10384</v>
      </c>
      <c r="AG2652" t="n">
        <v>170</v>
      </c>
      <c r="AH2652" t="inlineStr">
        <is>
          <t>PT. JALUR MANDIRI UTAMA - PPN (PDG)</t>
        </is>
      </c>
      <c r="AI2652" t="n">
        <v>1492</v>
      </c>
      <c r="AJ2652" t="inlineStr">
        <is>
          <t>LAVOJOY</t>
        </is>
      </c>
      <c r="AK2652" t="n">
        <v>21</v>
      </c>
      <c r="AL2652" t="inlineStr">
        <is>
          <t>Miss Glam Damar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LAVOJOY</t>
        </is>
      </c>
      <c r="B2653" s="2">
        <f>"30100165658"</f>
        <v/>
      </c>
      <c r="C2653" t="inlineStr">
        <is>
          <t>LAVOJOY Keep It Chill Body Wash Cooling &amp; Soothing 300ml</t>
        </is>
      </c>
      <c r="D2653" t="inlineStr">
        <is>
          <t>Miss Glam Damar</t>
        </is>
      </c>
      <c r="E2653" t="n">
        <v>122</v>
      </c>
      <c r="F2653" t="n">
        <v>0.182</v>
      </c>
      <c r="G2653" t="n">
        <v>1.82</v>
      </c>
      <c r="H2653" t="n">
        <v>2</v>
      </c>
      <c r="I2653" t="n">
        <v>9</v>
      </c>
      <c r="J2653" t="n">
        <v>3</v>
      </c>
      <c r="K2653" t="n">
        <v>0</v>
      </c>
      <c r="L2653" t="n">
        <v>40720</v>
      </c>
      <c r="M2653" t="n">
        <v>50900</v>
      </c>
      <c r="N2653" t="n">
        <v>91</v>
      </c>
      <c r="O2653" t="n">
        <v>0.91</v>
      </c>
      <c r="P2653" t="n">
        <v>1</v>
      </c>
      <c r="Q2653" t="n">
        <v>0.14</v>
      </c>
      <c r="R2653" t="n">
        <v>2</v>
      </c>
      <c r="S2653" t="n">
        <v>9263.800000000001</v>
      </c>
      <c r="T2653" t="n">
        <v>17</v>
      </c>
      <c r="U2653" t="n">
        <v>18</v>
      </c>
      <c r="V2653" t="n">
        <v>30</v>
      </c>
      <c r="W2653" t="n">
        <v>6</v>
      </c>
      <c r="X2653" t="n">
        <v>670.3296703296702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10384</v>
      </c>
      <c r="AG2653" t="n">
        <v>170</v>
      </c>
      <c r="AH2653" t="inlineStr">
        <is>
          <t>PT. JALUR MANDIRI UTAMA - PPN (PDG)</t>
        </is>
      </c>
      <c r="AI2653" t="n">
        <v>1492</v>
      </c>
      <c r="AJ2653" t="inlineStr">
        <is>
          <t>LAVOJOY</t>
        </is>
      </c>
      <c r="AK2653" t="n">
        <v>21</v>
      </c>
      <c r="AL2653" t="inlineStr">
        <is>
          <t>Miss Glam Damar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LAVOJOY</t>
        </is>
      </c>
      <c r="B2654" s="2">
        <f>"8991748011255"</f>
        <v/>
      </c>
      <c r="C2654" t="inlineStr">
        <is>
          <t>LAVOJOY Let It Glow Body Serum 180ml</t>
        </is>
      </c>
      <c r="D2654" t="inlineStr">
        <is>
          <t>Miss Glam Damar</t>
        </is>
      </c>
      <c r="E2654" t="n">
        <v>25</v>
      </c>
      <c r="F2654" t="n">
        <v>2.8847</v>
      </c>
      <c r="G2654" t="n">
        <v>9.1</v>
      </c>
      <c r="H2654" t="n">
        <v>2</v>
      </c>
      <c r="I2654" t="n">
        <v>9</v>
      </c>
      <c r="J2654" t="n">
        <v>3</v>
      </c>
      <c r="K2654" t="n">
        <v>0</v>
      </c>
      <c r="L2654" t="n">
        <v>36720</v>
      </c>
      <c r="M2654" t="n">
        <v>45900</v>
      </c>
      <c r="N2654" t="n">
        <v>91</v>
      </c>
      <c r="O2654" t="n">
        <v>0.91</v>
      </c>
      <c r="P2654" t="n">
        <v>1</v>
      </c>
      <c r="Q2654" t="n">
        <v>1.68</v>
      </c>
      <c r="R2654" t="n">
        <v>9</v>
      </c>
      <c r="S2654" t="n">
        <v>132407.73</v>
      </c>
      <c r="T2654" t="n">
        <v>77</v>
      </c>
      <c r="U2654" t="n">
        <v>83</v>
      </c>
      <c r="V2654" t="n">
        <v>30</v>
      </c>
      <c r="W2654" t="n">
        <v>87</v>
      </c>
      <c r="X2654" t="n">
        <v>8.666412451901412</v>
      </c>
      <c r="Y2654" t="n">
        <v>1</v>
      </c>
      <c r="Z2654" t="n">
        <v>62</v>
      </c>
      <c r="AA2654" t="n">
        <v>1</v>
      </c>
      <c r="AB2654" t="n">
        <v>61</v>
      </c>
      <c r="AC2654" t="n">
        <v>61</v>
      </c>
      <c r="AD2654" t="n">
        <v>36720</v>
      </c>
      <c r="AE2654" t="n">
        <v>2239920</v>
      </c>
      <c r="AF2654" t="n">
        <v>10384</v>
      </c>
      <c r="AG2654" t="n">
        <v>170</v>
      </c>
      <c r="AH2654" t="inlineStr">
        <is>
          <t>PT. JALUR MANDIRI UTAMA - PPN (PDG)</t>
        </is>
      </c>
      <c r="AI2654" t="n">
        <v>1492</v>
      </c>
      <c r="AJ2654" t="inlineStr">
        <is>
          <t>LAVOJOY</t>
        </is>
      </c>
      <c r="AK2654" t="n">
        <v>21</v>
      </c>
      <c r="AL2654" t="inlineStr">
        <is>
          <t>Miss Glam Damar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LAVOJOY</t>
        </is>
      </c>
      <c r="B2655" s="2">
        <f>"8991748014072"</f>
        <v/>
      </c>
      <c r="C2655" t="inlineStr">
        <is>
          <t>LAVOJOY Let It Glow Body Serum Black Opium 180ml</t>
        </is>
      </c>
      <c r="D2655" t="inlineStr">
        <is>
          <t>Miss Glam Damar</t>
        </is>
      </c>
      <c r="E2655" t="n">
        <v>78</v>
      </c>
      <c r="F2655" t="n">
        <v>1.9474</v>
      </c>
      <c r="G2655" t="n">
        <v>10.92</v>
      </c>
      <c r="H2655" t="n">
        <v>2</v>
      </c>
      <c r="I2655" t="n">
        <v>9</v>
      </c>
      <c r="J2655" t="n">
        <v>3</v>
      </c>
      <c r="K2655" t="n">
        <v>0</v>
      </c>
      <c r="L2655" t="n">
        <v>36720</v>
      </c>
      <c r="M2655" t="n">
        <v>45900</v>
      </c>
      <c r="N2655" t="n">
        <v>91</v>
      </c>
      <c r="O2655" t="n">
        <v>0.91</v>
      </c>
      <c r="P2655" t="n">
        <v>1</v>
      </c>
      <c r="Q2655" t="n">
        <v>3.36</v>
      </c>
      <c r="R2655" t="n">
        <v>27</v>
      </c>
      <c r="S2655" t="n">
        <v>89385.66000000002</v>
      </c>
      <c r="T2655" t="n">
        <v>95</v>
      </c>
      <c r="U2655" t="n">
        <v>99</v>
      </c>
      <c r="V2655" t="n">
        <v>30</v>
      </c>
      <c r="W2655" t="n">
        <v>59</v>
      </c>
      <c r="X2655" t="n">
        <v>40.05340453938584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10384</v>
      </c>
      <c r="AG2655" t="n">
        <v>170</v>
      </c>
      <c r="AH2655" t="inlineStr">
        <is>
          <t>PT. JALUR MANDIRI UTAMA - PPN (PDG)</t>
        </is>
      </c>
      <c r="AI2655" t="n">
        <v>1492</v>
      </c>
      <c r="AJ2655" t="inlineStr">
        <is>
          <t>LAVOJOY</t>
        </is>
      </c>
      <c r="AK2655" t="n">
        <v>21</v>
      </c>
      <c r="AL2655" t="inlineStr">
        <is>
          <t>Miss Glam Damar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LAVOJOY</t>
        </is>
      </c>
      <c r="B2656" s="2">
        <f>"8991748014089"</f>
        <v/>
      </c>
      <c r="C2656" t="inlineStr">
        <is>
          <t>LAVOJOY Let It Glow Body Serum Summertrain 180ml</t>
        </is>
      </c>
      <c r="D2656" t="inlineStr">
        <is>
          <t>Miss Glam Damar</t>
        </is>
      </c>
      <c r="E2656" t="n">
        <v>64</v>
      </c>
      <c r="F2656" t="n">
        <v>1.3559</v>
      </c>
      <c r="G2656" t="n">
        <v>7.28</v>
      </c>
      <c r="H2656" t="n">
        <v>2</v>
      </c>
      <c r="I2656" t="n">
        <v>9</v>
      </c>
      <c r="J2656" t="n">
        <v>3</v>
      </c>
      <c r="K2656" t="n">
        <v>0</v>
      </c>
      <c r="L2656" t="n">
        <v>36720</v>
      </c>
      <c r="M2656" t="n">
        <v>45900</v>
      </c>
      <c r="N2656" t="n">
        <v>91</v>
      </c>
      <c r="O2656" t="n">
        <v>0.91</v>
      </c>
      <c r="P2656" t="n">
        <v>1</v>
      </c>
      <c r="Q2656" t="n">
        <v>1.37</v>
      </c>
      <c r="R2656" t="n">
        <v>5</v>
      </c>
      <c r="S2656" t="n">
        <v>62235.81</v>
      </c>
      <c r="T2656" t="n">
        <v>63</v>
      </c>
      <c r="U2656" t="n">
        <v>66</v>
      </c>
      <c r="V2656" t="n">
        <v>30</v>
      </c>
      <c r="W2656" t="n">
        <v>41</v>
      </c>
      <c r="X2656" t="n">
        <v>47.20112102662438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10384</v>
      </c>
      <c r="AG2656" t="n">
        <v>170</v>
      </c>
      <c r="AH2656" t="inlineStr">
        <is>
          <t>PT. JALUR MANDIRI UTAMA - PPN (PDG)</t>
        </is>
      </c>
      <c r="AI2656" t="n">
        <v>1492</v>
      </c>
      <c r="AJ2656" t="inlineStr">
        <is>
          <t>LAVOJOY</t>
        </is>
      </c>
      <c r="AK2656" t="n">
        <v>21</v>
      </c>
      <c r="AL2656" t="inlineStr">
        <is>
          <t>Miss Glam Damar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LAVOJOY</t>
        </is>
      </c>
      <c r="B2657" s="2">
        <f>"8991748011293"</f>
        <v/>
      </c>
      <c r="C2657" t="inlineStr">
        <is>
          <t>LAVOJOY Let It Glow Body Wash 300ml</t>
        </is>
      </c>
      <c r="D2657" t="inlineStr">
        <is>
          <t>Miss Glam Damar</t>
        </is>
      </c>
      <c r="E2657" t="n">
        <v>64</v>
      </c>
      <c r="F2657" t="n">
        <v>0.3549</v>
      </c>
      <c r="G2657" t="n">
        <v>1.82</v>
      </c>
      <c r="H2657" t="n">
        <v>2</v>
      </c>
      <c r="I2657" t="n">
        <v>9</v>
      </c>
      <c r="J2657" t="n">
        <v>3</v>
      </c>
      <c r="K2657" t="n">
        <v>0</v>
      </c>
      <c r="L2657" t="n">
        <v>40720</v>
      </c>
      <c r="M2657" t="n">
        <v>50900</v>
      </c>
      <c r="N2657" t="n">
        <v>91</v>
      </c>
      <c r="O2657" t="n">
        <v>0.91</v>
      </c>
      <c r="P2657" t="n">
        <v>1</v>
      </c>
      <c r="Q2657" t="n">
        <v>0.75</v>
      </c>
      <c r="R2657" t="n">
        <v>4</v>
      </c>
      <c r="S2657" t="n">
        <v>18064.41</v>
      </c>
      <c r="T2657" t="n">
        <v>16</v>
      </c>
      <c r="U2657" t="n">
        <v>17</v>
      </c>
      <c r="V2657" t="n">
        <v>30</v>
      </c>
      <c r="W2657" t="n">
        <v>11</v>
      </c>
      <c r="X2657" t="n">
        <v>180.3324880247957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10384</v>
      </c>
      <c r="AG2657" t="n">
        <v>170</v>
      </c>
      <c r="AH2657" t="inlineStr">
        <is>
          <t>PT. JALUR MANDIRI UTAMA - PPN (PDG)</t>
        </is>
      </c>
      <c r="AI2657" t="n">
        <v>1492</v>
      </c>
      <c r="AJ2657" t="inlineStr">
        <is>
          <t>LAVOJOY</t>
        </is>
      </c>
      <c r="AK2657" t="n">
        <v>21</v>
      </c>
      <c r="AL2657" t="inlineStr">
        <is>
          <t>Miss Glam Damar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LAVOJOY</t>
        </is>
      </c>
      <c r="B2658" s="2">
        <f>"8991748011088"</f>
        <v/>
      </c>
      <c r="C2658" t="inlineStr">
        <is>
          <t>LAVOJOY Let It Glow Daily Shene Body Serum 180ml</t>
        </is>
      </c>
      <c r="D2658" t="inlineStr">
        <is>
          <t>Miss Glam Damar</t>
        </is>
      </c>
      <c r="E2658" t="n">
        <v>136</v>
      </c>
      <c r="F2658" t="n">
        <v>2.002</v>
      </c>
      <c r="G2658" t="n">
        <v>9.1</v>
      </c>
      <c r="H2658" t="n">
        <v>2</v>
      </c>
      <c r="I2658" t="n">
        <v>9</v>
      </c>
      <c r="J2658" t="n">
        <v>3</v>
      </c>
      <c r="K2658" t="n">
        <v>0</v>
      </c>
      <c r="L2658" t="n">
        <v>56720</v>
      </c>
      <c r="M2658" t="n">
        <v>70900</v>
      </c>
      <c r="N2658" t="n">
        <v>91</v>
      </c>
      <c r="O2658" t="n">
        <v>0.91</v>
      </c>
      <c r="P2658" t="n">
        <v>1</v>
      </c>
      <c r="Q2658" t="n">
        <v>2.37</v>
      </c>
      <c r="R2658" t="n">
        <v>6</v>
      </c>
      <c r="S2658" t="n">
        <v>141941.8</v>
      </c>
      <c r="T2658" t="n">
        <v>78</v>
      </c>
      <c r="U2658" t="n">
        <v>83</v>
      </c>
      <c r="V2658" t="n">
        <v>30</v>
      </c>
      <c r="W2658" t="n">
        <v>61</v>
      </c>
      <c r="X2658" t="n">
        <v>67.93206793206792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10384</v>
      </c>
      <c r="AG2658" t="n">
        <v>170</v>
      </c>
      <c r="AH2658" t="inlineStr">
        <is>
          <t>PT. JALUR MANDIRI UTAMA - PPN (PDG)</t>
        </is>
      </c>
      <c r="AI2658" t="n">
        <v>1492</v>
      </c>
      <c r="AJ2658" t="inlineStr">
        <is>
          <t>LAVOJOY</t>
        </is>
      </c>
      <c r="AK2658" t="n">
        <v>21</v>
      </c>
      <c r="AL2658" t="inlineStr">
        <is>
          <t>Miss Glam Damar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LAVOJOY</t>
        </is>
      </c>
      <c r="B2659" s="2">
        <f>"30200426146"</f>
        <v/>
      </c>
      <c r="C2659" t="inlineStr">
        <is>
          <t>LAVOJOY Let It Glow Daily Shine Body Serum Delicate Rose 01 Cream Beige 180ml</t>
        </is>
      </c>
      <c r="D2659" t="inlineStr">
        <is>
          <t>Miss Glam Damar</t>
        </is>
      </c>
      <c r="E2659" t="n">
        <v>70</v>
      </c>
      <c r="F2659" t="n">
        <v>6.9433</v>
      </c>
      <c r="G2659" t="n">
        <v>14.56</v>
      </c>
      <c r="H2659" t="n">
        <v>2</v>
      </c>
      <c r="I2659" t="n">
        <v>9</v>
      </c>
      <c r="J2659" t="n">
        <v>1</v>
      </c>
      <c r="K2659" t="n">
        <v>0</v>
      </c>
      <c r="L2659" t="n">
        <v>56720</v>
      </c>
      <c r="M2659" t="n">
        <v>70900</v>
      </c>
      <c r="N2659" t="n">
        <v>91</v>
      </c>
      <c r="O2659" t="n">
        <v>0.91</v>
      </c>
      <c r="P2659" t="n">
        <v>1</v>
      </c>
      <c r="Q2659" t="n">
        <v>5.88</v>
      </c>
      <c r="R2659" t="n">
        <v>13</v>
      </c>
      <c r="S2659" t="n">
        <v>492279.97</v>
      </c>
      <c r="T2659" t="n">
        <v>118</v>
      </c>
      <c r="U2659" t="n">
        <v>132</v>
      </c>
      <c r="V2659" t="n">
        <v>30</v>
      </c>
      <c r="W2659" t="n">
        <v>209</v>
      </c>
      <c r="X2659" t="n">
        <v>10.08166145780825</v>
      </c>
      <c r="Y2659" t="n">
        <v>1</v>
      </c>
      <c r="Z2659" t="n">
        <v>139</v>
      </c>
      <c r="AA2659" t="n">
        <v>0</v>
      </c>
      <c r="AB2659" t="n">
        <v>139</v>
      </c>
      <c r="AC2659" t="n">
        <v>139</v>
      </c>
      <c r="AD2659" t="n">
        <v>0</v>
      </c>
      <c r="AE2659" t="n">
        <v>7884080</v>
      </c>
      <c r="AF2659" t="n">
        <v>10384</v>
      </c>
      <c r="AG2659" t="n">
        <v>170</v>
      </c>
      <c r="AH2659" t="inlineStr">
        <is>
          <t>PT. JALUR MANDIRI UTAMA - PPN (PDG)</t>
        </is>
      </c>
      <c r="AI2659" t="n">
        <v>1492</v>
      </c>
      <c r="AJ2659" t="inlineStr">
        <is>
          <t>LAVOJOY</t>
        </is>
      </c>
      <c r="AK2659" t="n">
        <v>21</v>
      </c>
      <c r="AL2659" t="inlineStr">
        <is>
          <t>Miss Glam Damar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LAVOJOY</t>
        </is>
      </c>
      <c r="B2660" s="2">
        <f>"30200426217"</f>
        <v/>
      </c>
      <c r="C2660" t="inlineStr">
        <is>
          <t>LAVOJOY Let It Glow Daily Shine Body Serum Delicate Rose 02 Warm Sand 180ml</t>
        </is>
      </c>
      <c r="D2660" t="inlineStr">
        <is>
          <t>Miss Glam Damar</t>
        </is>
      </c>
      <c r="E2660" t="n">
        <v>65</v>
      </c>
      <c r="F2660" t="n">
        <v>7.0161</v>
      </c>
      <c r="G2660" t="n">
        <v>13.65</v>
      </c>
      <c r="H2660" t="n">
        <v>2</v>
      </c>
      <c r="I2660" t="n">
        <v>9</v>
      </c>
      <c r="J2660" t="n">
        <v>1</v>
      </c>
      <c r="K2660" t="n">
        <v>0</v>
      </c>
      <c r="L2660" t="n">
        <v>56720</v>
      </c>
      <c r="M2660" t="n">
        <v>70900</v>
      </c>
      <c r="N2660" t="n">
        <v>91</v>
      </c>
      <c r="O2660" t="n">
        <v>0.91</v>
      </c>
      <c r="P2660" t="n">
        <v>1</v>
      </c>
      <c r="Q2660" t="n">
        <v>5.58</v>
      </c>
      <c r="R2660" t="n">
        <v>15</v>
      </c>
      <c r="S2660" t="n">
        <v>497441.49</v>
      </c>
      <c r="T2660" t="n">
        <v>109</v>
      </c>
      <c r="U2660" t="n">
        <v>124</v>
      </c>
      <c r="V2660" t="n">
        <v>30</v>
      </c>
      <c r="W2660" t="n">
        <v>211</v>
      </c>
      <c r="X2660" t="n">
        <v>9.264406151565685</v>
      </c>
      <c r="Y2660" t="n">
        <v>1</v>
      </c>
      <c r="Z2660" t="n">
        <v>146</v>
      </c>
      <c r="AA2660" t="n">
        <v>0</v>
      </c>
      <c r="AB2660" t="n">
        <v>146</v>
      </c>
      <c r="AC2660" t="n">
        <v>146</v>
      </c>
      <c r="AD2660" t="n">
        <v>0</v>
      </c>
      <c r="AE2660" t="n">
        <v>8281120</v>
      </c>
      <c r="AF2660" t="n">
        <v>10384</v>
      </c>
      <c r="AG2660" t="n">
        <v>170</v>
      </c>
      <c r="AH2660" t="inlineStr">
        <is>
          <t>PT. JALUR MANDIRI UTAMA - PPN (PDG)</t>
        </is>
      </c>
      <c r="AI2660" t="n">
        <v>1492</v>
      </c>
      <c r="AJ2660" t="inlineStr">
        <is>
          <t>LAVOJOY</t>
        </is>
      </c>
      <c r="AK2660" t="n">
        <v>21</v>
      </c>
      <c r="AL2660" t="inlineStr">
        <is>
          <t>Miss Glam Damar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LAVOJOY</t>
        </is>
      </c>
      <c r="B2661" s="2">
        <f>"30600112257"</f>
        <v/>
      </c>
      <c r="C2661" t="inlineStr">
        <is>
          <t>LAVOJOY Let It Glow Hand Cream 30ml</t>
        </is>
      </c>
      <c r="D2661" t="inlineStr">
        <is>
          <t>Miss Glam Damar</t>
        </is>
      </c>
      <c r="E2661" t="n">
        <v>48</v>
      </c>
      <c r="F2661" t="n">
        <v>0.2184</v>
      </c>
      <c r="G2661" t="n">
        <v>1.82</v>
      </c>
      <c r="H2661" t="n">
        <v>2</v>
      </c>
      <c r="I2661" t="n">
        <v>9</v>
      </c>
      <c r="J2661" t="n">
        <v>3</v>
      </c>
      <c r="K2661" t="n">
        <v>0</v>
      </c>
      <c r="L2661" t="n">
        <v>29520</v>
      </c>
      <c r="M2661" t="n">
        <v>36900</v>
      </c>
      <c r="N2661" t="n">
        <v>91</v>
      </c>
      <c r="O2661" t="n">
        <v>0.91</v>
      </c>
      <c r="P2661" t="n">
        <v>1</v>
      </c>
      <c r="Q2661" t="n">
        <v>0.42</v>
      </c>
      <c r="R2661" t="n">
        <v>2</v>
      </c>
      <c r="S2661" t="n">
        <v>8058.96</v>
      </c>
      <c r="T2661" t="n">
        <v>16</v>
      </c>
      <c r="U2661" t="n">
        <v>17</v>
      </c>
      <c r="V2661" t="n">
        <v>30</v>
      </c>
      <c r="W2661" t="n">
        <v>7</v>
      </c>
      <c r="X2661" t="n">
        <v>219.7802197802198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10384</v>
      </c>
      <c r="AG2661" t="n">
        <v>170</v>
      </c>
      <c r="AH2661" t="inlineStr">
        <is>
          <t>PT. JALUR MANDIRI UTAMA - PPN (PDG)</t>
        </is>
      </c>
      <c r="AI2661" t="n">
        <v>1492</v>
      </c>
      <c r="AJ2661" t="inlineStr">
        <is>
          <t>LAVOJOY</t>
        </is>
      </c>
      <c r="AK2661" t="n">
        <v>21</v>
      </c>
      <c r="AL2661" t="inlineStr">
        <is>
          <t>Miss Glam Damar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LAVOJOY</t>
        </is>
      </c>
      <c r="B2662" s="2">
        <f>"8991748012054"</f>
        <v/>
      </c>
      <c r="C2662" t="inlineStr">
        <is>
          <t>LAVOJOY Out Of My Head Conditioner 300ml</t>
        </is>
      </c>
      <c r="D2662" t="inlineStr">
        <is>
          <t>Miss Glam Damar</t>
        </is>
      </c>
      <c r="E2662" t="n">
        <v>23</v>
      </c>
      <c r="F2662" t="n">
        <v>0.1547</v>
      </c>
      <c r="G2662" t="n">
        <v>1.82</v>
      </c>
      <c r="H2662" t="n">
        <v>2</v>
      </c>
      <c r="I2662" t="n">
        <v>9</v>
      </c>
      <c r="J2662" t="n">
        <v>3</v>
      </c>
      <c r="K2662" t="n">
        <v>0</v>
      </c>
      <c r="L2662" t="n">
        <v>57520</v>
      </c>
      <c r="M2662" t="n">
        <v>71900</v>
      </c>
      <c r="N2662" t="n">
        <v>91</v>
      </c>
      <c r="O2662" t="n">
        <v>0.91</v>
      </c>
      <c r="P2662" t="n">
        <v>1</v>
      </c>
      <c r="Q2662" t="n">
        <v>0.19</v>
      </c>
      <c r="R2662" t="n">
        <v>2</v>
      </c>
      <c r="S2662" t="n">
        <v>11122.93</v>
      </c>
      <c r="T2662" t="n">
        <v>17</v>
      </c>
      <c r="U2662" t="n">
        <v>18</v>
      </c>
      <c r="V2662" t="n">
        <v>30</v>
      </c>
      <c r="W2662" t="n">
        <v>5</v>
      </c>
      <c r="X2662" t="n">
        <v>148.6748545572075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10384</v>
      </c>
      <c r="AG2662" t="n">
        <v>170</v>
      </c>
      <c r="AH2662" t="inlineStr">
        <is>
          <t>PT. JALUR MANDIRI UTAMA - PPN (PDG)</t>
        </is>
      </c>
      <c r="AI2662" t="n">
        <v>1492</v>
      </c>
      <c r="AJ2662" t="inlineStr">
        <is>
          <t>LAVOJOY</t>
        </is>
      </c>
      <c r="AK2662" t="n">
        <v>21</v>
      </c>
      <c r="AL2662" t="inlineStr">
        <is>
          <t>Miss Glam Damar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LAVOJOY</t>
        </is>
      </c>
      <c r="B2663" s="2">
        <f>"8991748012047"</f>
        <v/>
      </c>
      <c r="C2663" t="inlineStr">
        <is>
          <t>LAVOJOY Out Of My Head Shampoo 300ml</t>
        </is>
      </c>
      <c r="D2663" t="inlineStr">
        <is>
          <t>Miss Glam Damar</t>
        </is>
      </c>
      <c r="E2663" t="n">
        <v>8</v>
      </c>
      <c r="F2663" t="n">
        <v>0.1729</v>
      </c>
      <c r="G2663" t="n">
        <v>1.82</v>
      </c>
      <c r="H2663" t="n">
        <v>2</v>
      </c>
      <c r="I2663" t="n">
        <v>9</v>
      </c>
      <c r="J2663" t="n">
        <v>3</v>
      </c>
      <c r="K2663" t="n">
        <v>0</v>
      </c>
      <c r="L2663" t="n">
        <v>57520</v>
      </c>
      <c r="M2663" t="n">
        <v>71900</v>
      </c>
      <c r="N2663" t="n">
        <v>91</v>
      </c>
      <c r="O2663" t="n">
        <v>0.91</v>
      </c>
      <c r="P2663" t="n">
        <v>1</v>
      </c>
      <c r="Q2663" t="n">
        <v>0.41</v>
      </c>
      <c r="R2663" t="n">
        <v>3</v>
      </c>
      <c r="S2663" t="n">
        <v>12431.51</v>
      </c>
      <c r="T2663" t="n">
        <v>17</v>
      </c>
      <c r="U2663" t="n">
        <v>18</v>
      </c>
      <c r="V2663" t="n">
        <v>30</v>
      </c>
      <c r="W2663" t="n">
        <v>6</v>
      </c>
      <c r="X2663" t="n">
        <v>46.26951995373048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10384</v>
      </c>
      <c r="AG2663" t="n">
        <v>170</v>
      </c>
      <c r="AH2663" t="inlineStr">
        <is>
          <t>PT. JALUR MANDIRI UTAMA - PPN (PDG)</t>
        </is>
      </c>
      <c r="AI2663" t="n">
        <v>1492</v>
      </c>
      <c r="AJ2663" t="inlineStr">
        <is>
          <t>LAVOJOY</t>
        </is>
      </c>
      <c r="AK2663" t="n">
        <v>21</v>
      </c>
      <c r="AL2663" t="inlineStr">
        <is>
          <t>Miss Glam Damar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LAVOJOY</t>
        </is>
      </c>
      <c r="B2664" s="2">
        <f>"8991748012078"</f>
        <v/>
      </c>
      <c r="C2664" t="inlineStr">
        <is>
          <t>LAVOJOY So So So Smooth Conditioner 300ml</t>
        </is>
      </c>
      <c r="D2664" t="inlineStr">
        <is>
          <t>Miss Glam Damar</t>
        </is>
      </c>
      <c r="E2664" t="n">
        <v>16</v>
      </c>
      <c r="F2664" t="n">
        <v>0.182</v>
      </c>
      <c r="G2664" t="n">
        <v>2.73</v>
      </c>
      <c r="H2664" t="n">
        <v>2</v>
      </c>
      <c r="I2664" t="n">
        <v>9</v>
      </c>
      <c r="J2664" t="n">
        <v>3</v>
      </c>
      <c r="K2664" t="n">
        <v>0</v>
      </c>
      <c r="L2664" t="n">
        <v>57520</v>
      </c>
      <c r="M2664" t="n">
        <v>71900</v>
      </c>
      <c r="N2664" t="n">
        <v>91</v>
      </c>
      <c r="O2664" t="n">
        <v>0.91</v>
      </c>
      <c r="P2664" t="n">
        <v>1</v>
      </c>
      <c r="Q2664" t="n">
        <v>0.39</v>
      </c>
      <c r="R2664" t="n">
        <v>3</v>
      </c>
      <c r="S2664" t="n">
        <v>13085.8</v>
      </c>
      <c r="T2664" t="n">
        <v>25</v>
      </c>
      <c r="U2664" t="n">
        <v>26</v>
      </c>
      <c r="V2664" t="n">
        <v>30</v>
      </c>
      <c r="W2664" t="n">
        <v>6</v>
      </c>
      <c r="X2664" t="n">
        <v>87.9120879120879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10384</v>
      </c>
      <c r="AG2664" t="n">
        <v>170</v>
      </c>
      <c r="AH2664" t="inlineStr">
        <is>
          <t>PT. JALUR MANDIRI UTAMA - PPN (PDG)</t>
        </is>
      </c>
      <c r="AI2664" t="n">
        <v>1492</v>
      </c>
      <c r="AJ2664" t="inlineStr">
        <is>
          <t>LAVOJOY</t>
        </is>
      </c>
      <c r="AK2664" t="n">
        <v>21</v>
      </c>
      <c r="AL2664" t="inlineStr">
        <is>
          <t>Miss Glam Damar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LAVOJOY</t>
        </is>
      </c>
      <c r="B2665" s="2">
        <f>"40200237060"</f>
        <v/>
      </c>
      <c r="C2665" t="inlineStr">
        <is>
          <t>LAVOJOY So So So Smooth Hair Mask 180gr</t>
        </is>
      </c>
      <c r="D2665" t="inlineStr">
        <is>
          <t>Miss Glam Damar</t>
        </is>
      </c>
      <c r="E2665" t="n">
        <v>14</v>
      </c>
      <c r="F2665" t="n">
        <v>0.09100000000000001</v>
      </c>
      <c r="G2665" t="n">
        <v>1.82</v>
      </c>
      <c r="H2665" t="n">
        <v>2</v>
      </c>
      <c r="I2665" t="n">
        <v>9</v>
      </c>
      <c r="J2665" t="n">
        <v>1</v>
      </c>
      <c r="K2665" t="n">
        <v>0</v>
      </c>
      <c r="L2665" t="n">
        <v>51920</v>
      </c>
      <c r="M2665" t="n">
        <v>64900</v>
      </c>
      <c r="N2665" t="n">
        <v>91</v>
      </c>
      <c r="O2665" t="n">
        <v>0.91</v>
      </c>
      <c r="P2665" t="n">
        <v>1</v>
      </c>
      <c r="Q2665" t="n">
        <v>0.2</v>
      </c>
      <c r="R2665" t="n">
        <v>2</v>
      </c>
      <c r="S2665" t="n">
        <v>5905.900000000001</v>
      </c>
      <c r="T2665" t="n">
        <v>17</v>
      </c>
      <c r="U2665" t="n">
        <v>18</v>
      </c>
      <c r="V2665" t="n">
        <v>30</v>
      </c>
      <c r="W2665" t="n">
        <v>3</v>
      </c>
      <c r="X2665" t="n">
        <v>153.8461538461538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10384</v>
      </c>
      <c r="AG2665" t="n">
        <v>170</v>
      </c>
      <c r="AH2665" t="inlineStr">
        <is>
          <t>PT. JALUR MANDIRI UTAMA - PPN (PDG)</t>
        </is>
      </c>
      <c r="AI2665" t="n">
        <v>1492</v>
      </c>
      <c r="AJ2665" t="inlineStr">
        <is>
          <t>LAVOJOY</t>
        </is>
      </c>
      <c r="AK2665" t="n">
        <v>21</v>
      </c>
      <c r="AL2665" t="inlineStr">
        <is>
          <t>Miss Glam Damar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LAVOJOY</t>
        </is>
      </c>
      <c r="B2666" s="2">
        <f>"8991748012061"</f>
        <v/>
      </c>
      <c r="C2666" t="inlineStr">
        <is>
          <t>LAVOJOY So So So Smooth Shampoo 300ml</t>
        </is>
      </c>
      <c r="D2666" t="inlineStr">
        <is>
          <t>Miss Glam Damar</t>
        </is>
      </c>
      <c r="E2666" t="n">
        <v>27</v>
      </c>
      <c r="F2666" t="n">
        <v>0.2184</v>
      </c>
      <c r="G2666" t="n">
        <v>2.73</v>
      </c>
      <c r="H2666" t="n">
        <v>2</v>
      </c>
      <c r="I2666" t="n">
        <v>9</v>
      </c>
      <c r="J2666" t="n">
        <v>3</v>
      </c>
      <c r="K2666" t="n">
        <v>0</v>
      </c>
      <c r="L2666" t="n">
        <v>57520</v>
      </c>
      <c r="M2666" t="n">
        <v>71900</v>
      </c>
      <c r="N2666" t="n">
        <v>91</v>
      </c>
      <c r="O2666" t="n">
        <v>0.91</v>
      </c>
      <c r="P2666" t="n">
        <v>1</v>
      </c>
      <c r="Q2666" t="n">
        <v>0.76</v>
      </c>
      <c r="R2666" t="n">
        <v>4</v>
      </c>
      <c r="S2666" t="n">
        <v>15702.96</v>
      </c>
      <c r="T2666" t="n">
        <v>25</v>
      </c>
      <c r="U2666" t="n">
        <v>26</v>
      </c>
      <c r="V2666" t="n">
        <v>30</v>
      </c>
      <c r="W2666" t="n">
        <v>7</v>
      </c>
      <c r="X2666" t="n">
        <v>123.6263736263736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10384</v>
      </c>
      <c r="AG2666" t="n">
        <v>170</v>
      </c>
      <c r="AH2666" t="inlineStr">
        <is>
          <t>PT. JALUR MANDIRI UTAMA - PPN (PDG)</t>
        </is>
      </c>
      <c r="AI2666" t="n">
        <v>1492</v>
      </c>
      <c r="AJ2666" t="inlineStr">
        <is>
          <t>LAVOJOY</t>
        </is>
      </c>
      <c r="AK2666" t="n">
        <v>21</v>
      </c>
      <c r="AL2666" t="inlineStr">
        <is>
          <t>Miss Glam Damar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LAVOJOY</t>
        </is>
      </c>
      <c r="B2667" s="2">
        <f>"40200306847"</f>
        <v/>
      </c>
      <c r="C2667" t="inlineStr">
        <is>
          <t>LAVOJOY So So So Smoth Hair Oil 80ml</t>
        </is>
      </c>
      <c r="D2667" t="inlineStr">
        <is>
          <t>Miss Glam Damar</t>
        </is>
      </c>
      <c r="E2667" t="n">
        <v>40</v>
      </c>
      <c r="F2667" t="n">
        <v>0.1365</v>
      </c>
      <c r="G2667" t="n">
        <v>0.91</v>
      </c>
      <c r="H2667" t="n">
        <v>2</v>
      </c>
      <c r="I2667" t="n">
        <v>9</v>
      </c>
      <c r="J2667" t="n">
        <v>1</v>
      </c>
      <c r="K2667" t="n">
        <v>0</v>
      </c>
      <c r="L2667" t="n">
        <v>71200</v>
      </c>
      <c r="M2667" t="n">
        <v>89000</v>
      </c>
      <c r="N2667" t="n">
        <v>91</v>
      </c>
      <c r="O2667" t="n">
        <v>0.91</v>
      </c>
      <c r="P2667" t="n">
        <v>1</v>
      </c>
      <c r="Q2667" t="n">
        <v>0.71</v>
      </c>
      <c r="R2667" t="n">
        <v>3</v>
      </c>
      <c r="S2667" t="n">
        <v>12148.5</v>
      </c>
      <c r="T2667" t="n">
        <v>8</v>
      </c>
      <c r="U2667" t="n">
        <v>9</v>
      </c>
      <c r="V2667" t="n">
        <v>30</v>
      </c>
      <c r="W2667" t="n">
        <v>5</v>
      </c>
      <c r="X2667" t="n">
        <v>293.040293040293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10384</v>
      </c>
      <c r="AG2667" t="n">
        <v>170</v>
      </c>
      <c r="AH2667" t="inlineStr">
        <is>
          <t>PT. JALUR MANDIRI UTAMA - PPN (PDG)</t>
        </is>
      </c>
      <c r="AI2667" t="n">
        <v>1492</v>
      </c>
      <c r="AJ2667" t="inlineStr">
        <is>
          <t>LAVOJOY</t>
        </is>
      </c>
      <c r="AK2667" t="n">
        <v>21</v>
      </c>
      <c r="AL2667" t="inlineStr">
        <is>
          <t>Miss Glam Damar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LAVOJOY</t>
        </is>
      </c>
      <c r="B2668" s="2">
        <f>"8991748005025"</f>
        <v/>
      </c>
      <c r="C2668" t="inlineStr">
        <is>
          <t>LAVOJOY Softness Creator Hand Butter Glorious Sunset 30ml</t>
        </is>
      </c>
      <c r="D2668" t="inlineStr">
        <is>
          <t>Miss Glam Damar</t>
        </is>
      </c>
      <c r="E2668" t="n">
        <v>3</v>
      </c>
      <c r="F2668" t="n">
        <v>0.03</v>
      </c>
      <c r="G2668" t="n">
        <v>1</v>
      </c>
      <c r="H2668" t="n">
        <v>2</v>
      </c>
      <c r="I2668" t="n">
        <v>9</v>
      </c>
      <c r="J2668" t="n">
        <v>3</v>
      </c>
      <c r="K2668" t="n">
        <v>0</v>
      </c>
      <c r="L2668" t="n">
        <v>28000</v>
      </c>
      <c r="M2668" t="n">
        <v>35000</v>
      </c>
      <c r="N2668" t="n">
        <v>91</v>
      </c>
      <c r="O2668" t="n">
        <v>0.91</v>
      </c>
      <c r="P2668" t="n">
        <v>0</v>
      </c>
      <c r="Q2668" t="n">
        <v>0.03</v>
      </c>
      <c r="R2668" t="n">
        <v>1</v>
      </c>
      <c r="S2668" t="n">
        <v>1050</v>
      </c>
      <c r="T2668" t="n">
        <v>9</v>
      </c>
      <c r="U2668" t="n">
        <v>10</v>
      </c>
      <c r="V2668" t="n">
        <v>30</v>
      </c>
      <c r="W2668" t="n">
        <v>1</v>
      </c>
      <c r="X2668" t="n">
        <v>100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10384</v>
      </c>
      <c r="AG2668" t="n">
        <v>170</v>
      </c>
      <c r="AH2668" t="inlineStr">
        <is>
          <t>PT. JALUR MANDIRI UTAMA - PPN (PDG)</t>
        </is>
      </c>
      <c r="AI2668" t="n">
        <v>1492</v>
      </c>
      <c r="AJ2668" t="inlineStr">
        <is>
          <t>LAVOJOY</t>
        </is>
      </c>
      <c r="AK2668" t="n">
        <v>21</v>
      </c>
      <c r="AL2668" t="inlineStr">
        <is>
          <t>Miss Glam Damar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LAVOJOY</t>
        </is>
      </c>
      <c r="B2669" s="2">
        <f>"8991748005032"</f>
        <v/>
      </c>
      <c r="C2669" t="inlineStr">
        <is>
          <t>LAVOJOY Softness Creator Hand Butter Mellow Morning 30ml</t>
        </is>
      </c>
      <c r="D2669" t="inlineStr">
        <is>
          <t>Miss Glam Damar</t>
        </is>
      </c>
      <c r="E2669" t="n">
        <v>-3</v>
      </c>
      <c r="F2669" t="n">
        <v>0.06</v>
      </c>
      <c r="G2669" t="n">
        <v>1</v>
      </c>
      <c r="H2669" t="n">
        <v>2</v>
      </c>
      <c r="I2669" t="n">
        <v>9</v>
      </c>
      <c r="J2669" t="n">
        <v>3</v>
      </c>
      <c r="K2669" t="n">
        <v>0</v>
      </c>
      <c r="L2669" t="n">
        <v>28000</v>
      </c>
      <c r="M2669" t="n">
        <v>35000</v>
      </c>
      <c r="N2669" t="n">
        <v>91</v>
      </c>
      <c r="O2669" t="n">
        <v>0.91</v>
      </c>
      <c r="P2669" t="n">
        <v>0</v>
      </c>
      <c r="Q2669" t="n">
        <v>0.06</v>
      </c>
      <c r="R2669" t="n">
        <v>1</v>
      </c>
      <c r="S2669" t="n">
        <v>2100</v>
      </c>
      <c r="T2669" t="n">
        <v>9</v>
      </c>
      <c r="U2669" t="n">
        <v>10</v>
      </c>
      <c r="V2669" t="n">
        <v>30</v>
      </c>
      <c r="W2669" t="n">
        <v>2</v>
      </c>
      <c r="X2669" t="n">
        <v>-50</v>
      </c>
      <c r="Y2669" t="n">
        <v>1</v>
      </c>
      <c r="Z2669" t="n">
        <v>5</v>
      </c>
      <c r="AA2669" t="n">
        <v>4</v>
      </c>
      <c r="AB2669" t="n">
        <v>1</v>
      </c>
      <c r="AC2669" t="n">
        <v>3</v>
      </c>
      <c r="AD2669" t="n">
        <v>112000</v>
      </c>
      <c r="AE2669" t="n">
        <v>84000</v>
      </c>
      <c r="AF2669" t="n">
        <v>10384</v>
      </c>
      <c r="AG2669" t="n">
        <v>170</v>
      </c>
      <c r="AH2669" t="inlineStr">
        <is>
          <t>PT. JALUR MANDIRI UTAMA - PPN (PDG)</t>
        </is>
      </c>
      <c r="AI2669" t="n">
        <v>1492</v>
      </c>
      <c r="AJ2669" t="inlineStr">
        <is>
          <t>LAVOJOY</t>
        </is>
      </c>
      <c r="AK2669" t="n">
        <v>21</v>
      </c>
      <c r="AL2669" t="inlineStr">
        <is>
          <t>Miss Glam Damar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LAVOJOY</t>
        </is>
      </c>
      <c r="B2670" s="2">
        <f>"8991748011699"</f>
        <v/>
      </c>
      <c r="C2670" t="inlineStr">
        <is>
          <t>LAVOJOY Solve It Now Body Serum Improve Rough Skin 180ml</t>
        </is>
      </c>
      <c r="D2670" t="inlineStr">
        <is>
          <t>Miss Glam Damar</t>
        </is>
      </c>
      <c r="E2670" t="n">
        <v>83</v>
      </c>
      <c r="F2670" t="n">
        <v>0.2912</v>
      </c>
      <c r="G2670" t="n">
        <v>3.64</v>
      </c>
      <c r="H2670" t="n">
        <v>2</v>
      </c>
      <c r="I2670" t="n">
        <v>9</v>
      </c>
      <c r="J2670" t="n">
        <v>3</v>
      </c>
      <c r="K2670" t="n">
        <v>0</v>
      </c>
      <c r="L2670" t="n">
        <v>36720</v>
      </c>
      <c r="M2670" t="n">
        <v>45900</v>
      </c>
      <c r="N2670" t="n">
        <v>91</v>
      </c>
      <c r="O2670" t="n">
        <v>0.91</v>
      </c>
      <c r="P2670" t="n">
        <v>1</v>
      </c>
      <c r="Q2670" t="n">
        <v>0.51</v>
      </c>
      <c r="R2670" t="n">
        <v>3</v>
      </c>
      <c r="S2670" t="n">
        <v>13366.08</v>
      </c>
      <c r="T2670" t="n">
        <v>33</v>
      </c>
      <c r="U2670" t="n">
        <v>34</v>
      </c>
      <c r="V2670" t="n">
        <v>30</v>
      </c>
      <c r="W2670" t="n">
        <v>9</v>
      </c>
      <c r="X2670" t="n">
        <v>285.0274725274725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10384</v>
      </c>
      <c r="AG2670" t="n">
        <v>170</v>
      </c>
      <c r="AH2670" t="inlineStr">
        <is>
          <t>PT. JALUR MANDIRI UTAMA - PPN (PDG)</t>
        </is>
      </c>
      <c r="AI2670" t="n">
        <v>1492</v>
      </c>
      <c r="AJ2670" t="inlineStr">
        <is>
          <t>LAVOJOY</t>
        </is>
      </c>
      <c r="AK2670" t="n">
        <v>21</v>
      </c>
      <c r="AL2670" t="inlineStr">
        <is>
          <t>Miss Glam Damar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LAVOJOY</t>
        </is>
      </c>
      <c r="B2671" s="2">
        <f>"8991748011811"</f>
        <v/>
      </c>
      <c r="C2671" t="inlineStr">
        <is>
          <t>LAVOJOY Solve It Now Body Wash 300ml</t>
        </is>
      </c>
      <c r="D2671" t="inlineStr">
        <is>
          <t>Miss Glam Damar</t>
        </is>
      </c>
      <c r="E2671" t="n">
        <v>99</v>
      </c>
      <c r="F2671" t="n">
        <v>0.2457</v>
      </c>
      <c r="G2671" t="n">
        <v>1.82</v>
      </c>
      <c r="H2671" t="n">
        <v>2</v>
      </c>
      <c r="I2671" t="n">
        <v>9</v>
      </c>
      <c r="J2671" t="n">
        <v>3</v>
      </c>
      <c r="K2671" t="n">
        <v>0</v>
      </c>
      <c r="L2671" t="n">
        <v>40720</v>
      </c>
      <c r="M2671" t="n">
        <v>50900</v>
      </c>
      <c r="N2671" t="n">
        <v>91</v>
      </c>
      <c r="O2671" t="n">
        <v>0.91</v>
      </c>
      <c r="P2671" t="n">
        <v>1</v>
      </c>
      <c r="Q2671" t="n">
        <v>0.14</v>
      </c>
      <c r="R2671" t="n">
        <v>2</v>
      </c>
      <c r="S2671" t="n">
        <v>12506.13</v>
      </c>
      <c r="T2671" t="n">
        <v>16</v>
      </c>
      <c r="U2671" t="n">
        <v>17</v>
      </c>
      <c r="V2671" t="n">
        <v>30</v>
      </c>
      <c r="W2671" t="n">
        <v>8</v>
      </c>
      <c r="X2671" t="n">
        <v>402.9304029304029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10384</v>
      </c>
      <c r="AG2671" t="n">
        <v>170</v>
      </c>
      <c r="AH2671" t="inlineStr">
        <is>
          <t>PT. JALUR MANDIRI UTAMA - PPN (PDG)</t>
        </is>
      </c>
      <c r="AI2671" t="n">
        <v>1492</v>
      </c>
      <c r="AJ2671" t="inlineStr">
        <is>
          <t>LAVOJOY</t>
        </is>
      </c>
      <c r="AK2671" t="n">
        <v>21</v>
      </c>
      <c r="AL2671" t="inlineStr">
        <is>
          <t>Miss Glam Damar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LAVOJOY</t>
        </is>
      </c>
      <c r="B2672" s="2">
        <f>"30600112431"</f>
        <v/>
      </c>
      <c r="C2672" t="inlineStr">
        <is>
          <t>LAVOJOY Solve It Now Hand Cream 30ml</t>
        </is>
      </c>
      <c r="D2672" t="inlineStr">
        <is>
          <t>Miss Glam Damar</t>
        </is>
      </c>
      <c r="E2672" t="n">
        <v>1</v>
      </c>
      <c r="F2672" t="n">
        <v>0.0273</v>
      </c>
      <c r="G2672" t="n">
        <v>0.91</v>
      </c>
      <c r="H2672" t="n">
        <v>2</v>
      </c>
      <c r="I2672" t="n">
        <v>9</v>
      </c>
      <c r="J2672" t="n">
        <v>3</v>
      </c>
      <c r="K2672" t="n">
        <v>0</v>
      </c>
      <c r="L2672" t="n">
        <v>29520</v>
      </c>
      <c r="M2672" t="n">
        <v>36900</v>
      </c>
      <c r="N2672" t="n">
        <v>91</v>
      </c>
      <c r="O2672" t="n">
        <v>0.91</v>
      </c>
      <c r="P2672" t="n">
        <v>1</v>
      </c>
      <c r="Q2672" t="n">
        <v>0.07000000000000001</v>
      </c>
      <c r="R2672" t="n">
        <v>2</v>
      </c>
      <c r="S2672" t="n">
        <v>1007.37</v>
      </c>
      <c r="T2672" t="n">
        <v>9</v>
      </c>
      <c r="U2672" t="n">
        <v>10</v>
      </c>
      <c r="V2672" t="n">
        <v>30</v>
      </c>
      <c r="W2672" t="n">
        <v>1</v>
      </c>
      <c r="X2672" t="n">
        <v>36.63003663003663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10384</v>
      </c>
      <c r="AG2672" t="n">
        <v>170</v>
      </c>
      <c r="AH2672" t="inlineStr">
        <is>
          <t>PT. JALUR MANDIRI UTAMA - PPN (PDG)</t>
        </is>
      </c>
      <c r="AI2672" t="n">
        <v>1492</v>
      </c>
      <c r="AJ2672" t="inlineStr">
        <is>
          <t>LAVOJOY</t>
        </is>
      </c>
      <c r="AK2672" t="n">
        <v>21</v>
      </c>
      <c r="AL2672" t="inlineStr">
        <is>
          <t>Miss Glam Damar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LEA GLORIA</t>
        </is>
      </c>
      <c r="B2673" s="2">
        <f>"10500143031"</f>
        <v/>
      </c>
      <c r="C2673" t="inlineStr">
        <is>
          <t>LEA GLORIA Chocolate Melted 20gr</t>
        </is>
      </c>
      <c r="D2673" t="inlineStr">
        <is>
          <t>Miss Glam Damar</t>
        </is>
      </c>
      <c r="E2673" t="n">
        <v>3</v>
      </c>
      <c r="F2673" t="n">
        <v>0.4823000000000001</v>
      </c>
      <c r="G2673" t="n">
        <v>2.73</v>
      </c>
      <c r="H2673" t="n">
        <v>4</v>
      </c>
      <c r="I2673" t="n">
        <v>21</v>
      </c>
      <c r="J2673" t="n">
        <v>3</v>
      </c>
      <c r="K2673" t="n">
        <v>0</v>
      </c>
      <c r="L2673" t="n">
        <v>4651</v>
      </c>
      <c r="M2673" t="n">
        <v>7500</v>
      </c>
      <c r="N2673" t="n">
        <v>91</v>
      </c>
      <c r="O2673" t="n">
        <v>0.91</v>
      </c>
      <c r="P2673" t="n">
        <v>1</v>
      </c>
      <c r="Q2673" t="n">
        <v>0.07000000000000001</v>
      </c>
      <c r="R2673" t="n">
        <v>1</v>
      </c>
      <c r="S2673" t="n">
        <v>3617.25</v>
      </c>
      <c r="T2673" t="n">
        <v>56</v>
      </c>
      <c r="U2673" t="n">
        <v>58</v>
      </c>
      <c r="V2673" t="n">
        <v>30</v>
      </c>
      <c r="W2673" t="n">
        <v>15</v>
      </c>
      <c r="X2673" t="n">
        <v>6.220194899440181</v>
      </c>
      <c r="Y2673" t="n">
        <v>1</v>
      </c>
      <c r="Z2673" t="n">
        <v>12</v>
      </c>
      <c r="AA2673" t="n">
        <v>8</v>
      </c>
      <c r="AB2673" t="n">
        <v>4</v>
      </c>
      <c r="AC2673" t="n">
        <v>4</v>
      </c>
      <c r="AD2673" t="n">
        <v>37208</v>
      </c>
      <c r="AE2673" t="n">
        <v>18604</v>
      </c>
      <c r="AF2673" t="n">
        <v>6489</v>
      </c>
      <c r="AG2673" t="n">
        <v>1</v>
      </c>
      <c r="AH2673" t="inlineStr">
        <is>
          <t>PT. BERSAMA DISTRIVERSA INDONESIA (DC CIPUTAT)</t>
        </is>
      </c>
      <c r="AI2673" t="n">
        <v>95</v>
      </c>
      <c r="AJ2673" t="inlineStr">
        <is>
          <t>LEA GLORIA</t>
        </is>
      </c>
      <c r="AK2673" t="n">
        <v>21</v>
      </c>
      <c r="AL2673" t="inlineStr">
        <is>
          <t>Miss Glam Damar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LEA GLORIA</t>
        </is>
      </c>
      <c r="B2674" s="2">
        <f>"10500150128"</f>
        <v/>
      </c>
      <c r="C2674" t="inlineStr">
        <is>
          <t>LEA GLORIA Creamy Coffee Mask 20gr</t>
        </is>
      </c>
      <c r="D2674" t="inlineStr">
        <is>
          <t>Miss Glam Damar</t>
        </is>
      </c>
      <c r="E2674" t="n">
        <v>14</v>
      </c>
      <c r="F2674" t="n">
        <v>0.2639</v>
      </c>
      <c r="G2674" t="n">
        <v>1.82</v>
      </c>
      <c r="H2674" t="n">
        <v>4</v>
      </c>
      <c r="I2674" t="n">
        <v>21</v>
      </c>
      <c r="J2674" t="n">
        <v>3</v>
      </c>
      <c r="K2674" t="n">
        <v>0</v>
      </c>
      <c r="L2674" t="n">
        <v>4776</v>
      </c>
      <c r="M2674" t="n">
        <v>7500</v>
      </c>
      <c r="N2674" t="n">
        <v>91</v>
      </c>
      <c r="O2674" t="n">
        <v>0.91</v>
      </c>
      <c r="P2674" t="n">
        <v>1</v>
      </c>
      <c r="Q2674" t="n">
        <v>0.22</v>
      </c>
      <c r="R2674" t="n">
        <v>3</v>
      </c>
      <c r="S2674" t="n">
        <v>1979.25</v>
      </c>
      <c r="T2674" t="n">
        <v>38</v>
      </c>
      <c r="U2674" t="n">
        <v>40</v>
      </c>
      <c r="V2674" t="n">
        <v>30</v>
      </c>
      <c r="W2674" t="n">
        <v>8</v>
      </c>
      <c r="X2674" t="n">
        <v>53.05039787798409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6489</v>
      </c>
      <c r="AG2674" t="n">
        <v>1</v>
      </c>
      <c r="AH2674" t="inlineStr">
        <is>
          <t>PT. BERSAMA DISTRIVERSA INDONESIA (DC CIPUTAT)</t>
        </is>
      </c>
      <c r="AI2674" t="n">
        <v>95</v>
      </c>
      <c r="AJ2674" t="inlineStr">
        <is>
          <t>LEA GLORIA</t>
        </is>
      </c>
      <c r="AK2674" t="n">
        <v>21</v>
      </c>
      <c r="AL2674" t="inlineStr">
        <is>
          <t>Miss Glam Damar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LEA GLORIA</t>
        </is>
      </c>
      <c r="B2675" s="2">
        <f>"10500547004"</f>
        <v/>
      </c>
      <c r="C2675" t="inlineStr">
        <is>
          <t>LEA GLORIA Golden Beauty Travel Size 10gr</t>
        </is>
      </c>
      <c r="D2675" t="inlineStr">
        <is>
          <t>Miss Glam Damar</t>
        </is>
      </c>
      <c r="E2675" t="n">
        <v>3</v>
      </c>
      <c r="F2675" t="n">
        <v>0.05</v>
      </c>
      <c r="G2675" t="n">
        <v>2</v>
      </c>
      <c r="H2675" t="n">
        <v>4</v>
      </c>
      <c r="I2675" t="n">
        <v>21</v>
      </c>
      <c r="J2675" t="n">
        <v>3</v>
      </c>
      <c r="K2675" t="n">
        <v>0</v>
      </c>
      <c r="L2675" t="n">
        <v>2766</v>
      </c>
      <c r="M2675" t="n">
        <v>3500</v>
      </c>
      <c r="N2675" t="n">
        <v>91</v>
      </c>
      <c r="O2675" t="n">
        <v>0.91</v>
      </c>
      <c r="P2675" t="n">
        <v>0</v>
      </c>
      <c r="Q2675" t="n">
        <v>0.05</v>
      </c>
      <c r="R2675" t="n">
        <v>2</v>
      </c>
      <c r="S2675" t="n">
        <v>175</v>
      </c>
      <c r="T2675" t="n">
        <v>42</v>
      </c>
      <c r="U2675" t="n">
        <v>43</v>
      </c>
      <c r="V2675" t="n">
        <v>30</v>
      </c>
      <c r="W2675" t="n">
        <v>2</v>
      </c>
      <c r="X2675" t="n">
        <v>60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6489</v>
      </c>
      <c r="AG2675" t="n">
        <v>1</v>
      </c>
      <c r="AH2675" t="inlineStr">
        <is>
          <t>PT. BERSAMA DISTRIVERSA INDONESIA (DC CIPUTAT)</t>
        </is>
      </c>
      <c r="AI2675" t="n">
        <v>95</v>
      </c>
      <c r="AJ2675" t="inlineStr">
        <is>
          <t>LEA GLORIA</t>
        </is>
      </c>
      <c r="AK2675" t="n">
        <v>21</v>
      </c>
      <c r="AL2675" t="inlineStr">
        <is>
          <t>Miss Glam Damar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LEA GLORIA</t>
        </is>
      </c>
      <c r="B2676" s="2">
        <f>"10500547127"</f>
        <v/>
      </c>
      <c r="C2676" t="inlineStr">
        <is>
          <t>LEA GLORIA Green Tea Clay Day By Day Face Mask 10gr</t>
        </is>
      </c>
      <c r="D2676" t="inlineStr">
        <is>
          <t>Miss Glam Damar</t>
        </is>
      </c>
      <c r="E2676" t="n">
        <v>8</v>
      </c>
      <c r="F2676" t="n">
        <v>0.19</v>
      </c>
      <c r="G2676" t="n">
        <v>3</v>
      </c>
      <c r="H2676" t="n">
        <v>4</v>
      </c>
      <c r="I2676" t="n">
        <v>21</v>
      </c>
      <c r="J2676" t="n">
        <v>3</v>
      </c>
      <c r="K2676" t="n">
        <v>0</v>
      </c>
      <c r="L2676" t="n">
        <v>2765</v>
      </c>
      <c r="M2676" t="n">
        <v>3500</v>
      </c>
      <c r="N2676" t="n">
        <v>91</v>
      </c>
      <c r="O2676" t="n">
        <v>0.91</v>
      </c>
      <c r="P2676" t="n">
        <v>0</v>
      </c>
      <c r="Q2676" t="n">
        <v>0.19</v>
      </c>
      <c r="R2676" t="n">
        <v>3</v>
      </c>
      <c r="S2676" t="n">
        <v>665</v>
      </c>
      <c r="T2676" t="n">
        <v>63</v>
      </c>
      <c r="U2676" t="n">
        <v>64</v>
      </c>
      <c r="V2676" t="n">
        <v>30</v>
      </c>
      <c r="W2676" t="n">
        <v>6</v>
      </c>
      <c r="X2676" t="n">
        <v>42.10526315789474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6489</v>
      </c>
      <c r="AG2676" t="n">
        <v>1</v>
      </c>
      <c r="AH2676" t="inlineStr">
        <is>
          <t>PT. BERSAMA DISTRIVERSA INDONESIA (DC CIPUTAT)</t>
        </is>
      </c>
      <c r="AI2676" t="n">
        <v>95</v>
      </c>
      <c r="AJ2676" t="inlineStr">
        <is>
          <t>LEA GLORIA</t>
        </is>
      </c>
      <c r="AK2676" t="n">
        <v>21</v>
      </c>
      <c r="AL2676" t="inlineStr">
        <is>
          <t>Miss Glam Damar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LEA GLORIA</t>
        </is>
      </c>
      <c r="B2677" s="2">
        <f>"10500546539"</f>
        <v/>
      </c>
      <c r="C2677" t="inlineStr">
        <is>
          <t>LEA GLORIA Vanilla Milk Day By Day Face Mask 10gr</t>
        </is>
      </c>
      <c r="D2677" t="inlineStr">
        <is>
          <t>Miss Glam Damar</t>
        </is>
      </c>
      <c r="E2677" t="n">
        <v>6</v>
      </c>
      <c r="F2677" t="n">
        <v>0.03</v>
      </c>
      <c r="G2677" t="n">
        <v>1</v>
      </c>
      <c r="H2677" t="n">
        <v>4</v>
      </c>
      <c r="I2677" t="n">
        <v>21</v>
      </c>
      <c r="J2677" t="n">
        <v>3</v>
      </c>
      <c r="K2677" t="n">
        <v>0</v>
      </c>
      <c r="L2677" t="n">
        <v>3051</v>
      </c>
      <c r="M2677" t="n">
        <v>4000</v>
      </c>
      <c r="N2677" t="n">
        <v>91</v>
      </c>
      <c r="O2677" t="n">
        <v>0.91</v>
      </c>
      <c r="P2677" t="n">
        <v>0</v>
      </c>
      <c r="Q2677" t="n">
        <v>0.03</v>
      </c>
      <c r="R2677" t="n">
        <v>1</v>
      </c>
      <c r="S2677" t="n">
        <v>120</v>
      </c>
      <c r="T2677" t="n">
        <v>21</v>
      </c>
      <c r="U2677" t="n">
        <v>22</v>
      </c>
      <c r="V2677" t="n">
        <v>30</v>
      </c>
      <c r="W2677" t="n">
        <v>1</v>
      </c>
      <c r="X2677" t="n">
        <v>200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6489</v>
      </c>
      <c r="AG2677" t="n">
        <v>1</v>
      </c>
      <c r="AH2677" t="inlineStr">
        <is>
          <t>PT. BERSAMA DISTRIVERSA INDONESIA (DC CIPUTAT)</t>
        </is>
      </c>
      <c r="AI2677" t="n">
        <v>95</v>
      </c>
      <c r="AJ2677" t="inlineStr">
        <is>
          <t>LEA GLORIA</t>
        </is>
      </c>
      <c r="AK2677" t="n">
        <v>21</v>
      </c>
      <c r="AL2677" t="inlineStr">
        <is>
          <t>Miss Glam Damar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LEA GLORIA</t>
        </is>
      </c>
      <c r="B2678" s="2">
        <f>"10500549531"</f>
        <v/>
      </c>
      <c r="C2678" t="inlineStr">
        <is>
          <t>LEA GLORIA Vanilla Milk Day By Day Face Mask 20gr</t>
        </is>
      </c>
      <c r="D2678" t="inlineStr">
        <is>
          <t>Miss Glam Damar</t>
        </is>
      </c>
      <c r="E2678" t="n">
        <v>11</v>
      </c>
      <c r="F2678" t="n">
        <v>0.4004</v>
      </c>
      <c r="G2678" t="n">
        <v>3.64</v>
      </c>
      <c r="H2678" t="n">
        <v>4</v>
      </c>
      <c r="I2678" t="n">
        <v>21</v>
      </c>
      <c r="J2678" t="n">
        <v>3</v>
      </c>
      <c r="K2678" t="n">
        <v>0</v>
      </c>
      <c r="L2678" t="n">
        <v>4651</v>
      </c>
      <c r="M2678" t="n">
        <v>7500</v>
      </c>
      <c r="N2678" t="n">
        <v>91</v>
      </c>
      <c r="O2678" t="n">
        <v>0.91</v>
      </c>
      <c r="P2678" t="n">
        <v>1</v>
      </c>
      <c r="Q2678" t="n">
        <v>0.15</v>
      </c>
      <c r="R2678" t="n">
        <v>2</v>
      </c>
      <c r="S2678" t="n">
        <v>3003</v>
      </c>
      <c r="T2678" t="n">
        <v>75</v>
      </c>
      <c r="U2678" t="n">
        <v>77</v>
      </c>
      <c r="V2678" t="n">
        <v>30</v>
      </c>
      <c r="W2678" t="n">
        <v>13</v>
      </c>
      <c r="X2678" t="n">
        <v>27.47252747252747</v>
      </c>
      <c r="Y2678" t="n">
        <v>1</v>
      </c>
      <c r="Z2678" t="n">
        <v>2</v>
      </c>
      <c r="AA2678" t="n">
        <v>0</v>
      </c>
      <c r="AB2678" t="n">
        <v>2</v>
      </c>
      <c r="AC2678" t="n">
        <v>3</v>
      </c>
      <c r="AD2678" t="n">
        <v>0</v>
      </c>
      <c r="AE2678" t="n">
        <v>13953</v>
      </c>
      <c r="AF2678" t="n">
        <v>6489</v>
      </c>
      <c r="AG2678" t="n">
        <v>1</v>
      </c>
      <c r="AH2678" t="inlineStr">
        <is>
          <t>PT. BERSAMA DISTRIVERSA INDONESIA (DC CIPUTAT)</t>
        </is>
      </c>
      <c r="AI2678" t="n">
        <v>95</v>
      </c>
      <c r="AJ2678" t="inlineStr">
        <is>
          <t>LEA GLORIA</t>
        </is>
      </c>
      <c r="AK2678" t="n">
        <v>21</v>
      </c>
      <c r="AL2678" t="inlineStr">
        <is>
          <t>Miss Glam Damar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LEA GLORIA</t>
        </is>
      </c>
      <c r="B2679" s="2">
        <f>"10500523211"</f>
        <v/>
      </c>
      <c r="C2679" t="inlineStr">
        <is>
          <t>LEAGLORIA Face Mask Creamy Coffe 10gr</t>
        </is>
      </c>
      <c r="D2679" t="inlineStr">
        <is>
          <t>Miss Glam Damar</t>
        </is>
      </c>
      <c r="E2679" t="n">
        <v>3</v>
      </c>
      <c r="F2679" t="n">
        <v>0.14</v>
      </c>
      <c r="G2679" t="n">
        <v>2</v>
      </c>
      <c r="H2679" t="n">
        <v>4</v>
      </c>
      <c r="I2679" t="n">
        <v>21</v>
      </c>
      <c r="J2679" t="n">
        <v>3</v>
      </c>
      <c r="K2679" t="n">
        <v>0</v>
      </c>
      <c r="L2679" t="n">
        <v>2691</v>
      </c>
      <c r="M2679" t="n">
        <v>5000</v>
      </c>
      <c r="N2679" t="n">
        <v>91</v>
      </c>
      <c r="O2679" t="n">
        <v>0.91</v>
      </c>
      <c r="P2679" t="n">
        <v>0</v>
      </c>
      <c r="Q2679" t="n">
        <v>0.14</v>
      </c>
      <c r="R2679" t="n">
        <v>2</v>
      </c>
      <c r="S2679" t="n">
        <v>700.0000000000001</v>
      </c>
      <c r="T2679" t="n">
        <v>42</v>
      </c>
      <c r="U2679" t="n">
        <v>43</v>
      </c>
      <c r="V2679" t="n">
        <v>30</v>
      </c>
      <c r="W2679" t="n">
        <v>5</v>
      </c>
      <c r="X2679" t="n">
        <v>21.42857142857143</v>
      </c>
      <c r="Y2679" t="n">
        <v>1</v>
      </c>
      <c r="Z2679" t="n">
        <v>2</v>
      </c>
      <c r="AA2679" t="n">
        <v>0</v>
      </c>
      <c r="AB2679" t="n">
        <v>2</v>
      </c>
      <c r="AC2679" t="n">
        <v>3</v>
      </c>
      <c r="AD2679" t="n">
        <v>0</v>
      </c>
      <c r="AE2679" t="n">
        <v>8073</v>
      </c>
      <c r="AF2679" t="n">
        <v>6489</v>
      </c>
      <c r="AG2679" t="n">
        <v>1</v>
      </c>
      <c r="AH2679" t="inlineStr">
        <is>
          <t>PT. BERSAMA DISTRIVERSA INDONESIA (DC CIPUTAT)</t>
        </is>
      </c>
      <c r="AI2679" t="n">
        <v>95</v>
      </c>
      <c r="AJ2679" t="inlineStr">
        <is>
          <t>LEA GLORIA</t>
        </is>
      </c>
      <c r="AK2679" t="n">
        <v>21</v>
      </c>
      <c r="AL2679" t="inlineStr">
        <is>
          <t>Miss Glam Damar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LEIVY</t>
        </is>
      </c>
      <c r="B2680" s="2">
        <f>"9555074300804"</f>
        <v/>
      </c>
      <c r="C2680" t="inlineStr">
        <is>
          <t>LEIVY Naturally Bouble Moisturising Hand &amp; Body Lotion Goats Milk &amp; Milk Protein 270ml</t>
        </is>
      </c>
      <c r="D2680" t="inlineStr">
        <is>
          <t>Miss Glam Damar</t>
        </is>
      </c>
      <c r="E2680" t="n">
        <v>7</v>
      </c>
      <c r="F2680" t="n">
        <v>0.3367</v>
      </c>
      <c r="G2680" t="n">
        <v>1.82</v>
      </c>
      <c r="H2680" t="n">
        <v>3</v>
      </c>
      <c r="I2680" t="n">
        <v>30</v>
      </c>
      <c r="J2680" t="n">
        <v>3</v>
      </c>
      <c r="K2680" t="n">
        <v>0</v>
      </c>
      <c r="L2680" t="n">
        <v>48750</v>
      </c>
      <c r="M2680" t="n">
        <v>57500</v>
      </c>
      <c r="N2680" t="n">
        <v>91</v>
      </c>
      <c r="O2680" t="n">
        <v>0.91</v>
      </c>
      <c r="P2680" t="n">
        <v>1</v>
      </c>
      <c r="Q2680" t="n">
        <v>0.32</v>
      </c>
      <c r="R2680" t="n">
        <v>2</v>
      </c>
      <c r="S2680" t="n">
        <v>19360.25</v>
      </c>
      <c r="T2680" t="n">
        <v>54</v>
      </c>
      <c r="U2680" t="n">
        <v>56</v>
      </c>
      <c r="V2680" t="n">
        <v>30</v>
      </c>
      <c r="W2680" t="n">
        <v>11</v>
      </c>
      <c r="X2680" t="n">
        <v>20.79002079002079</v>
      </c>
      <c r="Y2680" t="n">
        <v>1</v>
      </c>
      <c r="Z2680" t="n">
        <v>4</v>
      </c>
      <c r="AA2680" t="n">
        <v>4</v>
      </c>
      <c r="AB2680" t="n">
        <v>0</v>
      </c>
      <c r="AC2680" t="n">
        <v>0</v>
      </c>
      <c r="AD2680" t="n">
        <v>195000</v>
      </c>
      <c r="AE2680" t="n">
        <v>0</v>
      </c>
      <c r="AF2680" t="n">
        <v>13380</v>
      </c>
      <c r="AG2680" t="n">
        <v>64</v>
      </c>
      <c r="AH2680" t="inlineStr">
        <is>
          <t>PT. YUSUF KOSASIH - PPN  (PDG)</t>
        </is>
      </c>
      <c r="AI2680" t="n">
        <v>912</v>
      </c>
      <c r="AJ2680" t="inlineStr">
        <is>
          <t>LEIVY</t>
        </is>
      </c>
      <c r="AK2680" t="n">
        <v>21</v>
      </c>
      <c r="AL2680" t="inlineStr">
        <is>
          <t>Miss Glam Damar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LEIVY</t>
        </is>
      </c>
      <c r="B2681" s="2">
        <f>"9555074300866"</f>
        <v/>
      </c>
      <c r="C2681" t="inlineStr">
        <is>
          <t>LEIVY Naturally Double Moisturising Hand &amp; Body lotion 500ml</t>
        </is>
      </c>
      <c r="D2681" t="inlineStr">
        <is>
          <t>Miss Glam Damar</t>
        </is>
      </c>
      <c r="E2681" t="n">
        <v>1</v>
      </c>
      <c r="F2681" t="n">
        <v>0.04550000000000001</v>
      </c>
      <c r="G2681" t="n">
        <v>0.91</v>
      </c>
      <c r="H2681" t="n">
        <v>3</v>
      </c>
      <c r="I2681" t="n">
        <v>30</v>
      </c>
      <c r="J2681" t="n">
        <v>3</v>
      </c>
      <c r="K2681" t="n">
        <v>0</v>
      </c>
      <c r="L2681" t="n">
        <v>89301</v>
      </c>
      <c r="M2681" t="n">
        <v>105500</v>
      </c>
      <c r="N2681" t="n">
        <v>91</v>
      </c>
      <c r="O2681" t="n">
        <v>0.91</v>
      </c>
      <c r="P2681" t="n">
        <v>1</v>
      </c>
      <c r="Q2681" t="n">
        <v>0.07000000000000001</v>
      </c>
      <c r="R2681" t="n">
        <v>1</v>
      </c>
      <c r="S2681" t="n">
        <v>4800.250000000001</v>
      </c>
      <c r="T2681" t="n">
        <v>28</v>
      </c>
      <c r="U2681" t="n">
        <v>29</v>
      </c>
      <c r="V2681" t="n">
        <v>30</v>
      </c>
      <c r="W2681" t="n">
        <v>2</v>
      </c>
      <c r="X2681" t="n">
        <v>21.97802197802197</v>
      </c>
      <c r="Y2681" t="n">
        <v>1</v>
      </c>
      <c r="Z2681" t="n">
        <v>1</v>
      </c>
      <c r="AA2681" t="n">
        <v>1</v>
      </c>
      <c r="AB2681" t="n">
        <v>0</v>
      </c>
      <c r="AC2681" t="n">
        <v>0</v>
      </c>
      <c r="AD2681" t="n">
        <v>89301</v>
      </c>
      <c r="AE2681" t="n">
        <v>0</v>
      </c>
      <c r="AF2681" t="n">
        <v>13380</v>
      </c>
      <c r="AG2681" t="n">
        <v>64</v>
      </c>
      <c r="AH2681" t="inlineStr">
        <is>
          <t>PT. YUSUF KOSASIH - PPN  (PDG)</t>
        </is>
      </c>
      <c r="AI2681" t="n">
        <v>912</v>
      </c>
      <c r="AJ2681" t="inlineStr">
        <is>
          <t>LEIVY</t>
        </is>
      </c>
      <c r="AK2681" t="n">
        <v>21</v>
      </c>
      <c r="AL2681" t="inlineStr">
        <is>
          <t>Miss Glam Damar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LEIVY</t>
        </is>
      </c>
      <c r="B2682" s="2">
        <f>"9555074300927"</f>
        <v/>
      </c>
      <c r="C2682" t="inlineStr">
        <is>
          <t>LEIVY Naturally Double Moisturising Shower Cream 250ml</t>
        </is>
      </c>
      <c r="D2682" t="inlineStr">
        <is>
          <t>Miss Glam Damar</t>
        </is>
      </c>
      <c r="E2682" t="n">
        <v>11</v>
      </c>
      <c r="F2682" t="n">
        <v>0.6825</v>
      </c>
      <c r="G2682" t="n">
        <v>4.55</v>
      </c>
      <c r="H2682" t="n">
        <v>3</v>
      </c>
      <c r="I2682" t="n">
        <v>30</v>
      </c>
      <c r="J2682" t="n">
        <v>3</v>
      </c>
      <c r="K2682" t="n">
        <v>0</v>
      </c>
      <c r="L2682" t="n">
        <v>25450</v>
      </c>
      <c r="M2682" t="n">
        <v>30000</v>
      </c>
      <c r="N2682" t="n">
        <v>91</v>
      </c>
      <c r="O2682" t="n">
        <v>0.91</v>
      </c>
      <c r="P2682" t="n">
        <v>1</v>
      </c>
      <c r="Q2682" t="n">
        <v>0.37</v>
      </c>
      <c r="R2682" t="n">
        <v>2</v>
      </c>
      <c r="S2682" t="n">
        <v>20475</v>
      </c>
      <c r="T2682" t="n">
        <v>135</v>
      </c>
      <c r="U2682" t="n">
        <v>138</v>
      </c>
      <c r="V2682" t="n">
        <v>30</v>
      </c>
      <c r="W2682" t="n">
        <v>21</v>
      </c>
      <c r="X2682" t="n">
        <v>16.11721611721612</v>
      </c>
      <c r="Y2682" t="n">
        <v>1</v>
      </c>
      <c r="Z2682" t="n">
        <v>10</v>
      </c>
      <c r="AA2682" t="n">
        <v>10</v>
      </c>
      <c r="AB2682" t="n">
        <v>0</v>
      </c>
      <c r="AC2682" t="n">
        <v>0</v>
      </c>
      <c r="AD2682" t="n">
        <v>254500</v>
      </c>
      <c r="AE2682" t="n">
        <v>0</v>
      </c>
      <c r="AF2682" t="n">
        <v>13380</v>
      </c>
      <c r="AG2682" t="n">
        <v>64</v>
      </c>
      <c r="AH2682" t="inlineStr">
        <is>
          <t>PT. YUSUF KOSASIH - PPN  (PDG)</t>
        </is>
      </c>
      <c r="AI2682" t="n">
        <v>912</v>
      </c>
      <c r="AJ2682" t="inlineStr">
        <is>
          <t>LEIVY</t>
        </is>
      </c>
      <c r="AK2682" t="n">
        <v>21</v>
      </c>
      <c r="AL2682" t="inlineStr">
        <is>
          <t>Miss Glam Damar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LEIVY</t>
        </is>
      </c>
      <c r="B2683" s="2">
        <f>"9555074309555"</f>
        <v/>
      </c>
      <c r="C2683" t="inlineStr">
        <is>
          <t>LEIVY Naturally Double Moisturising Shower Cream 500ml</t>
        </is>
      </c>
      <c r="D2683" t="inlineStr">
        <is>
          <t>Miss Glam Damar</t>
        </is>
      </c>
      <c r="E2683" t="n">
        <v>6</v>
      </c>
      <c r="F2683" t="n">
        <v>0.3276</v>
      </c>
      <c r="G2683" t="n">
        <v>1.82</v>
      </c>
      <c r="H2683" t="n">
        <v>3</v>
      </c>
      <c r="I2683" t="n">
        <v>30</v>
      </c>
      <c r="J2683" t="n">
        <v>3</v>
      </c>
      <c r="K2683" t="n">
        <v>0</v>
      </c>
      <c r="L2683" t="n">
        <v>46650</v>
      </c>
      <c r="M2683" t="n">
        <v>55000</v>
      </c>
      <c r="N2683" t="n">
        <v>91</v>
      </c>
      <c r="O2683" t="n">
        <v>0.91</v>
      </c>
      <c r="P2683" t="n">
        <v>1</v>
      </c>
      <c r="Q2683" t="n">
        <v>0.27</v>
      </c>
      <c r="R2683" t="n">
        <v>3</v>
      </c>
      <c r="S2683" t="n">
        <v>18018</v>
      </c>
      <c r="T2683" t="n">
        <v>54</v>
      </c>
      <c r="U2683" t="n">
        <v>55</v>
      </c>
      <c r="V2683" t="n">
        <v>30</v>
      </c>
      <c r="W2683" t="n">
        <v>10</v>
      </c>
      <c r="X2683" t="n">
        <v>18.31501831501831</v>
      </c>
      <c r="Y2683" t="n">
        <v>1</v>
      </c>
      <c r="Z2683" t="n">
        <v>4</v>
      </c>
      <c r="AA2683" t="n">
        <v>4</v>
      </c>
      <c r="AB2683" t="n">
        <v>0</v>
      </c>
      <c r="AC2683" t="n">
        <v>0</v>
      </c>
      <c r="AD2683" t="n">
        <v>186600</v>
      </c>
      <c r="AE2683" t="n">
        <v>0</v>
      </c>
      <c r="AF2683" t="n">
        <v>13380</v>
      </c>
      <c r="AG2683" t="n">
        <v>64</v>
      </c>
      <c r="AH2683" t="inlineStr">
        <is>
          <t>PT. YUSUF KOSASIH - PPN  (PDG)</t>
        </is>
      </c>
      <c r="AI2683" t="n">
        <v>912</v>
      </c>
      <c r="AJ2683" t="inlineStr">
        <is>
          <t>LEIVY</t>
        </is>
      </c>
      <c r="AK2683" t="n">
        <v>21</v>
      </c>
      <c r="AL2683" t="inlineStr">
        <is>
          <t>Miss Glam Damar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LEIVY</t>
        </is>
      </c>
      <c r="B2684" s="2">
        <f>"9555074300200"</f>
        <v/>
      </c>
      <c r="C2684" t="inlineStr">
        <is>
          <t>LEIVY Naturally Double Moisturising Shower Cream With Purified Goat's Milk &amp; Milk Protein 1150ml</t>
        </is>
      </c>
      <c r="D2684" t="inlineStr">
        <is>
          <t>Miss Glam Damar</t>
        </is>
      </c>
      <c r="E2684" t="n">
        <v>3</v>
      </c>
      <c r="F2684" t="n">
        <v>0.04550000000000001</v>
      </c>
      <c r="G2684" t="n">
        <v>1.82</v>
      </c>
      <c r="H2684" t="n">
        <v>3</v>
      </c>
      <c r="I2684" t="n">
        <v>30</v>
      </c>
      <c r="J2684" t="n">
        <v>3</v>
      </c>
      <c r="K2684" t="n">
        <v>0</v>
      </c>
      <c r="L2684" t="n">
        <v>83950</v>
      </c>
      <c r="M2684" t="n">
        <v>99000</v>
      </c>
      <c r="N2684" t="n">
        <v>91</v>
      </c>
      <c r="O2684" t="n">
        <v>0.91</v>
      </c>
      <c r="P2684" t="n">
        <v>1</v>
      </c>
      <c r="Q2684" t="n">
        <v>0.1</v>
      </c>
      <c r="R2684" t="n">
        <v>1</v>
      </c>
      <c r="S2684" t="n">
        <v>4504.500000000001</v>
      </c>
      <c r="T2684" t="n">
        <v>55</v>
      </c>
      <c r="U2684" t="n">
        <v>56</v>
      </c>
      <c r="V2684" t="n">
        <v>30</v>
      </c>
      <c r="W2684" t="n">
        <v>2</v>
      </c>
      <c r="X2684" t="n">
        <v>65.93406593406593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13380</v>
      </c>
      <c r="AG2684" t="n">
        <v>64</v>
      </c>
      <c r="AH2684" t="inlineStr">
        <is>
          <t>PT. YUSUF KOSASIH - PPN  (PDG)</t>
        </is>
      </c>
      <c r="AI2684" t="n">
        <v>912</v>
      </c>
      <c r="AJ2684" t="inlineStr">
        <is>
          <t>LEIVY</t>
        </is>
      </c>
      <c r="AK2684" t="n">
        <v>21</v>
      </c>
      <c r="AL2684" t="inlineStr">
        <is>
          <t>Miss Glam Damar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LEIVY</t>
        </is>
      </c>
      <c r="B2685" s="2">
        <f>"9555074300620"</f>
        <v/>
      </c>
      <c r="C2685" t="inlineStr">
        <is>
          <t>LEIVY Naturally Double Moisturising Shower Cream With Purified Goat's Milk &amp; Milk Protein 250ml Pouc</t>
        </is>
      </c>
      <c r="D2685" t="inlineStr">
        <is>
          <t>Miss Glam Damar</t>
        </is>
      </c>
      <c r="E2685" t="n">
        <v>14</v>
      </c>
      <c r="F2685" t="n">
        <v>0.7553</v>
      </c>
      <c r="G2685" t="n">
        <v>2.73</v>
      </c>
      <c r="H2685" t="n">
        <v>3</v>
      </c>
      <c r="I2685" t="n">
        <v>30</v>
      </c>
      <c r="J2685" t="n">
        <v>3</v>
      </c>
      <c r="K2685" t="n">
        <v>0</v>
      </c>
      <c r="L2685" t="n">
        <v>22850</v>
      </c>
      <c r="M2685" t="n">
        <v>27000</v>
      </c>
      <c r="N2685" t="n">
        <v>91</v>
      </c>
      <c r="O2685" t="n">
        <v>0.91</v>
      </c>
      <c r="P2685" t="n">
        <v>1</v>
      </c>
      <c r="Q2685" t="n">
        <v>0.53</v>
      </c>
      <c r="R2685" t="n">
        <v>3</v>
      </c>
      <c r="S2685" t="n">
        <v>20393.1</v>
      </c>
      <c r="T2685" t="n">
        <v>80</v>
      </c>
      <c r="U2685" t="n">
        <v>83</v>
      </c>
      <c r="V2685" t="n">
        <v>30</v>
      </c>
      <c r="W2685" t="n">
        <v>23</v>
      </c>
      <c r="X2685" t="n">
        <v>18.5356811862836</v>
      </c>
      <c r="Y2685" t="n">
        <v>1</v>
      </c>
      <c r="Z2685" t="n">
        <v>9</v>
      </c>
      <c r="AA2685" t="n">
        <v>9</v>
      </c>
      <c r="AB2685" t="n">
        <v>0</v>
      </c>
      <c r="AC2685" t="n">
        <v>0</v>
      </c>
      <c r="AD2685" t="n">
        <v>205650</v>
      </c>
      <c r="AE2685" t="n">
        <v>0</v>
      </c>
      <c r="AF2685" t="n">
        <v>13380</v>
      </c>
      <c r="AG2685" t="n">
        <v>64</v>
      </c>
      <c r="AH2685" t="inlineStr">
        <is>
          <t>PT. YUSUF KOSASIH - PPN  (PDG)</t>
        </is>
      </c>
      <c r="AI2685" t="n">
        <v>912</v>
      </c>
      <c r="AJ2685" t="inlineStr">
        <is>
          <t>LEIVY</t>
        </is>
      </c>
      <c r="AK2685" t="n">
        <v>21</v>
      </c>
      <c r="AL2685" t="inlineStr">
        <is>
          <t>Miss Glam Damar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LEIVY</t>
        </is>
      </c>
      <c r="B2686" s="2">
        <f>"9555074300613"</f>
        <v/>
      </c>
      <c r="C2686" t="inlineStr">
        <is>
          <t>LEIVY Naturally Double Moisturising Shower Cream With Purified Goat's Milk &amp; Milk Protein 450ml Pouc</t>
        </is>
      </c>
      <c r="D2686" t="inlineStr">
        <is>
          <t>Miss Glam Damar</t>
        </is>
      </c>
      <c r="E2686" t="n">
        <v>17</v>
      </c>
      <c r="F2686" t="n">
        <v>0.3549</v>
      </c>
      <c r="G2686" t="n">
        <v>3.64</v>
      </c>
      <c r="H2686" t="n">
        <v>3</v>
      </c>
      <c r="I2686" t="n">
        <v>30</v>
      </c>
      <c r="J2686" t="n">
        <v>3</v>
      </c>
      <c r="K2686" t="n">
        <v>0</v>
      </c>
      <c r="L2686" t="n">
        <v>34750</v>
      </c>
      <c r="M2686" t="n">
        <v>41000</v>
      </c>
      <c r="N2686" t="n">
        <v>91</v>
      </c>
      <c r="O2686" t="n">
        <v>0.91</v>
      </c>
      <c r="P2686" t="n">
        <v>1</v>
      </c>
      <c r="Q2686" t="n">
        <v>0.32</v>
      </c>
      <c r="R2686" t="n">
        <v>3</v>
      </c>
      <c r="S2686" t="n">
        <v>14550.9</v>
      </c>
      <c r="T2686" t="n">
        <v>109</v>
      </c>
      <c r="U2686" t="n">
        <v>111</v>
      </c>
      <c r="V2686" t="n">
        <v>30</v>
      </c>
      <c r="W2686" t="n">
        <v>11</v>
      </c>
      <c r="X2686" t="n">
        <v>47.90081713158636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13380</v>
      </c>
      <c r="AG2686" t="n">
        <v>64</v>
      </c>
      <c r="AH2686" t="inlineStr">
        <is>
          <t>PT. YUSUF KOSASIH - PPN  (PDG)</t>
        </is>
      </c>
      <c r="AI2686" t="n">
        <v>912</v>
      </c>
      <c r="AJ2686" t="inlineStr">
        <is>
          <t>LEIVY</t>
        </is>
      </c>
      <c r="AK2686" t="n">
        <v>21</v>
      </c>
      <c r="AL2686" t="inlineStr">
        <is>
          <t>Miss Glam Damar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LEIVY</t>
        </is>
      </c>
      <c r="B2687" s="2">
        <f>"9555074300576"</f>
        <v/>
      </c>
      <c r="C2687" t="inlineStr">
        <is>
          <t>LEIVY Naturally Double Moisturising Shower Cream With Purified Goat's Milk &amp; Milk Protein 900ml Pouc</t>
        </is>
      </c>
      <c r="D2687" t="inlineStr">
        <is>
          <t>Miss Glam Damar</t>
        </is>
      </c>
      <c r="E2687" t="n">
        <v>22</v>
      </c>
      <c r="F2687" t="n">
        <v>0.6006</v>
      </c>
      <c r="G2687" t="n">
        <v>2.73</v>
      </c>
      <c r="H2687" t="n">
        <v>3</v>
      </c>
      <c r="I2687" t="n">
        <v>30</v>
      </c>
      <c r="J2687" t="n">
        <v>3</v>
      </c>
      <c r="K2687" t="n">
        <v>0</v>
      </c>
      <c r="L2687" t="n">
        <v>57250</v>
      </c>
      <c r="M2687" t="n">
        <v>67500</v>
      </c>
      <c r="N2687" t="n">
        <v>91</v>
      </c>
      <c r="O2687" t="n">
        <v>0.91</v>
      </c>
      <c r="P2687" t="n">
        <v>1</v>
      </c>
      <c r="Q2687" t="n">
        <v>0.29</v>
      </c>
      <c r="R2687" t="n">
        <v>2</v>
      </c>
      <c r="S2687" t="n">
        <v>40540.5</v>
      </c>
      <c r="T2687" t="n">
        <v>81</v>
      </c>
      <c r="U2687" t="n">
        <v>83</v>
      </c>
      <c r="V2687" t="n">
        <v>30</v>
      </c>
      <c r="W2687" t="n">
        <v>19</v>
      </c>
      <c r="X2687" t="n">
        <v>36.63003663003663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13380</v>
      </c>
      <c r="AG2687" t="n">
        <v>64</v>
      </c>
      <c r="AH2687" t="inlineStr">
        <is>
          <t>PT. YUSUF KOSASIH - PPN  (PDG)</t>
        </is>
      </c>
      <c r="AI2687" t="n">
        <v>912</v>
      </c>
      <c r="AJ2687" t="inlineStr">
        <is>
          <t>LEIVY</t>
        </is>
      </c>
      <c r="AK2687" t="n">
        <v>21</v>
      </c>
      <c r="AL2687" t="inlineStr">
        <is>
          <t>Miss Glam Damar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LEIVY</t>
        </is>
      </c>
      <c r="B2688" s="2">
        <f>"9555074310865"</f>
        <v/>
      </c>
      <c r="C2688" t="inlineStr">
        <is>
          <t>LEIVY Naturally Double Moisturising Soap 85gr</t>
        </is>
      </c>
      <c r="D2688" t="inlineStr">
        <is>
          <t>Miss Glam Damar</t>
        </is>
      </c>
      <c r="E2688" t="n">
        <v>4</v>
      </c>
      <c r="F2688" t="n">
        <v>0.2275</v>
      </c>
      <c r="G2688" t="n">
        <v>2.73</v>
      </c>
      <c r="H2688" t="n">
        <v>3</v>
      </c>
      <c r="I2688" t="n">
        <v>30</v>
      </c>
      <c r="J2688" t="n">
        <v>3</v>
      </c>
      <c r="K2688" t="n">
        <v>0</v>
      </c>
      <c r="L2688" t="n">
        <v>12050</v>
      </c>
      <c r="M2688" t="n">
        <v>14500</v>
      </c>
      <c r="N2688" t="n">
        <v>91</v>
      </c>
      <c r="O2688" t="n">
        <v>0.91</v>
      </c>
      <c r="P2688" t="n">
        <v>1</v>
      </c>
      <c r="Q2688" t="n">
        <v>0.17</v>
      </c>
      <c r="R2688" t="n">
        <v>2</v>
      </c>
      <c r="S2688" t="n">
        <v>3298.75</v>
      </c>
      <c r="T2688" t="n">
        <v>82</v>
      </c>
      <c r="U2688" t="n">
        <v>83</v>
      </c>
      <c r="V2688" t="n">
        <v>30</v>
      </c>
      <c r="W2688" t="n">
        <v>7</v>
      </c>
      <c r="X2688" t="n">
        <v>17.58241758241758</v>
      </c>
      <c r="Y2688" t="n">
        <v>1</v>
      </c>
      <c r="Z2688" t="n">
        <v>3</v>
      </c>
      <c r="AA2688" t="n">
        <v>3</v>
      </c>
      <c r="AB2688" t="n">
        <v>0</v>
      </c>
      <c r="AC2688" t="n">
        <v>0</v>
      </c>
      <c r="AD2688" t="n">
        <v>36150</v>
      </c>
      <c r="AE2688" t="n">
        <v>0</v>
      </c>
      <c r="AF2688" t="n">
        <v>13380</v>
      </c>
      <c r="AG2688" t="n">
        <v>64</v>
      </c>
      <c r="AH2688" t="inlineStr">
        <is>
          <t>PT. YUSUF KOSASIH - PPN  (PDG)</t>
        </is>
      </c>
      <c r="AI2688" t="n">
        <v>912</v>
      </c>
      <c r="AJ2688" t="inlineStr">
        <is>
          <t>LEIVY</t>
        </is>
      </c>
      <c r="AK2688" t="n">
        <v>21</v>
      </c>
      <c r="AL2688" t="inlineStr">
        <is>
          <t>Miss Glam Damar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LEIVY</t>
        </is>
      </c>
      <c r="B2689" s="2">
        <f>"9555074300217"</f>
        <v/>
      </c>
      <c r="C2689" t="inlineStr">
        <is>
          <t>LEIVY Naturally Nourishing Shower Cream With Royal Jelly &amp; Honey 1150ml</t>
        </is>
      </c>
      <c r="D2689" t="inlineStr">
        <is>
          <t>Miss Glam Damar</t>
        </is>
      </c>
      <c r="E2689" t="n">
        <v>4</v>
      </c>
      <c r="F2689" t="n">
        <v>0.0273</v>
      </c>
      <c r="G2689" t="n">
        <v>0.91</v>
      </c>
      <c r="H2689" t="n">
        <v>3</v>
      </c>
      <c r="I2689" t="n">
        <v>30</v>
      </c>
      <c r="J2689" t="n">
        <v>3</v>
      </c>
      <c r="K2689" t="n">
        <v>0</v>
      </c>
      <c r="L2689" t="n">
        <v>83950</v>
      </c>
      <c r="M2689" t="n">
        <v>99000</v>
      </c>
      <c r="N2689" t="n">
        <v>91</v>
      </c>
      <c r="O2689" t="n">
        <v>0.91</v>
      </c>
      <c r="P2689" t="n">
        <v>1</v>
      </c>
      <c r="Q2689" t="n">
        <v>0.02</v>
      </c>
      <c r="R2689" t="n">
        <v>1</v>
      </c>
      <c r="S2689" t="n">
        <v>2702.7</v>
      </c>
      <c r="T2689" t="n">
        <v>28</v>
      </c>
      <c r="U2689" t="n">
        <v>29</v>
      </c>
      <c r="V2689" t="n">
        <v>30</v>
      </c>
      <c r="W2689" t="n">
        <v>1</v>
      </c>
      <c r="X2689" t="n">
        <v>146.5201465201465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13380</v>
      </c>
      <c r="AG2689" t="n">
        <v>64</v>
      </c>
      <c r="AH2689" t="inlineStr">
        <is>
          <t>PT. YUSUF KOSASIH - PPN  (PDG)</t>
        </is>
      </c>
      <c r="AI2689" t="n">
        <v>912</v>
      </c>
      <c r="AJ2689" t="inlineStr">
        <is>
          <t>LEIVY</t>
        </is>
      </c>
      <c r="AK2689" t="n">
        <v>21</v>
      </c>
      <c r="AL2689" t="inlineStr">
        <is>
          <t>Miss Glam Damar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LEIVY</t>
        </is>
      </c>
      <c r="B2690" s="2">
        <f>"9555074314337"</f>
        <v/>
      </c>
      <c r="C2690" t="inlineStr">
        <is>
          <t>LEIVY Naturally SPA Aging Care Stawberry Body Scrub 250gr</t>
        </is>
      </c>
      <c r="D2690" t="inlineStr">
        <is>
          <t>Miss Glam Damar</t>
        </is>
      </c>
      <c r="E2690" t="n">
        <v>2</v>
      </c>
      <c r="F2690" t="n">
        <v>0.06370000000000001</v>
      </c>
      <c r="G2690" t="n">
        <v>0.91</v>
      </c>
      <c r="H2690" t="n">
        <v>3</v>
      </c>
      <c r="I2690" t="n">
        <v>30</v>
      </c>
      <c r="J2690" t="n">
        <v>3</v>
      </c>
      <c r="K2690" t="n">
        <v>0</v>
      </c>
      <c r="L2690" t="n">
        <v>40600</v>
      </c>
      <c r="M2690" t="n">
        <v>48000</v>
      </c>
      <c r="N2690" t="n">
        <v>91</v>
      </c>
      <c r="O2690" t="n">
        <v>0.91</v>
      </c>
      <c r="P2690" t="n">
        <v>1</v>
      </c>
      <c r="Q2690" t="n">
        <v>0.02</v>
      </c>
      <c r="R2690" t="n">
        <v>1</v>
      </c>
      <c r="S2690" t="n">
        <v>3057.6</v>
      </c>
      <c r="T2690" t="n">
        <v>28</v>
      </c>
      <c r="U2690" t="n">
        <v>29</v>
      </c>
      <c r="V2690" t="n">
        <v>30</v>
      </c>
      <c r="W2690" t="n">
        <v>2</v>
      </c>
      <c r="X2690" t="n">
        <v>31.39717425431711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13380</v>
      </c>
      <c r="AG2690" t="n">
        <v>64</v>
      </c>
      <c r="AH2690" t="inlineStr">
        <is>
          <t>PT. YUSUF KOSASIH - PPN  (PDG)</t>
        </is>
      </c>
      <c r="AI2690" t="n">
        <v>912</v>
      </c>
      <c r="AJ2690" t="inlineStr">
        <is>
          <t>LEIVY</t>
        </is>
      </c>
      <c r="AK2690" t="n">
        <v>21</v>
      </c>
      <c r="AL2690" t="inlineStr">
        <is>
          <t>Miss Glam Damar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LEIVY</t>
        </is>
      </c>
      <c r="B2691" s="2">
        <f>"9555074314320"</f>
        <v/>
      </c>
      <c r="C2691" t="inlineStr">
        <is>
          <t>LEIVY Naturally SPA Brightening Bengkoang Body Scrub 250gr</t>
        </is>
      </c>
      <c r="D2691" t="inlineStr">
        <is>
          <t>Miss Glam Damar</t>
        </is>
      </c>
      <c r="E2691" t="n">
        <v>2</v>
      </c>
      <c r="F2691" t="n">
        <v>0.0273</v>
      </c>
      <c r="G2691" t="n">
        <v>0.91</v>
      </c>
      <c r="H2691" t="n">
        <v>3</v>
      </c>
      <c r="I2691" t="n">
        <v>30</v>
      </c>
      <c r="J2691" t="n">
        <v>3</v>
      </c>
      <c r="K2691" t="n">
        <v>0</v>
      </c>
      <c r="L2691" t="n">
        <v>40600</v>
      </c>
      <c r="M2691" t="n">
        <v>48000</v>
      </c>
      <c r="N2691" t="n">
        <v>91</v>
      </c>
      <c r="O2691" t="n">
        <v>0.91</v>
      </c>
      <c r="P2691" t="n">
        <v>1</v>
      </c>
      <c r="Q2691" t="n">
        <v>0.1</v>
      </c>
      <c r="R2691" t="n">
        <v>2</v>
      </c>
      <c r="S2691" t="n">
        <v>1310.4</v>
      </c>
      <c r="T2691" t="n">
        <v>28</v>
      </c>
      <c r="U2691" t="n">
        <v>29</v>
      </c>
      <c r="V2691" t="n">
        <v>30</v>
      </c>
      <c r="W2691" t="n">
        <v>1</v>
      </c>
      <c r="X2691" t="n">
        <v>73.26007326007326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13380</v>
      </c>
      <c r="AG2691" t="n">
        <v>64</v>
      </c>
      <c r="AH2691" t="inlineStr">
        <is>
          <t>PT. YUSUF KOSASIH - PPN  (PDG)</t>
        </is>
      </c>
      <c r="AI2691" t="n">
        <v>912</v>
      </c>
      <c r="AJ2691" t="inlineStr">
        <is>
          <t>LEIVY</t>
        </is>
      </c>
      <c r="AK2691" t="n">
        <v>21</v>
      </c>
      <c r="AL2691" t="inlineStr">
        <is>
          <t>Miss Glam Damar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LEIVY</t>
        </is>
      </c>
      <c r="B2692" s="2">
        <f>"9555074314306"</f>
        <v/>
      </c>
      <c r="C2692" t="inlineStr">
        <is>
          <t>LEIVY Naturarally SPA Double Moisturising Goats Milk Body Scrub 250gr</t>
        </is>
      </c>
      <c r="D2692" t="inlineStr">
        <is>
          <t>Miss Glam Damar</t>
        </is>
      </c>
      <c r="E2692" t="n">
        <v>1</v>
      </c>
      <c r="F2692" t="n">
        <v>0.09100000000000001</v>
      </c>
      <c r="G2692" t="n">
        <v>1.82</v>
      </c>
      <c r="H2692" t="n">
        <v>3</v>
      </c>
      <c r="I2692" t="n">
        <v>30</v>
      </c>
      <c r="J2692" t="n">
        <v>3</v>
      </c>
      <c r="K2692" t="n">
        <v>0</v>
      </c>
      <c r="L2692" t="n">
        <v>40601</v>
      </c>
      <c r="M2692" t="n">
        <v>48000</v>
      </c>
      <c r="N2692" t="n">
        <v>91</v>
      </c>
      <c r="O2692" t="n">
        <v>0.91</v>
      </c>
      <c r="P2692" t="n">
        <v>1</v>
      </c>
      <c r="Q2692" t="n">
        <v>0.12</v>
      </c>
      <c r="R2692" t="n">
        <v>1</v>
      </c>
      <c r="S2692" t="n">
        <v>4368.000000000001</v>
      </c>
      <c r="T2692" t="n">
        <v>55</v>
      </c>
      <c r="U2692" t="n">
        <v>56</v>
      </c>
      <c r="V2692" t="n">
        <v>30</v>
      </c>
      <c r="W2692" t="n">
        <v>3</v>
      </c>
      <c r="X2692" t="n">
        <v>10.98901098901099</v>
      </c>
      <c r="Y2692" t="n">
        <v>1</v>
      </c>
      <c r="Z2692" t="n">
        <v>2</v>
      </c>
      <c r="AA2692" t="n">
        <v>2</v>
      </c>
      <c r="AB2692" t="n">
        <v>0</v>
      </c>
      <c r="AC2692" t="n">
        <v>0</v>
      </c>
      <c r="AD2692" t="n">
        <v>81202</v>
      </c>
      <c r="AE2692" t="n">
        <v>0</v>
      </c>
      <c r="AF2692" t="n">
        <v>13380</v>
      </c>
      <c r="AG2692" t="n">
        <v>64</v>
      </c>
      <c r="AH2692" t="inlineStr">
        <is>
          <t>PT. YUSUF KOSASIH - PPN  (PDG)</t>
        </is>
      </c>
      <c r="AI2692" t="n">
        <v>912</v>
      </c>
      <c r="AJ2692" t="inlineStr">
        <is>
          <t>LEIVY</t>
        </is>
      </c>
      <c r="AK2692" t="n">
        <v>21</v>
      </c>
      <c r="AL2692" t="inlineStr">
        <is>
          <t>Miss Glam Damar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LENCIR</t>
        </is>
      </c>
      <c r="B2693" s="2">
        <f>"60100106642"</f>
        <v/>
      </c>
      <c r="C2693" t="inlineStr">
        <is>
          <t>LENCIR Original 300ml-Pack</t>
        </is>
      </c>
      <c r="D2693" t="inlineStr">
        <is>
          <t>Miss Glam Damar</t>
        </is>
      </c>
      <c r="E2693" t="n">
        <v>7</v>
      </c>
      <c r="F2693" t="n">
        <v>0.03</v>
      </c>
      <c r="G2693" t="n">
        <v>1</v>
      </c>
      <c r="H2693" t="n">
        <v>4</v>
      </c>
      <c r="I2693" t="n">
        <v>21</v>
      </c>
      <c r="J2693" t="n">
        <v>1</v>
      </c>
      <c r="K2693" t="n">
        <v>0</v>
      </c>
      <c r="L2693" t="n">
        <v>179288</v>
      </c>
      <c r="M2693" t="n">
        <v>250000</v>
      </c>
      <c r="N2693" t="n">
        <v>91</v>
      </c>
      <c r="O2693" t="n">
        <v>0.91</v>
      </c>
      <c r="P2693" t="n">
        <v>0</v>
      </c>
      <c r="Q2693" t="n">
        <v>0.03</v>
      </c>
      <c r="R2693" t="n">
        <v>1</v>
      </c>
      <c r="S2693" t="n">
        <v>7500</v>
      </c>
      <c r="T2693" t="n">
        <v>21</v>
      </c>
      <c r="U2693" t="n">
        <v>22</v>
      </c>
      <c r="V2693" t="n">
        <v>30</v>
      </c>
      <c r="W2693" t="n">
        <v>1</v>
      </c>
      <c r="X2693" t="n">
        <v>233.3333333333333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6555</v>
      </c>
      <c r="AG2693" t="n">
        <v>1</v>
      </c>
      <c r="AH2693" t="inlineStr">
        <is>
          <t>PT. BERSAMA DISTRIVERSA INDONESIA (DC CIPUTAT)</t>
        </is>
      </c>
      <c r="AI2693" t="n">
        <v>2267</v>
      </c>
      <c r="AJ2693" t="inlineStr">
        <is>
          <t>LENCIR</t>
        </is>
      </c>
      <c r="AK2693" t="n">
        <v>21</v>
      </c>
      <c r="AL2693" t="inlineStr">
        <is>
          <t>Miss Glam Damar</t>
        </is>
      </c>
      <c r="AM2693" t="n">
        <v>3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LENCIR</t>
        </is>
      </c>
      <c r="B2694" s="2">
        <f>"60100106741"</f>
        <v/>
      </c>
      <c r="C2694" t="inlineStr">
        <is>
          <t>LENCIR Strong 300ml-Pack</t>
        </is>
      </c>
      <c r="D2694" t="inlineStr">
        <is>
          <t>Miss Glam Damar</t>
        </is>
      </c>
      <c r="E2694" t="n">
        <v>7</v>
      </c>
      <c r="F2694" t="n">
        <v>0.0182</v>
      </c>
      <c r="G2694" t="n">
        <v>1.82</v>
      </c>
      <c r="H2694" t="n">
        <v>4</v>
      </c>
      <c r="I2694" t="n">
        <v>21</v>
      </c>
      <c r="J2694" t="n">
        <v>1</v>
      </c>
      <c r="K2694" t="n">
        <v>0</v>
      </c>
      <c r="L2694" t="n">
        <v>180250</v>
      </c>
      <c r="M2694" t="n">
        <v>250000</v>
      </c>
      <c r="N2694" t="n">
        <v>91</v>
      </c>
      <c r="O2694" t="n">
        <v>0.91</v>
      </c>
      <c r="P2694" t="n">
        <v>1</v>
      </c>
      <c r="Q2694" t="n">
        <v>0.05</v>
      </c>
      <c r="R2694" t="n">
        <v>1</v>
      </c>
      <c r="S2694" t="n">
        <v>4550</v>
      </c>
      <c r="T2694" t="n">
        <v>39</v>
      </c>
      <c r="U2694" t="n">
        <v>40</v>
      </c>
      <c r="V2694" t="n">
        <v>30</v>
      </c>
      <c r="W2694" t="n">
        <v>1</v>
      </c>
      <c r="X2694" t="n">
        <v>384.6153846153846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6555</v>
      </c>
      <c r="AG2694" t="n">
        <v>1</v>
      </c>
      <c r="AH2694" t="inlineStr">
        <is>
          <t>PT. BERSAMA DISTRIVERSA INDONESIA (DC CIPUTAT)</t>
        </is>
      </c>
      <c r="AI2694" t="n">
        <v>2267</v>
      </c>
      <c r="AJ2694" t="inlineStr">
        <is>
          <t>LENCIR</t>
        </is>
      </c>
      <c r="AK2694" t="n">
        <v>21</v>
      </c>
      <c r="AL2694" t="inlineStr">
        <is>
          <t>Miss Glam Damar</t>
        </is>
      </c>
      <c r="AM2694" t="n">
        <v>3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LIGHT+</t>
        </is>
      </c>
      <c r="B2695" s="2">
        <f>"8993137688628"</f>
        <v/>
      </c>
      <c r="C2695" t="inlineStr">
        <is>
          <t>LIGHT+ Wardah Day Cream Advanced Niacinamide 20ml</t>
        </is>
      </c>
      <c r="D2695" t="inlineStr">
        <is>
          <t>Miss Glam Damar</t>
        </is>
      </c>
      <c r="E2695" t="n">
        <v>9</v>
      </c>
      <c r="F2695" t="n">
        <v>0.6643</v>
      </c>
      <c r="G2695" t="n">
        <v>2.73</v>
      </c>
      <c r="H2695" t="n">
        <v>2</v>
      </c>
      <c r="I2695" t="n">
        <v>6</v>
      </c>
      <c r="J2695" t="n">
        <v>3</v>
      </c>
      <c r="K2695" t="n">
        <v>0</v>
      </c>
      <c r="L2695" t="n">
        <v>26049</v>
      </c>
      <c r="M2695" t="n">
        <v>31000</v>
      </c>
      <c r="N2695" t="n">
        <v>91</v>
      </c>
      <c r="O2695" t="n">
        <v>0.91</v>
      </c>
      <c r="P2695" t="n">
        <v>1</v>
      </c>
      <c r="Q2695" t="n">
        <v>0.32</v>
      </c>
      <c r="R2695" t="n">
        <v>2</v>
      </c>
      <c r="S2695" t="n">
        <v>20593.3</v>
      </c>
      <c r="T2695" t="n">
        <v>16</v>
      </c>
      <c r="U2695" t="n">
        <v>18</v>
      </c>
      <c r="V2695" t="n">
        <v>30</v>
      </c>
      <c r="W2695" t="n">
        <v>20</v>
      </c>
      <c r="X2695" t="n">
        <v>13.54809573987656</v>
      </c>
      <c r="Y2695" t="n">
        <v>1</v>
      </c>
      <c r="Z2695" t="n">
        <v>11</v>
      </c>
      <c r="AA2695" t="n">
        <v>0</v>
      </c>
      <c r="AB2695" t="n">
        <v>11</v>
      </c>
      <c r="AC2695" t="n">
        <v>11</v>
      </c>
      <c r="AD2695" t="n">
        <v>0</v>
      </c>
      <c r="AE2695" t="n">
        <v>286539</v>
      </c>
      <c r="AF2695" t="n">
        <v>11707</v>
      </c>
      <c r="AG2695" t="n">
        <v>63</v>
      </c>
      <c r="AH2695" t="inlineStr">
        <is>
          <t>PT. PARAMA GLOBAL INSPIRA - PPN (PDG)</t>
        </is>
      </c>
      <c r="AI2695" t="n">
        <v>2395</v>
      </c>
      <c r="AJ2695" t="inlineStr">
        <is>
          <t>LIGHT+</t>
        </is>
      </c>
      <c r="AK2695" t="n">
        <v>21</v>
      </c>
      <c r="AL2695" t="inlineStr">
        <is>
          <t>Miss Glam Damar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LIGHT+</t>
        </is>
      </c>
      <c r="B2696" s="2">
        <f>"8993137572194"</f>
        <v/>
      </c>
      <c r="C2696" t="inlineStr">
        <is>
          <t>LIGHT+ Wardah Lightening Advance Niacinamide Night Cream 30gr</t>
        </is>
      </c>
      <c r="D2696" t="inlineStr">
        <is>
          <t>Miss Glam Damar</t>
        </is>
      </c>
      <c r="E2696" t="n">
        <v>21</v>
      </c>
      <c r="F2696" t="n">
        <v>0.6006</v>
      </c>
      <c r="G2696" t="n">
        <v>3.64</v>
      </c>
      <c r="H2696" t="n">
        <v>2</v>
      </c>
      <c r="I2696" t="n">
        <v>6</v>
      </c>
      <c r="J2696" t="n">
        <v>3</v>
      </c>
      <c r="K2696" t="n">
        <v>0</v>
      </c>
      <c r="L2696" t="n">
        <v>42146</v>
      </c>
      <c r="M2696" t="n">
        <v>50000</v>
      </c>
      <c r="N2696" t="n">
        <v>91</v>
      </c>
      <c r="O2696" t="n">
        <v>0.91</v>
      </c>
      <c r="P2696" t="n">
        <v>1</v>
      </c>
      <c r="Q2696" t="n">
        <v>0.63</v>
      </c>
      <c r="R2696" t="n">
        <v>2</v>
      </c>
      <c r="S2696" t="n">
        <v>30030</v>
      </c>
      <c r="T2696" t="n">
        <v>21</v>
      </c>
      <c r="U2696" t="n">
        <v>23</v>
      </c>
      <c r="V2696" t="n">
        <v>30</v>
      </c>
      <c r="W2696" t="n">
        <v>19</v>
      </c>
      <c r="X2696" t="n">
        <v>34.96503496503497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11707</v>
      </c>
      <c r="AG2696" t="n">
        <v>63</v>
      </c>
      <c r="AH2696" t="inlineStr">
        <is>
          <t>PT. PARAMA GLOBAL INSPIRA - PPN (PDG)</t>
        </is>
      </c>
      <c r="AI2696" t="n">
        <v>2395</v>
      </c>
      <c r="AJ2696" t="inlineStr">
        <is>
          <t>LIGHT+</t>
        </is>
      </c>
      <c r="AK2696" t="n">
        <v>21</v>
      </c>
      <c r="AL2696" t="inlineStr">
        <is>
          <t>Miss Glam Damar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LIGHT+</t>
        </is>
      </c>
      <c r="B2697" s="2">
        <f>"8993137572170"</f>
        <v/>
      </c>
      <c r="C2697" t="inlineStr">
        <is>
          <t>LIGHT+ Wardah Lightening Day Cream Advanced Niacinamide 30gr</t>
        </is>
      </c>
      <c r="D2697" t="inlineStr">
        <is>
          <t>Miss Glam Damar</t>
        </is>
      </c>
      <c r="E2697" t="n">
        <v>10</v>
      </c>
      <c r="F2697" t="n">
        <v>0.6916</v>
      </c>
      <c r="G2697" t="n">
        <v>3.64</v>
      </c>
      <c r="H2697" t="n">
        <v>2</v>
      </c>
      <c r="I2697" t="n">
        <v>6</v>
      </c>
      <c r="J2697" t="n">
        <v>3</v>
      </c>
      <c r="K2697" t="n">
        <v>0</v>
      </c>
      <c r="L2697" t="n">
        <v>40613</v>
      </c>
      <c r="M2697" t="n">
        <v>48000</v>
      </c>
      <c r="N2697" t="n">
        <v>91</v>
      </c>
      <c r="O2697" t="n">
        <v>0.91</v>
      </c>
      <c r="P2697" t="n">
        <v>1</v>
      </c>
      <c r="Q2697" t="n">
        <v>0.53</v>
      </c>
      <c r="R2697" t="n">
        <v>2</v>
      </c>
      <c r="S2697" t="n">
        <v>33196.8</v>
      </c>
      <c r="T2697" t="n">
        <v>21</v>
      </c>
      <c r="U2697" t="n">
        <v>23</v>
      </c>
      <c r="V2697" t="n">
        <v>30</v>
      </c>
      <c r="W2697" t="n">
        <v>21</v>
      </c>
      <c r="X2697" t="n">
        <v>14.45922498554078</v>
      </c>
      <c r="Y2697" t="n">
        <v>1</v>
      </c>
      <c r="Z2697" t="n">
        <v>11</v>
      </c>
      <c r="AA2697" t="n">
        <v>0</v>
      </c>
      <c r="AB2697" t="n">
        <v>11</v>
      </c>
      <c r="AC2697" t="n">
        <v>11</v>
      </c>
      <c r="AD2697" t="n">
        <v>0</v>
      </c>
      <c r="AE2697" t="n">
        <v>446743</v>
      </c>
      <c r="AF2697" t="n">
        <v>11707</v>
      </c>
      <c r="AG2697" t="n">
        <v>63</v>
      </c>
      <c r="AH2697" t="inlineStr">
        <is>
          <t>PT. PARAMA GLOBAL INSPIRA - PPN (PDG)</t>
        </is>
      </c>
      <c r="AI2697" t="n">
        <v>2395</v>
      </c>
      <c r="AJ2697" t="inlineStr">
        <is>
          <t>LIGHT+</t>
        </is>
      </c>
      <c r="AK2697" t="n">
        <v>21</v>
      </c>
      <c r="AL2697" t="inlineStr">
        <is>
          <t>Miss Glam Damar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LIGHT+</t>
        </is>
      </c>
      <c r="B2698" s="2">
        <f>"8993137697019"</f>
        <v/>
      </c>
      <c r="C2698" t="inlineStr">
        <is>
          <t>LIGHT+ Wardah Lightening Micellar Gentel Wash 100ml</t>
        </is>
      </c>
      <c r="D2698" t="inlineStr">
        <is>
          <t>Miss Glam Damar</t>
        </is>
      </c>
      <c r="E2698" t="n">
        <v>15</v>
      </c>
      <c r="F2698" t="n">
        <v>1.4378</v>
      </c>
      <c r="G2698" t="n">
        <v>3.64</v>
      </c>
      <c r="H2698" t="n">
        <v>2</v>
      </c>
      <c r="I2698" t="n">
        <v>6</v>
      </c>
      <c r="J2698" t="n">
        <v>3</v>
      </c>
      <c r="K2698" t="n">
        <v>0</v>
      </c>
      <c r="L2698" t="n">
        <v>27583</v>
      </c>
      <c r="M2698" t="n">
        <v>32500</v>
      </c>
      <c r="N2698" t="n">
        <v>91</v>
      </c>
      <c r="O2698" t="n">
        <v>0.91</v>
      </c>
      <c r="P2698" t="n">
        <v>1</v>
      </c>
      <c r="Q2698" t="n">
        <v>1.02</v>
      </c>
      <c r="R2698" t="n">
        <v>4</v>
      </c>
      <c r="S2698" t="n">
        <v>46728.50000000001</v>
      </c>
      <c r="T2698" t="n">
        <v>19</v>
      </c>
      <c r="U2698" t="n">
        <v>22</v>
      </c>
      <c r="V2698" t="n">
        <v>30</v>
      </c>
      <c r="W2698" t="n">
        <v>44</v>
      </c>
      <c r="X2698" t="n">
        <v>10.43260536931423</v>
      </c>
      <c r="Y2698" t="n">
        <v>1</v>
      </c>
      <c r="Z2698" t="n">
        <v>29</v>
      </c>
      <c r="AA2698" t="n">
        <v>0</v>
      </c>
      <c r="AB2698" t="n">
        <v>29</v>
      </c>
      <c r="AC2698" t="n">
        <v>29</v>
      </c>
      <c r="AD2698" t="n">
        <v>0</v>
      </c>
      <c r="AE2698" t="n">
        <v>799907</v>
      </c>
      <c r="AF2698" t="n">
        <v>11707</v>
      </c>
      <c r="AG2698" t="n">
        <v>63</v>
      </c>
      <c r="AH2698" t="inlineStr">
        <is>
          <t>PT. PARAMA GLOBAL INSPIRA - PPN (PDG)</t>
        </is>
      </c>
      <c r="AI2698" t="n">
        <v>2395</v>
      </c>
      <c r="AJ2698" t="inlineStr">
        <is>
          <t>LIGHT+</t>
        </is>
      </c>
      <c r="AK2698" t="n">
        <v>21</v>
      </c>
      <c r="AL2698" t="inlineStr">
        <is>
          <t>Miss Glam Damar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LIGHT+</t>
        </is>
      </c>
      <c r="B2699" s="2">
        <f>"8993137688666"</f>
        <v/>
      </c>
      <c r="C2699" t="inlineStr">
        <is>
          <t>LIGHT+ Wardah Lightening Night Cream Advanced Niacinamide 20ml</t>
        </is>
      </c>
      <c r="D2699" t="inlineStr">
        <is>
          <t>Miss Glam Damar</t>
        </is>
      </c>
      <c r="E2699" t="n">
        <v>3</v>
      </c>
      <c r="F2699" t="n">
        <v>0.6279</v>
      </c>
      <c r="G2699" t="n">
        <v>2.73</v>
      </c>
      <c r="H2699" t="n">
        <v>2</v>
      </c>
      <c r="I2699" t="n">
        <v>6</v>
      </c>
      <c r="J2699" t="n">
        <v>3</v>
      </c>
      <c r="K2699" t="n">
        <v>0</v>
      </c>
      <c r="L2699" t="n">
        <v>26805</v>
      </c>
      <c r="M2699" t="n">
        <v>32000</v>
      </c>
      <c r="N2699" t="n">
        <v>91</v>
      </c>
      <c r="O2699" t="n">
        <v>0.91</v>
      </c>
      <c r="P2699" t="n">
        <v>1</v>
      </c>
      <c r="Q2699" t="n">
        <v>0.29</v>
      </c>
      <c r="R2699" t="n">
        <v>2</v>
      </c>
      <c r="S2699" t="n">
        <v>20092.8</v>
      </c>
      <c r="T2699" t="n">
        <v>16</v>
      </c>
      <c r="U2699" t="n">
        <v>18</v>
      </c>
      <c r="V2699" t="n">
        <v>30</v>
      </c>
      <c r="W2699" t="n">
        <v>19</v>
      </c>
      <c r="X2699" t="n">
        <v>4.777830864787386</v>
      </c>
      <c r="Y2699" t="n">
        <v>1</v>
      </c>
      <c r="Z2699" t="n">
        <v>16</v>
      </c>
      <c r="AA2699" t="n">
        <v>1</v>
      </c>
      <c r="AB2699" t="n">
        <v>15</v>
      </c>
      <c r="AC2699" t="n">
        <v>15</v>
      </c>
      <c r="AD2699" t="n">
        <v>26805</v>
      </c>
      <c r="AE2699" t="n">
        <v>402075</v>
      </c>
      <c r="AF2699" t="n">
        <v>11707</v>
      </c>
      <c r="AG2699" t="n">
        <v>63</v>
      </c>
      <c r="AH2699" t="inlineStr">
        <is>
          <t>PT. PARAMA GLOBAL INSPIRA - PPN (PDG)</t>
        </is>
      </c>
      <c r="AI2699" t="n">
        <v>2395</v>
      </c>
      <c r="AJ2699" t="inlineStr">
        <is>
          <t>LIGHT+</t>
        </is>
      </c>
      <c r="AK2699" t="n">
        <v>21</v>
      </c>
      <c r="AL2699" t="inlineStr">
        <is>
          <t>Miss Glam Damar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LIGHT+</t>
        </is>
      </c>
      <c r="B2700" s="2">
        <f>"20100485553"</f>
        <v/>
      </c>
      <c r="C2700" t="inlineStr">
        <is>
          <t>LIGHT+ Wardah Lite Skin Filter Cushion 01 Fair 11gr</t>
        </is>
      </c>
      <c r="D2700" t="inlineStr">
        <is>
          <t>Miss Glam Damar</t>
        </is>
      </c>
      <c r="E2700" t="n">
        <v>6</v>
      </c>
      <c r="F2700" t="n">
        <v>0.1729</v>
      </c>
      <c r="G2700" t="n">
        <v>1.82</v>
      </c>
      <c r="H2700" t="n">
        <v>2</v>
      </c>
      <c r="I2700" t="n">
        <v>6</v>
      </c>
      <c r="J2700" t="n">
        <v>1</v>
      </c>
      <c r="K2700" t="n">
        <v>0</v>
      </c>
      <c r="L2700" t="n">
        <v>79695</v>
      </c>
      <c r="M2700" t="n">
        <v>94000</v>
      </c>
      <c r="N2700" t="n">
        <v>91</v>
      </c>
      <c r="O2700" t="n">
        <v>0.91</v>
      </c>
      <c r="P2700" t="n">
        <v>1</v>
      </c>
      <c r="Q2700" t="n">
        <v>0.19</v>
      </c>
      <c r="R2700" t="n">
        <v>1</v>
      </c>
      <c r="S2700" t="n">
        <v>16252.6</v>
      </c>
      <c r="T2700" t="n">
        <v>11</v>
      </c>
      <c r="U2700" t="n">
        <v>12</v>
      </c>
      <c r="V2700" t="n">
        <v>30</v>
      </c>
      <c r="W2700" t="n">
        <v>6</v>
      </c>
      <c r="X2700" t="n">
        <v>34.70213996529786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11707</v>
      </c>
      <c r="AG2700" t="n">
        <v>63</v>
      </c>
      <c r="AH2700" t="inlineStr">
        <is>
          <t>PT. PARAMA GLOBAL INSPIRA - PPN (PDG)</t>
        </is>
      </c>
      <c r="AI2700" t="n">
        <v>2395</v>
      </c>
      <c r="AJ2700" t="inlineStr">
        <is>
          <t>LIGHT+</t>
        </is>
      </c>
      <c r="AK2700" t="n">
        <v>21</v>
      </c>
      <c r="AL2700" t="inlineStr">
        <is>
          <t>Miss Glam Damar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LIGHT+</t>
        </is>
      </c>
      <c r="B2701" s="2">
        <f>"20100485653"</f>
        <v/>
      </c>
      <c r="C2701" t="inlineStr">
        <is>
          <t>LIGHT+ Wardah Lite Skin Filter Cushion 02 Linen 11gr</t>
        </is>
      </c>
      <c r="D2701" t="inlineStr">
        <is>
          <t>Miss Glam Damar</t>
        </is>
      </c>
      <c r="E2701" t="n">
        <v>15</v>
      </c>
      <c r="F2701" t="n">
        <v>0.6825</v>
      </c>
      <c r="G2701" t="n">
        <v>3.64</v>
      </c>
      <c r="H2701" t="n">
        <v>2</v>
      </c>
      <c r="I2701" t="n">
        <v>6</v>
      </c>
      <c r="J2701" t="n">
        <v>1</v>
      </c>
      <c r="K2701" t="n">
        <v>0</v>
      </c>
      <c r="L2701" t="n">
        <v>79695</v>
      </c>
      <c r="M2701" t="n">
        <v>94000</v>
      </c>
      <c r="N2701" t="n">
        <v>91</v>
      </c>
      <c r="O2701" t="n">
        <v>0.91</v>
      </c>
      <c r="P2701" t="n">
        <v>1</v>
      </c>
      <c r="Q2701" t="n">
        <v>0.44</v>
      </c>
      <c r="R2701" t="n">
        <v>5</v>
      </c>
      <c r="S2701" t="n">
        <v>64155</v>
      </c>
      <c r="T2701" t="n">
        <v>21</v>
      </c>
      <c r="U2701" t="n">
        <v>23</v>
      </c>
      <c r="V2701" t="n">
        <v>30</v>
      </c>
      <c r="W2701" t="n">
        <v>21</v>
      </c>
      <c r="X2701" t="n">
        <v>21.97802197802198</v>
      </c>
      <c r="Y2701" t="n">
        <v>1</v>
      </c>
      <c r="Z2701" t="n">
        <v>6</v>
      </c>
      <c r="AA2701" t="n">
        <v>0</v>
      </c>
      <c r="AB2701" t="n">
        <v>6</v>
      </c>
      <c r="AC2701" t="n">
        <v>6</v>
      </c>
      <c r="AD2701" t="n">
        <v>0</v>
      </c>
      <c r="AE2701" t="n">
        <v>478170</v>
      </c>
      <c r="AF2701" t="n">
        <v>11707</v>
      </c>
      <c r="AG2701" t="n">
        <v>63</v>
      </c>
      <c r="AH2701" t="inlineStr">
        <is>
          <t>PT. PARAMA GLOBAL INSPIRA - PPN (PDG)</t>
        </is>
      </c>
      <c r="AI2701" t="n">
        <v>2395</v>
      </c>
      <c r="AJ2701" t="inlineStr">
        <is>
          <t>LIGHT+</t>
        </is>
      </c>
      <c r="AK2701" t="n">
        <v>21</v>
      </c>
      <c r="AL2701" t="inlineStr">
        <is>
          <t>Miss Glam Damar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LIGHT+</t>
        </is>
      </c>
      <c r="B2702" s="2">
        <f>"20100485717"</f>
        <v/>
      </c>
      <c r="C2702" t="inlineStr">
        <is>
          <t>LIGHT+ Wardah Lite Skin Filter Cushion 03 Oat 11gr</t>
        </is>
      </c>
      <c r="D2702" t="inlineStr">
        <is>
          <t>Miss Glam Damar</t>
        </is>
      </c>
      <c r="E2702" t="n">
        <v>17</v>
      </c>
      <c r="F2702" t="n">
        <v>0.2821</v>
      </c>
      <c r="G2702" t="n">
        <v>1.82</v>
      </c>
      <c r="H2702" t="n">
        <v>2</v>
      </c>
      <c r="I2702" t="n">
        <v>6</v>
      </c>
      <c r="J2702" t="n">
        <v>1</v>
      </c>
      <c r="K2702" t="n">
        <v>0</v>
      </c>
      <c r="L2702" t="n">
        <v>79695</v>
      </c>
      <c r="M2702" t="n">
        <v>94000</v>
      </c>
      <c r="N2702" t="n">
        <v>91</v>
      </c>
      <c r="O2702" t="n">
        <v>0.91</v>
      </c>
      <c r="P2702" t="n">
        <v>1</v>
      </c>
      <c r="Q2702" t="n">
        <v>0.14</v>
      </c>
      <c r="R2702" t="n">
        <v>1</v>
      </c>
      <c r="S2702" t="n">
        <v>26517.4</v>
      </c>
      <c r="T2702" t="n">
        <v>11</v>
      </c>
      <c r="U2702" t="n">
        <v>12</v>
      </c>
      <c r="V2702" t="n">
        <v>30</v>
      </c>
      <c r="W2702" t="n">
        <v>9</v>
      </c>
      <c r="X2702" t="n">
        <v>60.26231832683445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11707</v>
      </c>
      <c r="AG2702" t="n">
        <v>63</v>
      </c>
      <c r="AH2702" t="inlineStr">
        <is>
          <t>PT. PARAMA GLOBAL INSPIRA - PPN (PDG)</t>
        </is>
      </c>
      <c r="AI2702" t="n">
        <v>2395</v>
      </c>
      <c r="AJ2702" t="inlineStr">
        <is>
          <t>LIGHT+</t>
        </is>
      </c>
      <c r="AK2702" t="n">
        <v>21</v>
      </c>
      <c r="AL2702" t="inlineStr">
        <is>
          <t>Miss Glam Damar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LIGHT+</t>
        </is>
      </c>
      <c r="B2703" s="2">
        <f>"20100485860"</f>
        <v/>
      </c>
      <c r="C2703" t="inlineStr">
        <is>
          <t>LIGHT+ Wardah Lite Skin Filter Cushion 04 Beige 11gr</t>
        </is>
      </c>
      <c r="D2703" t="inlineStr">
        <is>
          <t>Miss Glam Damar</t>
        </is>
      </c>
      <c r="E2703" t="n">
        <v>10</v>
      </c>
      <c r="F2703" t="n">
        <v>0.4277</v>
      </c>
      <c r="G2703" t="n">
        <v>2.73</v>
      </c>
      <c r="H2703" t="n">
        <v>2</v>
      </c>
      <c r="I2703" t="n">
        <v>6</v>
      </c>
      <c r="J2703" t="n">
        <v>1</v>
      </c>
      <c r="K2703" t="n">
        <v>0</v>
      </c>
      <c r="L2703" t="n">
        <v>79695</v>
      </c>
      <c r="M2703" t="n">
        <v>94000</v>
      </c>
      <c r="N2703" t="n">
        <v>91</v>
      </c>
      <c r="O2703" t="n">
        <v>0.91</v>
      </c>
      <c r="P2703" t="n">
        <v>1</v>
      </c>
      <c r="Q2703" t="n">
        <v>0.29</v>
      </c>
      <c r="R2703" t="n">
        <v>2</v>
      </c>
      <c r="S2703" t="n">
        <v>40203.8</v>
      </c>
      <c r="T2703" t="n">
        <v>16</v>
      </c>
      <c r="U2703" t="n">
        <v>17</v>
      </c>
      <c r="V2703" t="n">
        <v>30</v>
      </c>
      <c r="W2703" t="n">
        <v>13</v>
      </c>
      <c r="X2703" t="n">
        <v>23.38087444470423</v>
      </c>
      <c r="Y2703" t="n">
        <v>1</v>
      </c>
      <c r="Z2703" t="n">
        <v>3</v>
      </c>
      <c r="AA2703" t="n">
        <v>0</v>
      </c>
      <c r="AB2703" t="n">
        <v>3</v>
      </c>
      <c r="AC2703" t="n">
        <v>3</v>
      </c>
      <c r="AD2703" t="n">
        <v>0</v>
      </c>
      <c r="AE2703" t="n">
        <v>239085</v>
      </c>
      <c r="AF2703" t="n">
        <v>11707</v>
      </c>
      <c r="AG2703" t="n">
        <v>63</v>
      </c>
      <c r="AH2703" t="inlineStr">
        <is>
          <t>PT. PARAMA GLOBAL INSPIRA - PPN (PDG)</t>
        </is>
      </c>
      <c r="AI2703" t="n">
        <v>2395</v>
      </c>
      <c r="AJ2703" t="inlineStr">
        <is>
          <t>LIGHT+</t>
        </is>
      </c>
      <c r="AK2703" t="n">
        <v>21</v>
      </c>
      <c r="AL2703" t="inlineStr">
        <is>
          <t>Miss Glam Damar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LIGHT+</t>
        </is>
      </c>
      <c r="B2704" s="2">
        <f>"20100485920"</f>
        <v/>
      </c>
      <c r="C2704" t="inlineStr">
        <is>
          <t>LIGHT+ Wardah Lite Skin Filter Cushion 05 Creme 11gr</t>
        </is>
      </c>
      <c r="D2704" t="inlineStr">
        <is>
          <t>Miss Glam Damar</t>
        </is>
      </c>
      <c r="E2704" t="n">
        <v>8</v>
      </c>
      <c r="F2704" t="n">
        <v>0.1365</v>
      </c>
      <c r="G2704" t="n">
        <v>1.82</v>
      </c>
      <c r="H2704" t="n">
        <v>2</v>
      </c>
      <c r="I2704" t="n">
        <v>6</v>
      </c>
      <c r="J2704" t="n">
        <v>1</v>
      </c>
      <c r="K2704" t="n">
        <v>0</v>
      </c>
      <c r="L2704" t="n">
        <v>79695</v>
      </c>
      <c r="M2704" t="n">
        <v>94000</v>
      </c>
      <c r="N2704" t="n">
        <v>91</v>
      </c>
      <c r="O2704" t="n">
        <v>0.91</v>
      </c>
      <c r="P2704" t="n">
        <v>1</v>
      </c>
      <c r="Q2704" t="n">
        <v>0.1</v>
      </c>
      <c r="R2704" t="n">
        <v>1</v>
      </c>
      <c r="S2704" t="n">
        <v>12831</v>
      </c>
      <c r="T2704" t="n">
        <v>11</v>
      </c>
      <c r="U2704" t="n">
        <v>12</v>
      </c>
      <c r="V2704" t="n">
        <v>30</v>
      </c>
      <c r="W2704" t="n">
        <v>5</v>
      </c>
      <c r="X2704" t="n">
        <v>58.60805860805861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11707</v>
      </c>
      <c r="AG2704" t="n">
        <v>63</v>
      </c>
      <c r="AH2704" t="inlineStr">
        <is>
          <t>PT. PARAMA GLOBAL INSPIRA - PPN (PDG)</t>
        </is>
      </c>
      <c r="AI2704" t="n">
        <v>2395</v>
      </c>
      <c r="AJ2704" t="inlineStr">
        <is>
          <t>LIGHT+</t>
        </is>
      </c>
      <c r="AK2704" t="n">
        <v>21</v>
      </c>
      <c r="AL2704" t="inlineStr">
        <is>
          <t>Miss Glam Damar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LIGHT+</t>
        </is>
      </c>
      <c r="B2705" s="2">
        <f>"20100486043"</f>
        <v/>
      </c>
      <c r="C2705" t="inlineStr">
        <is>
          <t>LIGHT+ Wardah Lite Skin Filter Cushion 06 Sand 11g</t>
        </is>
      </c>
      <c r="D2705" t="inlineStr">
        <is>
          <t>Miss Glam Damar</t>
        </is>
      </c>
      <c r="E2705" t="n">
        <v>6</v>
      </c>
      <c r="F2705" t="n">
        <v>0.09100000000000001</v>
      </c>
      <c r="G2705" t="n">
        <v>0.91</v>
      </c>
      <c r="H2705" t="n">
        <v>2</v>
      </c>
      <c r="I2705" t="n">
        <v>6</v>
      </c>
      <c r="J2705" t="n">
        <v>1</v>
      </c>
      <c r="K2705" t="n">
        <v>0</v>
      </c>
      <c r="L2705" t="n">
        <v>79695</v>
      </c>
      <c r="M2705" t="n">
        <v>94000</v>
      </c>
      <c r="N2705" t="n">
        <v>91</v>
      </c>
      <c r="O2705" t="n">
        <v>0.91</v>
      </c>
      <c r="P2705" t="n">
        <v>1</v>
      </c>
      <c r="Q2705" t="n">
        <v>0.07000000000000001</v>
      </c>
      <c r="R2705" t="n">
        <v>1</v>
      </c>
      <c r="S2705" t="n">
        <v>8554.000000000002</v>
      </c>
      <c r="T2705" t="n">
        <v>6</v>
      </c>
      <c r="U2705" t="n">
        <v>7</v>
      </c>
      <c r="V2705" t="n">
        <v>30</v>
      </c>
      <c r="W2705" t="n">
        <v>3</v>
      </c>
      <c r="X2705" t="n">
        <v>65.93406593406593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11707</v>
      </c>
      <c r="AG2705" t="n">
        <v>63</v>
      </c>
      <c r="AH2705" t="inlineStr">
        <is>
          <t>PT. PARAMA GLOBAL INSPIRA - PPN (PDG)</t>
        </is>
      </c>
      <c r="AI2705" t="n">
        <v>2395</v>
      </c>
      <c r="AJ2705" t="inlineStr">
        <is>
          <t>LIGHT+</t>
        </is>
      </c>
      <c r="AK2705" t="n">
        <v>21</v>
      </c>
      <c r="AL2705" t="inlineStr">
        <is>
          <t>Miss Glam Damar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LIGHT+</t>
        </is>
      </c>
      <c r="B2706" s="2">
        <f>"8993137708067"</f>
        <v/>
      </c>
      <c r="C2706" t="inlineStr">
        <is>
          <t>LIGHT+ Wardah Micellar Gentel wash 50ml</t>
        </is>
      </c>
      <c r="D2706" t="inlineStr">
        <is>
          <t>Miss Glam Damar</t>
        </is>
      </c>
      <c r="E2706" t="n">
        <v>9</v>
      </c>
      <c r="F2706" t="n">
        <v>0.5824</v>
      </c>
      <c r="G2706" t="n">
        <v>3.64</v>
      </c>
      <c r="H2706" t="n">
        <v>2</v>
      </c>
      <c r="I2706" t="n">
        <v>6</v>
      </c>
      <c r="J2706" t="n">
        <v>3</v>
      </c>
      <c r="K2706" t="n">
        <v>0</v>
      </c>
      <c r="L2706" t="n">
        <v>18390</v>
      </c>
      <c r="M2706" t="n">
        <v>22000</v>
      </c>
      <c r="N2706" t="n">
        <v>91</v>
      </c>
      <c r="O2706" t="n">
        <v>0.91</v>
      </c>
      <c r="P2706" t="n">
        <v>1</v>
      </c>
      <c r="Q2706" t="n">
        <v>0.36</v>
      </c>
      <c r="R2706" t="n">
        <v>2</v>
      </c>
      <c r="S2706" t="n">
        <v>12812.8</v>
      </c>
      <c r="T2706" t="n">
        <v>21</v>
      </c>
      <c r="U2706" t="n">
        <v>23</v>
      </c>
      <c r="V2706" t="n">
        <v>30</v>
      </c>
      <c r="W2706" t="n">
        <v>18</v>
      </c>
      <c r="X2706" t="n">
        <v>15.4532967032967</v>
      </c>
      <c r="Y2706" t="n">
        <v>1</v>
      </c>
      <c r="Z2706" t="n">
        <v>9</v>
      </c>
      <c r="AA2706" t="n">
        <v>0</v>
      </c>
      <c r="AB2706" t="n">
        <v>9</v>
      </c>
      <c r="AC2706" t="n">
        <v>9</v>
      </c>
      <c r="AD2706" t="n">
        <v>0</v>
      </c>
      <c r="AE2706" t="n">
        <v>165510</v>
      </c>
      <c r="AF2706" t="n">
        <v>11707</v>
      </c>
      <c r="AG2706" t="n">
        <v>63</v>
      </c>
      <c r="AH2706" t="inlineStr">
        <is>
          <t>PT. PARAMA GLOBAL INSPIRA - PPN (PDG)</t>
        </is>
      </c>
      <c r="AI2706" t="n">
        <v>2395</v>
      </c>
      <c r="AJ2706" t="inlineStr">
        <is>
          <t>LIGHT+</t>
        </is>
      </c>
      <c r="AK2706" t="n">
        <v>21</v>
      </c>
      <c r="AL2706" t="inlineStr">
        <is>
          <t>Miss Glam Damar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LIGHT+</t>
        </is>
      </c>
      <c r="B2707" s="2">
        <f>"8993137707749"</f>
        <v/>
      </c>
      <c r="C2707" t="inlineStr">
        <is>
          <t>LIGHT+ Wardah Whip Facial Foam 100ml</t>
        </is>
      </c>
      <c r="D2707" t="inlineStr">
        <is>
          <t>Miss Glam Damar</t>
        </is>
      </c>
      <c r="E2707" t="n">
        <v>30</v>
      </c>
      <c r="F2707" t="n">
        <v>1.5561</v>
      </c>
      <c r="G2707" t="n">
        <v>4.55</v>
      </c>
      <c r="H2707" t="n">
        <v>2</v>
      </c>
      <c r="I2707" t="n">
        <v>6</v>
      </c>
      <c r="J2707" t="n">
        <v>3</v>
      </c>
      <c r="K2707" t="n">
        <v>0</v>
      </c>
      <c r="L2707" t="n">
        <v>27586</v>
      </c>
      <c r="M2707" t="n">
        <v>32500</v>
      </c>
      <c r="N2707" t="n">
        <v>91</v>
      </c>
      <c r="O2707" t="n">
        <v>0.91</v>
      </c>
      <c r="P2707" t="n">
        <v>1</v>
      </c>
      <c r="Q2707" t="n">
        <v>1.1</v>
      </c>
      <c r="R2707" t="n">
        <v>4</v>
      </c>
      <c r="S2707" t="n">
        <v>50573.25</v>
      </c>
      <c r="T2707" t="n">
        <v>25</v>
      </c>
      <c r="U2707" t="n">
        <v>29</v>
      </c>
      <c r="V2707" t="n">
        <v>30</v>
      </c>
      <c r="W2707" t="n">
        <v>47</v>
      </c>
      <c r="X2707" t="n">
        <v>19.2789666473877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11707</v>
      </c>
      <c r="AG2707" t="n">
        <v>63</v>
      </c>
      <c r="AH2707" t="inlineStr">
        <is>
          <t>PT. PARAMA GLOBAL INSPIRA - PPN (PDG)</t>
        </is>
      </c>
      <c r="AI2707" t="n">
        <v>2395</v>
      </c>
      <c r="AJ2707" t="inlineStr">
        <is>
          <t>LIGHT+</t>
        </is>
      </c>
      <c r="AK2707" t="n">
        <v>21</v>
      </c>
      <c r="AL2707" t="inlineStr">
        <is>
          <t>Miss Glam Damar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LIGHT+</t>
        </is>
      </c>
      <c r="B2708" s="2">
        <f>"8993137707732"</f>
        <v/>
      </c>
      <c r="C2708" t="inlineStr">
        <is>
          <t>LIGHT+ Wardah Whip Facial Foam 50ml</t>
        </is>
      </c>
      <c r="D2708" t="inlineStr">
        <is>
          <t>Miss Glam Damar</t>
        </is>
      </c>
      <c r="E2708" t="n">
        <v>5</v>
      </c>
      <c r="F2708" t="n">
        <v>0.3276</v>
      </c>
      <c r="G2708" t="n">
        <v>1.82</v>
      </c>
      <c r="H2708" t="n">
        <v>2</v>
      </c>
      <c r="I2708" t="n">
        <v>6</v>
      </c>
      <c r="J2708" t="n">
        <v>3</v>
      </c>
      <c r="K2708" t="n">
        <v>0</v>
      </c>
      <c r="L2708" t="n">
        <v>18391</v>
      </c>
      <c r="M2708" t="n">
        <v>22000</v>
      </c>
      <c r="N2708" t="n">
        <v>91</v>
      </c>
      <c r="O2708" t="n">
        <v>0.91</v>
      </c>
      <c r="P2708" t="n">
        <v>1</v>
      </c>
      <c r="Q2708" t="n">
        <v>0.27</v>
      </c>
      <c r="R2708" t="n">
        <v>3</v>
      </c>
      <c r="S2708" t="n">
        <v>7207.2</v>
      </c>
      <c r="T2708" t="n">
        <v>11</v>
      </c>
      <c r="U2708" t="n">
        <v>12</v>
      </c>
      <c r="V2708" t="n">
        <v>30</v>
      </c>
      <c r="W2708" t="n">
        <v>10</v>
      </c>
      <c r="X2708" t="n">
        <v>15.26251526251526</v>
      </c>
      <c r="Y2708" t="n">
        <v>1</v>
      </c>
      <c r="Z2708" t="n">
        <v>5</v>
      </c>
      <c r="AA2708" t="n">
        <v>0</v>
      </c>
      <c r="AB2708" t="n">
        <v>5</v>
      </c>
      <c r="AC2708" t="n">
        <v>5</v>
      </c>
      <c r="AD2708" t="n">
        <v>0</v>
      </c>
      <c r="AE2708" t="n">
        <v>91955</v>
      </c>
      <c r="AF2708" t="n">
        <v>11707</v>
      </c>
      <c r="AG2708" t="n">
        <v>63</v>
      </c>
      <c r="AH2708" t="inlineStr">
        <is>
          <t>PT. PARAMA GLOBAL INSPIRA - PPN (PDG)</t>
        </is>
      </c>
      <c r="AI2708" t="n">
        <v>2395</v>
      </c>
      <c r="AJ2708" t="inlineStr">
        <is>
          <t>LIGHT+</t>
        </is>
      </c>
      <c r="AK2708" t="n">
        <v>21</v>
      </c>
      <c r="AL2708" t="inlineStr">
        <is>
          <t>Miss Glam Damar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LILITH &amp; EVE</t>
        </is>
      </c>
      <c r="B2709" s="2">
        <f>"764460290998"</f>
        <v/>
      </c>
      <c r="C2709" t="inlineStr">
        <is>
          <t>LILITH &amp; EVE Black Opium Eau De Parfume 30ml</t>
        </is>
      </c>
      <c r="D2709" t="inlineStr">
        <is>
          <t>Miss Glam Damar</t>
        </is>
      </c>
      <c r="E2709" t="n">
        <v>0</v>
      </c>
      <c r="F2709" t="n">
        <v>0.1092</v>
      </c>
      <c r="G2709" t="n">
        <v>0.91</v>
      </c>
      <c r="H2709" t="n">
        <v>3</v>
      </c>
      <c r="I2709" t="n">
        <v>11</v>
      </c>
      <c r="J2709" t="n">
        <v>3</v>
      </c>
      <c r="K2709" t="n">
        <v>0</v>
      </c>
      <c r="L2709" t="n">
        <v>66300</v>
      </c>
      <c r="M2709" t="n">
        <v>96000</v>
      </c>
      <c r="N2709" t="n">
        <v>91</v>
      </c>
      <c r="O2709" t="n">
        <v>0.91</v>
      </c>
      <c r="P2709" t="n">
        <v>1</v>
      </c>
      <c r="Q2709" t="n">
        <v>0.1</v>
      </c>
      <c r="R2709" t="n">
        <v>1</v>
      </c>
      <c r="S2709" t="n">
        <v>10483.2</v>
      </c>
      <c r="T2709" t="n">
        <v>10</v>
      </c>
      <c r="U2709" t="n">
        <v>11</v>
      </c>
      <c r="V2709" t="n">
        <v>30</v>
      </c>
      <c r="W2709" t="n">
        <v>4</v>
      </c>
      <c r="X2709" t="n">
        <v>0</v>
      </c>
      <c r="Y2709" t="n">
        <v>1</v>
      </c>
      <c r="Z2709" t="n">
        <v>4</v>
      </c>
      <c r="AA2709" t="n">
        <v>2</v>
      </c>
      <c r="AB2709" t="n">
        <v>2</v>
      </c>
      <c r="AC2709" t="n">
        <v>3</v>
      </c>
      <c r="AD2709" t="n">
        <v>132600</v>
      </c>
      <c r="AE2709" t="n">
        <v>198900</v>
      </c>
      <c r="AF2709" t="n">
        <v>10090</v>
      </c>
      <c r="AG2709" t="n">
        <v>78</v>
      </c>
      <c r="AH2709" t="inlineStr">
        <is>
          <t>PT. GLORIENTA P.H - PPN (PDG)</t>
        </is>
      </c>
      <c r="AI2709" t="n">
        <v>1265</v>
      </c>
      <c r="AJ2709" t="inlineStr">
        <is>
          <t>LILITH &amp; EVE</t>
        </is>
      </c>
      <c r="AK2709" t="n">
        <v>21</v>
      </c>
      <c r="AL2709" t="inlineStr">
        <is>
          <t>Miss Glam Damar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LILITH &amp; EVE</t>
        </is>
      </c>
      <c r="B2710" s="2">
        <f>"764460291018"</f>
        <v/>
      </c>
      <c r="C2710" t="inlineStr">
        <is>
          <t>LILITH &amp; EVE Garden Of Eden Eau De Parfume 30ml</t>
        </is>
      </c>
      <c r="D2710" t="inlineStr">
        <is>
          <t>Miss Glam Damar</t>
        </is>
      </c>
      <c r="E2710" t="n">
        <v>0</v>
      </c>
      <c r="F2710" t="n">
        <v>0.05</v>
      </c>
      <c r="G2710" t="n">
        <v>1</v>
      </c>
      <c r="H2710" t="n">
        <v>3</v>
      </c>
      <c r="I2710" t="n">
        <v>11</v>
      </c>
      <c r="J2710" t="n">
        <v>3</v>
      </c>
      <c r="K2710" t="n">
        <v>0</v>
      </c>
      <c r="L2710" t="n">
        <v>66300</v>
      </c>
      <c r="M2710" t="n">
        <v>97000</v>
      </c>
      <c r="N2710" t="n">
        <v>91</v>
      </c>
      <c r="O2710" t="n">
        <v>0.91</v>
      </c>
      <c r="P2710" t="n">
        <v>0</v>
      </c>
      <c r="Q2710" t="n">
        <v>0.05</v>
      </c>
      <c r="R2710" t="n">
        <v>1</v>
      </c>
      <c r="S2710" t="n">
        <v>4850</v>
      </c>
      <c r="T2710" t="n">
        <v>11</v>
      </c>
      <c r="U2710" t="n">
        <v>12</v>
      </c>
      <c r="V2710" t="n">
        <v>30</v>
      </c>
      <c r="W2710" t="n">
        <v>2</v>
      </c>
      <c r="X2710" t="n">
        <v>0</v>
      </c>
      <c r="Y2710" t="n">
        <v>1</v>
      </c>
      <c r="Z2710" t="n">
        <v>2</v>
      </c>
      <c r="AA2710" t="n">
        <v>1</v>
      </c>
      <c r="AB2710" t="n">
        <v>1</v>
      </c>
      <c r="AC2710" t="n">
        <v>3</v>
      </c>
      <c r="AD2710" t="n">
        <v>66300</v>
      </c>
      <c r="AE2710" t="n">
        <v>198900</v>
      </c>
      <c r="AF2710" t="n">
        <v>10090</v>
      </c>
      <c r="AG2710" t="n">
        <v>78</v>
      </c>
      <c r="AH2710" t="inlineStr">
        <is>
          <t>PT. GLORIENTA P.H - PPN (PDG)</t>
        </is>
      </c>
      <c r="AI2710" t="n">
        <v>1265</v>
      </c>
      <c r="AJ2710" t="inlineStr">
        <is>
          <t>LILITH &amp; EVE</t>
        </is>
      </c>
      <c r="AK2710" t="n">
        <v>21</v>
      </c>
      <c r="AL2710" t="inlineStr">
        <is>
          <t>Miss Glam Damar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LILITH &amp; EVE</t>
        </is>
      </c>
      <c r="B2711" s="2">
        <f>"764460291049"</f>
        <v/>
      </c>
      <c r="C2711" t="inlineStr">
        <is>
          <t>LILITH &amp; EVE Night Deemon Eau De Parfume 30ml</t>
        </is>
      </c>
      <c r="D2711" t="inlineStr">
        <is>
          <t>Miss Glam Damar</t>
        </is>
      </c>
      <c r="E2711" t="n">
        <v>3</v>
      </c>
      <c r="F2711" t="n">
        <v>0.02</v>
      </c>
      <c r="G2711" t="n">
        <v>1</v>
      </c>
      <c r="H2711" t="n">
        <v>3</v>
      </c>
      <c r="I2711" t="n">
        <v>11</v>
      </c>
      <c r="J2711" t="n">
        <v>3</v>
      </c>
      <c r="K2711" t="n">
        <v>0</v>
      </c>
      <c r="L2711" t="n">
        <v>66300</v>
      </c>
      <c r="M2711" t="n">
        <v>97000</v>
      </c>
      <c r="N2711" t="n">
        <v>91</v>
      </c>
      <c r="O2711" t="n">
        <v>0.91</v>
      </c>
      <c r="P2711" t="n">
        <v>0</v>
      </c>
      <c r="Q2711" t="n">
        <v>0.02</v>
      </c>
      <c r="R2711" t="n">
        <v>1</v>
      </c>
      <c r="S2711" t="n">
        <v>1940</v>
      </c>
      <c r="T2711" t="n">
        <v>11</v>
      </c>
      <c r="U2711" t="n">
        <v>12</v>
      </c>
      <c r="V2711" t="n">
        <v>30</v>
      </c>
      <c r="W2711" t="n">
        <v>1</v>
      </c>
      <c r="X2711" t="n">
        <v>150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10090</v>
      </c>
      <c r="AG2711" t="n">
        <v>78</v>
      </c>
      <c r="AH2711" t="inlineStr">
        <is>
          <t>PT. GLORIENTA P.H - PPN (PDG)</t>
        </is>
      </c>
      <c r="AI2711" t="n">
        <v>1265</v>
      </c>
      <c r="AJ2711" t="inlineStr">
        <is>
          <t>LILITH &amp; EVE</t>
        </is>
      </c>
      <c r="AK2711" t="n">
        <v>21</v>
      </c>
      <c r="AL2711" t="inlineStr">
        <is>
          <t>Miss Glam Damar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LIP ICE</t>
        </is>
      </c>
      <c r="B2712" s="2">
        <f>"8992821103324"</f>
        <v/>
      </c>
      <c r="C2712" t="inlineStr">
        <is>
          <t>LIP ICE Color Matte Sweet Peach 2g</t>
        </is>
      </c>
      <c r="D2712" t="inlineStr">
        <is>
          <t>Miss Glam Damar</t>
        </is>
      </c>
      <c r="E2712" t="n">
        <v>9</v>
      </c>
      <c r="F2712" t="n">
        <v>0.05</v>
      </c>
      <c r="G2712" t="n">
        <v>1</v>
      </c>
      <c r="H2712" t="n">
        <v>3</v>
      </c>
      <c r="I2712" t="n">
        <v>14</v>
      </c>
      <c r="J2712" t="n">
        <v>3</v>
      </c>
      <c r="K2712" t="n">
        <v>0</v>
      </c>
      <c r="L2712" t="n">
        <v>36044</v>
      </c>
      <c r="M2712" t="n">
        <v>44000</v>
      </c>
      <c r="N2712" t="n">
        <v>91</v>
      </c>
      <c r="O2712" t="n">
        <v>0.91</v>
      </c>
      <c r="P2712" t="n">
        <v>0</v>
      </c>
      <c r="Q2712" t="n">
        <v>0.05</v>
      </c>
      <c r="R2712" t="n">
        <v>1</v>
      </c>
      <c r="S2712" t="n">
        <v>2200</v>
      </c>
      <c r="T2712" t="n">
        <v>14</v>
      </c>
      <c r="U2712" t="n">
        <v>15</v>
      </c>
      <c r="V2712" t="n">
        <v>30</v>
      </c>
      <c r="W2712" t="n">
        <v>2</v>
      </c>
      <c r="X2712" t="n">
        <v>180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11007</v>
      </c>
      <c r="AG2712" t="n">
        <v>33</v>
      </c>
      <c r="AH2712" t="inlineStr">
        <is>
          <t>PT. MENSA BINASUKSES - PPN (PDG)</t>
        </is>
      </c>
      <c r="AI2712" t="n">
        <v>394</v>
      </c>
      <c r="AJ2712" t="inlineStr">
        <is>
          <t>LIP ICE</t>
        </is>
      </c>
      <c r="AK2712" t="n">
        <v>21</v>
      </c>
      <c r="AL2712" t="inlineStr">
        <is>
          <t>Miss Glam Damar</t>
        </is>
      </c>
      <c r="AM2712" t="n">
        <v>3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LIP ICE</t>
        </is>
      </c>
      <c r="B2713" s="2">
        <f>"8992821100057"</f>
        <v/>
      </c>
      <c r="C2713" t="inlineStr">
        <is>
          <t>LIP ICE Regular Fruity Lip Balm Apple 2.2g</t>
        </is>
      </c>
      <c r="D2713" t="inlineStr">
        <is>
          <t>Miss Glam Damar</t>
        </is>
      </c>
      <c r="E2713" t="n">
        <v>4</v>
      </c>
      <c r="F2713" t="n">
        <v>0.03</v>
      </c>
      <c r="G2713" t="n">
        <v>1</v>
      </c>
      <c r="H2713" t="n">
        <v>3</v>
      </c>
      <c r="I2713" t="n">
        <v>14</v>
      </c>
      <c r="J2713" t="n">
        <v>3</v>
      </c>
      <c r="K2713" t="n">
        <v>0</v>
      </c>
      <c r="L2713" t="n">
        <v>20480</v>
      </c>
      <c r="M2713" t="n">
        <v>25000</v>
      </c>
      <c r="N2713" t="n">
        <v>91</v>
      </c>
      <c r="O2713" t="n">
        <v>0.91</v>
      </c>
      <c r="P2713" t="n">
        <v>0</v>
      </c>
      <c r="Q2713" t="n">
        <v>0.03</v>
      </c>
      <c r="R2713" t="n">
        <v>1</v>
      </c>
      <c r="S2713" t="n">
        <v>750</v>
      </c>
      <c r="T2713" t="n">
        <v>14</v>
      </c>
      <c r="U2713" t="n">
        <v>15</v>
      </c>
      <c r="V2713" t="n">
        <v>30</v>
      </c>
      <c r="W2713" t="n">
        <v>1</v>
      </c>
      <c r="X2713" t="n">
        <v>133.3333333333333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11007</v>
      </c>
      <c r="AG2713" t="n">
        <v>33</v>
      </c>
      <c r="AH2713" t="inlineStr">
        <is>
          <t>PT. MENSA BINASUKSES - PPN (PDG)</t>
        </is>
      </c>
      <c r="AI2713" t="n">
        <v>394</v>
      </c>
      <c r="AJ2713" t="inlineStr">
        <is>
          <t>LIP ICE</t>
        </is>
      </c>
      <c r="AK2713" t="n">
        <v>21</v>
      </c>
      <c r="AL2713" t="inlineStr">
        <is>
          <t>Miss Glam Damar</t>
        </is>
      </c>
      <c r="AM2713" t="n">
        <v>3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LIP ICE</t>
        </is>
      </c>
      <c r="B2714" s="2">
        <f>"8992821100040"</f>
        <v/>
      </c>
      <c r="C2714" t="inlineStr">
        <is>
          <t>LIP ICE Regular Fruity Lip Balm Strawberry SPF 15 2.2g</t>
        </is>
      </c>
      <c r="D2714" t="inlineStr">
        <is>
          <t>Miss Glam Damar</t>
        </is>
      </c>
      <c r="E2714" t="n">
        <v>13</v>
      </c>
      <c r="F2714" t="n">
        <v>0.2275</v>
      </c>
      <c r="G2714" t="n">
        <v>1.82</v>
      </c>
      <c r="H2714" t="n">
        <v>3</v>
      </c>
      <c r="I2714" t="n">
        <v>14</v>
      </c>
      <c r="J2714" t="n">
        <v>3</v>
      </c>
      <c r="K2714" t="n">
        <v>0</v>
      </c>
      <c r="L2714" t="n">
        <v>20480</v>
      </c>
      <c r="M2714" t="n">
        <v>25000</v>
      </c>
      <c r="N2714" t="n">
        <v>91</v>
      </c>
      <c r="O2714" t="n">
        <v>0.91</v>
      </c>
      <c r="P2714" t="n">
        <v>1</v>
      </c>
      <c r="Q2714" t="n">
        <v>0.14</v>
      </c>
      <c r="R2714" t="n">
        <v>1</v>
      </c>
      <c r="S2714" t="n">
        <v>5687.5</v>
      </c>
      <c r="T2714" t="n">
        <v>25</v>
      </c>
      <c r="U2714" t="n">
        <v>26</v>
      </c>
      <c r="V2714" t="n">
        <v>30</v>
      </c>
      <c r="W2714" t="n">
        <v>7</v>
      </c>
      <c r="X2714" t="n">
        <v>57.14285714285714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11007</v>
      </c>
      <c r="AG2714" t="n">
        <v>33</v>
      </c>
      <c r="AH2714" t="inlineStr">
        <is>
          <t>PT. MENSA BINASUKSES - PPN (PDG)</t>
        </is>
      </c>
      <c r="AI2714" t="n">
        <v>394</v>
      </c>
      <c r="AJ2714" t="inlineStr">
        <is>
          <t>LIP ICE</t>
        </is>
      </c>
      <c r="AK2714" t="n">
        <v>21</v>
      </c>
      <c r="AL2714" t="inlineStr">
        <is>
          <t>Miss Glam Damar</t>
        </is>
      </c>
      <c r="AM2714" t="n">
        <v>3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LIP ICE</t>
        </is>
      </c>
      <c r="B2715" s="2">
        <f>"8992821101313"</f>
        <v/>
      </c>
      <c r="C2715" t="inlineStr">
        <is>
          <t>LIP ICE SC Bee wax Natural 2.2g</t>
        </is>
      </c>
      <c r="D2715" t="inlineStr">
        <is>
          <t>Miss Glam Damar</t>
        </is>
      </c>
      <c r="E2715" t="n">
        <v>6</v>
      </c>
      <c r="F2715" t="n">
        <v>0.1274</v>
      </c>
      <c r="G2715" t="n">
        <v>1.82</v>
      </c>
      <c r="H2715" t="n">
        <v>3</v>
      </c>
      <c r="I2715" t="n">
        <v>14</v>
      </c>
      <c r="J2715" t="n">
        <v>3</v>
      </c>
      <c r="K2715" t="n">
        <v>0</v>
      </c>
      <c r="L2715" t="n">
        <v>26214</v>
      </c>
      <c r="M2715" t="n">
        <v>33000</v>
      </c>
      <c r="N2715" t="n">
        <v>91</v>
      </c>
      <c r="O2715" t="n">
        <v>0.91</v>
      </c>
      <c r="P2715" t="n">
        <v>1</v>
      </c>
      <c r="Q2715" t="n">
        <v>0.05</v>
      </c>
      <c r="R2715" t="n">
        <v>1</v>
      </c>
      <c r="S2715" t="n">
        <v>4204.200000000001</v>
      </c>
      <c r="T2715" t="n">
        <v>26</v>
      </c>
      <c r="U2715" t="n">
        <v>27</v>
      </c>
      <c r="V2715" t="n">
        <v>30</v>
      </c>
      <c r="W2715" t="n">
        <v>4</v>
      </c>
      <c r="X2715" t="n">
        <v>47.09576138147566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11007</v>
      </c>
      <c r="AG2715" t="n">
        <v>33</v>
      </c>
      <c r="AH2715" t="inlineStr">
        <is>
          <t>PT. MENSA BINASUKSES - PPN (PDG)</t>
        </is>
      </c>
      <c r="AI2715" t="n">
        <v>394</v>
      </c>
      <c r="AJ2715" t="inlineStr">
        <is>
          <t>LIP ICE</t>
        </is>
      </c>
      <c r="AK2715" t="n">
        <v>21</v>
      </c>
      <c r="AL2715" t="inlineStr">
        <is>
          <t>Miss Glam Damar</t>
        </is>
      </c>
      <c r="AM2715" t="n">
        <v>3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LIP ICE</t>
        </is>
      </c>
      <c r="B2716" s="2">
        <f>"8992821100163"</f>
        <v/>
      </c>
      <c r="C2716" t="inlineStr">
        <is>
          <t>LIP ICE Sheer Color Strawberry 2.2gr</t>
        </is>
      </c>
      <c r="D2716" t="inlineStr">
        <is>
          <t>Miss Glam Damar</t>
        </is>
      </c>
      <c r="E2716" t="n">
        <v>21</v>
      </c>
      <c r="F2716" t="n">
        <v>0.3367</v>
      </c>
      <c r="G2716" t="n">
        <v>1.82</v>
      </c>
      <c r="H2716" t="n">
        <v>3</v>
      </c>
      <c r="I2716" t="n">
        <v>14</v>
      </c>
      <c r="J2716" t="n">
        <v>3</v>
      </c>
      <c r="K2716" t="n">
        <v>0</v>
      </c>
      <c r="L2716" t="n">
        <v>23756</v>
      </c>
      <c r="M2716" t="n">
        <v>30000</v>
      </c>
      <c r="N2716" t="n">
        <v>91</v>
      </c>
      <c r="O2716" t="n">
        <v>0.91</v>
      </c>
      <c r="P2716" t="n">
        <v>1</v>
      </c>
      <c r="Q2716" t="n">
        <v>1.1</v>
      </c>
      <c r="R2716" t="n">
        <v>5</v>
      </c>
      <c r="S2716" t="n">
        <v>10101</v>
      </c>
      <c r="T2716" t="n">
        <v>25</v>
      </c>
      <c r="U2716" t="n">
        <v>27</v>
      </c>
      <c r="V2716" t="n">
        <v>30</v>
      </c>
      <c r="W2716" t="n">
        <v>11</v>
      </c>
      <c r="X2716" t="n">
        <v>62.37006237006237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11007</v>
      </c>
      <c r="AG2716" t="n">
        <v>33</v>
      </c>
      <c r="AH2716" t="inlineStr">
        <is>
          <t>PT. MENSA BINASUKSES - PPN (PDG)</t>
        </is>
      </c>
      <c r="AI2716" t="n">
        <v>394</v>
      </c>
      <c r="AJ2716" t="inlineStr">
        <is>
          <t>LIP ICE</t>
        </is>
      </c>
      <c r="AK2716" t="n">
        <v>21</v>
      </c>
      <c r="AL2716" t="inlineStr">
        <is>
          <t>Miss Glam Damar</t>
        </is>
      </c>
      <c r="AM2716" t="n">
        <v>3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LIP ICE</t>
        </is>
      </c>
      <c r="B2717" s="2">
        <f>"8992821103645"</f>
        <v/>
      </c>
      <c r="C2717" t="inlineStr">
        <is>
          <t>LIP ICE Sport Sunscreen Lip</t>
        </is>
      </c>
      <c r="D2717" t="inlineStr">
        <is>
          <t>Miss Glam Damar</t>
        </is>
      </c>
      <c r="E2717" t="n">
        <v>17</v>
      </c>
      <c r="F2717" t="n">
        <v>0.3094</v>
      </c>
      <c r="G2717" t="n">
        <v>3.64</v>
      </c>
      <c r="H2717" t="n">
        <v>3</v>
      </c>
      <c r="I2717" t="n">
        <v>14</v>
      </c>
      <c r="J2717" t="n">
        <v>3</v>
      </c>
      <c r="K2717" t="n">
        <v>0</v>
      </c>
      <c r="L2717" t="n">
        <v>32767</v>
      </c>
      <c r="M2717" t="n">
        <v>40000</v>
      </c>
      <c r="N2717" t="n">
        <v>91</v>
      </c>
      <c r="O2717" t="n">
        <v>0.91</v>
      </c>
      <c r="P2717" t="n">
        <v>1</v>
      </c>
      <c r="Q2717" t="n">
        <v>0.27</v>
      </c>
      <c r="R2717" t="n">
        <v>2</v>
      </c>
      <c r="S2717" t="n">
        <v>12376</v>
      </c>
      <c r="T2717" t="n">
        <v>51</v>
      </c>
      <c r="U2717" t="n">
        <v>52</v>
      </c>
      <c r="V2717" t="n">
        <v>30</v>
      </c>
      <c r="W2717" t="n">
        <v>10</v>
      </c>
      <c r="X2717" t="n">
        <v>54.94505494505494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11007</v>
      </c>
      <c r="AG2717" t="n">
        <v>33</v>
      </c>
      <c r="AH2717" t="inlineStr">
        <is>
          <t>PT. MENSA BINASUKSES - PPN (PDG)</t>
        </is>
      </c>
      <c r="AI2717" t="n">
        <v>394</v>
      </c>
      <c r="AJ2717" t="inlineStr">
        <is>
          <t>LIP ICE</t>
        </is>
      </c>
      <c r="AK2717" t="n">
        <v>21</v>
      </c>
      <c r="AL2717" t="inlineStr">
        <is>
          <t>Miss Glam Damar</t>
        </is>
      </c>
      <c r="AM2717" t="n">
        <v>3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LISTERINE</t>
        </is>
      </c>
      <c r="B2718" s="2">
        <f>"11100105918"</f>
        <v/>
      </c>
      <c r="C2718" t="inlineStr">
        <is>
          <t>LISTERINE Zero 250ml</t>
        </is>
      </c>
      <c r="D2718" t="inlineStr">
        <is>
          <t>Miss Glam Damar</t>
        </is>
      </c>
      <c r="E2718" t="n">
        <v>0</v>
      </c>
      <c r="F2718" t="n">
        <v>0.65</v>
      </c>
      <c r="G2718" t="n">
        <v>3</v>
      </c>
      <c r="H2718" t="n">
        <v>4</v>
      </c>
      <c r="I2718" t="n">
        <v>21</v>
      </c>
      <c r="J2718" t="n">
        <v>3</v>
      </c>
      <c r="K2718" t="n">
        <v>0</v>
      </c>
      <c r="L2718" t="n">
        <v>21146</v>
      </c>
      <c r="M2718" t="n">
        <v>26500</v>
      </c>
      <c r="N2718" t="n">
        <v>91</v>
      </c>
      <c r="O2718" t="n">
        <v>0.91</v>
      </c>
      <c r="P2718" t="n">
        <v>0</v>
      </c>
      <c r="Q2718" t="n">
        <v>0.65</v>
      </c>
      <c r="R2718" t="n">
        <v>3</v>
      </c>
      <c r="S2718" t="n">
        <v>17225</v>
      </c>
      <c r="T2718" t="n">
        <v>61</v>
      </c>
      <c r="U2718" t="n">
        <v>64</v>
      </c>
      <c r="V2718" t="n">
        <v>30</v>
      </c>
      <c r="W2718" t="n">
        <v>20</v>
      </c>
      <c r="X2718" t="n">
        <v>0</v>
      </c>
      <c r="Y2718" t="n">
        <v>1</v>
      </c>
      <c r="Z2718" t="n">
        <v>20</v>
      </c>
      <c r="AA2718" t="n">
        <v>14</v>
      </c>
      <c r="AB2718" t="n">
        <v>6</v>
      </c>
      <c r="AC2718" t="n">
        <v>6</v>
      </c>
      <c r="AD2718" t="n">
        <v>296044</v>
      </c>
      <c r="AE2718" t="n">
        <v>126876</v>
      </c>
      <c r="AF2718" t="n">
        <v>6588</v>
      </c>
      <c r="AG2718" t="n">
        <v>1</v>
      </c>
      <c r="AH2718" t="inlineStr">
        <is>
          <t>PT. BERSAMA DISTRIVERSA INDONESIA (DC CIPUTAT)</t>
        </is>
      </c>
      <c r="AI2718" t="n">
        <v>1730</v>
      </c>
      <c r="AJ2718" t="inlineStr">
        <is>
          <t>LISTERINE</t>
        </is>
      </c>
      <c r="AK2718" t="n">
        <v>21</v>
      </c>
      <c r="AL2718" t="inlineStr">
        <is>
          <t>Miss Glam Damar</t>
        </is>
      </c>
      <c r="AM2718" t="n">
        <v>3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LISTERINE</t>
        </is>
      </c>
      <c r="B2719" s="2">
        <f>"8992725910417"</f>
        <v/>
      </c>
      <c r="C2719" t="inlineStr">
        <is>
          <t>LISTERINE Fresh Burst 100ml</t>
        </is>
      </c>
      <c r="D2719" t="inlineStr">
        <is>
          <t>Miss Glam Damar</t>
        </is>
      </c>
      <c r="E2719" t="n">
        <v>0</v>
      </c>
      <c r="F2719" t="n">
        <v>0.45</v>
      </c>
      <c r="G2719" t="n">
        <v>3</v>
      </c>
      <c r="H2719" t="n">
        <v>4</v>
      </c>
      <c r="I2719" t="n">
        <v>21</v>
      </c>
      <c r="J2719" t="n">
        <v>3</v>
      </c>
      <c r="K2719" t="n">
        <v>0</v>
      </c>
      <c r="L2719" t="n">
        <v>8381</v>
      </c>
      <c r="M2719" t="n">
        <v>10000</v>
      </c>
      <c r="N2719" t="n">
        <v>91</v>
      </c>
      <c r="O2719" t="n">
        <v>0.91</v>
      </c>
      <c r="P2719" t="n">
        <v>0</v>
      </c>
      <c r="Q2719" t="n">
        <v>0.45</v>
      </c>
      <c r="R2719" t="n">
        <v>3</v>
      </c>
      <c r="S2719" t="n">
        <v>4500</v>
      </c>
      <c r="T2719" t="n">
        <v>62</v>
      </c>
      <c r="U2719" t="n">
        <v>64</v>
      </c>
      <c r="V2719" t="n">
        <v>30</v>
      </c>
      <c r="W2719" t="n">
        <v>14</v>
      </c>
      <c r="X2719" t="n">
        <v>0</v>
      </c>
      <c r="Y2719" t="n">
        <v>1</v>
      </c>
      <c r="Z2719" t="n">
        <v>14</v>
      </c>
      <c r="AA2719" t="n">
        <v>10</v>
      </c>
      <c r="AB2719" t="n">
        <v>4</v>
      </c>
      <c r="AC2719" t="n">
        <v>4</v>
      </c>
      <c r="AD2719" t="n">
        <v>83810</v>
      </c>
      <c r="AE2719" t="n">
        <v>33524</v>
      </c>
      <c r="AF2719" t="n">
        <v>6588</v>
      </c>
      <c r="AG2719" t="n">
        <v>1</v>
      </c>
      <c r="AH2719" t="inlineStr">
        <is>
          <t>PT. BERSAMA DISTRIVERSA INDONESIA (DC CIPUTAT)</t>
        </is>
      </c>
      <c r="AI2719" t="n">
        <v>1730</v>
      </c>
      <c r="AJ2719" t="inlineStr">
        <is>
          <t>LISTERINE</t>
        </is>
      </c>
      <c r="AK2719" t="n">
        <v>21</v>
      </c>
      <c r="AL2719" t="inlineStr">
        <is>
          <t>Miss Glam Damar</t>
        </is>
      </c>
      <c r="AM2719" t="n">
        <v>3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LISTERINE</t>
        </is>
      </c>
      <c r="B2720" s="2">
        <f>"8991111152073"</f>
        <v/>
      </c>
      <c r="C2720" t="inlineStr">
        <is>
          <t>LISTERINE Natural Green Tea 100ml</t>
        </is>
      </c>
      <c r="D2720" t="inlineStr">
        <is>
          <t>Miss Glam Damar</t>
        </is>
      </c>
      <c r="E2720" t="n">
        <v>0</v>
      </c>
      <c r="F2720" t="n">
        <v>0.83</v>
      </c>
      <c r="G2720" t="n">
        <v>3</v>
      </c>
      <c r="H2720" t="n">
        <v>4</v>
      </c>
      <c r="I2720" t="n">
        <v>21</v>
      </c>
      <c r="J2720" t="n">
        <v>3</v>
      </c>
      <c r="K2720" t="n">
        <v>0</v>
      </c>
      <c r="L2720" t="n">
        <v>9213</v>
      </c>
      <c r="M2720" t="n">
        <v>11000</v>
      </c>
      <c r="N2720" t="n">
        <v>91</v>
      </c>
      <c r="O2720" t="n">
        <v>0.91</v>
      </c>
      <c r="P2720" t="n">
        <v>0</v>
      </c>
      <c r="Q2720" t="n">
        <v>0.83</v>
      </c>
      <c r="R2720" t="n">
        <v>3</v>
      </c>
      <c r="S2720" t="n">
        <v>9130</v>
      </c>
      <c r="T2720" t="n">
        <v>60</v>
      </c>
      <c r="U2720" t="n">
        <v>64</v>
      </c>
      <c r="V2720" t="n">
        <v>30</v>
      </c>
      <c r="W2720" t="n">
        <v>25</v>
      </c>
      <c r="X2720" t="n">
        <v>0</v>
      </c>
      <c r="Y2720" t="n">
        <v>1</v>
      </c>
      <c r="Z2720" t="n">
        <v>25</v>
      </c>
      <c r="AA2720" t="n">
        <v>18</v>
      </c>
      <c r="AB2720" t="n">
        <v>7</v>
      </c>
      <c r="AC2720" t="n">
        <v>7</v>
      </c>
      <c r="AD2720" t="n">
        <v>165834</v>
      </c>
      <c r="AE2720" t="n">
        <v>64491</v>
      </c>
      <c r="AF2720" t="n">
        <v>6588</v>
      </c>
      <c r="AG2720" t="n">
        <v>1</v>
      </c>
      <c r="AH2720" t="inlineStr">
        <is>
          <t>PT. BERSAMA DISTRIVERSA INDONESIA (DC CIPUTAT)</t>
        </is>
      </c>
      <c r="AI2720" t="n">
        <v>1730</v>
      </c>
      <c r="AJ2720" t="inlineStr">
        <is>
          <t>LISTERINE</t>
        </is>
      </c>
      <c r="AK2720" t="n">
        <v>21</v>
      </c>
      <c r="AL2720" t="inlineStr">
        <is>
          <t>Miss Glam Damar</t>
        </is>
      </c>
      <c r="AM2720" t="n">
        <v>3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LISTERINE</t>
        </is>
      </c>
      <c r="B2721" s="2">
        <f>"8991111153063"</f>
        <v/>
      </c>
      <c r="C2721" t="inlineStr">
        <is>
          <t>LISTERINE Zero 100ml</t>
        </is>
      </c>
      <c r="D2721" t="inlineStr">
        <is>
          <t>Miss Glam Damar</t>
        </is>
      </c>
      <c r="E2721" t="n">
        <v>0</v>
      </c>
      <c r="F2721" t="n">
        <v>0.8100000000000001</v>
      </c>
      <c r="G2721" t="n">
        <v>5</v>
      </c>
      <c r="H2721" t="n">
        <v>4</v>
      </c>
      <c r="I2721" t="n">
        <v>21</v>
      </c>
      <c r="J2721" t="n">
        <v>3</v>
      </c>
      <c r="K2721" t="n">
        <v>0</v>
      </c>
      <c r="L2721" t="n">
        <v>8381</v>
      </c>
      <c r="M2721" t="n">
        <v>11000</v>
      </c>
      <c r="N2721" t="n">
        <v>91</v>
      </c>
      <c r="O2721" t="n">
        <v>0.91</v>
      </c>
      <c r="P2721" t="n">
        <v>0</v>
      </c>
      <c r="Q2721" t="n">
        <v>0.8100000000000001</v>
      </c>
      <c r="R2721" t="n">
        <v>5</v>
      </c>
      <c r="S2721" t="n">
        <v>8910</v>
      </c>
      <c r="T2721" t="n">
        <v>102</v>
      </c>
      <c r="U2721" t="n">
        <v>106</v>
      </c>
      <c r="V2721" t="n">
        <v>30</v>
      </c>
      <c r="W2721" t="n">
        <v>25</v>
      </c>
      <c r="X2721" t="n">
        <v>0</v>
      </c>
      <c r="Y2721" t="n">
        <v>1</v>
      </c>
      <c r="Z2721" t="n">
        <v>25</v>
      </c>
      <c r="AA2721" t="n">
        <v>18</v>
      </c>
      <c r="AB2721" t="n">
        <v>7</v>
      </c>
      <c r="AC2721" t="n">
        <v>7</v>
      </c>
      <c r="AD2721" t="n">
        <v>150858</v>
      </c>
      <c r="AE2721" t="n">
        <v>58667</v>
      </c>
      <c r="AF2721" t="n">
        <v>6588</v>
      </c>
      <c r="AG2721" t="n">
        <v>1</v>
      </c>
      <c r="AH2721" t="inlineStr">
        <is>
          <t>PT. BERSAMA DISTRIVERSA INDONESIA (DC CIPUTAT)</t>
        </is>
      </c>
      <c r="AI2721" t="n">
        <v>1730</v>
      </c>
      <c r="AJ2721" t="inlineStr">
        <is>
          <t>LISTERINE</t>
        </is>
      </c>
      <c r="AK2721" t="n">
        <v>21</v>
      </c>
      <c r="AL2721" t="inlineStr">
        <is>
          <t>Miss Glam Damar</t>
        </is>
      </c>
      <c r="AM2721" t="n">
        <v>3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LISTERINE</t>
        </is>
      </c>
      <c r="B2722" s="2">
        <f>"8991111153056"</f>
        <v/>
      </c>
      <c r="C2722" t="inlineStr">
        <is>
          <t>LISTERINE Zero 500ml</t>
        </is>
      </c>
      <c r="D2722" t="inlineStr">
        <is>
          <t>Miss Glam Damar</t>
        </is>
      </c>
      <c r="E2722" t="n">
        <v>2</v>
      </c>
      <c r="F2722" t="n">
        <v>0.1</v>
      </c>
      <c r="G2722" t="n">
        <v>1</v>
      </c>
      <c r="H2722" t="n">
        <v>4</v>
      </c>
      <c r="I2722" t="n">
        <v>21</v>
      </c>
      <c r="J2722" t="n">
        <v>3</v>
      </c>
      <c r="K2722" t="n">
        <v>0</v>
      </c>
      <c r="L2722" t="n">
        <v>35576</v>
      </c>
      <c r="M2722" t="n">
        <v>42000</v>
      </c>
      <c r="N2722" t="n">
        <v>91</v>
      </c>
      <c r="O2722" t="n">
        <v>0.91</v>
      </c>
      <c r="P2722" t="n">
        <v>0</v>
      </c>
      <c r="Q2722" t="n">
        <v>0.1</v>
      </c>
      <c r="R2722" t="n">
        <v>1</v>
      </c>
      <c r="S2722" t="n">
        <v>4200</v>
      </c>
      <c r="T2722" t="n">
        <v>21</v>
      </c>
      <c r="U2722" t="n">
        <v>22</v>
      </c>
      <c r="V2722" t="n">
        <v>30</v>
      </c>
      <c r="W2722" t="n">
        <v>3</v>
      </c>
      <c r="X2722" t="n">
        <v>20</v>
      </c>
      <c r="Y2722" t="n">
        <v>1</v>
      </c>
      <c r="Z2722" t="n">
        <v>1</v>
      </c>
      <c r="AA2722" t="n">
        <v>1</v>
      </c>
      <c r="AB2722" t="n">
        <v>0</v>
      </c>
      <c r="AC2722" t="n">
        <v>0</v>
      </c>
      <c r="AD2722" t="n">
        <v>35576</v>
      </c>
      <c r="AE2722" t="n">
        <v>0</v>
      </c>
      <c r="AF2722" t="n">
        <v>6588</v>
      </c>
      <c r="AG2722" t="n">
        <v>1</v>
      </c>
      <c r="AH2722" t="inlineStr">
        <is>
          <t>PT. BERSAMA DISTRIVERSA INDONESIA (DC CIPUTAT)</t>
        </is>
      </c>
      <c r="AI2722" t="n">
        <v>1730</v>
      </c>
      <c r="AJ2722" t="inlineStr">
        <is>
          <t>LISTERINE</t>
        </is>
      </c>
      <c r="AK2722" t="n">
        <v>21</v>
      </c>
      <c r="AL2722" t="inlineStr">
        <is>
          <t>Miss Glam Damar</t>
        </is>
      </c>
      <c r="AM2722" t="n">
        <v>3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LOREAL</t>
        </is>
      </c>
      <c r="B2723" s="2">
        <f>"20100965624"</f>
        <v/>
      </c>
      <c r="C2723" t="inlineStr">
        <is>
          <t>LOREAL Blush 630 Glowy Natural Blush True Rose 10ml</t>
        </is>
      </c>
      <c r="D2723" t="inlineStr">
        <is>
          <t>Miss Glam Damar</t>
        </is>
      </c>
      <c r="E2723" t="n">
        <v>5</v>
      </c>
      <c r="F2723" t="n">
        <v>0.02</v>
      </c>
      <c r="G2723" t="n">
        <v>1</v>
      </c>
      <c r="H2723" t="n">
        <v>3</v>
      </c>
      <c r="I2723" t="n">
        <v>14</v>
      </c>
      <c r="J2723" t="n">
        <v>1</v>
      </c>
      <c r="K2723" t="n">
        <v>0</v>
      </c>
      <c r="L2723" t="n">
        <v>118585</v>
      </c>
      <c r="M2723" t="n">
        <v>150000</v>
      </c>
      <c r="N2723" t="n">
        <v>91</v>
      </c>
      <c r="O2723" t="n">
        <v>0.91</v>
      </c>
      <c r="P2723" t="n">
        <v>0</v>
      </c>
      <c r="Q2723" t="n">
        <v>0.02</v>
      </c>
      <c r="R2723" t="n">
        <v>1</v>
      </c>
      <c r="S2723" t="n">
        <v>3000</v>
      </c>
      <c r="T2723" t="n">
        <v>14</v>
      </c>
      <c r="U2723" t="n">
        <v>15</v>
      </c>
      <c r="V2723" t="n">
        <v>30</v>
      </c>
      <c r="W2723" t="n">
        <v>1</v>
      </c>
      <c r="X2723" t="n">
        <v>250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11014</v>
      </c>
      <c r="AG2723" t="n">
        <v>33</v>
      </c>
      <c r="AH2723" t="inlineStr">
        <is>
          <t>PT. MENSA BINASUKSES - PPN (PDG)</t>
        </is>
      </c>
      <c r="AI2723" t="n">
        <v>300</v>
      </c>
      <c r="AJ2723" t="inlineStr">
        <is>
          <t>LOREAL</t>
        </is>
      </c>
      <c r="AK2723" t="n">
        <v>21</v>
      </c>
      <c r="AL2723" t="inlineStr">
        <is>
          <t>Miss Glam Damar</t>
        </is>
      </c>
      <c r="AM2723" t="n">
        <v>3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LOREAL</t>
        </is>
      </c>
      <c r="B2724" s="2">
        <f>"8994993016549"</f>
        <v/>
      </c>
      <c r="C2724" t="inlineStr">
        <is>
          <t>LOREAL Glycolic Bright Cleanser Foam 50ml</t>
        </is>
      </c>
      <c r="D2724" t="inlineStr">
        <is>
          <t>Miss Glam Damar</t>
        </is>
      </c>
      <c r="E2724" t="n">
        <v>12</v>
      </c>
      <c r="F2724" t="n">
        <v>0.2184</v>
      </c>
      <c r="G2724" t="n">
        <v>2.73</v>
      </c>
      <c r="H2724" t="n">
        <v>3</v>
      </c>
      <c r="I2724" t="n">
        <v>14</v>
      </c>
      <c r="J2724" t="n">
        <v>3</v>
      </c>
      <c r="K2724" t="n">
        <v>0</v>
      </c>
      <c r="L2724" t="n">
        <v>30589</v>
      </c>
      <c r="M2724" t="n">
        <v>36000</v>
      </c>
      <c r="N2724" t="n">
        <v>91</v>
      </c>
      <c r="O2724" t="n">
        <v>0.91</v>
      </c>
      <c r="P2724" t="n">
        <v>1</v>
      </c>
      <c r="Q2724" t="n">
        <v>0.36</v>
      </c>
      <c r="R2724" t="n">
        <v>2</v>
      </c>
      <c r="S2724" t="n">
        <v>7862.400000000001</v>
      </c>
      <c r="T2724" t="n">
        <v>38</v>
      </c>
      <c r="U2724" t="n">
        <v>39</v>
      </c>
      <c r="V2724" t="n">
        <v>30</v>
      </c>
      <c r="W2724" t="n">
        <v>7</v>
      </c>
      <c r="X2724" t="n">
        <v>54.94505494505494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11014</v>
      </c>
      <c r="AG2724" t="n">
        <v>33</v>
      </c>
      <c r="AH2724" t="inlineStr">
        <is>
          <t>PT. MENSA BINASUKSES - PPN (PDG)</t>
        </is>
      </c>
      <c r="AI2724" t="n">
        <v>300</v>
      </c>
      <c r="AJ2724" t="inlineStr">
        <is>
          <t>LOREAL</t>
        </is>
      </c>
      <c r="AK2724" t="n">
        <v>21</v>
      </c>
      <c r="AL2724" t="inlineStr">
        <is>
          <t>Miss Glam Damar</t>
        </is>
      </c>
      <c r="AM2724" t="n">
        <v>3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LOREAL</t>
        </is>
      </c>
      <c r="B2725" s="2">
        <f>"8994993020362"</f>
        <v/>
      </c>
      <c r="C2725" t="inlineStr">
        <is>
          <t>LOREAL Glycolic Bright Dark Circle Eye Serum 20ml</t>
        </is>
      </c>
      <c r="D2725" t="inlineStr">
        <is>
          <t>Miss Glam Damar</t>
        </is>
      </c>
      <c r="E2725" t="n">
        <v>3</v>
      </c>
      <c r="F2725" t="n">
        <v>0.03</v>
      </c>
      <c r="G2725" t="n">
        <v>1</v>
      </c>
      <c r="H2725" t="n">
        <v>3</v>
      </c>
      <c r="I2725" t="n">
        <v>14</v>
      </c>
      <c r="J2725" t="n">
        <v>3</v>
      </c>
      <c r="K2725" t="n">
        <v>0</v>
      </c>
      <c r="L2725" t="n">
        <v>113874</v>
      </c>
      <c r="M2725" t="n">
        <v>155000</v>
      </c>
      <c r="N2725" t="n">
        <v>91</v>
      </c>
      <c r="O2725" t="n">
        <v>0.91</v>
      </c>
      <c r="P2725" t="n">
        <v>0</v>
      </c>
      <c r="Q2725" t="n">
        <v>0.03</v>
      </c>
      <c r="R2725" t="n">
        <v>1</v>
      </c>
      <c r="S2725" t="n">
        <v>4650</v>
      </c>
      <c r="T2725" t="n">
        <v>14</v>
      </c>
      <c r="U2725" t="n">
        <v>15</v>
      </c>
      <c r="V2725" t="n">
        <v>30</v>
      </c>
      <c r="W2725" t="n">
        <v>1</v>
      </c>
      <c r="X2725" t="n">
        <v>100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11014</v>
      </c>
      <c r="AG2725" t="n">
        <v>33</v>
      </c>
      <c r="AH2725" t="inlineStr">
        <is>
          <t>PT. MENSA BINASUKSES - PPN (PDG)</t>
        </is>
      </c>
      <c r="AI2725" t="n">
        <v>300</v>
      </c>
      <c r="AJ2725" t="inlineStr">
        <is>
          <t>LOREAL</t>
        </is>
      </c>
      <c r="AK2725" t="n">
        <v>21</v>
      </c>
      <c r="AL2725" t="inlineStr">
        <is>
          <t>Miss Glam Damar</t>
        </is>
      </c>
      <c r="AM2725" t="n">
        <v>3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LOREAL</t>
        </is>
      </c>
      <c r="B2726" s="2">
        <f>"8994993016532"</f>
        <v/>
      </c>
      <c r="C2726" t="inlineStr">
        <is>
          <t>LOREAL Glycolic Bright Glowing Daily Cleanser Foam 100ml</t>
        </is>
      </c>
      <c r="D2726" t="inlineStr">
        <is>
          <t>Miss Glam Damar</t>
        </is>
      </c>
      <c r="E2726" t="n">
        <v>12</v>
      </c>
      <c r="F2726" t="n">
        <v>0.0182</v>
      </c>
      <c r="G2726" t="n">
        <v>0.91</v>
      </c>
      <c r="H2726" t="n">
        <v>3</v>
      </c>
      <c r="I2726" t="n">
        <v>14</v>
      </c>
      <c r="J2726" t="n">
        <v>3</v>
      </c>
      <c r="K2726" t="n">
        <v>0</v>
      </c>
      <c r="L2726" t="n">
        <v>55326</v>
      </c>
      <c r="M2726" t="n">
        <v>67000</v>
      </c>
      <c r="N2726" t="n">
        <v>91</v>
      </c>
      <c r="O2726" t="n">
        <v>0.91</v>
      </c>
      <c r="P2726" t="n">
        <v>1</v>
      </c>
      <c r="Q2726" t="n">
        <v>0.39</v>
      </c>
      <c r="R2726" t="n">
        <v>2</v>
      </c>
      <c r="S2726" t="n">
        <v>1219.4</v>
      </c>
      <c r="T2726" t="n">
        <v>13</v>
      </c>
      <c r="U2726" t="n">
        <v>14</v>
      </c>
      <c r="V2726" t="n">
        <v>30</v>
      </c>
      <c r="W2726" t="n">
        <v>1</v>
      </c>
      <c r="X2726" t="n">
        <v>659.3406593406593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11014</v>
      </c>
      <c r="AG2726" t="n">
        <v>33</v>
      </c>
      <c r="AH2726" t="inlineStr">
        <is>
          <t>PT. MENSA BINASUKSES - PPN (PDG)</t>
        </is>
      </c>
      <c r="AI2726" t="n">
        <v>300</v>
      </c>
      <c r="AJ2726" t="inlineStr">
        <is>
          <t>LOREAL</t>
        </is>
      </c>
      <c r="AK2726" t="n">
        <v>21</v>
      </c>
      <c r="AL2726" t="inlineStr">
        <is>
          <t>Miss Glam Damar</t>
        </is>
      </c>
      <c r="AM2726" t="n">
        <v>3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LOREAL</t>
        </is>
      </c>
      <c r="B2727" s="2">
        <f>"8994993016525"</f>
        <v/>
      </c>
      <c r="C2727" t="inlineStr">
        <is>
          <t>LOREAL Glycolic Bright Glowing Day Cream SPF 17 50ml</t>
        </is>
      </c>
      <c r="D2727" t="inlineStr">
        <is>
          <t>Miss Glam Damar</t>
        </is>
      </c>
      <c r="E2727" t="n">
        <v>3</v>
      </c>
      <c r="F2727" t="n">
        <v>0.19</v>
      </c>
      <c r="G2727" t="n">
        <v>3</v>
      </c>
      <c r="H2727" t="n">
        <v>3</v>
      </c>
      <c r="I2727" t="n">
        <v>14</v>
      </c>
      <c r="J2727" t="n">
        <v>3</v>
      </c>
      <c r="K2727" t="n">
        <v>0</v>
      </c>
      <c r="L2727" t="n">
        <v>164531</v>
      </c>
      <c r="M2727" t="n">
        <v>209000</v>
      </c>
      <c r="N2727" t="n">
        <v>91</v>
      </c>
      <c r="O2727" t="n">
        <v>0.91</v>
      </c>
      <c r="P2727" t="n">
        <v>0</v>
      </c>
      <c r="Q2727" t="n">
        <v>0.19</v>
      </c>
      <c r="R2727" t="n">
        <v>3</v>
      </c>
      <c r="S2727" t="n">
        <v>39710</v>
      </c>
      <c r="T2727" t="n">
        <v>42</v>
      </c>
      <c r="U2727" t="n">
        <v>43</v>
      </c>
      <c r="V2727" t="n">
        <v>30</v>
      </c>
      <c r="W2727" t="n">
        <v>6</v>
      </c>
      <c r="X2727" t="n">
        <v>15.78947368421053</v>
      </c>
      <c r="Y2727" t="n">
        <v>1</v>
      </c>
      <c r="Z2727" t="n">
        <v>3</v>
      </c>
      <c r="AA2727" t="n">
        <v>0</v>
      </c>
      <c r="AB2727" t="n">
        <v>3</v>
      </c>
      <c r="AC2727" t="n">
        <v>3</v>
      </c>
      <c r="AD2727" t="n">
        <v>0</v>
      </c>
      <c r="AE2727" t="n">
        <v>493593</v>
      </c>
      <c r="AF2727" t="n">
        <v>11014</v>
      </c>
      <c r="AG2727" t="n">
        <v>33</v>
      </c>
      <c r="AH2727" t="inlineStr">
        <is>
          <t>PT. MENSA BINASUKSES - PPN (PDG)</t>
        </is>
      </c>
      <c r="AI2727" t="n">
        <v>300</v>
      </c>
      <c r="AJ2727" t="inlineStr">
        <is>
          <t>LOREAL</t>
        </is>
      </c>
      <c r="AK2727" t="n">
        <v>21</v>
      </c>
      <c r="AL2727" t="inlineStr">
        <is>
          <t>Miss Glam Damar</t>
        </is>
      </c>
      <c r="AM2727" t="n">
        <v>3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LOREAL</t>
        </is>
      </c>
      <c r="B2728" s="2">
        <f>"8994993016556"</f>
        <v/>
      </c>
      <c r="C2728" t="inlineStr">
        <is>
          <t>LOREAL Glycolic Bright Glowing Night Cream 15ml</t>
        </is>
      </c>
      <c r="D2728" t="inlineStr">
        <is>
          <t>Miss Glam Damar</t>
        </is>
      </c>
      <c r="E2728" t="n">
        <v>10</v>
      </c>
      <c r="F2728" t="n">
        <v>0.0728</v>
      </c>
      <c r="G2728" t="n">
        <v>0.91</v>
      </c>
      <c r="H2728" t="n">
        <v>3</v>
      </c>
      <c r="I2728" t="n">
        <v>14</v>
      </c>
      <c r="J2728" t="n">
        <v>3</v>
      </c>
      <c r="K2728" t="n">
        <v>0</v>
      </c>
      <c r="L2728" t="n">
        <v>67316</v>
      </c>
      <c r="M2728" t="n">
        <v>85000</v>
      </c>
      <c r="N2728" t="n">
        <v>91</v>
      </c>
      <c r="O2728" t="n">
        <v>0.91</v>
      </c>
      <c r="P2728" t="n">
        <v>1</v>
      </c>
      <c r="Q2728" t="n">
        <v>0.24</v>
      </c>
      <c r="R2728" t="n">
        <v>2</v>
      </c>
      <c r="S2728" t="n">
        <v>6188</v>
      </c>
      <c r="T2728" t="n">
        <v>13</v>
      </c>
      <c r="U2728" t="n">
        <v>14</v>
      </c>
      <c r="V2728" t="n">
        <v>30</v>
      </c>
      <c r="W2728" t="n">
        <v>3</v>
      </c>
      <c r="X2728" t="n">
        <v>137.3626373626373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11014</v>
      </c>
      <c r="AG2728" t="n">
        <v>33</v>
      </c>
      <c r="AH2728" t="inlineStr">
        <is>
          <t>PT. MENSA BINASUKSES - PPN (PDG)</t>
        </is>
      </c>
      <c r="AI2728" t="n">
        <v>300</v>
      </c>
      <c r="AJ2728" t="inlineStr">
        <is>
          <t>LOREAL</t>
        </is>
      </c>
      <c r="AK2728" t="n">
        <v>21</v>
      </c>
      <c r="AL2728" t="inlineStr">
        <is>
          <t>Miss Glam Damar</t>
        </is>
      </c>
      <c r="AM2728" t="n">
        <v>3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LOREAL</t>
        </is>
      </c>
      <c r="B2729" s="2">
        <f>"8994993016563"</f>
        <v/>
      </c>
      <c r="C2729" t="inlineStr">
        <is>
          <t>LOREAL Glycolic Bright Glowing Night Cream 50ml</t>
        </is>
      </c>
      <c r="D2729" t="inlineStr">
        <is>
          <t>Miss Glam Damar</t>
        </is>
      </c>
      <c r="E2729" t="n">
        <v>6</v>
      </c>
      <c r="F2729" t="n">
        <v>0.0182</v>
      </c>
      <c r="G2729" t="n">
        <v>0.91</v>
      </c>
      <c r="H2729" t="n">
        <v>3</v>
      </c>
      <c r="I2729" t="n">
        <v>14</v>
      </c>
      <c r="J2729" t="n">
        <v>3</v>
      </c>
      <c r="K2729" t="n">
        <v>0</v>
      </c>
      <c r="L2729" t="n">
        <v>163343</v>
      </c>
      <c r="M2729" t="n">
        <v>209000</v>
      </c>
      <c r="N2729" t="n">
        <v>91</v>
      </c>
      <c r="O2729" t="n">
        <v>0.91</v>
      </c>
      <c r="P2729" t="n">
        <v>1</v>
      </c>
      <c r="Q2729" t="n">
        <v>0.19</v>
      </c>
      <c r="R2729" t="n">
        <v>2</v>
      </c>
      <c r="S2729" t="n">
        <v>3803.8</v>
      </c>
      <c r="T2729" t="n">
        <v>13</v>
      </c>
      <c r="U2729" t="n">
        <v>14</v>
      </c>
      <c r="V2729" t="n">
        <v>30</v>
      </c>
      <c r="W2729" t="n">
        <v>1</v>
      </c>
      <c r="X2729" t="n">
        <v>329.6703296703296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11014</v>
      </c>
      <c r="AG2729" t="n">
        <v>33</v>
      </c>
      <c r="AH2729" t="inlineStr">
        <is>
          <t>PT. MENSA BINASUKSES - PPN (PDG)</t>
        </is>
      </c>
      <c r="AI2729" t="n">
        <v>300</v>
      </c>
      <c r="AJ2729" t="inlineStr">
        <is>
          <t>LOREAL</t>
        </is>
      </c>
      <c r="AK2729" t="n">
        <v>21</v>
      </c>
      <c r="AL2729" t="inlineStr">
        <is>
          <t>Miss Glam Damar</t>
        </is>
      </c>
      <c r="AM2729" t="n">
        <v>3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LOREAL</t>
        </is>
      </c>
      <c r="B2730" s="2">
        <f>"6941594509170"</f>
        <v/>
      </c>
      <c r="C2730" t="inlineStr">
        <is>
          <t>LOREAL Glycolic Bright Glowing Peeling Toner 65ml</t>
        </is>
      </c>
      <c r="D2730" t="inlineStr">
        <is>
          <t>Miss Glam Damar</t>
        </is>
      </c>
      <c r="E2730" t="n">
        <v>3</v>
      </c>
      <c r="F2730" t="n">
        <v>0.0182</v>
      </c>
      <c r="G2730" t="n">
        <v>0.91</v>
      </c>
      <c r="H2730" t="n">
        <v>3</v>
      </c>
      <c r="I2730" t="n">
        <v>14</v>
      </c>
      <c r="J2730" t="n">
        <v>3</v>
      </c>
      <c r="K2730" t="n">
        <v>0</v>
      </c>
      <c r="L2730" t="n">
        <v>100701</v>
      </c>
      <c r="M2730" t="n">
        <v>130000</v>
      </c>
      <c r="N2730" t="n">
        <v>91</v>
      </c>
      <c r="O2730" t="n">
        <v>0.91</v>
      </c>
      <c r="P2730" t="n">
        <v>1</v>
      </c>
      <c r="Q2730" t="n">
        <v>0.08</v>
      </c>
      <c r="R2730" t="n">
        <v>1</v>
      </c>
      <c r="S2730" t="n">
        <v>2366</v>
      </c>
      <c r="T2730" t="n">
        <v>13</v>
      </c>
      <c r="U2730" t="n">
        <v>14</v>
      </c>
      <c r="V2730" t="n">
        <v>30</v>
      </c>
      <c r="W2730" t="n">
        <v>1</v>
      </c>
      <c r="X2730" t="n">
        <v>164.8351648351648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11014</v>
      </c>
      <c r="AG2730" t="n">
        <v>33</v>
      </c>
      <c r="AH2730" t="inlineStr">
        <is>
          <t>PT. MENSA BINASUKSES - PPN (PDG)</t>
        </is>
      </c>
      <c r="AI2730" t="n">
        <v>300</v>
      </c>
      <c r="AJ2730" t="inlineStr">
        <is>
          <t>LOREAL</t>
        </is>
      </c>
      <c r="AK2730" t="n">
        <v>21</v>
      </c>
      <c r="AL2730" t="inlineStr">
        <is>
          <t>Miss Glam Damar</t>
        </is>
      </c>
      <c r="AM2730" t="n">
        <v>3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LOREAL</t>
        </is>
      </c>
      <c r="B2731" s="2">
        <f>"8994993016570"</f>
        <v/>
      </c>
      <c r="C2731" t="inlineStr">
        <is>
          <t>LOREAL Glycolic Bright Instant Glowing Serum 15ml</t>
        </is>
      </c>
      <c r="D2731" t="inlineStr">
        <is>
          <t>Miss Glam Damar</t>
        </is>
      </c>
      <c r="E2731" t="n">
        <v>8</v>
      </c>
      <c r="F2731" t="n">
        <v>0.1365</v>
      </c>
      <c r="G2731" t="n">
        <v>0.91</v>
      </c>
      <c r="H2731" t="n">
        <v>3</v>
      </c>
      <c r="I2731" t="n">
        <v>14</v>
      </c>
      <c r="J2731" t="n">
        <v>3</v>
      </c>
      <c r="K2731" t="n">
        <v>0</v>
      </c>
      <c r="L2731" t="n">
        <v>95151</v>
      </c>
      <c r="M2731" t="n">
        <v>120500</v>
      </c>
      <c r="N2731" t="n">
        <v>91</v>
      </c>
      <c r="O2731" t="n">
        <v>0.91</v>
      </c>
      <c r="P2731" t="n">
        <v>1</v>
      </c>
      <c r="Q2731" t="n">
        <v>0.25</v>
      </c>
      <c r="R2731" t="n">
        <v>2</v>
      </c>
      <c r="S2731" t="n">
        <v>16448.25</v>
      </c>
      <c r="T2731" t="n">
        <v>13</v>
      </c>
      <c r="U2731" t="n">
        <v>14</v>
      </c>
      <c r="V2731" t="n">
        <v>30</v>
      </c>
      <c r="W2731" t="n">
        <v>5</v>
      </c>
      <c r="X2731" t="n">
        <v>58.60805860805861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11014</v>
      </c>
      <c r="AG2731" t="n">
        <v>33</v>
      </c>
      <c r="AH2731" t="inlineStr">
        <is>
          <t>PT. MENSA BINASUKSES - PPN (PDG)</t>
        </is>
      </c>
      <c r="AI2731" t="n">
        <v>300</v>
      </c>
      <c r="AJ2731" t="inlineStr">
        <is>
          <t>LOREAL</t>
        </is>
      </c>
      <c r="AK2731" t="n">
        <v>21</v>
      </c>
      <c r="AL2731" t="inlineStr">
        <is>
          <t>Miss Glam Damar</t>
        </is>
      </c>
      <c r="AM2731" t="n">
        <v>3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LOREAL</t>
        </is>
      </c>
      <c r="B2732" s="2">
        <f>"8994993016587"</f>
        <v/>
      </c>
      <c r="C2732" t="inlineStr">
        <is>
          <t>LOREAL Glycolic Bright Instant Glowing Serum 30ml</t>
        </is>
      </c>
      <c r="D2732" t="inlineStr">
        <is>
          <t>Miss Glam Damar</t>
        </is>
      </c>
      <c r="E2732" t="n">
        <v>10</v>
      </c>
      <c r="F2732" t="n">
        <v>0.06370000000000001</v>
      </c>
      <c r="G2732" t="n">
        <v>1.82</v>
      </c>
      <c r="H2732" t="n">
        <v>3</v>
      </c>
      <c r="I2732" t="n">
        <v>14</v>
      </c>
      <c r="J2732" t="n">
        <v>3</v>
      </c>
      <c r="K2732" t="n">
        <v>0</v>
      </c>
      <c r="L2732" t="n">
        <v>167492</v>
      </c>
      <c r="M2732" t="n">
        <v>212000</v>
      </c>
      <c r="N2732" t="n">
        <v>91</v>
      </c>
      <c r="O2732" t="n">
        <v>0.91</v>
      </c>
      <c r="P2732" t="n">
        <v>1</v>
      </c>
      <c r="Q2732" t="n">
        <v>0.17</v>
      </c>
      <c r="R2732" t="n">
        <v>1</v>
      </c>
      <c r="S2732" t="n">
        <v>13504.4</v>
      </c>
      <c r="T2732" t="n">
        <v>26</v>
      </c>
      <c r="U2732" t="n">
        <v>27</v>
      </c>
      <c r="V2732" t="n">
        <v>30</v>
      </c>
      <c r="W2732" t="n">
        <v>2</v>
      </c>
      <c r="X2732" t="n">
        <v>156.9858712715856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11014</v>
      </c>
      <c r="AG2732" t="n">
        <v>33</v>
      </c>
      <c r="AH2732" t="inlineStr">
        <is>
          <t>PT. MENSA BINASUKSES - PPN (PDG)</t>
        </is>
      </c>
      <c r="AI2732" t="n">
        <v>300</v>
      </c>
      <c r="AJ2732" t="inlineStr">
        <is>
          <t>LOREAL</t>
        </is>
      </c>
      <c r="AK2732" t="n">
        <v>21</v>
      </c>
      <c r="AL2732" t="inlineStr">
        <is>
          <t>Miss Glam Damar</t>
        </is>
      </c>
      <c r="AM2732" t="n">
        <v>3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LOREAL</t>
        </is>
      </c>
      <c r="B2733" s="2">
        <f>"6902395826637"</f>
        <v/>
      </c>
      <c r="C2733" t="inlineStr">
        <is>
          <t>LOREAL Infalliable Full Wear Full Coverage Concealer 309 10ml</t>
        </is>
      </c>
      <c r="D2733" t="inlineStr">
        <is>
          <t>Miss Glam Damar</t>
        </is>
      </c>
      <c r="E2733" t="n">
        <v>0</v>
      </c>
      <c r="F2733" t="n">
        <v>0.02</v>
      </c>
      <c r="G2733" t="n">
        <v>1</v>
      </c>
      <c r="H2733" t="n">
        <v>3</v>
      </c>
      <c r="I2733" t="n">
        <v>14</v>
      </c>
      <c r="J2733" t="n">
        <v>3</v>
      </c>
      <c r="K2733" t="n">
        <v>0</v>
      </c>
      <c r="L2733" t="n">
        <v>155279</v>
      </c>
      <c r="M2733" t="n">
        <v>197500</v>
      </c>
      <c r="N2733" t="n">
        <v>91</v>
      </c>
      <c r="O2733" t="n">
        <v>0.91</v>
      </c>
      <c r="P2733" t="n">
        <v>0</v>
      </c>
      <c r="Q2733" t="n">
        <v>0.02</v>
      </c>
      <c r="R2733" t="n">
        <v>1</v>
      </c>
      <c r="S2733" t="n">
        <v>3950</v>
      </c>
      <c r="T2733" t="n">
        <v>14</v>
      </c>
      <c r="U2733" t="n">
        <v>15</v>
      </c>
      <c r="V2733" t="n">
        <v>30</v>
      </c>
      <c r="W2733" t="n">
        <v>1</v>
      </c>
      <c r="X2733" t="n">
        <v>0</v>
      </c>
      <c r="Y2733" t="n">
        <v>1</v>
      </c>
      <c r="Z2733" t="n">
        <v>1</v>
      </c>
      <c r="AA2733" t="n">
        <v>1</v>
      </c>
      <c r="AB2733" t="n">
        <v>0</v>
      </c>
      <c r="AC2733" t="n">
        <v>0</v>
      </c>
      <c r="AD2733" t="n">
        <v>155279</v>
      </c>
      <c r="AE2733" t="n">
        <v>0</v>
      </c>
      <c r="AF2733" t="n">
        <v>11014</v>
      </c>
      <c r="AG2733" t="n">
        <v>33</v>
      </c>
      <c r="AH2733" t="inlineStr">
        <is>
          <t>PT. MENSA BINASUKSES - PPN (PDG)</t>
        </is>
      </c>
      <c r="AI2733" t="n">
        <v>300</v>
      </c>
      <c r="AJ2733" t="inlineStr">
        <is>
          <t>LOREAL</t>
        </is>
      </c>
      <c r="AK2733" t="n">
        <v>21</v>
      </c>
      <c r="AL2733" t="inlineStr">
        <is>
          <t>Miss Glam Damar</t>
        </is>
      </c>
      <c r="AM2733" t="n">
        <v>3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LOREAL</t>
        </is>
      </c>
      <c r="B2734" s="2">
        <f>"3600523951444"</f>
        <v/>
      </c>
      <c r="C2734" t="inlineStr">
        <is>
          <t>LOREAL Infallible 24 H Fresh Wear 120 Vanilla 9gr</t>
        </is>
      </c>
      <c r="D2734" t="inlineStr">
        <is>
          <t>Miss Glam Damar</t>
        </is>
      </c>
      <c r="E2734" t="n">
        <v>0</v>
      </c>
      <c r="F2734" t="n">
        <v>0.0273</v>
      </c>
      <c r="G2734" t="n">
        <v>0.91</v>
      </c>
      <c r="H2734" t="n">
        <v>3</v>
      </c>
      <c r="I2734" t="n">
        <v>14</v>
      </c>
      <c r="J2734" t="n">
        <v>3</v>
      </c>
      <c r="K2734" t="n">
        <v>0</v>
      </c>
      <c r="L2734" t="n">
        <v>120142</v>
      </c>
      <c r="M2734" t="n">
        <v>179900</v>
      </c>
      <c r="N2734" t="n">
        <v>91</v>
      </c>
      <c r="O2734" t="n">
        <v>0.91</v>
      </c>
      <c r="P2734" t="n">
        <v>1</v>
      </c>
      <c r="Q2734" t="n">
        <v>0.04</v>
      </c>
      <c r="R2734" t="n">
        <v>1</v>
      </c>
      <c r="S2734" t="n">
        <v>4911.27</v>
      </c>
      <c r="T2734" t="n">
        <v>13</v>
      </c>
      <c r="U2734" t="n">
        <v>14</v>
      </c>
      <c r="V2734" t="n">
        <v>30</v>
      </c>
      <c r="W2734" t="n">
        <v>1</v>
      </c>
      <c r="X2734" t="n">
        <v>0</v>
      </c>
      <c r="Y2734" t="n">
        <v>1</v>
      </c>
      <c r="Z2734" t="n">
        <v>1</v>
      </c>
      <c r="AA2734" t="n">
        <v>1</v>
      </c>
      <c r="AB2734" t="n">
        <v>0</v>
      </c>
      <c r="AC2734" t="n">
        <v>0</v>
      </c>
      <c r="AD2734" t="n">
        <v>120142</v>
      </c>
      <c r="AE2734" t="n">
        <v>0</v>
      </c>
      <c r="AF2734" t="n">
        <v>11014</v>
      </c>
      <c r="AG2734" t="n">
        <v>33</v>
      </c>
      <c r="AH2734" t="inlineStr">
        <is>
          <t>PT. MENSA BINASUKSES - PPN (PDG)</t>
        </is>
      </c>
      <c r="AI2734" t="n">
        <v>300</v>
      </c>
      <c r="AJ2734" t="inlineStr">
        <is>
          <t>LOREAL</t>
        </is>
      </c>
      <c r="AK2734" t="n">
        <v>21</v>
      </c>
      <c r="AL2734" t="inlineStr">
        <is>
          <t>Miss Glam Damar</t>
        </is>
      </c>
      <c r="AM2734" t="n">
        <v>3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LOREAL</t>
        </is>
      </c>
      <c r="B2735" s="2">
        <f>"3600523951291"</f>
        <v/>
      </c>
      <c r="C2735" t="inlineStr">
        <is>
          <t>LOREAL Infallible 24H Fresh Wear 020 Ivory 9gr</t>
        </is>
      </c>
      <c r="D2735" t="inlineStr">
        <is>
          <t>Miss Glam Damar</t>
        </is>
      </c>
      <c r="E2735" t="n">
        <v>3</v>
      </c>
      <c r="F2735" t="n">
        <v>0.03</v>
      </c>
      <c r="G2735" t="n">
        <v>1</v>
      </c>
      <c r="H2735" t="n">
        <v>3</v>
      </c>
      <c r="I2735" t="n">
        <v>14</v>
      </c>
      <c r="J2735" t="n">
        <v>3</v>
      </c>
      <c r="K2735" t="n">
        <v>0</v>
      </c>
      <c r="L2735" t="n">
        <v>133364</v>
      </c>
      <c r="M2735" t="n">
        <v>179900</v>
      </c>
      <c r="N2735" t="n">
        <v>91</v>
      </c>
      <c r="O2735" t="n">
        <v>0.91</v>
      </c>
      <c r="P2735" t="n">
        <v>0</v>
      </c>
      <c r="Q2735" t="n">
        <v>0.03</v>
      </c>
      <c r="R2735" t="n">
        <v>1</v>
      </c>
      <c r="S2735" t="n">
        <v>5397</v>
      </c>
      <c r="T2735" t="n">
        <v>14</v>
      </c>
      <c r="U2735" t="n">
        <v>15</v>
      </c>
      <c r="V2735" t="n">
        <v>30</v>
      </c>
      <c r="W2735" t="n">
        <v>1</v>
      </c>
      <c r="X2735" t="n">
        <v>100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11014</v>
      </c>
      <c r="AG2735" t="n">
        <v>33</v>
      </c>
      <c r="AH2735" t="inlineStr">
        <is>
          <t>PT. MENSA BINASUKSES - PPN (PDG)</t>
        </is>
      </c>
      <c r="AI2735" t="n">
        <v>300</v>
      </c>
      <c r="AJ2735" t="inlineStr">
        <is>
          <t>LOREAL</t>
        </is>
      </c>
      <c r="AK2735" t="n">
        <v>21</v>
      </c>
      <c r="AL2735" t="inlineStr">
        <is>
          <t>Miss Glam Damar</t>
        </is>
      </c>
      <c r="AM2735" t="n">
        <v>3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LOREAL</t>
        </is>
      </c>
      <c r="B2736" s="2">
        <f>"20100183312"</f>
        <v/>
      </c>
      <c r="C2736" t="inlineStr">
        <is>
          <t>LOREAL Infallible 24h Tinted Serum 1-2 Rosy Light 30ml</t>
        </is>
      </c>
      <c r="D2736" t="inlineStr">
        <is>
          <t>Miss Glam Damar</t>
        </is>
      </c>
      <c r="E2736" t="n">
        <v>12</v>
      </c>
      <c r="F2736" t="n">
        <v>0.03</v>
      </c>
      <c r="G2736" t="n">
        <v>2</v>
      </c>
      <c r="H2736" t="n">
        <v>3</v>
      </c>
      <c r="I2736" t="n">
        <v>14</v>
      </c>
      <c r="J2736" t="n">
        <v>1</v>
      </c>
      <c r="K2736" t="n">
        <v>0</v>
      </c>
      <c r="L2736" t="n">
        <v>119103</v>
      </c>
      <c r="M2736" t="n">
        <v>145000</v>
      </c>
      <c r="N2736" t="n">
        <v>91</v>
      </c>
      <c r="O2736" t="n">
        <v>0.91</v>
      </c>
      <c r="P2736" t="n">
        <v>0</v>
      </c>
      <c r="Q2736" t="n">
        <v>0.03</v>
      </c>
      <c r="R2736" t="n">
        <v>2</v>
      </c>
      <c r="S2736" t="n">
        <v>4350</v>
      </c>
      <c r="T2736" t="n">
        <v>28</v>
      </c>
      <c r="U2736" t="n">
        <v>29</v>
      </c>
      <c r="V2736" t="n">
        <v>30</v>
      </c>
      <c r="W2736" t="n">
        <v>1</v>
      </c>
      <c r="X2736" t="n">
        <v>400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11014</v>
      </c>
      <c r="AG2736" t="n">
        <v>33</v>
      </c>
      <c r="AH2736" t="inlineStr">
        <is>
          <t>PT. MENSA BINASUKSES - PPN (PDG)</t>
        </is>
      </c>
      <c r="AI2736" t="n">
        <v>300</v>
      </c>
      <c r="AJ2736" t="inlineStr">
        <is>
          <t>LOREAL</t>
        </is>
      </c>
      <c r="AK2736" t="n">
        <v>21</v>
      </c>
      <c r="AL2736" t="inlineStr">
        <is>
          <t>Miss Glam Damar</t>
        </is>
      </c>
      <c r="AM2736" t="n">
        <v>3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LOREAL</t>
        </is>
      </c>
      <c r="B2737" s="2">
        <f>"20100183451"</f>
        <v/>
      </c>
      <c r="C2737" t="inlineStr">
        <is>
          <t>LOREAL Infallible 24h Tinted Serum 2-3 Light 30ml</t>
        </is>
      </c>
      <c r="D2737" t="inlineStr">
        <is>
          <t>Miss Glam Damar</t>
        </is>
      </c>
      <c r="E2737" t="n">
        <v>13</v>
      </c>
      <c r="F2737" t="n">
        <v>0.0182</v>
      </c>
      <c r="G2737" t="n">
        <v>0.91</v>
      </c>
      <c r="H2737" t="n">
        <v>3</v>
      </c>
      <c r="I2737" t="n">
        <v>14</v>
      </c>
      <c r="J2737" t="n">
        <v>1</v>
      </c>
      <c r="K2737" t="n">
        <v>0</v>
      </c>
      <c r="L2737" t="n">
        <v>118917</v>
      </c>
      <c r="M2737" t="n">
        <v>145000</v>
      </c>
      <c r="N2737" t="n">
        <v>91</v>
      </c>
      <c r="O2737" t="n">
        <v>0.91</v>
      </c>
      <c r="P2737" t="n">
        <v>1</v>
      </c>
      <c r="Q2737" t="n">
        <v>0.03</v>
      </c>
      <c r="R2737" t="n">
        <v>1</v>
      </c>
      <c r="S2737" t="n">
        <v>2639</v>
      </c>
      <c r="T2737" t="n">
        <v>13</v>
      </c>
      <c r="U2737" t="n">
        <v>14</v>
      </c>
      <c r="V2737" t="n">
        <v>30</v>
      </c>
      <c r="W2737" t="n">
        <v>1</v>
      </c>
      <c r="X2737" t="n">
        <v>714.2857142857142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11014</v>
      </c>
      <c r="AG2737" t="n">
        <v>33</v>
      </c>
      <c r="AH2737" t="inlineStr">
        <is>
          <t>PT. MENSA BINASUKSES - PPN (PDG)</t>
        </is>
      </c>
      <c r="AI2737" t="n">
        <v>300</v>
      </c>
      <c r="AJ2737" t="inlineStr">
        <is>
          <t>LOREAL</t>
        </is>
      </c>
      <c r="AK2737" t="n">
        <v>21</v>
      </c>
      <c r="AL2737" t="inlineStr">
        <is>
          <t>Miss Glam Damar</t>
        </is>
      </c>
      <c r="AM2737" t="n">
        <v>3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LOREAL</t>
        </is>
      </c>
      <c r="B2738" s="2">
        <f>"203002200732"</f>
        <v/>
      </c>
      <c r="C2738" t="inlineStr">
        <is>
          <t>LOREAL Infallible Laque Resistance 215 5ml</t>
        </is>
      </c>
      <c r="D2738" t="inlineStr">
        <is>
          <t>Miss Glam Damar</t>
        </is>
      </c>
      <c r="E2738" t="n">
        <v>0</v>
      </c>
      <c r="F2738" t="n">
        <v>0.28</v>
      </c>
      <c r="G2738" t="n">
        <v>2</v>
      </c>
      <c r="H2738" t="n">
        <v>3</v>
      </c>
      <c r="I2738" t="n">
        <v>14</v>
      </c>
      <c r="J2738" t="n">
        <v>1</v>
      </c>
      <c r="K2738" t="n">
        <v>0</v>
      </c>
      <c r="L2738" t="n">
        <v>117128</v>
      </c>
      <c r="M2738" t="n">
        <v>149000</v>
      </c>
      <c r="N2738" t="n">
        <v>91</v>
      </c>
      <c r="O2738" t="n">
        <v>0.91</v>
      </c>
      <c r="P2738" t="n">
        <v>0</v>
      </c>
      <c r="Q2738" t="n">
        <v>0.28</v>
      </c>
      <c r="R2738" t="n">
        <v>2</v>
      </c>
      <c r="S2738" t="n">
        <v>41720.00000000001</v>
      </c>
      <c r="T2738" t="n">
        <v>28</v>
      </c>
      <c r="U2738" t="n">
        <v>29</v>
      </c>
      <c r="V2738" t="n">
        <v>30</v>
      </c>
      <c r="W2738" t="n">
        <v>9</v>
      </c>
      <c r="X2738" t="n">
        <v>0</v>
      </c>
      <c r="Y2738" t="n">
        <v>1</v>
      </c>
      <c r="Z2738" t="n">
        <v>9</v>
      </c>
      <c r="AA2738" t="n">
        <v>4</v>
      </c>
      <c r="AB2738" t="n">
        <v>5</v>
      </c>
      <c r="AC2738" t="n">
        <v>5</v>
      </c>
      <c r="AD2738" t="n">
        <v>468512</v>
      </c>
      <c r="AE2738" t="n">
        <v>585640</v>
      </c>
      <c r="AF2738" t="n">
        <v>11014</v>
      </c>
      <c r="AG2738" t="n">
        <v>33</v>
      </c>
      <c r="AH2738" t="inlineStr">
        <is>
          <t>PT. MENSA BINASUKSES - PPN (PDG)</t>
        </is>
      </c>
      <c r="AI2738" t="n">
        <v>300</v>
      </c>
      <c r="AJ2738" t="inlineStr">
        <is>
          <t>LOREAL</t>
        </is>
      </c>
      <c r="AK2738" t="n">
        <v>21</v>
      </c>
      <c r="AL2738" t="inlineStr">
        <is>
          <t>Miss Glam Damar</t>
        </is>
      </c>
      <c r="AM2738" t="n">
        <v>3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LOREAL</t>
        </is>
      </c>
      <c r="B2739" s="2">
        <f>"203002200809"</f>
        <v/>
      </c>
      <c r="C2739" t="inlineStr">
        <is>
          <t>LOREAL Infallible Laque Resistance 225 5ml</t>
        </is>
      </c>
      <c r="D2739" t="inlineStr">
        <is>
          <t>Miss Glam Damar</t>
        </is>
      </c>
      <c r="E2739" t="n">
        <v>8</v>
      </c>
      <c r="F2739" t="n">
        <v>0.04550000000000001</v>
      </c>
      <c r="G2739" t="n">
        <v>0.91</v>
      </c>
      <c r="H2739" t="n">
        <v>3</v>
      </c>
      <c r="I2739" t="n">
        <v>14</v>
      </c>
      <c r="J2739" t="n">
        <v>1</v>
      </c>
      <c r="K2739" t="n">
        <v>0</v>
      </c>
      <c r="L2739" t="n">
        <v>112017</v>
      </c>
      <c r="M2739" t="n">
        <v>149000</v>
      </c>
      <c r="N2739" t="n">
        <v>91</v>
      </c>
      <c r="O2739" t="n">
        <v>0.91</v>
      </c>
      <c r="P2739" t="n">
        <v>1</v>
      </c>
      <c r="Q2739" t="n">
        <v>0.14</v>
      </c>
      <c r="R2739" t="n">
        <v>2</v>
      </c>
      <c r="S2739" t="n">
        <v>6779.500000000001</v>
      </c>
      <c r="T2739" t="n">
        <v>13</v>
      </c>
      <c r="U2739" t="n">
        <v>14</v>
      </c>
      <c r="V2739" t="n">
        <v>30</v>
      </c>
      <c r="W2739" t="n">
        <v>2</v>
      </c>
      <c r="X2739" t="n">
        <v>175.8241758241758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11014</v>
      </c>
      <c r="AG2739" t="n">
        <v>33</v>
      </c>
      <c r="AH2739" t="inlineStr">
        <is>
          <t>PT. MENSA BINASUKSES - PPN (PDG)</t>
        </is>
      </c>
      <c r="AI2739" t="n">
        <v>300</v>
      </c>
      <c r="AJ2739" t="inlineStr">
        <is>
          <t>LOREAL</t>
        </is>
      </c>
      <c r="AK2739" t="n">
        <v>21</v>
      </c>
      <c r="AL2739" t="inlineStr">
        <is>
          <t>Miss Glam Damar</t>
        </is>
      </c>
      <c r="AM2739" t="n">
        <v>3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LOREAL</t>
        </is>
      </c>
      <c r="B2740" s="2">
        <f>"203002200944"</f>
        <v/>
      </c>
      <c r="C2740" t="inlineStr">
        <is>
          <t>LOREAL Infallible Laque Resistance 420 5ml</t>
        </is>
      </c>
      <c r="D2740" t="inlineStr">
        <is>
          <t>Miss Glam Damar</t>
        </is>
      </c>
      <c r="E2740" t="n">
        <v>8</v>
      </c>
      <c r="F2740" t="n">
        <v>0.06370000000000001</v>
      </c>
      <c r="G2740" t="n">
        <v>0.91</v>
      </c>
      <c r="H2740" t="n">
        <v>3</v>
      </c>
      <c r="I2740" t="n">
        <v>14</v>
      </c>
      <c r="J2740" t="n">
        <v>1</v>
      </c>
      <c r="K2740" t="n">
        <v>0</v>
      </c>
      <c r="L2740" t="n">
        <v>112782</v>
      </c>
      <c r="M2740" t="n">
        <v>149000</v>
      </c>
      <c r="N2740" t="n">
        <v>91</v>
      </c>
      <c r="O2740" t="n">
        <v>0.91</v>
      </c>
      <c r="P2740" t="n">
        <v>1</v>
      </c>
      <c r="Q2740" t="n">
        <v>0.17</v>
      </c>
      <c r="R2740" t="n">
        <v>1</v>
      </c>
      <c r="S2740" t="n">
        <v>9491.300000000001</v>
      </c>
      <c r="T2740" t="n">
        <v>13</v>
      </c>
      <c r="U2740" t="n">
        <v>14</v>
      </c>
      <c r="V2740" t="n">
        <v>30</v>
      </c>
      <c r="W2740" t="n">
        <v>2</v>
      </c>
      <c r="X2740" t="n">
        <v>125.5886970172684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11014</v>
      </c>
      <c r="AG2740" t="n">
        <v>33</v>
      </c>
      <c r="AH2740" t="inlineStr">
        <is>
          <t>PT. MENSA BINASUKSES - PPN (PDG)</t>
        </is>
      </c>
      <c r="AI2740" t="n">
        <v>300</v>
      </c>
      <c r="AJ2740" t="inlineStr">
        <is>
          <t>LOREAL</t>
        </is>
      </c>
      <c r="AK2740" t="n">
        <v>21</v>
      </c>
      <c r="AL2740" t="inlineStr">
        <is>
          <t>Miss Glam Damar</t>
        </is>
      </c>
      <c r="AM2740" t="n">
        <v>3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LOREAL</t>
        </is>
      </c>
      <c r="B2741" s="2">
        <f>"203002201022"</f>
        <v/>
      </c>
      <c r="C2741" t="inlineStr">
        <is>
          <t>LOREAL Infallible Laque Resistance 510 5ml</t>
        </is>
      </c>
      <c r="D2741" t="inlineStr">
        <is>
          <t>Miss Glam Damar</t>
        </is>
      </c>
      <c r="E2741" t="n">
        <v>11</v>
      </c>
      <c r="F2741" t="n">
        <v>0.04550000000000001</v>
      </c>
      <c r="G2741" t="n">
        <v>0.91</v>
      </c>
      <c r="H2741" t="n">
        <v>3</v>
      </c>
      <c r="I2741" t="n">
        <v>14</v>
      </c>
      <c r="J2741" t="n">
        <v>1</v>
      </c>
      <c r="K2741" t="n">
        <v>0</v>
      </c>
      <c r="L2741" t="n">
        <v>110732</v>
      </c>
      <c r="M2741" t="n">
        <v>149000</v>
      </c>
      <c r="N2741" t="n">
        <v>91</v>
      </c>
      <c r="O2741" t="n">
        <v>0.91</v>
      </c>
      <c r="P2741" t="n">
        <v>1</v>
      </c>
      <c r="Q2741" t="n">
        <v>0.19</v>
      </c>
      <c r="R2741" t="n">
        <v>2</v>
      </c>
      <c r="S2741" t="n">
        <v>6779.500000000001</v>
      </c>
      <c r="T2741" t="n">
        <v>13</v>
      </c>
      <c r="U2741" t="n">
        <v>14</v>
      </c>
      <c r="V2741" t="n">
        <v>30</v>
      </c>
      <c r="W2741" t="n">
        <v>2</v>
      </c>
      <c r="X2741" t="n">
        <v>241.7582417582417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11014</v>
      </c>
      <c r="AG2741" t="n">
        <v>33</v>
      </c>
      <c r="AH2741" t="inlineStr">
        <is>
          <t>PT. MENSA BINASUKSES - PPN (PDG)</t>
        </is>
      </c>
      <c r="AI2741" t="n">
        <v>300</v>
      </c>
      <c r="AJ2741" t="inlineStr">
        <is>
          <t>LOREAL</t>
        </is>
      </c>
      <c r="AK2741" t="n">
        <v>21</v>
      </c>
      <c r="AL2741" t="inlineStr">
        <is>
          <t>Miss Glam Damar</t>
        </is>
      </c>
      <c r="AM2741" t="n">
        <v>3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LOREAL</t>
        </is>
      </c>
      <c r="B2742" s="2">
        <f>"203002201157"</f>
        <v/>
      </c>
      <c r="C2742" t="inlineStr">
        <is>
          <t>LOREAL Infallible Laque Resistance 520 5ml</t>
        </is>
      </c>
      <c r="D2742" t="inlineStr">
        <is>
          <t>Miss Glam Damar</t>
        </is>
      </c>
      <c r="E2742" t="n">
        <v>3</v>
      </c>
      <c r="F2742" t="n">
        <v>0.0728</v>
      </c>
      <c r="G2742" t="n">
        <v>0.91</v>
      </c>
      <c r="H2742" t="n">
        <v>3</v>
      </c>
      <c r="I2742" t="n">
        <v>14</v>
      </c>
      <c r="J2742" t="n">
        <v>1</v>
      </c>
      <c r="K2742" t="n">
        <v>0</v>
      </c>
      <c r="L2742" t="n">
        <v>114713</v>
      </c>
      <c r="M2742" t="n">
        <v>149000</v>
      </c>
      <c r="N2742" t="n">
        <v>91</v>
      </c>
      <c r="O2742" t="n">
        <v>0.91</v>
      </c>
      <c r="P2742" t="n">
        <v>1</v>
      </c>
      <c r="Q2742" t="n">
        <v>0.24</v>
      </c>
      <c r="R2742" t="n">
        <v>2</v>
      </c>
      <c r="S2742" t="n">
        <v>10847.2</v>
      </c>
      <c r="T2742" t="n">
        <v>13</v>
      </c>
      <c r="U2742" t="n">
        <v>14</v>
      </c>
      <c r="V2742" t="n">
        <v>30</v>
      </c>
      <c r="W2742" t="n">
        <v>3</v>
      </c>
      <c r="X2742" t="n">
        <v>41.2087912087912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11014</v>
      </c>
      <c r="AG2742" t="n">
        <v>33</v>
      </c>
      <c r="AH2742" t="inlineStr">
        <is>
          <t>PT. MENSA BINASUKSES - PPN (PDG)</t>
        </is>
      </c>
      <c r="AI2742" t="n">
        <v>300</v>
      </c>
      <c r="AJ2742" t="inlineStr">
        <is>
          <t>LOREAL</t>
        </is>
      </c>
      <c r="AK2742" t="n">
        <v>21</v>
      </c>
      <c r="AL2742" t="inlineStr">
        <is>
          <t>Miss Glam Damar</t>
        </is>
      </c>
      <c r="AM2742" t="n">
        <v>3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LOREAL</t>
        </is>
      </c>
      <c r="B2743" s="2">
        <f>"203002200301"</f>
        <v/>
      </c>
      <c r="C2743" t="inlineStr">
        <is>
          <t>LOREAL Infallible Laque Resistance 600 5ml</t>
        </is>
      </c>
      <c r="D2743" t="inlineStr">
        <is>
          <t>Miss Glam Damar</t>
        </is>
      </c>
      <c r="E2743" t="n">
        <v>12</v>
      </c>
      <c r="F2743" t="n">
        <v>0.0273</v>
      </c>
      <c r="G2743" t="n">
        <v>0.91</v>
      </c>
      <c r="H2743" t="n">
        <v>3</v>
      </c>
      <c r="I2743" t="n">
        <v>14</v>
      </c>
      <c r="J2743" t="n">
        <v>1</v>
      </c>
      <c r="K2743" t="n">
        <v>0</v>
      </c>
      <c r="L2743" t="n">
        <v>116227</v>
      </c>
      <c r="M2743" t="n">
        <v>149000</v>
      </c>
      <c r="N2743" t="n">
        <v>91</v>
      </c>
      <c r="O2743" t="n">
        <v>0.91</v>
      </c>
      <c r="P2743" t="n">
        <v>1</v>
      </c>
      <c r="Q2743" t="n">
        <v>0.05</v>
      </c>
      <c r="R2743" t="n">
        <v>1</v>
      </c>
      <c r="S2743" t="n">
        <v>4067.7</v>
      </c>
      <c r="T2743" t="n">
        <v>13</v>
      </c>
      <c r="U2743" t="n">
        <v>14</v>
      </c>
      <c r="V2743" t="n">
        <v>30</v>
      </c>
      <c r="W2743" t="n">
        <v>1</v>
      </c>
      <c r="X2743" t="n">
        <v>439.5604395604395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11014</v>
      </c>
      <c r="AG2743" t="n">
        <v>33</v>
      </c>
      <c r="AH2743" t="inlineStr">
        <is>
          <t>PT. MENSA BINASUKSES - PPN (PDG)</t>
        </is>
      </c>
      <c r="AI2743" t="n">
        <v>300</v>
      </c>
      <c r="AJ2743" t="inlineStr">
        <is>
          <t>LOREAL</t>
        </is>
      </c>
      <c r="AK2743" t="n">
        <v>21</v>
      </c>
      <c r="AL2743" t="inlineStr">
        <is>
          <t>Miss Glam Damar</t>
        </is>
      </c>
      <c r="AM2743" t="n">
        <v>3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LOREAL</t>
        </is>
      </c>
      <c r="B2744" s="2">
        <f>"203002200444"</f>
        <v/>
      </c>
      <c r="C2744" t="inlineStr">
        <is>
          <t>LOREAL Infallible Laque Resistance 601 5ml</t>
        </is>
      </c>
      <c r="D2744" t="inlineStr">
        <is>
          <t>Miss Glam Damar</t>
        </is>
      </c>
      <c r="E2744" t="n">
        <v>8</v>
      </c>
      <c r="F2744" t="n">
        <v>0.0182</v>
      </c>
      <c r="G2744" t="n">
        <v>0.91</v>
      </c>
      <c r="H2744" t="n">
        <v>3</v>
      </c>
      <c r="I2744" t="n">
        <v>14</v>
      </c>
      <c r="J2744" t="n">
        <v>1</v>
      </c>
      <c r="K2744" t="n">
        <v>0</v>
      </c>
      <c r="L2744" t="n">
        <v>105410</v>
      </c>
      <c r="M2744" t="n">
        <v>149000</v>
      </c>
      <c r="N2744" t="n">
        <v>91</v>
      </c>
      <c r="O2744" t="n">
        <v>0.91</v>
      </c>
      <c r="P2744" t="n">
        <v>1</v>
      </c>
      <c r="Q2744" t="n">
        <v>0.1</v>
      </c>
      <c r="R2744" t="n">
        <v>2</v>
      </c>
      <c r="S2744" t="n">
        <v>2711.8</v>
      </c>
      <c r="T2744" t="n">
        <v>13</v>
      </c>
      <c r="U2744" t="n">
        <v>14</v>
      </c>
      <c r="V2744" t="n">
        <v>30</v>
      </c>
      <c r="W2744" t="n">
        <v>1</v>
      </c>
      <c r="X2744" t="n">
        <v>439.5604395604395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11014</v>
      </c>
      <c r="AG2744" t="n">
        <v>33</v>
      </c>
      <c r="AH2744" t="inlineStr">
        <is>
          <t>PT. MENSA BINASUKSES - PPN (PDG)</t>
        </is>
      </c>
      <c r="AI2744" t="n">
        <v>300</v>
      </c>
      <c r="AJ2744" t="inlineStr">
        <is>
          <t>LOREAL</t>
        </is>
      </c>
      <c r="AK2744" t="n">
        <v>21</v>
      </c>
      <c r="AL2744" t="inlineStr">
        <is>
          <t>Miss Glam Damar</t>
        </is>
      </c>
      <c r="AM2744" t="n">
        <v>3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LOREAL</t>
        </is>
      </c>
      <c r="B2745" s="2">
        <f>"203002200523"</f>
        <v/>
      </c>
      <c r="C2745" t="inlineStr">
        <is>
          <t>LOREAL Infallible Laque Resistance 610 5ml</t>
        </is>
      </c>
      <c r="D2745" t="inlineStr">
        <is>
          <t>Miss Glam Damar</t>
        </is>
      </c>
      <c r="E2745" t="n">
        <v>8</v>
      </c>
      <c r="F2745" t="n">
        <v>0.09100000000000001</v>
      </c>
      <c r="G2745" t="n">
        <v>0.91</v>
      </c>
      <c r="H2745" t="n">
        <v>3</v>
      </c>
      <c r="I2745" t="n">
        <v>14</v>
      </c>
      <c r="J2745" t="n">
        <v>1</v>
      </c>
      <c r="K2745" t="n">
        <v>0</v>
      </c>
      <c r="L2745" t="n">
        <v>107295</v>
      </c>
      <c r="M2745" t="n">
        <v>149000</v>
      </c>
      <c r="N2745" t="n">
        <v>91</v>
      </c>
      <c r="O2745" t="n">
        <v>0.91</v>
      </c>
      <c r="P2745" t="n">
        <v>1</v>
      </c>
      <c r="Q2745" t="n">
        <v>0.07000000000000001</v>
      </c>
      <c r="R2745" t="n">
        <v>2</v>
      </c>
      <c r="S2745" t="n">
        <v>13559</v>
      </c>
      <c r="T2745" t="n">
        <v>13</v>
      </c>
      <c r="U2745" t="n">
        <v>14</v>
      </c>
      <c r="V2745" t="n">
        <v>30</v>
      </c>
      <c r="W2745" t="n">
        <v>3</v>
      </c>
      <c r="X2745" t="n">
        <v>87.9120879120879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11014</v>
      </c>
      <c r="AG2745" t="n">
        <v>33</v>
      </c>
      <c r="AH2745" t="inlineStr">
        <is>
          <t>PT. MENSA BINASUKSES - PPN (PDG)</t>
        </is>
      </c>
      <c r="AI2745" t="n">
        <v>300</v>
      </c>
      <c r="AJ2745" t="inlineStr">
        <is>
          <t>LOREAL</t>
        </is>
      </c>
      <c r="AK2745" t="n">
        <v>21</v>
      </c>
      <c r="AL2745" t="inlineStr">
        <is>
          <t>Miss Glam Damar</t>
        </is>
      </c>
      <c r="AM2745" t="n">
        <v>3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LOREAL</t>
        </is>
      </c>
      <c r="B2746" s="2">
        <f>"203002200658"</f>
        <v/>
      </c>
      <c r="C2746" t="inlineStr">
        <is>
          <t>LOREAL Infallible Laque Resistance 635 5ml</t>
        </is>
      </c>
      <c r="D2746" t="inlineStr">
        <is>
          <t>Miss Glam Damar</t>
        </is>
      </c>
      <c r="E2746" t="n">
        <v>9</v>
      </c>
      <c r="F2746" t="n">
        <v>0.04550000000000001</v>
      </c>
      <c r="G2746" t="n">
        <v>0.91</v>
      </c>
      <c r="H2746" t="n">
        <v>3</v>
      </c>
      <c r="I2746" t="n">
        <v>14</v>
      </c>
      <c r="J2746" t="n">
        <v>1</v>
      </c>
      <c r="K2746" t="n">
        <v>0</v>
      </c>
      <c r="L2746" t="n">
        <v>113983</v>
      </c>
      <c r="M2746" t="n">
        <v>149000</v>
      </c>
      <c r="N2746" t="n">
        <v>91</v>
      </c>
      <c r="O2746" t="n">
        <v>0.91</v>
      </c>
      <c r="P2746" t="n">
        <v>1</v>
      </c>
      <c r="Q2746" t="n">
        <v>0.25</v>
      </c>
      <c r="R2746" t="n">
        <v>2</v>
      </c>
      <c r="S2746" t="n">
        <v>6779.500000000001</v>
      </c>
      <c r="T2746" t="n">
        <v>13</v>
      </c>
      <c r="U2746" t="n">
        <v>14</v>
      </c>
      <c r="V2746" t="n">
        <v>30</v>
      </c>
      <c r="W2746" t="n">
        <v>2</v>
      </c>
      <c r="X2746" t="n">
        <v>197.8021978021978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11014</v>
      </c>
      <c r="AG2746" t="n">
        <v>33</v>
      </c>
      <c r="AH2746" t="inlineStr">
        <is>
          <t>PT. MENSA BINASUKSES - PPN (PDG)</t>
        </is>
      </c>
      <c r="AI2746" t="n">
        <v>300</v>
      </c>
      <c r="AJ2746" t="inlineStr">
        <is>
          <t>LOREAL</t>
        </is>
      </c>
      <c r="AK2746" t="n">
        <v>21</v>
      </c>
      <c r="AL2746" t="inlineStr">
        <is>
          <t>Miss Glam Damar</t>
        </is>
      </c>
      <c r="AM2746" t="n">
        <v>3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LOREAL</t>
        </is>
      </c>
      <c r="B2747" s="2">
        <f>"6902395853275"</f>
        <v/>
      </c>
      <c r="C2747" t="inlineStr">
        <is>
          <t>LOREAL Infallible Matte Resistance 115 Snooze Your Alarm 5ml</t>
        </is>
      </c>
      <c r="D2747" t="inlineStr">
        <is>
          <t>Miss Glam Damar</t>
        </is>
      </c>
      <c r="E2747" t="n">
        <v>18</v>
      </c>
      <c r="F2747" t="n">
        <v>0.2275</v>
      </c>
      <c r="G2747" t="n">
        <v>0.91</v>
      </c>
      <c r="H2747" t="n">
        <v>3</v>
      </c>
      <c r="I2747" t="n">
        <v>14</v>
      </c>
      <c r="J2747" t="n">
        <v>3</v>
      </c>
      <c r="K2747" t="n">
        <v>0</v>
      </c>
      <c r="L2747" t="n">
        <v>104017</v>
      </c>
      <c r="M2747" t="n">
        <v>149000</v>
      </c>
      <c r="N2747" t="n">
        <v>91</v>
      </c>
      <c r="O2747" t="n">
        <v>0.91</v>
      </c>
      <c r="P2747" t="n">
        <v>1</v>
      </c>
      <c r="Q2747" t="n">
        <v>0.39</v>
      </c>
      <c r="R2747" t="n">
        <v>3</v>
      </c>
      <c r="S2747" t="n">
        <v>33897.5</v>
      </c>
      <c r="T2747" t="n">
        <v>13</v>
      </c>
      <c r="U2747" t="n">
        <v>14</v>
      </c>
      <c r="V2747" t="n">
        <v>30</v>
      </c>
      <c r="W2747" t="n">
        <v>7</v>
      </c>
      <c r="X2747" t="n">
        <v>79.12087912087912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11014</v>
      </c>
      <c r="AG2747" t="n">
        <v>33</v>
      </c>
      <c r="AH2747" t="inlineStr">
        <is>
          <t>PT. MENSA BINASUKSES - PPN (PDG)</t>
        </is>
      </c>
      <c r="AI2747" t="n">
        <v>300</v>
      </c>
      <c r="AJ2747" t="inlineStr">
        <is>
          <t>LOREAL</t>
        </is>
      </c>
      <c r="AK2747" t="n">
        <v>21</v>
      </c>
      <c r="AL2747" t="inlineStr">
        <is>
          <t>Miss Glam Damar</t>
        </is>
      </c>
      <c r="AM2747" t="n">
        <v>3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LOREAL</t>
        </is>
      </c>
      <c r="B2748" s="2">
        <f>"6902395853282"</f>
        <v/>
      </c>
      <c r="C2748" t="inlineStr">
        <is>
          <t>LOREAL Infallible Matte Resistance 120 Major Crush 5ml</t>
        </is>
      </c>
      <c r="D2748" t="inlineStr">
        <is>
          <t>Miss Glam Damar</t>
        </is>
      </c>
      <c r="E2748" t="n">
        <v>2</v>
      </c>
      <c r="F2748" t="n">
        <v>0.0728</v>
      </c>
      <c r="G2748" t="n">
        <v>0.91</v>
      </c>
      <c r="H2748" t="n">
        <v>3</v>
      </c>
      <c r="I2748" t="n">
        <v>14</v>
      </c>
      <c r="J2748" t="n">
        <v>3</v>
      </c>
      <c r="K2748" t="n">
        <v>0</v>
      </c>
      <c r="L2748" t="n">
        <v>114191</v>
      </c>
      <c r="M2748" t="n">
        <v>149000</v>
      </c>
      <c r="N2748" t="n">
        <v>91</v>
      </c>
      <c r="O2748" t="n">
        <v>0.91</v>
      </c>
      <c r="P2748" t="n">
        <v>1</v>
      </c>
      <c r="Q2748" t="n">
        <v>0.1</v>
      </c>
      <c r="R2748" t="n">
        <v>1</v>
      </c>
      <c r="S2748" t="n">
        <v>10847.2</v>
      </c>
      <c r="T2748" t="n">
        <v>13</v>
      </c>
      <c r="U2748" t="n">
        <v>14</v>
      </c>
      <c r="V2748" t="n">
        <v>30</v>
      </c>
      <c r="W2748" t="n">
        <v>3</v>
      </c>
      <c r="X2748" t="n">
        <v>27.47252747252747</v>
      </c>
      <c r="Y2748" t="n">
        <v>1</v>
      </c>
      <c r="Z2748" t="n">
        <v>1</v>
      </c>
      <c r="AA2748" t="n">
        <v>0</v>
      </c>
      <c r="AB2748" t="n">
        <v>1</v>
      </c>
      <c r="AC2748" t="n">
        <v>3</v>
      </c>
      <c r="AD2748" t="n">
        <v>0</v>
      </c>
      <c r="AE2748" t="n">
        <v>342573</v>
      </c>
      <c r="AF2748" t="n">
        <v>11014</v>
      </c>
      <c r="AG2748" t="n">
        <v>33</v>
      </c>
      <c r="AH2748" t="inlineStr">
        <is>
          <t>PT. MENSA BINASUKSES - PPN (PDG)</t>
        </is>
      </c>
      <c r="AI2748" t="n">
        <v>300</v>
      </c>
      <c r="AJ2748" t="inlineStr">
        <is>
          <t>LOREAL</t>
        </is>
      </c>
      <c r="AK2748" t="n">
        <v>21</v>
      </c>
      <c r="AL2748" t="inlineStr">
        <is>
          <t>Miss Glam Damar</t>
        </is>
      </c>
      <c r="AM2748" t="n">
        <v>3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LOREAL</t>
        </is>
      </c>
      <c r="B2749" s="2">
        <f>"6902395853305"</f>
        <v/>
      </c>
      <c r="C2749" t="inlineStr">
        <is>
          <t>LOREAL Infallible Matte Resistance 210 Tropical Vacay 5ml</t>
        </is>
      </c>
      <c r="D2749" t="inlineStr">
        <is>
          <t>Miss Glam Damar</t>
        </is>
      </c>
      <c r="E2749" t="n">
        <v>10</v>
      </c>
      <c r="F2749" t="n">
        <v>0.1365</v>
      </c>
      <c r="G2749" t="n">
        <v>1.82</v>
      </c>
      <c r="H2749" t="n">
        <v>3</v>
      </c>
      <c r="I2749" t="n">
        <v>14</v>
      </c>
      <c r="J2749" t="n">
        <v>3</v>
      </c>
      <c r="K2749" t="n">
        <v>0</v>
      </c>
      <c r="L2749" t="n">
        <v>115998</v>
      </c>
      <c r="M2749" t="n">
        <v>149000</v>
      </c>
      <c r="N2749" t="n">
        <v>91</v>
      </c>
      <c r="O2749" t="n">
        <v>0.91</v>
      </c>
      <c r="P2749" t="n">
        <v>1</v>
      </c>
      <c r="Q2749" t="n">
        <v>0.24</v>
      </c>
      <c r="R2749" t="n">
        <v>3</v>
      </c>
      <c r="S2749" t="n">
        <v>20338.5</v>
      </c>
      <c r="T2749" t="n">
        <v>26</v>
      </c>
      <c r="U2749" t="n">
        <v>27</v>
      </c>
      <c r="V2749" t="n">
        <v>30</v>
      </c>
      <c r="W2749" t="n">
        <v>5</v>
      </c>
      <c r="X2749" t="n">
        <v>73.26007326007326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11014</v>
      </c>
      <c r="AG2749" t="n">
        <v>33</v>
      </c>
      <c r="AH2749" t="inlineStr">
        <is>
          <t>PT. MENSA BINASUKSES - PPN (PDG)</t>
        </is>
      </c>
      <c r="AI2749" t="n">
        <v>300</v>
      </c>
      <c r="AJ2749" t="inlineStr">
        <is>
          <t>LOREAL</t>
        </is>
      </c>
      <c r="AK2749" t="n">
        <v>21</v>
      </c>
      <c r="AL2749" t="inlineStr">
        <is>
          <t>Miss Glam Damar</t>
        </is>
      </c>
      <c r="AM2749" t="n">
        <v>3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LOREAL</t>
        </is>
      </c>
      <c r="B2750" s="2">
        <f>"6902395853312"</f>
        <v/>
      </c>
      <c r="C2750" t="inlineStr">
        <is>
          <t>LOREAL Infallible Matte Resistance 230 Shopping Spree 5ml</t>
        </is>
      </c>
      <c r="D2750" t="inlineStr">
        <is>
          <t>Miss Glam Damar</t>
        </is>
      </c>
      <c r="E2750" t="n">
        <v>7</v>
      </c>
      <c r="F2750" t="n">
        <v>0.2639</v>
      </c>
      <c r="G2750" t="n">
        <v>1.82</v>
      </c>
      <c r="H2750" t="n">
        <v>3</v>
      </c>
      <c r="I2750" t="n">
        <v>14</v>
      </c>
      <c r="J2750" t="n">
        <v>3</v>
      </c>
      <c r="K2750" t="n">
        <v>0</v>
      </c>
      <c r="L2750" t="n">
        <v>108161</v>
      </c>
      <c r="M2750" t="n">
        <v>149000</v>
      </c>
      <c r="N2750" t="n">
        <v>91</v>
      </c>
      <c r="O2750" t="n">
        <v>0.91</v>
      </c>
      <c r="P2750" t="n">
        <v>1</v>
      </c>
      <c r="Q2750" t="n">
        <v>0.19</v>
      </c>
      <c r="R2750" t="n">
        <v>2</v>
      </c>
      <c r="S2750" t="n">
        <v>39321.1</v>
      </c>
      <c r="T2750" t="n">
        <v>25</v>
      </c>
      <c r="U2750" t="n">
        <v>26</v>
      </c>
      <c r="V2750" t="n">
        <v>30</v>
      </c>
      <c r="W2750" t="n">
        <v>8</v>
      </c>
      <c r="X2750" t="n">
        <v>26.52519893899204</v>
      </c>
      <c r="Y2750" t="n">
        <v>1</v>
      </c>
      <c r="Z2750" t="n">
        <v>1</v>
      </c>
      <c r="AA2750" t="n">
        <v>0</v>
      </c>
      <c r="AB2750" t="n">
        <v>1</v>
      </c>
      <c r="AC2750" t="n">
        <v>3</v>
      </c>
      <c r="AD2750" t="n">
        <v>0</v>
      </c>
      <c r="AE2750" t="n">
        <v>324483</v>
      </c>
      <c r="AF2750" t="n">
        <v>11014</v>
      </c>
      <c r="AG2750" t="n">
        <v>33</v>
      </c>
      <c r="AH2750" t="inlineStr">
        <is>
          <t>PT. MENSA BINASUKSES - PPN (PDG)</t>
        </is>
      </c>
      <c r="AI2750" t="n">
        <v>300</v>
      </c>
      <c r="AJ2750" t="inlineStr">
        <is>
          <t>LOREAL</t>
        </is>
      </c>
      <c r="AK2750" t="n">
        <v>21</v>
      </c>
      <c r="AL2750" t="inlineStr">
        <is>
          <t>Miss Glam Damar</t>
        </is>
      </c>
      <c r="AM2750" t="n">
        <v>3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LOREAL</t>
        </is>
      </c>
      <c r="B2751" s="2">
        <f>"6902395853336"</f>
        <v/>
      </c>
      <c r="C2751" t="inlineStr">
        <is>
          <t>LOREAL Infallible Matte Resistance 245 French Kiss 5ml</t>
        </is>
      </c>
      <c r="D2751" t="inlineStr">
        <is>
          <t>Miss Glam Damar</t>
        </is>
      </c>
      <c r="E2751" t="n">
        <v>7</v>
      </c>
      <c r="F2751" t="n">
        <v>0.0728</v>
      </c>
      <c r="G2751" t="n">
        <v>0.91</v>
      </c>
      <c r="H2751" t="n">
        <v>3</v>
      </c>
      <c r="I2751" t="n">
        <v>14</v>
      </c>
      <c r="J2751" t="n">
        <v>3</v>
      </c>
      <c r="K2751" t="n">
        <v>0</v>
      </c>
      <c r="L2751" t="n">
        <v>105880</v>
      </c>
      <c r="M2751" t="n">
        <v>149000</v>
      </c>
      <c r="N2751" t="n">
        <v>91</v>
      </c>
      <c r="O2751" t="n">
        <v>0.91</v>
      </c>
      <c r="P2751" t="n">
        <v>1</v>
      </c>
      <c r="Q2751" t="n">
        <v>0.07000000000000001</v>
      </c>
      <c r="R2751" t="n">
        <v>1</v>
      </c>
      <c r="S2751" t="n">
        <v>10847.2</v>
      </c>
      <c r="T2751" t="n">
        <v>13</v>
      </c>
      <c r="U2751" t="n">
        <v>14</v>
      </c>
      <c r="V2751" t="n">
        <v>30</v>
      </c>
      <c r="W2751" t="n">
        <v>3</v>
      </c>
      <c r="X2751" t="n">
        <v>96.15384615384615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11014</v>
      </c>
      <c r="AG2751" t="n">
        <v>33</v>
      </c>
      <c r="AH2751" t="inlineStr">
        <is>
          <t>PT. MENSA BINASUKSES - PPN (PDG)</t>
        </is>
      </c>
      <c r="AI2751" t="n">
        <v>300</v>
      </c>
      <c r="AJ2751" t="inlineStr">
        <is>
          <t>LOREAL</t>
        </is>
      </c>
      <c r="AK2751" t="n">
        <v>21</v>
      </c>
      <c r="AL2751" t="inlineStr">
        <is>
          <t>Miss Glam Damar</t>
        </is>
      </c>
      <c r="AM2751" t="n">
        <v>3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LOREAL</t>
        </is>
      </c>
      <c r="B2752" s="2">
        <f>"6902395853367"</f>
        <v/>
      </c>
      <c r="C2752" t="inlineStr">
        <is>
          <t>LOREAL Infallible Matte Resistance 420 Le Rouge Paris 5ml</t>
        </is>
      </c>
      <c r="D2752" t="inlineStr">
        <is>
          <t>Miss Glam Damar</t>
        </is>
      </c>
      <c r="E2752" t="n">
        <v>6</v>
      </c>
      <c r="F2752" t="n">
        <v>0.0182</v>
      </c>
      <c r="G2752" t="n">
        <v>0.91</v>
      </c>
      <c r="H2752" t="n">
        <v>3</v>
      </c>
      <c r="I2752" t="n">
        <v>14</v>
      </c>
      <c r="J2752" t="n">
        <v>3</v>
      </c>
      <c r="K2752" t="n">
        <v>0</v>
      </c>
      <c r="L2752" t="n">
        <v>114880</v>
      </c>
      <c r="M2752" t="n">
        <v>149000</v>
      </c>
      <c r="N2752" t="n">
        <v>91</v>
      </c>
      <c r="O2752" t="n">
        <v>0.91</v>
      </c>
      <c r="P2752" t="n">
        <v>1</v>
      </c>
      <c r="Q2752" t="n">
        <v>0.14</v>
      </c>
      <c r="R2752" t="n">
        <v>2</v>
      </c>
      <c r="S2752" t="n">
        <v>2711.8</v>
      </c>
      <c r="T2752" t="n">
        <v>13</v>
      </c>
      <c r="U2752" t="n">
        <v>14</v>
      </c>
      <c r="V2752" t="n">
        <v>30</v>
      </c>
      <c r="W2752" t="n">
        <v>1</v>
      </c>
      <c r="X2752" t="n">
        <v>329.6703296703296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11014</v>
      </c>
      <c r="AG2752" t="n">
        <v>33</v>
      </c>
      <c r="AH2752" t="inlineStr">
        <is>
          <t>PT. MENSA BINASUKSES - PPN (PDG)</t>
        </is>
      </c>
      <c r="AI2752" t="n">
        <v>300</v>
      </c>
      <c r="AJ2752" t="inlineStr">
        <is>
          <t>LOREAL</t>
        </is>
      </c>
      <c r="AK2752" t="n">
        <v>21</v>
      </c>
      <c r="AL2752" t="inlineStr">
        <is>
          <t>Miss Glam Damar</t>
        </is>
      </c>
      <c r="AM2752" t="n">
        <v>3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LOREAL</t>
        </is>
      </c>
      <c r="B2753" s="2">
        <f>"6902395970958"</f>
        <v/>
      </c>
      <c r="C2753" t="inlineStr">
        <is>
          <t>LOREAL Infallible Matte Resistance 601 Worth It 5ml</t>
        </is>
      </c>
      <c r="D2753" t="inlineStr">
        <is>
          <t>Miss Glam Damar</t>
        </is>
      </c>
      <c r="E2753" t="n">
        <v>4</v>
      </c>
      <c r="F2753" t="n">
        <v>0.06370000000000001</v>
      </c>
      <c r="G2753" t="n">
        <v>1.82</v>
      </c>
      <c r="H2753" t="n">
        <v>3</v>
      </c>
      <c r="I2753" t="n">
        <v>14</v>
      </c>
      <c r="J2753" t="n">
        <v>3</v>
      </c>
      <c r="K2753" t="n">
        <v>0</v>
      </c>
      <c r="L2753" t="n">
        <v>107983</v>
      </c>
      <c r="M2753" t="n">
        <v>149000</v>
      </c>
      <c r="N2753" t="n">
        <v>91</v>
      </c>
      <c r="O2753" t="n">
        <v>0.91</v>
      </c>
      <c r="P2753" t="n">
        <v>1</v>
      </c>
      <c r="Q2753" t="n">
        <v>0.17</v>
      </c>
      <c r="R2753" t="n">
        <v>2</v>
      </c>
      <c r="S2753" t="n">
        <v>9491.300000000001</v>
      </c>
      <c r="T2753" t="n">
        <v>26</v>
      </c>
      <c r="U2753" t="n">
        <v>27</v>
      </c>
      <c r="V2753" t="n">
        <v>30</v>
      </c>
      <c r="W2753" t="n">
        <v>2</v>
      </c>
      <c r="X2753" t="n">
        <v>62.79434850863422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11014</v>
      </c>
      <c r="AG2753" t="n">
        <v>33</v>
      </c>
      <c r="AH2753" t="inlineStr">
        <is>
          <t>PT. MENSA BINASUKSES - PPN (PDG)</t>
        </is>
      </c>
      <c r="AI2753" t="n">
        <v>300</v>
      </c>
      <c r="AJ2753" t="inlineStr">
        <is>
          <t>LOREAL</t>
        </is>
      </c>
      <c r="AK2753" t="n">
        <v>21</v>
      </c>
      <c r="AL2753" t="inlineStr">
        <is>
          <t>Miss Glam Damar</t>
        </is>
      </c>
      <c r="AM2753" t="n">
        <v>3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LOREAL</t>
        </is>
      </c>
      <c r="B2754" s="2">
        <f>"6902395970965"</f>
        <v/>
      </c>
      <c r="C2754" t="inlineStr">
        <is>
          <t>LOREAL Infallible Matte Resistance 625 Summer Fling 5ml</t>
        </is>
      </c>
      <c r="D2754" t="inlineStr">
        <is>
          <t>Miss Glam Damar</t>
        </is>
      </c>
      <c r="E2754" t="n">
        <v>6</v>
      </c>
      <c r="F2754" t="n">
        <v>0.0273</v>
      </c>
      <c r="G2754" t="n">
        <v>0.91</v>
      </c>
      <c r="H2754" t="n">
        <v>3</v>
      </c>
      <c r="I2754" t="n">
        <v>14</v>
      </c>
      <c r="J2754" t="n">
        <v>3</v>
      </c>
      <c r="K2754" t="n">
        <v>0</v>
      </c>
      <c r="L2754" t="n">
        <v>104017</v>
      </c>
      <c r="M2754" t="n">
        <v>149000</v>
      </c>
      <c r="N2754" t="n">
        <v>91</v>
      </c>
      <c r="O2754" t="n">
        <v>0.91</v>
      </c>
      <c r="P2754" t="n">
        <v>1</v>
      </c>
      <c r="Q2754" t="n">
        <v>0.15</v>
      </c>
      <c r="R2754" t="n">
        <v>1</v>
      </c>
      <c r="S2754" t="n">
        <v>4067.7</v>
      </c>
      <c r="T2754" t="n">
        <v>13</v>
      </c>
      <c r="U2754" t="n">
        <v>14</v>
      </c>
      <c r="V2754" t="n">
        <v>30</v>
      </c>
      <c r="W2754" t="n">
        <v>1</v>
      </c>
      <c r="X2754" t="n">
        <v>219.7802197802198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11014</v>
      </c>
      <c r="AG2754" t="n">
        <v>33</v>
      </c>
      <c r="AH2754" t="inlineStr">
        <is>
          <t>PT. MENSA BINASUKSES - PPN (PDG)</t>
        </is>
      </c>
      <c r="AI2754" t="n">
        <v>300</v>
      </c>
      <c r="AJ2754" t="inlineStr">
        <is>
          <t>LOREAL</t>
        </is>
      </c>
      <c r="AK2754" t="n">
        <v>21</v>
      </c>
      <c r="AL2754" t="inlineStr">
        <is>
          <t>Miss Glam Damar</t>
        </is>
      </c>
      <c r="AM2754" t="n">
        <v>3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LOREAL</t>
        </is>
      </c>
      <c r="B2755" s="2">
        <f>"6902395970972"</f>
        <v/>
      </c>
      <c r="C2755" t="inlineStr">
        <is>
          <t>LOREAL Infallible Matte Resistance 630 Rose Heat 5ml</t>
        </is>
      </c>
      <c r="D2755" t="inlineStr">
        <is>
          <t>Miss Glam Damar</t>
        </is>
      </c>
      <c r="E2755" t="n">
        <v>8</v>
      </c>
      <c r="F2755" t="n">
        <v>0.0728</v>
      </c>
      <c r="G2755" t="n">
        <v>0.91</v>
      </c>
      <c r="H2755" t="n">
        <v>3</v>
      </c>
      <c r="I2755" t="n">
        <v>14</v>
      </c>
      <c r="J2755" t="n">
        <v>3</v>
      </c>
      <c r="K2755" t="n">
        <v>0</v>
      </c>
      <c r="L2755" t="n">
        <v>104365</v>
      </c>
      <c r="M2755" t="n">
        <v>149000</v>
      </c>
      <c r="N2755" t="n">
        <v>91</v>
      </c>
      <c r="O2755" t="n">
        <v>0.91</v>
      </c>
      <c r="P2755" t="n">
        <v>1</v>
      </c>
      <c r="Q2755" t="n">
        <v>0.12</v>
      </c>
      <c r="R2755" t="n">
        <v>2</v>
      </c>
      <c r="S2755" t="n">
        <v>10847.2</v>
      </c>
      <c r="T2755" t="n">
        <v>13</v>
      </c>
      <c r="U2755" t="n">
        <v>14</v>
      </c>
      <c r="V2755" t="n">
        <v>30</v>
      </c>
      <c r="W2755" t="n">
        <v>3</v>
      </c>
      <c r="X2755" t="n">
        <v>109.8901098901099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11014</v>
      </c>
      <c r="AG2755" t="n">
        <v>33</v>
      </c>
      <c r="AH2755" t="inlineStr">
        <is>
          <t>PT. MENSA BINASUKSES - PPN (PDG)</t>
        </is>
      </c>
      <c r="AI2755" t="n">
        <v>300</v>
      </c>
      <c r="AJ2755" t="inlineStr">
        <is>
          <t>LOREAL</t>
        </is>
      </c>
      <c r="AK2755" t="n">
        <v>21</v>
      </c>
      <c r="AL2755" t="inlineStr">
        <is>
          <t>Miss Glam Damar</t>
        </is>
      </c>
      <c r="AM2755" t="n">
        <v>3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LOREAL</t>
        </is>
      </c>
      <c r="B2756" s="2">
        <f>"20300195610"</f>
        <v/>
      </c>
      <c r="C2756" t="inlineStr">
        <is>
          <t>LOREAL Paris Color Riche Intense Volume Matte Lipstick 276 Le Leather Liber</t>
        </is>
      </c>
      <c r="D2756" t="inlineStr">
        <is>
          <t>Miss Glam Damar</t>
        </is>
      </c>
      <c r="E2756" t="n">
        <v>3</v>
      </c>
      <c r="F2756" t="n">
        <v>0.02</v>
      </c>
      <c r="G2756" t="n">
        <v>1</v>
      </c>
      <c r="H2756" t="n">
        <v>3</v>
      </c>
      <c r="I2756" t="n">
        <v>14</v>
      </c>
      <c r="J2756" t="n">
        <v>3</v>
      </c>
      <c r="K2756" t="n">
        <v>0</v>
      </c>
      <c r="L2756" t="n">
        <v>110392</v>
      </c>
      <c r="M2756" t="n">
        <v>149000</v>
      </c>
      <c r="N2756" t="n">
        <v>91</v>
      </c>
      <c r="O2756" t="n">
        <v>0.91</v>
      </c>
      <c r="P2756" t="n">
        <v>0</v>
      </c>
      <c r="Q2756" t="n">
        <v>0.02</v>
      </c>
      <c r="R2756" t="n">
        <v>1</v>
      </c>
      <c r="S2756" t="n">
        <v>2980</v>
      </c>
      <c r="T2756" t="n">
        <v>14</v>
      </c>
      <c r="U2756" t="n">
        <v>15</v>
      </c>
      <c r="V2756" t="n">
        <v>30</v>
      </c>
      <c r="W2756" t="n">
        <v>1</v>
      </c>
      <c r="X2756" t="n">
        <v>150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11014</v>
      </c>
      <c r="AG2756" t="n">
        <v>33</v>
      </c>
      <c r="AH2756" t="inlineStr">
        <is>
          <t>PT. MENSA BINASUKSES - PPN (PDG)</t>
        </is>
      </c>
      <c r="AI2756" t="n">
        <v>300</v>
      </c>
      <c r="AJ2756" t="inlineStr">
        <is>
          <t>LOREAL</t>
        </is>
      </c>
      <c r="AK2756" t="n">
        <v>21</v>
      </c>
      <c r="AL2756" t="inlineStr">
        <is>
          <t>Miss Glam Damar</t>
        </is>
      </c>
      <c r="AM2756" t="n">
        <v>3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LOREAL</t>
        </is>
      </c>
      <c r="B2757" s="2">
        <f>"20300195325"</f>
        <v/>
      </c>
      <c r="C2757" t="inlineStr">
        <is>
          <t>LOREAL Paris Color Riche Intense Volume Matte Lipstick 601 Worth It</t>
        </is>
      </c>
      <c r="D2757" t="inlineStr">
        <is>
          <t>Miss Glam Damar</t>
        </is>
      </c>
      <c r="E2757" t="n">
        <v>4</v>
      </c>
      <c r="F2757" t="n">
        <v>0.0182</v>
      </c>
      <c r="G2757" t="n">
        <v>0.91</v>
      </c>
      <c r="H2757" t="n">
        <v>3</v>
      </c>
      <c r="I2757" t="n">
        <v>14</v>
      </c>
      <c r="J2757" t="n">
        <v>3</v>
      </c>
      <c r="K2757" t="n">
        <v>0</v>
      </c>
      <c r="L2757" t="n">
        <v>107027</v>
      </c>
      <c r="M2757" t="n">
        <v>149000</v>
      </c>
      <c r="N2757" t="n">
        <v>91</v>
      </c>
      <c r="O2757" t="n">
        <v>0.91</v>
      </c>
      <c r="P2757" t="n">
        <v>1</v>
      </c>
      <c r="Q2757" t="n">
        <v>0.02</v>
      </c>
      <c r="R2757" t="n">
        <v>1</v>
      </c>
      <c r="S2757" t="n">
        <v>2711.8</v>
      </c>
      <c r="T2757" t="n">
        <v>13</v>
      </c>
      <c r="U2757" t="n">
        <v>14</v>
      </c>
      <c r="V2757" t="n">
        <v>30</v>
      </c>
      <c r="W2757" t="n">
        <v>1</v>
      </c>
      <c r="X2757" t="n">
        <v>219.7802197802198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11014</v>
      </c>
      <c r="AG2757" t="n">
        <v>33</v>
      </c>
      <c r="AH2757" t="inlineStr">
        <is>
          <t>PT. MENSA BINASUKSES - PPN (PDG)</t>
        </is>
      </c>
      <c r="AI2757" t="n">
        <v>300</v>
      </c>
      <c r="AJ2757" t="inlineStr">
        <is>
          <t>LOREAL</t>
        </is>
      </c>
      <c r="AK2757" t="n">
        <v>21</v>
      </c>
      <c r="AL2757" t="inlineStr">
        <is>
          <t>Miss Glam Damar</t>
        </is>
      </c>
      <c r="AM2757" t="n">
        <v>3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LOREAL</t>
        </is>
      </c>
      <c r="B2758" s="2">
        <f>"20300195928"</f>
        <v/>
      </c>
      <c r="C2758" t="inlineStr">
        <is>
          <t>LOREAL Paris Color Riche Intense Volume Matte Lipstick 613 Iced Litchi</t>
        </is>
      </c>
      <c r="D2758" t="inlineStr">
        <is>
          <t>Miss Glam Damar</t>
        </is>
      </c>
      <c r="E2758" t="n">
        <v>1</v>
      </c>
      <c r="F2758" t="n">
        <v>0.03</v>
      </c>
      <c r="G2758" t="n">
        <v>1</v>
      </c>
      <c r="H2758" t="n">
        <v>3</v>
      </c>
      <c r="I2758" t="n">
        <v>14</v>
      </c>
      <c r="J2758" t="n">
        <v>3</v>
      </c>
      <c r="K2758" t="n">
        <v>0</v>
      </c>
      <c r="L2758" t="n">
        <v>106937</v>
      </c>
      <c r="M2758" t="n">
        <v>149000</v>
      </c>
      <c r="N2758" t="n">
        <v>91</v>
      </c>
      <c r="O2758" t="n">
        <v>0.91</v>
      </c>
      <c r="P2758" t="n">
        <v>0</v>
      </c>
      <c r="Q2758" t="n">
        <v>0.03</v>
      </c>
      <c r="R2758" t="n">
        <v>1</v>
      </c>
      <c r="S2758" t="n">
        <v>4470</v>
      </c>
      <c r="T2758" t="n">
        <v>14</v>
      </c>
      <c r="U2758" t="n">
        <v>15</v>
      </c>
      <c r="V2758" t="n">
        <v>30</v>
      </c>
      <c r="W2758" t="n">
        <v>1</v>
      </c>
      <c r="X2758" t="n">
        <v>33.33333333333334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11014</v>
      </c>
      <c r="AG2758" t="n">
        <v>33</v>
      </c>
      <c r="AH2758" t="inlineStr">
        <is>
          <t>PT. MENSA BINASUKSES - PPN (PDG)</t>
        </is>
      </c>
      <c r="AI2758" t="n">
        <v>300</v>
      </c>
      <c r="AJ2758" t="inlineStr">
        <is>
          <t>LOREAL</t>
        </is>
      </c>
      <c r="AK2758" t="n">
        <v>21</v>
      </c>
      <c r="AL2758" t="inlineStr">
        <is>
          <t>Miss Glam Damar</t>
        </is>
      </c>
      <c r="AM2758" t="n">
        <v>3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LOREAL</t>
        </is>
      </c>
      <c r="B2759" s="2">
        <f>"10200416112"</f>
        <v/>
      </c>
      <c r="C2759" t="inlineStr">
        <is>
          <t>LOREAL Paris Glycolic-Bright ExfolianT Peeling Solution 25ml</t>
        </is>
      </c>
      <c r="D2759" t="inlineStr">
        <is>
          <t>Miss Glam Damar</t>
        </is>
      </c>
      <c r="E2759" t="n">
        <v>12</v>
      </c>
      <c r="F2759" t="n">
        <v>0.1274</v>
      </c>
      <c r="G2759" t="n">
        <v>0.91</v>
      </c>
      <c r="H2759" t="n">
        <v>3</v>
      </c>
      <c r="I2759" t="n">
        <v>14</v>
      </c>
      <c r="J2759" t="n">
        <v>1</v>
      </c>
      <c r="K2759" t="n">
        <v>0</v>
      </c>
      <c r="L2759" t="n">
        <v>138089</v>
      </c>
      <c r="M2759" t="n">
        <v>179000</v>
      </c>
      <c r="N2759" t="n">
        <v>91</v>
      </c>
      <c r="O2759" t="n">
        <v>0.91</v>
      </c>
      <c r="P2759" t="n">
        <v>1</v>
      </c>
      <c r="Q2759" t="n">
        <v>0.36</v>
      </c>
      <c r="R2759" t="n">
        <v>3</v>
      </c>
      <c r="S2759" t="n">
        <v>22804.6</v>
      </c>
      <c r="T2759" t="n">
        <v>13</v>
      </c>
      <c r="U2759" t="n">
        <v>14</v>
      </c>
      <c r="V2759" t="n">
        <v>30</v>
      </c>
      <c r="W2759" t="n">
        <v>4</v>
      </c>
      <c r="X2759" t="n">
        <v>94.19152276295132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11014</v>
      </c>
      <c r="AG2759" t="n">
        <v>33</v>
      </c>
      <c r="AH2759" t="inlineStr">
        <is>
          <t>PT. MENSA BINASUKSES - PPN (PDG)</t>
        </is>
      </c>
      <c r="AI2759" t="n">
        <v>300</v>
      </c>
      <c r="AJ2759" t="inlineStr">
        <is>
          <t>LOREAL</t>
        </is>
      </c>
      <c r="AK2759" t="n">
        <v>21</v>
      </c>
      <c r="AL2759" t="inlineStr">
        <is>
          <t>Miss Glam Damar</t>
        </is>
      </c>
      <c r="AM2759" t="n">
        <v>3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LOREAL</t>
        </is>
      </c>
      <c r="B2760" s="2">
        <f>"20101209119"</f>
        <v/>
      </c>
      <c r="C2760" t="inlineStr">
        <is>
          <t>LOREAL Paris Infaillible 3-Second Setting Mist 75ml</t>
        </is>
      </c>
      <c r="D2760" t="inlineStr">
        <is>
          <t>Miss Glam Damar</t>
        </is>
      </c>
      <c r="E2760" t="n">
        <v>6</v>
      </c>
      <c r="F2760" t="n">
        <v>0.0273</v>
      </c>
      <c r="G2760" t="n">
        <v>0.91</v>
      </c>
      <c r="H2760" t="n">
        <v>3</v>
      </c>
      <c r="I2760" t="n">
        <v>14</v>
      </c>
      <c r="J2760" t="n">
        <v>1</v>
      </c>
      <c r="K2760" t="n">
        <v>0</v>
      </c>
      <c r="L2760" t="n">
        <v>81303</v>
      </c>
      <c r="M2760" t="n">
        <v>95000</v>
      </c>
      <c r="N2760" t="n">
        <v>91</v>
      </c>
      <c r="O2760" t="n">
        <v>0.91</v>
      </c>
      <c r="P2760" t="n">
        <v>1</v>
      </c>
      <c r="Q2760" t="n">
        <v>0.08</v>
      </c>
      <c r="R2760" t="n">
        <v>2</v>
      </c>
      <c r="S2760" t="n">
        <v>2593.5</v>
      </c>
      <c r="T2760" t="n">
        <v>13</v>
      </c>
      <c r="U2760" t="n">
        <v>14</v>
      </c>
      <c r="V2760" t="n">
        <v>30</v>
      </c>
      <c r="W2760" t="n">
        <v>1</v>
      </c>
      <c r="X2760" t="n">
        <v>219.7802197802198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11014</v>
      </c>
      <c r="AG2760" t="n">
        <v>33</v>
      </c>
      <c r="AH2760" t="inlineStr">
        <is>
          <t>PT. MENSA BINASUKSES - PPN (PDG)</t>
        </is>
      </c>
      <c r="AI2760" t="n">
        <v>300</v>
      </c>
      <c r="AJ2760" t="inlineStr">
        <is>
          <t>LOREAL</t>
        </is>
      </c>
      <c r="AK2760" t="n">
        <v>21</v>
      </c>
      <c r="AL2760" t="inlineStr">
        <is>
          <t>Miss Glam Damar</t>
        </is>
      </c>
      <c r="AM2760" t="n">
        <v>3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LOREAL</t>
        </is>
      </c>
      <c r="B2761" s="2">
        <f>"6923700977264"</f>
        <v/>
      </c>
      <c r="C2761" t="inlineStr">
        <is>
          <t>LOREAL Revitalift 1,5% Hyaluronic Acid Serum</t>
        </is>
      </c>
      <c r="D2761" t="inlineStr">
        <is>
          <t>Miss Glam Damar</t>
        </is>
      </c>
      <c r="E2761" t="n">
        <v>2</v>
      </c>
      <c r="F2761" t="n">
        <v>0.05</v>
      </c>
      <c r="G2761" t="n">
        <v>1</v>
      </c>
      <c r="H2761" t="n">
        <v>3</v>
      </c>
      <c r="I2761" t="n">
        <v>14</v>
      </c>
      <c r="J2761" t="n">
        <v>3</v>
      </c>
      <c r="K2761" t="n">
        <v>0</v>
      </c>
      <c r="L2761" t="n">
        <v>106797</v>
      </c>
      <c r="M2761" t="n">
        <v>145000</v>
      </c>
      <c r="N2761" t="n">
        <v>91</v>
      </c>
      <c r="O2761" t="n">
        <v>0.91</v>
      </c>
      <c r="P2761" t="n">
        <v>0</v>
      </c>
      <c r="Q2761" t="n">
        <v>0.05</v>
      </c>
      <c r="R2761" t="n">
        <v>1</v>
      </c>
      <c r="S2761" t="n">
        <v>7250</v>
      </c>
      <c r="T2761" t="n">
        <v>14</v>
      </c>
      <c r="U2761" t="n">
        <v>15</v>
      </c>
      <c r="V2761" t="n">
        <v>30</v>
      </c>
      <c r="W2761" t="n">
        <v>2</v>
      </c>
      <c r="X2761" t="n">
        <v>40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11014</v>
      </c>
      <c r="AG2761" t="n">
        <v>33</v>
      </c>
      <c r="AH2761" t="inlineStr">
        <is>
          <t>PT. MENSA BINASUKSES - PPN (PDG)</t>
        </is>
      </c>
      <c r="AI2761" t="n">
        <v>300</v>
      </c>
      <c r="AJ2761" t="inlineStr">
        <is>
          <t>LOREAL</t>
        </is>
      </c>
      <c r="AK2761" t="n">
        <v>21</v>
      </c>
      <c r="AL2761" t="inlineStr">
        <is>
          <t>Miss Glam Damar</t>
        </is>
      </c>
      <c r="AM2761" t="n">
        <v>3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LOREAL</t>
        </is>
      </c>
      <c r="B2762" s="2">
        <f>"6923700981476"</f>
        <v/>
      </c>
      <c r="C2762" t="inlineStr">
        <is>
          <t>LOREAL Revitalift Cristal Purifying Crystal Micellar Water Oily Skin 400ml</t>
        </is>
      </c>
      <c r="D2762" t="inlineStr">
        <is>
          <t>Miss Glam Damar</t>
        </is>
      </c>
      <c r="E2762" t="n">
        <v>4</v>
      </c>
      <c r="F2762" t="n">
        <v>0.0182</v>
      </c>
      <c r="G2762" t="n">
        <v>0.91</v>
      </c>
      <c r="H2762" t="n">
        <v>3</v>
      </c>
      <c r="I2762" t="n">
        <v>14</v>
      </c>
      <c r="J2762" t="n">
        <v>3</v>
      </c>
      <c r="K2762" t="n">
        <v>0</v>
      </c>
      <c r="L2762" t="n">
        <v>121981</v>
      </c>
      <c r="M2762" t="n">
        <v>151000</v>
      </c>
      <c r="N2762" t="n">
        <v>91</v>
      </c>
      <c r="O2762" t="n">
        <v>0.91</v>
      </c>
      <c r="P2762" t="n">
        <v>1</v>
      </c>
      <c r="Q2762" t="n">
        <v>0.05</v>
      </c>
      <c r="R2762" t="n">
        <v>2</v>
      </c>
      <c r="S2762" t="n">
        <v>2748.2</v>
      </c>
      <c r="T2762" t="n">
        <v>13</v>
      </c>
      <c r="U2762" t="n">
        <v>14</v>
      </c>
      <c r="V2762" t="n">
        <v>30</v>
      </c>
      <c r="W2762" t="n">
        <v>1</v>
      </c>
      <c r="X2762" t="n">
        <v>219.7802197802198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11014</v>
      </c>
      <c r="AG2762" t="n">
        <v>33</v>
      </c>
      <c r="AH2762" t="inlineStr">
        <is>
          <t>PT. MENSA BINASUKSES - PPN (PDG)</t>
        </is>
      </c>
      <c r="AI2762" t="n">
        <v>300</v>
      </c>
      <c r="AJ2762" t="inlineStr">
        <is>
          <t>LOREAL</t>
        </is>
      </c>
      <c r="AK2762" t="n">
        <v>21</v>
      </c>
      <c r="AL2762" t="inlineStr">
        <is>
          <t>Miss Glam Damar</t>
        </is>
      </c>
      <c r="AM2762" t="n">
        <v>3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LOREAL</t>
        </is>
      </c>
      <c r="B2763" s="2">
        <f>"8994993017980"</f>
        <v/>
      </c>
      <c r="C2763" t="inlineStr">
        <is>
          <t>LOREAL Revitalift Eye Serum 20ml</t>
        </is>
      </c>
      <c r="D2763" t="inlineStr">
        <is>
          <t>Miss Glam Damar</t>
        </is>
      </c>
      <c r="E2763" t="n">
        <v>0</v>
      </c>
      <c r="F2763" t="n">
        <v>0.02</v>
      </c>
      <c r="G2763" t="n">
        <v>1</v>
      </c>
      <c r="H2763" t="n">
        <v>3</v>
      </c>
      <c r="I2763" t="n">
        <v>14</v>
      </c>
      <c r="J2763" t="n">
        <v>3</v>
      </c>
      <c r="K2763" t="n">
        <v>0</v>
      </c>
      <c r="L2763" t="n">
        <v>131511</v>
      </c>
      <c r="M2763" t="n">
        <v>179000</v>
      </c>
      <c r="N2763" t="n">
        <v>91</v>
      </c>
      <c r="O2763" t="n">
        <v>0.91</v>
      </c>
      <c r="P2763" t="n">
        <v>0</v>
      </c>
      <c r="Q2763" t="n">
        <v>0.02</v>
      </c>
      <c r="R2763" t="n">
        <v>1</v>
      </c>
      <c r="S2763" t="n">
        <v>3580</v>
      </c>
      <c r="T2763" t="n">
        <v>14</v>
      </c>
      <c r="U2763" t="n">
        <v>15</v>
      </c>
      <c r="V2763" t="n">
        <v>30</v>
      </c>
      <c r="W2763" t="n">
        <v>1</v>
      </c>
      <c r="X2763" t="n">
        <v>0</v>
      </c>
      <c r="Y2763" t="n">
        <v>1</v>
      </c>
      <c r="Z2763" t="n">
        <v>1</v>
      </c>
      <c r="AA2763" t="n">
        <v>1</v>
      </c>
      <c r="AB2763" t="n">
        <v>0</v>
      </c>
      <c r="AC2763" t="n">
        <v>0</v>
      </c>
      <c r="AD2763" t="n">
        <v>131511</v>
      </c>
      <c r="AE2763" t="n">
        <v>0</v>
      </c>
      <c r="AF2763" t="n">
        <v>11014</v>
      </c>
      <c r="AG2763" t="n">
        <v>33</v>
      </c>
      <c r="AH2763" t="inlineStr">
        <is>
          <t>PT. MENSA BINASUKSES - PPN (PDG)</t>
        </is>
      </c>
      <c r="AI2763" t="n">
        <v>300</v>
      </c>
      <c r="AJ2763" t="inlineStr">
        <is>
          <t>LOREAL</t>
        </is>
      </c>
      <c r="AK2763" t="n">
        <v>21</v>
      </c>
      <c r="AL2763" t="inlineStr">
        <is>
          <t>Miss Glam Damar</t>
        </is>
      </c>
      <c r="AM2763" t="n">
        <v>3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LOREAL</t>
        </is>
      </c>
      <c r="B2764" s="2">
        <f>"8994993016013"</f>
        <v/>
      </c>
      <c r="C2764" t="inlineStr">
        <is>
          <t>LOREAL Revitalift Hyaluronic Acid Hydrating Gel Cleanser 100ml</t>
        </is>
      </c>
      <c r="D2764" t="inlineStr">
        <is>
          <t>Miss Glam Damar</t>
        </is>
      </c>
      <c r="E2764" t="n">
        <v>3</v>
      </c>
      <c r="F2764" t="n">
        <v>0.09100000000000001</v>
      </c>
      <c r="G2764" t="n">
        <v>0.91</v>
      </c>
      <c r="H2764" t="n">
        <v>3</v>
      </c>
      <c r="I2764" t="n">
        <v>14</v>
      </c>
      <c r="J2764" t="n">
        <v>3</v>
      </c>
      <c r="K2764" t="n">
        <v>0</v>
      </c>
      <c r="L2764" t="n">
        <v>62791</v>
      </c>
      <c r="M2764" t="n">
        <v>76500</v>
      </c>
      <c r="N2764" t="n">
        <v>91</v>
      </c>
      <c r="O2764" t="n">
        <v>0.91</v>
      </c>
      <c r="P2764" t="n">
        <v>1</v>
      </c>
      <c r="Q2764" t="n">
        <v>0.07000000000000001</v>
      </c>
      <c r="R2764" t="n">
        <v>2</v>
      </c>
      <c r="S2764" t="n">
        <v>6961.500000000001</v>
      </c>
      <c r="T2764" t="n">
        <v>13</v>
      </c>
      <c r="U2764" t="n">
        <v>14</v>
      </c>
      <c r="V2764" t="n">
        <v>30</v>
      </c>
      <c r="W2764" t="n">
        <v>3</v>
      </c>
      <c r="X2764" t="n">
        <v>32.96703296703296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11014</v>
      </c>
      <c r="AG2764" t="n">
        <v>33</v>
      </c>
      <c r="AH2764" t="inlineStr">
        <is>
          <t>PT. MENSA BINASUKSES - PPN (PDG)</t>
        </is>
      </c>
      <c r="AI2764" t="n">
        <v>300</v>
      </c>
      <c r="AJ2764" t="inlineStr">
        <is>
          <t>LOREAL</t>
        </is>
      </c>
      <c r="AK2764" t="n">
        <v>21</v>
      </c>
      <c r="AL2764" t="inlineStr">
        <is>
          <t>Miss Glam Damar</t>
        </is>
      </c>
      <c r="AM2764" t="n">
        <v>3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LOREAL</t>
        </is>
      </c>
      <c r="B2765" s="2">
        <f>"6923700981193"</f>
        <v/>
      </c>
      <c r="C2765" t="inlineStr">
        <is>
          <t>LOREAL Revitalift Hyaluronic Acid Plumping Cream Day 15ml</t>
        </is>
      </c>
      <c r="D2765" t="inlineStr">
        <is>
          <t>Miss Glam Damar</t>
        </is>
      </c>
      <c r="E2765" t="n">
        <v>5</v>
      </c>
      <c r="F2765" t="n">
        <v>0.02</v>
      </c>
      <c r="G2765" t="n">
        <v>1</v>
      </c>
      <c r="H2765" t="n">
        <v>3</v>
      </c>
      <c r="I2765" t="n">
        <v>14</v>
      </c>
      <c r="J2765" t="n">
        <v>3</v>
      </c>
      <c r="K2765" t="n">
        <v>0</v>
      </c>
      <c r="L2765" t="n">
        <v>90498</v>
      </c>
      <c r="M2765" t="n">
        <v>108000</v>
      </c>
      <c r="N2765" t="n">
        <v>91</v>
      </c>
      <c r="O2765" t="n">
        <v>0.91</v>
      </c>
      <c r="P2765" t="n">
        <v>0</v>
      </c>
      <c r="Q2765" t="n">
        <v>0.02</v>
      </c>
      <c r="R2765" t="n">
        <v>1</v>
      </c>
      <c r="S2765" t="n">
        <v>2160</v>
      </c>
      <c r="T2765" t="n">
        <v>14</v>
      </c>
      <c r="U2765" t="n">
        <v>15</v>
      </c>
      <c r="V2765" t="n">
        <v>30</v>
      </c>
      <c r="W2765" t="n">
        <v>1</v>
      </c>
      <c r="X2765" t="n">
        <v>250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11014</v>
      </c>
      <c r="AG2765" t="n">
        <v>33</v>
      </c>
      <c r="AH2765" t="inlineStr">
        <is>
          <t>PT. MENSA BINASUKSES - PPN (PDG)</t>
        </is>
      </c>
      <c r="AI2765" t="n">
        <v>300</v>
      </c>
      <c r="AJ2765" t="inlineStr">
        <is>
          <t>LOREAL</t>
        </is>
      </c>
      <c r="AK2765" t="n">
        <v>21</v>
      </c>
      <c r="AL2765" t="inlineStr">
        <is>
          <t>Miss Glam Damar</t>
        </is>
      </c>
      <c r="AM2765" t="n">
        <v>3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LOREAL</t>
        </is>
      </c>
      <c r="B2766" s="2">
        <f>"10400405750"</f>
        <v/>
      </c>
      <c r="C2766" t="inlineStr">
        <is>
          <t>LOREAL UV Defender Aqua Fusion Daily Watergel Sunscreen 30ml</t>
        </is>
      </c>
      <c r="D2766" t="inlineStr">
        <is>
          <t>Miss Glam Damar</t>
        </is>
      </c>
      <c r="E2766" t="n">
        <v>6</v>
      </c>
      <c r="F2766" t="n">
        <v>0.03</v>
      </c>
      <c r="G2766" t="n">
        <v>1</v>
      </c>
      <c r="H2766" t="n">
        <v>3</v>
      </c>
      <c r="I2766" t="n">
        <v>14</v>
      </c>
      <c r="J2766" t="n">
        <v>1</v>
      </c>
      <c r="K2766" t="n">
        <v>0</v>
      </c>
      <c r="L2766" t="n">
        <v>71675</v>
      </c>
      <c r="M2766" t="n">
        <v>91000</v>
      </c>
      <c r="N2766" t="n">
        <v>91</v>
      </c>
      <c r="O2766" t="n">
        <v>0.91</v>
      </c>
      <c r="P2766" t="n">
        <v>0</v>
      </c>
      <c r="Q2766" t="n">
        <v>0.03</v>
      </c>
      <c r="R2766" t="n">
        <v>1</v>
      </c>
      <c r="S2766" t="n">
        <v>2730</v>
      </c>
      <c r="T2766" t="n">
        <v>14</v>
      </c>
      <c r="U2766" t="n">
        <v>15</v>
      </c>
      <c r="V2766" t="n">
        <v>30</v>
      </c>
      <c r="W2766" t="n">
        <v>1</v>
      </c>
      <c r="X2766" t="n">
        <v>200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11014</v>
      </c>
      <c r="AG2766" t="n">
        <v>33</v>
      </c>
      <c r="AH2766" t="inlineStr">
        <is>
          <t>PT. MENSA BINASUKSES - PPN (PDG)</t>
        </is>
      </c>
      <c r="AI2766" t="n">
        <v>300</v>
      </c>
      <c r="AJ2766" t="inlineStr">
        <is>
          <t>LOREAL</t>
        </is>
      </c>
      <c r="AK2766" t="n">
        <v>21</v>
      </c>
      <c r="AL2766" t="inlineStr">
        <is>
          <t>Miss Glam Damar</t>
        </is>
      </c>
      <c r="AM2766" t="n">
        <v>3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LOREAL</t>
        </is>
      </c>
      <c r="B2767" s="2">
        <f>"10400405617"</f>
        <v/>
      </c>
      <c r="C2767" t="inlineStr">
        <is>
          <t>LOREAL UV Defender Aqua Fusion Daily Watergel Sunscreen 50ml</t>
        </is>
      </c>
      <c r="D2767" t="inlineStr">
        <is>
          <t>Miss Glam Damar</t>
        </is>
      </c>
      <c r="E2767" t="n">
        <v>3</v>
      </c>
      <c r="F2767" t="n">
        <v>0.05</v>
      </c>
      <c r="G2767" t="n">
        <v>1</v>
      </c>
      <c r="H2767" t="n">
        <v>3</v>
      </c>
      <c r="I2767" t="n">
        <v>14</v>
      </c>
      <c r="J2767" t="n">
        <v>1</v>
      </c>
      <c r="K2767" t="n">
        <v>0</v>
      </c>
      <c r="L2767" t="n">
        <v>137529</v>
      </c>
      <c r="M2767" t="n">
        <v>172000</v>
      </c>
      <c r="N2767" t="n">
        <v>91</v>
      </c>
      <c r="O2767" t="n">
        <v>0.91</v>
      </c>
      <c r="P2767" t="n">
        <v>0</v>
      </c>
      <c r="Q2767" t="n">
        <v>0.05</v>
      </c>
      <c r="R2767" t="n">
        <v>1</v>
      </c>
      <c r="S2767" t="n">
        <v>8600</v>
      </c>
      <c r="T2767" t="n">
        <v>14</v>
      </c>
      <c r="U2767" t="n">
        <v>15</v>
      </c>
      <c r="V2767" t="n">
        <v>30</v>
      </c>
      <c r="W2767" t="n">
        <v>2</v>
      </c>
      <c r="X2767" t="n">
        <v>60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11014</v>
      </c>
      <c r="AG2767" t="n">
        <v>33</v>
      </c>
      <c r="AH2767" t="inlineStr">
        <is>
          <t>PT. MENSA BINASUKSES - PPN (PDG)</t>
        </is>
      </c>
      <c r="AI2767" t="n">
        <v>300</v>
      </c>
      <c r="AJ2767" t="inlineStr">
        <is>
          <t>LOREAL</t>
        </is>
      </c>
      <c r="AK2767" t="n">
        <v>21</v>
      </c>
      <c r="AL2767" t="inlineStr">
        <is>
          <t>Miss Glam Damar</t>
        </is>
      </c>
      <c r="AM2767" t="n">
        <v>3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LOREAL</t>
        </is>
      </c>
      <c r="B2768" s="2">
        <f>"8994993018086"</f>
        <v/>
      </c>
      <c r="C2768" t="inlineStr">
        <is>
          <t>LOREAL UV Defender Serum Protector SPF 50+ Invisible Fluid 50ml</t>
        </is>
      </c>
      <c r="D2768" t="inlineStr">
        <is>
          <t>Miss Glam Damar</t>
        </is>
      </c>
      <c r="E2768" t="n">
        <v>3</v>
      </c>
      <c r="F2768" t="n">
        <v>0.0273</v>
      </c>
      <c r="G2768" t="n">
        <v>0.91</v>
      </c>
      <c r="H2768" t="n">
        <v>3</v>
      </c>
      <c r="I2768" t="n">
        <v>14</v>
      </c>
      <c r="J2768" t="n">
        <v>3</v>
      </c>
      <c r="K2768" t="n">
        <v>0</v>
      </c>
      <c r="L2768" t="n">
        <v>129910</v>
      </c>
      <c r="M2768" t="n">
        <v>175900</v>
      </c>
      <c r="N2768" t="n">
        <v>91</v>
      </c>
      <c r="O2768" t="n">
        <v>0.91</v>
      </c>
      <c r="P2768" t="n">
        <v>1</v>
      </c>
      <c r="Q2768" t="n">
        <v>0.07000000000000001</v>
      </c>
      <c r="R2768" t="n">
        <v>1</v>
      </c>
      <c r="S2768" t="n">
        <v>4802.070000000001</v>
      </c>
      <c r="T2768" t="n">
        <v>13</v>
      </c>
      <c r="U2768" t="n">
        <v>14</v>
      </c>
      <c r="V2768" t="n">
        <v>30</v>
      </c>
      <c r="W2768" t="n">
        <v>1</v>
      </c>
      <c r="X2768" t="n">
        <v>109.8901098901099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11014</v>
      </c>
      <c r="AG2768" t="n">
        <v>33</v>
      </c>
      <c r="AH2768" t="inlineStr">
        <is>
          <t>PT. MENSA BINASUKSES - PPN (PDG)</t>
        </is>
      </c>
      <c r="AI2768" t="n">
        <v>300</v>
      </c>
      <c r="AJ2768" t="inlineStr">
        <is>
          <t>LOREAL</t>
        </is>
      </c>
      <c r="AK2768" t="n">
        <v>21</v>
      </c>
      <c r="AL2768" t="inlineStr">
        <is>
          <t>Miss Glam Damar</t>
        </is>
      </c>
      <c r="AM2768" t="n">
        <v>3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LOREAL</t>
        </is>
      </c>
      <c r="B2769" s="2">
        <f>"8994993014705"</f>
        <v/>
      </c>
      <c r="C2769" t="inlineStr">
        <is>
          <t>LOREAL UV Defender Serum Protector SPF 50+ Matte &amp; Fresh 50ml</t>
        </is>
      </c>
      <c r="D2769" t="inlineStr">
        <is>
          <t>Miss Glam Damar</t>
        </is>
      </c>
      <c r="E2769" t="n">
        <v>3</v>
      </c>
      <c r="F2769" t="n">
        <v>0.06370000000000001</v>
      </c>
      <c r="G2769" t="n">
        <v>0.91</v>
      </c>
      <c r="H2769" t="n">
        <v>3</v>
      </c>
      <c r="I2769" t="n">
        <v>14</v>
      </c>
      <c r="J2769" t="n">
        <v>3</v>
      </c>
      <c r="K2769" t="n">
        <v>0</v>
      </c>
      <c r="L2769" t="n">
        <v>139724</v>
      </c>
      <c r="M2769" t="n">
        <v>175900</v>
      </c>
      <c r="N2769" t="n">
        <v>91</v>
      </c>
      <c r="O2769" t="n">
        <v>0.91</v>
      </c>
      <c r="P2769" t="n">
        <v>1</v>
      </c>
      <c r="Q2769" t="n">
        <v>0.07000000000000001</v>
      </c>
      <c r="R2769" t="n">
        <v>1</v>
      </c>
      <c r="S2769" t="n">
        <v>11204.83</v>
      </c>
      <c r="T2769" t="n">
        <v>13</v>
      </c>
      <c r="U2769" t="n">
        <v>14</v>
      </c>
      <c r="V2769" t="n">
        <v>30</v>
      </c>
      <c r="W2769" t="n">
        <v>2</v>
      </c>
      <c r="X2769" t="n">
        <v>47.09576138147566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11014</v>
      </c>
      <c r="AG2769" t="n">
        <v>33</v>
      </c>
      <c r="AH2769" t="inlineStr">
        <is>
          <t>PT. MENSA BINASUKSES - PPN (PDG)</t>
        </is>
      </c>
      <c r="AI2769" t="n">
        <v>300</v>
      </c>
      <c r="AJ2769" t="inlineStr">
        <is>
          <t>LOREAL</t>
        </is>
      </c>
      <c r="AK2769" t="n">
        <v>21</v>
      </c>
      <c r="AL2769" t="inlineStr">
        <is>
          <t>Miss Glam Damar</t>
        </is>
      </c>
      <c r="AM2769" t="n">
        <v>3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LOREAL</t>
        </is>
      </c>
      <c r="B2770" s="2">
        <f>"8994993020836"</f>
        <v/>
      </c>
      <c r="C2770" t="inlineStr">
        <is>
          <t>LOREAL Uv Defender Sun-Repair Invisible Serum Spf 50+ PA++++ 30ml</t>
        </is>
      </c>
      <c r="D2770" t="inlineStr">
        <is>
          <t>Miss Glam Damar</t>
        </is>
      </c>
      <c r="E2770" t="n">
        <v>4</v>
      </c>
      <c r="F2770" t="n">
        <v>0.0273</v>
      </c>
      <c r="G2770" t="n">
        <v>0.91</v>
      </c>
      <c r="H2770" t="n">
        <v>3</v>
      </c>
      <c r="I2770" t="n">
        <v>14</v>
      </c>
      <c r="J2770" t="n">
        <v>3</v>
      </c>
      <c r="K2770" t="n">
        <v>0</v>
      </c>
      <c r="L2770" t="n">
        <v>124297</v>
      </c>
      <c r="M2770" t="n">
        <v>159000</v>
      </c>
      <c r="N2770" t="n">
        <v>91</v>
      </c>
      <c r="O2770" t="n">
        <v>0.91</v>
      </c>
      <c r="P2770" t="n">
        <v>1</v>
      </c>
      <c r="Q2770" t="n">
        <v>0.07000000000000001</v>
      </c>
      <c r="R2770" t="n">
        <v>1</v>
      </c>
      <c r="S2770" t="n">
        <v>4340.7</v>
      </c>
      <c r="T2770" t="n">
        <v>13</v>
      </c>
      <c r="U2770" t="n">
        <v>14</v>
      </c>
      <c r="V2770" t="n">
        <v>30</v>
      </c>
      <c r="W2770" t="n">
        <v>1</v>
      </c>
      <c r="X2770" t="n">
        <v>146.5201465201465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11014</v>
      </c>
      <c r="AG2770" t="n">
        <v>33</v>
      </c>
      <c r="AH2770" t="inlineStr">
        <is>
          <t>PT. MENSA BINASUKSES - PPN (PDG)</t>
        </is>
      </c>
      <c r="AI2770" t="n">
        <v>300</v>
      </c>
      <c r="AJ2770" t="inlineStr">
        <is>
          <t>LOREAL</t>
        </is>
      </c>
      <c r="AK2770" t="n">
        <v>21</v>
      </c>
      <c r="AL2770" t="inlineStr">
        <is>
          <t>Miss Glam Damar</t>
        </is>
      </c>
      <c r="AM2770" t="n">
        <v>3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LOREAL</t>
        </is>
      </c>
      <c r="B2771" s="2">
        <f>"8994993014668"</f>
        <v/>
      </c>
      <c r="C2771" t="inlineStr">
        <is>
          <t>LOREAL UV Defender Uv Serum Bright &amp; Clear 50ml</t>
        </is>
      </c>
      <c r="D2771" t="inlineStr">
        <is>
          <t>Miss Glam Damar</t>
        </is>
      </c>
      <c r="E2771" t="n">
        <v>4</v>
      </c>
      <c r="F2771" t="n">
        <v>0.1092</v>
      </c>
      <c r="G2771" t="n">
        <v>0.91</v>
      </c>
      <c r="H2771" t="n">
        <v>3</v>
      </c>
      <c r="I2771" t="n">
        <v>14</v>
      </c>
      <c r="J2771" t="n">
        <v>3</v>
      </c>
      <c r="K2771" t="n">
        <v>0</v>
      </c>
      <c r="L2771" t="n">
        <v>140455</v>
      </c>
      <c r="M2771" t="n">
        <v>175900</v>
      </c>
      <c r="N2771" t="n">
        <v>91</v>
      </c>
      <c r="O2771" t="n">
        <v>0.91</v>
      </c>
      <c r="P2771" t="n">
        <v>1</v>
      </c>
      <c r="Q2771" t="n">
        <v>0.07000000000000001</v>
      </c>
      <c r="R2771" t="n">
        <v>1</v>
      </c>
      <c r="S2771" t="n">
        <v>19208.28</v>
      </c>
      <c r="T2771" t="n">
        <v>13</v>
      </c>
      <c r="U2771" t="n">
        <v>14</v>
      </c>
      <c r="V2771" t="n">
        <v>30</v>
      </c>
      <c r="W2771" t="n">
        <v>4</v>
      </c>
      <c r="X2771" t="n">
        <v>36.63003663003663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11014</v>
      </c>
      <c r="AG2771" t="n">
        <v>33</v>
      </c>
      <c r="AH2771" t="inlineStr">
        <is>
          <t>PT. MENSA BINASUKSES - PPN (PDG)</t>
        </is>
      </c>
      <c r="AI2771" t="n">
        <v>300</v>
      </c>
      <c r="AJ2771" t="inlineStr">
        <is>
          <t>LOREAL</t>
        </is>
      </c>
      <c r="AK2771" t="n">
        <v>21</v>
      </c>
      <c r="AL2771" t="inlineStr">
        <is>
          <t>Miss Glam Damar</t>
        </is>
      </c>
      <c r="AM2771" t="n">
        <v>3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LOREAL</t>
        </is>
      </c>
      <c r="B2772" s="2">
        <f>"8994993020423"</f>
        <v/>
      </c>
      <c r="C2772" t="inlineStr">
        <is>
          <t>LOREAL Uv Defender Uv Serum Protector Invisible Fluid Spf 50+ PA++++ 30ml</t>
        </is>
      </c>
      <c r="D2772" t="inlineStr">
        <is>
          <t>Miss Glam Damar</t>
        </is>
      </c>
      <c r="E2772" t="n">
        <v>7</v>
      </c>
      <c r="F2772" t="n">
        <v>0.0182</v>
      </c>
      <c r="G2772" t="n">
        <v>0.91</v>
      </c>
      <c r="H2772" t="n">
        <v>3</v>
      </c>
      <c r="I2772" t="n">
        <v>14</v>
      </c>
      <c r="J2772" t="n">
        <v>3</v>
      </c>
      <c r="K2772" t="n">
        <v>0</v>
      </c>
      <c r="L2772" t="n">
        <v>73425</v>
      </c>
      <c r="M2772" t="n">
        <v>92900</v>
      </c>
      <c r="N2772" t="n">
        <v>91</v>
      </c>
      <c r="O2772" t="n">
        <v>0.91</v>
      </c>
      <c r="P2772" t="n">
        <v>1</v>
      </c>
      <c r="Q2772" t="n">
        <v>0.15</v>
      </c>
      <c r="R2772" t="n">
        <v>2</v>
      </c>
      <c r="S2772" t="n">
        <v>1690.78</v>
      </c>
      <c r="T2772" t="n">
        <v>13</v>
      </c>
      <c r="U2772" t="n">
        <v>14</v>
      </c>
      <c r="V2772" t="n">
        <v>30</v>
      </c>
      <c r="W2772" t="n">
        <v>1</v>
      </c>
      <c r="X2772" t="n">
        <v>384.6153846153846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11014</v>
      </c>
      <c r="AG2772" t="n">
        <v>33</v>
      </c>
      <c r="AH2772" t="inlineStr">
        <is>
          <t>PT. MENSA BINASUKSES - PPN (PDG)</t>
        </is>
      </c>
      <c r="AI2772" t="n">
        <v>300</v>
      </c>
      <c r="AJ2772" t="inlineStr">
        <is>
          <t>LOREAL</t>
        </is>
      </c>
      <c r="AK2772" t="n">
        <v>21</v>
      </c>
      <c r="AL2772" t="inlineStr">
        <is>
          <t>Miss Glam Damar</t>
        </is>
      </c>
      <c r="AM2772" t="n">
        <v>3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LOREAL</t>
        </is>
      </c>
      <c r="B2773" s="2">
        <f>"6902395848783"</f>
        <v/>
      </c>
      <c r="C2773" t="inlineStr">
        <is>
          <t>LOREAL Voluminious Lash Paradise 7.6ml (New)</t>
        </is>
      </c>
      <c r="D2773" t="inlineStr">
        <is>
          <t>Miss Glam Damar</t>
        </is>
      </c>
      <c r="E2773" t="n">
        <v>14</v>
      </c>
      <c r="F2773" t="n">
        <v>0.0273</v>
      </c>
      <c r="G2773" t="n">
        <v>0.91</v>
      </c>
      <c r="H2773" t="n">
        <v>3</v>
      </c>
      <c r="I2773" t="n">
        <v>14</v>
      </c>
      <c r="J2773" t="n">
        <v>3</v>
      </c>
      <c r="K2773" t="n">
        <v>0</v>
      </c>
      <c r="L2773" t="n">
        <v>155686</v>
      </c>
      <c r="M2773" t="n">
        <v>198000</v>
      </c>
      <c r="N2773" t="n">
        <v>91</v>
      </c>
      <c r="O2773" t="n">
        <v>0.91</v>
      </c>
      <c r="P2773" t="n">
        <v>1</v>
      </c>
      <c r="Q2773" t="n">
        <v>0.25</v>
      </c>
      <c r="R2773" t="n">
        <v>2</v>
      </c>
      <c r="S2773" t="n">
        <v>5405.400000000001</v>
      </c>
      <c r="T2773" t="n">
        <v>13</v>
      </c>
      <c r="U2773" t="n">
        <v>14</v>
      </c>
      <c r="V2773" t="n">
        <v>30</v>
      </c>
      <c r="W2773" t="n">
        <v>1</v>
      </c>
      <c r="X2773" t="n">
        <v>512.8205128205128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11014</v>
      </c>
      <c r="AG2773" t="n">
        <v>33</v>
      </c>
      <c r="AH2773" t="inlineStr">
        <is>
          <t>PT. MENSA BINASUKSES - PPN (PDG)</t>
        </is>
      </c>
      <c r="AI2773" t="n">
        <v>300</v>
      </c>
      <c r="AJ2773" t="inlineStr">
        <is>
          <t>LOREAL</t>
        </is>
      </c>
      <c r="AK2773" t="n">
        <v>21</v>
      </c>
      <c r="AL2773" t="inlineStr">
        <is>
          <t>Miss Glam Damar</t>
        </is>
      </c>
      <c r="AM2773" t="n">
        <v>3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LOREAL</t>
        </is>
      </c>
      <c r="B2774" s="2">
        <f>"071249681008"</f>
        <v/>
      </c>
      <c r="C2774" t="inlineStr">
        <is>
          <t>LOREAL Voluminous Panorama Waterproof Mascara 10gr</t>
        </is>
      </c>
      <c r="D2774" t="inlineStr">
        <is>
          <t>Miss Glam Damar</t>
        </is>
      </c>
      <c r="E2774" t="n">
        <v>4</v>
      </c>
      <c r="F2774" t="n">
        <v>0.12</v>
      </c>
      <c r="G2774" t="n">
        <v>1</v>
      </c>
      <c r="H2774" t="n">
        <v>3</v>
      </c>
      <c r="I2774" t="n">
        <v>14</v>
      </c>
      <c r="J2774" t="n">
        <v>3</v>
      </c>
      <c r="K2774" t="n">
        <v>0</v>
      </c>
      <c r="L2774" t="n">
        <v>111635</v>
      </c>
      <c r="M2774" t="n">
        <v>164000</v>
      </c>
      <c r="N2774" t="n">
        <v>91</v>
      </c>
      <c r="O2774" t="n">
        <v>0.91</v>
      </c>
      <c r="P2774" t="n">
        <v>0</v>
      </c>
      <c r="Q2774" t="n">
        <v>0.12</v>
      </c>
      <c r="R2774" t="n">
        <v>1</v>
      </c>
      <c r="S2774" t="n">
        <v>19680</v>
      </c>
      <c r="T2774" t="n">
        <v>14</v>
      </c>
      <c r="U2774" t="n">
        <v>15</v>
      </c>
      <c r="V2774" t="n">
        <v>30</v>
      </c>
      <c r="W2774" t="n">
        <v>4</v>
      </c>
      <c r="X2774" t="n">
        <v>33.33333333333334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11014</v>
      </c>
      <c r="AG2774" t="n">
        <v>33</v>
      </c>
      <c r="AH2774" t="inlineStr">
        <is>
          <t>PT. MENSA BINASUKSES - PPN (PDG)</t>
        </is>
      </c>
      <c r="AI2774" t="n">
        <v>300</v>
      </c>
      <c r="AJ2774" t="inlineStr">
        <is>
          <t>LOREAL</t>
        </is>
      </c>
      <c r="AK2774" t="n">
        <v>21</v>
      </c>
      <c r="AL2774" t="inlineStr">
        <is>
          <t>Miss Glam Damar</t>
        </is>
      </c>
      <c r="AM2774" t="n">
        <v>3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LOREAL HAIR</t>
        </is>
      </c>
      <c r="B2775" s="2">
        <f>"40200120459"</f>
        <v/>
      </c>
      <c r="C2775" t="inlineStr">
        <is>
          <t>LOREAL ELSEVE Fall Resist Anti Hair Fall Serum 102ml</t>
        </is>
      </c>
      <c r="D2775" t="inlineStr">
        <is>
          <t>Miss Glam Damar</t>
        </is>
      </c>
      <c r="E2775" t="n">
        <v>8</v>
      </c>
      <c r="F2775" t="n">
        <v>0.04550000000000001</v>
      </c>
      <c r="G2775" t="n">
        <v>0.91</v>
      </c>
      <c r="H2775" t="n">
        <v>3</v>
      </c>
      <c r="I2775" t="n">
        <v>14</v>
      </c>
      <c r="J2775" t="n">
        <v>1</v>
      </c>
      <c r="K2775" t="n">
        <v>0</v>
      </c>
      <c r="L2775" t="n">
        <v>112228</v>
      </c>
      <c r="M2775" t="n">
        <v>139000</v>
      </c>
      <c r="N2775" t="n">
        <v>91</v>
      </c>
      <c r="O2775" t="n">
        <v>0.91</v>
      </c>
      <c r="P2775" t="n">
        <v>1</v>
      </c>
      <c r="Q2775" t="n">
        <v>0.24</v>
      </c>
      <c r="R2775" t="n">
        <v>2</v>
      </c>
      <c r="S2775" t="n">
        <v>6324.500000000001</v>
      </c>
      <c r="T2775" t="n">
        <v>13</v>
      </c>
      <c r="U2775" t="n">
        <v>14</v>
      </c>
      <c r="V2775" t="n">
        <v>30</v>
      </c>
      <c r="W2775" t="n">
        <v>2</v>
      </c>
      <c r="X2775" t="n">
        <v>175.8241758241758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11022</v>
      </c>
      <c r="AG2775" t="n">
        <v>33</v>
      </c>
      <c r="AH2775" t="inlineStr">
        <is>
          <t>PT. MENSA BINASUKSES - PPN (PDG)</t>
        </is>
      </c>
      <c r="AI2775" t="n">
        <v>814</v>
      </c>
      <c r="AJ2775" t="inlineStr">
        <is>
          <t>LOREAL HAIR</t>
        </is>
      </c>
      <c r="AK2775" t="n">
        <v>21</v>
      </c>
      <c r="AL2775" t="inlineStr">
        <is>
          <t>Miss Glam Damar</t>
        </is>
      </c>
      <c r="AM2775" t="n">
        <v>3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LOREAL HAIR</t>
        </is>
      </c>
      <c r="B2776" s="2">
        <f>"40100317947"</f>
        <v/>
      </c>
      <c r="C2776" t="inlineStr">
        <is>
          <t>LOREAL HAIR  Elseve Hyaluron Pure 72H Purifying Conditioner 265ml</t>
        </is>
      </c>
      <c r="D2776" t="inlineStr">
        <is>
          <t>Miss Glam Damar</t>
        </is>
      </c>
      <c r="E2776" t="n">
        <v>0</v>
      </c>
      <c r="F2776" t="n">
        <v>0.05</v>
      </c>
      <c r="G2776" t="n">
        <v>2</v>
      </c>
      <c r="H2776" t="n">
        <v>3</v>
      </c>
      <c r="I2776" t="n">
        <v>14</v>
      </c>
      <c r="J2776" t="n">
        <v>3</v>
      </c>
      <c r="K2776" t="n">
        <v>0</v>
      </c>
      <c r="L2776" t="n">
        <v>51850</v>
      </c>
      <c r="M2776" t="n">
        <v>65000</v>
      </c>
      <c r="N2776" t="n">
        <v>91</v>
      </c>
      <c r="O2776" t="n">
        <v>0.91</v>
      </c>
      <c r="P2776" t="n">
        <v>0</v>
      </c>
      <c r="Q2776" t="n">
        <v>0.05</v>
      </c>
      <c r="R2776" t="n">
        <v>2</v>
      </c>
      <c r="S2776" t="n">
        <v>3250</v>
      </c>
      <c r="T2776" t="n">
        <v>28</v>
      </c>
      <c r="U2776" t="n">
        <v>29</v>
      </c>
      <c r="V2776" t="n">
        <v>30</v>
      </c>
      <c r="W2776" t="n">
        <v>2</v>
      </c>
      <c r="X2776" t="n">
        <v>0</v>
      </c>
      <c r="Y2776" t="n">
        <v>1</v>
      </c>
      <c r="Z2776" t="n">
        <v>2</v>
      </c>
      <c r="AA2776" t="n">
        <v>1</v>
      </c>
      <c r="AB2776" t="n">
        <v>1</v>
      </c>
      <c r="AC2776" t="n">
        <v>3</v>
      </c>
      <c r="AD2776" t="n">
        <v>51850</v>
      </c>
      <c r="AE2776" t="n">
        <v>155550</v>
      </c>
      <c r="AF2776" t="n">
        <v>11022</v>
      </c>
      <c r="AG2776" t="n">
        <v>33</v>
      </c>
      <c r="AH2776" t="inlineStr">
        <is>
          <t>PT. MENSA BINASUKSES - PPN (PDG)</t>
        </is>
      </c>
      <c r="AI2776" t="n">
        <v>814</v>
      </c>
      <c r="AJ2776" t="inlineStr">
        <is>
          <t>LOREAL HAIR</t>
        </is>
      </c>
      <c r="AK2776" t="n">
        <v>21</v>
      </c>
      <c r="AL2776" t="inlineStr">
        <is>
          <t>Miss Glam Damar</t>
        </is>
      </c>
      <c r="AM2776" t="n">
        <v>3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LOREAL HAIR</t>
        </is>
      </c>
      <c r="B2777" s="2">
        <f>"4992944111576"</f>
        <v/>
      </c>
      <c r="C2777" t="inlineStr">
        <is>
          <t>LOREAL HAIR Elseve Extraordinary Oil Rich Gold 100ml</t>
        </is>
      </c>
      <c r="D2777" t="inlineStr">
        <is>
          <t>Miss Glam Damar</t>
        </is>
      </c>
      <c r="E2777" t="n">
        <v>0</v>
      </c>
      <c r="F2777" t="n">
        <v>0.1274</v>
      </c>
      <c r="G2777" t="n">
        <v>0.91</v>
      </c>
      <c r="H2777" t="n">
        <v>3</v>
      </c>
      <c r="I2777" t="n">
        <v>14</v>
      </c>
      <c r="J2777" t="n">
        <v>3</v>
      </c>
      <c r="K2777" t="n">
        <v>0</v>
      </c>
      <c r="L2777" t="n">
        <v>136971</v>
      </c>
      <c r="M2777" t="n">
        <v>213000</v>
      </c>
      <c r="N2777" t="n">
        <v>91</v>
      </c>
      <c r="O2777" t="n">
        <v>0.91</v>
      </c>
      <c r="P2777" t="n">
        <v>1</v>
      </c>
      <c r="Q2777" t="n">
        <v>0.25</v>
      </c>
      <c r="R2777" t="n">
        <v>2</v>
      </c>
      <c r="S2777" t="n">
        <v>27136.2</v>
      </c>
      <c r="T2777" t="n">
        <v>13</v>
      </c>
      <c r="U2777" t="n">
        <v>14</v>
      </c>
      <c r="V2777" t="n">
        <v>30</v>
      </c>
      <c r="W2777" t="n">
        <v>4</v>
      </c>
      <c r="X2777" t="n">
        <v>0</v>
      </c>
      <c r="Y2777" t="n">
        <v>1</v>
      </c>
      <c r="Z2777" t="n">
        <v>4</v>
      </c>
      <c r="AA2777" t="n">
        <v>2</v>
      </c>
      <c r="AB2777" t="n">
        <v>2</v>
      </c>
      <c r="AC2777" t="n">
        <v>3</v>
      </c>
      <c r="AD2777" t="n">
        <v>273942</v>
      </c>
      <c r="AE2777" t="n">
        <v>410913</v>
      </c>
      <c r="AF2777" t="n">
        <v>11022</v>
      </c>
      <c r="AG2777" t="n">
        <v>33</v>
      </c>
      <c r="AH2777" t="inlineStr">
        <is>
          <t>PT. MENSA BINASUKSES - PPN (PDG)</t>
        </is>
      </c>
      <c r="AI2777" t="n">
        <v>814</v>
      </c>
      <c r="AJ2777" t="inlineStr">
        <is>
          <t>LOREAL HAIR</t>
        </is>
      </c>
      <c r="AK2777" t="n">
        <v>21</v>
      </c>
      <c r="AL2777" t="inlineStr">
        <is>
          <t>Miss Glam Damar</t>
        </is>
      </c>
      <c r="AM2777" t="n">
        <v>3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LOREAL HAIR</t>
        </is>
      </c>
      <c r="B2778" s="2">
        <f>"8992304020834"</f>
        <v/>
      </c>
      <c r="C2778" t="inlineStr">
        <is>
          <t>LOREAL HAIR Fall Resist 200ml</t>
        </is>
      </c>
      <c r="D2778" t="inlineStr">
        <is>
          <t>Miss Glam Damar</t>
        </is>
      </c>
      <c r="E2778" t="n">
        <v>0</v>
      </c>
      <c r="F2778" t="n">
        <v>0.04550000000000001</v>
      </c>
      <c r="G2778" t="n">
        <v>0.91</v>
      </c>
      <c r="H2778" t="n">
        <v>3</v>
      </c>
      <c r="I2778" t="n">
        <v>14</v>
      </c>
      <c r="J2778" t="n">
        <v>3</v>
      </c>
      <c r="K2778" t="n">
        <v>0</v>
      </c>
      <c r="L2778" t="n">
        <v>80972</v>
      </c>
      <c r="M2778" t="n">
        <v>101000</v>
      </c>
      <c r="N2778" t="n">
        <v>91</v>
      </c>
      <c r="O2778" t="n">
        <v>0.91</v>
      </c>
      <c r="P2778" t="n">
        <v>1</v>
      </c>
      <c r="Q2778" t="n">
        <v>0.09</v>
      </c>
      <c r="R2778" t="n">
        <v>1</v>
      </c>
      <c r="S2778" t="n">
        <v>4595.500000000001</v>
      </c>
      <c r="T2778" t="n">
        <v>13</v>
      </c>
      <c r="U2778" t="n">
        <v>14</v>
      </c>
      <c r="V2778" t="n">
        <v>30</v>
      </c>
      <c r="W2778" t="n">
        <v>2</v>
      </c>
      <c r="X2778" t="n">
        <v>0</v>
      </c>
      <c r="Y2778" t="n">
        <v>1</v>
      </c>
      <c r="Z2778" t="n">
        <v>2</v>
      </c>
      <c r="AA2778" t="n">
        <v>1</v>
      </c>
      <c r="AB2778" t="n">
        <v>1</v>
      </c>
      <c r="AC2778" t="n">
        <v>3</v>
      </c>
      <c r="AD2778" t="n">
        <v>80972</v>
      </c>
      <c r="AE2778" t="n">
        <v>242916</v>
      </c>
      <c r="AF2778" t="n">
        <v>11022</v>
      </c>
      <c r="AG2778" t="n">
        <v>33</v>
      </c>
      <c r="AH2778" t="inlineStr">
        <is>
          <t>PT. MENSA BINASUKSES - PPN (PDG)</t>
        </is>
      </c>
      <c r="AI2778" t="n">
        <v>814</v>
      </c>
      <c r="AJ2778" t="inlineStr">
        <is>
          <t>LOREAL HAIR</t>
        </is>
      </c>
      <c r="AK2778" t="n">
        <v>21</v>
      </c>
      <c r="AL2778" t="inlineStr">
        <is>
          <t>Miss Glam Damar</t>
        </is>
      </c>
      <c r="AM2778" t="n">
        <v>3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LOREAL HAIR</t>
        </is>
      </c>
      <c r="B2779" s="2">
        <f>"8994993011872"</f>
        <v/>
      </c>
      <c r="C2779" t="inlineStr">
        <is>
          <t>LOREAL Paris Elseve Fall Resist 3x Anti Hairfall 155ml</t>
        </is>
      </c>
      <c r="D2779" t="inlineStr">
        <is>
          <t>Miss Glam Damar</t>
        </is>
      </c>
      <c r="E2779" t="n">
        <v>0</v>
      </c>
      <c r="F2779" t="n">
        <v>0.06</v>
      </c>
      <c r="G2779" t="n">
        <v>1</v>
      </c>
      <c r="H2779" t="n">
        <v>3</v>
      </c>
      <c r="I2779" t="n">
        <v>14</v>
      </c>
      <c r="J2779" t="n">
        <v>3</v>
      </c>
      <c r="K2779" t="n">
        <v>0</v>
      </c>
      <c r="L2779" t="n">
        <v>37223</v>
      </c>
      <c r="M2779" t="n">
        <v>54000</v>
      </c>
      <c r="N2779" t="n">
        <v>91</v>
      </c>
      <c r="O2779" t="n">
        <v>0.91</v>
      </c>
      <c r="P2779" t="n">
        <v>0</v>
      </c>
      <c r="Q2779" t="n">
        <v>0.06</v>
      </c>
      <c r="R2779" t="n">
        <v>1</v>
      </c>
      <c r="S2779" t="n">
        <v>3240</v>
      </c>
      <c r="T2779" t="n">
        <v>14</v>
      </c>
      <c r="U2779" t="n">
        <v>15</v>
      </c>
      <c r="V2779" t="n">
        <v>30</v>
      </c>
      <c r="W2779" t="n">
        <v>2</v>
      </c>
      <c r="X2779" t="n">
        <v>0</v>
      </c>
      <c r="Y2779" t="n">
        <v>1</v>
      </c>
      <c r="Z2779" t="n">
        <v>2</v>
      </c>
      <c r="AA2779" t="n">
        <v>1</v>
      </c>
      <c r="AB2779" t="n">
        <v>1</v>
      </c>
      <c r="AC2779" t="n">
        <v>3</v>
      </c>
      <c r="AD2779" t="n">
        <v>37223</v>
      </c>
      <c r="AE2779" t="n">
        <v>111669</v>
      </c>
      <c r="AF2779" t="n">
        <v>11022</v>
      </c>
      <c r="AG2779" t="n">
        <v>33</v>
      </c>
      <c r="AH2779" t="inlineStr">
        <is>
          <t>PT. MENSA BINASUKSES - PPN (PDG)</t>
        </is>
      </c>
      <c r="AI2779" t="n">
        <v>814</v>
      </c>
      <c r="AJ2779" t="inlineStr">
        <is>
          <t>LOREAL HAIR</t>
        </is>
      </c>
      <c r="AK2779" t="n">
        <v>21</v>
      </c>
      <c r="AL2779" t="inlineStr">
        <is>
          <t>Miss Glam Damar</t>
        </is>
      </c>
      <c r="AM2779" t="n">
        <v>3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LOREAL HAIR</t>
        </is>
      </c>
      <c r="B2780" s="2">
        <f>"8994993012480"</f>
        <v/>
      </c>
      <c r="C2780" t="inlineStr">
        <is>
          <t>LOREAL Paris Elseve Fall Resist 3x Anti Hairfall Shampoo 155ml</t>
        </is>
      </c>
      <c r="D2780" t="inlineStr">
        <is>
          <t>Miss Glam Damar</t>
        </is>
      </c>
      <c r="E2780" t="n">
        <v>1</v>
      </c>
      <c r="F2780" t="n">
        <v>0.19</v>
      </c>
      <c r="G2780" t="n">
        <v>1</v>
      </c>
      <c r="H2780" t="n">
        <v>3</v>
      </c>
      <c r="I2780" t="n">
        <v>14</v>
      </c>
      <c r="J2780" t="n">
        <v>3</v>
      </c>
      <c r="K2780" t="n">
        <v>0</v>
      </c>
      <c r="L2780" t="n">
        <v>37451</v>
      </c>
      <c r="M2780" t="n">
        <v>54000</v>
      </c>
      <c r="N2780" t="n">
        <v>91</v>
      </c>
      <c r="O2780" t="n">
        <v>0.91</v>
      </c>
      <c r="P2780" t="n">
        <v>0</v>
      </c>
      <c r="Q2780" t="n">
        <v>0.19</v>
      </c>
      <c r="R2780" t="n">
        <v>1</v>
      </c>
      <c r="S2780" t="n">
        <v>10260</v>
      </c>
      <c r="T2780" t="n">
        <v>14</v>
      </c>
      <c r="U2780" t="n">
        <v>15</v>
      </c>
      <c r="V2780" t="n">
        <v>30</v>
      </c>
      <c r="W2780" t="n">
        <v>6</v>
      </c>
      <c r="X2780" t="n">
        <v>5.263157894736842</v>
      </c>
      <c r="Y2780" t="n">
        <v>1</v>
      </c>
      <c r="Z2780" t="n">
        <v>5</v>
      </c>
      <c r="AA2780" t="n">
        <v>2</v>
      </c>
      <c r="AB2780" t="n">
        <v>3</v>
      </c>
      <c r="AC2780" t="n">
        <v>3</v>
      </c>
      <c r="AD2780" t="n">
        <v>74902</v>
      </c>
      <c r="AE2780" t="n">
        <v>112353</v>
      </c>
      <c r="AF2780" t="n">
        <v>11022</v>
      </c>
      <c r="AG2780" t="n">
        <v>33</v>
      </c>
      <c r="AH2780" t="inlineStr">
        <is>
          <t>PT. MENSA BINASUKSES - PPN (PDG)</t>
        </is>
      </c>
      <c r="AI2780" t="n">
        <v>814</v>
      </c>
      <c r="AJ2780" t="inlineStr">
        <is>
          <t>LOREAL HAIR</t>
        </is>
      </c>
      <c r="AK2780" t="n">
        <v>21</v>
      </c>
      <c r="AL2780" t="inlineStr">
        <is>
          <t>Miss Glam Damar</t>
        </is>
      </c>
      <c r="AM2780" t="n">
        <v>3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LOREAL HAIR</t>
        </is>
      </c>
      <c r="B2781" s="2">
        <f>"8994993019076"</f>
        <v/>
      </c>
      <c r="C2781" t="inlineStr">
        <is>
          <t>LOREAL Paris Elseve Hyaluron Moisture 72H Moisture Sealing Conditioner 280ml</t>
        </is>
      </c>
      <c r="D2781" t="inlineStr">
        <is>
          <t>Miss Glam Damar</t>
        </is>
      </c>
      <c r="E2781" t="n">
        <v>0</v>
      </c>
      <c r="F2781" t="n">
        <v>0.1092</v>
      </c>
      <c r="G2781" t="n">
        <v>0.91</v>
      </c>
      <c r="H2781" t="n">
        <v>3</v>
      </c>
      <c r="I2781" t="n">
        <v>14</v>
      </c>
      <c r="J2781" t="n">
        <v>3</v>
      </c>
      <c r="K2781" t="n">
        <v>0</v>
      </c>
      <c r="L2781" t="n">
        <v>51149</v>
      </c>
      <c r="M2781" t="n">
        <v>82000</v>
      </c>
      <c r="N2781" t="n">
        <v>91</v>
      </c>
      <c r="O2781" t="n">
        <v>0.91</v>
      </c>
      <c r="P2781" t="n">
        <v>1</v>
      </c>
      <c r="Q2781" t="n">
        <v>0.03</v>
      </c>
      <c r="R2781" t="n">
        <v>3</v>
      </c>
      <c r="S2781" t="n">
        <v>8954.4</v>
      </c>
      <c r="T2781" t="n">
        <v>13</v>
      </c>
      <c r="U2781" t="n">
        <v>14</v>
      </c>
      <c r="V2781" t="n">
        <v>30</v>
      </c>
      <c r="W2781" t="n">
        <v>4</v>
      </c>
      <c r="X2781" t="n">
        <v>0</v>
      </c>
      <c r="Y2781" t="n">
        <v>1</v>
      </c>
      <c r="Z2781" t="n">
        <v>4</v>
      </c>
      <c r="AA2781" t="n">
        <v>2</v>
      </c>
      <c r="AB2781" t="n">
        <v>2</v>
      </c>
      <c r="AC2781" t="n">
        <v>3</v>
      </c>
      <c r="AD2781" t="n">
        <v>102298</v>
      </c>
      <c r="AE2781" t="n">
        <v>153447</v>
      </c>
      <c r="AF2781" t="n">
        <v>11022</v>
      </c>
      <c r="AG2781" t="n">
        <v>33</v>
      </c>
      <c r="AH2781" t="inlineStr">
        <is>
          <t>PT. MENSA BINASUKSES - PPN (PDG)</t>
        </is>
      </c>
      <c r="AI2781" t="n">
        <v>814</v>
      </c>
      <c r="AJ2781" t="inlineStr">
        <is>
          <t>LOREAL HAIR</t>
        </is>
      </c>
      <c r="AK2781" t="n">
        <v>21</v>
      </c>
      <c r="AL2781" t="inlineStr">
        <is>
          <t>Miss Glam Damar</t>
        </is>
      </c>
      <c r="AM2781" t="n">
        <v>3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LOREAL HAIR</t>
        </is>
      </c>
      <c r="B2782" s="2">
        <f>"8994993019090"</f>
        <v/>
      </c>
      <c r="C2782" t="inlineStr">
        <is>
          <t>LOREAL PARIS Elseve Hydra Filling Night Cream 150ml</t>
        </is>
      </c>
      <c r="D2782" t="inlineStr">
        <is>
          <t>Miss Glam Damar</t>
        </is>
      </c>
      <c r="E2782" t="n">
        <v>2</v>
      </c>
      <c r="F2782" t="n">
        <v>0.06370000000000001</v>
      </c>
      <c r="G2782" t="n">
        <v>0.91</v>
      </c>
      <c r="H2782" t="n">
        <v>3</v>
      </c>
      <c r="I2782" t="n">
        <v>14</v>
      </c>
      <c r="J2782" t="n">
        <v>3</v>
      </c>
      <c r="K2782" t="n">
        <v>0</v>
      </c>
      <c r="L2782" t="n">
        <v>52892</v>
      </c>
      <c r="M2782" t="n">
        <v>66500</v>
      </c>
      <c r="N2782" t="n">
        <v>91</v>
      </c>
      <c r="O2782" t="n">
        <v>0.91</v>
      </c>
      <c r="P2782" t="n">
        <v>1</v>
      </c>
      <c r="Q2782" t="n">
        <v>0.14</v>
      </c>
      <c r="R2782" t="n">
        <v>2</v>
      </c>
      <c r="S2782" t="n">
        <v>4236.05</v>
      </c>
      <c r="T2782" t="n">
        <v>13</v>
      </c>
      <c r="U2782" t="n">
        <v>14</v>
      </c>
      <c r="V2782" t="n">
        <v>30</v>
      </c>
      <c r="W2782" t="n">
        <v>2</v>
      </c>
      <c r="X2782" t="n">
        <v>31.39717425431711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11022</v>
      </c>
      <c r="AG2782" t="n">
        <v>33</v>
      </c>
      <c r="AH2782" t="inlineStr">
        <is>
          <t>PT. MENSA BINASUKSES - PPN (PDG)</t>
        </is>
      </c>
      <c r="AI2782" t="n">
        <v>814</v>
      </c>
      <c r="AJ2782" t="inlineStr">
        <is>
          <t>LOREAL HAIR</t>
        </is>
      </c>
      <c r="AK2782" t="n">
        <v>21</v>
      </c>
      <c r="AL2782" t="inlineStr">
        <is>
          <t>Miss Glam Damar</t>
        </is>
      </c>
      <c r="AM2782" t="n">
        <v>3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LOREAL HAIR</t>
        </is>
      </c>
      <c r="B2783" s="2">
        <f>"8991380038108"</f>
        <v/>
      </c>
      <c r="C2783" t="inlineStr">
        <is>
          <t>LOREAL Total Repair Ceramide 200ml</t>
        </is>
      </c>
      <c r="D2783" t="inlineStr">
        <is>
          <t>Miss Glam Damar</t>
        </is>
      </c>
      <c r="E2783" t="n">
        <v>2</v>
      </c>
      <c r="F2783" t="n">
        <v>0.0182</v>
      </c>
      <c r="G2783" t="n">
        <v>0.91</v>
      </c>
      <c r="H2783" t="n">
        <v>3</v>
      </c>
      <c r="I2783" t="n">
        <v>14</v>
      </c>
      <c r="J2783" t="n">
        <v>3</v>
      </c>
      <c r="K2783" t="n">
        <v>0</v>
      </c>
      <c r="L2783" t="n">
        <v>83446</v>
      </c>
      <c r="M2783" t="n">
        <v>101000</v>
      </c>
      <c r="N2783" t="n">
        <v>91</v>
      </c>
      <c r="O2783" t="n">
        <v>0.91</v>
      </c>
      <c r="P2783" t="n">
        <v>1</v>
      </c>
      <c r="Q2783" t="n">
        <v>0.07000000000000001</v>
      </c>
      <c r="R2783" t="n">
        <v>1</v>
      </c>
      <c r="S2783" t="n">
        <v>1838.2</v>
      </c>
      <c r="T2783" t="n">
        <v>13</v>
      </c>
      <c r="U2783" t="n">
        <v>14</v>
      </c>
      <c r="V2783" t="n">
        <v>30</v>
      </c>
      <c r="W2783" t="n">
        <v>1</v>
      </c>
      <c r="X2783" t="n">
        <v>109.8901098901099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11022</v>
      </c>
      <c r="AG2783" t="n">
        <v>33</v>
      </c>
      <c r="AH2783" t="inlineStr">
        <is>
          <t>PT. MENSA BINASUKSES - PPN (PDG)</t>
        </is>
      </c>
      <c r="AI2783" t="n">
        <v>814</v>
      </c>
      <c r="AJ2783" t="inlineStr">
        <is>
          <t>LOREAL HAIR</t>
        </is>
      </c>
      <c r="AK2783" t="n">
        <v>21</v>
      </c>
      <c r="AL2783" t="inlineStr">
        <is>
          <t>Miss Glam Damar</t>
        </is>
      </c>
      <c r="AM2783" t="n">
        <v>3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LOVILLEA</t>
        </is>
      </c>
      <c r="B2784" s="2">
        <f>"30400361749"</f>
        <v/>
      </c>
      <c r="C2784" t="inlineStr">
        <is>
          <t>LOVILLEA  Love Language Eau De Parfum Precious Gift 100ml</t>
        </is>
      </c>
      <c r="D2784" t="inlineStr">
        <is>
          <t>Miss Glam Damar</t>
        </is>
      </c>
      <c r="E2784" t="n">
        <v>4</v>
      </c>
      <c r="F2784" t="n">
        <v>0.04550000000000001</v>
      </c>
      <c r="G2784" t="n">
        <v>0.91</v>
      </c>
      <c r="H2784" t="n">
        <v>2</v>
      </c>
      <c r="I2784" t="n">
        <v>6</v>
      </c>
      <c r="J2784" t="n">
        <v>1</v>
      </c>
      <c r="K2784" t="n">
        <v>0</v>
      </c>
      <c r="L2784" t="n">
        <v>20947</v>
      </c>
      <c r="M2784" t="n">
        <v>28000</v>
      </c>
      <c r="N2784" t="n">
        <v>91</v>
      </c>
      <c r="O2784" t="n">
        <v>0.91</v>
      </c>
      <c r="P2784" t="n">
        <v>1</v>
      </c>
      <c r="Q2784" t="n">
        <v>0.07000000000000001</v>
      </c>
      <c r="R2784" t="n">
        <v>2</v>
      </c>
      <c r="S2784" t="n">
        <v>1274</v>
      </c>
      <c r="T2784" t="n">
        <v>6</v>
      </c>
      <c r="U2784" t="n">
        <v>7</v>
      </c>
      <c r="V2784" t="n">
        <v>30</v>
      </c>
      <c r="W2784" t="n">
        <v>2</v>
      </c>
      <c r="X2784" t="n">
        <v>87.9120879120879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2666</v>
      </c>
      <c r="AG2784" t="n">
        <v>104</v>
      </c>
      <c r="AH2784" t="inlineStr">
        <is>
          <t>PT. ASIA PARAMITA - PPN (PDG)</t>
        </is>
      </c>
      <c r="AI2784" t="n">
        <v>1455</v>
      </c>
      <c r="AJ2784" t="inlineStr">
        <is>
          <t>LOVILLEA</t>
        </is>
      </c>
      <c r="AK2784" t="n">
        <v>21</v>
      </c>
      <c r="AL2784" t="inlineStr">
        <is>
          <t>Miss Glam Damar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LOVILLEA</t>
        </is>
      </c>
      <c r="B2785" s="2">
        <f>"30400361827"</f>
        <v/>
      </c>
      <c r="C2785" t="inlineStr">
        <is>
          <t>LOVILLEA  Love Language Eau De Parfum Sincere Attention 100ml</t>
        </is>
      </c>
      <c r="D2785" t="inlineStr">
        <is>
          <t>Miss Glam Damar</t>
        </is>
      </c>
      <c r="E2785" t="n">
        <v>4</v>
      </c>
      <c r="F2785" t="n">
        <v>0.0273</v>
      </c>
      <c r="G2785" t="n">
        <v>0.91</v>
      </c>
      <c r="H2785" t="n">
        <v>2</v>
      </c>
      <c r="I2785" t="n">
        <v>6</v>
      </c>
      <c r="J2785" t="n">
        <v>1</v>
      </c>
      <c r="K2785" t="n">
        <v>0</v>
      </c>
      <c r="L2785" t="n">
        <v>20947</v>
      </c>
      <c r="M2785" t="n">
        <v>28000</v>
      </c>
      <c r="N2785" t="n">
        <v>91</v>
      </c>
      <c r="O2785" t="n">
        <v>0.91</v>
      </c>
      <c r="P2785" t="n">
        <v>1</v>
      </c>
      <c r="Q2785" t="n">
        <v>0.07000000000000001</v>
      </c>
      <c r="R2785" t="n">
        <v>1</v>
      </c>
      <c r="S2785" t="n">
        <v>764.4000000000001</v>
      </c>
      <c r="T2785" t="n">
        <v>6</v>
      </c>
      <c r="U2785" t="n">
        <v>7</v>
      </c>
      <c r="V2785" t="n">
        <v>30</v>
      </c>
      <c r="W2785" t="n">
        <v>1</v>
      </c>
      <c r="X2785" t="n">
        <v>146.5201465201465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2666</v>
      </c>
      <c r="AG2785" t="n">
        <v>104</v>
      </c>
      <c r="AH2785" t="inlineStr">
        <is>
          <t>PT. ASIA PARAMITA - PPN (PDG)</t>
        </is>
      </c>
      <c r="AI2785" t="n">
        <v>1455</v>
      </c>
      <c r="AJ2785" t="inlineStr">
        <is>
          <t>LOVILLEA</t>
        </is>
      </c>
      <c r="AK2785" t="n">
        <v>21</v>
      </c>
      <c r="AL2785" t="inlineStr">
        <is>
          <t>Miss Glam Damar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LOVILLEA</t>
        </is>
      </c>
      <c r="B2786" s="2">
        <f>"30400361536"</f>
        <v/>
      </c>
      <c r="C2786" t="inlineStr">
        <is>
          <t>LOVILLEA  Love Language Eau De Parfum Sweet Talk 100ml</t>
        </is>
      </c>
      <c r="D2786" t="inlineStr">
        <is>
          <t>Miss Glam Damar</t>
        </is>
      </c>
      <c r="E2786" t="n">
        <v>13</v>
      </c>
      <c r="F2786" t="n">
        <v>0.2184</v>
      </c>
      <c r="G2786" t="n">
        <v>2.73</v>
      </c>
      <c r="H2786" t="n">
        <v>2</v>
      </c>
      <c r="I2786" t="n">
        <v>6</v>
      </c>
      <c r="J2786" t="n">
        <v>1</v>
      </c>
      <c r="K2786" t="n">
        <v>0</v>
      </c>
      <c r="L2786" t="n">
        <v>22867</v>
      </c>
      <c r="M2786" t="n">
        <v>28000</v>
      </c>
      <c r="N2786" t="n">
        <v>91</v>
      </c>
      <c r="O2786" t="n">
        <v>0.91</v>
      </c>
      <c r="P2786" t="n">
        <v>1</v>
      </c>
      <c r="Q2786" t="n">
        <v>0.31</v>
      </c>
      <c r="R2786" t="n">
        <v>3</v>
      </c>
      <c r="S2786" t="n">
        <v>6115.200000000001</v>
      </c>
      <c r="T2786" t="n">
        <v>16</v>
      </c>
      <c r="U2786" t="n">
        <v>17</v>
      </c>
      <c r="V2786" t="n">
        <v>30</v>
      </c>
      <c r="W2786" t="n">
        <v>7</v>
      </c>
      <c r="X2786" t="n">
        <v>59.52380952380952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2666</v>
      </c>
      <c r="AG2786" t="n">
        <v>104</v>
      </c>
      <c r="AH2786" t="inlineStr">
        <is>
          <t>PT. ASIA PARAMITA - PPN (PDG)</t>
        </is>
      </c>
      <c r="AI2786" t="n">
        <v>1455</v>
      </c>
      <c r="AJ2786" t="inlineStr">
        <is>
          <t>LOVILLEA</t>
        </is>
      </c>
      <c r="AK2786" t="n">
        <v>21</v>
      </c>
      <c r="AL2786" t="inlineStr">
        <is>
          <t>Miss Glam Damar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LOVILLEA</t>
        </is>
      </c>
      <c r="B2787" s="2">
        <f>"30400361901"</f>
        <v/>
      </c>
      <c r="C2787" t="inlineStr">
        <is>
          <t>LOVILLEA  Love Language Eau De Parfum Warm Hug 100ml</t>
        </is>
      </c>
      <c r="D2787" t="inlineStr">
        <is>
          <t>Miss Glam Damar</t>
        </is>
      </c>
      <c r="E2787" t="n">
        <v>4</v>
      </c>
      <c r="F2787" t="n">
        <v>0.0728</v>
      </c>
      <c r="G2787" t="n">
        <v>0.91</v>
      </c>
      <c r="H2787" t="n">
        <v>2</v>
      </c>
      <c r="I2787" t="n">
        <v>6</v>
      </c>
      <c r="J2787" t="n">
        <v>1</v>
      </c>
      <c r="K2787" t="n">
        <v>0</v>
      </c>
      <c r="L2787" t="n">
        <v>21907</v>
      </c>
      <c r="M2787" t="n">
        <v>28000</v>
      </c>
      <c r="N2787" t="n">
        <v>91</v>
      </c>
      <c r="O2787" t="n">
        <v>0.91</v>
      </c>
      <c r="P2787" t="n">
        <v>1</v>
      </c>
      <c r="Q2787" t="n">
        <v>0.07000000000000001</v>
      </c>
      <c r="R2787" t="n">
        <v>2</v>
      </c>
      <c r="S2787" t="n">
        <v>2038.4</v>
      </c>
      <c r="T2787" t="n">
        <v>6</v>
      </c>
      <c r="U2787" t="n">
        <v>7</v>
      </c>
      <c r="V2787" t="n">
        <v>30</v>
      </c>
      <c r="W2787" t="n">
        <v>3</v>
      </c>
      <c r="X2787" t="n">
        <v>54.94505494505494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2666</v>
      </c>
      <c r="AG2787" t="n">
        <v>104</v>
      </c>
      <c r="AH2787" t="inlineStr">
        <is>
          <t>PT. ASIA PARAMITA - PPN (PDG)</t>
        </is>
      </c>
      <c r="AI2787" t="n">
        <v>1455</v>
      </c>
      <c r="AJ2787" t="inlineStr">
        <is>
          <t>LOVILLEA</t>
        </is>
      </c>
      <c r="AK2787" t="n">
        <v>21</v>
      </c>
      <c r="AL2787" t="inlineStr">
        <is>
          <t>Miss Glam Damar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LOVILLEA</t>
        </is>
      </c>
      <c r="B2788" s="2">
        <f>"20100576326"</f>
        <v/>
      </c>
      <c r="C2788" t="inlineStr">
        <is>
          <t>LOVILLEA  Velvety Bright Compact Powder 03 Creamy Rose 9gr</t>
        </is>
      </c>
      <c r="D2788" t="inlineStr">
        <is>
          <t>Miss Glam Damar</t>
        </is>
      </c>
      <c r="E2788" t="n">
        <v>7</v>
      </c>
      <c r="F2788" t="n">
        <v>0.02</v>
      </c>
      <c r="G2788" t="n">
        <v>1</v>
      </c>
      <c r="H2788" t="n">
        <v>2</v>
      </c>
      <c r="I2788" t="n">
        <v>6</v>
      </c>
      <c r="J2788" t="n">
        <v>1</v>
      </c>
      <c r="K2788" t="n">
        <v>0</v>
      </c>
      <c r="L2788" t="n">
        <v>19599</v>
      </c>
      <c r="M2788" t="n">
        <v>25000</v>
      </c>
      <c r="N2788" t="n">
        <v>91</v>
      </c>
      <c r="O2788" t="n">
        <v>0.91</v>
      </c>
      <c r="P2788" t="n">
        <v>0</v>
      </c>
      <c r="Q2788" t="n">
        <v>0.02</v>
      </c>
      <c r="R2788" t="n">
        <v>1</v>
      </c>
      <c r="S2788" t="n">
        <v>500</v>
      </c>
      <c r="T2788" t="n">
        <v>6</v>
      </c>
      <c r="U2788" t="n">
        <v>7</v>
      </c>
      <c r="V2788" t="n">
        <v>30</v>
      </c>
      <c r="W2788" t="n">
        <v>1</v>
      </c>
      <c r="X2788" t="n">
        <v>350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2666</v>
      </c>
      <c r="AG2788" t="n">
        <v>104</v>
      </c>
      <c r="AH2788" t="inlineStr">
        <is>
          <t>PT. ASIA PARAMITA - PPN (PDG)</t>
        </is>
      </c>
      <c r="AI2788" t="n">
        <v>1455</v>
      </c>
      <c r="AJ2788" t="inlineStr">
        <is>
          <t>LOVILLEA</t>
        </is>
      </c>
      <c r="AK2788" t="n">
        <v>21</v>
      </c>
      <c r="AL2788" t="inlineStr">
        <is>
          <t>Miss Glam Damar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LOVILLEA</t>
        </is>
      </c>
      <c r="B2789" s="2">
        <f>"30400362442"</f>
        <v/>
      </c>
      <c r="C2789" t="inlineStr">
        <is>
          <t>LOVILLEA Body Mist Freshy Park 100ml</t>
        </is>
      </c>
      <c r="D2789" t="inlineStr">
        <is>
          <t>Miss Glam Damar</t>
        </is>
      </c>
      <c r="E2789" t="n">
        <v>15</v>
      </c>
      <c r="F2789" t="n">
        <v>0.7553</v>
      </c>
      <c r="G2789" t="n">
        <v>3.64</v>
      </c>
      <c r="H2789" t="n">
        <v>2</v>
      </c>
      <c r="I2789" t="n">
        <v>6</v>
      </c>
      <c r="J2789" t="n">
        <v>1</v>
      </c>
      <c r="K2789" t="n">
        <v>0</v>
      </c>
      <c r="L2789" t="n">
        <v>10616</v>
      </c>
      <c r="M2789" t="n">
        <v>12500</v>
      </c>
      <c r="N2789" t="n">
        <v>91</v>
      </c>
      <c r="O2789" t="n">
        <v>0.91</v>
      </c>
      <c r="P2789" t="n">
        <v>1</v>
      </c>
      <c r="Q2789" t="n">
        <v>0.32</v>
      </c>
      <c r="R2789" t="n">
        <v>6</v>
      </c>
      <c r="S2789" t="n">
        <v>9441.25</v>
      </c>
      <c r="T2789" t="n">
        <v>21</v>
      </c>
      <c r="U2789" t="n">
        <v>23</v>
      </c>
      <c r="V2789" t="n">
        <v>30</v>
      </c>
      <c r="W2789" t="n">
        <v>23</v>
      </c>
      <c r="X2789" t="n">
        <v>19.85965841387528</v>
      </c>
      <c r="Y2789" t="n">
        <v>1</v>
      </c>
      <c r="Z2789" t="n">
        <v>8</v>
      </c>
      <c r="AA2789" t="n">
        <v>0</v>
      </c>
      <c r="AB2789" t="n">
        <v>8</v>
      </c>
      <c r="AC2789" t="n">
        <v>8</v>
      </c>
      <c r="AD2789" t="n">
        <v>0</v>
      </c>
      <c r="AE2789" t="n">
        <v>84928</v>
      </c>
      <c r="AF2789" t="n">
        <v>2666</v>
      </c>
      <c r="AG2789" t="n">
        <v>104</v>
      </c>
      <c r="AH2789" t="inlineStr">
        <is>
          <t>PT. ASIA PARAMITA - PPN (PDG)</t>
        </is>
      </c>
      <c r="AI2789" t="n">
        <v>1455</v>
      </c>
      <c r="AJ2789" t="inlineStr">
        <is>
          <t>LOVILLEA</t>
        </is>
      </c>
      <c r="AK2789" t="n">
        <v>21</v>
      </c>
      <c r="AL2789" t="inlineStr">
        <is>
          <t>Miss Glam Damar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LOVILLEA</t>
        </is>
      </c>
      <c r="B2790" s="2">
        <f>"30400362234"</f>
        <v/>
      </c>
      <c r="C2790" t="inlineStr">
        <is>
          <t>LOVILLEA Body Mist Fruity Movie 100ml</t>
        </is>
      </c>
      <c r="D2790" t="inlineStr">
        <is>
          <t>Miss Glam Damar</t>
        </is>
      </c>
      <c r="E2790" t="n">
        <v>8</v>
      </c>
      <c r="F2790" t="n">
        <v>1.9292</v>
      </c>
      <c r="G2790" t="n">
        <v>5.46</v>
      </c>
      <c r="H2790" t="n">
        <v>2</v>
      </c>
      <c r="I2790" t="n">
        <v>6</v>
      </c>
      <c r="J2790" t="n">
        <v>1</v>
      </c>
      <c r="K2790" t="n">
        <v>0</v>
      </c>
      <c r="L2790" t="n">
        <v>10616</v>
      </c>
      <c r="M2790" t="n">
        <v>12500</v>
      </c>
      <c r="N2790" t="n">
        <v>91</v>
      </c>
      <c r="O2790" t="n">
        <v>0.91</v>
      </c>
      <c r="P2790" t="n">
        <v>1</v>
      </c>
      <c r="Q2790" t="n">
        <v>0.64</v>
      </c>
      <c r="R2790" t="n">
        <v>4</v>
      </c>
      <c r="S2790" t="n">
        <v>24115</v>
      </c>
      <c r="T2790" t="n">
        <v>29</v>
      </c>
      <c r="U2790" t="n">
        <v>33</v>
      </c>
      <c r="V2790" t="n">
        <v>30</v>
      </c>
      <c r="W2790" t="n">
        <v>58</v>
      </c>
      <c r="X2790" t="n">
        <v>4.146796599626787</v>
      </c>
      <c r="Y2790" t="n">
        <v>1</v>
      </c>
      <c r="Z2790" t="n">
        <v>50</v>
      </c>
      <c r="AA2790" t="n">
        <v>4</v>
      </c>
      <c r="AB2790" t="n">
        <v>46</v>
      </c>
      <c r="AC2790" t="n">
        <v>46</v>
      </c>
      <c r="AD2790" t="n">
        <v>42464</v>
      </c>
      <c r="AE2790" t="n">
        <v>488336</v>
      </c>
      <c r="AF2790" t="n">
        <v>2666</v>
      </c>
      <c r="AG2790" t="n">
        <v>104</v>
      </c>
      <c r="AH2790" t="inlineStr">
        <is>
          <t>PT. ASIA PARAMITA - PPN (PDG)</t>
        </is>
      </c>
      <c r="AI2790" t="n">
        <v>1455</v>
      </c>
      <c r="AJ2790" t="inlineStr">
        <is>
          <t>LOVILLEA</t>
        </is>
      </c>
      <c r="AK2790" t="n">
        <v>21</v>
      </c>
      <c r="AL2790" t="inlineStr">
        <is>
          <t>Miss Glam Damar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LOVILLEA</t>
        </is>
      </c>
      <c r="B2791" s="2">
        <f>"30400362309"</f>
        <v/>
      </c>
      <c r="C2791" t="inlineStr">
        <is>
          <t>LOVILLEA body Mist Vanilla Café 100ml</t>
        </is>
      </c>
      <c r="D2791" t="inlineStr">
        <is>
          <t>Miss Glam Damar</t>
        </is>
      </c>
      <c r="E2791" t="n">
        <v>12</v>
      </c>
      <c r="F2791" t="n">
        <v>1.5106</v>
      </c>
      <c r="G2791" t="n">
        <v>4.55</v>
      </c>
      <c r="H2791" t="n">
        <v>2</v>
      </c>
      <c r="I2791" t="n">
        <v>6</v>
      </c>
      <c r="J2791" t="n">
        <v>1</v>
      </c>
      <c r="K2791" t="n">
        <v>0</v>
      </c>
      <c r="L2791" t="n">
        <v>10616</v>
      </c>
      <c r="M2791" t="n">
        <v>12500</v>
      </c>
      <c r="N2791" t="n">
        <v>91</v>
      </c>
      <c r="O2791" t="n">
        <v>0.91</v>
      </c>
      <c r="P2791" t="n">
        <v>1</v>
      </c>
      <c r="Q2791" t="n">
        <v>0.5600000000000001</v>
      </c>
      <c r="R2791" t="n">
        <v>3</v>
      </c>
      <c r="S2791" t="n">
        <v>18882.5</v>
      </c>
      <c r="T2791" t="n">
        <v>25</v>
      </c>
      <c r="U2791" t="n">
        <v>29</v>
      </c>
      <c r="V2791" t="n">
        <v>30</v>
      </c>
      <c r="W2791" t="n">
        <v>46</v>
      </c>
      <c r="X2791" t="n">
        <v>7.943863365550113</v>
      </c>
      <c r="Y2791" t="n">
        <v>1</v>
      </c>
      <c r="Z2791" t="n">
        <v>34</v>
      </c>
      <c r="AA2791" t="n">
        <v>0</v>
      </c>
      <c r="AB2791" t="n">
        <v>34</v>
      </c>
      <c r="AC2791" t="n">
        <v>34</v>
      </c>
      <c r="AD2791" t="n">
        <v>0</v>
      </c>
      <c r="AE2791" t="n">
        <v>360944</v>
      </c>
      <c r="AF2791" t="n">
        <v>2666</v>
      </c>
      <c r="AG2791" t="n">
        <v>104</v>
      </c>
      <c r="AH2791" t="inlineStr">
        <is>
          <t>PT. ASIA PARAMITA - PPN (PDG)</t>
        </is>
      </c>
      <c r="AI2791" t="n">
        <v>1455</v>
      </c>
      <c r="AJ2791" t="inlineStr">
        <is>
          <t>LOVILLEA</t>
        </is>
      </c>
      <c r="AK2791" t="n">
        <v>21</v>
      </c>
      <c r="AL2791" t="inlineStr">
        <is>
          <t>Miss Glam Damar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LOVILLEA</t>
        </is>
      </c>
      <c r="B2792" s="2">
        <f>"101001115859"</f>
        <v/>
      </c>
      <c r="C2792" t="inlineStr">
        <is>
          <t>LOVILLEA Calm &amp; Bright Facial Wash Oil Control 100gr</t>
        </is>
      </c>
      <c r="D2792" t="inlineStr">
        <is>
          <t>Miss Glam Damar</t>
        </is>
      </c>
      <c r="E2792" t="n">
        <v>3</v>
      </c>
      <c r="F2792" t="n">
        <v>0.09100000000000001</v>
      </c>
      <c r="G2792" t="n">
        <v>1.82</v>
      </c>
      <c r="H2792" t="n">
        <v>2</v>
      </c>
      <c r="I2792" t="n">
        <v>6</v>
      </c>
      <c r="J2792" t="n">
        <v>1</v>
      </c>
      <c r="K2792" t="n">
        <v>0</v>
      </c>
      <c r="L2792" t="n">
        <v>20416</v>
      </c>
      <c r="M2792" t="n">
        <v>24500</v>
      </c>
      <c r="N2792" t="n">
        <v>91</v>
      </c>
      <c r="O2792" t="n">
        <v>0.91</v>
      </c>
      <c r="P2792" t="n">
        <v>1</v>
      </c>
      <c r="Q2792" t="n">
        <v>0.07000000000000001</v>
      </c>
      <c r="R2792" t="n">
        <v>1</v>
      </c>
      <c r="S2792" t="n">
        <v>2229.5</v>
      </c>
      <c r="T2792" t="n">
        <v>11</v>
      </c>
      <c r="U2792" t="n">
        <v>12</v>
      </c>
      <c r="V2792" t="n">
        <v>30</v>
      </c>
      <c r="W2792" t="n">
        <v>3</v>
      </c>
      <c r="X2792" t="n">
        <v>32.96703296703296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2666</v>
      </c>
      <c r="AG2792" t="n">
        <v>104</v>
      </c>
      <c r="AH2792" t="inlineStr">
        <is>
          <t>PT. ASIA PARAMITA - PPN (PDG)</t>
        </is>
      </c>
      <c r="AI2792" t="n">
        <v>1455</v>
      </c>
      <c r="AJ2792" t="inlineStr">
        <is>
          <t>LOVILLEA</t>
        </is>
      </c>
      <c r="AK2792" t="n">
        <v>21</v>
      </c>
      <c r="AL2792" t="inlineStr">
        <is>
          <t>Miss Glam Damar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LOVILLEA</t>
        </is>
      </c>
      <c r="B2793" s="2">
        <f>"8992222111256"</f>
        <v/>
      </c>
      <c r="C2793" t="inlineStr">
        <is>
          <t>LOVILLEA Deodorant Roll-On Floral Musky 50ml</t>
        </is>
      </c>
      <c r="D2793" t="inlineStr">
        <is>
          <t>Miss Glam Damar</t>
        </is>
      </c>
      <c r="E2793" t="n">
        <v>15</v>
      </c>
      <c r="F2793" t="n">
        <v>0.6916</v>
      </c>
      <c r="G2793" t="n">
        <v>3.64</v>
      </c>
      <c r="H2793" t="n">
        <v>2</v>
      </c>
      <c r="I2793" t="n">
        <v>6</v>
      </c>
      <c r="J2793" t="n">
        <v>3</v>
      </c>
      <c r="K2793" t="n">
        <v>0</v>
      </c>
      <c r="L2793" t="n">
        <v>11637</v>
      </c>
      <c r="M2793" t="n">
        <v>14500</v>
      </c>
      <c r="N2793" t="n">
        <v>91</v>
      </c>
      <c r="O2793" t="n">
        <v>0.91</v>
      </c>
      <c r="P2793" t="n">
        <v>1</v>
      </c>
      <c r="Q2793" t="n">
        <v>0.47</v>
      </c>
      <c r="R2793" t="n">
        <v>5</v>
      </c>
      <c r="S2793" t="n">
        <v>10028.2</v>
      </c>
      <c r="T2793" t="n">
        <v>21</v>
      </c>
      <c r="U2793" t="n">
        <v>23</v>
      </c>
      <c r="V2793" t="n">
        <v>30</v>
      </c>
      <c r="W2793" t="n">
        <v>21</v>
      </c>
      <c r="X2793" t="n">
        <v>21.68883747831116</v>
      </c>
      <c r="Y2793" t="n">
        <v>1</v>
      </c>
      <c r="Z2793" t="n">
        <v>6</v>
      </c>
      <c r="AA2793" t="n">
        <v>0</v>
      </c>
      <c r="AB2793" t="n">
        <v>6</v>
      </c>
      <c r="AC2793" t="n">
        <v>6</v>
      </c>
      <c r="AD2793" t="n">
        <v>0</v>
      </c>
      <c r="AE2793" t="n">
        <v>69822</v>
      </c>
      <c r="AF2793" t="n">
        <v>2666</v>
      </c>
      <c r="AG2793" t="n">
        <v>104</v>
      </c>
      <c r="AH2793" t="inlineStr">
        <is>
          <t>PT. ASIA PARAMITA - PPN (PDG)</t>
        </is>
      </c>
      <c r="AI2793" t="n">
        <v>1455</v>
      </c>
      <c r="AJ2793" t="inlineStr">
        <is>
          <t>LOVILLEA</t>
        </is>
      </c>
      <c r="AK2793" t="n">
        <v>21</v>
      </c>
      <c r="AL2793" t="inlineStr">
        <is>
          <t>Miss Glam Damar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LOVILLEA</t>
        </is>
      </c>
      <c r="B2794" s="2">
        <f>"8992222111263"</f>
        <v/>
      </c>
      <c r="C2794" t="inlineStr">
        <is>
          <t>LOVILLEA Deodorant Roll-On Fresh Ambery 50ml</t>
        </is>
      </c>
      <c r="D2794" t="inlineStr">
        <is>
          <t>Miss Glam Damar</t>
        </is>
      </c>
      <c r="E2794" t="n">
        <v>8</v>
      </c>
      <c r="F2794" t="n">
        <v>0.1274</v>
      </c>
      <c r="G2794" t="n">
        <v>1.82</v>
      </c>
      <c r="H2794" t="n">
        <v>2</v>
      </c>
      <c r="I2794" t="n">
        <v>6</v>
      </c>
      <c r="J2794" t="n">
        <v>3</v>
      </c>
      <c r="K2794" t="n">
        <v>0</v>
      </c>
      <c r="L2794" t="n">
        <v>12250</v>
      </c>
      <c r="M2794" t="n">
        <v>14500</v>
      </c>
      <c r="N2794" t="n">
        <v>91</v>
      </c>
      <c r="O2794" t="n">
        <v>0.91</v>
      </c>
      <c r="P2794" t="n">
        <v>1</v>
      </c>
      <c r="Q2794" t="n">
        <v>0.15</v>
      </c>
      <c r="R2794" t="n">
        <v>2</v>
      </c>
      <c r="S2794" t="n">
        <v>1847.3</v>
      </c>
      <c r="T2794" t="n">
        <v>11</v>
      </c>
      <c r="U2794" t="n">
        <v>12</v>
      </c>
      <c r="V2794" t="n">
        <v>30</v>
      </c>
      <c r="W2794" t="n">
        <v>4</v>
      </c>
      <c r="X2794" t="n">
        <v>62.79434850863422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2666</v>
      </c>
      <c r="AG2794" t="n">
        <v>104</v>
      </c>
      <c r="AH2794" t="inlineStr">
        <is>
          <t>PT. ASIA PARAMITA - PPN (PDG)</t>
        </is>
      </c>
      <c r="AI2794" t="n">
        <v>1455</v>
      </c>
      <c r="AJ2794" t="inlineStr">
        <is>
          <t>LOVILLEA</t>
        </is>
      </c>
      <c r="AK2794" t="n">
        <v>21</v>
      </c>
      <c r="AL2794" t="inlineStr">
        <is>
          <t>Miss Glam Damar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LOVILLEA</t>
        </is>
      </c>
      <c r="B2795" s="2">
        <f>"8992222111249"</f>
        <v/>
      </c>
      <c r="C2795" t="inlineStr">
        <is>
          <t>LOVILLEA Deodorant Roll-On Soft Powdery 50ml</t>
        </is>
      </c>
      <c r="D2795" t="inlineStr">
        <is>
          <t>Miss Glam Damar</t>
        </is>
      </c>
      <c r="E2795" t="n">
        <v>8</v>
      </c>
      <c r="F2795" t="n">
        <v>0.182</v>
      </c>
      <c r="G2795" t="n">
        <v>1.82</v>
      </c>
      <c r="H2795" t="n">
        <v>2</v>
      </c>
      <c r="I2795" t="n">
        <v>6</v>
      </c>
      <c r="J2795" t="n">
        <v>3</v>
      </c>
      <c r="K2795" t="n">
        <v>0</v>
      </c>
      <c r="L2795" t="n">
        <v>12250</v>
      </c>
      <c r="M2795" t="n">
        <v>14500</v>
      </c>
      <c r="N2795" t="n">
        <v>91</v>
      </c>
      <c r="O2795" t="n">
        <v>0.91</v>
      </c>
      <c r="P2795" t="n">
        <v>1</v>
      </c>
      <c r="Q2795" t="n">
        <v>0.29</v>
      </c>
      <c r="R2795" t="n">
        <v>2</v>
      </c>
      <c r="S2795" t="n">
        <v>2639</v>
      </c>
      <c r="T2795" t="n">
        <v>11</v>
      </c>
      <c r="U2795" t="n">
        <v>12</v>
      </c>
      <c r="V2795" t="n">
        <v>30</v>
      </c>
      <c r="W2795" t="n">
        <v>6</v>
      </c>
      <c r="X2795" t="n">
        <v>43.95604395604395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2666</v>
      </c>
      <c r="AG2795" t="n">
        <v>104</v>
      </c>
      <c r="AH2795" t="inlineStr">
        <is>
          <t>PT. ASIA PARAMITA - PPN (PDG)</t>
        </is>
      </c>
      <c r="AI2795" t="n">
        <v>1455</v>
      </c>
      <c r="AJ2795" t="inlineStr">
        <is>
          <t>LOVILLEA</t>
        </is>
      </c>
      <c r="AK2795" t="n">
        <v>21</v>
      </c>
      <c r="AL2795" t="inlineStr">
        <is>
          <t>Miss Glam Damar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LOVILLEA</t>
        </is>
      </c>
      <c r="B2796" s="2">
        <f>"8992222111140"</f>
        <v/>
      </c>
      <c r="C2796" t="inlineStr">
        <is>
          <t>LOVILLEA Eau De Parfum Blooming Rose 100ml</t>
        </is>
      </c>
      <c r="D2796" t="inlineStr">
        <is>
          <t>Miss Glam Damar</t>
        </is>
      </c>
      <c r="E2796" t="n">
        <v>3</v>
      </c>
      <c r="F2796" t="n">
        <v>0.3367</v>
      </c>
      <c r="G2796" t="n">
        <v>2.73</v>
      </c>
      <c r="H2796" t="n">
        <v>2</v>
      </c>
      <c r="I2796" t="n">
        <v>6</v>
      </c>
      <c r="J2796" t="n">
        <v>3</v>
      </c>
      <c r="K2796" t="n">
        <v>0</v>
      </c>
      <c r="L2796" t="n">
        <v>22867</v>
      </c>
      <c r="M2796" t="n">
        <v>27000</v>
      </c>
      <c r="N2796" t="n">
        <v>91</v>
      </c>
      <c r="O2796" t="n">
        <v>0.91</v>
      </c>
      <c r="P2796" t="n">
        <v>1</v>
      </c>
      <c r="Q2796" t="n">
        <v>0.14</v>
      </c>
      <c r="R2796" t="n">
        <v>1</v>
      </c>
      <c r="S2796" t="n">
        <v>9090.9</v>
      </c>
      <c r="T2796" t="n">
        <v>16</v>
      </c>
      <c r="U2796" t="n">
        <v>17</v>
      </c>
      <c r="V2796" t="n">
        <v>30</v>
      </c>
      <c r="W2796" t="n">
        <v>11</v>
      </c>
      <c r="X2796" t="n">
        <v>8.91000891000891</v>
      </c>
      <c r="Y2796" t="n">
        <v>1</v>
      </c>
      <c r="Z2796" t="n">
        <v>8</v>
      </c>
      <c r="AA2796" t="n">
        <v>0</v>
      </c>
      <c r="AB2796" t="n">
        <v>8</v>
      </c>
      <c r="AC2796" t="n">
        <v>8</v>
      </c>
      <c r="AD2796" t="n">
        <v>0</v>
      </c>
      <c r="AE2796" t="n">
        <v>182936</v>
      </c>
      <c r="AF2796" t="n">
        <v>2666</v>
      </c>
      <c r="AG2796" t="n">
        <v>104</v>
      </c>
      <c r="AH2796" t="inlineStr">
        <is>
          <t>PT. ASIA PARAMITA - PPN (PDG)</t>
        </is>
      </c>
      <c r="AI2796" t="n">
        <v>1455</v>
      </c>
      <c r="AJ2796" t="inlineStr">
        <is>
          <t>LOVILLEA</t>
        </is>
      </c>
      <c r="AK2796" t="n">
        <v>21</v>
      </c>
      <c r="AL2796" t="inlineStr">
        <is>
          <t>Miss Glam Damar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LOVILLEA</t>
        </is>
      </c>
      <c r="B2797" s="2">
        <f>"8992222111126"</f>
        <v/>
      </c>
      <c r="C2797" t="inlineStr">
        <is>
          <t>LOVILLEA Eau De Parfum Classy Freesia 100ml</t>
        </is>
      </c>
      <c r="D2797" t="inlineStr">
        <is>
          <t>Miss Glam Damar</t>
        </is>
      </c>
      <c r="E2797" t="n">
        <v>2</v>
      </c>
      <c r="F2797" t="n">
        <v>0.0728</v>
      </c>
      <c r="G2797" t="n">
        <v>0.91</v>
      </c>
      <c r="H2797" t="n">
        <v>2</v>
      </c>
      <c r="I2797" t="n">
        <v>6</v>
      </c>
      <c r="J2797" t="n">
        <v>3</v>
      </c>
      <c r="K2797" t="n">
        <v>0</v>
      </c>
      <c r="L2797" t="n">
        <v>22540</v>
      </c>
      <c r="M2797" t="n">
        <v>27000</v>
      </c>
      <c r="N2797" t="n">
        <v>91</v>
      </c>
      <c r="O2797" t="n">
        <v>0.91</v>
      </c>
      <c r="P2797" t="n">
        <v>1</v>
      </c>
      <c r="Q2797" t="n">
        <v>0.03</v>
      </c>
      <c r="R2797" t="n">
        <v>1</v>
      </c>
      <c r="S2797" t="n">
        <v>1965.6</v>
      </c>
      <c r="T2797" t="n">
        <v>6</v>
      </c>
      <c r="U2797" t="n">
        <v>7</v>
      </c>
      <c r="V2797" t="n">
        <v>30</v>
      </c>
      <c r="W2797" t="n">
        <v>3</v>
      </c>
      <c r="X2797" t="n">
        <v>27.47252747252747</v>
      </c>
      <c r="Y2797" t="n">
        <v>1</v>
      </c>
      <c r="Z2797" t="n">
        <v>1</v>
      </c>
      <c r="AA2797" t="n">
        <v>0</v>
      </c>
      <c r="AB2797" t="n">
        <v>1</v>
      </c>
      <c r="AC2797" t="n">
        <v>3</v>
      </c>
      <c r="AD2797" t="n">
        <v>0</v>
      </c>
      <c r="AE2797" t="n">
        <v>67620</v>
      </c>
      <c r="AF2797" t="n">
        <v>2666</v>
      </c>
      <c r="AG2797" t="n">
        <v>104</v>
      </c>
      <c r="AH2797" t="inlineStr">
        <is>
          <t>PT. ASIA PARAMITA - PPN (PDG)</t>
        </is>
      </c>
      <c r="AI2797" t="n">
        <v>1455</v>
      </c>
      <c r="AJ2797" t="inlineStr">
        <is>
          <t>LOVILLEA</t>
        </is>
      </c>
      <c r="AK2797" t="n">
        <v>21</v>
      </c>
      <c r="AL2797" t="inlineStr">
        <is>
          <t>Miss Glam Damar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LOVILLEA</t>
        </is>
      </c>
      <c r="B2798" s="2">
        <f>"8992222111133"</f>
        <v/>
      </c>
      <c r="C2798" t="inlineStr">
        <is>
          <t>LOVILLEA Eau De Parfum Enchanting Lily 100ml</t>
        </is>
      </c>
      <c r="D2798" t="inlineStr">
        <is>
          <t>Miss Glam Damar</t>
        </is>
      </c>
      <c r="E2798" t="n">
        <v>5</v>
      </c>
      <c r="F2798" t="n">
        <v>0.4186</v>
      </c>
      <c r="G2798" t="n">
        <v>2.73</v>
      </c>
      <c r="H2798" t="n">
        <v>2</v>
      </c>
      <c r="I2798" t="n">
        <v>6</v>
      </c>
      <c r="J2798" t="n">
        <v>3</v>
      </c>
      <c r="K2798" t="n">
        <v>0</v>
      </c>
      <c r="L2798" t="n">
        <v>22864</v>
      </c>
      <c r="M2798" t="n">
        <v>27000</v>
      </c>
      <c r="N2798" t="n">
        <v>91</v>
      </c>
      <c r="O2798" t="n">
        <v>0.91</v>
      </c>
      <c r="P2798" t="n">
        <v>1</v>
      </c>
      <c r="Q2798" t="n">
        <v>0.32</v>
      </c>
      <c r="R2798" t="n">
        <v>2</v>
      </c>
      <c r="S2798" t="n">
        <v>11302.2</v>
      </c>
      <c r="T2798" t="n">
        <v>16</v>
      </c>
      <c r="U2798" t="n">
        <v>17</v>
      </c>
      <c r="V2798" t="n">
        <v>30</v>
      </c>
      <c r="W2798" t="n">
        <v>13</v>
      </c>
      <c r="X2798" t="n">
        <v>11.94457716196847</v>
      </c>
      <c r="Y2798" t="n">
        <v>1</v>
      </c>
      <c r="Z2798" t="n">
        <v>8</v>
      </c>
      <c r="AA2798" t="n">
        <v>0</v>
      </c>
      <c r="AB2798" t="n">
        <v>8</v>
      </c>
      <c r="AC2798" t="n">
        <v>8</v>
      </c>
      <c r="AD2798" t="n">
        <v>0</v>
      </c>
      <c r="AE2798" t="n">
        <v>182912</v>
      </c>
      <c r="AF2798" t="n">
        <v>2666</v>
      </c>
      <c r="AG2798" t="n">
        <v>104</v>
      </c>
      <c r="AH2798" t="inlineStr">
        <is>
          <t>PT. ASIA PARAMITA - PPN (PDG)</t>
        </is>
      </c>
      <c r="AI2798" t="n">
        <v>1455</v>
      </c>
      <c r="AJ2798" t="inlineStr">
        <is>
          <t>LOVILLEA</t>
        </is>
      </c>
      <c r="AK2798" t="n">
        <v>21</v>
      </c>
      <c r="AL2798" t="inlineStr">
        <is>
          <t>Miss Glam Damar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LOVILLEA</t>
        </is>
      </c>
      <c r="B2799" s="2">
        <f>"8992222111218"</f>
        <v/>
      </c>
      <c r="C2799" t="inlineStr">
        <is>
          <t>LOVILLEA Happy Hype Parfum Body Mist Catchin Sunshine 100ml</t>
        </is>
      </c>
      <c r="D2799" t="inlineStr">
        <is>
          <t>Miss Glam Damar</t>
        </is>
      </c>
      <c r="E2799" t="n">
        <v>22</v>
      </c>
      <c r="F2799" t="n">
        <v>3.8857</v>
      </c>
      <c r="G2799" t="n">
        <v>10.92</v>
      </c>
      <c r="H2799" t="n">
        <v>2</v>
      </c>
      <c r="I2799" t="n">
        <v>6</v>
      </c>
      <c r="J2799" t="n">
        <v>3</v>
      </c>
      <c r="K2799" t="n">
        <v>0</v>
      </c>
      <c r="L2799" t="n">
        <v>10616</v>
      </c>
      <c r="M2799" t="n">
        <v>12500</v>
      </c>
      <c r="N2799" t="n">
        <v>91</v>
      </c>
      <c r="O2799" t="n">
        <v>0.91</v>
      </c>
      <c r="P2799" t="n">
        <v>1</v>
      </c>
      <c r="Q2799" t="n">
        <v>0.92</v>
      </c>
      <c r="R2799" t="n">
        <v>4</v>
      </c>
      <c r="S2799" t="n">
        <v>48571.25</v>
      </c>
      <c r="T2799" t="n">
        <v>58</v>
      </c>
      <c r="U2799" t="n">
        <v>66</v>
      </c>
      <c r="V2799" t="n">
        <v>30</v>
      </c>
      <c r="W2799" t="n">
        <v>117</v>
      </c>
      <c r="X2799" t="n">
        <v>5.661785521270299</v>
      </c>
      <c r="Y2799" t="n">
        <v>1</v>
      </c>
      <c r="Z2799" t="n">
        <v>95</v>
      </c>
      <c r="AA2799" t="n">
        <v>2</v>
      </c>
      <c r="AB2799" t="n">
        <v>93</v>
      </c>
      <c r="AC2799" t="n">
        <v>93</v>
      </c>
      <c r="AD2799" t="n">
        <v>21232</v>
      </c>
      <c r="AE2799" t="n">
        <v>987288</v>
      </c>
      <c r="AF2799" t="n">
        <v>2666</v>
      </c>
      <c r="AG2799" t="n">
        <v>104</v>
      </c>
      <c r="AH2799" t="inlineStr">
        <is>
          <t>PT. ASIA PARAMITA - PPN (PDG)</t>
        </is>
      </c>
      <c r="AI2799" t="n">
        <v>1455</v>
      </c>
      <c r="AJ2799" t="inlineStr">
        <is>
          <t>LOVILLEA</t>
        </is>
      </c>
      <c r="AK2799" t="n">
        <v>21</v>
      </c>
      <c r="AL2799" t="inlineStr">
        <is>
          <t>Miss Glam Damar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LOVILLEA</t>
        </is>
      </c>
      <c r="B2800" s="2">
        <f>"8992222111225"</f>
        <v/>
      </c>
      <c r="C2800" t="inlineStr">
        <is>
          <t>LOVILLEA Happy Hype Parfum Body Mist Chillin Sunday 100ml</t>
        </is>
      </c>
      <c r="D2800" t="inlineStr">
        <is>
          <t>Miss Glam Damar</t>
        </is>
      </c>
      <c r="E2800" t="n">
        <v>63</v>
      </c>
      <c r="F2800" t="n">
        <v>10.5924</v>
      </c>
      <c r="G2800" t="n">
        <v>19.11</v>
      </c>
      <c r="H2800" t="n">
        <v>2</v>
      </c>
      <c r="I2800" t="n">
        <v>6</v>
      </c>
      <c r="J2800" t="n">
        <v>3</v>
      </c>
      <c r="K2800" t="n">
        <v>0</v>
      </c>
      <c r="L2800" t="n">
        <v>10615</v>
      </c>
      <c r="M2800" t="n">
        <v>12500</v>
      </c>
      <c r="N2800" t="n">
        <v>91</v>
      </c>
      <c r="O2800" t="n">
        <v>0.91</v>
      </c>
      <c r="P2800" t="n">
        <v>1</v>
      </c>
      <c r="Q2800" t="n">
        <v>3.07</v>
      </c>
      <c r="R2800" t="n">
        <v>8</v>
      </c>
      <c r="S2800" t="n">
        <v>132405</v>
      </c>
      <c r="T2800" t="n">
        <v>94</v>
      </c>
      <c r="U2800" t="n">
        <v>116</v>
      </c>
      <c r="V2800" t="n">
        <v>30</v>
      </c>
      <c r="W2800" t="n">
        <v>318</v>
      </c>
      <c r="X2800" t="n">
        <v>5.947660586835844</v>
      </c>
      <c r="Y2800" t="n">
        <v>1</v>
      </c>
      <c r="Z2800" t="n">
        <v>255</v>
      </c>
      <c r="AA2800" t="n">
        <v>1</v>
      </c>
      <c r="AB2800" t="n">
        <v>254</v>
      </c>
      <c r="AC2800" t="n">
        <v>254</v>
      </c>
      <c r="AD2800" t="n">
        <v>10615</v>
      </c>
      <c r="AE2800" t="n">
        <v>2696210</v>
      </c>
      <c r="AF2800" t="n">
        <v>2666</v>
      </c>
      <c r="AG2800" t="n">
        <v>104</v>
      </c>
      <c r="AH2800" t="inlineStr">
        <is>
          <t>PT. ASIA PARAMITA - PPN (PDG)</t>
        </is>
      </c>
      <c r="AI2800" t="n">
        <v>1455</v>
      </c>
      <c r="AJ2800" t="inlineStr">
        <is>
          <t>LOVILLEA</t>
        </is>
      </c>
      <c r="AK2800" t="n">
        <v>21</v>
      </c>
      <c r="AL2800" t="inlineStr">
        <is>
          <t>Miss Glam Damar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LOVILLEA</t>
        </is>
      </c>
      <c r="B2801" s="2">
        <f>"8992222111232"</f>
        <v/>
      </c>
      <c r="C2801" t="inlineStr">
        <is>
          <t>LOVILLEA Happy Hype Parfum Body Mist Poppin Party 100ml</t>
        </is>
      </c>
      <c r="D2801" t="inlineStr">
        <is>
          <t>Miss Glam Damar</t>
        </is>
      </c>
      <c r="E2801" t="n">
        <v>14</v>
      </c>
      <c r="F2801" t="n">
        <v>3.0667</v>
      </c>
      <c r="G2801" t="n">
        <v>10.92</v>
      </c>
      <c r="H2801" t="n">
        <v>2</v>
      </c>
      <c r="I2801" t="n">
        <v>6</v>
      </c>
      <c r="J2801" t="n">
        <v>3</v>
      </c>
      <c r="K2801" t="n">
        <v>0</v>
      </c>
      <c r="L2801" t="n">
        <v>10615</v>
      </c>
      <c r="M2801" t="n">
        <v>12500</v>
      </c>
      <c r="N2801" t="n">
        <v>91</v>
      </c>
      <c r="O2801" t="n">
        <v>0.91</v>
      </c>
      <c r="P2801" t="n">
        <v>1</v>
      </c>
      <c r="Q2801" t="n">
        <v>0.78</v>
      </c>
      <c r="R2801" t="n">
        <v>3</v>
      </c>
      <c r="S2801" t="n">
        <v>38333.75</v>
      </c>
      <c r="T2801" t="n">
        <v>60</v>
      </c>
      <c r="U2801" t="n">
        <v>67</v>
      </c>
      <c r="V2801" t="n">
        <v>30</v>
      </c>
      <c r="W2801" t="n">
        <v>93</v>
      </c>
      <c r="X2801" t="n">
        <v>4.565167769915544</v>
      </c>
      <c r="Y2801" t="n">
        <v>1</v>
      </c>
      <c r="Z2801" t="n">
        <v>79</v>
      </c>
      <c r="AA2801" t="n">
        <v>5</v>
      </c>
      <c r="AB2801" t="n">
        <v>74</v>
      </c>
      <c r="AC2801" t="n">
        <v>74</v>
      </c>
      <c r="AD2801" t="n">
        <v>53075</v>
      </c>
      <c r="AE2801" t="n">
        <v>785510</v>
      </c>
      <c r="AF2801" t="n">
        <v>2666</v>
      </c>
      <c r="AG2801" t="n">
        <v>104</v>
      </c>
      <c r="AH2801" t="inlineStr">
        <is>
          <t>PT. ASIA PARAMITA - PPN (PDG)</t>
        </is>
      </c>
      <c r="AI2801" t="n">
        <v>1455</v>
      </c>
      <c r="AJ2801" t="inlineStr">
        <is>
          <t>LOVILLEA</t>
        </is>
      </c>
      <c r="AK2801" t="n">
        <v>21</v>
      </c>
      <c r="AL2801" t="inlineStr">
        <is>
          <t>Miss Glam Damar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LOVILLEA</t>
        </is>
      </c>
      <c r="B2802" s="2">
        <f>"8992222111201"</f>
        <v/>
      </c>
      <c r="C2802" t="inlineStr">
        <is>
          <t>LOVILLEA Hijab Mood Eau De Parfum Delight Peony 100ml</t>
        </is>
      </c>
      <c r="D2802" t="inlineStr">
        <is>
          <t>Miss Glam Damar</t>
        </is>
      </c>
      <c r="E2802" t="n">
        <v>3</v>
      </c>
      <c r="F2802" t="n">
        <v>0.1729</v>
      </c>
      <c r="G2802" t="n">
        <v>1.82</v>
      </c>
      <c r="H2802" t="n">
        <v>2</v>
      </c>
      <c r="I2802" t="n">
        <v>6</v>
      </c>
      <c r="J2802" t="n">
        <v>3</v>
      </c>
      <c r="K2802" t="n">
        <v>0</v>
      </c>
      <c r="L2802" t="n">
        <v>22867</v>
      </c>
      <c r="M2802" t="n">
        <v>27000</v>
      </c>
      <c r="N2802" t="n">
        <v>91</v>
      </c>
      <c r="O2802" t="n">
        <v>0.91</v>
      </c>
      <c r="P2802" t="n">
        <v>1</v>
      </c>
      <c r="Q2802" t="n">
        <v>0.08</v>
      </c>
      <c r="R2802" t="n">
        <v>2</v>
      </c>
      <c r="S2802" t="n">
        <v>4668.3</v>
      </c>
      <c r="T2802" t="n">
        <v>11</v>
      </c>
      <c r="U2802" t="n">
        <v>12</v>
      </c>
      <c r="V2802" t="n">
        <v>30</v>
      </c>
      <c r="W2802" t="n">
        <v>6</v>
      </c>
      <c r="X2802" t="n">
        <v>17.35106998264893</v>
      </c>
      <c r="Y2802" t="n">
        <v>1</v>
      </c>
      <c r="Z2802" t="n">
        <v>3</v>
      </c>
      <c r="AA2802" t="n">
        <v>0</v>
      </c>
      <c r="AB2802" t="n">
        <v>3</v>
      </c>
      <c r="AC2802" t="n">
        <v>3</v>
      </c>
      <c r="AD2802" t="n">
        <v>0</v>
      </c>
      <c r="AE2802" t="n">
        <v>68601</v>
      </c>
      <c r="AF2802" t="n">
        <v>2666</v>
      </c>
      <c r="AG2802" t="n">
        <v>104</v>
      </c>
      <c r="AH2802" t="inlineStr">
        <is>
          <t>PT. ASIA PARAMITA - PPN (PDG)</t>
        </is>
      </c>
      <c r="AI2802" t="n">
        <v>1455</v>
      </c>
      <c r="AJ2802" t="inlineStr">
        <is>
          <t>LOVILLEA</t>
        </is>
      </c>
      <c r="AK2802" t="n">
        <v>21</v>
      </c>
      <c r="AL2802" t="inlineStr">
        <is>
          <t>Miss Glam Damar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LOVILLEA</t>
        </is>
      </c>
      <c r="B2803" s="2">
        <f>"8992222111188"</f>
        <v/>
      </c>
      <c r="C2803" t="inlineStr">
        <is>
          <t>LOVILLEA Hijab Mood Eau De Parfum Joyful Berry 100ml</t>
        </is>
      </c>
      <c r="D2803" t="inlineStr">
        <is>
          <t>Miss Glam Damar</t>
        </is>
      </c>
      <c r="E2803" t="n">
        <v>7</v>
      </c>
      <c r="F2803" t="n">
        <v>0.3276</v>
      </c>
      <c r="G2803" t="n">
        <v>1.82</v>
      </c>
      <c r="H2803" t="n">
        <v>2</v>
      </c>
      <c r="I2803" t="n">
        <v>6</v>
      </c>
      <c r="J2803" t="n">
        <v>3</v>
      </c>
      <c r="K2803" t="n">
        <v>0</v>
      </c>
      <c r="L2803" t="n">
        <v>22867</v>
      </c>
      <c r="M2803" t="n">
        <v>27000</v>
      </c>
      <c r="N2803" t="n">
        <v>91</v>
      </c>
      <c r="O2803" t="n">
        <v>0.91</v>
      </c>
      <c r="P2803" t="n">
        <v>1</v>
      </c>
      <c r="Q2803" t="n">
        <v>0.22</v>
      </c>
      <c r="R2803" t="n">
        <v>1</v>
      </c>
      <c r="S2803" t="n">
        <v>8845.200000000001</v>
      </c>
      <c r="T2803" t="n">
        <v>11</v>
      </c>
      <c r="U2803" t="n">
        <v>12</v>
      </c>
      <c r="V2803" t="n">
        <v>30</v>
      </c>
      <c r="W2803" t="n">
        <v>10</v>
      </c>
      <c r="X2803" t="n">
        <v>21.36752136752137</v>
      </c>
      <c r="Y2803" t="n">
        <v>1</v>
      </c>
      <c r="Z2803" t="n">
        <v>3</v>
      </c>
      <c r="AA2803" t="n">
        <v>0</v>
      </c>
      <c r="AB2803" t="n">
        <v>3</v>
      </c>
      <c r="AC2803" t="n">
        <v>3</v>
      </c>
      <c r="AD2803" t="n">
        <v>0</v>
      </c>
      <c r="AE2803" t="n">
        <v>68601</v>
      </c>
      <c r="AF2803" t="n">
        <v>2666</v>
      </c>
      <c r="AG2803" t="n">
        <v>104</v>
      </c>
      <c r="AH2803" t="inlineStr">
        <is>
          <t>PT. ASIA PARAMITA - PPN (PDG)</t>
        </is>
      </c>
      <c r="AI2803" t="n">
        <v>1455</v>
      </c>
      <c r="AJ2803" t="inlineStr">
        <is>
          <t>LOVILLEA</t>
        </is>
      </c>
      <c r="AK2803" t="n">
        <v>21</v>
      </c>
      <c r="AL2803" t="inlineStr">
        <is>
          <t>Miss Glam Damar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LOVILLEA</t>
        </is>
      </c>
      <c r="B2804" s="2">
        <f>"8992222111195"</f>
        <v/>
      </c>
      <c r="C2804" t="inlineStr">
        <is>
          <t>LOVILLEA Hijab Mood Eau De Parfum Lively Orange 100ml</t>
        </is>
      </c>
      <c r="D2804" t="inlineStr">
        <is>
          <t>Miss Glam Damar</t>
        </is>
      </c>
      <c r="E2804" t="n">
        <v>5</v>
      </c>
      <c r="F2804" t="n">
        <v>0.04550000000000001</v>
      </c>
      <c r="G2804" t="n">
        <v>0.91</v>
      </c>
      <c r="H2804" t="n">
        <v>2</v>
      </c>
      <c r="I2804" t="n">
        <v>6</v>
      </c>
      <c r="J2804" t="n">
        <v>3</v>
      </c>
      <c r="K2804" t="n">
        <v>0</v>
      </c>
      <c r="L2804" t="n">
        <v>22050</v>
      </c>
      <c r="M2804" t="n">
        <v>27000</v>
      </c>
      <c r="N2804" t="n">
        <v>91</v>
      </c>
      <c r="O2804" t="n">
        <v>0.91</v>
      </c>
      <c r="P2804" t="n">
        <v>1</v>
      </c>
      <c r="Q2804" t="n">
        <v>0.03</v>
      </c>
      <c r="R2804" t="n">
        <v>1</v>
      </c>
      <c r="S2804" t="n">
        <v>1228.5</v>
      </c>
      <c r="T2804" t="n">
        <v>6</v>
      </c>
      <c r="U2804" t="n">
        <v>7</v>
      </c>
      <c r="V2804" t="n">
        <v>30</v>
      </c>
      <c r="W2804" t="n">
        <v>2</v>
      </c>
      <c r="X2804" t="n">
        <v>109.8901098901099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2666</v>
      </c>
      <c r="AG2804" t="n">
        <v>104</v>
      </c>
      <c r="AH2804" t="inlineStr">
        <is>
          <t>PT. ASIA PARAMITA - PPN (PDG)</t>
        </is>
      </c>
      <c r="AI2804" t="n">
        <v>1455</v>
      </c>
      <c r="AJ2804" t="inlineStr">
        <is>
          <t>LOVILLEA</t>
        </is>
      </c>
      <c r="AK2804" t="n">
        <v>21</v>
      </c>
      <c r="AL2804" t="inlineStr">
        <is>
          <t>Miss Glam Damar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LOVILLEA</t>
        </is>
      </c>
      <c r="B2805" s="2">
        <f>"10700340320"</f>
        <v/>
      </c>
      <c r="C2805" t="inlineStr">
        <is>
          <t>LOVILLEA Lippy Balm Blushy Red 10gr</t>
        </is>
      </c>
      <c r="D2805" t="inlineStr">
        <is>
          <t>Miss Glam Damar</t>
        </is>
      </c>
      <c r="E2805" t="n">
        <v>3</v>
      </c>
      <c r="F2805" t="n">
        <v>0.3731</v>
      </c>
      <c r="G2805" t="n">
        <v>2.73</v>
      </c>
      <c r="H2805" t="n">
        <v>2</v>
      </c>
      <c r="I2805" t="n">
        <v>6</v>
      </c>
      <c r="J2805" t="n">
        <v>1</v>
      </c>
      <c r="K2805" t="n">
        <v>0</v>
      </c>
      <c r="L2805" t="n">
        <v>19600</v>
      </c>
      <c r="M2805" t="n">
        <v>25000</v>
      </c>
      <c r="N2805" t="n">
        <v>91</v>
      </c>
      <c r="O2805" t="n">
        <v>0.91</v>
      </c>
      <c r="P2805" t="n">
        <v>1</v>
      </c>
      <c r="Q2805" t="n">
        <v>0.46</v>
      </c>
      <c r="R2805" t="n">
        <v>3</v>
      </c>
      <c r="S2805" t="n">
        <v>9327.5</v>
      </c>
      <c r="T2805" t="n">
        <v>16</v>
      </c>
      <c r="U2805" t="n">
        <v>17</v>
      </c>
      <c r="V2805" t="n">
        <v>30</v>
      </c>
      <c r="W2805" t="n">
        <v>12</v>
      </c>
      <c r="X2805" t="n">
        <v>8.040739748056822</v>
      </c>
      <c r="Y2805" t="n">
        <v>1</v>
      </c>
      <c r="Z2805" t="n">
        <v>9</v>
      </c>
      <c r="AA2805" t="n">
        <v>0</v>
      </c>
      <c r="AB2805" t="n">
        <v>9</v>
      </c>
      <c r="AC2805" t="n">
        <v>9</v>
      </c>
      <c r="AD2805" t="n">
        <v>0</v>
      </c>
      <c r="AE2805" t="n">
        <v>176400</v>
      </c>
      <c r="AF2805" t="n">
        <v>2666</v>
      </c>
      <c r="AG2805" t="n">
        <v>104</v>
      </c>
      <c r="AH2805" t="inlineStr">
        <is>
          <t>PT. ASIA PARAMITA - PPN (PDG)</t>
        </is>
      </c>
      <c r="AI2805" t="n">
        <v>1455</v>
      </c>
      <c r="AJ2805" t="inlineStr">
        <is>
          <t>LOVILLEA</t>
        </is>
      </c>
      <c r="AK2805" t="n">
        <v>21</v>
      </c>
      <c r="AL2805" t="inlineStr">
        <is>
          <t>Miss Glam Damar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LOVILLEA</t>
        </is>
      </c>
      <c r="B2806" s="2">
        <f>"10700340521"</f>
        <v/>
      </c>
      <c r="C2806" t="inlineStr">
        <is>
          <t>LOVILLEA Lippy Balm Pure Natural 10gr</t>
        </is>
      </c>
      <c r="D2806" t="inlineStr">
        <is>
          <t>Miss Glam Damar</t>
        </is>
      </c>
      <c r="E2806" t="n">
        <v>5</v>
      </c>
      <c r="F2806" t="n">
        <v>0.04550000000000001</v>
      </c>
      <c r="G2806" t="n">
        <v>0.91</v>
      </c>
      <c r="H2806" t="n">
        <v>2</v>
      </c>
      <c r="I2806" t="n">
        <v>6</v>
      </c>
      <c r="J2806" t="n">
        <v>1</v>
      </c>
      <c r="K2806" t="n">
        <v>0</v>
      </c>
      <c r="L2806" t="n">
        <v>19600</v>
      </c>
      <c r="M2806" t="n">
        <v>25000</v>
      </c>
      <c r="N2806" t="n">
        <v>91</v>
      </c>
      <c r="O2806" t="n">
        <v>0.91</v>
      </c>
      <c r="P2806" t="n">
        <v>1</v>
      </c>
      <c r="Q2806" t="n">
        <v>0.07000000000000001</v>
      </c>
      <c r="R2806" t="n">
        <v>1</v>
      </c>
      <c r="S2806" t="n">
        <v>1137.5</v>
      </c>
      <c r="T2806" t="n">
        <v>6</v>
      </c>
      <c r="U2806" t="n">
        <v>7</v>
      </c>
      <c r="V2806" t="n">
        <v>30</v>
      </c>
      <c r="W2806" t="n">
        <v>2</v>
      </c>
      <c r="X2806" t="n">
        <v>109.8901098901099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2666</v>
      </c>
      <c r="AG2806" t="n">
        <v>104</v>
      </c>
      <c r="AH2806" t="inlineStr">
        <is>
          <t>PT. ASIA PARAMITA - PPN (PDG)</t>
        </is>
      </c>
      <c r="AI2806" t="n">
        <v>1455</v>
      </c>
      <c r="AJ2806" t="inlineStr">
        <is>
          <t>LOVILLEA</t>
        </is>
      </c>
      <c r="AK2806" t="n">
        <v>21</v>
      </c>
      <c r="AL2806" t="inlineStr">
        <is>
          <t>Miss Glam Damar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LOVILLEA</t>
        </is>
      </c>
      <c r="B2807" s="2">
        <f>"10700340248"</f>
        <v/>
      </c>
      <c r="C2807" t="inlineStr">
        <is>
          <t>LOVILLEA Lippy Balm Rose Pink 10gr</t>
        </is>
      </c>
      <c r="D2807" t="inlineStr">
        <is>
          <t>Miss Glam Damar</t>
        </is>
      </c>
      <c r="E2807" t="n">
        <v>7</v>
      </c>
      <c r="F2807" t="n">
        <v>0.2821</v>
      </c>
      <c r="G2807" t="n">
        <v>2.73</v>
      </c>
      <c r="H2807" t="n">
        <v>2</v>
      </c>
      <c r="I2807" t="n">
        <v>6</v>
      </c>
      <c r="J2807" t="n">
        <v>1</v>
      </c>
      <c r="K2807" t="n">
        <v>0</v>
      </c>
      <c r="L2807" t="n">
        <v>19600</v>
      </c>
      <c r="M2807" t="n">
        <v>25000</v>
      </c>
      <c r="N2807" t="n">
        <v>91</v>
      </c>
      <c r="O2807" t="n">
        <v>0.91</v>
      </c>
      <c r="P2807" t="n">
        <v>1</v>
      </c>
      <c r="Q2807" t="n">
        <v>0.14</v>
      </c>
      <c r="R2807" t="n">
        <v>2</v>
      </c>
      <c r="S2807" t="n">
        <v>7052.5</v>
      </c>
      <c r="T2807" t="n">
        <v>16</v>
      </c>
      <c r="U2807" t="n">
        <v>17</v>
      </c>
      <c r="V2807" t="n">
        <v>30</v>
      </c>
      <c r="W2807" t="n">
        <v>9</v>
      </c>
      <c r="X2807" t="n">
        <v>24.81389578163772</v>
      </c>
      <c r="Y2807" t="n">
        <v>1</v>
      </c>
      <c r="Z2807" t="n">
        <v>2</v>
      </c>
      <c r="AA2807" t="n">
        <v>0</v>
      </c>
      <c r="AB2807" t="n">
        <v>2</v>
      </c>
      <c r="AC2807" t="n">
        <v>2</v>
      </c>
      <c r="AD2807" t="n">
        <v>0</v>
      </c>
      <c r="AE2807" t="n">
        <v>39200</v>
      </c>
      <c r="AF2807" t="n">
        <v>2666</v>
      </c>
      <c r="AG2807" t="n">
        <v>104</v>
      </c>
      <c r="AH2807" t="inlineStr">
        <is>
          <t>PT. ASIA PARAMITA - PPN (PDG)</t>
        </is>
      </c>
      <c r="AI2807" t="n">
        <v>1455</v>
      </c>
      <c r="AJ2807" t="inlineStr">
        <is>
          <t>LOVILLEA</t>
        </is>
      </c>
      <c r="AK2807" t="n">
        <v>21</v>
      </c>
      <c r="AL2807" t="inlineStr">
        <is>
          <t>Miss Glam Damar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LOVILLEA</t>
        </is>
      </c>
      <c r="B2808" s="2">
        <f>"10700340450"</f>
        <v/>
      </c>
      <c r="C2808" t="inlineStr">
        <is>
          <t>LOVILLEA Lippy Balm Sunny Coral 10gr</t>
        </is>
      </c>
      <c r="D2808" t="inlineStr">
        <is>
          <t>Miss Glam Damar</t>
        </is>
      </c>
      <c r="E2808" t="n">
        <v>9</v>
      </c>
      <c r="F2808" t="n">
        <v>0.03</v>
      </c>
      <c r="G2808" t="n">
        <v>1</v>
      </c>
      <c r="H2808" t="n">
        <v>2</v>
      </c>
      <c r="I2808" t="n">
        <v>6</v>
      </c>
      <c r="J2808" t="n">
        <v>1</v>
      </c>
      <c r="K2808" t="n">
        <v>0</v>
      </c>
      <c r="L2808" t="n">
        <v>19599</v>
      </c>
      <c r="M2808" t="n">
        <v>25000</v>
      </c>
      <c r="N2808" t="n">
        <v>91</v>
      </c>
      <c r="O2808" t="n">
        <v>0.91</v>
      </c>
      <c r="P2808" t="n">
        <v>0</v>
      </c>
      <c r="Q2808" t="n">
        <v>0.03</v>
      </c>
      <c r="R2808" t="n">
        <v>1</v>
      </c>
      <c r="S2808" t="n">
        <v>750</v>
      </c>
      <c r="T2808" t="n">
        <v>6</v>
      </c>
      <c r="U2808" t="n">
        <v>7</v>
      </c>
      <c r="V2808" t="n">
        <v>30</v>
      </c>
      <c r="W2808" t="n">
        <v>1</v>
      </c>
      <c r="X2808" t="n">
        <v>300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2666</v>
      </c>
      <c r="AG2808" t="n">
        <v>104</v>
      </c>
      <c r="AH2808" t="inlineStr">
        <is>
          <t>PT. ASIA PARAMITA - PPN (PDG)</t>
        </is>
      </c>
      <c r="AI2808" t="n">
        <v>1455</v>
      </c>
      <c r="AJ2808" t="inlineStr">
        <is>
          <t>LOVILLEA</t>
        </is>
      </c>
      <c r="AK2808" t="n">
        <v>21</v>
      </c>
      <c r="AL2808" t="inlineStr">
        <is>
          <t>Miss Glam Damar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LOVILLEA</t>
        </is>
      </c>
      <c r="B2809" s="2">
        <f>"10700513218"</f>
        <v/>
      </c>
      <c r="C2809" t="inlineStr">
        <is>
          <t>LOVILLEA Lippy Serum Tint 01 Red Punch 3,5ml</t>
        </is>
      </c>
      <c r="D2809" t="inlineStr">
        <is>
          <t>Miss Glam Damar</t>
        </is>
      </c>
      <c r="E2809" t="n">
        <v>8</v>
      </c>
      <c r="F2809" t="n">
        <v>0.1274</v>
      </c>
      <c r="G2809" t="n">
        <v>1.82</v>
      </c>
      <c r="H2809" t="n">
        <v>2</v>
      </c>
      <c r="I2809" t="n">
        <v>6</v>
      </c>
      <c r="J2809" t="n">
        <v>1</v>
      </c>
      <c r="K2809" t="n">
        <v>0</v>
      </c>
      <c r="L2809" t="n">
        <v>24500</v>
      </c>
      <c r="M2809" t="n">
        <v>31500</v>
      </c>
      <c r="N2809" t="n">
        <v>91</v>
      </c>
      <c r="O2809" t="n">
        <v>0.91</v>
      </c>
      <c r="P2809" t="n">
        <v>1</v>
      </c>
      <c r="Q2809" t="n">
        <v>0.15</v>
      </c>
      <c r="R2809" t="n">
        <v>2</v>
      </c>
      <c r="S2809" t="n">
        <v>4013.1</v>
      </c>
      <c r="T2809" t="n">
        <v>11</v>
      </c>
      <c r="U2809" t="n">
        <v>12</v>
      </c>
      <c r="V2809" t="n">
        <v>30</v>
      </c>
      <c r="W2809" t="n">
        <v>4</v>
      </c>
      <c r="X2809" t="n">
        <v>62.79434850863422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2666</v>
      </c>
      <c r="AG2809" t="n">
        <v>104</v>
      </c>
      <c r="AH2809" t="inlineStr">
        <is>
          <t>PT. ASIA PARAMITA - PPN (PDG)</t>
        </is>
      </c>
      <c r="AI2809" t="n">
        <v>1455</v>
      </c>
      <c r="AJ2809" t="inlineStr">
        <is>
          <t>LOVILLEA</t>
        </is>
      </c>
      <c r="AK2809" t="n">
        <v>21</v>
      </c>
      <c r="AL2809" t="inlineStr">
        <is>
          <t>Miss Glam Damar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LOVILLEA</t>
        </is>
      </c>
      <c r="B2810" s="2">
        <f>"10700513343"</f>
        <v/>
      </c>
      <c r="C2810" t="inlineStr">
        <is>
          <t>LOVILLEA Lippy Serum Tint 02 Plum Sweet 3,5ml</t>
        </is>
      </c>
      <c r="D2810" t="inlineStr">
        <is>
          <t>Miss Glam Damar</t>
        </is>
      </c>
      <c r="E2810" t="n">
        <v>6</v>
      </c>
      <c r="F2810" t="n">
        <v>0.182</v>
      </c>
      <c r="G2810" t="n">
        <v>2.73</v>
      </c>
      <c r="H2810" t="n">
        <v>2</v>
      </c>
      <c r="I2810" t="n">
        <v>6</v>
      </c>
      <c r="J2810" t="n">
        <v>1</v>
      </c>
      <c r="K2810" t="n">
        <v>0</v>
      </c>
      <c r="L2810" t="n">
        <v>24500</v>
      </c>
      <c r="M2810" t="n">
        <v>31500</v>
      </c>
      <c r="N2810" t="n">
        <v>91</v>
      </c>
      <c r="O2810" t="n">
        <v>0.91</v>
      </c>
      <c r="P2810" t="n">
        <v>1</v>
      </c>
      <c r="Q2810" t="n">
        <v>0.19</v>
      </c>
      <c r="R2810" t="n">
        <v>1</v>
      </c>
      <c r="S2810" t="n">
        <v>5733.000000000001</v>
      </c>
      <c r="T2810" t="n">
        <v>17</v>
      </c>
      <c r="U2810" t="n">
        <v>18</v>
      </c>
      <c r="V2810" t="n">
        <v>30</v>
      </c>
      <c r="W2810" t="n">
        <v>6</v>
      </c>
      <c r="X2810" t="n">
        <v>32.96703296703296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2666</v>
      </c>
      <c r="AG2810" t="n">
        <v>104</v>
      </c>
      <c r="AH2810" t="inlineStr">
        <is>
          <t>PT. ASIA PARAMITA - PPN (PDG)</t>
        </is>
      </c>
      <c r="AI2810" t="n">
        <v>1455</v>
      </c>
      <c r="AJ2810" t="inlineStr">
        <is>
          <t>LOVILLEA</t>
        </is>
      </c>
      <c r="AK2810" t="n">
        <v>21</v>
      </c>
      <c r="AL2810" t="inlineStr">
        <is>
          <t>Miss Glam Damar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LOVILLEA</t>
        </is>
      </c>
      <c r="B2811" s="2">
        <f>"10700513413"</f>
        <v/>
      </c>
      <c r="C2811" t="inlineStr">
        <is>
          <t>LOVILLEA Lippy Serum Tint 03 Mauve Lovey 3,5ml</t>
        </is>
      </c>
      <c r="D2811" t="inlineStr">
        <is>
          <t>Miss Glam Damar</t>
        </is>
      </c>
      <c r="E2811" t="n">
        <v>11</v>
      </c>
      <c r="F2811" t="n">
        <v>0.2457</v>
      </c>
      <c r="G2811" t="n">
        <v>1.82</v>
      </c>
      <c r="H2811" t="n">
        <v>2</v>
      </c>
      <c r="I2811" t="n">
        <v>6</v>
      </c>
      <c r="J2811" t="n">
        <v>1</v>
      </c>
      <c r="K2811" t="n">
        <v>0</v>
      </c>
      <c r="L2811" t="n">
        <v>24500</v>
      </c>
      <c r="M2811" t="n">
        <v>31500</v>
      </c>
      <c r="N2811" t="n">
        <v>91</v>
      </c>
      <c r="O2811" t="n">
        <v>0.91</v>
      </c>
      <c r="P2811" t="n">
        <v>1</v>
      </c>
      <c r="Q2811" t="n">
        <v>0.22</v>
      </c>
      <c r="R2811" t="n">
        <v>2</v>
      </c>
      <c r="S2811" t="n">
        <v>7739.550000000001</v>
      </c>
      <c r="T2811" t="n">
        <v>11</v>
      </c>
      <c r="U2811" t="n">
        <v>12</v>
      </c>
      <c r="V2811" t="n">
        <v>30</v>
      </c>
      <c r="W2811" t="n">
        <v>8</v>
      </c>
      <c r="X2811" t="n">
        <v>44.77004477004476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2666</v>
      </c>
      <c r="AG2811" t="n">
        <v>104</v>
      </c>
      <c r="AH2811" t="inlineStr">
        <is>
          <t>PT. ASIA PARAMITA - PPN (PDG)</t>
        </is>
      </c>
      <c r="AI2811" t="n">
        <v>1455</v>
      </c>
      <c r="AJ2811" t="inlineStr">
        <is>
          <t>LOVILLEA</t>
        </is>
      </c>
      <c r="AK2811" t="n">
        <v>21</v>
      </c>
      <c r="AL2811" t="inlineStr">
        <is>
          <t>Miss Glam Damar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LOVILLEA</t>
        </is>
      </c>
      <c r="B2812" s="2">
        <f>"10700513551"</f>
        <v/>
      </c>
      <c r="C2812" t="inlineStr">
        <is>
          <t>LOVILLEA Lippy Serum Tint 04 Pink Crush 3,5ml</t>
        </is>
      </c>
      <c r="D2812" t="inlineStr">
        <is>
          <t>Miss Glam Damar</t>
        </is>
      </c>
      <c r="E2812" t="n">
        <v>6</v>
      </c>
      <c r="F2812" t="n">
        <v>0.1547</v>
      </c>
      <c r="G2812" t="n">
        <v>0.91</v>
      </c>
      <c r="H2812" t="n">
        <v>2</v>
      </c>
      <c r="I2812" t="n">
        <v>6</v>
      </c>
      <c r="J2812" t="n">
        <v>1</v>
      </c>
      <c r="K2812" t="n">
        <v>0</v>
      </c>
      <c r="L2812" t="n">
        <v>24500</v>
      </c>
      <c r="M2812" t="n">
        <v>31500</v>
      </c>
      <c r="N2812" t="n">
        <v>91</v>
      </c>
      <c r="O2812" t="n">
        <v>0.91</v>
      </c>
      <c r="P2812" t="n">
        <v>1</v>
      </c>
      <c r="Q2812" t="n">
        <v>0.19</v>
      </c>
      <c r="R2812" t="n">
        <v>2</v>
      </c>
      <c r="S2812" t="n">
        <v>4873.05</v>
      </c>
      <c r="T2812" t="n">
        <v>6</v>
      </c>
      <c r="U2812" t="n">
        <v>7</v>
      </c>
      <c r="V2812" t="n">
        <v>30</v>
      </c>
      <c r="W2812" t="n">
        <v>5</v>
      </c>
      <c r="X2812" t="n">
        <v>38.78474466709761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2666</v>
      </c>
      <c r="AG2812" t="n">
        <v>104</v>
      </c>
      <c r="AH2812" t="inlineStr">
        <is>
          <t>PT. ASIA PARAMITA - PPN (PDG)</t>
        </is>
      </c>
      <c r="AI2812" t="n">
        <v>1455</v>
      </c>
      <c r="AJ2812" t="inlineStr">
        <is>
          <t>LOVILLEA</t>
        </is>
      </c>
      <c r="AK2812" t="n">
        <v>21</v>
      </c>
      <c r="AL2812" t="inlineStr">
        <is>
          <t>Miss Glam Damar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LOVILLEA</t>
        </is>
      </c>
      <c r="B2813" s="2">
        <f>"10700513616"</f>
        <v/>
      </c>
      <c r="C2813" t="inlineStr">
        <is>
          <t>LOVILLEA Lippy Serum Tint 05 Coral Charm 3,5ml</t>
        </is>
      </c>
      <c r="D2813" t="inlineStr">
        <is>
          <t>Miss Glam Damar</t>
        </is>
      </c>
      <c r="E2813" t="n">
        <v>5</v>
      </c>
      <c r="F2813" t="n">
        <v>0.04550000000000001</v>
      </c>
      <c r="G2813" t="n">
        <v>0.91</v>
      </c>
      <c r="H2813" t="n">
        <v>2</v>
      </c>
      <c r="I2813" t="n">
        <v>6</v>
      </c>
      <c r="J2813" t="n">
        <v>1</v>
      </c>
      <c r="K2813" t="n">
        <v>0</v>
      </c>
      <c r="L2813" t="n">
        <v>24499</v>
      </c>
      <c r="M2813" t="n">
        <v>31500</v>
      </c>
      <c r="N2813" t="n">
        <v>91</v>
      </c>
      <c r="O2813" t="n">
        <v>0.91</v>
      </c>
      <c r="P2813" t="n">
        <v>1</v>
      </c>
      <c r="Q2813" t="n">
        <v>0.07000000000000001</v>
      </c>
      <c r="R2813" t="n">
        <v>1</v>
      </c>
      <c r="S2813" t="n">
        <v>1433.25</v>
      </c>
      <c r="T2813" t="n">
        <v>6</v>
      </c>
      <c r="U2813" t="n">
        <v>7</v>
      </c>
      <c r="V2813" t="n">
        <v>30</v>
      </c>
      <c r="W2813" t="n">
        <v>2</v>
      </c>
      <c r="X2813" t="n">
        <v>109.8901098901099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2666</v>
      </c>
      <c r="AG2813" t="n">
        <v>104</v>
      </c>
      <c r="AH2813" t="inlineStr">
        <is>
          <t>PT. ASIA PARAMITA - PPN (PDG)</t>
        </is>
      </c>
      <c r="AI2813" t="n">
        <v>1455</v>
      </c>
      <c r="AJ2813" t="inlineStr">
        <is>
          <t>LOVILLEA</t>
        </is>
      </c>
      <c r="AK2813" t="n">
        <v>21</v>
      </c>
      <c r="AL2813" t="inlineStr">
        <is>
          <t>Miss Glam Damar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LOVILLEA</t>
        </is>
      </c>
      <c r="B2814" s="2">
        <f>"30400361614"</f>
        <v/>
      </c>
      <c r="C2814" t="inlineStr">
        <is>
          <t>LOVILLEA Love Language Eau De Parfum Special Moment 100ml</t>
        </is>
      </c>
      <c r="D2814" t="inlineStr">
        <is>
          <t>Miss Glam Damar</t>
        </is>
      </c>
      <c r="E2814" t="n">
        <v>10</v>
      </c>
      <c r="F2814" t="n">
        <v>0.06370000000000001</v>
      </c>
      <c r="G2814" t="n">
        <v>0.91</v>
      </c>
      <c r="H2814" t="n">
        <v>2</v>
      </c>
      <c r="I2814" t="n">
        <v>6</v>
      </c>
      <c r="J2814" t="n">
        <v>1</v>
      </c>
      <c r="K2814" t="n">
        <v>0</v>
      </c>
      <c r="L2814" t="n">
        <v>20947</v>
      </c>
      <c r="M2814" t="n">
        <v>28000</v>
      </c>
      <c r="N2814" t="n">
        <v>91</v>
      </c>
      <c r="O2814" t="n">
        <v>0.91</v>
      </c>
      <c r="P2814" t="n">
        <v>1</v>
      </c>
      <c r="Q2814" t="n">
        <v>0.03</v>
      </c>
      <c r="R2814" t="n">
        <v>1</v>
      </c>
      <c r="S2814" t="n">
        <v>1783.6</v>
      </c>
      <c r="T2814" t="n">
        <v>6</v>
      </c>
      <c r="U2814" t="n">
        <v>7</v>
      </c>
      <c r="V2814" t="n">
        <v>30</v>
      </c>
      <c r="W2814" t="n">
        <v>2</v>
      </c>
      <c r="X2814" t="n">
        <v>156.9858712715856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2666</v>
      </c>
      <c r="AG2814" t="n">
        <v>104</v>
      </c>
      <c r="AH2814" t="inlineStr">
        <is>
          <t>PT. ASIA PARAMITA - PPN (PDG)</t>
        </is>
      </c>
      <c r="AI2814" t="n">
        <v>1455</v>
      </c>
      <c r="AJ2814" t="inlineStr">
        <is>
          <t>LOVILLEA</t>
        </is>
      </c>
      <c r="AK2814" t="n">
        <v>21</v>
      </c>
      <c r="AL2814" t="inlineStr">
        <is>
          <t>Miss Glam Damar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LOVILLEA</t>
        </is>
      </c>
      <c r="B2815" s="2">
        <f>"10400618730"</f>
        <v/>
      </c>
      <c r="C2815" t="inlineStr">
        <is>
          <t>LOVILLEA Sunscreen Sun Glow Guard 30gr</t>
        </is>
      </c>
      <c r="D2815" t="inlineStr">
        <is>
          <t>Miss Glam Damar</t>
        </is>
      </c>
      <c r="E2815" t="n">
        <v>8</v>
      </c>
      <c r="F2815" t="n">
        <v>0.182</v>
      </c>
      <c r="G2815" t="n">
        <v>1.82</v>
      </c>
      <c r="H2815" t="n">
        <v>2</v>
      </c>
      <c r="I2815" t="n">
        <v>6</v>
      </c>
      <c r="J2815" t="n">
        <v>1</v>
      </c>
      <c r="K2815" t="n">
        <v>0</v>
      </c>
      <c r="L2815" t="n">
        <v>23683</v>
      </c>
      <c r="M2815" t="n">
        <v>28000</v>
      </c>
      <c r="N2815" t="n">
        <v>91</v>
      </c>
      <c r="O2815" t="n">
        <v>0.91</v>
      </c>
      <c r="P2815" t="n">
        <v>1</v>
      </c>
      <c r="Q2815" t="n">
        <v>0.31</v>
      </c>
      <c r="R2815" t="n">
        <v>2</v>
      </c>
      <c r="S2815" t="n">
        <v>5096.000000000001</v>
      </c>
      <c r="T2815" t="n">
        <v>11</v>
      </c>
      <c r="U2815" t="n">
        <v>12</v>
      </c>
      <c r="V2815" t="n">
        <v>30</v>
      </c>
      <c r="W2815" t="n">
        <v>6</v>
      </c>
      <c r="X2815" t="n">
        <v>43.95604395604395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2666</v>
      </c>
      <c r="AG2815" t="n">
        <v>104</v>
      </c>
      <c r="AH2815" t="inlineStr">
        <is>
          <t>PT. ASIA PARAMITA - PPN (PDG)</t>
        </is>
      </c>
      <c r="AI2815" t="n">
        <v>1455</v>
      </c>
      <c r="AJ2815" t="inlineStr">
        <is>
          <t>LOVILLEA</t>
        </is>
      </c>
      <c r="AK2815" t="n">
        <v>21</v>
      </c>
      <c r="AL2815" t="inlineStr">
        <is>
          <t>Miss Glam Damar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LOVILLEA</t>
        </is>
      </c>
      <c r="B2816" s="2">
        <f>"20100576101"</f>
        <v/>
      </c>
      <c r="C2816" t="inlineStr">
        <is>
          <t>LOVILLEA Velvety Bright Compact Powder 01 Silky Beige 9gr</t>
        </is>
      </c>
      <c r="D2816" t="inlineStr">
        <is>
          <t>Miss Glam Damar</t>
        </is>
      </c>
      <c r="E2816" t="n">
        <v>8</v>
      </c>
      <c r="F2816" t="n">
        <v>0.1547</v>
      </c>
      <c r="G2816" t="n">
        <v>2.73</v>
      </c>
      <c r="H2816" t="n">
        <v>2</v>
      </c>
      <c r="I2816" t="n">
        <v>6</v>
      </c>
      <c r="J2816" t="n">
        <v>1</v>
      </c>
      <c r="K2816" t="n">
        <v>0</v>
      </c>
      <c r="L2816" t="n">
        <v>19599</v>
      </c>
      <c r="M2816" t="n">
        <v>25000</v>
      </c>
      <c r="N2816" t="n">
        <v>91</v>
      </c>
      <c r="O2816" t="n">
        <v>0.91</v>
      </c>
      <c r="P2816" t="n">
        <v>1</v>
      </c>
      <c r="Q2816" t="n">
        <v>0.02</v>
      </c>
      <c r="R2816" t="n">
        <v>0</v>
      </c>
      <c r="S2816" t="n">
        <v>3867.5</v>
      </c>
      <c r="T2816" t="n">
        <v>17</v>
      </c>
      <c r="U2816" t="n">
        <v>18</v>
      </c>
      <c r="V2816" t="n">
        <v>30</v>
      </c>
      <c r="W2816" t="n">
        <v>5</v>
      </c>
      <c r="X2816" t="n">
        <v>51.71299288946348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2666</v>
      </c>
      <c r="AG2816" t="n">
        <v>104</v>
      </c>
      <c r="AH2816" t="inlineStr">
        <is>
          <t>PT. ASIA PARAMITA - PPN (PDG)</t>
        </is>
      </c>
      <c r="AI2816" t="n">
        <v>1455</v>
      </c>
      <c r="AJ2816" t="inlineStr">
        <is>
          <t>LOVILLEA</t>
        </is>
      </c>
      <c r="AK2816" t="n">
        <v>21</v>
      </c>
      <c r="AL2816" t="inlineStr">
        <is>
          <t>Miss Glam Damar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LT-PRO</t>
        </is>
      </c>
      <c r="B2817" s="2">
        <f>"8998113330195"</f>
        <v/>
      </c>
      <c r="C2817" t="inlineStr">
        <is>
          <t>LT PRO Smooth Correcting Plum Rose 15gr</t>
        </is>
      </c>
      <c r="D2817" t="inlineStr">
        <is>
          <t>Miss Glam Damar</t>
        </is>
      </c>
      <c r="E2817" t="n">
        <v>6</v>
      </c>
      <c r="F2817" t="n">
        <v>0.04550000000000001</v>
      </c>
      <c r="G2817" t="n">
        <v>0.91</v>
      </c>
      <c r="H2817" t="n">
        <v>3</v>
      </c>
      <c r="I2817" t="n">
        <v>11</v>
      </c>
      <c r="J2817" t="n">
        <v>3</v>
      </c>
      <c r="K2817" t="n">
        <v>0</v>
      </c>
      <c r="L2817" t="n">
        <v>127500</v>
      </c>
      <c r="M2817" t="n">
        <v>155000</v>
      </c>
      <c r="N2817" t="n">
        <v>91</v>
      </c>
      <c r="O2817" t="n">
        <v>0.91</v>
      </c>
      <c r="P2817" t="n">
        <v>1</v>
      </c>
      <c r="Q2817" t="n">
        <v>0.05</v>
      </c>
      <c r="R2817" t="n">
        <v>1</v>
      </c>
      <c r="S2817" t="n">
        <v>7052.500000000001</v>
      </c>
      <c r="T2817" t="n">
        <v>10</v>
      </c>
      <c r="U2817" t="n">
        <v>11</v>
      </c>
      <c r="V2817" t="n">
        <v>30</v>
      </c>
      <c r="W2817" t="n">
        <v>2</v>
      </c>
      <c r="X2817" t="n">
        <v>131.8681318681319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12849</v>
      </c>
      <c r="AG2817" t="n">
        <v>2122</v>
      </c>
      <c r="AH2817" t="inlineStr">
        <is>
          <t>PT. SINAR PADANG LESTARI - PPN (PDG)</t>
        </is>
      </c>
      <c r="AI2817" t="n">
        <v>480</v>
      </c>
      <c r="AJ2817" t="inlineStr">
        <is>
          <t>LT-PRO</t>
        </is>
      </c>
      <c r="AK2817" t="n">
        <v>21</v>
      </c>
      <c r="AL2817" t="inlineStr">
        <is>
          <t>Miss Glam Damar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LT-PRO</t>
        </is>
      </c>
      <c r="B2818" s="2">
        <f>"8998113332571"</f>
        <v/>
      </c>
      <c r="C2818" t="inlineStr">
        <is>
          <t>LT PRO Smooth Corrector Cream Foundation Natural 15gr</t>
        </is>
      </c>
      <c r="D2818" t="inlineStr">
        <is>
          <t>Miss Glam Damar</t>
        </is>
      </c>
      <c r="E2818" t="n">
        <v>4</v>
      </c>
      <c r="F2818" t="n">
        <v>0.0273</v>
      </c>
      <c r="G2818" t="n">
        <v>0.91</v>
      </c>
      <c r="H2818" t="n">
        <v>3</v>
      </c>
      <c r="I2818" t="n">
        <v>11</v>
      </c>
      <c r="J2818" t="n">
        <v>3</v>
      </c>
      <c r="K2818" t="n">
        <v>0</v>
      </c>
      <c r="L2818" t="n">
        <v>127500</v>
      </c>
      <c r="M2818" t="n">
        <v>150000</v>
      </c>
      <c r="N2818" t="n">
        <v>91</v>
      </c>
      <c r="O2818" t="n">
        <v>0.91</v>
      </c>
      <c r="P2818" t="n">
        <v>1</v>
      </c>
      <c r="Q2818" t="n">
        <v>0.05</v>
      </c>
      <c r="R2818" t="n">
        <v>1</v>
      </c>
      <c r="S2818" t="n">
        <v>4095</v>
      </c>
      <c r="T2818" t="n">
        <v>10</v>
      </c>
      <c r="U2818" t="n">
        <v>11</v>
      </c>
      <c r="V2818" t="n">
        <v>30</v>
      </c>
      <c r="W2818" t="n">
        <v>1</v>
      </c>
      <c r="X2818" t="n">
        <v>146.5201465201465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12849</v>
      </c>
      <c r="AG2818" t="n">
        <v>2122</v>
      </c>
      <c r="AH2818" t="inlineStr">
        <is>
          <t>PT. SINAR PADANG LESTARI - PPN (PDG)</t>
        </is>
      </c>
      <c r="AI2818" t="n">
        <v>480</v>
      </c>
      <c r="AJ2818" t="inlineStr">
        <is>
          <t>LT-PRO</t>
        </is>
      </c>
      <c r="AK2818" t="n">
        <v>21</v>
      </c>
      <c r="AL2818" t="inlineStr">
        <is>
          <t>Miss Glam Damar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LT-PRO</t>
        </is>
      </c>
      <c r="B2819" s="2">
        <f>"8998113332588"</f>
        <v/>
      </c>
      <c r="C2819" t="inlineStr">
        <is>
          <t>LT PRO Smooth Corrector Cream Foundation Warm Beige 15gr</t>
        </is>
      </c>
      <c r="D2819" t="inlineStr">
        <is>
          <t>Miss Glam Damar</t>
        </is>
      </c>
      <c r="E2819" t="n">
        <v>1</v>
      </c>
      <c r="F2819" t="n">
        <v>0.02</v>
      </c>
      <c r="G2819" t="n">
        <v>1</v>
      </c>
      <c r="H2819" t="n">
        <v>3</v>
      </c>
      <c r="I2819" t="n">
        <v>11</v>
      </c>
      <c r="J2819" t="n">
        <v>3</v>
      </c>
      <c r="K2819" t="n">
        <v>0</v>
      </c>
      <c r="L2819" t="n">
        <v>127500</v>
      </c>
      <c r="M2819" t="n">
        <v>150000</v>
      </c>
      <c r="N2819" t="n">
        <v>91</v>
      </c>
      <c r="O2819" t="n">
        <v>0.91</v>
      </c>
      <c r="P2819" t="n">
        <v>0</v>
      </c>
      <c r="Q2819" t="n">
        <v>0.02</v>
      </c>
      <c r="R2819" t="n">
        <v>1</v>
      </c>
      <c r="S2819" t="n">
        <v>3000</v>
      </c>
      <c r="T2819" t="n">
        <v>11</v>
      </c>
      <c r="U2819" t="n">
        <v>12</v>
      </c>
      <c r="V2819" t="n">
        <v>30</v>
      </c>
      <c r="W2819" t="n">
        <v>1</v>
      </c>
      <c r="X2819" t="n">
        <v>50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12849</v>
      </c>
      <c r="AG2819" t="n">
        <v>2122</v>
      </c>
      <c r="AH2819" t="inlineStr">
        <is>
          <t>PT. SINAR PADANG LESTARI - PPN (PDG)</t>
        </is>
      </c>
      <c r="AI2819" t="n">
        <v>480</v>
      </c>
      <c r="AJ2819" t="inlineStr">
        <is>
          <t>LT-PRO</t>
        </is>
      </c>
      <c r="AK2819" t="n">
        <v>21</v>
      </c>
      <c r="AL2819" t="inlineStr">
        <is>
          <t>Miss Glam Damar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LT-PRO</t>
        </is>
      </c>
      <c r="B2820" s="2">
        <f>"8998113330218"</f>
        <v/>
      </c>
      <c r="C2820" t="inlineStr">
        <is>
          <t>LT PRO Smooth corrector Yellow Orange 15gr</t>
        </is>
      </c>
      <c r="D2820" t="inlineStr">
        <is>
          <t>Miss Glam Damar</t>
        </is>
      </c>
      <c r="E2820" t="n">
        <v>8</v>
      </c>
      <c r="F2820" t="n">
        <v>0.1547</v>
      </c>
      <c r="G2820" t="n">
        <v>1.82</v>
      </c>
      <c r="H2820" t="n">
        <v>3</v>
      </c>
      <c r="I2820" t="n">
        <v>11</v>
      </c>
      <c r="J2820" t="n">
        <v>3</v>
      </c>
      <c r="K2820" t="n">
        <v>0</v>
      </c>
      <c r="L2820" t="n">
        <v>127500</v>
      </c>
      <c r="M2820" t="n">
        <v>150000</v>
      </c>
      <c r="N2820" t="n">
        <v>91</v>
      </c>
      <c r="O2820" t="n">
        <v>0.91</v>
      </c>
      <c r="P2820" t="n">
        <v>1</v>
      </c>
      <c r="Q2820" t="n">
        <v>0.19</v>
      </c>
      <c r="R2820" t="n">
        <v>2</v>
      </c>
      <c r="S2820" t="n">
        <v>23205</v>
      </c>
      <c r="T2820" t="n">
        <v>20</v>
      </c>
      <c r="U2820" t="n">
        <v>21</v>
      </c>
      <c r="V2820" t="n">
        <v>30</v>
      </c>
      <c r="W2820" t="n">
        <v>5</v>
      </c>
      <c r="X2820" t="n">
        <v>51.71299288946348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12849</v>
      </c>
      <c r="AG2820" t="n">
        <v>2122</v>
      </c>
      <c r="AH2820" t="inlineStr">
        <is>
          <t>PT. SINAR PADANG LESTARI - PPN (PDG)</t>
        </is>
      </c>
      <c r="AI2820" t="n">
        <v>480</v>
      </c>
      <c r="AJ2820" t="inlineStr">
        <is>
          <t>LT-PRO</t>
        </is>
      </c>
      <c r="AK2820" t="n">
        <v>21</v>
      </c>
      <c r="AL2820" t="inlineStr">
        <is>
          <t>Miss Glam Damar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LUCIDO</t>
        </is>
      </c>
      <c r="B2821" s="2">
        <f>"8992222320054"</f>
        <v/>
      </c>
      <c r="C2821" t="inlineStr">
        <is>
          <t>LUCIDO Hair Oil Spray Damaged 200ml</t>
        </is>
      </c>
      <c r="D2821" t="inlineStr">
        <is>
          <t>Miss Glam Damar</t>
        </is>
      </c>
      <c r="E2821" t="n">
        <v>1</v>
      </c>
      <c r="F2821" t="n">
        <v>0.0728</v>
      </c>
      <c r="G2821" t="n">
        <v>1.82</v>
      </c>
      <c r="H2821" t="n">
        <v>2</v>
      </c>
      <c r="I2821" t="n">
        <v>6</v>
      </c>
      <c r="J2821" t="n">
        <v>3</v>
      </c>
      <c r="K2821" t="n">
        <v>0</v>
      </c>
      <c r="L2821" t="n">
        <v>33892</v>
      </c>
      <c r="M2821" t="n">
        <v>45000</v>
      </c>
      <c r="N2821" t="n">
        <v>91</v>
      </c>
      <c r="O2821" t="n">
        <v>0.91</v>
      </c>
      <c r="P2821" t="n">
        <v>1</v>
      </c>
      <c r="Q2821" t="n">
        <v>0.08</v>
      </c>
      <c r="R2821" t="n">
        <v>1</v>
      </c>
      <c r="S2821" t="n">
        <v>3276</v>
      </c>
      <c r="T2821" t="n">
        <v>11</v>
      </c>
      <c r="U2821" t="n">
        <v>12</v>
      </c>
      <c r="V2821" t="n">
        <v>30</v>
      </c>
      <c r="W2821" t="n">
        <v>3</v>
      </c>
      <c r="X2821" t="n">
        <v>13.73626373626374</v>
      </c>
      <c r="Y2821" t="n">
        <v>1</v>
      </c>
      <c r="Z2821" t="n">
        <v>2</v>
      </c>
      <c r="AA2821" t="n">
        <v>0</v>
      </c>
      <c r="AB2821" t="n">
        <v>2</v>
      </c>
      <c r="AC2821" t="n">
        <v>3</v>
      </c>
      <c r="AD2821" t="n">
        <v>0</v>
      </c>
      <c r="AE2821" t="n">
        <v>101676</v>
      </c>
      <c r="AF2821" t="n">
        <v>2672</v>
      </c>
      <c r="AG2821" t="n">
        <v>104</v>
      </c>
      <c r="AH2821" t="inlineStr">
        <is>
          <t>PT. ASIA PARAMITA - PPN (PDG)</t>
        </is>
      </c>
      <c r="AI2821" t="n">
        <v>564</v>
      </c>
      <c r="AJ2821" t="inlineStr">
        <is>
          <t>LUCIDO</t>
        </is>
      </c>
      <c r="AK2821" t="n">
        <v>21</v>
      </c>
      <c r="AL2821" t="inlineStr">
        <is>
          <t>Miss Glam Damar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LUCIDO</t>
        </is>
      </c>
      <c r="B2822" s="2">
        <f>"8992222320146"</f>
        <v/>
      </c>
      <c r="C2822" t="inlineStr">
        <is>
          <t>LUCIDO Hair Vitamin Oil Damaged (Mini) 30ml</t>
        </is>
      </c>
      <c r="D2822" t="inlineStr">
        <is>
          <t>Miss Glam Damar</t>
        </is>
      </c>
      <c r="E2822" t="n">
        <v>7</v>
      </c>
      <c r="F2822" t="n">
        <v>0.1274</v>
      </c>
      <c r="G2822" t="n">
        <v>0.91</v>
      </c>
      <c r="H2822" t="n">
        <v>2</v>
      </c>
      <c r="I2822" t="n">
        <v>6</v>
      </c>
      <c r="J2822" t="n">
        <v>3</v>
      </c>
      <c r="K2822" t="n">
        <v>0</v>
      </c>
      <c r="L2822" t="n">
        <v>22866</v>
      </c>
      <c r="M2822" t="n">
        <v>29000</v>
      </c>
      <c r="N2822" t="n">
        <v>91</v>
      </c>
      <c r="O2822" t="n">
        <v>0.91</v>
      </c>
      <c r="P2822" t="n">
        <v>1</v>
      </c>
      <c r="Q2822" t="n">
        <v>0.29</v>
      </c>
      <c r="R2822" t="n">
        <v>3</v>
      </c>
      <c r="S2822" t="n">
        <v>3694.6</v>
      </c>
      <c r="T2822" t="n">
        <v>6</v>
      </c>
      <c r="U2822" t="n">
        <v>7</v>
      </c>
      <c r="V2822" t="n">
        <v>30</v>
      </c>
      <c r="W2822" t="n">
        <v>4</v>
      </c>
      <c r="X2822" t="n">
        <v>54.94505494505494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2672</v>
      </c>
      <c r="AG2822" t="n">
        <v>104</v>
      </c>
      <c r="AH2822" t="inlineStr">
        <is>
          <t>PT. ASIA PARAMITA - PPN (PDG)</t>
        </is>
      </c>
      <c r="AI2822" t="n">
        <v>564</v>
      </c>
      <c r="AJ2822" t="inlineStr">
        <is>
          <t>LUCIDO</t>
        </is>
      </c>
      <c r="AK2822" t="n">
        <v>21</v>
      </c>
      <c r="AL2822" t="inlineStr">
        <is>
          <t>Miss Glam Damar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LUCIDO</t>
        </is>
      </c>
      <c r="B2823" s="2">
        <f>"8992222320023"</f>
        <v/>
      </c>
      <c r="C2823" t="inlineStr">
        <is>
          <t>LUCIDO Hair Vitamin Oil Damaged 50ml</t>
        </is>
      </c>
      <c r="D2823" t="inlineStr">
        <is>
          <t>Miss Glam Damar</t>
        </is>
      </c>
      <c r="E2823" t="n">
        <v>9</v>
      </c>
      <c r="F2823" t="n">
        <v>0.2457</v>
      </c>
      <c r="G2823" t="n">
        <v>2.73</v>
      </c>
      <c r="H2823" t="n">
        <v>2</v>
      </c>
      <c r="I2823" t="n">
        <v>6</v>
      </c>
      <c r="J2823" t="n">
        <v>3</v>
      </c>
      <c r="K2823" t="n">
        <v>0</v>
      </c>
      <c r="L2823" t="n">
        <v>35524</v>
      </c>
      <c r="M2823" t="n">
        <v>44000</v>
      </c>
      <c r="N2823" t="n">
        <v>91</v>
      </c>
      <c r="O2823" t="n">
        <v>0.91</v>
      </c>
      <c r="P2823" t="n">
        <v>1</v>
      </c>
      <c r="Q2823" t="n">
        <v>0.36</v>
      </c>
      <c r="R2823" t="n">
        <v>2</v>
      </c>
      <c r="S2823" t="n">
        <v>10810.8</v>
      </c>
      <c r="T2823" t="n">
        <v>16</v>
      </c>
      <c r="U2823" t="n">
        <v>17</v>
      </c>
      <c r="V2823" t="n">
        <v>30</v>
      </c>
      <c r="W2823" t="n">
        <v>8</v>
      </c>
      <c r="X2823" t="n">
        <v>36.63003663003663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2672</v>
      </c>
      <c r="AG2823" t="n">
        <v>104</v>
      </c>
      <c r="AH2823" t="inlineStr">
        <is>
          <t>PT. ASIA PARAMITA - PPN (PDG)</t>
        </is>
      </c>
      <c r="AI2823" t="n">
        <v>564</v>
      </c>
      <c r="AJ2823" t="inlineStr">
        <is>
          <t>LUCIDO</t>
        </is>
      </c>
      <c r="AK2823" t="n">
        <v>21</v>
      </c>
      <c r="AL2823" t="inlineStr">
        <is>
          <t>Miss Glam Damar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LUCIDO</t>
        </is>
      </c>
      <c r="B2824" s="2">
        <f>"8992222320139"</f>
        <v/>
      </c>
      <c r="C2824" t="inlineStr">
        <is>
          <t>LUCIDO Hair Vitamin Oil Dry (Mini) 30ml</t>
        </is>
      </c>
      <c r="D2824" t="inlineStr">
        <is>
          <t>Miss Glam Damar</t>
        </is>
      </c>
      <c r="E2824" t="n">
        <v>11</v>
      </c>
      <c r="F2824" t="n">
        <v>0.2912</v>
      </c>
      <c r="G2824" t="n">
        <v>1.82</v>
      </c>
      <c r="H2824" t="n">
        <v>2</v>
      </c>
      <c r="I2824" t="n">
        <v>6</v>
      </c>
      <c r="J2824" t="n">
        <v>3</v>
      </c>
      <c r="K2824" t="n">
        <v>0</v>
      </c>
      <c r="L2824" t="n">
        <v>22867</v>
      </c>
      <c r="M2824" t="n">
        <v>29000</v>
      </c>
      <c r="N2824" t="n">
        <v>91</v>
      </c>
      <c r="O2824" t="n">
        <v>0.91</v>
      </c>
      <c r="P2824" t="n">
        <v>1</v>
      </c>
      <c r="Q2824" t="n">
        <v>0.49</v>
      </c>
      <c r="R2824" t="n">
        <v>2</v>
      </c>
      <c r="S2824" t="n">
        <v>8444.800000000001</v>
      </c>
      <c r="T2824" t="n">
        <v>11</v>
      </c>
      <c r="U2824" t="n">
        <v>12</v>
      </c>
      <c r="V2824" t="n">
        <v>30</v>
      </c>
      <c r="W2824" t="n">
        <v>9</v>
      </c>
      <c r="X2824" t="n">
        <v>37.77472527472527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2672</v>
      </c>
      <c r="AG2824" t="n">
        <v>104</v>
      </c>
      <c r="AH2824" t="inlineStr">
        <is>
          <t>PT. ASIA PARAMITA - PPN (PDG)</t>
        </is>
      </c>
      <c r="AI2824" t="n">
        <v>564</v>
      </c>
      <c r="AJ2824" t="inlineStr">
        <is>
          <t>LUCIDO</t>
        </is>
      </c>
      <c r="AK2824" t="n">
        <v>21</v>
      </c>
      <c r="AL2824" t="inlineStr">
        <is>
          <t>Miss Glam Damar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LUCIDO</t>
        </is>
      </c>
      <c r="B2825" s="2">
        <f>"8992222320030"</f>
        <v/>
      </c>
      <c r="C2825" t="inlineStr">
        <is>
          <t>LUCIDO Hair Vitamin Oil Dry 50ml</t>
        </is>
      </c>
      <c r="D2825" t="inlineStr">
        <is>
          <t>Miss Glam Damar</t>
        </is>
      </c>
      <c r="E2825" t="n">
        <v>7</v>
      </c>
      <c r="F2825" t="n">
        <v>0.2912</v>
      </c>
      <c r="G2825" t="n">
        <v>1.82</v>
      </c>
      <c r="H2825" t="n">
        <v>2</v>
      </c>
      <c r="I2825" t="n">
        <v>6</v>
      </c>
      <c r="J2825" t="n">
        <v>3</v>
      </c>
      <c r="K2825" t="n">
        <v>0</v>
      </c>
      <c r="L2825" t="n">
        <v>35524</v>
      </c>
      <c r="M2825" t="n">
        <v>44000</v>
      </c>
      <c r="N2825" t="n">
        <v>91</v>
      </c>
      <c r="O2825" t="n">
        <v>0.91</v>
      </c>
      <c r="P2825" t="n">
        <v>1</v>
      </c>
      <c r="Q2825" t="n">
        <v>0.2</v>
      </c>
      <c r="R2825" t="n">
        <v>2</v>
      </c>
      <c r="S2825" t="n">
        <v>12812.8</v>
      </c>
      <c r="T2825" t="n">
        <v>11</v>
      </c>
      <c r="U2825" t="n">
        <v>12</v>
      </c>
      <c r="V2825" t="n">
        <v>30</v>
      </c>
      <c r="W2825" t="n">
        <v>9</v>
      </c>
      <c r="X2825" t="n">
        <v>24.03846153846154</v>
      </c>
      <c r="Y2825" t="n">
        <v>1</v>
      </c>
      <c r="Z2825" t="n">
        <v>2</v>
      </c>
      <c r="AA2825" t="n">
        <v>0</v>
      </c>
      <c r="AB2825" t="n">
        <v>2</v>
      </c>
      <c r="AC2825" t="n">
        <v>3</v>
      </c>
      <c r="AD2825" t="n">
        <v>0</v>
      </c>
      <c r="AE2825" t="n">
        <v>106572</v>
      </c>
      <c r="AF2825" t="n">
        <v>2672</v>
      </c>
      <c r="AG2825" t="n">
        <v>104</v>
      </c>
      <c r="AH2825" t="inlineStr">
        <is>
          <t>PT. ASIA PARAMITA - PPN (PDG)</t>
        </is>
      </c>
      <c r="AI2825" t="n">
        <v>564</v>
      </c>
      <c r="AJ2825" t="inlineStr">
        <is>
          <t>LUCIDO</t>
        </is>
      </c>
      <c r="AK2825" t="n">
        <v>21</v>
      </c>
      <c r="AL2825" t="inlineStr">
        <is>
          <t>Miss Glam Damar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LUCIDO</t>
        </is>
      </c>
      <c r="B2826" s="2">
        <f>"8992222320047"</f>
        <v/>
      </c>
      <c r="C2826" t="inlineStr">
        <is>
          <t>LUCIDO Hair Vitamin Oil Normal 50ml</t>
        </is>
      </c>
      <c r="D2826" t="inlineStr">
        <is>
          <t>Miss Glam Damar</t>
        </is>
      </c>
      <c r="E2826" t="n">
        <v>10</v>
      </c>
      <c r="F2826" t="n">
        <v>0.2639</v>
      </c>
      <c r="G2826" t="n">
        <v>2.73</v>
      </c>
      <c r="H2826" t="n">
        <v>2</v>
      </c>
      <c r="I2826" t="n">
        <v>6</v>
      </c>
      <c r="J2826" t="n">
        <v>3</v>
      </c>
      <c r="K2826" t="n">
        <v>0</v>
      </c>
      <c r="L2826" t="n">
        <v>35356</v>
      </c>
      <c r="M2826" t="n">
        <v>44000</v>
      </c>
      <c r="N2826" t="n">
        <v>91</v>
      </c>
      <c r="O2826" t="n">
        <v>0.91</v>
      </c>
      <c r="P2826" t="n">
        <v>1</v>
      </c>
      <c r="Q2826" t="n">
        <v>0.29</v>
      </c>
      <c r="R2826" t="n">
        <v>2</v>
      </c>
      <c r="S2826" t="n">
        <v>11611.6</v>
      </c>
      <c r="T2826" t="n">
        <v>16</v>
      </c>
      <c r="U2826" t="n">
        <v>17</v>
      </c>
      <c r="V2826" t="n">
        <v>30</v>
      </c>
      <c r="W2826" t="n">
        <v>8</v>
      </c>
      <c r="X2826" t="n">
        <v>37.89314134141721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2672</v>
      </c>
      <c r="AG2826" t="n">
        <v>104</v>
      </c>
      <c r="AH2826" t="inlineStr">
        <is>
          <t>PT. ASIA PARAMITA - PPN (PDG)</t>
        </is>
      </c>
      <c r="AI2826" t="n">
        <v>564</v>
      </c>
      <c r="AJ2826" t="inlineStr">
        <is>
          <t>LUCIDO</t>
        </is>
      </c>
      <c r="AK2826" t="n">
        <v>21</v>
      </c>
      <c r="AL2826" t="inlineStr">
        <is>
          <t>Miss Glam Damar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LUCIDO</t>
        </is>
      </c>
      <c r="B2827" s="2">
        <f>"8992222320061"</f>
        <v/>
      </c>
      <c r="C2827" t="inlineStr">
        <is>
          <t>LUCIDO Hair Vitamin Spray Dry 200ml</t>
        </is>
      </c>
      <c r="D2827" t="inlineStr">
        <is>
          <t>Miss Glam Damar</t>
        </is>
      </c>
      <c r="E2827" t="n">
        <v>4</v>
      </c>
      <c r="F2827" t="n">
        <v>0.1092</v>
      </c>
      <c r="G2827" t="n">
        <v>0.91</v>
      </c>
      <c r="H2827" t="n">
        <v>2</v>
      </c>
      <c r="I2827" t="n">
        <v>6</v>
      </c>
      <c r="J2827" t="n">
        <v>3</v>
      </c>
      <c r="K2827" t="n">
        <v>0</v>
      </c>
      <c r="L2827" t="n">
        <v>33892</v>
      </c>
      <c r="M2827" t="n">
        <v>42000</v>
      </c>
      <c r="N2827" t="n">
        <v>91</v>
      </c>
      <c r="O2827" t="n">
        <v>0.91</v>
      </c>
      <c r="P2827" t="n">
        <v>1</v>
      </c>
      <c r="Q2827" t="n">
        <v>0.03</v>
      </c>
      <c r="R2827" t="n">
        <v>1</v>
      </c>
      <c r="S2827" t="n">
        <v>4586.400000000001</v>
      </c>
      <c r="T2827" t="n">
        <v>6</v>
      </c>
      <c r="U2827" t="n">
        <v>7</v>
      </c>
      <c r="V2827" t="n">
        <v>30</v>
      </c>
      <c r="W2827" t="n">
        <v>4</v>
      </c>
      <c r="X2827" t="n">
        <v>36.63003663003663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2672</v>
      </c>
      <c r="AG2827" t="n">
        <v>104</v>
      </c>
      <c r="AH2827" t="inlineStr">
        <is>
          <t>PT. ASIA PARAMITA - PPN (PDG)</t>
        </is>
      </c>
      <c r="AI2827" t="n">
        <v>564</v>
      </c>
      <c r="AJ2827" t="inlineStr">
        <is>
          <t>LUCIDO</t>
        </is>
      </c>
      <c r="AK2827" t="n">
        <v>21</v>
      </c>
      <c r="AL2827" t="inlineStr">
        <is>
          <t>Miss Glam Damar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LUCIDO</t>
        </is>
      </c>
      <c r="B2828" s="2">
        <f>"8992222320078"</f>
        <v/>
      </c>
      <c r="C2828" t="inlineStr">
        <is>
          <t>LUCIDO Hair Vitamin Spray Normal 200ml</t>
        </is>
      </c>
      <c r="D2828" t="inlineStr">
        <is>
          <t>Miss Glam Damar</t>
        </is>
      </c>
      <c r="E2828" t="n">
        <v>4</v>
      </c>
      <c r="F2828" t="n">
        <v>0.0728</v>
      </c>
      <c r="G2828" t="n">
        <v>0.91</v>
      </c>
      <c r="H2828" t="n">
        <v>2</v>
      </c>
      <c r="I2828" t="n">
        <v>6</v>
      </c>
      <c r="J2828" t="n">
        <v>3</v>
      </c>
      <c r="K2828" t="n">
        <v>0</v>
      </c>
      <c r="L2828" t="n">
        <v>33892</v>
      </c>
      <c r="M2828" t="n">
        <v>42000</v>
      </c>
      <c r="N2828" t="n">
        <v>91</v>
      </c>
      <c r="O2828" t="n">
        <v>0.91</v>
      </c>
      <c r="P2828" t="n">
        <v>1</v>
      </c>
      <c r="Q2828" t="n">
        <v>0.03</v>
      </c>
      <c r="R2828" t="n">
        <v>1</v>
      </c>
      <c r="S2828" t="n">
        <v>3057.6</v>
      </c>
      <c r="T2828" t="n">
        <v>6</v>
      </c>
      <c r="U2828" t="n">
        <v>7</v>
      </c>
      <c r="V2828" t="n">
        <v>30</v>
      </c>
      <c r="W2828" t="n">
        <v>3</v>
      </c>
      <c r="X2828" t="n">
        <v>54.94505494505494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2672</v>
      </c>
      <c r="AG2828" t="n">
        <v>104</v>
      </c>
      <c r="AH2828" t="inlineStr">
        <is>
          <t>PT. ASIA PARAMITA - PPN (PDG)</t>
        </is>
      </c>
      <c r="AI2828" t="n">
        <v>564</v>
      </c>
      <c r="AJ2828" t="inlineStr">
        <is>
          <t>LUCIDO</t>
        </is>
      </c>
      <c r="AK2828" t="n">
        <v>21</v>
      </c>
      <c r="AL2828" t="inlineStr">
        <is>
          <t>Miss Glam Damar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LUCIDO</t>
        </is>
      </c>
      <c r="B2829" s="2">
        <f>"40200808320"</f>
        <v/>
      </c>
      <c r="C2829" t="inlineStr">
        <is>
          <t>LUCIDO Serum Boost Hair Fragrance Floral Cascade 100ml</t>
        </is>
      </c>
      <c r="D2829" t="inlineStr">
        <is>
          <t>Miss Glam Damar</t>
        </is>
      </c>
      <c r="E2829" t="n">
        <v>7</v>
      </c>
      <c r="F2829" t="n">
        <v>0.3367</v>
      </c>
      <c r="G2829" t="n">
        <v>2.73</v>
      </c>
      <c r="H2829" t="n">
        <v>2</v>
      </c>
      <c r="I2829" t="n">
        <v>6</v>
      </c>
      <c r="J2829" t="n">
        <v>1</v>
      </c>
      <c r="K2829" t="n">
        <v>0</v>
      </c>
      <c r="L2829" t="n">
        <v>20417</v>
      </c>
      <c r="M2829" t="n">
        <v>26500</v>
      </c>
      <c r="N2829" t="n">
        <v>91</v>
      </c>
      <c r="O2829" t="n">
        <v>0.91</v>
      </c>
      <c r="P2829" t="n">
        <v>1</v>
      </c>
      <c r="Q2829" t="n">
        <v>0.19</v>
      </c>
      <c r="R2829" t="n">
        <v>1</v>
      </c>
      <c r="S2829" t="n">
        <v>8922.549999999999</v>
      </c>
      <c r="T2829" t="n">
        <v>16</v>
      </c>
      <c r="U2829" t="n">
        <v>17</v>
      </c>
      <c r="V2829" t="n">
        <v>30</v>
      </c>
      <c r="W2829" t="n">
        <v>11</v>
      </c>
      <c r="X2829" t="n">
        <v>20.79002079002079</v>
      </c>
      <c r="Y2829" t="n">
        <v>1</v>
      </c>
      <c r="Z2829" t="n">
        <v>4</v>
      </c>
      <c r="AA2829" t="n">
        <v>0</v>
      </c>
      <c r="AB2829" t="n">
        <v>4</v>
      </c>
      <c r="AC2829" t="n">
        <v>4</v>
      </c>
      <c r="AD2829" t="n">
        <v>0</v>
      </c>
      <c r="AE2829" t="n">
        <v>81668</v>
      </c>
      <c r="AF2829" t="n">
        <v>2672</v>
      </c>
      <c r="AG2829" t="n">
        <v>104</v>
      </c>
      <c r="AH2829" t="inlineStr">
        <is>
          <t>PT. ASIA PARAMITA - PPN (PDG)</t>
        </is>
      </c>
      <c r="AI2829" t="n">
        <v>564</v>
      </c>
      <c r="AJ2829" t="inlineStr">
        <is>
          <t>LUCIDO</t>
        </is>
      </c>
      <c r="AK2829" t="n">
        <v>21</v>
      </c>
      <c r="AL2829" t="inlineStr">
        <is>
          <t>Miss Glam Damar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LUCIDO</t>
        </is>
      </c>
      <c r="B2830" s="2">
        <f>"40200808148"</f>
        <v/>
      </c>
      <c r="C2830" t="inlineStr">
        <is>
          <t>LUCIDO Serum Boost Hair Fragrance Frosty Flower 100ml</t>
        </is>
      </c>
      <c r="D2830" t="inlineStr">
        <is>
          <t>Miss Glam Damar</t>
        </is>
      </c>
      <c r="E2830" t="n">
        <v>7</v>
      </c>
      <c r="F2830" t="n">
        <v>0.09100000000000001</v>
      </c>
      <c r="G2830" t="n">
        <v>0.91</v>
      </c>
      <c r="H2830" t="n">
        <v>2</v>
      </c>
      <c r="I2830" t="n">
        <v>6</v>
      </c>
      <c r="J2830" t="n">
        <v>1</v>
      </c>
      <c r="K2830" t="n">
        <v>0</v>
      </c>
      <c r="L2830" t="n">
        <v>19395</v>
      </c>
      <c r="M2830" t="n">
        <v>26500</v>
      </c>
      <c r="N2830" t="n">
        <v>91</v>
      </c>
      <c r="O2830" t="n">
        <v>0.91</v>
      </c>
      <c r="P2830" t="n">
        <v>1</v>
      </c>
      <c r="Q2830" t="n">
        <v>0.37</v>
      </c>
      <c r="R2830" t="n">
        <v>5</v>
      </c>
      <c r="S2830" t="n">
        <v>2411.5</v>
      </c>
      <c r="T2830" t="n">
        <v>6</v>
      </c>
      <c r="U2830" t="n">
        <v>7</v>
      </c>
      <c r="V2830" t="n">
        <v>30</v>
      </c>
      <c r="W2830" t="n">
        <v>3</v>
      </c>
      <c r="X2830" t="n">
        <v>76.92307692307692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2672</v>
      </c>
      <c r="AG2830" t="n">
        <v>104</v>
      </c>
      <c r="AH2830" t="inlineStr">
        <is>
          <t>PT. ASIA PARAMITA - PPN (PDG)</t>
        </is>
      </c>
      <c r="AI2830" t="n">
        <v>564</v>
      </c>
      <c r="AJ2830" t="inlineStr">
        <is>
          <t>LUCIDO</t>
        </is>
      </c>
      <c r="AK2830" t="n">
        <v>21</v>
      </c>
      <c r="AL2830" t="inlineStr">
        <is>
          <t>Miss Glam Damar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LUCIDO</t>
        </is>
      </c>
      <c r="B2831" s="2">
        <f>"40200808241"</f>
        <v/>
      </c>
      <c r="C2831" t="inlineStr">
        <is>
          <t>LUCIDO Serum Boost Hair Fragrance Twilight Bloom 100ml</t>
        </is>
      </c>
      <c r="D2831" t="inlineStr">
        <is>
          <t>Miss Glam Damar</t>
        </is>
      </c>
      <c r="E2831" t="n">
        <v>7</v>
      </c>
      <c r="F2831" t="n">
        <v>0.2457</v>
      </c>
      <c r="G2831" t="n">
        <v>3.64</v>
      </c>
      <c r="H2831" t="n">
        <v>2</v>
      </c>
      <c r="I2831" t="n">
        <v>6</v>
      </c>
      <c r="J2831" t="n">
        <v>1</v>
      </c>
      <c r="K2831" t="n">
        <v>0</v>
      </c>
      <c r="L2831" t="n">
        <v>20416</v>
      </c>
      <c r="M2831" t="n">
        <v>26500</v>
      </c>
      <c r="N2831" t="n">
        <v>91</v>
      </c>
      <c r="O2831" t="n">
        <v>0.91</v>
      </c>
      <c r="P2831" t="n">
        <v>1</v>
      </c>
      <c r="Q2831" t="n">
        <v>0.14</v>
      </c>
      <c r="R2831" t="n">
        <v>2</v>
      </c>
      <c r="S2831" t="n">
        <v>6511.050000000001</v>
      </c>
      <c r="T2831" t="n">
        <v>22</v>
      </c>
      <c r="U2831" t="n">
        <v>23</v>
      </c>
      <c r="V2831" t="n">
        <v>30</v>
      </c>
      <c r="W2831" t="n">
        <v>8</v>
      </c>
      <c r="X2831" t="n">
        <v>28.49002849002849</v>
      </c>
      <c r="Y2831" t="n">
        <v>1</v>
      </c>
      <c r="Z2831" t="n">
        <v>1</v>
      </c>
      <c r="AA2831" t="n">
        <v>0</v>
      </c>
      <c r="AB2831" t="n">
        <v>1</v>
      </c>
      <c r="AC2831" t="n">
        <v>1</v>
      </c>
      <c r="AD2831" t="n">
        <v>0</v>
      </c>
      <c r="AE2831" t="n">
        <v>20416</v>
      </c>
      <c r="AF2831" t="n">
        <v>2672</v>
      </c>
      <c r="AG2831" t="n">
        <v>104</v>
      </c>
      <c r="AH2831" t="inlineStr">
        <is>
          <t>PT. ASIA PARAMITA - PPN (PDG)</t>
        </is>
      </c>
      <c r="AI2831" t="n">
        <v>564</v>
      </c>
      <c r="AJ2831" t="inlineStr">
        <is>
          <t>LUCIDO</t>
        </is>
      </c>
      <c r="AK2831" t="n">
        <v>21</v>
      </c>
      <c r="AL2831" t="inlineStr">
        <is>
          <t>Miss Glam Damar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LUCIDO</t>
        </is>
      </c>
      <c r="B2832" s="2">
        <f>"8992222320153"</f>
        <v/>
      </c>
      <c r="C2832" t="inlineStr">
        <is>
          <t>LUCIDO Serum Boost Hair Mask Essential Oil 250gr</t>
        </is>
      </c>
      <c r="D2832" t="inlineStr">
        <is>
          <t>Miss Glam Damar</t>
        </is>
      </c>
      <c r="E2832" t="n">
        <v>1</v>
      </c>
      <c r="F2832" t="n">
        <v>0.1274</v>
      </c>
      <c r="G2832" t="n">
        <v>0.91</v>
      </c>
      <c r="H2832" t="n">
        <v>2</v>
      </c>
      <c r="I2832" t="n">
        <v>6</v>
      </c>
      <c r="J2832" t="n">
        <v>3</v>
      </c>
      <c r="K2832" t="n">
        <v>0</v>
      </c>
      <c r="L2832" t="n">
        <v>49000</v>
      </c>
      <c r="M2832" t="n">
        <v>62000</v>
      </c>
      <c r="N2832" t="n">
        <v>91</v>
      </c>
      <c r="O2832" t="n">
        <v>0.91</v>
      </c>
      <c r="P2832" t="n">
        <v>1</v>
      </c>
      <c r="Q2832" t="n">
        <v>0.08</v>
      </c>
      <c r="R2832" t="n">
        <v>1</v>
      </c>
      <c r="S2832" t="n">
        <v>7898.800000000001</v>
      </c>
      <c r="T2832" t="n">
        <v>6</v>
      </c>
      <c r="U2832" t="n">
        <v>7</v>
      </c>
      <c r="V2832" t="n">
        <v>30</v>
      </c>
      <c r="W2832" t="n">
        <v>4</v>
      </c>
      <c r="X2832" t="n">
        <v>7.849293563579277</v>
      </c>
      <c r="Y2832" t="n">
        <v>1</v>
      </c>
      <c r="Z2832" t="n">
        <v>3</v>
      </c>
      <c r="AA2832" t="n">
        <v>0</v>
      </c>
      <c r="AB2832" t="n">
        <v>3</v>
      </c>
      <c r="AC2832" t="n">
        <v>3</v>
      </c>
      <c r="AD2832" t="n">
        <v>0</v>
      </c>
      <c r="AE2832" t="n">
        <v>147000</v>
      </c>
      <c r="AF2832" t="n">
        <v>2672</v>
      </c>
      <c r="AG2832" t="n">
        <v>104</v>
      </c>
      <c r="AH2832" t="inlineStr">
        <is>
          <t>PT. ASIA PARAMITA - PPN (PDG)</t>
        </is>
      </c>
      <c r="AI2832" t="n">
        <v>564</v>
      </c>
      <c r="AJ2832" t="inlineStr">
        <is>
          <t>LUCIDO</t>
        </is>
      </c>
      <c r="AK2832" t="n">
        <v>21</v>
      </c>
      <c r="AL2832" t="inlineStr">
        <is>
          <t>Miss Glam Damar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LUCIDO</t>
        </is>
      </c>
      <c r="B2833" s="2">
        <f>"8992222320160"</f>
        <v/>
      </c>
      <c r="C2833" t="inlineStr">
        <is>
          <t>LUCIDO Serum Boost Hair Mask Keratin 250gr</t>
        </is>
      </c>
      <c r="D2833" t="inlineStr">
        <is>
          <t>Miss Glam Damar</t>
        </is>
      </c>
      <c r="E2833" t="n">
        <v>11</v>
      </c>
      <c r="F2833" t="n">
        <v>0.1365</v>
      </c>
      <c r="G2833" t="n">
        <v>0.91</v>
      </c>
      <c r="H2833" t="n">
        <v>2</v>
      </c>
      <c r="I2833" t="n">
        <v>6</v>
      </c>
      <c r="J2833" t="n">
        <v>3</v>
      </c>
      <c r="K2833" t="n">
        <v>0</v>
      </c>
      <c r="L2833" t="n">
        <v>49000</v>
      </c>
      <c r="M2833" t="n">
        <v>62000</v>
      </c>
      <c r="N2833" t="n">
        <v>91</v>
      </c>
      <c r="O2833" t="n">
        <v>0.91</v>
      </c>
      <c r="P2833" t="n">
        <v>1</v>
      </c>
      <c r="Q2833" t="n">
        <v>0.24</v>
      </c>
      <c r="R2833" t="n">
        <v>2</v>
      </c>
      <c r="S2833" t="n">
        <v>8463</v>
      </c>
      <c r="T2833" t="n">
        <v>6</v>
      </c>
      <c r="U2833" t="n">
        <v>7</v>
      </c>
      <c r="V2833" t="n">
        <v>30</v>
      </c>
      <c r="W2833" t="n">
        <v>5</v>
      </c>
      <c r="X2833" t="n">
        <v>80.58608058608058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2672</v>
      </c>
      <c r="AG2833" t="n">
        <v>104</v>
      </c>
      <c r="AH2833" t="inlineStr">
        <is>
          <t>PT. ASIA PARAMITA - PPN (PDG)</t>
        </is>
      </c>
      <c r="AI2833" t="n">
        <v>564</v>
      </c>
      <c r="AJ2833" t="inlineStr">
        <is>
          <t>LUCIDO</t>
        </is>
      </c>
      <c r="AK2833" t="n">
        <v>21</v>
      </c>
      <c r="AL2833" t="inlineStr">
        <is>
          <t>Miss Glam Damar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LUCIDO</t>
        </is>
      </c>
      <c r="B2834" s="2">
        <f>"40200307058"</f>
        <v/>
      </c>
      <c r="C2834" t="inlineStr">
        <is>
          <t>LUCIDO Serum Boost Hair Oil Keratin 50ml</t>
        </is>
      </c>
      <c r="D2834" t="inlineStr">
        <is>
          <t>Miss Glam Damar</t>
        </is>
      </c>
      <c r="E2834" t="n">
        <v>6</v>
      </c>
      <c r="F2834" t="n">
        <v>0.2184</v>
      </c>
      <c r="G2834" t="n">
        <v>1.82</v>
      </c>
      <c r="H2834" t="n">
        <v>2</v>
      </c>
      <c r="I2834" t="n">
        <v>6</v>
      </c>
      <c r="J2834" t="n">
        <v>1</v>
      </c>
      <c r="K2834" t="n">
        <v>0</v>
      </c>
      <c r="L2834" t="n">
        <v>47366</v>
      </c>
      <c r="M2834" t="n">
        <v>60000</v>
      </c>
      <c r="N2834" t="n">
        <v>91</v>
      </c>
      <c r="O2834" t="n">
        <v>0.91</v>
      </c>
      <c r="P2834" t="n">
        <v>1</v>
      </c>
      <c r="Q2834" t="n">
        <v>0.27</v>
      </c>
      <c r="R2834" t="n">
        <v>2</v>
      </c>
      <c r="S2834" t="n">
        <v>13104</v>
      </c>
      <c r="T2834" t="n">
        <v>11</v>
      </c>
      <c r="U2834" t="n">
        <v>12</v>
      </c>
      <c r="V2834" t="n">
        <v>30</v>
      </c>
      <c r="W2834" t="n">
        <v>7</v>
      </c>
      <c r="X2834" t="n">
        <v>27.47252747252747</v>
      </c>
      <c r="Y2834" t="n">
        <v>1</v>
      </c>
      <c r="Z2834" t="n">
        <v>1</v>
      </c>
      <c r="AA2834" t="n">
        <v>0</v>
      </c>
      <c r="AB2834" t="n">
        <v>1</v>
      </c>
      <c r="AC2834" t="n">
        <v>1</v>
      </c>
      <c r="AD2834" t="n">
        <v>0</v>
      </c>
      <c r="AE2834" t="n">
        <v>47366</v>
      </c>
      <c r="AF2834" t="n">
        <v>2672</v>
      </c>
      <c r="AG2834" t="n">
        <v>104</v>
      </c>
      <c r="AH2834" t="inlineStr">
        <is>
          <t>PT. ASIA PARAMITA - PPN (PDG)</t>
        </is>
      </c>
      <c r="AI2834" t="n">
        <v>564</v>
      </c>
      <c r="AJ2834" t="inlineStr">
        <is>
          <t>LUCIDO</t>
        </is>
      </c>
      <c r="AK2834" t="n">
        <v>21</v>
      </c>
      <c r="AL2834" t="inlineStr">
        <is>
          <t>Miss Glam Damar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LUX</t>
        </is>
      </c>
      <c r="B2835" s="2">
        <f>"8999999036836"</f>
        <v/>
      </c>
      <c r="C2835" t="inlineStr">
        <is>
          <t>LUX Botanicals Smooth Skin Velvet Jasmine Body Wash Vitamin C Essence 400ml</t>
        </is>
      </c>
      <c r="D2835" t="inlineStr">
        <is>
          <t>Miss Glam Damar</t>
        </is>
      </c>
      <c r="E2835" t="n">
        <v>16</v>
      </c>
      <c r="F2835" t="n">
        <v>1.001</v>
      </c>
      <c r="G2835" t="n">
        <v>5.46</v>
      </c>
      <c r="H2835" t="n">
        <v>3</v>
      </c>
      <c r="I2835" t="n">
        <v>5</v>
      </c>
      <c r="J2835" t="n">
        <v>3</v>
      </c>
      <c r="K2835" t="n">
        <v>0</v>
      </c>
      <c r="L2835" t="n">
        <v>19377</v>
      </c>
      <c r="M2835" t="n">
        <v>25000</v>
      </c>
      <c r="N2835" t="n">
        <v>91</v>
      </c>
      <c r="O2835" t="n">
        <v>0.91</v>
      </c>
      <c r="P2835" t="n">
        <v>1</v>
      </c>
      <c r="Q2835" t="n">
        <v>0.59</v>
      </c>
      <c r="R2835" t="n">
        <v>3</v>
      </c>
      <c r="S2835" t="n">
        <v>25025</v>
      </c>
      <c r="T2835" t="n">
        <v>25</v>
      </c>
      <c r="U2835" t="n">
        <v>29</v>
      </c>
      <c r="V2835" t="n">
        <v>30</v>
      </c>
      <c r="W2835" t="n">
        <v>31</v>
      </c>
      <c r="X2835" t="n">
        <v>15.98401598401598</v>
      </c>
      <c r="Y2835" t="n">
        <v>1</v>
      </c>
      <c r="Z2835" t="n">
        <v>15</v>
      </c>
      <c r="AA2835" t="n">
        <v>0</v>
      </c>
      <c r="AB2835" t="n">
        <v>15</v>
      </c>
      <c r="AC2835" t="n">
        <v>15</v>
      </c>
      <c r="AD2835" t="n">
        <v>0</v>
      </c>
      <c r="AE2835" t="n">
        <v>290655</v>
      </c>
      <c r="AF2835" t="n">
        <v>1547</v>
      </c>
      <c r="AG2835" t="n">
        <v>361</v>
      </c>
      <c r="AH2835" t="inlineStr">
        <is>
          <t>CV. SERBA SERBI - PPN (PDG)</t>
        </is>
      </c>
      <c r="AI2835" t="n">
        <v>1092</v>
      </c>
      <c r="AJ2835" t="inlineStr">
        <is>
          <t>LUX</t>
        </is>
      </c>
      <c r="AK2835" t="n">
        <v>21</v>
      </c>
      <c r="AL2835" t="inlineStr">
        <is>
          <t>Miss Glam Damar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LUX</t>
        </is>
      </c>
      <c r="B2836" s="2">
        <f>"30100244316"</f>
        <v/>
      </c>
      <c r="C2836" t="inlineStr">
        <is>
          <t>LUX Mood Library Peaceful Galaxy Body Scrub 360gr</t>
        </is>
      </c>
      <c r="D2836" t="inlineStr">
        <is>
          <t>Miss Glam Damar</t>
        </is>
      </c>
      <c r="E2836" t="n">
        <v>0</v>
      </c>
      <c r="F2836" t="n">
        <v>0.04550000000000001</v>
      </c>
      <c r="G2836" t="n">
        <v>0.91</v>
      </c>
      <c r="H2836" t="n">
        <v>3</v>
      </c>
      <c r="I2836" t="n">
        <v>5</v>
      </c>
      <c r="J2836" t="n">
        <v>1</v>
      </c>
      <c r="K2836" t="n">
        <v>0</v>
      </c>
      <c r="L2836" t="n">
        <v>88793</v>
      </c>
      <c r="M2836" t="n">
        <v>104500</v>
      </c>
      <c r="N2836" t="n">
        <v>91</v>
      </c>
      <c r="O2836" t="n">
        <v>0.91</v>
      </c>
      <c r="P2836" t="n">
        <v>1</v>
      </c>
      <c r="Q2836" t="n">
        <v>0.07000000000000001</v>
      </c>
      <c r="R2836" t="n">
        <v>1</v>
      </c>
      <c r="S2836" t="n">
        <v>4754.750000000001</v>
      </c>
      <c r="T2836" t="n">
        <v>5</v>
      </c>
      <c r="U2836" t="n">
        <v>6</v>
      </c>
      <c r="V2836" t="n">
        <v>30</v>
      </c>
      <c r="W2836" t="n">
        <v>2</v>
      </c>
      <c r="X2836" t="n">
        <v>0</v>
      </c>
      <c r="Y2836" t="n">
        <v>1</v>
      </c>
      <c r="Z2836" t="n">
        <v>2</v>
      </c>
      <c r="AA2836" t="n">
        <v>1</v>
      </c>
      <c r="AB2836" t="n">
        <v>1</v>
      </c>
      <c r="AC2836" t="n">
        <v>1</v>
      </c>
      <c r="AD2836" t="n">
        <v>88793</v>
      </c>
      <c r="AE2836" t="n">
        <v>88793</v>
      </c>
      <c r="AF2836" t="n">
        <v>1547</v>
      </c>
      <c r="AG2836" t="n">
        <v>361</v>
      </c>
      <c r="AH2836" t="inlineStr">
        <is>
          <t>CV. SERBA SERBI - PPN (PDG)</t>
        </is>
      </c>
      <c r="AI2836" t="n">
        <v>1092</v>
      </c>
      <c r="AJ2836" t="inlineStr">
        <is>
          <t>LUX</t>
        </is>
      </c>
      <c r="AK2836" t="n">
        <v>21</v>
      </c>
      <c r="AL2836" t="inlineStr">
        <is>
          <t>Miss Glam Damar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LUX</t>
        </is>
      </c>
      <c r="B2837" s="2">
        <f>"30100167658"</f>
        <v/>
      </c>
      <c r="C2837" t="inlineStr">
        <is>
          <t>LUX Mood Library Peaceful Galaxy Shower Gel 470gr</t>
        </is>
      </c>
      <c r="D2837" t="inlineStr">
        <is>
          <t>Miss Glam Damar</t>
        </is>
      </c>
      <c r="E2837" t="n">
        <v>2</v>
      </c>
      <c r="F2837" t="n">
        <v>0.0182</v>
      </c>
      <c r="G2837" t="n">
        <v>0.91</v>
      </c>
      <c r="H2837" t="n">
        <v>3</v>
      </c>
      <c r="I2837" t="n">
        <v>5</v>
      </c>
      <c r="J2837" t="n">
        <v>1</v>
      </c>
      <c r="K2837" t="n">
        <v>0</v>
      </c>
      <c r="L2837" t="n">
        <v>78176</v>
      </c>
      <c r="M2837" t="n">
        <v>92000</v>
      </c>
      <c r="N2837" t="n">
        <v>91</v>
      </c>
      <c r="O2837" t="n">
        <v>0.91</v>
      </c>
      <c r="P2837" t="n">
        <v>1</v>
      </c>
      <c r="Q2837" t="n">
        <v>0.02</v>
      </c>
      <c r="R2837" t="n">
        <v>1</v>
      </c>
      <c r="S2837" t="n">
        <v>1674.4</v>
      </c>
      <c r="T2837" t="n">
        <v>5</v>
      </c>
      <c r="U2837" t="n">
        <v>6</v>
      </c>
      <c r="V2837" t="n">
        <v>30</v>
      </c>
      <c r="W2837" t="n">
        <v>1</v>
      </c>
      <c r="X2837" t="n">
        <v>109.8901098901099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1547</v>
      </c>
      <c r="AG2837" t="n">
        <v>361</v>
      </c>
      <c r="AH2837" t="inlineStr">
        <is>
          <t>CV. SERBA SERBI - PPN (PDG)</t>
        </is>
      </c>
      <c r="AI2837" t="n">
        <v>1092</v>
      </c>
      <c r="AJ2837" t="inlineStr">
        <is>
          <t>LUX</t>
        </is>
      </c>
      <c r="AK2837" t="n">
        <v>21</v>
      </c>
      <c r="AL2837" t="inlineStr">
        <is>
          <t>Miss Glam Damar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LUXCRIME</t>
        </is>
      </c>
      <c r="B2838" s="2">
        <f>"769503123516"</f>
        <v/>
      </c>
      <c r="C2838" t="inlineStr">
        <is>
          <t>LUXCRIME Blur &amp; Cover Mini Two Way Cake Silk Glow Buttercream 4,5gr</t>
        </is>
      </c>
      <c r="D2838" t="inlineStr">
        <is>
          <t>Miss Glam Damar</t>
        </is>
      </c>
      <c r="E2838" t="n">
        <v>12</v>
      </c>
      <c r="F2838" t="n">
        <v>0.1547</v>
      </c>
      <c r="G2838" t="n">
        <v>1.82</v>
      </c>
      <c r="H2838" t="n">
        <v>4</v>
      </c>
      <c r="I2838" t="n">
        <v>8</v>
      </c>
      <c r="J2838" t="n">
        <v>3</v>
      </c>
      <c r="K2838" t="n">
        <v>0</v>
      </c>
      <c r="L2838" t="n">
        <v>59250</v>
      </c>
      <c r="M2838" t="n">
        <v>79000</v>
      </c>
      <c r="N2838" t="n">
        <v>91</v>
      </c>
      <c r="O2838" t="n">
        <v>0.91</v>
      </c>
      <c r="P2838" t="n">
        <v>1</v>
      </c>
      <c r="Q2838" t="n">
        <v>0.22</v>
      </c>
      <c r="R2838" t="n">
        <v>2</v>
      </c>
      <c r="S2838" t="n">
        <v>12221.3</v>
      </c>
      <c r="T2838" t="n">
        <v>14</v>
      </c>
      <c r="U2838" t="n">
        <v>15</v>
      </c>
      <c r="V2838" t="n">
        <v>30</v>
      </c>
      <c r="W2838" t="n">
        <v>5</v>
      </c>
      <c r="X2838" t="n">
        <v>77.56948933419521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10266</v>
      </c>
      <c r="AG2838" t="n">
        <v>2273</v>
      </c>
      <c r="AH2838" t="inlineStr">
        <is>
          <t>PT. INTI SUKSES SUMATERA - PPN (PDG)</t>
        </is>
      </c>
      <c r="AI2838" t="n">
        <v>298</v>
      </c>
      <c r="AJ2838" t="inlineStr">
        <is>
          <t>LUXCRIME</t>
        </is>
      </c>
      <c r="AK2838" t="n">
        <v>21</v>
      </c>
      <c r="AL2838" t="inlineStr">
        <is>
          <t>Miss Glam Damar</t>
        </is>
      </c>
      <c r="AM2838" t="n">
        <v>4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LUXCRIME</t>
        </is>
      </c>
      <c r="B2839" s="2">
        <f>"769503123509"</f>
        <v/>
      </c>
      <c r="C2839" t="inlineStr">
        <is>
          <t>LUXCRIME Blur &amp; Cover Mini Two Way Cake Silk Glow Cream Puff 4,5gr</t>
        </is>
      </c>
      <c r="D2839" t="inlineStr">
        <is>
          <t>Miss Glam Damar</t>
        </is>
      </c>
      <c r="E2839" t="n">
        <v>11</v>
      </c>
      <c r="F2839" t="n">
        <v>0.1274</v>
      </c>
      <c r="G2839" t="n">
        <v>1.82</v>
      </c>
      <c r="H2839" t="n">
        <v>4</v>
      </c>
      <c r="I2839" t="n">
        <v>8</v>
      </c>
      <c r="J2839" t="n">
        <v>3</v>
      </c>
      <c r="K2839" t="n">
        <v>0</v>
      </c>
      <c r="L2839" t="n">
        <v>59250</v>
      </c>
      <c r="M2839" t="n">
        <v>79000</v>
      </c>
      <c r="N2839" t="n">
        <v>91</v>
      </c>
      <c r="O2839" t="n">
        <v>0.91</v>
      </c>
      <c r="P2839" t="n">
        <v>1</v>
      </c>
      <c r="Q2839" t="n">
        <v>0.07000000000000001</v>
      </c>
      <c r="R2839" t="n">
        <v>1</v>
      </c>
      <c r="S2839" t="n">
        <v>10064.6</v>
      </c>
      <c r="T2839" t="n">
        <v>15</v>
      </c>
      <c r="U2839" t="n">
        <v>16</v>
      </c>
      <c r="V2839" t="n">
        <v>30</v>
      </c>
      <c r="W2839" t="n">
        <v>4</v>
      </c>
      <c r="X2839" t="n">
        <v>86.34222919937204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10266</v>
      </c>
      <c r="AG2839" t="n">
        <v>2273</v>
      </c>
      <c r="AH2839" t="inlineStr">
        <is>
          <t>PT. INTI SUKSES SUMATERA - PPN (PDG)</t>
        </is>
      </c>
      <c r="AI2839" t="n">
        <v>298</v>
      </c>
      <c r="AJ2839" t="inlineStr">
        <is>
          <t>LUXCRIME</t>
        </is>
      </c>
      <c r="AK2839" t="n">
        <v>21</v>
      </c>
      <c r="AL2839" t="inlineStr">
        <is>
          <t>Miss Glam Damar</t>
        </is>
      </c>
      <c r="AM2839" t="n">
        <v>4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LUXCRIME</t>
        </is>
      </c>
      <c r="B2840" s="2">
        <f>"769503123431"</f>
        <v/>
      </c>
      <c r="C2840" t="inlineStr">
        <is>
          <t>LUXCRIME Blur &amp; Cover Two Way Cake Oil Control Custard 4,5gr</t>
        </is>
      </c>
      <c r="D2840" t="inlineStr">
        <is>
          <t>Miss Glam Damar</t>
        </is>
      </c>
      <c r="E2840" t="n">
        <v>10</v>
      </c>
      <c r="F2840" t="n">
        <v>0.2912</v>
      </c>
      <c r="G2840" t="n">
        <v>1.82</v>
      </c>
      <c r="H2840" t="n">
        <v>4</v>
      </c>
      <c r="I2840" t="n">
        <v>8</v>
      </c>
      <c r="J2840" t="n">
        <v>3</v>
      </c>
      <c r="K2840" t="n">
        <v>0</v>
      </c>
      <c r="L2840" t="n">
        <v>59250</v>
      </c>
      <c r="M2840" t="n">
        <v>79000</v>
      </c>
      <c r="N2840" t="n">
        <v>91</v>
      </c>
      <c r="O2840" t="n">
        <v>0.91</v>
      </c>
      <c r="P2840" t="n">
        <v>1</v>
      </c>
      <c r="Q2840" t="n">
        <v>0.42</v>
      </c>
      <c r="R2840" t="n">
        <v>2</v>
      </c>
      <c r="S2840" t="n">
        <v>23004.8</v>
      </c>
      <c r="T2840" t="n">
        <v>14</v>
      </c>
      <c r="U2840" t="n">
        <v>16</v>
      </c>
      <c r="V2840" t="n">
        <v>30</v>
      </c>
      <c r="W2840" t="n">
        <v>9</v>
      </c>
      <c r="X2840" t="n">
        <v>34.34065934065934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10266</v>
      </c>
      <c r="AG2840" t="n">
        <v>2273</v>
      </c>
      <c r="AH2840" t="inlineStr">
        <is>
          <t>PT. INTI SUKSES SUMATERA - PPN (PDG)</t>
        </is>
      </c>
      <c r="AI2840" t="n">
        <v>298</v>
      </c>
      <c r="AJ2840" t="inlineStr">
        <is>
          <t>LUXCRIME</t>
        </is>
      </c>
      <c r="AK2840" t="n">
        <v>21</v>
      </c>
      <c r="AL2840" t="inlineStr">
        <is>
          <t>Miss Glam Damar</t>
        </is>
      </c>
      <c r="AM2840" t="n">
        <v>4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LUXCRIME</t>
        </is>
      </c>
      <c r="B2841" s="2">
        <f>"769503123240"</f>
        <v/>
      </c>
      <c r="C2841" t="inlineStr">
        <is>
          <t>LUXCRIME Blur &amp; Cover Two Way Cake Silk Glow Butter Cream 8.5gr</t>
        </is>
      </c>
      <c r="D2841" t="inlineStr">
        <is>
          <t>Miss Glam Damar</t>
        </is>
      </c>
      <c r="E2841" t="n">
        <v>7</v>
      </c>
      <c r="F2841" t="n">
        <v>0.3276</v>
      </c>
      <c r="G2841" t="n">
        <v>1.82</v>
      </c>
      <c r="H2841" t="n">
        <v>4</v>
      </c>
      <c r="I2841" t="n">
        <v>8</v>
      </c>
      <c r="J2841" t="n">
        <v>3</v>
      </c>
      <c r="K2841" t="n">
        <v>0</v>
      </c>
      <c r="L2841" t="n">
        <v>96750</v>
      </c>
      <c r="M2841" t="n">
        <v>129000</v>
      </c>
      <c r="N2841" t="n">
        <v>91</v>
      </c>
      <c r="O2841" t="n">
        <v>0.91</v>
      </c>
      <c r="P2841" t="n">
        <v>1</v>
      </c>
      <c r="Q2841" t="n">
        <v>0.25</v>
      </c>
      <c r="R2841" t="n">
        <v>3</v>
      </c>
      <c r="S2841" t="n">
        <v>42260.4</v>
      </c>
      <c r="T2841" t="n">
        <v>14</v>
      </c>
      <c r="U2841" t="n">
        <v>16</v>
      </c>
      <c r="V2841" t="n">
        <v>30</v>
      </c>
      <c r="W2841" t="n">
        <v>10</v>
      </c>
      <c r="X2841" t="n">
        <v>21.36752136752137</v>
      </c>
      <c r="Y2841" t="n">
        <v>1</v>
      </c>
      <c r="Z2841" t="n">
        <v>3</v>
      </c>
      <c r="AA2841" t="n">
        <v>0</v>
      </c>
      <c r="AB2841" t="n">
        <v>3</v>
      </c>
      <c r="AC2841" t="n">
        <v>3</v>
      </c>
      <c r="AD2841" t="n">
        <v>0</v>
      </c>
      <c r="AE2841" t="n">
        <v>290250</v>
      </c>
      <c r="AF2841" t="n">
        <v>10266</v>
      </c>
      <c r="AG2841" t="n">
        <v>2273</v>
      </c>
      <c r="AH2841" t="inlineStr">
        <is>
          <t>PT. INTI SUKSES SUMATERA - PPN (PDG)</t>
        </is>
      </c>
      <c r="AI2841" t="n">
        <v>298</v>
      </c>
      <c r="AJ2841" t="inlineStr">
        <is>
          <t>LUXCRIME</t>
        </is>
      </c>
      <c r="AK2841" t="n">
        <v>21</v>
      </c>
      <c r="AL2841" t="inlineStr">
        <is>
          <t>Miss Glam Damar</t>
        </is>
      </c>
      <c r="AM2841" t="n">
        <v>4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LUXCRIME</t>
        </is>
      </c>
      <c r="B2842" s="2">
        <f>"769503123233"</f>
        <v/>
      </c>
      <c r="C2842" t="inlineStr">
        <is>
          <t>LUXCRIME Blur &amp; Cover Two Way Cake Silk Glow Cream Puff 8.5gr</t>
        </is>
      </c>
      <c r="D2842" t="inlineStr">
        <is>
          <t>Miss Glam Damar</t>
        </is>
      </c>
      <c r="E2842" t="n">
        <v>4</v>
      </c>
      <c r="F2842" t="n">
        <v>0.182</v>
      </c>
      <c r="G2842" t="n">
        <v>0.91</v>
      </c>
      <c r="H2842" t="n">
        <v>4</v>
      </c>
      <c r="I2842" t="n">
        <v>8</v>
      </c>
      <c r="J2842" t="n">
        <v>3</v>
      </c>
      <c r="K2842" t="n">
        <v>0</v>
      </c>
      <c r="L2842" t="n">
        <v>96750</v>
      </c>
      <c r="M2842" t="n">
        <v>129000</v>
      </c>
      <c r="N2842" t="n">
        <v>91</v>
      </c>
      <c r="O2842" t="n">
        <v>0.91</v>
      </c>
      <c r="P2842" t="n">
        <v>1</v>
      </c>
      <c r="Q2842" t="n">
        <v>0.08</v>
      </c>
      <c r="R2842" t="n">
        <v>1</v>
      </c>
      <c r="S2842" t="n">
        <v>23478</v>
      </c>
      <c r="T2842" t="n">
        <v>7</v>
      </c>
      <c r="U2842" t="n">
        <v>8</v>
      </c>
      <c r="V2842" t="n">
        <v>30</v>
      </c>
      <c r="W2842" t="n">
        <v>6</v>
      </c>
      <c r="X2842" t="n">
        <v>21.97802197802197</v>
      </c>
      <c r="Y2842" t="n">
        <v>1</v>
      </c>
      <c r="Z2842" t="n">
        <v>2</v>
      </c>
      <c r="AA2842" t="n">
        <v>0</v>
      </c>
      <c r="AB2842" t="n">
        <v>2</v>
      </c>
      <c r="AC2842" t="n">
        <v>3</v>
      </c>
      <c r="AD2842" t="n">
        <v>0</v>
      </c>
      <c r="AE2842" t="n">
        <v>290250</v>
      </c>
      <c r="AF2842" t="n">
        <v>10266</v>
      </c>
      <c r="AG2842" t="n">
        <v>2273</v>
      </c>
      <c r="AH2842" t="inlineStr">
        <is>
          <t>PT. INTI SUKSES SUMATERA - PPN (PDG)</t>
        </is>
      </c>
      <c r="AI2842" t="n">
        <v>298</v>
      </c>
      <c r="AJ2842" t="inlineStr">
        <is>
          <t>LUXCRIME</t>
        </is>
      </c>
      <c r="AK2842" t="n">
        <v>21</v>
      </c>
      <c r="AL2842" t="inlineStr">
        <is>
          <t>Miss Glam Damar</t>
        </is>
      </c>
      <c r="AM2842" t="n">
        <v>4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LUXCRIME</t>
        </is>
      </c>
      <c r="B2843" s="2">
        <f>"769503123257"</f>
        <v/>
      </c>
      <c r="C2843" t="inlineStr">
        <is>
          <t>LUXCRIME Blur &amp; Cover Two Way Cake Silk Glow Custard 8.5gr</t>
        </is>
      </c>
      <c r="D2843" t="inlineStr">
        <is>
          <t>Miss Glam Damar</t>
        </is>
      </c>
      <c r="E2843" t="n">
        <v>5</v>
      </c>
      <c r="F2843" t="n">
        <v>0.182</v>
      </c>
      <c r="G2843" t="n">
        <v>1.82</v>
      </c>
      <c r="H2843" t="n">
        <v>4</v>
      </c>
      <c r="I2843" t="n">
        <v>8</v>
      </c>
      <c r="J2843" t="n">
        <v>3</v>
      </c>
      <c r="K2843" t="n">
        <v>0</v>
      </c>
      <c r="L2843" t="n">
        <v>96750</v>
      </c>
      <c r="M2843" t="n">
        <v>129000</v>
      </c>
      <c r="N2843" t="n">
        <v>91</v>
      </c>
      <c r="O2843" t="n">
        <v>0.91</v>
      </c>
      <c r="P2843" t="n">
        <v>1</v>
      </c>
      <c r="Q2843" t="n">
        <v>0.19</v>
      </c>
      <c r="R2843" t="n">
        <v>2</v>
      </c>
      <c r="S2843" t="n">
        <v>23478</v>
      </c>
      <c r="T2843" t="n">
        <v>14</v>
      </c>
      <c r="U2843" t="n">
        <v>15</v>
      </c>
      <c r="V2843" t="n">
        <v>30</v>
      </c>
      <c r="W2843" t="n">
        <v>6</v>
      </c>
      <c r="X2843" t="n">
        <v>27.47252747252747</v>
      </c>
      <c r="Y2843" t="n">
        <v>1</v>
      </c>
      <c r="Z2843" t="n">
        <v>1</v>
      </c>
      <c r="AA2843" t="n">
        <v>0</v>
      </c>
      <c r="AB2843" t="n">
        <v>1</v>
      </c>
      <c r="AC2843" t="n">
        <v>3</v>
      </c>
      <c r="AD2843" t="n">
        <v>0</v>
      </c>
      <c r="AE2843" t="n">
        <v>290250</v>
      </c>
      <c r="AF2843" t="n">
        <v>10266</v>
      </c>
      <c r="AG2843" t="n">
        <v>2273</v>
      </c>
      <c r="AH2843" t="inlineStr">
        <is>
          <t>PT. INTI SUKSES SUMATERA - PPN (PDG)</t>
        </is>
      </c>
      <c r="AI2843" t="n">
        <v>298</v>
      </c>
      <c r="AJ2843" t="inlineStr">
        <is>
          <t>LUXCRIME</t>
        </is>
      </c>
      <c r="AK2843" t="n">
        <v>21</v>
      </c>
      <c r="AL2843" t="inlineStr">
        <is>
          <t>Miss Glam Damar</t>
        </is>
      </c>
      <c r="AM2843" t="n">
        <v>4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LUXCRIME</t>
        </is>
      </c>
      <c r="B2844" s="2">
        <f>"769503123264"</f>
        <v/>
      </c>
      <c r="C2844" t="inlineStr">
        <is>
          <t>LUXCRIME Blur &amp; Cover Two Way Cake Silk Glow Honeycomb 8.5gr</t>
        </is>
      </c>
      <c r="D2844" t="inlineStr">
        <is>
          <t>Miss Glam Damar</t>
        </is>
      </c>
      <c r="E2844" t="n">
        <v>3</v>
      </c>
      <c r="F2844" t="n">
        <v>0.182</v>
      </c>
      <c r="G2844" t="n">
        <v>0.91</v>
      </c>
      <c r="H2844" t="n">
        <v>4</v>
      </c>
      <c r="I2844" t="n">
        <v>8</v>
      </c>
      <c r="J2844" t="n">
        <v>3</v>
      </c>
      <c r="K2844" t="n">
        <v>0</v>
      </c>
      <c r="L2844" t="n">
        <v>96750</v>
      </c>
      <c r="M2844" t="n">
        <v>129000</v>
      </c>
      <c r="N2844" t="n">
        <v>91</v>
      </c>
      <c r="O2844" t="n">
        <v>0.91</v>
      </c>
      <c r="P2844" t="n">
        <v>1</v>
      </c>
      <c r="Q2844" t="n">
        <v>0.05</v>
      </c>
      <c r="R2844" t="n">
        <v>1</v>
      </c>
      <c r="S2844" t="n">
        <v>23478</v>
      </c>
      <c r="T2844" t="n">
        <v>7</v>
      </c>
      <c r="U2844" t="n">
        <v>8</v>
      </c>
      <c r="V2844" t="n">
        <v>30</v>
      </c>
      <c r="W2844" t="n">
        <v>6</v>
      </c>
      <c r="X2844" t="n">
        <v>16.48351648351648</v>
      </c>
      <c r="Y2844" t="n">
        <v>1</v>
      </c>
      <c r="Z2844" t="n">
        <v>3</v>
      </c>
      <c r="AA2844" t="n">
        <v>0</v>
      </c>
      <c r="AB2844" t="n">
        <v>3</v>
      </c>
      <c r="AC2844" t="n">
        <v>3</v>
      </c>
      <c r="AD2844" t="n">
        <v>0</v>
      </c>
      <c r="AE2844" t="n">
        <v>290250</v>
      </c>
      <c r="AF2844" t="n">
        <v>10266</v>
      </c>
      <c r="AG2844" t="n">
        <v>2273</v>
      </c>
      <c r="AH2844" t="inlineStr">
        <is>
          <t>PT. INTI SUKSES SUMATERA - PPN (PDG)</t>
        </is>
      </c>
      <c r="AI2844" t="n">
        <v>298</v>
      </c>
      <c r="AJ2844" t="inlineStr">
        <is>
          <t>LUXCRIME</t>
        </is>
      </c>
      <c r="AK2844" t="n">
        <v>21</v>
      </c>
      <c r="AL2844" t="inlineStr">
        <is>
          <t>Miss Glam Damar</t>
        </is>
      </c>
      <c r="AM2844" t="n">
        <v>4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LUXCRIME</t>
        </is>
      </c>
      <c r="B2845" s="2">
        <f>"769503123080"</f>
        <v/>
      </c>
      <c r="C2845" t="inlineStr">
        <is>
          <t>LUXCRIME Deep Cleansing Micellar Water 300ml</t>
        </is>
      </c>
      <c r="D2845" t="inlineStr">
        <is>
          <t>Miss Glam Damar</t>
        </is>
      </c>
      <c r="E2845" t="n">
        <v>2</v>
      </c>
      <c r="F2845" t="n">
        <v>0.04550000000000001</v>
      </c>
      <c r="G2845" t="n">
        <v>0.91</v>
      </c>
      <c r="H2845" t="n">
        <v>4</v>
      </c>
      <c r="I2845" t="n">
        <v>8</v>
      </c>
      <c r="J2845" t="n">
        <v>3</v>
      </c>
      <c r="K2845" t="n">
        <v>0</v>
      </c>
      <c r="L2845" t="n">
        <v>96750</v>
      </c>
      <c r="M2845" t="n">
        <v>129000</v>
      </c>
      <c r="N2845" t="n">
        <v>91</v>
      </c>
      <c r="O2845" t="n">
        <v>0.91</v>
      </c>
      <c r="P2845" t="n">
        <v>1</v>
      </c>
      <c r="Q2845" t="n">
        <v>0.02</v>
      </c>
      <c r="R2845" t="n">
        <v>1</v>
      </c>
      <c r="S2845" t="n">
        <v>5869.500000000001</v>
      </c>
      <c r="T2845" t="n">
        <v>8</v>
      </c>
      <c r="U2845" t="n">
        <v>9</v>
      </c>
      <c r="V2845" t="n">
        <v>30</v>
      </c>
      <c r="W2845" t="n">
        <v>2</v>
      </c>
      <c r="X2845" t="n">
        <v>43.95604395604395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10266</v>
      </c>
      <c r="AG2845" t="n">
        <v>2273</v>
      </c>
      <c r="AH2845" t="inlineStr">
        <is>
          <t>PT. INTI SUKSES SUMATERA - PPN (PDG)</t>
        </is>
      </c>
      <c r="AI2845" t="n">
        <v>298</v>
      </c>
      <c r="AJ2845" t="inlineStr">
        <is>
          <t>LUXCRIME</t>
        </is>
      </c>
      <c r="AK2845" t="n">
        <v>21</v>
      </c>
      <c r="AL2845" t="inlineStr">
        <is>
          <t>Miss Glam Damar</t>
        </is>
      </c>
      <c r="AM2845" t="n">
        <v>4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LUXCRIME</t>
        </is>
      </c>
      <c r="B2846" s="2">
        <f>"725765030665"</f>
        <v/>
      </c>
      <c r="C2846" t="inlineStr">
        <is>
          <t>LUXCRIME Double Duty Eyelash Curler</t>
        </is>
      </c>
      <c r="D2846" t="inlineStr">
        <is>
          <t>Miss Glam Damar</t>
        </is>
      </c>
      <c r="E2846" t="n">
        <v>7</v>
      </c>
      <c r="F2846" t="n">
        <v>0.0182</v>
      </c>
      <c r="G2846" t="n">
        <v>0.91</v>
      </c>
      <c r="H2846" t="n">
        <v>4</v>
      </c>
      <c r="I2846" t="n">
        <v>8</v>
      </c>
      <c r="J2846" t="n">
        <v>3</v>
      </c>
      <c r="K2846" t="n">
        <v>0</v>
      </c>
      <c r="L2846" t="n">
        <v>51750</v>
      </c>
      <c r="M2846" t="n">
        <v>69000</v>
      </c>
      <c r="N2846" t="n">
        <v>91</v>
      </c>
      <c r="O2846" t="n">
        <v>0.91</v>
      </c>
      <c r="P2846" t="n">
        <v>1</v>
      </c>
      <c r="Q2846" t="n">
        <v>0.08</v>
      </c>
      <c r="R2846" t="n">
        <v>1</v>
      </c>
      <c r="S2846" t="n">
        <v>1255.8</v>
      </c>
      <c r="T2846" t="n">
        <v>8</v>
      </c>
      <c r="U2846" t="n">
        <v>9</v>
      </c>
      <c r="V2846" t="n">
        <v>30</v>
      </c>
      <c r="W2846" t="n">
        <v>1</v>
      </c>
      <c r="X2846" t="n">
        <v>384.6153846153846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10266</v>
      </c>
      <c r="AG2846" t="n">
        <v>2273</v>
      </c>
      <c r="AH2846" t="inlineStr">
        <is>
          <t>PT. INTI SUKSES SUMATERA - PPN (PDG)</t>
        </is>
      </c>
      <c r="AI2846" t="n">
        <v>298</v>
      </c>
      <c r="AJ2846" t="inlineStr">
        <is>
          <t>LUXCRIME</t>
        </is>
      </c>
      <c r="AK2846" t="n">
        <v>21</v>
      </c>
      <c r="AL2846" t="inlineStr">
        <is>
          <t>Miss Glam Damar</t>
        </is>
      </c>
      <c r="AM2846" t="n">
        <v>4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LUXCRIME</t>
        </is>
      </c>
      <c r="B2847" s="2">
        <f>"20200219931"</f>
        <v/>
      </c>
      <c r="C2847" t="inlineStr">
        <is>
          <t>LUXCRIME Extreme Lengthening Mascara 5gr</t>
        </is>
      </c>
      <c r="D2847" t="inlineStr">
        <is>
          <t>Miss Glam Damar</t>
        </is>
      </c>
      <c r="E2847" t="n">
        <v>5</v>
      </c>
      <c r="F2847" t="n">
        <v>0.1</v>
      </c>
      <c r="G2847" t="n">
        <v>2</v>
      </c>
      <c r="H2847" t="n">
        <v>4</v>
      </c>
      <c r="I2847" t="n">
        <v>8</v>
      </c>
      <c r="J2847" t="n">
        <v>1</v>
      </c>
      <c r="K2847" t="n">
        <v>0</v>
      </c>
      <c r="L2847" t="n">
        <v>81750</v>
      </c>
      <c r="M2847" t="n">
        <v>109000</v>
      </c>
      <c r="N2847" t="n">
        <v>91</v>
      </c>
      <c r="O2847" t="n">
        <v>0.91</v>
      </c>
      <c r="P2847" t="n">
        <v>0</v>
      </c>
      <c r="Q2847" t="n">
        <v>0.1</v>
      </c>
      <c r="R2847" t="n">
        <v>2</v>
      </c>
      <c r="S2847" t="n">
        <v>10900</v>
      </c>
      <c r="T2847" t="n">
        <v>16</v>
      </c>
      <c r="U2847" t="n">
        <v>17</v>
      </c>
      <c r="V2847" t="n">
        <v>30</v>
      </c>
      <c r="W2847" t="n">
        <v>3</v>
      </c>
      <c r="X2847" t="n">
        <v>50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10266</v>
      </c>
      <c r="AG2847" t="n">
        <v>2273</v>
      </c>
      <c r="AH2847" t="inlineStr">
        <is>
          <t>PT. INTI SUKSES SUMATERA - PPN (PDG)</t>
        </is>
      </c>
      <c r="AI2847" t="n">
        <v>298</v>
      </c>
      <c r="AJ2847" t="inlineStr">
        <is>
          <t>LUXCRIME</t>
        </is>
      </c>
      <c r="AK2847" t="n">
        <v>21</v>
      </c>
      <c r="AL2847" t="inlineStr">
        <is>
          <t>Miss Glam Damar</t>
        </is>
      </c>
      <c r="AM2847" t="n">
        <v>4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LUXCRIME</t>
        </is>
      </c>
      <c r="B2848" s="2">
        <f>"20100930843"</f>
        <v/>
      </c>
      <c r="C2848" t="inlineStr">
        <is>
          <t>LUXCRIME Flushy Cheek Blush Blueberry Muffin 3,5 gr</t>
        </is>
      </c>
      <c r="D2848" t="inlineStr">
        <is>
          <t>Miss Glam Damar</t>
        </is>
      </c>
      <c r="E2848" t="n">
        <v>4</v>
      </c>
      <c r="F2848" t="n">
        <v>0.182</v>
      </c>
      <c r="G2848" t="n">
        <v>2.73</v>
      </c>
      <c r="H2848" t="n">
        <v>4</v>
      </c>
      <c r="I2848" t="n">
        <v>8</v>
      </c>
      <c r="J2848" t="n">
        <v>3</v>
      </c>
      <c r="K2848" t="n">
        <v>0</v>
      </c>
      <c r="L2848" t="n">
        <v>59250</v>
      </c>
      <c r="M2848" t="n">
        <v>79000</v>
      </c>
      <c r="N2848" t="n">
        <v>91</v>
      </c>
      <c r="O2848" t="n">
        <v>0.91</v>
      </c>
      <c r="P2848" t="n">
        <v>1</v>
      </c>
      <c r="Q2848" t="n">
        <v>0.19</v>
      </c>
      <c r="R2848" t="n">
        <v>2</v>
      </c>
      <c r="S2848" t="n">
        <v>14378</v>
      </c>
      <c r="T2848" t="n">
        <v>22</v>
      </c>
      <c r="U2848" t="n">
        <v>23</v>
      </c>
      <c r="V2848" t="n">
        <v>30</v>
      </c>
      <c r="W2848" t="n">
        <v>6</v>
      </c>
      <c r="X2848" t="n">
        <v>21.97802197802197</v>
      </c>
      <c r="Y2848" t="n">
        <v>1</v>
      </c>
      <c r="Z2848" t="n">
        <v>2</v>
      </c>
      <c r="AA2848" t="n">
        <v>0</v>
      </c>
      <c r="AB2848" t="n">
        <v>2</v>
      </c>
      <c r="AC2848" t="n">
        <v>3</v>
      </c>
      <c r="AD2848" t="n">
        <v>0</v>
      </c>
      <c r="AE2848" t="n">
        <v>177750</v>
      </c>
      <c r="AF2848" t="n">
        <v>10266</v>
      </c>
      <c r="AG2848" t="n">
        <v>2273</v>
      </c>
      <c r="AH2848" t="inlineStr">
        <is>
          <t>PT. INTI SUKSES SUMATERA - PPN (PDG)</t>
        </is>
      </c>
      <c r="AI2848" t="n">
        <v>298</v>
      </c>
      <c r="AJ2848" t="inlineStr">
        <is>
          <t>LUXCRIME</t>
        </is>
      </c>
      <c r="AK2848" t="n">
        <v>21</v>
      </c>
      <c r="AL2848" t="inlineStr">
        <is>
          <t>Miss Glam Damar</t>
        </is>
      </c>
      <c r="AM2848" t="n">
        <v>4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LUXCRIME</t>
        </is>
      </c>
      <c r="B2849" s="2">
        <f>"20100931022"</f>
        <v/>
      </c>
      <c r="C2849" t="inlineStr">
        <is>
          <t>LUXCRIME Flushy Cheek Blush Peach Cobbler 3,5gr</t>
        </is>
      </c>
      <c r="D2849" t="inlineStr">
        <is>
          <t>Miss Glam Damar</t>
        </is>
      </c>
      <c r="E2849" t="n">
        <v>6</v>
      </c>
      <c r="F2849" t="n">
        <v>0.06370000000000001</v>
      </c>
      <c r="G2849" t="n">
        <v>0.91</v>
      </c>
      <c r="H2849" t="n">
        <v>4</v>
      </c>
      <c r="I2849" t="n">
        <v>8</v>
      </c>
      <c r="J2849" t="n">
        <v>3</v>
      </c>
      <c r="K2849" t="n">
        <v>0</v>
      </c>
      <c r="L2849" t="n">
        <v>59250</v>
      </c>
      <c r="M2849" t="n">
        <v>79000</v>
      </c>
      <c r="N2849" t="n">
        <v>91</v>
      </c>
      <c r="O2849" t="n">
        <v>0.91</v>
      </c>
      <c r="P2849" t="n">
        <v>1</v>
      </c>
      <c r="Q2849" t="n">
        <v>0.08</v>
      </c>
      <c r="R2849" t="n">
        <v>1</v>
      </c>
      <c r="S2849" t="n">
        <v>5032.3</v>
      </c>
      <c r="T2849" t="n">
        <v>8</v>
      </c>
      <c r="U2849" t="n">
        <v>9</v>
      </c>
      <c r="V2849" t="n">
        <v>30</v>
      </c>
      <c r="W2849" t="n">
        <v>2</v>
      </c>
      <c r="X2849" t="n">
        <v>94.19152276295132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10266</v>
      </c>
      <c r="AG2849" t="n">
        <v>2273</v>
      </c>
      <c r="AH2849" t="inlineStr">
        <is>
          <t>PT. INTI SUKSES SUMATERA - PPN (PDG)</t>
        </is>
      </c>
      <c r="AI2849" t="n">
        <v>298</v>
      </c>
      <c r="AJ2849" t="inlineStr">
        <is>
          <t>LUXCRIME</t>
        </is>
      </c>
      <c r="AK2849" t="n">
        <v>21</v>
      </c>
      <c r="AL2849" t="inlineStr">
        <is>
          <t>Miss Glam Damar</t>
        </is>
      </c>
      <c r="AM2849" t="n">
        <v>4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LUXCRIME</t>
        </is>
      </c>
      <c r="B2850" s="2">
        <f>"20100930948"</f>
        <v/>
      </c>
      <c r="C2850" t="inlineStr">
        <is>
          <t>LUXCRIME Flushy Cheek Blush Strawberry Pie 3,5gr</t>
        </is>
      </c>
      <c r="D2850" t="inlineStr">
        <is>
          <t>Miss Glam Damar</t>
        </is>
      </c>
      <c r="E2850" t="n">
        <v>5</v>
      </c>
      <c r="F2850" t="n">
        <v>0.1274</v>
      </c>
      <c r="G2850" t="n">
        <v>0.91</v>
      </c>
      <c r="H2850" t="n">
        <v>4</v>
      </c>
      <c r="I2850" t="n">
        <v>8</v>
      </c>
      <c r="J2850" t="n">
        <v>3</v>
      </c>
      <c r="K2850" t="n">
        <v>0</v>
      </c>
      <c r="L2850" t="n">
        <v>59250</v>
      </c>
      <c r="M2850" t="n">
        <v>79000</v>
      </c>
      <c r="N2850" t="n">
        <v>91</v>
      </c>
      <c r="O2850" t="n">
        <v>0.91</v>
      </c>
      <c r="P2850" t="n">
        <v>1</v>
      </c>
      <c r="Q2850" t="n">
        <v>0.14</v>
      </c>
      <c r="R2850" t="n">
        <v>2</v>
      </c>
      <c r="S2850" t="n">
        <v>10064.6</v>
      </c>
      <c r="T2850" t="n">
        <v>7</v>
      </c>
      <c r="U2850" t="n">
        <v>8</v>
      </c>
      <c r="V2850" t="n">
        <v>30</v>
      </c>
      <c r="W2850" t="n">
        <v>4</v>
      </c>
      <c r="X2850" t="n">
        <v>39.24646781789639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10266</v>
      </c>
      <c r="AG2850" t="n">
        <v>2273</v>
      </c>
      <c r="AH2850" t="inlineStr">
        <is>
          <t>PT. INTI SUKSES SUMATERA - PPN (PDG)</t>
        </is>
      </c>
      <c r="AI2850" t="n">
        <v>298</v>
      </c>
      <c r="AJ2850" t="inlineStr">
        <is>
          <t>LUXCRIME</t>
        </is>
      </c>
      <c r="AK2850" t="n">
        <v>21</v>
      </c>
      <c r="AL2850" t="inlineStr">
        <is>
          <t>Miss Glam Damar</t>
        </is>
      </c>
      <c r="AM2850" t="n">
        <v>4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LUXCRIME</t>
        </is>
      </c>
      <c r="B2851" s="2">
        <f>"725765030443"</f>
        <v/>
      </c>
      <c r="C2851" t="inlineStr">
        <is>
          <t>LUXCRIME Glow Getter Setting Spray Dewy 50ml</t>
        </is>
      </c>
      <c r="D2851" t="inlineStr">
        <is>
          <t>Miss Glam Damar</t>
        </is>
      </c>
      <c r="E2851" t="n">
        <v>9</v>
      </c>
      <c r="F2851" t="n">
        <v>0.2002</v>
      </c>
      <c r="G2851" t="n">
        <v>1.82</v>
      </c>
      <c r="H2851" t="n">
        <v>4</v>
      </c>
      <c r="I2851" t="n">
        <v>8</v>
      </c>
      <c r="J2851" t="n">
        <v>6</v>
      </c>
      <c r="K2851" t="n">
        <v>0</v>
      </c>
      <c r="L2851" t="n">
        <v>59250</v>
      </c>
      <c r="M2851" t="n">
        <v>74500</v>
      </c>
      <c r="N2851" t="n">
        <v>91</v>
      </c>
      <c r="O2851" t="n">
        <v>0.91</v>
      </c>
      <c r="P2851" t="n">
        <v>1</v>
      </c>
      <c r="Q2851" t="n">
        <v>0.39</v>
      </c>
      <c r="R2851" t="n">
        <v>3</v>
      </c>
      <c r="S2851" t="n">
        <v>14914.9</v>
      </c>
      <c r="T2851" t="n">
        <v>14</v>
      </c>
      <c r="U2851" t="n">
        <v>15</v>
      </c>
      <c r="V2851" t="n">
        <v>30</v>
      </c>
      <c r="W2851" t="n">
        <v>7</v>
      </c>
      <c r="X2851" t="n">
        <v>44.95504495504495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10266</v>
      </c>
      <c r="AG2851" t="n">
        <v>2273</v>
      </c>
      <c r="AH2851" t="inlineStr">
        <is>
          <t>PT. INTI SUKSES SUMATERA - PPN (PDG)</t>
        </is>
      </c>
      <c r="AI2851" t="n">
        <v>298</v>
      </c>
      <c r="AJ2851" t="inlineStr">
        <is>
          <t>LUXCRIME</t>
        </is>
      </c>
      <c r="AK2851" t="n">
        <v>21</v>
      </c>
      <c r="AL2851" t="inlineStr">
        <is>
          <t>Miss Glam Damar</t>
        </is>
      </c>
      <c r="AM2851" t="n">
        <v>4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LUXCRIME</t>
        </is>
      </c>
      <c r="B2852" s="2">
        <f>"20100572257"</f>
        <v/>
      </c>
      <c r="C2852" t="inlineStr">
        <is>
          <t>LUXCRIME Harley Quinn Blur &amp; Cover Two Way Cake Oil Control - Buttercream 8,5gr</t>
        </is>
      </c>
      <c r="D2852" t="inlineStr">
        <is>
          <t>Miss Glam Damar</t>
        </is>
      </c>
      <c r="E2852" t="n">
        <v>6</v>
      </c>
      <c r="F2852" t="n">
        <v>0.0182</v>
      </c>
      <c r="G2852" t="n">
        <v>0.91</v>
      </c>
      <c r="H2852" t="n">
        <v>4</v>
      </c>
      <c r="I2852" t="n">
        <v>8</v>
      </c>
      <c r="J2852" t="n">
        <v>3</v>
      </c>
      <c r="K2852" t="n">
        <v>0</v>
      </c>
      <c r="L2852" t="n">
        <v>96750</v>
      </c>
      <c r="M2852" t="n">
        <v>129000</v>
      </c>
      <c r="N2852" t="n">
        <v>91</v>
      </c>
      <c r="O2852" t="n">
        <v>0.91</v>
      </c>
      <c r="P2852" t="n">
        <v>1</v>
      </c>
      <c r="Q2852" t="n">
        <v>0.12</v>
      </c>
      <c r="R2852" t="n">
        <v>2</v>
      </c>
      <c r="S2852" t="n">
        <v>2347.8</v>
      </c>
      <c r="T2852" t="n">
        <v>8</v>
      </c>
      <c r="U2852" t="n">
        <v>9</v>
      </c>
      <c r="V2852" t="n">
        <v>30</v>
      </c>
      <c r="W2852" t="n">
        <v>1</v>
      </c>
      <c r="X2852" t="n">
        <v>329.6703296703296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10266</v>
      </c>
      <c r="AG2852" t="n">
        <v>2273</v>
      </c>
      <c r="AH2852" t="inlineStr">
        <is>
          <t>PT. INTI SUKSES SUMATERA - PPN (PDG)</t>
        </is>
      </c>
      <c r="AI2852" t="n">
        <v>298</v>
      </c>
      <c r="AJ2852" t="inlineStr">
        <is>
          <t>LUXCRIME</t>
        </is>
      </c>
      <c r="AK2852" t="n">
        <v>21</v>
      </c>
      <c r="AL2852" t="inlineStr">
        <is>
          <t>Miss Glam Damar</t>
        </is>
      </c>
      <c r="AM2852" t="n">
        <v>4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LUXCRIME</t>
        </is>
      </c>
      <c r="B2853" s="2">
        <f>"20100572336"</f>
        <v/>
      </c>
      <c r="C2853" t="inlineStr">
        <is>
          <t>LUXCRIME Harley Quinn Blur &amp; Cover Two Way Cake Oil Control - Custard 8,5gr</t>
        </is>
      </c>
      <c r="D2853" t="inlineStr">
        <is>
          <t>Miss Glam Damar</t>
        </is>
      </c>
      <c r="E2853" t="n">
        <v>7</v>
      </c>
      <c r="F2853" t="n">
        <v>0.0182</v>
      </c>
      <c r="G2853" t="n">
        <v>0.91</v>
      </c>
      <c r="H2853" t="n">
        <v>4</v>
      </c>
      <c r="I2853" t="n">
        <v>8</v>
      </c>
      <c r="J2853" t="n">
        <v>3</v>
      </c>
      <c r="K2853" t="n">
        <v>0</v>
      </c>
      <c r="L2853" t="n">
        <v>96750</v>
      </c>
      <c r="M2853" t="n">
        <v>129000</v>
      </c>
      <c r="N2853" t="n">
        <v>91</v>
      </c>
      <c r="O2853" t="n">
        <v>0.91</v>
      </c>
      <c r="P2853" t="n">
        <v>1</v>
      </c>
      <c r="Q2853" t="n">
        <v>0.07000000000000001</v>
      </c>
      <c r="R2853" t="n">
        <v>2</v>
      </c>
      <c r="S2853" t="n">
        <v>2347.8</v>
      </c>
      <c r="T2853" t="n">
        <v>8</v>
      </c>
      <c r="U2853" t="n">
        <v>9</v>
      </c>
      <c r="V2853" t="n">
        <v>30</v>
      </c>
      <c r="W2853" t="n">
        <v>1</v>
      </c>
      <c r="X2853" t="n">
        <v>384.6153846153846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10266</v>
      </c>
      <c r="AG2853" t="n">
        <v>2273</v>
      </c>
      <c r="AH2853" t="inlineStr">
        <is>
          <t>PT. INTI SUKSES SUMATERA - PPN (PDG)</t>
        </is>
      </c>
      <c r="AI2853" t="n">
        <v>298</v>
      </c>
      <c r="AJ2853" t="inlineStr">
        <is>
          <t>LUXCRIME</t>
        </is>
      </c>
      <c r="AK2853" t="n">
        <v>21</v>
      </c>
      <c r="AL2853" t="inlineStr">
        <is>
          <t>Miss Glam Damar</t>
        </is>
      </c>
      <c r="AM2853" t="n">
        <v>4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LUXCRIME</t>
        </is>
      </c>
      <c r="B2854" s="2">
        <f>"20100572446"</f>
        <v/>
      </c>
      <c r="C2854" t="inlineStr">
        <is>
          <t>LUXCRIME Harley Quinn Blur &amp; Cover Two Way Cake Oil Control - Opera 8,5gr</t>
        </is>
      </c>
      <c r="D2854" t="inlineStr">
        <is>
          <t>Miss Glam Damar</t>
        </is>
      </c>
      <c r="E2854" t="n">
        <v>9</v>
      </c>
      <c r="F2854" t="n">
        <v>0.02</v>
      </c>
      <c r="G2854" t="n">
        <v>1</v>
      </c>
      <c r="H2854" t="n">
        <v>4</v>
      </c>
      <c r="I2854" t="n">
        <v>8</v>
      </c>
      <c r="J2854" t="n">
        <v>3</v>
      </c>
      <c r="K2854" t="n">
        <v>0</v>
      </c>
      <c r="L2854" t="n">
        <v>96750</v>
      </c>
      <c r="M2854" t="n">
        <v>129000</v>
      </c>
      <c r="N2854" t="n">
        <v>91</v>
      </c>
      <c r="O2854" t="n">
        <v>0.91</v>
      </c>
      <c r="P2854" t="n">
        <v>0</v>
      </c>
      <c r="Q2854" t="n">
        <v>0.02</v>
      </c>
      <c r="R2854" t="n">
        <v>1</v>
      </c>
      <c r="S2854" t="n">
        <v>2580</v>
      </c>
      <c r="T2854" t="n">
        <v>8</v>
      </c>
      <c r="U2854" t="n">
        <v>9</v>
      </c>
      <c r="V2854" t="n">
        <v>30</v>
      </c>
      <c r="W2854" t="n">
        <v>1</v>
      </c>
      <c r="X2854" t="n">
        <v>450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10266</v>
      </c>
      <c r="AG2854" t="n">
        <v>2273</v>
      </c>
      <c r="AH2854" t="inlineStr">
        <is>
          <t>PT. INTI SUKSES SUMATERA - PPN (PDG)</t>
        </is>
      </c>
      <c r="AI2854" t="n">
        <v>298</v>
      </c>
      <c r="AJ2854" t="inlineStr">
        <is>
          <t>LUXCRIME</t>
        </is>
      </c>
      <c r="AK2854" t="n">
        <v>21</v>
      </c>
      <c r="AL2854" t="inlineStr">
        <is>
          <t>Miss Glam Damar</t>
        </is>
      </c>
      <c r="AM2854" t="n">
        <v>4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LUXCRIME</t>
        </is>
      </c>
      <c r="B2855" s="2">
        <f>"203002178236"</f>
        <v/>
      </c>
      <c r="C2855" t="inlineStr">
        <is>
          <t>LUXCRIME Harley Quinn Ultra Light Lip Stain - Lil Monster 3,5gr</t>
        </is>
      </c>
      <c r="D2855" t="inlineStr">
        <is>
          <t>Miss Glam Damar</t>
        </is>
      </c>
      <c r="E2855" t="n">
        <v>5</v>
      </c>
      <c r="F2855" t="n">
        <v>0.02</v>
      </c>
      <c r="G2855" t="n">
        <v>1</v>
      </c>
      <c r="H2855" t="n">
        <v>4</v>
      </c>
      <c r="I2855" t="n">
        <v>8</v>
      </c>
      <c r="J2855" t="n">
        <v>3</v>
      </c>
      <c r="K2855" t="n">
        <v>0</v>
      </c>
      <c r="L2855" t="n">
        <v>59250</v>
      </c>
      <c r="M2855" t="n">
        <v>79000</v>
      </c>
      <c r="N2855" t="n">
        <v>91</v>
      </c>
      <c r="O2855" t="n">
        <v>0.91</v>
      </c>
      <c r="P2855" t="n">
        <v>0</v>
      </c>
      <c r="Q2855" t="n">
        <v>0.02</v>
      </c>
      <c r="R2855" t="n">
        <v>1</v>
      </c>
      <c r="S2855" t="n">
        <v>1580</v>
      </c>
      <c r="T2855" t="n">
        <v>8</v>
      </c>
      <c r="U2855" t="n">
        <v>9</v>
      </c>
      <c r="V2855" t="n">
        <v>30</v>
      </c>
      <c r="W2855" t="n">
        <v>1</v>
      </c>
      <c r="X2855" t="n">
        <v>250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10266</v>
      </c>
      <c r="AG2855" t="n">
        <v>2273</v>
      </c>
      <c r="AH2855" t="inlineStr">
        <is>
          <t>PT. INTI SUKSES SUMATERA - PPN (PDG)</t>
        </is>
      </c>
      <c r="AI2855" t="n">
        <v>298</v>
      </c>
      <c r="AJ2855" t="inlineStr">
        <is>
          <t>LUXCRIME</t>
        </is>
      </c>
      <c r="AK2855" t="n">
        <v>21</v>
      </c>
      <c r="AL2855" t="inlineStr">
        <is>
          <t>Miss Glam Damar</t>
        </is>
      </c>
      <c r="AM2855" t="n">
        <v>4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LUXCRIME</t>
        </is>
      </c>
      <c r="B2856" s="2">
        <f>"20200332622"</f>
        <v/>
      </c>
      <c r="C2856" t="inlineStr">
        <is>
          <t>LUXCRIME Harley Quinn Ultra Stay Eyeliner - Midnight 0,6gr</t>
        </is>
      </c>
      <c r="D2856" t="inlineStr">
        <is>
          <t>Miss Glam Damar</t>
        </is>
      </c>
      <c r="E2856" t="n">
        <v>3</v>
      </c>
      <c r="F2856" t="n">
        <v>0.08</v>
      </c>
      <c r="G2856" t="n">
        <v>1</v>
      </c>
      <c r="H2856" t="n">
        <v>4</v>
      </c>
      <c r="I2856" t="n">
        <v>8</v>
      </c>
      <c r="J2856" t="n">
        <v>3</v>
      </c>
      <c r="K2856" t="n">
        <v>0</v>
      </c>
      <c r="L2856" t="n">
        <v>81750</v>
      </c>
      <c r="M2856" t="n">
        <v>109000</v>
      </c>
      <c r="N2856" t="n">
        <v>91</v>
      </c>
      <c r="O2856" t="n">
        <v>0.91</v>
      </c>
      <c r="P2856" t="n">
        <v>0</v>
      </c>
      <c r="Q2856" t="n">
        <v>0.08</v>
      </c>
      <c r="R2856" t="n">
        <v>1</v>
      </c>
      <c r="S2856" t="n">
        <v>8720</v>
      </c>
      <c r="T2856" t="n">
        <v>8</v>
      </c>
      <c r="U2856" t="n">
        <v>9</v>
      </c>
      <c r="V2856" t="n">
        <v>30</v>
      </c>
      <c r="W2856" t="n">
        <v>3</v>
      </c>
      <c r="X2856" t="n">
        <v>37.5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10266</v>
      </c>
      <c r="AG2856" t="n">
        <v>2273</v>
      </c>
      <c r="AH2856" t="inlineStr">
        <is>
          <t>PT. INTI SUKSES SUMATERA - PPN (PDG)</t>
        </is>
      </c>
      <c r="AI2856" t="n">
        <v>298</v>
      </c>
      <c r="AJ2856" t="inlineStr">
        <is>
          <t>LUXCRIME</t>
        </is>
      </c>
      <c r="AK2856" t="n">
        <v>21</v>
      </c>
      <c r="AL2856" t="inlineStr">
        <is>
          <t>Miss Glam Damar</t>
        </is>
      </c>
      <c r="AM2856" t="n">
        <v>4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LUXCRIME</t>
        </is>
      </c>
      <c r="B2857" s="2">
        <f>"769503122748"</f>
        <v/>
      </c>
      <c r="C2857" t="inlineStr">
        <is>
          <t>LUXCRIME Healthy Glow Skin Perfector Oil Serum Hybrid 30ml</t>
        </is>
      </c>
      <c r="D2857" t="inlineStr">
        <is>
          <t>Miss Glam Damar</t>
        </is>
      </c>
      <c r="E2857" t="n">
        <v>1</v>
      </c>
      <c r="F2857" t="n">
        <v>0.06370000000000001</v>
      </c>
      <c r="G2857" t="n">
        <v>0.91</v>
      </c>
      <c r="H2857" t="n">
        <v>4</v>
      </c>
      <c r="I2857" t="n">
        <v>8</v>
      </c>
      <c r="J2857" t="n">
        <v>3</v>
      </c>
      <c r="K2857" t="n">
        <v>0</v>
      </c>
      <c r="L2857" t="n">
        <v>89250</v>
      </c>
      <c r="M2857" t="n">
        <v>119000</v>
      </c>
      <c r="N2857" t="n">
        <v>91</v>
      </c>
      <c r="O2857" t="n">
        <v>0.91</v>
      </c>
      <c r="P2857" t="n">
        <v>1</v>
      </c>
      <c r="Q2857" t="n">
        <v>0</v>
      </c>
      <c r="R2857" t="n">
        <v>0</v>
      </c>
      <c r="S2857" t="n">
        <v>7580.300000000001</v>
      </c>
      <c r="T2857" t="n">
        <v>8</v>
      </c>
      <c r="U2857" t="n">
        <v>9</v>
      </c>
      <c r="V2857" t="n">
        <v>30</v>
      </c>
      <c r="W2857" t="n">
        <v>2</v>
      </c>
      <c r="X2857" t="n">
        <v>15.69858712715855</v>
      </c>
      <c r="Y2857" t="n">
        <v>1</v>
      </c>
      <c r="Z2857" t="n">
        <v>1</v>
      </c>
      <c r="AA2857" t="n">
        <v>0</v>
      </c>
      <c r="AB2857" t="n">
        <v>1</v>
      </c>
      <c r="AC2857" t="n">
        <v>3</v>
      </c>
      <c r="AD2857" t="n">
        <v>0</v>
      </c>
      <c r="AE2857" t="n">
        <v>267750</v>
      </c>
      <c r="AF2857" t="n">
        <v>10266</v>
      </c>
      <c r="AG2857" t="n">
        <v>2273</v>
      </c>
      <c r="AH2857" t="inlineStr">
        <is>
          <t>PT. INTI SUKSES SUMATERA - PPN (PDG)</t>
        </is>
      </c>
      <c r="AI2857" t="n">
        <v>298</v>
      </c>
      <c r="AJ2857" t="inlineStr">
        <is>
          <t>LUXCRIME</t>
        </is>
      </c>
      <c r="AK2857" t="n">
        <v>21</v>
      </c>
      <c r="AL2857" t="inlineStr">
        <is>
          <t>Miss Glam Damar</t>
        </is>
      </c>
      <c r="AM2857" t="n">
        <v>4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LUXCRIME</t>
        </is>
      </c>
      <c r="B2858" s="2">
        <f>"769503123646"</f>
        <v/>
      </c>
      <c r="C2858" t="inlineStr">
        <is>
          <t>LUXCRIME Instant Cover Hydra Light Concealer CO1 4.5gr</t>
        </is>
      </c>
      <c r="D2858" t="inlineStr">
        <is>
          <t>Miss Glam Damar</t>
        </is>
      </c>
      <c r="E2858" t="n">
        <v>3</v>
      </c>
      <c r="F2858" t="n">
        <v>0.0728</v>
      </c>
      <c r="G2858" t="n">
        <v>0.91</v>
      </c>
      <c r="H2858" t="n">
        <v>4</v>
      </c>
      <c r="I2858" t="n">
        <v>8</v>
      </c>
      <c r="J2858" t="n">
        <v>3</v>
      </c>
      <c r="K2858" t="n">
        <v>0</v>
      </c>
      <c r="L2858" t="n">
        <v>66750</v>
      </c>
      <c r="M2858" t="n">
        <v>89000</v>
      </c>
      <c r="N2858" t="n">
        <v>91</v>
      </c>
      <c r="O2858" t="n">
        <v>0.91</v>
      </c>
      <c r="P2858" t="n">
        <v>1</v>
      </c>
      <c r="Q2858" t="n">
        <v>0.1</v>
      </c>
      <c r="R2858" t="n">
        <v>1</v>
      </c>
      <c r="S2858" t="n">
        <v>6479.200000000001</v>
      </c>
      <c r="T2858" t="n">
        <v>7</v>
      </c>
      <c r="U2858" t="n">
        <v>8</v>
      </c>
      <c r="V2858" t="n">
        <v>30</v>
      </c>
      <c r="W2858" t="n">
        <v>3</v>
      </c>
      <c r="X2858" t="n">
        <v>41.2087912087912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10266</v>
      </c>
      <c r="AG2858" t="n">
        <v>2273</v>
      </c>
      <c r="AH2858" t="inlineStr">
        <is>
          <t>PT. INTI SUKSES SUMATERA - PPN (PDG)</t>
        </is>
      </c>
      <c r="AI2858" t="n">
        <v>298</v>
      </c>
      <c r="AJ2858" t="inlineStr">
        <is>
          <t>LUXCRIME</t>
        </is>
      </c>
      <c r="AK2858" t="n">
        <v>21</v>
      </c>
      <c r="AL2858" t="inlineStr">
        <is>
          <t>Miss Glam Damar</t>
        </is>
      </c>
      <c r="AM2858" t="n">
        <v>4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LUXCRIME</t>
        </is>
      </c>
      <c r="B2859" s="2">
        <f>"769503123639"</f>
        <v/>
      </c>
      <c r="C2859" t="inlineStr">
        <is>
          <t>LUXCRIME Instant Cover Hydra Light Concealer N00 4.5gr</t>
        </is>
      </c>
      <c r="D2859" t="inlineStr">
        <is>
          <t>Miss Glam Damar</t>
        </is>
      </c>
      <c r="E2859" t="n">
        <v>8</v>
      </c>
      <c r="F2859" t="n">
        <v>0.0182</v>
      </c>
      <c r="G2859" t="n">
        <v>0.91</v>
      </c>
      <c r="H2859" t="n">
        <v>4</v>
      </c>
      <c r="I2859" t="n">
        <v>8</v>
      </c>
      <c r="J2859" t="n">
        <v>3</v>
      </c>
      <c r="K2859" t="n">
        <v>0</v>
      </c>
      <c r="L2859" t="n">
        <v>66750</v>
      </c>
      <c r="M2859" t="n">
        <v>89000</v>
      </c>
      <c r="N2859" t="n">
        <v>91</v>
      </c>
      <c r="O2859" t="n">
        <v>0.91</v>
      </c>
      <c r="P2859" t="n">
        <v>1</v>
      </c>
      <c r="Q2859" t="n">
        <v>0.05</v>
      </c>
      <c r="R2859" t="n">
        <v>1</v>
      </c>
      <c r="S2859" t="n">
        <v>1619.8</v>
      </c>
      <c r="T2859" t="n">
        <v>8</v>
      </c>
      <c r="U2859" t="n">
        <v>9</v>
      </c>
      <c r="V2859" t="n">
        <v>30</v>
      </c>
      <c r="W2859" t="n">
        <v>1</v>
      </c>
      <c r="X2859" t="n">
        <v>439.5604395604395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10266</v>
      </c>
      <c r="AG2859" t="n">
        <v>2273</v>
      </c>
      <c r="AH2859" t="inlineStr">
        <is>
          <t>PT. INTI SUKSES SUMATERA - PPN (PDG)</t>
        </is>
      </c>
      <c r="AI2859" t="n">
        <v>298</v>
      </c>
      <c r="AJ2859" t="inlineStr">
        <is>
          <t>LUXCRIME</t>
        </is>
      </c>
      <c r="AK2859" t="n">
        <v>21</v>
      </c>
      <c r="AL2859" t="inlineStr">
        <is>
          <t>Miss Glam Damar</t>
        </is>
      </c>
      <c r="AM2859" t="n">
        <v>4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LUXCRIME</t>
        </is>
      </c>
      <c r="B2860" s="2">
        <f>"769503123653"</f>
        <v/>
      </c>
      <c r="C2860" t="inlineStr">
        <is>
          <t>LUXCRIME Instant Cover Hydra Light Concealer N01 4.5gr</t>
        </is>
      </c>
      <c r="D2860" t="inlineStr">
        <is>
          <t>Miss Glam Damar</t>
        </is>
      </c>
      <c r="E2860" t="n">
        <v>15</v>
      </c>
      <c r="F2860" t="n">
        <v>0.1274</v>
      </c>
      <c r="G2860" t="n">
        <v>1.82</v>
      </c>
      <c r="H2860" t="n">
        <v>4</v>
      </c>
      <c r="I2860" t="n">
        <v>8</v>
      </c>
      <c r="J2860" t="n">
        <v>3</v>
      </c>
      <c r="K2860" t="n">
        <v>0</v>
      </c>
      <c r="L2860" t="n">
        <v>66750</v>
      </c>
      <c r="M2860" t="n">
        <v>89000</v>
      </c>
      <c r="N2860" t="n">
        <v>91</v>
      </c>
      <c r="O2860" t="n">
        <v>0.91</v>
      </c>
      <c r="P2860" t="n">
        <v>1</v>
      </c>
      <c r="Q2860" t="n">
        <v>0.27</v>
      </c>
      <c r="R2860" t="n">
        <v>2</v>
      </c>
      <c r="S2860" t="n">
        <v>11338.6</v>
      </c>
      <c r="T2860" t="n">
        <v>15</v>
      </c>
      <c r="U2860" t="n">
        <v>16</v>
      </c>
      <c r="V2860" t="n">
        <v>30</v>
      </c>
      <c r="W2860" t="n">
        <v>4</v>
      </c>
      <c r="X2860" t="n">
        <v>117.7394034536891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10266</v>
      </c>
      <c r="AG2860" t="n">
        <v>2273</v>
      </c>
      <c r="AH2860" t="inlineStr">
        <is>
          <t>PT. INTI SUKSES SUMATERA - PPN (PDG)</t>
        </is>
      </c>
      <c r="AI2860" t="n">
        <v>298</v>
      </c>
      <c r="AJ2860" t="inlineStr">
        <is>
          <t>LUXCRIME</t>
        </is>
      </c>
      <c r="AK2860" t="n">
        <v>21</v>
      </c>
      <c r="AL2860" t="inlineStr">
        <is>
          <t>Miss Glam Damar</t>
        </is>
      </c>
      <c r="AM2860" t="n">
        <v>4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LUXCRIME</t>
        </is>
      </c>
      <c r="B2861" s="2">
        <f>"20100328918"</f>
        <v/>
      </c>
      <c r="C2861" t="inlineStr">
        <is>
          <t>LUXCRIME Instant Cover Hydra Light Concealer N02 4.5gr</t>
        </is>
      </c>
      <c r="D2861" t="inlineStr">
        <is>
          <t>Miss Glam Damar</t>
        </is>
      </c>
      <c r="E2861" t="n">
        <v>8</v>
      </c>
      <c r="F2861" t="n">
        <v>0.1365</v>
      </c>
      <c r="G2861" t="n">
        <v>1.82</v>
      </c>
      <c r="H2861" t="n">
        <v>4</v>
      </c>
      <c r="I2861" t="n">
        <v>8</v>
      </c>
      <c r="J2861" t="n">
        <v>1</v>
      </c>
      <c r="K2861" t="n">
        <v>0</v>
      </c>
      <c r="L2861" t="n">
        <v>66751</v>
      </c>
      <c r="M2861" t="n">
        <v>89000</v>
      </c>
      <c r="N2861" t="n">
        <v>91</v>
      </c>
      <c r="O2861" t="n">
        <v>0.91</v>
      </c>
      <c r="P2861" t="n">
        <v>1</v>
      </c>
      <c r="Q2861" t="n">
        <v>0.15</v>
      </c>
      <c r="R2861" t="n">
        <v>1</v>
      </c>
      <c r="S2861" t="n">
        <v>12148.5</v>
      </c>
      <c r="T2861" t="n">
        <v>15</v>
      </c>
      <c r="U2861" t="n">
        <v>16</v>
      </c>
      <c r="V2861" t="n">
        <v>30</v>
      </c>
      <c r="W2861" t="n">
        <v>5</v>
      </c>
      <c r="X2861" t="n">
        <v>58.60805860805861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10266</v>
      </c>
      <c r="AG2861" t="n">
        <v>2273</v>
      </c>
      <c r="AH2861" t="inlineStr">
        <is>
          <t>PT. INTI SUKSES SUMATERA - PPN (PDG)</t>
        </is>
      </c>
      <c r="AI2861" t="n">
        <v>298</v>
      </c>
      <c r="AJ2861" t="inlineStr">
        <is>
          <t>LUXCRIME</t>
        </is>
      </c>
      <c r="AK2861" t="n">
        <v>21</v>
      </c>
      <c r="AL2861" t="inlineStr">
        <is>
          <t>Miss Glam Damar</t>
        </is>
      </c>
      <c r="AM2861" t="n">
        <v>4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LUXCRIME</t>
        </is>
      </c>
      <c r="B2862" s="2">
        <f>"20100329042"</f>
        <v/>
      </c>
      <c r="C2862" t="inlineStr">
        <is>
          <t>LUXCRIME Instant Cover Hydra Light Concealer N03 4.5gr</t>
        </is>
      </c>
      <c r="D2862" t="inlineStr">
        <is>
          <t>Miss Glam Damar</t>
        </is>
      </c>
      <c r="E2862" t="n">
        <v>4</v>
      </c>
      <c r="F2862" t="n">
        <v>0.03</v>
      </c>
      <c r="G2862" t="n">
        <v>1</v>
      </c>
      <c r="H2862" t="n">
        <v>4</v>
      </c>
      <c r="I2862" t="n">
        <v>8</v>
      </c>
      <c r="J2862" t="n">
        <v>1</v>
      </c>
      <c r="K2862" t="n">
        <v>0</v>
      </c>
      <c r="L2862" t="n">
        <v>66750</v>
      </c>
      <c r="M2862" t="n">
        <v>89000</v>
      </c>
      <c r="N2862" t="n">
        <v>91</v>
      </c>
      <c r="O2862" t="n">
        <v>0.91</v>
      </c>
      <c r="P2862" t="n">
        <v>0</v>
      </c>
      <c r="Q2862" t="n">
        <v>0.03</v>
      </c>
      <c r="R2862" t="n">
        <v>1</v>
      </c>
      <c r="S2862" t="n">
        <v>2670</v>
      </c>
      <c r="T2862" t="n">
        <v>8</v>
      </c>
      <c r="U2862" t="n">
        <v>9</v>
      </c>
      <c r="V2862" t="n">
        <v>30</v>
      </c>
      <c r="W2862" t="n">
        <v>1</v>
      </c>
      <c r="X2862" t="n">
        <v>133.3333333333333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10266</v>
      </c>
      <c r="AG2862" t="n">
        <v>2273</v>
      </c>
      <c r="AH2862" t="inlineStr">
        <is>
          <t>PT. INTI SUKSES SUMATERA - PPN (PDG)</t>
        </is>
      </c>
      <c r="AI2862" t="n">
        <v>298</v>
      </c>
      <c r="AJ2862" t="inlineStr">
        <is>
          <t>LUXCRIME</t>
        </is>
      </c>
      <c r="AK2862" t="n">
        <v>21</v>
      </c>
      <c r="AL2862" t="inlineStr">
        <is>
          <t>Miss Glam Damar</t>
        </is>
      </c>
      <c r="AM2862" t="n">
        <v>4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LUXCRIME</t>
        </is>
      </c>
      <c r="B2863" s="2">
        <f>"769503123660"</f>
        <v/>
      </c>
      <c r="C2863" t="inlineStr">
        <is>
          <t>LUXCRIME Instant Cover Hydra Light Concealer W01 4.5gr</t>
        </is>
      </c>
      <c r="D2863" t="inlineStr">
        <is>
          <t>Miss Glam Damar</t>
        </is>
      </c>
      <c r="E2863" t="n">
        <v>3</v>
      </c>
      <c r="F2863" t="n">
        <v>0.06370000000000001</v>
      </c>
      <c r="G2863" t="n">
        <v>0.91</v>
      </c>
      <c r="H2863" t="n">
        <v>4</v>
      </c>
      <c r="I2863" t="n">
        <v>8</v>
      </c>
      <c r="J2863" t="n">
        <v>3</v>
      </c>
      <c r="K2863" t="n">
        <v>0</v>
      </c>
      <c r="L2863" t="n">
        <v>66750</v>
      </c>
      <c r="M2863" t="n">
        <v>89000</v>
      </c>
      <c r="N2863" t="n">
        <v>91</v>
      </c>
      <c r="O2863" t="n">
        <v>0.91</v>
      </c>
      <c r="P2863" t="n">
        <v>1</v>
      </c>
      <c r="Q2863" t="n">
        <v>0.08</v>
      </c>
      <c r="R2863" t="n">
        <v>2</v>
      </c>
      <c r="S2863" t="n">
        <v>5669.3</v>
      </c>
      <c r="T2863" t="n">
        <v>8</v>
      </c>
      <c r="U2863" t="n">
        <v>9</v>
      </c>
      <c r="V2863" t="n">
        <v>30</v>
      </c>
      <c r="W2863" t="n">
        <v>2</v>
      </c>
      <c r="X2863" t="n">
        <v>47.09576138147566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10266</v>
      </c>
      <c r="AG2863" t="n">
        <v>2273</v>
      </c>
      <c r="AH2863" t="inlineStr">
        <is>
          <t>PT. INTI SUKSES SUMATERA - PPN (PDG)</t>
        </is>
      </c>
      <c r="AI2863" t="n">
        <v>298</v>
      </c>
      <c r="AJ2863" t="inlineStr">
        <is>
          <t>LUXCRIME</t>
        </is>
      </c>
      <c r="AK2863" t="n">
        <v>21</v>
      </c>
      <c r="AL2863" t="inlineStr">
        <is>
          <t>Miss Glam Damar</t>
        </is>
      </c>
      <c r="AM2863" t="n">
        <v>4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LUXCRIME</t>
        </is>
      </c>
      <c r="B2864" s="2">
        <f>"20100329101"</f>
        <v/>
      </c>
      <c r="C2864" t="inlineStr">
        <is>
          <t>LUXCRIME Instant Cover Hydra Light Concealer W02 4.5gr</t>
        </is>
      </c>
      <c r="D2864" t="inlineStr">
        <is>
          <t>Miss Glam Damar</t>
        </is>
      </c>
      <c r="E2864" t="n">
        <v>1</v>
      </c>
      <c r="F2864" t="n">
        <v>0.06370000000000001</v>
      </c>
      <c r="G2864" t="n">
        <v>0.91</v>
      </c>
      <c r="H2864" t="n">
        <v>4</v>
      </c>
      <c r="I2864" t="n">
        <v>8</v>
      </c>
      <c r="J2864" t="n">
        <v>1</v>
      </c>
      <c r="K2864" t="n">
        <v>0</v>
      </c>
      <c r="L2864" t="n">
        <v>66750</v>
      </c>
      <c r="M2864" t="n">
        <v>89000</v>
      </c>
      <c r="N2864" t="n">
        <v>91</v>
      </c>
      <c r="O2864" t="n">
        <v>0.91</v>
      </c>
      <c r="P2864" t="n">
        <v>1</v>
      </c>
      <c r="Q2864" t="n">
        <v>0.08</v>
      </c>
      <c r="R2864" t="n">
        <v>1</v>
      </c>
      <c r="S2864" t="n">
        <v>5669.3</v>
      </c>
      <c r="T2864" t="n">
        <v>8</v>
      </c>
      <c r="U2864" t="n">
        <v>9</v>
      </c>
      <c r="V2864" t="n">
        <v>30</v>
      </c>
      <c r="W2864" t="n">
        <v>2</v>
      </c>
      <c r="X2864" t="n">
        <v>15.69858712715855</v>
      </c>
      <c r="Y2864" t="n">
        <v>1</v>
      </c>
      <c r="Z2864" t="n">
        <v>1</v>
      </c>
      <c r="AA2864" t="n">
        <v>0</v>
      </c>
      <c r="AB2864" t="n">
        <v>1</v>
      </c>
      <c r="AC2864" t="n">
        <v>1</v>
      </c>
      <c r="AD2864" t="n">
        <v>0</v>
      </c>
      <c r="AE2864" t="n">
        <v>66750</v>
      </c>
      <c r="AF2864" t="n">
        <v>10266</v>
      </c>
      <c r="AG2864" t="n">
        <v>2273</v>
      </c>
      <c r="AH2864" t="inlineStr">
        <is>
          <t>PT. INTI SUKSES SUMATERA - PPN (PDG)</t>
        </is>
      </c>
      <c r="AI2864" t="n">
        <v>298</v>
      </c>
      <c r="AJ2864" t="inlineStr">
        <is>
          <t>LUXCRIME</t>
        </is>
      </c>
      <c r="AK2864" t="n">
        <v>21</v>
      </c>
      <c r="AL2864" t="inlineStr">
        <is>
          <t>Miss Glam Damar</t>
        </is>
      </c>
      <c r="AM2864" t="n">
        <v>4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LUXCRIME</t>
        </is>
      </c>
      <c r="B2865" s="2">
        <f>"769503123189"</f>
        <v/>
      </c>
      <c r="C2865" t="inlineStr">
        <is>
          <t>LUXCRIME Lux Blur &amp; Cover Two Way Cake Oil Control Buttercream 8,5gr</t>
        </is>
      </c>
      <c r="D2865" t="inlineStr">
        <is>
          <t>Miss Glam Damar</t>
        </is>
      </c>
      <c r="E2865" t="n">
        <v>16</v>
      </c>
      <c r="F2865" t="n">
        <v>0.8372000000000001</v>
      </c>
      <c r="G2865" t="n">
        <v>4.55</v>
      </c>
      <c r="H2865" t="n">
        <v>4</v>
      </c>
      <c r="I2865" t="n">
        <v>8</v>
      </c>
      <c r="J2865" t="n">
        <v>3</v>
      </c>
      <c r="K2865" t="n">
        <v>0</v>
      </c>
      <c r="L2865" t="n">
        <v>96750</v>
      </c>
      <c r="M2865" t="n">
        <v>129000</v>
      </c>
      <c r="N2865" t="n">
        <v>91</v>
      </c>
      <c r="O2865" t="n">
        <v>0.91</v>
      </c>
      <c r="P2865" t="n">
        <v>1</v>
      </c>
      <c r="Q2865" t="n">
        <v>0.46</v>
      </c>
      <c r="R2865" t="n">
        <v>5</v>
      </c>
      <c r="S2865" t="n">
        <v>107998.8</v>
      </c>
      <c r="T2865" t="n">
        <v>34</v>
      </c>
      <c r="U2865" t="n">
        <v>38</v>
      </c>
      <c r="V2865" t="n">
        <v>30</v>
      </c>
      <c r="W2865" t="n">
        <v>26</v>
      </c>
      <c r="X2865" t="n">
        <v>19.11132345914955</v>
      </c>
      <c r="Y2865" t="n">
        <v>1</v>
      </c>
      <c r="Z2865" t="n">
        <v>10</v>
      </c>
      <c r="AA2865" t="n">
        <v>0</v>
      </c>
      <c r="AB2865" t="n">
        <v>10</v>
      </c>
      <c r="AC2865" t="n">
        <v>10</v>
      </c>
      <c r="AD2865" t="n">
        <v>0</v>
      </c>
      <c r="AE2865" t="n">
        <v>967500</v>
      </c>
      <c r="AF2865" t="n">
        <v>10266</v>
      </c>
      <c r="AG2865" t="n">
        <v>2273</v>
      </c>
      <c r="AH2865" t="inlineStr">
        <is>
          <t>PT. INTI SUKSES SUMATERA - PPN (PDG)</t>
        </is>
      </c>
      <c r="AI2865" t="n">
        <v>298</v>
      </c>
      <c r="AJ2865" t="inlineStr">
        <is>
          <t>LUXCRIME</t>
        </is>
      </c>
      <c r="AK2865" t="n">
        <v>21</v>
      </c>
      <c r="AL2865" t="inlineStr">
        <is>
          <t>Miss Glam Damar</t>
        </is>
      </c>
      <c r="AM2865" t="n">
        <v>4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LUXCRIME</t>
        </is>
      </c>
      <c r="B2866" s="2">
        <f>"769503123172"</f>
        <v/>
      </c>
      <c r="C2866" t="inlineStr">
        <is>
          <t>LUXCRIME Lux Blur &amp; Cover Two Way Cake Oil Control Cream Puff 8,5gr</t>
        </is>
      </c>
      <c r="D2866" t="inlineStr">
        <is>
          <t>Miss Glam Damar</t>
        </is>
      </c>
      <c r="E2866" t="n">
        <v>7</v>
      </c>
      <c r="F2866" t="n">
        <v>0.2457</v>
      </c>
      <c r="G2866" t="n">
        <v>1.82</v>
      </c>
      <c r="H2866" t="n">
        <v>4</v>
      </c>
      <c r="I2866" t="n">
        <v>8</v>
      </c>
      <c r="J2866" t="n">
        <v>3</v>
      </c>
      <c r="K2866" t="n">
        <v>0</v>
      </c>
      <c r="L2866" t="n">
        <v>96750</v>
      </c>
      <c r="M2866" t="n">
        <v>129000</v>
      </c>
      <c r="N2866" t="n">
        <v>91</v>
      </c>
      <c r="O2866" t="n">
        <v>0.91</v>
      </c>
      <c r="P2866" t="n">
        <v>1</v>
      </c>
      <c r="Q2866" t="n">
        <v>0.15</v>
      </c>
      <c r="R2866" t="n">
        <v>1</v>
      </c>
      <c r="S2866" t="n">
        <v>31695.3</v>
      </c>
      <c r="T2866" t="n">
        <v>14</v>
      </c>
      <c r="U2866" t="n">
        <v>15</v>
      </c>
      <c r="V2866" t="n">
        <v>30</v>
      </c>
      <c r="W2866" t="n">
        <v>8</v>
      </c>
      <c r="X2866" t="n">
        <v>28.49002849002849</v>
      </c>
      <c r="Y2866" t="n">
        <v>1</v>
      </c>
      <c r="Z2866" t="n">
        <v>1</v>
      </c>
      <c r="AA2866" t="n">
        <v>0</v>
      </c>
      <c r="AB2866" t="n">
        <v>1</v>
      </c>
      <c r="AC2866" t="n">
        <v>3</v>
      </c>
      <c r="AD2866" t="n">
        <v>0</v>
      </c>
      <c r="AE2866" t="n">
        <v>290250</v>
      </c>
      <c r="AF2866" t="n">
        <v>10266</v>
      </c>
      <c r="AG2866" t="n">
        <v>2273</v>
      </c>
      <c r="AH2866" t="inlineStr">
        <is>
          <t>PT. INTI SUKSES SUMATERA - PPN (PDG)</t>
        </is>
      </c>
      <c r="AI2866" t="n">
        <v>298</v>
      </c>
      <c r="AJ2866" t="inlineStr">
        <is>
          <t>LUXCRIME</t>
        </is>
      </c>
      <c r="AK2866" t="n">
        <v>21</v>
      </c>
      <c r="AL2866" t="inlineStr">
        <is>
          <t>Miss Glam Damar</t>
        </is>
      </c>
      <c r="AM2866" t="n">
        <v>4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LUXCRIME</t>
        </is>
      </c>
      <c r="B2867" s="2">
        <f>"769503123219"</f>
        <v/>
      </c>
      <c r="C2867" t="inlineStr">
        <is>
          <t>LUXCRIME Lux Blur &amp; Cover Two Way Cake Oil Control Opera 8,5gr</t>
        </is>
      </c>
      <c r="D2867" t="inlineStr">
        <is>
          <t>Miss Glam Damar</t>
        </is>
      </c>
      <c r="E2867" t="n">
        <v>10</v>
      </c>
      <c r="F2867" t="n">
        <v>0.0546</v>
      </c>
      <c r="G2867" t="n">
        <v>0.91</v>
      </c>
      <c r="H2867" t="n">
        <v>4</v>
      </c>
      <c r="I2867" t="n">
        <v>8</v>
      </c>
      <c r="J2867" t="n">
        <v>3</v>
      </c>
      <c r="K2867" t="n">
        <v>0</v>
      </c>
      <c r="L2867" t="n">
        <v>96750</v>
      </c>
      <c r="M2867" t="n">
        <v>129000</v>
      </c>
      <c r="N2867" t="n">
        <v>91</v>
      </c>
      <c r="O2867" t="n">
        <v>0.91</v>
      </c>
      <c r="P2867" t="n">
        <v>1</v>
      </c>
      <c r="Q2867" t="n">
        <v>0.02</v>
      </c>
      <c r="R2867" t="n">
        <v>1</v>
      </c>
      <c r="S2867" t="n">
        <v>7043.400000000001</v>
      </c>
      <c r="T2867" t="n">
        <v>8</v>
      </c>
      <c r="U2867" t="n">
        <v>9</v>
      </c>
      <c r="V2867" t="n">
        <v>30</v>
      </c>
      <c r="W2867" t="n">
        <v>2</v>
      </c>
      <c r="X2867" t="n">
        <v>183.1501831501832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10266</v>
      </c>
      <c r="AG2867" t="n">
        <v>2273</v>
      </c>
      <c r="AH2867" t="inlineStr">
        <is>
          <t>PT. INTI SUKSES SUMATERA - PPN (PDG)</t>
        </is>
      </c>
      <c r="AI2867" t="n">
        <v>298</v>
      </c>
      <c r="AJ2867" t="inlineStr">
        <is>
          <t>LUXCRIME</t>
        </is>
      </c>
      <c r="AK2867" t="n">
        <v>21</v>
      </c>
      <c r="AL2867" t="inlineStr">
        <is>
          <t>Miss Glam Damar</t>
        </is>
      </c>
      <c r="AM2867" t="n">
        <v>4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LUXCRIME</t>
        </is>
      </c>
      <c r="B2868" s="2">
        <f>"769503122892"</f>
        <v/>
      </c>
      <c r="C2868" t="inlineStr">
        <is>
          <t>LUXCRIME Pencil Brown 12gr</t>
        </is>
      </c>
      <c r="D2868" t="inlineStr">
        <is>
          <t>Miss Glam Damar</t>
        </is>
      </c>
      <c r="E2868" t="n">
        <v>4</v>
      </c>
      <c r="F2868" t="n">
        <v>0.0182</v>
      </c>
      <c r="G2868" t="n">
        <v>0</v>
      </c>
      <c r="H2868" t="n">
        <v>4</v>
      </c>
      <c r="I2868" t="n">
        <v>8</v>
      </c>
      <c r="J2868" t="n">
        <v>3</v>
      </c>
      <c r="K2868" t="n">
        <v>0</v>
      </c>
      <c r="L2868" t="n">
        <v>74250</v>
      </c>
      <c r="M2868" t="n">
        <v>99000</v>
      </c>
      <c r="N2868" t="n">
        <v>91</v>
      </c>
      <c r="O2868" t="n">
        <v>0.91</v>
      </c>
      <c r="P2868" t="n">
        <v>1</v>
      </c>
      <c r="Q2868" t="n">
        <v>0.02</v>
      </c>
      <c r="R2868" t="n">
        <v>1</v>
      </c>
      <c r="S2868" t="n">
        <v>1801.8</v>
      </c>
      <c r="T2868" t="n">
        <v>0</v>
      </c>
      <c r="U2868" t="n">
        <v>1</v>
      </c>
      <c r="V2868" t="n">
        <v>30</v>
      </c>
      <c r="W2868" t="n">
        <v>1</v>
      </c>
      <c r="X2868" t="n">
        <v>219.7802197802198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10266</v>
      </c>
      <c r="AG2868" t="n">
        <v>2273</v>
      </c>
      <c r="AH2868" t="inlineStr">
        <is>
          <t>PT. INTI SUKSES SUMATERA - PPN (PDG)</t>
        </is>
      </c>
      <c r="AI2868" t="n">
        <v>298</v>
      </c>
      <c r="AJ2868" t="inlineStr">
        <is>
          <t>LUXCRIME</t>
        </is>
      </c>
      <c r="AK2868" t="n">
        <v>21</v>
      </c>
      <c r="AL2868" t="inlineStr">
        <is>
          <t>Miss Glam Damar</t>
        </is>
      </c>
      <c r="AM2868" t="n">
        <v>4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LUXCRIME</t>
        </is>
      </c>
      <c r="B2869" s="2">
        <f>"769503122908"</f>
        <v/>
      </c>
      <c r="C2869" t="inlineStr">
        <is>
          <t>LUXCRIME Pencil Dark Brown 12gr</t>
        </is>
      </c>
      <c r="D2869" t="inlineStr">
        <is>
          <t>Miss Glam Damar</t>
        </is>
      </c>
      <c r="E2869" t="n">
        <v>2</v>
      </c>
      <c r="F2869" t="n">
        <v>0.0182</v>
      </c>
      <c r="G2869" t="n">
        <v>0.91</v>
      </c>
      <c r="H2869" t="n">
        <v>4</v>
      </c>
      <c r="I2869" t="n">
        <v>8</v>
      </c>
      <c r="J2869" t="n">
        <v>3</v>
      </c>
      <c r="K2869" t="n">
        <v>0</v>
      </c>
      <c r="L2869" t="n">
        <v>74250</v>
      </c>
      <c r="M2869" t="n">
        <v>99000</v>
      </c>
      <c r="N2869" t="n">
        <v>91</v>
      </c>
      <c r="O2869" t="n">
        <v>0.91</v>
      </c>
      <c r="P2869" t="n">
        <v>1</v>
      </c>
      <c r="Q2869" t="n">
        <v>0.12</v>
      </c>
      <c r="R2869" t="n">
        <v>3</v>
      </c>
      <c r="S2869" t="n">
        <v>1801.8</v>
      </c>
      <c r="T2869" t="n">
        <v>8</v>
      </c>
      <c r="U2869" t="n">
        <v>9</v>
      </c>
      <c r="V2869" t="n">
        <v>30</v>
      </c>
      <c r="W2869" t="n">
        <v>1</v>
      </c>
      <c r="X2869" t="n">
        <v>109.8901098901099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10266</v>
      </c>
      <c r="AG2869" t="n">
        <v>2273</v>
      </c>
      <c r="AH2869" t="inlineStr">
        <is>
          <t>PT. INTI SUKSES SUMATERA - PPN (PDG)</t>
        </is>
      </c>
      <c r="AI2869" t="n">
        <v>298</v>
      </c>
      <c r="AJ2869" t="inlineStr">
        <is>
          <t>LUXCRIME</t>
        </is>
      </c>
      <c r="AK2869" t="n">
        <v>21</v>
      </c>
      <c r="AL2869" t="inlineStr">
        <is>
          <t>Miss Glam Damar</t>
        </is>
      </c>
      <c r="AM2869" t="n">
        <v>4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LUXCRIME</t>
        </is>
      </c>
      <c r="B2870" s="2">
        <f>"725765030368"</f>
        <v/>
      </c>
      <c r="C2870" t="inlineStr">
        <is>
          <t>LUXCRIME Perfect Canvas Primer Hydro Blur Finish Primer 30gr</t>
        </is>
      </c>
      <c r="D2870" t="inlineStr">
        <is>
          <t>Miss Glam Damar</t>
        </is>
      </c>
      <c r="E2870" t="n">
        <v>15</v>
      </c>
      <c r="F2870" t="n">
        <v>0.1729</v>
      </c>
      <c r="G2870" t="n">
        <v>0.91</v>
      </c>
      <c r="H2870" t="n">
        <v>4</v>
      </c>
      <c r="I2870" t="n">
        <v>8</v>
      </c>
      <c r="J2870" t="n">
        <v>6</v>
      </c>
      <c r="K2870" t="n">
        <v>0</v>
      </c>
      <c r="L2870" t="n">
        <v>74250</v>
      </c>
      <c r="M2870" t="n">
        <v>93000</v>
      </c>
      <c r="N2870" t="n">
        <v>91</v>
      </c>
      <c r="O2870" t="n">
        <v>0.91</v>
      </c>
      <c r="P2870" t="n">
        <v>1</v>
      </c>
      <c r="Q2870" t="n">
        <v>0.12</v>
      </c>
      <c r="R2870" t="n">
        <v>2</v>
      </c>
      <c r="S2870" t="n">
        <v>16079.7</v>
      </c>
      <c r="T2870" t="n">
        <v>7</v>
      </c>
      <c r="U2870" t="n">
        <v>8</v>
      </c>
      <c r="V2870" t="n">
        <v>30</v>
      </c>
      <c r="W2870" t="n">
        <v>6</v>
      </c>
      <c r="X2870" t="n">
        <v>86.75534991324466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10266</v>
      </c>
      <c r="AG2870" t="n">
        <v>2273</v>
      </c>
      <c r="AH2870" t="inlineStr">
        <is>
          <t>PT. INTI SUKSES SUMATERA - PPN (PDG)</t>
        </is>
      </c>
      <c r="AI2870" t="n">
        <v>298</v>
      </c>
      <c r="AJ2870" t="inlineStr">
        <is>
          <t>LUXCRIME</t>
        </is>
      </c>
      <c r="AK2870" t="n">
        <v>21</v>
      </c>
      <c r="AL2870" t="inlineStr">
        <is>
          <t>Miss Glam Damar</t>
        </is>
      </c>
      <c r="AM2870" t="n">
        <v>4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LUXCRIME</t>
        </is>
      </c>
      <c r="B2871" s="2">
        <f>"725765030375"</f>
        <v/>
      </c>
      <c r="C2871" t="inlineStr">
        <is>
          <t>LUXCRIME Perfect Canvas Primer Mattifying Poreless Primer 30gr</t>
        </is>
      </c>
      <c r="D2871" t="inlineStr">
        <is>
          <t>Miss Glam Damar</t>
        </is>
      </c>
      <c r="E2871" t="n">
        <v>11</v>
      </c>
      <c r="F2871" t="n">
        <v>0.1456</v>
      </c>
      <c r="G2871" t="n">
        <v>1.82</v>
      </c>
      <c r="H2871" t="n">
        <v>4</v>
      </c>
      <c r="I2871" t="n">
        <v>8</v>
      </c>
      <c r="J2871" t="n">
        <v>3</v>
      </c>
      <c r="K2871" t="n">
        <v>0</v>
      </c>
      <c r="L2871" t="n">
        <v>74250</v>
      </c>
      <c r="M2871" t="n">
        <v>99000</v>
      </c>
      <c r="N2871" t="n">
        <v>91</v>
      </c>
      <c r="O2871" t="n">
        <v>0.91</v>
      </c>
      <c r="P2871" t="n">
        <v>1</v>
      </c>
      <c r="Q2871" t="n">
        <v>0.1</v>
      </c>
      <c r="R2871" t="n">
        <v>2</v>
      </c>
      <c r="S2871" t="n">
        <v>14414.4</v>
      </c>
      <c r="T2871" t="n">
        <v>14</v>
      </c>
      <c r="U2871" t="n">
        <v>15</v>
      </c>
      <c r="V2871" t="n">
        <v>30</v>
      </c>
      <c r="W2871" t="n">
        <v>5</v>
      </c>
      <c r="X2871" t="n">
        <v>75.54945054945054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10266</v>
      </c>
      <c r="AG2871" t="n">
        <v>2273</v>
      </c>
      <c r="AH2871" t="inlineStr">
        <is>
          <t>PT. INTI SUKSES SUMATERA - PPN (PDG)</t>
        </is>
      </c>
      <c r="AI2871" t="n">
        <v>298</v>
      </c>
      <c r="AJ2871" t="inlineStr">
        <is>
          <t>LUXCRIME</t>
        </is>
      </c>
      <c r="AK2871" t="n">
        <v>21</v>
      </c>
      <c r="AL2871" t="inlineStr">
        <is>
          <t>Miss Glam Damar</t>
        </is>
      </c>
      <c r="AM2871" t="n">
        <v>4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LUXCRIME</t>
        </is>
      </c>
      <c r="B2872" s="2">
        <f>"769503122557"</f>
        <v/>
      </c>
      <c r="C2872" t="inlineStr">
        <is>
          <t>LUXCRIME Perfecting Cover Cushion Healthy Glow Spf 35 PA+++ N01 13gr</t>
        </is>
      </c>
      <c r="D2872" t="inlineStr">
        <is>
          <t>Miss Glam Damar</t>
        </is>
      </c>
      <c r="E2872" t="n">
        <v>2</v>
      </c>
      <c r="F2872" t="n">
        <v>0.0728</v>
      </c>
      <c r="G2872" t="n">
        <v>0.91</v>
      </c>
      <c r="H2872" t="n">
        <v>4</v>
      </c>
      <c r="I2872" t="n">
        <v>8</v>
      </c>
      <c r="J2872" t="n">
        <v>3</v>
      </c>
      <c r="K2872" t="n">
        <v>0</v>
      </c>
      <c r="L2872" t="n">
        <v>134250</v>
      </c>
      <c r="M2872" t="n">
        <v>179000</v>
      </c>
      <c r="N2872" t="n">
        <v>91</v>
      </c>
      <c r="O2872" t="n">
        <v>0.91</v>
      </c>
      <c r="P2872" t="n">
        <v>1</v>
      </c>
      <c r="Q2872" t="n">
        <v>0.02</v>
      </c>
      <c r="R2872" t="n">
        <v>1</v>
      </c>
      <c r="S2872" t="n">
        <v>13031.2</v>
      </c>
      <c r="T2872" t="n">
        <v>7</v>
      </c>
      <c r="U2872" t="n">
        <v>8</v>
      </c>
      <c r="V2872" t="n">
        <v>30</v>
      </c>
      <c r="W2872" t="n">
        <v>3</v>
      </c>
      <c r="X2872" t="n">
        <v>27.47252747252747</v>
      </c>
      <c r="Y2872" t="n">
        <v>1</v>
      </c>
      <c r="Z2872" t="n">
        <v>1</v>
      </c>
      <c r="AA2872" t="n">
        <v>0</v>
      </c>
      <c r="AB2872" t="n">
        <v>1</v>
      </c>
      <c r="AC2872" t="n">
        <v>3</v>
      </c>
      <c r="AD2872" t="n">
        <v>0</v>
      </c>
      <c r="AE2872" t="n">
        <v>402750</v>
      </c>
      <c r="AF2872" t="n">
        <v>10266</v>
      </c>
      <c r="AG2872" t="n">
        <v>2273</v>
      </c>
      <c r="AH2872" t="inlineStr">
        <is>
          <t>PT. INTI SUKSES SUMATERA - PPN (PDG)</t>
        </is>
      </c>
      <c r="AI2872" t="n">
        <v>298</v>
      </c>
      <c r="AJ2872" t="inlineStr">
        <is>
          <t>LUXCRIME</t>
        </is>
      </c>
      <c r="AK2872" t="n">
        <v>21</v>
      </c>
      <c r="AL2872" t="inlineStr">
        <is>
          <t>Miss Glam Damar</t>
        </is>
      </c>
      <c r="AM2872" t="n">
        <v>4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LUXCRIME</t>
        </is>
      </c>
      <c r="B2873" s="2">
        <f>"769503122571"</f>
        <v/>
      </c>
      <c r="C2873" t="inlineStr">
        <is>
          <t>LUXCRIME Perfecting Cover Cushion Healthy Glow Spf 35 PA+++ N02 13gr</t>
        </is>
      </c>
      <c r="D2873" t="inlineStr">
        <is>
          <t>Miss Glam Damar</t>
        </is>
      </c>
      <c r="E2873" t="n">
        <v>2</v>
      </c>
      <c r="F2873" t="n">
        <v>0.0546</v>
      </c>
      <c r="G2873" t="n">
        <v>0.91</v>
      </c>
      <c r="H2873" t="n">
        <v>4</v>
      </c>
      <c r="I2873" t="n">
        <v>8</v>
      </c>
      <c r="J2873" t="n">
        <v>3</v>
      </c>
      <c r="K2873" t="n">
        <v>0</v>
      </c>
      <c r="L2873" t="n">
        <v>134250</v>
      </c>
      <c r="M2873" t="n">
        <v>179000</v>
      </c>
      <c r="N2873" t="n">
        <v>91</v>
      </c>
      <c r="O2873" t="n">
        <v>0.91</v>
      </c>
      <c r="P2873" t="n">
        <v>1</v>
      </c>
      <c r="Q2873" t="n">
        <v>0.02</v>
      </c>
      <c r="R2873" t="n">
        <v>0</v>
      </c>
      <c r="S2873" t="n">
        <v>9773.4</v>
      </c>
      <c r="T2873" t="n">
        <v>8</v>
      </c>
      <c r="U2873" t="n">
        <v>9</v>
      </c>
      <c r="V2873" t="n">
        <v>30</v>
      </c>
      <c r="W2873" t="n">
        <v>2</v>
      </c>
      <c r="X2873" t="n">
        <v>36.63003663003663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10266</v>
      </c>
      <c r="AG2873" t="n">
        <v>2273</v>
      </c>
      <c r="AH2873" t="inlineStr">
        <is>
          <t>PT. INTI SUKSES SUMATERA - PPN (PDG)</t>
        </is>
      </c>
      <c r="AI2873" t="n">
        <v>298</v>
      </c>
      <c r="AJ2873" t="inlineStr">
        <is>
          <t>LUXCRIME</t>
        </is>
      </c>
      <c r="AK2873" t="n">
        <v>21</v>
      </c>
      <c r="AL2873" t="inlineStr">
        <is>
          <t>Miss Glam Damar</t>
        </is>
      </c>
      <c r="AM2873" t="n">
        <v>4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LUXCRIME</t>
        </is>
      </c>
      <c r="B2874" s="2">
        <f>"769503122564"</f>
        <v/>
      </c>
      <c r="C2874" t="inlineStr">
        <is>
          <t>LUXCRIME Perfecting Cover Cushion Healthy Glow Spf 35 PA+++ W01 13gr</t>
        </is>
      </c>
      <c r="D2874" t="inlineStr">
        <is>
          <t>Miss Glam Damar</t>
        </is>
      </c>
      <c r="E2874" t="n">
        <v>8</v>
      </c>
      <c r="F2874" t="n">
        <v>0.0182</v>
      </c>
      <c r="G2874" t="n">
        <v>0.91</v>
      </c>
      <c r="H2874" t="n">
        <v>4</v>
      </c>
      <c r="I2874" t="n">
        <v>8</v>
      </c>
      <c r="J2874" t="n">
        <v>3</v>
      </c>
      <c r="K2874" t="n">
        <v>0</v>
      </c>
      <c r="L2874" t="n">
        <v>134250</v>
      </c>
      <c r="M2874" t="n">
        <v>179000</v>
      </c>
      <c r="N2874" t="n">
        <v>91</v>
      </c>
      <c r="O2874" t="n">
        <v>0.91</v>
      </c>
      <c r="P2874" t="n">
        <v>1</v>
      </c>
      <c r="Q2874" t="n">
        <v>0.02</v>
      </c>
      <c r="R2874" t="n">
        <v>1</v>
      </c>
      <c r="S2874" t="n">
        <v>3257.8</v>
      </c>
      <c r="T2874" t="n">
        <v>8</v>
      </c>
      <c r="U2874" t="n">
        <v>9</v>
      </c>
      <c r="V2874" t="n">
        <v>30</v>
      </c>
      <c r="W2874" t="n">
        <v>1</v>
      </c>
      <c r="X2874" t="n">
        <v>439.5604395604395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10266</v>
      </c>
      <c r="AG2874" t="n">
        <v>2273</v>
      </c>
      <c r="AH2874" t="inlineStr">
        <is>
          <t>PT. INTI SUKSES SUMATERA - PPN (PDG)</t>
        </is>
      </c>
      <c r="AI2874" t="n">
        <v>298</v>
      </c>
      <c r="AJ2874" t="inlineStr">
        <is>
          <t>LUXCRIME</t>
        </is>
      </c>
      <c r="AK2874" t="n">
        <v>21</v>
      </c>
      <c r="AL2874" t="inlineStr">
        <is>
          <t>Miss Glam Damar</t>
        </is>
      </c>
      <c r="AM2874" t="n">
        <v>4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LUXCRIME</t>
        </is>
      </c>
      <c r="B2875" s="2">
        <f>"769503122960"</f>
        <v/>
      </c>
      <c r="C2875" t="inlineStr">
        <is>
          <t>LUXCRIME Perfecting Cover Cushion Healthy Glow SPF 35PA +++ Refill N01 13gr</t>
        </is>
      </c>
      <c r="D2875" t="inlineStr">
        <is>
          <t>Miss Glam Damar</t>
        </is>
      </c>
      <c r="E2875" t="n">
        <v>0</v>
      </c>
      <c r="F2875" t="n">
        <v>0.02</v>
      </c>
      <c r="G2875" t="n">
        <v>1</v>
      </c>
      <c r="H2875" t="n">
        <v>4</v>
      </c>
      <c r="I2875" t="n">
        <v>8</v>
      </c>
      <c r="J2875" t="n">
        <v>3</v>
      </c>
      <c r="K2875" t="n">
        <v>0</v>
      </c>
      <c r="L2875" t="n">
        <v>96750</v>
      </c>
      <c r="M2875" t="n">
        <v>121000</v>
      </c>
      <c r="N2875" t="n">
        <v>91</v>
      </c>
      <c r="O2875" t="n">
        <v>0.91</v>
      </c>
      <c r="P2875" t="n">
        <v>0</v>
      </c>
      <c r="Q2875" t="n">
        <v>0.02</v>
      </c>
      <c r="R2875" t="n">
        <v>1</v>
      </c>
      <c r="S2875" t="n">
        <v>2420</v>
      </c>
      <c r="T2875" t="n">
        <v>8</v>
      </c>
      <c r="U2875" t="n">
        <v>9</v>
      </c>
      <c r="V2875" t="n">
        <v>30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n">
        <v>0</v>
      </c>
      <c r="AC2875" t="n">
        <v>0</v>
      </c>
      <c r="AD2875" t="n">
        <v>96750</v>
      </c>
      <c r="AE2875" t="n">
        <v>0</v>
      </c>
      <c r="AF2875" t="n">
        <v>10266</v>
      </c>
      <c r="AG2875" t="n">
        <v>2273</v>
      </c>
      <c r="AH2875" t="inlineStr">
        <is>
          <t>PT. INTI SUKSES SUMATERA - PPN (PDG)</t>
        </is>
      </c>
      <c r="AI2875" t="n">
        <v>298</v>
      </c>
      <c r="AJ2875" t="inlineStr">
        <is>
          <t>LUXCRIME</t>
        </is>
      </c>
      <c r="AK2875" t="n">
        <v>21</v>
      </c>
      <c r="AL2875" t="inlineStr">
        <is>
          <t>Miss Glam Damar</t>
        </is>
      </c>
      <c r="AM2875" t="n">
        <v>4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LUXCRIME</t>
        </is>
      </c>
      <c r="B2876" s="2">
        <f>"769503122632"</f>
        <v/>
      </c>
      <c r="C2876" t="inlineStr">
        <is>
          <t>LUXCRIME Perfecting Cover Cushion Valvet Matte Spf 50 PA+++ W01 13gr</t>
        </is>
      </c>
      <c r="D2876" t="inlineStr">
        <is>
          <t>Miss Glam Damar</t>
        </is>
      </c>
      <c r="E2876" t="n">
        <v>1</v>
      </c>
      <c r="F2876" t="n">
        <v>0.1365</v>
      </c>
      <c r="G2876" t="n">
        <v>1.82</v>
      </c>
      <c r="H2876" t="n">
        <v>4</v>
      </c>
      <c r="I2876" t="n">
        <v>8</v>
      </c>
      <c r="J2876" t="n">
        <v>3</v>
      </c>
      <c r="K2876" t="n">
        <v>0</v>
      </c>
      <c r="L2876" t="n">
        <v>134250</v>
      </c>
      <c r="M2876" t="n">
        <v>168000</v>
      </c>
      <c r="N2876" t="n">
        <v>91</v>
      </c>
      <c r="O2876" t="n">
        <v>0.91</v>
      </c>
      <c r="P2876" t="n">
        <v>1</v>
      </c>
      <c r="Q2876" t="n">
        <v>0.02</v>
      </c>
      <c r="R2876" t="n">
        <v>1</v>
      </c>
      <c r="S2876" t="n">
        <v>22932</v>
      </c>
      <c r="T2876" t="n">
        <v>15</v>
      </c>
      <c r="U2876" t="n">
        <v>16</v>
      </c>
      <c r="V2876" t="n">
        <v>30</v>
      </c>
      <c r="W2876" t="n">
        <v>5</v>
      </c>
      <c r="X2876" t="n">
        <v>7.326007326007326</v>
      </c>
      <c r="Y2876" t="n">
        <v>1</v>
      </c>
      <c r="Z2876" t="n">
        <v>4</v>
      </c>
      <c r="AA2876" t="n">
        <v>1</v>
      </c>
      <c r="AB2876" t="n">
        <v>3</v>
      </c>
      <c r="AC2876" t="n">
        <v>3</v>
      </c>
      <c r="AD2876" t="n">
        <v>134250</v>
      </c>
      <c r="AE2876" t="n">
        <v>402750</v>
      </c>
      <c r="AF2876" t="n">
        <v>10266</v>
      </c>
      <c r="AG2876" t="n">
        <v>2273</v>
      </c>
      <c r="AH2876" t="inlineStr">
        <is>
          <t>PT. INTI SUKSES SUMATERA - PPN (PDG)</t>
        </is>
      </c>
      <c r="AI2876" t="n">
        <v>298</v>
      </c>
      <c r="AJ2876" t="inlineStr">
        <is>
          <t>LUXCRIME</t>
        </is>
      </c>
      <c r="AK2876" t="n">
        <v>21</v>
      </c>
      <c r="AL2876" t="inlineStr">
        <is>
          <t>Miss Glam Damar</t>
        </is>
      </c>
      <c r="AM2876" t="n">
        <v>4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LUXCRIME</t>
        </is>
      </c>
      <c r="B2877" s="2">
        <f>"769503122625"</f>
        <v/>
      </c>
      <c r="C2877" t="inlineStr">
        <is>
          <t>LUXCRIME Perfecting Cover Cushion Velvet Matte Spf 50 PA+++  N01 13gr</t>
        </is>
      </c>
      <c r="D2877" t="inlineStr">
        <is>
          <t>Miss Glam Damar</t>
        </is>
      </c>
      <c r="E2877" t="n">
        <v>3</v>
      </c>
      <c r="F2877" t="n">
        <v>0.04550000000000001</v>
      </c>
      <c r="G2877" t="n">
        <v>0.91</v>
      </c>
      <c r="H2877" t="n">
        <v>4</v>
      </c>
      <c r="I2877" t="n">
        <v>8</v>
      </c>
      <c r="J2877" t="n">
        <v>3</v>
      </c>
      <c r="K2877" t="n">
        <v>0</v>
      </c>
      <c r="L2877" t="n">
        <v>134250</v>
      </c>
      <c r="M2877" t="n">
        <v>179000</v>
      </c>
      <c r="N2877" t="n">
        <v>91</v>
      </c>
      <c r="O2877" t="n">
        <v>0.91</v>
      </c>
      <c r="P2877" t="n">
        <v>1</v>
      </c>
      <c r="Q2877" t="n">
        <v>0.1</v>
      </c>
      <c r="R2877" t="n">
        <v>1</v>
      </c>
      <c r="S2877" t="n">
        <v>8144.500000000001</v>
      </c>
      <c r="T2877" t="n">
        <v>8</v>
      </c>
      <c r="U2877" t="n">
        <v>9</v>
      </c>
      <c r="V2877" t="n">
        <v>30</v>
      </c>
      <c r="W2877" t="n">
        <v>2</v>
      </c>
      <c r="X2877" t="n">
        <v>65.93406593406593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10266</v>
      </c>
      <c r="AG2877" t="n">
        <v>2273</v>
      </c>
      <c r="AH2877" t="inlineStr">
        <is>
          <t>PT. INTI SUKSES SUMATERA - PPN (PDG)</t>
        </is>
      </c>
      <c r="AI2877" t="n">
        <v>298</v>
      </c>
      <c r="AJ2877" t="inlineStr">
        <is>
          <t>LUXCRIME</t>
        </is>
      </c>
      <c r="AK2877" t="n">
        <v>21</v>
      </c>
      <c r="AL2877" t="inlineStr">
        <is>
          <t>Miss Glam Damar</t>
        </is>
      </c>
      <c r="AM2877" t="n">
        <v>4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LUXCRIME</t>
        </is>
      </c>
      <c r="B2878" s="2">
        <f>"20100463850"</f>
        <v/>
      </c>
      <c r="C2878" t="inlineStr">
        <is>
          <t>LUXCRIME Perfecting Cover Cushion Velvet Matte Spf 50 PA+++ N01 13gr+Bundlig</t>
        </is>
      </c>
      <c r="D2878" t="inlineStr">
        <is>
          <t>Miss Glam Damar</t>
        </is>
      </c>
      <c r="E2878" t="n">
        <v>5</v>
      </c>
      <c r="F2878" t="n">
        <v>0</v>
      </c>
      <c r="G2878" t="n">
        <v>0</v>
      </c>
      <c r="H2878" t="n">
        <v>4</v>
      </c>
      <c r="I2878" t="n">
        <v>8</v>
      </c>
      <c r="J2878" t="n">
        <v>3</v>
      </c>
      <c r="K2878" t="n">
        <v>0</v>
      </c>
      <c r="L2878" t="n">
        <v>231000</v>
      </c>
      <c r="M2878" t="n">
        <v>308000</v>
      </c>
      <c r="N2878" t="n">
        <v>91</v>
      </c>
      <c r="O2878" t="n">
        <v>0.91</v>
      </c>
      <c r="P2878" t="n">
        <v>1</v>
      </c>
      <c r="Q2878" t="n">
        <v>0.02</v>
      </c>
      <c r="R2878" t="n">
        <v>0</v>
      </c>
      <c r="S2878" t="n">
        <v>0</v>
      </c>
      <c r="T2878" t="n">
        <v>0</v>
      </c>
      <c r="U2878" t="n">
        <v>0</v>
      </c>
      <c r="V2878" t="n">
        <v>30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10266</v>
      </c>
      <c r="AG2878" t="n">
        <v>2273</v>
      </c>
      <c r="AH2878" t="inlineStr">
        <is>
          <t>PT. INTI SUKSES SUMATERA - PPN (PDG)</t>
        </is>
      </c>
      <c r="AI2878" t="n">
        <v>298</v>
      </c>
      <c r="AJ2878" t="inlineStr">
        <is>
          <t>LUXCRIME</t>
        </is>
      </c>
      <c r="AK2878" t="n">
        <v>21</v>
      </c>
      <c r="AL2878" t="inlineStr">
        <is>
          <t>Miss Glam Damar</t>
        </is>
      </c>
      <c r="AM2878" t="n">
        <v>4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LUXCRIME</t>
        </is>
      </c>
      <c r="B2879" s="2">
        <f>"20100173009"</f>
        <v/>
      </c>
      <c r="C2879" t="inlineStr">
        <is>
          <t>LUXCRIME Perfecting Hydralight Skin Tint SPF 35 PA+++ - C01 30ml</t>
        </is>
      </c>
      <c r="D2879" t="inlineStr">
        <is>
          <t>Miss Glam Damar</t>
        </is>
      </c>
      <c r="E2879" t="n">
        <v>6</v>
      </c>
      <c r="F2879" t="n">
        <v>0.1729</v>
      </c>
      <c r="G2879" t="n">
        <v>0.91</v>
      </c>
      <c r="H2879" t="n">
        <v>4</v>
      </c>
      <c r="I2879" t="n">
        <v>8</v>
      </c>
      <c r="J2879" t="n">
        <v>1</v>
      </c>
      <c r="K2879" t="n">
        <v>0</v>
      </c>
      <c r="L2879" t="n">
        <v>111750</v>
      </c>
      <c r="M2879" t="n">
        <v>149000</v>
      </c>
      <c r="N2879" t="n">
        <v>91</v>
      </c>
      <c r="O2879" t="n">
        <v>0.91</v>
      </c>
      <c r="P2879" t="n">
        <v>1</v>
      </c>
      <c r="Q2879" t="n">
        <v>0.07000000000000001</v>
      </c>
      <c r="R2879" t="n">
        <v>1</v>
      </c>
      <c r="S2879" t="n">
        <v>25762.1</v>
      </c>
      <c r="T2879" t="n">
        <v>7</v>
      </c>
      <c r="U2879" t="n">
        <v>8</v>
      </c>
      <c r="V2879" t="n">
        <v>30</v>
      </c>
      <c r="W2879" t="n">
        <v>6</v>
      </c>
      <c r="X2879" t="n">
        <v>34.70213996529786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10266</v>
      </c>
      <c r="AG2879" t="n">
        <v>2273</v>
      </c>
      <c r="AH2879" t="inlineStr">
        <is>
          <t>PT. INTI SUKSES SUMATERA - PPN (PDG)</t>
        </is>
      </c>
      <c r="AI2879" t="n">
        <v>298</v>
      </c>
      <c r="AJ2879" t="inlineStr">
        <is>
          <t>LUXCRIME</t>
        </is>
      </c>
      <c r="AK2879" t="n">
        <v>21</v>
      </c>
      <c r="AL2879" t="inlineStr">
        <is>
          <t>Miss Glam Damar</t>
        </is>
      </c>
      <c r="AM2879" t="n">
        <v>4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LUXCRIME</t>
        </is>
      </c>
      <c r="B2880" s="2">
        <f>"20100172941"</f>
        <v/>
      </c>
      <c r="C2880" t="inlineStr">
        <is>
          <t>LUXCRIME Perfecting Hydralight Skin Tint SPF 35 PA+++ - N01 30ml</t>
        </is>
      </c>
      <c r="D2880" t="inlineStr">
        <is>
          <t>Miss Glam Damar</t>
        </is>
      </c>
      <c r="E2880" t="n">
        <v>9</v>
      </c>
      <c r="F2880" t="n">
        <v>0.2002</v>
      </c>
      <c r="G2880" t="n">
        <v>1.82</v>
      </c>
      <c r="H2880" t="n">
        <v>4</v>
      </c>
      <c r="I2880" t="n">
        <v>8</v>
      </c>
      <c r="J2880" t="n">
        <v>1</v>
      </c>
      <c r="K2880" t="n">
        <v>0</v>
      </c>
      <c r="L2880" t="n">
        <v>111750</v>
      </c>
      <c r="M2880" t="n">
        <v>149000</v>
      </c>
      <c r="N2880" t="n">
        <v>91</v>
      </c>
      <c r="O2880" t="n">
        <v>0.91</v>
      </c>
      <c r="P2880" t="n">
        <v>1</v>
      </c>
      <c r="Q2880" t="n">
        <v>0.24</v>
      </c>
      <c r="R2880" t="n">
        <v>2</v>
      </c>
      <c r="S2880" t="n">
        <v>29829.8</v>
      </c>
      <c r="T2880" t="n">
        <v>14</v>
      </c>
      <c r="U2880" t="n">
        <v>15</v>
      </c>
      <c r="V2880" t="n">
        <v>30</v>
      </c>
      <c r="W2880" t="n">
        <v>7</v>
      </c>
      <c r="X2880" t="n">
        <v>44.95504495504495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10266</v>
      </c>
      <c r="AG2880" t="n">
        <v>2273</v>
      </c>
      <c r="AH2880" t="inlineStr">
        <is>
          <t>PT. INTI SUKSES SUMATERA - PPN (PDG)</t>
        </is>
      </c>
      <c r="AI2880" t="n">
        <v>298</v>
      </c>
      <c r="AJ2880" t="inlineStr">
        <is>
          <t>LUXCRIME</t>
        </is>
      </c>
      <c r="AK2880" t="n">
        <v>21</v>
      </c>
      <c r="AL2880" t="inlineStr">
        <is>
          <t>Miss Glam Damar</t>
        </is>
      </c>
      <c r="AM2880" t="n">
        <v>4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LUXCRIME</t>
        </is>
      </c>
      <c r="B2881" s="2">
        <f>"20100173234"</f>
        <v/>
      </c>
      <c r="C2881" t="inlineStr">
        <is>
          <t>LUXCRIME Perfecting Hydralight Skin Tint SPF 35 PA+++ - N02 30ml</t>
        </is>
      </c>
      <c r="D2881" t="inlineStr">
        <is>
          <t>Miss Glam Damar</t>
        </is>
      </c>
      <c r="E2881" t="n">
        <v>10</v>
      </c>
      <c r="F2881" t="n">
        <v>0.2002</v>
      </c>
      <c r="G2881" t="n">
        <v>0.91</v>
      </c>
      <c r="H2881" t="n">
        <v>4</v>
      </c>
      <c r="I2881" t="n">
        <v>8</v>
      </c>
      <c r="J2881" t="n">
        <v>1</v>
      </c>
      <c r="K2881" t="n">
        <v>0</v>
      </c>
      <c r="L2881" t="n">
        <v>111750</v>
      </c>
      <c r="M2881" t="n">
        <v>149000</v>
      </c>
      <c r="N2881" t="n">
        <v>91</v>
      </c>
      <c r="O2881" t="n">
        <v>0.91</v>
      </c>
      <c r="P2881" t="n">
        <v>1</v>
      </c>
      <c r="Q2881" t="n">
        <v>0.1</v>
      </c>
      <c r="R2881" t="n">
        <v>3</v>
      </c>
      <c r="S2881" t="n">
        <v>29829.8</v>
      </c>
      <c r="T2881" t="n">
        <v>7</v>
      </c>
      <c r="U2881" t="n">
        <v>8</v>
      </c>
      <c r="V2881" t="n">
        <v>30</v>
      </c>
      <c r="W2881" t="n">
        <v>7</v>
      </c>
      <c r="X2881" t="n">
        <v>49.95004995004994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10266</v>
      </c>
      <c r="AG2881" t="n">
        <v>2273</v>
      </c>
      <c r="AH2881" t="inlineStr">
        <is>
          <t>PT. INTI SUKSES SUMATERA - PPN (PDG)</t>
        </is>
      </c>
      <c r="AI2881" t="n">
        <v>298</v>
      </c>
      <c r="AJ2881" t="inlineStr">
        <is>
          <t>LUXCRIME</t>
        </is>
      </c>
      <c r="AK2881" t="n">
        <v>21</v>
      </c>
      <c r="AL2881" t="inlineStr">
        <is>
          <t>Miss Glam Damar</t>
        </is>
      </c>
      <c r="AM2881" t="n">
        <v>4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LUXCRIME</t>
        </is>
      </c>
      <c r="B2882" s="2">
        <f>"20100173143"</f>
        <v/>
      </c>
      <c r="C2882" t="inlineStr">
        <is>
          <t>LUXCRIME Perfecting Hydralight Skin Tint SPF 35 PA+++ - W01 30ml</t>
        </is>
      </c>
      <c r="D2882" t="inlineStr">
        <is>
          <t>Miss Glam Damar</t>
        </is>
      </c>
      <c r="E2882" t="n">
        <v>6</v>
      </c>
      <c r="F2882" t="n">
        <v>0.09100000000000001</v>
      </c>
      <c r="G2882" t="n">
        <v>0.91</v>
      </c>
      <c r="H2882" t="n">
        <v>4</v>
      </c>
      <c r="I2882" t="n">
        <v>8</v>
      </c>
      <c r="J2882" t="n">
        <v>1</v>
      </c>
      <c r="K2882" t="n">
        <v>0</v>
      </c>
      <c r="L2882" t="n">
        <v>111750</v>
      </c>
      <c r="M2882" t="n">
        <v>149000</v>
      </c>
      <c r="N2882" t="n">
        <v>91</v>
      </c>
      <c r="O2882" t="n">
        <v>0.91</v>
      </c>
      <c r="P2882" t="n">
        <v>1</v>
      </c>
      <c r="Q2882" t="n">
        <v>0.14</v>
      </c>
      <c r="R2882" t="n">
        <v>2</v>
      </c>
      <c r="S2882" t="n">
        <v>13559</v>
      </c>
      <c r="T2882" t="n">
        <v>7</v>
      </c>
      <c r="U2882" t="n">
        <v>8</v>
      </c>
      <c r="V2882" t="n">
        <v>30</v>
      </c>
      <c r="W2882" t="n">
        <v>3</v>
      </c>
      <c r="X2882" t="n">
        <v>65.93406593406593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10266</v>
      </c>
      <c r="AG2882" t="n">
        <v>2273</v>
      </c>
      <c r="AH2882" t="inlineStr">
        <is>
          <t>PT. INTI SUKSES SUMATERA - PPN (PDG)</t>
        </is>
      </c>
      <c r="AI2882" t="n">
        <v>298</v>
      </c>
      <c r="AJ2882" t="inlineStr">
        <is>
          <t>LUXCRIME</t>
        </is>
      </c>
      <c r="AK2882" t="n">
        <v>21</v>
      </c>
      <c r="AL2882" t="inlineStr">
        <is>
          <t>Miss Glam Damar</t>
        </is>
      </c>
      <c r="AM2882" t="n">
        <v>4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LUXCRIME</t>
        </is>
      </c>
      <c r="B2883" s="2">
        <f>"203003104613"</f>
        <v/>
      </c>
      <c r="C2883" t="inlineStr">
        <is>
          <t>LUXCRIME Power Glasting Tinted Lip Oil - Almond Butter 3gr</t>
        </is>
      </c>
      <c r="D2883" t="inlineStr">
        <is>
          <t>Miss Glam Damar</t>
        </is>
      </c>
      <c r="E2883" t="n">
        <v>9</v>
      </c>
      <c r="F2883" t="n">
        <v>0.0182</v>
      </c>
      <c r="G2883" t="n">
        <v>0.91</v>
      </c>
      <c r="H2883" t="n">
        <v>4</v>
      </c>
      <c r="I2883" t="n">
        <v>8</v>
      </c>
      <c r="J2883" t="n">
        <v>1</v>
      </c>
      <c r="K2883" t="n">
        <v>0</v>
      </c>
      <c r="L2883" t="n">
        <v>66750</v>
      </c>
      <c r="M2883" t="n">
        <v>89000</v>
      </c>
      <c r="N2883" t="n">
        <v>91</v>
      </c>
      <c r="O2883" t="n">
        <v>0.91</v>
      </c>
      <c r="P2883" t="n">
        <v>1</v>
      </c>
      <c r="Q2883" t="n">
        <v>0.02</v>
      </c>
      <c r="R2883" t="n">
        <v>1</v>
      </c>
      <c r="S2883" t="n">
        <v>1619.8</v>
      </c>
      <c r="T2883" t="n">
        <v>8</v>
      </c>
      <c r="U2883" t="n">
        <v>9</v>
      </c>
      <c r="V2883" t="n">
        <v>30</v>
      </c>
      <c r="W2883" t="n">
        <v>1</v>
      </c>
      <c r="X2883" t="n">
        <v>494.5054945054945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10266</v>
      </c>
      <c r="AG2883" t="n">
        <v>2273</v>
      </c>
      <c r="AH2883" t="inlineStr">
        <is>
          <t>PT. INTI SUKSES SUMATERA - PPN (PDG)</t>
        </is>
      </c>
      <c r="AI2883" t="n">
        <v>298</v>
      </c>
      <c r="AJ2883" t="inlineStr">
        <is>
          <t>LUXCRIME</t>
        </is>
      </c>
      <c r="AK2883" t="n">
        <v>21</v>
      </c>
      <c r="AL2883" t="inlineStr">
        <is>
          <t>Miss Glam Damar</t>
        </is>
      </c>
      <c r="AM2883" t="n">
        <v>4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LUXCRIME</t>
        </is>
      </c>
      <c r="B2884" s="2">
        <f>"203003104903"</f>
        <v/>
      </c>
      <c r="C2884" t="inlineStr">
        <is>
          <t>LUXCRIME Power Glasting Tinted Lip Oil - Burnt Maple 3gr</t>
        </is>
      </c>
      <c r="D2884" t="inlineStr">
        <is>
          <t>Miss Glam Damar</t>
        </is>
      </c>
      <c r="E2884" t="n">
        <v>19</v>
      </c>
      <c r="F2884" t="n">
        <v>0.0273</v>
      </c>
      <c r="G2884" t="n">
        <v>1.82</v>
      </c>
      <c r="H2884" t="n">
        <v>4</v>
      </c>
      <c r="I2884" t="n">
        <v>8</v>
      </c>
      <c r="J2884" t="n">
        <v>1</v>
      </c>
      <c r="K2884" t="n">
        <v>0</v>
      </c>
      <c r="L2884" t="n">
        <v>66750</v>
      </c>
      <c r="M2884" t="n">
        <v>89000</v>
      </c>
      <c r="N2884" t="n">
        <v>91</v>
      </c>
      <c r="O2884" t="n">
        <v>0.91</v>
      </c>
      <c r="P2884" t="n">
        <v>1</v>
      </c>
      <c r="Q2884" t="n">
        <v>0.05</v>
      </c>
      <c r="R2884" t="n">
        <v>1</v>
      </c>
      <c r="S2884" t="n">
        <v>2429.7</v>
      </c>
      <c r="T2884" t="n">
        <v>15</v>
      </c>
      <c r="U2884" t="n">
        <v>16</v>
      </c>
      <c r="V2884" t="n">
        <v>30</v>
      </c>
      <c r="W2884" t="n">
        <v>1</v>
      </c>
      <c r="X2884" t="n">
        <v>695.9706959706959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10266</v>
      </c>
      <c r="AG2884" t="n">
        <v>2273</v>
      </c>
      <c r="AH2884" t="inlineStr">
        <is>
          <t>PT. INTI SUKSES SUMATERA - PPN (PDG)</t>
        </is>
      </c>
      <c r="AI2884" t="n">
        <v>298</v>
      </c>
      <c r="AJ2884" t="inlineStr">
        <is>
          <t>LUXCRIME</t>
        </is>
      </c>
      <c r="AK2884" t="n">
        <v>21</v>
      </c>
      <c r="AL2884" t="inlineStr">
        <is>
          <t>Miss Glam Damar</t>
        </is>
      </c>
      <c r="AM2884" t="n">
        <v>4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LUXCRIME</t>
        </is>
      </c>
      <c r="B2885" s="2">
        <f>"203003104830"</f>
        <v/>
      </c>
      <c r="C2885" t="inlineStr">
        <is>
          <t>LUXCRIME Power Glasting Tinted Lip Oil - Cocoa 3gr</t>
        </is>
      </c>
      <c r="D2885" t="inlineStr">
        <is>
          <t>Miss Glam Damar</t>
        </is>
      </c>
      <c r="E2885" t="n">
        <v>8</v>
      </c>
      <c r="F2885" t="n">
        <v>0.04550000000000001</v>
      </c>
      <c r="G2885" t="n">
        <v>0.91</v>
      </c>
      <c r="H2885" t="n">
        <v>4</v>
      </c>
      <c r="I2885" t="n">
        <v>8</v>
      </c>
      <c r="J2885" t="n">
        <v>1</v>
      </c>
      <c r="K2885" t="n">
        <v>0</v>
      </c>
      <c r="L2885" t="n">
        <v>66750</v>
      </c>
      <c r="M2885" t="n">
        <v>89000</v>
      </c>
      <c r="N2885" t="n">
        <v>91</v>
      </c>
      <c r="O2885" t="n">
        <v>0.91</v>
      </c>
      <c r="P2885" t="n">
        <v>1</v>
      </c>
      <c r="Q2885" t="n">
        <v>0.02</v>
      </c>
      <c r="R2885" t="n">
        <v>1</v>
      </c>
      <c r="S2885" t="n">
        <v>4049.5</v>
      </c>
      <c r="T2885" t="n">
        <v>8</v>
      </c>
      <c r="U2885" t="n">
        <v>9</v>
      </c>
      <c r="V2885" t="n">
        <v>30</v>
      </c>
      <c r="W2885" t="n">
        <v>2</v>
      </c>
      <c r="X2885" t="n">
        <v>175.8241758241758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10266</v>
      </c>
      <c r="AG2885" t="n">
        <v>2273</v>
      </c>
      <c r="AH2885" t="inlineStr">
        <is>
          <t>PT. INTI SUKSES SUMATERA - PPN (PDG)</t>
        </is>
      </c>
      <c r="AI2885" t="n">
        <v>298</v>
      </c>
      <c r="AJ2885" t="inlineStr">
        <is>
          <t>LUXCRIME</t>
        </is>
      </c>
      <c r="AK2885" t="n">
        <v>21</v>
      </c>
      <c r="AL2885" t="inlineStr">
        <is>
          <t>Miss Glam Damar</t>
        </is>
      </c>
      <c r="AM2885" t="n">
        <v>4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LUXCRIME</t>
        </is>
      </c>
      <c r="B2886" s="2">
        <f>"203003105037"</f>
        <v/>
      </c>
      <c r="C2886" t="inlineStr">
        <is>
          <t>LUXCRIME Power Glasting Tinted Lip Oil - Dark Scarlet 3gr</t>
        </is>
      </c>
      <c r="D2886" t="inlineStr">
        <is>
          <t>Miss Glam Damar</t>
        </is>
      </c>
      <c r="E2886" t="n">
        <v>10</v>
      </c>
      <c r="F2886" t="n">
        <v>0.3094</v>
      </c>
      <c r="G2886" t="n">
        <v>3.64</v>
      </c>
      <c r="H2886" t="n">
        <v>4</v>
      </c>
      <c r="I2886" t="n">
        <v>8</v>
      </c>
      <c r="J2886" t="n">
        <v>1</v>
      </c>
      <c r="K2886" t="n">
        <v>0</v>
      </c>
      <c r="L2886" t="n">
        <v>66750</v>
      </c>
      <c r="M2886" t="n">
        <v>89000</v>
      </c>
      <c r="N2886" t="n">
        <v>91</v>
      </c>
      <c r="O2886" t="n">
        <v>0.91</v>
      </c>
      <c r="P2886" t="n">
        <v>1</v>
      </c>
      <c r="Q2886" t="n">
        <v>0.05</v>
      </c>
      <c r="R2886" t="n">
        <v>1</v>
      </c>
      <c r="S2886" t="n">
        <v>27536.6</v>
      </c>
      <c r="T2886" t="n">
        <v>28</v>
      </c>
      <c r="U2886" t="n">
        <v>30</v>
      </c>
      <c r="V2886" t="n">
        <v>30</v>
      </c>
      <c r="W2886" t="n">
        <v>10</v>
      </c>
      <c r="X2886" t="n">
        <v>32.32062055591467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10266</v>
      </c>
      <c r="AG2886" t="n">
        <v>2273</v>
      </c>
      <c r="AH2886" t="inlineStr">
        <is>
          <t>PT. INTI SUKSES SUMATERA - PPN (PDG)</t>
        </is>
      </c>
      <c r="AI2886" t="n">
        <v>298</v>
      </c>
      <c r="AJ2886" t="inlineStr">
        <is>
          <t>LUXCRIME</t>
        </is>
      </c>
      <c r="AK2886" t="n">
        <v>21</v>
      </c>
      <c r="AL2886" t="inlineStr">
        <is>
          <t>Miss Glam Damar</t>
        </is>
      </c>
      <c r="AM2886" t="n">
        <v>4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LUXCRIME</t>
        </is>
      </c>
      <c r="B2887" s="2">
        <f>"203003104754"</f>
        <v/>
      </c>
      <c r="C2887" t="inlineStr">
        <is>
          <t>LUXCRIME Power Glasting Tinted Lip Oil - Mulberry 3gr</t>
        </is>
      </c>
      <c r="D2887" t="inlineStr">
        <is>
          <t>Miss Glam Damar</t>
        </is>
      </c>
      <c r="E2887" t="n">
        <v>17</v>
      </c>
      <c r="F2887" t="n">
        <v>0.0182</v>
      </c>
      <c r="G2887" t="n">
        <v>0.91</v>
      </c>
      <c r="H2887" t="n">
        <v>4</v>
      </c>
      <c r="I2887" t="n">
        <v>8</v>
      </c>
      <c r="J2887" t="n">
        <v>1</v>
      </c>
      <c r="K2887" t="n">
        <v>0</v>
      </c>
      <c r="L2887" t="n">
        <v>66750</v>
      </c>
      <c r="M2887" t="n">
        <v>89000</v>
      </c>
      <c r="N2887" t="n">
        <v>91</v>
      </c>
      <c r="O2887" t="n">
        <v>0.91</v>
      </c>
      <c r="P2887" t="n">
        <v>1</v>
      </c>
      <c r="Q2887" t="n">
        <v>0.02</v>
      </c>
      <c r="R2887" t="n">
        <v>0</v>
      </c>
      <c r="S2887" t="n">
        <v>1619.8</v>
      </c>
      <c r="T2887" t="n">
        <v>8</v>
      </c>
      <c r="U2887" t="n">
        <v>9</v>
      </c>
      <c r="V2887" t="n">
        <v>30</v>
      </c>
      <c r="W2887" t="n">
        <v>1</v>
      </c>
      <c r="X2887" t="n">
        <v>934.065934065934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10266</v>
      </c>
      <c r="AG2887" t="n">
        <v>2273</v>
      </c>
      <c r="AH2887" t="inlineStr">
        <is>
          <t>PT. INTI SUKSES SUMATERA - PPN (PDG)</t>
        </is>
      </c>
      <c r="AI2887" t="n">
        <v>298</v>
      </c>
      <c r="AJ2887" t="inlineStr">
        <is>
          <t>LUXCRIME</t>
        </is>
      </c>
      <c r="AK2887" t="n">
        <v>21</v>
      </c>
      <c r="AL2887" t="inlineStr">
        <is>
          <t>Miss Glam Damar</t>
        </is>
      </c>
      <c r="AM2887" t="n">
        <v>4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LUXCRIME</t>
        </is>
      </c>
      <c r="B2888" s="2">
        <f>"203003104538"</f>
        <v/>
      </c>
      <c r="C2888" t="inlineStr">
        <is>
          <t>LUXCRIME Power Glasting Tinted Lip Oil - Peony 3gr</t>
        </is>
      </c>
      <c r="D2888" t="inlineStr">
        <is>
          <t>Miss Glam Damar</t>
        </is>
      </c>
      <c r="E2888" t="n">
        <v>15</v>
      </c>
      <c r="F2888" t="n">
        <v>0.06370000000000001</v>
      </c>
      <c r="G2888" t="n">
        <v>0.91</v>
      </c>
      <c r="H2888" t="n">
        <v>4</v>
      </c>
      <c r="I2888" t="n">
        <v>8</v>
      </c>
      <c r="J2888" t="n">
        <v>1</v>
      </c>
      <c r="K2888" t="n">
        <v>0</v>
      </c>
      <c r="L2888" t="n">
        <v>66750</v>
      </c>
      <c r="M2888" t="n">
        <v>89000</v>
      </c>
      <c r="N2888" t="n">
        <v>91</v>
      </c>
      <c r="O2888" t="n">
        <v>0.91</v>
      </c>
      <c r="P2888" t="n">
        <v>1</v>
      </c>
      <c r="Q2888" t="n">
        <v>0.1</v>
      </c>
      <c r="R2888" t="n">
        <v>1</v>
      </c>
      <c r="S2888" t="n">
        <v>5669.3</v>
      </c>
      <c r="T2888" t="n">
        <v>8</v>
      </c>
      <c r="U2888" t="n">
        <v>9</v>
      </c>
      <c r="V2888" t="n">
        <v>30</v>
      </c>
      <c r="W2888" t="n">
        <v>2</v>
      </c>
      <c r="X2888" t="n">
        <v>235.4788069073783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10266</v>
      </c>
      <c r="AG2888" t="n">
        <v>2273</v>
      </c>
      <c r="AH2888" t="inlineStr">
        <is>
          <t>PT. INTI SUKSES SUMATERA - PPN (PDG)</t>
        </is>
      </c>
      <c r="AI2888" t="n">
        <v>298</v>
      </c>
      <c r="AJ2888" t="inlineStr">
        <is>
          <t>LUXCRIME</t>
        </is>
      </c>
      <c r="AK2888" t="n">
        <v>21</v>
      </c>
      <c r="AL2888" t="inlineStr">
        <is>
          <t>Miss Glam Damar</t>
        </is>
      </c>
      <c r="AM2888" t="n">
        <v>4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LUXCRIME</t>
        </is>
      </c>
      <c r="B2889" s="2">
        <f>"203003105248"</f>
        <v/>
      </c>
      <c r="C2889" t="inlineStr">
        <is>
          <t>LUXCRIME Power Glasting Tinted Lip Oil - Rosella 3gr</t>
        </is>
      </c>
      <c r="D2889" t="inlineStr">
        <is>
          <t>Miss Glam Damar</t>
        </is>
      </c>
      <c r="E2889" t="n">
        <v>10</v>
      </c>
      <c r="F2889" t="n">
        <v>0.2275</v>
      </c>
      <c r="G2889" t="n">
        <v>1.82</v>
      </c>
      <c r="H2889" t="n">
        <v>4</v>
      </c>
      <c r="I2889" t="n">
        <v>8</v>
      </c>
      <c r="J2889" t="n">
        <v>1</v>
      </c>
      <c r="K2889" t="n">
        <v>0</v>
      </c>
      <c r="L2889" t="n">
        <v>66750</v>
      </c>
      <c r="M2889" t="n">
        <v>89000</v>
      </c>
      <c r="N2889" t="n">
        <v>91</v>
      </c>
      <c r="O2889" t="n">
        <v>0.91</v>
      </c>
      <c r="P2889" t="n">
        <v>1</v>
      </c>
      <c r="Q2889" t="n">
        <v>0.02</v>
      </c>
      <c r="R2889" t="n">
        <v>1</v>
      </c>
      <c r="S2889" t="n">
        <v>20247.5</v>
      </c>
      <c r="T2889" t="n">
        <v>14</v>
      </c>
      <c r="U2889" t="n">
        <v>15</v>
      </c>
      <c r="V2889" t="n">
        <v>30</v>
      </c>
      <c r="W2889" t="n">
        <v>7</v>
      </c>
      <c r="X2889" t="n">
        <v>43.95604395604396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10266</v>
      </c>
      <c r="AG2889" t="n">
        <v>2273</v>
      </c>
      <c r="AH2889" t="inlineStr">
        <is>
          <t>PT. INTI SUKSES SUMATERA - PPN (PDG)</t>
        </is>
      </c>
      <c r="AI2889" t="n">
        <v>298</v>
      </c>
      <c r="AJ2889" t="inlineStr">
        <is>
          <t>LUXCRIME</t>
        </is>
      </c>
      <c r="AK2889" t="n">
        <v>21</v>
      </c>
      <c r="AL2889" t="inlineStr">
        <is>
          <t>Miss Glam Damar</t>
        </is>
      </c>
      <c r="AM2889" t="n">
        <v>4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LUXCRIME</t>
        </is>
      </c>
      <c r="B2890" s="2">
        <f>"203003105115"</f>
        <v/>
      </c>
      <c r="C2890" t="inlineStr">
        <is>
          <t>LUXCRIME Power Glasting Tinted Lip Oil - Wild Orchid 3gr</t>
        </is>
      </c>
      <c r="D2890" t="inlineStr">
        <is>
          <t>Miss Glam Damar</t>
        </is>
      </c>
      <c r="E2890" t="n">
        <v>12</v>
      </c>
      <c r="F2890" t="n">
        <v>0.2912</v>
      </c>
      <c r="G2890" t="n">
        <v>2.73</v>
      </c>
      <c r="H2890" t="n">
        <v>4</v>
      </c>
      <c r="I2890" t="n">
        <v>8</v>
      </c>
      <c r="J2890" t="n">
        <v>1</v>
      </c>
      <c r="K2890" t="n">
        <v>0</v>
      </c>
      <c r="L2890" t="n">
        <v>66750</v>
      </c>
      <c r="M2890" t="n">
        <v>89000</v>
      </c>
      <c r="N2890" t="n">
        <v>91</v>
      </c>
      <c r="O2890" t="n">
        <v>0.91</v>
      </c>
      <c r="P2890" t="n">
        <v>1</v>
      </c>
      <c r="Q2890" t="n">
        <v>0.07000000000000001</v>
      </c>
      <c r="R2890" t="n">
        <v>1</v>
      </c>
      <c r="S2890" t="n">
        <v>25916.8</v>
      </c>
      <c r="T2890" t="n">
        <v>21</v>
      </c>
      <c r="U2890" t="n">
        <v>23</v>
      </c>
      <c r="V2890" t="n">
        <v>30</v>
      </c>
      <c r="W2890" t="n">
        <v>9</v>
      </c>
      <c r="X2890" t="n">
        <v>41.2087912087912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10266</v>
      </c>
      <c r="AG2890" t="n">
        <v>2273</v>
      </c>
      <c r="AH2890" t="inlineStr">
        <is>
          <t>PT. INTI SUKSES SUMATERA - PPN (PDG)</t>
        </is>
      </c>
      <c r="AI2890" t="n">
        <v>298</v>
      </c>
      <c r="AJ2890" t="inlineStr">
        <is>
          <t>LUXCRIME</t>
        </is>
      </c>
      <c r="AK2890" t="n">
        <v>21</v>
      </c>
      <c r="AL2890" t="inlineStr">
        <is>
          <t>Miss Glam Damar</t>
        </is>
      </c>
      <c r="AM2890" t="n">
        <v>4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LUXCRIME</t>
        </is>
      </c>
      <c r="B2891" s="2">
        <f>"769503122694"</f>
        <v/>
      </c>
      <c r="C2891" t="inlineStr">
        <is>
          <t>LUXCRIME Radiant Silk Foundation SPF 50 PA+++ - N01 30gr</t>
        </is>
      </c>
      <c r="D2891" t="inlineStr">
        <is>
          <t>Miss Glam Damar</t>
        </is>
      </c>
      <c r="E2891" t="n">
        <v>4</v>
      </c>
      <c r="F2891" t="n">
        <v>0.04550000000000001</v>
      </c>
      <c r="G2891" t="n">
        <v>0.91</v>
      </c>
      <c r="H2891" t="n">
        <v>4</v>
      </c>
      <c r="I2891" t="n">
        <v>8</v>
      </c>
      <c r="J2891" t="n">
        <v>3</v>
      </c>
      <c r="K2891" t="n">
        <v>0</v>
      </c>
      <c r="L2891" t="n">
        <v>119250</v>
      </c>
      <c r="M2891" t="n">
        <v>159000</v>
      </c>
      <c r="N2891" t="n">
        <v>91</v>
      </c>
      <c r="O2891" t="n">
        <v>0.91</v>
      </c>
      <c r="P2891" t="n">
        <v>1</v>
      </c>
      <c r="Q2891" t="n">
        <v>0.02</v>
      </c>
      <c r="R2891" t="n">
        <v>1</v>
      </c>
      <c r="S2891" t="n">
        <v>7234.500000000001</v>
      </c>
      <c r="T2891" t="n">
        <v>8</v>
      </c>
      <c r="U2891" t="n">
        <v>9</v>
      </c>
      <c r="V2891" t="n">
        <v>30</v>
      </c>
      <c r="W2891" t="n">
        <v>2</v>
      </c>
      <c r="X2891" t="n">
        <v>87.9120879120879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10266</v>
      </c>
      <c r="AG2891" t="n">
        <v>2273</v>
      </c>
      <c r="AH2891" t="inlineStr">
        <is>
          <t>PT. INTI SUKSES SUMATERA - PPN (PDG)</t>
        </is>
      </c>
      <c r="AI2891" t="n">
        <v>298</v>
      </c>
      <c r="AJ2891" t="inlineStr">
        <is>
          <t>LUXCRIME</t>
        </is>
      </c>
      <c r="AK2891" t="n">
        <v>21</v>
      </c>
      <c r="AL2891" t="inlineStr">
        <is>
          <t>Miss Glam Damar</t>
        </is>
      </c>
      <c r="AM2891" t="n">
        <v>4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LUXCRIME</t>
        </is>
      </c>
      <c r="B2892" s="2">
        <f>"769503122700"</f>
        <v/>
      </c>
      <c r="C2892" t="inlineStr">
        <is>
          <t>LUXCRIME Radiant Silk Foundation SPF 50 PA+++ - W01 30gr</t>
        </is>
      </c>
      <c r="D2892" t="inlineStr">
        <is>
          <t>Miss Glam Damar</t>
        </is>
      </c>
      <c r="E2892" t="n">
        <v>4</v>
      </c>
      <c r="F2892" t="n">
        <v>0.0182</v>
      </c>
      <c r="G2892" t="n">
        <v>0.91</v>
      </c>
      <c r="H2892" t="n">
        <v>4</v>
      </c>
      <c r="I2892" t="n">
        <v>8</v>
      </c>
      <c r="J2892" t="n">
        <v>3</v>
      </c>
      <c r="K2892" t="n">
        <v>0</v>
      </c>
      <c r="L2892" t="n">
        <v>119250</v>
      </c>
      <c r="M2892" t="n">
        <v>159000</v>
      </c>
      <c r="N2892" t="n">
        <v>91</v>
      </c>
      <c r="O2892" t="n">
        <v>0.91</v>
      </c>
      <c r="P2892" t="n">
        <v>1</v>
      </c>
      <c r="Q2892" t="n">
        <v>0.02</v>
      </c>
      <c r="R2892" t="n">
        <v>1</v>
      </c>
      <c r="S2892" t="n">
        <v>2893.8</v>
      </c>
      <c r="T2892" t="n">
        <v>8</v>
      </c>
      <c r="U2892" t="n">
        <v>9</v>
      </c>
      <c r="V2892" t="n">
        <v>30</v>
      </c>
      <c r="W2892" t="n">
        <v>1</v>
      </c>
      <c r="X2892" t="n">
        <v>219.7802197802198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10266</v>
      </c>
      <c r="AG2892" t="n">
        <v>2273</v>
      </c>
      <c r="AH2892" t="inlineStr">
        <is>
          <t>PT. INTI SUKSES SUMATERA - PPN (PDG)</t>
        </is>
      </c>
      <c r="AI2892" t="n">
        <v>298</v>
      </c>
      <c r="AJ2892" t="inlineStr">
        <is>
          <t>LUXCRIME</t>
        </is>
      </c>
      <c r="AK2892" t="n">
        <v>21</v>
      </c>
      <c r="AL2892" t="inlineStr">
        <is>
          <t>Miss Glam Damar</t>
        </is>
      </c>
      <c r="AM2892" t="n">
        <v>4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LUXCRIME</t>
        </is>
      </c>
      <c r="B2893" s="2">
        <f>"769503123301"</f>
        <v/>
      </c>
      <c r="C2893" t="inlineStr">
        <is>
          <t>LUXCRIME Refill Blur &amp; Cover Two Way Cake Buttercream 8,5gr</t>
        </is>
      </c>
      <c r="D2893" t="inlineStr">
        <is>
          <t>Miss Glam Damar</t>
        </is>
      </c>
      <c r="E2893" t="n">
        <v>19</v>
      </c>
      <c r="F2893" t="n">
        <v>0.5915</v>
      </c>
      <c r="G2893" t="n">
        <v>2.73</v>
      </c>
      <c r="H2893" t="n">
        <v>4</v>
      </c>
      <c r="I2893" t="n">
        <v>8</v>
      </c>
      <c r="J2893" t="n">
        <v>3</v>
      </c>
      <c r="K2893" t="n">
        <v>0</v>
      </c>
      <c r="L2893" t="n">
        <v>66750</v>
      </c>
      <c r="M2893" t="n">
        <v>89000</v>
      </c>
      <c r="N2893" t="n">
        <v>91</v>
      </c>
      <c r="O2893" t="n">
        <v>0.91</v>
      </c>
      <c r="P2893" t="n">
        <v>1</v>
      </c>
      <c r="Q2893" t="n">
        <v>0.41</v>
      </c>
      <c r="R2893" t="n">
        <v>3</v>
      </c>
      <c r="S2893" t="n">
        <v>52643.5</v>
      </c>
      <c r="T2893" t="n">
        <v>20</v>
      </c>
      <c r="U2893" t="n">
        <v>23</v>
      </c>
      <c r="V2893" t="n">
        <v>30</v>
      </c>
      <c r="W2893" t="n">
        <v>18</v>
      </c>
      <c r="X2893" t="n">
        <v>32.12172442941674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10266</v>
      </c>
      <c r="AG2893" t="n">
        <v>2273</v>
      </c>
      <c r="AH2893" t="inlineStr">
        <is>
          <t>PT. INTI SUKSES SUMATERA - PPN (PDG)</t>
        </is>
      </c>
      <c r="AI2893" t="n">
        <v>298</v>
      </c>
      <c r="AJ2893" t="inlineStr">
        <is>
          <t>LUXCRIME</t>
        </is>
      </c>
      <c r="AK2893" t="n">
        <v>21</v>
      </c>
      <c r="AL2893" t="inlineStr">
        <is>
          <t>Miss Glam Damar</t>
        </is>
      </c>
      <c r="AM2893" t="n">
        <v>4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LUXCRIME</t>
        </is>
      </c>
      <c r="B2894" s="2">
        <f>"769503123295"</f>
        <v/>
      </c>
      <c r="C2894" t="inlineStr">
        <is>
          <t>LUXCRIME Refill Blur &amp; Cover Two Way Cake Cream Puff 8,5gr</t>
        </is>
      </c>
      <c r="D2894" t="inlineStr">
        <is>
          <t>Miss Glam Damar</t>
        </is>
      </c>
      <c r="E2894" t="n">
        <v>12</v>
      </c>
      <c r="F2894" t="n">
        <v>0.2821</v>
      </c>
      <c r="G2894" t="n">
        <v>1.82</v>
      </c>
      <c r="H2894" t="n">
        <v>4</v>
      </c>
      <c r="I2894" t="n">
        <v>8</v>
      </c>
      <c r="J2894" t="n">
        <v>3</v>
      </c>
      <c r="K2894" t="n">
        <v>0</v>
      </c>
      <c r="L2894" t="n">
        <v>66750</v>
      </c>
      <c r="M2894" t="n">
        <v>89000</v>
      </c>
      <c r="N2894" t="n">
        <v>91</v>
      </c>
      <c r="O2894" t="n">
        <v>0.91</v>
      </c>
      <c r="P2894" t="n">
        <v>1</v>
      </c>
      <c r="Q2894" t="n">
        <v>0.29</v>
      </c>
      <c r="R2894" t="n">
        <v>2</v>
      </c>
      <c r="S2894" t="n">
        <v>25106.9</v>
      </c>
      <c r="T2894" t="n">
        <v>14</v>
      </c>
      <c r="U2894" t="n">
        <v>16</v>
      </c>
      <c r="V2894" t="n">
        <v>30</v>
      </c>
      <c r="W2894" t="n">
        <v>9</v>
      </c>
      <c r="X2894" t="n">
        <v>42.53810705423609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10266</v>
      </c>
      <c r="AG2894" t="n">
        <v>2273</v>
      </c>
      <c r="AH2894" t="inlineStr">
        <is>
          <t>PT. INTI SUKSES SUMATERA - PPN (PDG)</t>
        </is>
      </c>
      <c r="AI2894" t="n">
        <v>298</v>
      </c>
      <c r="AJ2894" t="inlineStr">
        <is>
          <t>LUXCRIME</t>
        </is>
      </c>
      <c r="AK2894" t="n">
        <v>21</v>
      </c>
      <c r="AL2894" t="inlineStr">
        <is>
          <t>Miss Glam Damar</t>
        </is>
      </c>
      <c r="AM2894" t="n">
        <v>4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LUXCRIME</t>
        </is>
      </c>
      <c r="B2895" s="2">
        <f>"769503123318"</f>
        <v/>
      </c>
      <c r="C2895" t="inlineStr">
        <is>
          <t>LUXCRIME Refill Blur &amp; Cover Two Way Cake Custard 8,5gr</t>
        </is>
      </c>
      <c r="D2895" t="inlineStr">
        <is>
          <t>Miss Glam Damar</t>
        </is>
      </c>
      <c r="E2895" t="n">
        <v>18</v>
      </c>
      <c r="F2895" t="n">
        <v>0.6006</v>
      </c>
      <c r="G2895" t="n">
        <v>2.73</v>
      </c>
      <c r="H2895" t="n">
        <v>4</v>
      </c>
      <c r="I2895" t="n">
        <v>8</v>
      </c>
      <c r="J2895" t="n">
        <v>3</v>
      </c>
      <c r="K2895" t="n">
        <v>0</v>
      </c>
      <c r="L2895" t="n">
        <v>66750</v>
      </c>
      <c r="M2895" t="n">
        <v>89000</v>
      </c>
      <c r="N2895" t="n">
        <v>91</v>
      </c>
      <c r="O2895" t="n">
        <v>0.91</v>
      </c>
      <c r="P2895" t="n">
        <v>1</v>
      </c>
      <c r="Q2895" t="n">
        <v>0.47</v>
      </c>
      <c r="R2895" t="n">
        <v>3</v>
      </c>
      <c r="S2895" t="n">
        <v>53453.4</v>
      </c>
      <c r="T2895" t="n">
        <v>20</v>
      </c>
      <c r="U2895" t="n">
        <v>23</v>
      </c>
      <c r="V2895" t="n">
        <v>30</v>
      </c>
      <c r="W2895" t="n">
        <v>19</v>
      </c>
      <c r="X2895" t="n">
        <v>29.97002997002997</v>
      </c>
      <c r="Y2895" t="n">
        <v>1</v>
      </c>
      <c r="Z2895" t="n">
        <v>1</v>
      </c>
      <c r="AA2895" t="n">
        <v>0</v>
      </c>
      <c r="AB2895" t="n">
        <v>1</v>
      </c>
      <c r="AC2895" t="n">
        <v>3</v>
      </c>
      <c r="AD2895" t="n">
        <v>0</v>
      </c>
      <c r="AE2895" t="n">
        <v>200250</v>
      </c>
      <c r="AF2895" t="n">
        <v>10266</v>
      </c>
      <c r="AG2895" t="n">
        <v>2273</v>
      </c>
      <c r="AH2895" t="inlineStr">
        <is>
          <t>PT. INTI SUKSES SUMATERA - PPN (PDG)</t>
        </is>
      </c>
      <c r="AI2895" t="n">
        <v>298</v>
      </c>
      <c r="AJ2895" t="inlineStr">
        <is>
          <t>LUXCRIME</t>
        </is>
      </c>
      <c r="AK2895" t="n">
        <v>21</v>
      </c>
      <c r="AL2895" t="inlineStr">
        <is>
          <t>Miss Glam Damar</t>
        </is>
      </c>
      <c r="AM2895" t="n">
        <v>4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LUXCRIME</t>
        </is>
      </c>
      <c r="B2896" s="2">
        <f>"769503123325"</f>
        <v/>
      </c>
      <c r="C2896" t="inlineStr">
        <is>
          <t>LUXCRIME Refill Blur &amp; Cover Two Way Cake Honeycomb 8,5gr</t>
        </is>
      </c>
      <c r="D2896" t="inlineStr">
        <is>
          <t>Miss Glam Damar</t>
        </is>
      </c>
      <c r="E2896" t="n">
        <v>7</v>
      </c>
      <c r="F2896" t="n">
        <v>0.2184</v>
      </c>
      <c r="G2896" t="n">
        <v>1.82</v>
      </c>
      <c r="H2896" t="n">
        <v>4</v>
      </c>
      <c r="I2896" t="n">
        <v>8</v>
      </c>
      <c r="J2896" t="n">
        <v>3</v>
      </c>
      <c r="K2896" t="n">
        <v>0</v>
      </c>
      <c r="L2896" t="n">
        <v>66750</v>
      </c>
      <c r="M2896" t="n">
        <v>89000</v>
      </c>
      <c r="N2896" t="n">
        <v>91</v>
      </c>
      <c r="O2896" t="n">
        <v>0.91</v>
      </c>
      <c r="P2896" t="n">
        <v>1</v>
      </c>
      <c r="Q2896" t="n">
        <v>0.08</v>
      </c>
      <c r="R2896" t="n">
        <v>2</v>
      </c>
      <c r="S2896" t="n">
        <v>19437.6</v>
      </c>
      <c r="T2896" t="n">
        <v>14</v>
      </c>
      <c r="U2896" t="n">
        <v>15</v>
      </c>
      <c r="V2896" t="n">
        <v>30</v>
      </c>
      <c r="W2896" t="n">
        <v>7</v>
      </c>
      <c r="X2896" t="n">
        <v>32.05128205128205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10266</v>
      </c>
      <c r="AG2896" t="n">
        <v>2273</v>
      </c>
      <c r="AH2896" t="inlineStr">
        <is>
          <t>PT. INTI SUKSES SUMATERA - PPN (PDG)</t>
        </is>
      </c>
      <c r="AI2896" t="n">
        <v>298</v>
      </c>
      <c r="AJ2896" t="inlineStr">
        <is>
          <t>LUXCRIME</t>
        </is>
      </c>
      <c r="AK2896" t="n">
        <v>21</v>
      </c>
      <c r="AL2896" t="inlineStr">
        <is>
          <t>Miss Glam Damar</t>
        </is>
      </c>
      <c r="AM2896" t="n">
        <v>4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LUXCRIME</t>
        </is>
      </c>
      <c r="B2897" s="2">
        <f>"769503123332"</f>
        <v/>
      </c>
      <c r="C2897" t="inlineStr">
        <is>
          <t>LUXCRIME Refill Blur &amp; Cover Two Way Cake Opera 8,5gr</t>
        </is>
      </c>
      <c r="D2897" t="inlineStr">
        <is>
          <t>Miss Glam Damar</t>
        </is>
      </c>
      <c r="E2897" t="n">
        <v>1</v>
      </c>
      <c r="F2897" t="n">
        <v>0.1274</v>
      </c>
      <c r="G2897" t="n">
        <v>0.91</v>
      </c>
      <c r="H2897" t="n">
        <v>4</v>
      </c>
      <c r="I2897" t="n">
        <v>8</v>
      </c>
      <c r="J2897" t="n">
        <v>3</v>
      </c>
      <c r="K2897" t="n">
        <v>0</v>
      </c>
      <c r="L2897" t="n">
        <v>66750</v>
      </c>
      <c r="M2897" t="n">
        <v>89000</v>
      </c>
      <c r="N2897" t="n">
        <v>91</v>
      </c>
      <c r="O2897" t="n">
        <v>0.91</v>
      </c>
      <c r="P2897" t="n">
        <v>1</v>
      </c>
      <c r="Q2897" t="n">
        <v>0.05</v>
      </c>
      <c r="R2897" t="n">
        <v>1</v>
      </c>
      <c r="S2897" t="n">
        <v>11338.6</v>
      </c>
      <c r="T2897" t="n">
        <v>7</v>
      </c>
      <c r="U2897" t="n">
        <v>8</v>
      </c>
      <c r="V2897" t="n">
        <v>30</v>
      </c>
      <c r="W2897" t="n">
        <v>4</v>
      </c>
      <c r="X2897" t="n">
        <v>7.849293563579277</v>
      </c>
      <c r="Y2897" t="n">
        <v>1</v>
      </c>
      <c r="Z2897" t="n">
        <v>3</v>
      </c>
      <c r="AA2897" t="n">
        <v>1</v>
      </c>
      <c r="AB2897" t="n">
        <v>2</v>
      </c>
      <c r="AC2897" t="n">
        <v>3</v>
      </c>
      <c r="AD2897" t="n">
        <v>66750</v>
      </c>
      <c r="AE2897" t="n">
        <v>200250</v>
      </c>
      <c r="AF2897" t="n">
        <v>10266</v>
      </c>
      <c r="AG2897" t="n">
        <v>2273</v>
      </c>
      <c r="AH2897" t="inlineStr">
        <is>
          <t>PT. INTI SUKSES SUMATERA - PPN (PDG)</t>
        </is>
      </c>
      <c r="AI2897" t="n">
        <v>298</v>
      </c>
      <c r="AJ2897" t="inlineStr">
        <is>
          <t>LUXCRIME</t>
        </is>
      </c>
      <c r="AK2897" t="n">
        <v>21</v>
      </c>
      <c r="AL2897" t="inlineStr">
        <is>
          <t>Miss Glam Damar</t>
        </is>
      </c>
      <c r="AM2897" t="n">
        <v>4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LUXCRIME</t>
        </is>
      </c>
      <c r="B2898" s="2">
        <f>"769503122014"</f>
        <v/>
      </c>
      <c r="C2898" t="inlineStr">
        <is>
          <t>LUXCRIME Retractable Eyeliner Gel Lunar Black 0,3g</t>
        </is>
      </c>
      <c r="D2898" t="inlineStr">
        <is>
          <t>Miss Glam Damar</t>
        </is>
      </c>
      <c r="E2898" t="n">
        <v>2</v>
      </c>
      <c r="F2898" t="n">
        <v>0.1183</v>
      </c>
      <c r="G2898" t="n">
        <v>0.91</v>
      </c>
      <c r="H2898" t="n">
        <v>4</v>
      </c>
      <c r="I2898" t="n">
        <v>8</v>
      </c>
      <c r="J2898" t="n">
        <v>3</v>
      </c>
      <c r="K2898" t="n">
        <v>0</v>
      </c>
      <c r="L2898" t="n">
        <v>66750</v>
      </c>
      <c r="M2898" t="n">
        <v>89000</v>
      </c>
      <c r="N2898" t="n">
        <v>91</v>
      </c>
      <c r="O2898" t="n">
        <v>0.91</v>
      </c>
      <c r="P2898" t="n">
        <v>1</v>
      </c>
      <c r="Q2898" t="n">
        <v>0.15</v>
      </c>
      <c r="R2898" t="n">
        <v>2</v>
      </c>
      <c r="S2898" t="n">
        <v>10528.7</v>
      </c>
      <c r="T2898" t="n">
        <v>7</v>
      </c>
      <c r="U2898" t="n">
        <v>8</v>
      </c>
      <c r="V2898" t="n">
        <v>30</v>
      </c>
      <c r="W2898" t="n">
        <v>4</v>
      </c>
      <c r="X2898" t="n">
        <v>16.9061707523246</v>
      </c>
      <c r="Y2898" t="n">
        <v>1</v>
      </c>
      <c r="Z2898" t="n">
        <v>2</v>
      </c>
      <c r="AA2898" t="n">
        <v>0</v>
      </c>
      <c r="AB2898" t="n">
        <v>2</v>
      </c>
      <c r="AC2898" t="n">
        <v>3</v>
      </c>
      <c r="AD2898" t="n">
        <v>0</v>
      </c>
      <c r="AE2898" t="n">
        <v>200250</v>
      </c>
      <c r="AF2898" t="n">
        <v>10266</v>
      </c>
      <c r="AG2898" t="n">
        <v>2273</v>
      </c>
      <c r="AH2898" t="inlineStr">
        <is>
          <t>PT. INTI SUKSES SUMATERA - PPN (PDG)</t>
        </is>
      </c>
      <c r="AI2898" t="n">
        <v>298</v>
      </c>
      <c r="AJ2898" t="inlineStr">
        <is>
          <t>LUXCRIME</t>
        </is>
      </c>
      <c r="AK2898" t="n">
        <v>21</v>
      </c>
      <c r="AL2898" t="inlineStr">
        <is>
          <t>Miss Glam Damar</t>
        </is>
      </c>
      <c r="AM2898" t="n">
        <v>4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LUXCRIME</t>
        </is>
      </c>
      <c r="B2899" s="2">
        <f>"769503122779"</f>
        <v/>
      </c>
      <c r="C2899" t="inlineStr">
        <is>
          <t>LUXCRIME Seamless Bounchy Blush Peach Berry 5gr</t>
        </is>
      </c>
      <c r="D2899" t="inlineStr">
        <is>
          <t>Miss Glam Damar</t>
        </is>
      </c>
      <c r="E2899" t="n">
        <v>6</v>
      </c>
      <c r="F2899" t="n">
        <v>0.0182</v>
      </c>
      <c r="G2899" t="n">
        <v>0.91</v>
      </c>
      <c r="H2899" t="n">
        <v>4</v>
      </c>
      <c r="I2899" t="n">
        <v>8</v>
      </c>
      <c r="J2899" t="n">
        <v>3</v>
      </c>
      <c r="K2899" t="n">
        <v>0</v>
      </c>
      <c r="L2899" t="n">
        <v>66750</v>
      </c>
      <c r="M2899" t="n">
        <v>84000</v>
      </c>
      <c r="N2899" t="n">
        <v>91</v>
      </c>
      <c r="O2899" t="n">
        <v>0.91</v>
      </c>
      <c r="P2899" t="n">
        <v>1</v>
      </c>
      <c r="Q2899" t="n">
        <v>0.05</v>
      </c>
      <c r="R2899" t="n">
        <v>1</v>
      </c>
      <c r="S2899" t="n">
        <v>1528.8</v>
      </c>
      <c r="T2899" t="n">
        <v>8</v>
      </c>
      <c r="U2899" t="n">
        <v>9</v>
      </c>
      <c r="V2899" t="n">
        <v>30</v>
      </c>
      <c r="W2899" t="n">
        <v>1</v>
      </c>
      <c r="X2899" t="n">
        <v>329.6703296703296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10266</v>
      </c>
      <c r="AG2899" t="n">
        <v>2273</v>
      </c>
      <c r="AH2899" t="inlineStr">
        <is>
          <t>PT. INTI SUKSES SUMATERA - PPN (PDG)</t>
        </is>
      </c>
      <c r="AI2899" t="n">
        <v>298</v>
      </c>
      <c r="AJ2899" t="inlineStr">
        <is>
          <t>LUXCRIME</t>
        </is>
      </c>
      <c r="AK2899" t="n">
        <v>21</v>
      </c>
      <c r="AL2899" t="inlineStr">
        <is>
          <t>Miss Glam Damar</t>
        </is>
      </c>
      <c r="AM2899" t="n">
        <v>4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LUXCRIME</t>
        </is>
      </c>
      <c r="B2900" s="2">
        <f>"769503122762"</f>
        <v/>
      </c>
      <c r="C2900" t="inlineStr">
        <is>
          <t>LUXCRIME Seamless Bounchy Blush Violet Berry 5gr</t>
        </is>
      </c>
      <c r="D2900" t="inlineStr">
        <is>
          <t>Miss Glam Damar</t>
        </is>
      </c>
      <c r="E2900" t="n">
        <v>4</v>
      </c>
      <c r="F2900" t="n">
        <v>0.1365</v>
      </c>
      <c r="G2900" t="n">
        <v>0.91</v>
      </c>
      <c r="H2900" t="n">
        <v>4</v>
      </c>
      <c r="I2900" t="n">
        <v>8</v>
      </c>
      <c r="J2900" t="n">
        <v>3</v>
      </c>
      <c r="K2900" t="n">
        <v>0</v>
      </c>
      <c r="L2900" t="n">
        <v>66750</v>
      </c>
      <c r="M2900" t="n">
        <v>84000</v>
      </c>
      <c r="N2900" t="n">
        <v>91</v>
      </c>
      <c r="O2900" t="n">
        <v>0.91</v>
      </c>
      <c r="P2900" t="n">
        <v>1</v>
      </c>
      <c r="Q2900" t="n">
        <v>0.12</v>
      </c>
      <c r="R2900" t="n">
        <v>2</v>
      </c>
      <c r="S2900" t="n">
        <v>11466</v>
      </c>
      <c r="T2900" t="n">
        <v>7</v>
      </c>
      <c r="U2900" t="n">
        <v>8</v>
      </c>
      <c r="V2900" t="n">
        <v>30</v>
      </c>
      <c r="W2900" t="n">
        <v>5</v>
      </c>
      <c r="X2900" t="n">
        <v>29.3040293040293</v>
      </c>
      <c r="Y2900" t="n">
        <v>1</v>
      </c>
      <c r="Z2900" t="n">
        <v>1</v>
      </c>
      <c r="AA2900" t="n">
        <v>0</v>
      </c>
      <c r="AB2900" t="n">
        <v>1</v>
      </c>
      <c r="AC2900" t="n">
        <v>3</v>
      </c>
      <c r="AD2900" t="n">
        <v>0</v>
      </c>
      <c r="AE2900" t="n">
        <v>200250</v>
      </c>
      <c r="AF2900" t="n">
        <v>10266</v>
      </c>
      <c r="AG2900" t="n">
        <v>2273</v>
      </c>
      <c r="AH2900" t="inlineStr">
        <is>
          <t>PT. INTI SUKSES SUMATERA - PPN (PDG)</t>
        </is>
      </c>
      <c r="AI2900" t="n">
        <v>298</v>
      </c>
      <c r="AJ2900" t="inlineStr">
        <is>
          <t>LUXCRIME</t>
        </is>
      </c>
      <c r="AK2900" t="n">
        <v>21</v>
      </c>
      <c r="AL2900" t="inlineStr">
        <is>
          <t>Miss Glam Damar</t>
        </is>
      </c>
      <c r="AM2900" t="n">
        <v>4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LUXCRIME</t>
        </is>
      </c>
      <c r="B2901" s="2">
        <f>"769503122755"</f>
        <v/>
      </c>
      <c r="C2901" t="inlineStr">
        <is>
          <t>LUXCRIME Seamless Bounchy Blush Watermelon Berry 5gr</t>
        </is>
      </c>
      <c r="D2901" t="inlineStr">
        <is>
          <t>Miss Glam Damar</t>
        </is>
      </c>
      <c r="E2901" t="n">
        <v>0</v>
      </c>
      <c r="F2901" t="n">
        <v>0.2457</v>
      </c>
      <c r="G2901" t="n">
        <v>0.91</v>
      </c>
      <c r="H2901" t="n">
        <v>4</v>
      </c>
      <c r="I2901" t="n">
        <v>8</v>
      </c>
      <c r="J2901" t="n">
        <v>3</v>
      </c>
      <c r="K2901" t="n">
        <v>0</v>
      </c>
      <c r="L2901" t="n">
        <v>66750</v>
      </c>
      <c r="M2901" t="n">
        <v>89000</v>
      </c>
      <c r="N2901" t="n">
        <v>91</v>
      </c>
      <c r="O2901" t="n">
        <v>0.91</v>
      </c>
      <c r="P2901" t="n">
        <v>1</v>
      </c>
      <c r="Q2901" t="n">
        <v>0.21</v>
      </c>
      <c r="R2901" t="n">
        <v>4</v>
      </c>
      <c r="S2901" t="n">
        <v>21867.3</v>
      </c>
      <c r="T2901" t="n">
        <v>7</v>
      </c>
      <c r="U2901" t="n">
        <v>8</v>
      </c>
      <c r="V2901" t="n">
        <v>30</v>
      </c>
      <c r="W2901" t="n">
        <v>8</v>
      </c>
      <c r="X2901" t="n">
        <v>0</v>
      </c>
      <c r="Y2901" t="n">
        <v>1</v>
      </c>
      <c r="Z2901" t="n">
        <v>8</v>
      </c>
      <c r="AA2901" t="n">
        <v>2</v>
      </c>
      <c r="AB2901" t="n">
        <v>6</v>
      </c>
      <c r="AC2901" t="n">
        <v>6</v>
      </c>
      <c r="AD2901" t="n">
        <v>133500</v>
      </c>
      <c r="AE2901" t="n">
        <v>400500</v>
      </c>
      <c r="AF2901" t="n">
        <v>10266</v>
      </c>
      <c r="AG2901" t="n">
        <v>2273</v>
      </c>
      <c r="AH2901" t="inlineStr">
        <is>
          <t>PT. INTI SUKSES SUMATERA - PPN (PDG)</t>
        </is>
      </c>
      <c r="AI2901" t="n">
        <v>298</v>
      </c>
      <c r="AJ2901" t="inlineStr">
        <is>
          <t>LUXCRIME</t>
        </is>
      </c>
      <c r="AK2901" t="n">
        <v>21</v>
      </c>
      <c r="AL2901" t="inlineStr">
        <is>
          <t>Miss Glam Damar</t>
        </is>
      </c>
      <c r="AM2901" t="n">
        <v>4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LUXCRIME</t>
        </is>
      </c>
      <c r="B2902" s="2">
        <f>"725765030658"</f>
        <v/>
      </c>
      <c r="C2902" t="inlineStr">
        <is>
          <t>LUXCRIME Second Skin Loose Powder Banana 12gr</t>
        </is>
      </c>
      <c r="D2902" t="inlineStr">
        <is>
          <t>Miss Glam Damar</t>
        </is>
      </c>
      <c r="E2902" t="n">
        <v>10</v>
      </c>
      <c r="F2902" t="n">
        <v>0.4004</v>
      </c>
      <c r="G2902" t="n">
        <v>2.73</v>
      </c>
      <c r="H2902" t="n">
        <v>4</v>
      </c>
      <c r="I2902" t="n">
        <v>8</v>
      </c>
      <c r="J2902" t="n">
        <v>3</v>
      </c>
      <c r="K2902" t="n">
        <v>0</v>
      </c>
      <c r="L2902" t="n">
        <v>96750</v>
      </c>
      <c r="M2902" t="n">
        <v>124000</v>
      </c>
      <c r="N2902" t="n">
        <v>91</v>
      </c>
      <c r="O2902" t="n">
        <v>0.91</v>
      </c>
      <c r="P2902" t="n">
        <v>1</v>
      </c>
      <c r="Q2902" t="n">
        <v>0.29</v>
      </c>
      <c r="R2902" t="n">
        <v>2</v>
      </c>
      <c r="S2902" t="n">
        <v>49649.60000000001</v>
      </c>
      <c r="T2902" t="n">
        <v>21</v>
      </c>
      <c r="U2902" t="n">
        <v>23</v>
      </c>
      <c r="V2902" t="n">
        <v>30</v>
      </c>
      <c r="W2902" t="n">
        <v>13</v>
      </c>
      <c r="X2902" t="n">
        <v>24.97502497502497</v>
      </c>
      <c r="Y2902" t="n">
        <v>1</v>
      </c>
      <c r="Z2902" t="n">
        <v>3</v>
      </c>
      <c r="AA2902" t="n">
        <v>0</v>
      </c>
      <c r="AB2902" t="n">
        <v>3</v>
      </c>
      <c r="AC2902" t="n">
        <v>3</v>
      </c>
      <c r="AD2902" t="n">
        <v>0</v>
      </c>
      <c r="AE2902" t="n">
        <v>290250</v>
      </c>
      <c r="AF2902" t="n">
        <v>10266</v>
      </c>
      <c r="AG2902" t="n">
        <v>2273</v>
      </c>
      <c r="AH2902" t="inlineStr">
        <is>
          <t>PT. INTI SUKSES SUMATERA - PPN (PDG)</t>
        </is>
      </c>
      <c r="AI2902" t="n">
        <v>298</v>
      </c>
      <c r="AJ2902" t="inlineStr">
        <is>
          <t>LUXCRIME</t>
        </is>
      </c>
      <c r="AK2902" t="n">
        <v>21</v>
      </c>
      <c r="AL2902" t="inlineStr">
        <is>
          <t>Miss Glam Damar</t>
        </is>
      </c>
      <c r="AM2902" t="n">
        <v>4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LUXCRIME</t>
        </is>
      </c>
      <c r="B2903" s="2">
        <f>"725765030580"</f>
        <v/>
      </c>
      <c r="C2903" t="inlineStr">
        <is>
          <t>LUXCRIME Second Skin Loose Powder Translucent Light 12gr</t>
        </is>
      </c>
      <c r="D2903" t="inlineStr">
        <is>
          <t>Miss Glam Damar</t>
        </is>
      </c>
      <c r="E2903" t="n">
        <v>4</v>
      </c>
      <c r="F2903" t="n">
        <v>0.182</v>
      </c>
      <c r="G2903" t="n">
        <v>0.91</v>
      </c>
      <c r="H2903" t="n">
        <v>4</v>
      </c>
      <c r="I2903" t="n">
        <v>8</v>
      </c>
      <c r="J2903" t="n">
        <v>3</v>
      </c>
      <c r="K2903" t="n">
        <v>0</v>
      </c>
      <c r="L2903" t="n">
        <v>96750</v>
      </c>
      <c r="M2903" t="n">
        <v>121000</v>
      </c>
      <c r="N2903" t="n">
        <v>91</v>
      </c>
      <c r="O2903" t="n">
        <v>0.91</v>
      </c>
      <c r="P2903" t="n">
        <v>1</v>
      </c>
      <c r="Q2903" t="n">
        <v>0.14</v>
      </c>
      <c r="R2903" t="n">
        <v>2</v>
      </c>
      <c r="S2903" t="n">
        <v>22022</v>
      </c>
      <c r="T2903" t="n">
        <v>7</v>
      </c>
      <c r="U2903" t="n">
        <v>8</v>
      </c>
      <c r="V2903" t="n">
        <v>30</v>
      </c>
      <c r="W2903" t="n">
        <v>6</v>
      </c>
      <c r="X2903" t="n">
        <v>21.97802197802197</v>
      </c>
      <c r="Y2903" t="n">
        <v>1</v>
      </c>
      <c r="Z2903" t="n">
        <v>2</v>
      </c>
      <c r="AA2903" t="n">
        <v>0</v>
      </c>
      <c r="AB2903" t="n">
        <v>2</v>
      </c>
      <c r="AC2903" t="n">
        <v>3</v>
      </c>
      <c r="AD2903" t="n">
        <v>0</v>
      </c>
      <c r="AE2903" t="n">
        <v>290250</v>
      </c>
      <c r="AF2903" t="n">
        <v>10266</v>
      </c>
      <c r="AG2903" t="n">
        <v>2273</v>
      </c>
      <c r="AH2903" t="inlineStr">
        <is>
          <t>PT. INTI SUKSES SUMATERA - PPN (PDG)</t>
        </is>
      </c>
      <c r="AI2903" t="n">
        <v>298</v>
      </c>
      <c r="AJ2903" t="inlineStr">
        <is>
          <t>LUXCRIME</t>
        </is>
      </c>
      <c r="AK2903" t="n">
        <v>21</v>
      </c>
      <c r="AL2903" t="inlineStr">
        <is>
          <t>Miss Glam Damar</t>
        </is>
      </c>
      <c r="AM2903" t="n">
        <v>4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LUXCRIME</t>
        </is>
      </c>
      <c r="B2904" s="2">
        <f>"769503123523"</f>
        <v/>
      </c>
      <c r="C2904" t="inlineStr">
        <is>
          <t>LUXCRIME Silk Glow Mini Blur &amp; Cover Two Way Cake Custard 4.5gr</t>
        </is>
      </c>
      <c r="D2904" t="inlineStr">
        <is>
          <t>Miss Glam Damar</t>
        </is>
      </c>
      <c r="E2904" t="n">
        <v>7</v>
      </c>
      <c r="F2904" t="n">
        <v>0.1365</v>
      </c>
      <c r="G2904" t="n">
        <v>0.91</v>
      </c>
      <c r="H2904" t="n">
        <v>4</v>
      </c>
      <c r="I2904" t="n">
        <v>8</v>
      </c>
      <c r="J2904" t="n">
        <v>3</v>
      </c>
      <c r="K2904" t="n">
        <v>0</v>
      </c>
      <c r="L2904" t="n">
        <v>59250</v>
      </c>
      <c r="M2904" t="n">
        <v>79000</v>
      </c>
      <c r="N2904" t="n">
        <v>91</v>
      </c>
      <c r="O2904" t="n">
        <v>0.91</v>
      </c>
      <c r="P2904" t="n">
        <v>1</v>
      </c>
      <c r="Q2904" t="n">
        <v>0.12</v>
      </c>
      <c r="R2904" t="n">
        <v>2</v>
      </c>
      <c r="S2904" t="n">
        <v>10783.5</v>
      </c>
      <c r="T2904" t="n">
        <v>7</v>
      </c>
      <c r="U2904" t="n">
        <v>8</v>
      </c>
      <c r="V2904" t="n">
        <v>30</v>
      </c>
      <c r="W2904" t="n">
        <v>5</v>
      </c>
      <c r="X2904" t="n">
        <v>51.28205128205128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10266</v>
      </c>
      <c r="AG2904" t="n">
        <v>2273</v>
      </c>
      <c r="AH2904" t="inlineStr">
        <is>
          <t>PT. INTI SUKSES SUMATERA - PPN (PDG)</t>
        </is>
      </c>
      <c r="AI2904" t="n">
        <v>298</v>
      </c>
      <c r="AJ2904" t="inlineStr">
        <is>
          <t>LUXCRIME</t>
        </is>
      </c>
      <c r="AK2904" t="n">
        <v>21</v>
      </c>
      <c r="AL2904" t="inlineStr">
        <is>
          <t>Miss Glam Damar</t>
        </is>
      </c>
      <c r="AM2904" t="n">
        <v>4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LUXCRIME</t>
        </is>
      </c>
      <c r="B2905" s="2">
        <f>"769503123530"</f>
        <v/>
      </c>
      <c r="C2905" t="inlineStr">
        <is>
          <t>LUXCRIME Silk Glow Mini Blur &amp; Cover Two Way Cake Honeycomb 4.5gr</t>
        </is>
      </c>
      <c r="D2905" t="inlineStr">
        <is>
          <t>Miss Glam Damar</t>
        </is>
      </c>
      <c r="E2905" t="n">
        <v>8</v>
      </c>
      <c r="F2905" t="n">
        <v>0.1092</v>
      </c>
      <c r="G2905" t="n">
        <v>0.91</v>
      </c>
      <c r="H2905" t="n">
        <v>4</v>
      </c>
      <c r="I2905" t="n">
        <v>8</v>
      </c>
      <c r="J2905" t="n">
        <v>3</v>
      </c>
      <c r="K2905" t="n">
        <v>0</v>
      </c>
      <c r="L2905" t="n">
        <v>59250</v>
      </c>
      <c r="M2905" t="n">
        <v>79000</v>
      </c>
      <c r="N2905" t="n">
        <v>91</v>
      </c>
      <c r="O2905" t="n">
        <v>0.91</v>
      </c>
      <c r="P2905" t="n">
        <v>1</v>
      </c>
      <c r="Q2905" t="n">
        <v>0.02</v>
      </c>
      <c r="R2905" t="n">
        <v>1</v>
      </c>
      <c r="S2905" t="n">
        <v>8626.800000000001</v>
      </c>
      <c r="T2905" t="n">
        <v>7</v>
      </c>
      <c r="U2905" t="n">
        <v>8</v>
      </c>
      <c r="V2905" t="n">
        <v>30</v>
      </c>
      <c r="W2905" t="n">
        <v>4</v>
      </c>
      <c r="X2905" t="n">
        <v>73.26007326007326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10266</v>
      </c>
      <c r="AG2905" t="n">
        <v>2273</v>
      </c>
      <c r="AH2905" t="inlineStr">
        <is>
          <t>PT. INTI SUKSES SUMATERA - PPN (PDG)</t>
        </is>
      </c>
      <c r="AI2905" t="n">
        <v>298</v>
      </c>
      <c r="AJ2905" t="inlineStr">
        <is>
          <t>LUXCRIME</t>
        </is>
      </c>
      <c r="AK2905" t="n">
        <v>21</v>
      </c>
      <c r="AL2905" t="inlineStr">
        <is>
          <t>Miss Glam Damar</t>
        </is>
      </c>
      <c r="AM2905" t="n">
        <v>4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LUXCRIME</t>
        </is>
      </c>
      <c r="B2906" s="2">
        <f>"725765030405"</f>
        <v/>
      </c>
      <c r="C2906" t="inlineStr">
        <is>
          <t>LUXCRIME Slim Triangle Dark Brown 0.1g</t>
        </is>
      </c>
      <c r="D2906" t="inlineStr">
        <is>
          <t>Miss Glam Damar</t>
        </is>
      </c>
      <c r="E2906" t="n">
        <v>13</v>
      </c>
      <c r="F2906" t="n">
        <v>0.1547</v>
      </c>
      <c r="G2906" t="n">
        <v>1.82</v>
      </c>
      <c r="H2906" t="n">
        <v>4</v>
      </c>
      <c r="I2906" t="n">
        <v>8</v>
      </c>
      <c r="J2906" t="n">
        <v>3</v>
      </c>
      <c r="K2906" t="n">
        <v>0</v>
      </c>
      <c r="L2906" t="n">
        <v>71250</v>
      </c>
      <c r="M2906" t="n">
        <v>95000</v>
      </c>
      <c r="N2906" t="n">
        <v>91</v>
      </c>
      <c r="O2906" t="n">
        <v>0.91</v>
      </c>
      <c r="P2906" t="n">
        <v>1</v>
      </c>
      <c r="Q2906" t="n">
        <v>0.47</v>
      </c>
      <c r="R2906" t="n">
        <v>5</v>
      </c>
      <c r="S2906" t="n">
        <v>14696.5</v>
      </c>
      <c r="T2906" t="n">
        <v>14</v>
      </c>
      <c r="U2906" t="n">
        <v>15</v>
      </c>
      <c r="V2906" t="n">
        <v>30</v>
      </c>
      <c r="W2906" t="n">
        <v>5</v>
      </c>
      <c r="X2906" t="n">
        <v>84.03361344537815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10266</v>
      </c>
      <c r="AG2906" t="n">
        <v>2273</v>
      </c>
      <c r="AH2906" t="inlineStr">
        <is>
          <t>PT. INTI SUKSES SUMATERA - PPN (PDG)</t>
        </is>
      </c>
      <c r="AI2906" t="n">
        <v>298</v>
      </c>
      <c r="AJ2906" t="inlineStr">
        <is>
          <t>LUXCRIME</t>
        </is>
      </c>
      <c r="AK2906" t="n">
        <v>21</v>
      </c>
      <c r="AL2906" t="inlineStr">
        <is>
          <t>Miss Glam Damar</t>
        </is>
      </c>
      <c r="AM2906" t="n">
        <v>4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LUXCRIME</t>
        </is>
      </c>
      <c r="B2907" s="2">
        <f>"725765030382"</f>
        <v/>
      </c>
      <c r="C2907" t="inlineStr">
        <is>
          <t>LUXCRIME Slim Triangle Precision Brow Pencil Ash 0.1gr</t>
        </is>
      </c>
      <c r="D2907" t="inlineStr">
        <is>
          <t>Miss Glam Damar</t>
        </is>
      </c>
      <c r="E2907" t="n">
        <v>4</v>
      </c>
      <c r="F2907" t="n">
        <v>0.0182</v>
      </c>
      <c r="G2907" t="n">
        <v>0.91</v>
      </c>
      <c r="H2907" t="n">
        <v>4</v>
      </c>
      <c r="I2907" t="n">
        <v>8</v>
      </c>
      <c r="J2907" t="n">
        <v>3</v>
      </c>
      <c r="K2907" t="n">
        <v>0</v>
      </c>
      <c r="L2907" t="n">
        <v>71251</v>
      </c>
      <c r="M2907" t="n">
        <v>95000</v>
      </c>
      <c r="N2907" t="n">
        <v>91</v>
      </c>
      <c r="O2907" t="n">
        <v>0.91</v>
      </c>
      <c r="P2907" t="n">
        <v>1</v>
      </c>
      <c r="Q2907" t="n">
        <v>0.02</v>
      </c>
      <c r="R2907" t="n">
        <v>1</v>
      </c>
      <c r="S2907" t="n">
        <v>1729</v>
      </c>
      <c r="T2907" t="n">
        <v>8</v>
      </c>
      <c r="U2907" t="n">
        <v>9</v>
      </c>
      <c r="V2907" t="n">
        <v>30</v>
      </c>
      <c r="W2907" t="n">
        <v>1</v>
      </c>
      <c r="X2907" t="n">
        <v>219.7802197802198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10266</v>
      </c>
      <c r="AG2907" t="n">
        <v>2273</v>
      </c>
      <c r="AH2907" t="inlineStr">
        <is>
          <t>PT. INTI SUKSES SUMATERA - PPN (PDG)</t>
        </is>
      </c>
      <c r="AI2907" t="n">
        <v>298</v>
      </c>
      <c r="AJ2907" t="inlineStr">
        <is>
          <t>LUXCRIME</t>
        </is>
      </c>
      <c r="AK2907" t="n">
        <v>21</v>
      </c>
      <c r="AL2907" t="inlineStr">
        <is>
          <t>Miss Glam Damar</t>
        </is>
      </c>
      <c r="AM2907" t="n">
        <v>4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LUXCRIME</t>
        </is>
      </c>
      <c r="B2908" s="2">
        <f>"725765030399"</f>
        <v/>
      </c>
      <c r="C2908" t="inlineStr">
        <is>
          <t>LUXCRIME Slim Triangle Precision Brow Pencil Brown 0.1gr</t>
        </is>
      </c>
      <c r="D2908" t="inlineStr">
        <is>
          <t>Miss Glam Damar</t>
        </is>
      </c>
      <c r="E2908" t="n">
        <v>3</v>
      </c>
      <c r="F2908" t="n">
        <v>0.1092</v>
      </c>
      <c r="G2908" t="n">
        <v>1.82</v>
      </c>
      <c r="H2908" t="n">
        <v>4</v>
      </c>
      <c r="I2908" t="n">
        <v>8</v>
      </c>
      <c r="J2908" t="n">
        <v>3</v>
      </c>
      <c r="K2908" t="n">
        <v>0</v>
      </c>
      <c r="L2908" t="n">
        <v>71250</v>
      </c>
      <c r="M2908" t="n">
        <v>95000</v>
      </c>
      <c r="N2908" t="n">
        <v>91</v>
      </c>
      <c r="O2908" t="n">
        <v>0.91</v>
      </c>
      <c r="P2908" t="n">
        <v>1</v>
      </c>
      <c r="Q2908" t="n">
        <v>0.08</v>
      </c>
      <c r="R2908" t="n">
        <v>1</v>
      </c>
      <c r="S2908" t="n">
        <v>10374</v>
      </c>
      <c r="T2908" t="n">
        <v>15</v>
      </c>
      <c r="U2908" t="n">
        <v>16</v>
      </c>
      <c r="V2908" t="n">
        <v>30</v>
      </c>
      <c r="W2908" t="n">
        <v>4</v>
      </c>
      <c r="X2908" t="n">
        <v>27.47252747252747</v>
      </c>
      <c r="Y2908" t="n">
        <v>1</v>
      </c>
      <c r="Z2908" t="n">
        <v>1</v>
      </c>
      <c r="AA2908" t="n">
        <v>0</v>
      </c>
      <c r="AB2908" t="n">
        <v>1</v>
      </c>
      <c r="AC2908" t="n">
        <v>3</v>
      </c>
      <c r="AD2908" t="n">
        <v>0</v>
      </c>
      <c r="AE2908" t="n">
        <v>213750</v>
      </c>
      <c r="AF2908" t="n">
        <v>10266</v>
      </c>
      <c r="AG2908" t="n">
        <v>2273</v>
      </c>
      <c r="AH2908" t="inlineStr">
        <is>
          <t>PT. INTI SUKSES SUMATERA - PPN (PDG)</t>
        </is>
      </c>
      <c r="AI2908" t="n">
        <v>298</v>
      </c>
      <c r="AJ2908" t="inlineStr">
        <is>
          <t>LUXCRIME</t>
        </is>
      </c>
      <c r="AK2908" t="n">
        <v>21</v>
      </c>
      <c r="AL2908" t="inlineStr">
        <is>
          <t>Miss Glam Damar</t>
        </is>
      </c>
      <c r="AM2908" t="n">
        <v>4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LUXCRIME</t>
        </is>
      </c>
      <c r="B2909" s="2">
        <f>"769503122922"</f>
        <v/>
      </c>
      <c r="C2909" t="inlineStr">
        <is>
          <t>LUXCRIME Sponge Tip Seamless Liquid Countur Hazelnut 9gr</t>
        </is>
      </c>
      <c r="D2909" t="inlineStr">
        <is>
          <t>Miss Glam Damar</t>
        </is>
      </c>
      <c r="E2909" t="n">
        <v>0</v>
      </c>
      <c r="F2909" t="n">
        <v>0.1092</v>
      </c>
      <c r="G2909" t="n">
        <v>0.91</v>
      </c>
      <c r="H2909" t="n">
        <v>4</v>
      </c>
      <c r="I2909" t="n">
        <v>8</v>
      </c>
      <c r="J2909" t="n">
        <v>3</v>
      </c>
      <c r="K2909" t="n">
        <v>0</v>
      </c>
      <c r="L2909" t="n">
        <v>74250</v>
      </c>
      <c r="M2909" t="n">
        <v>93000</v>
      </c>
      <c r="N2909" t="n">
        <v>91</v>
      </c>
      <c r="O2909" t="n">
        <v>0.91</v>
      </c>
      <c r="P2909" t="n">
        <v>1</v>
      </c>
      <c r="Q2909" t="n">
        <v>0.23</v>
      </c>
      <c r="R2909" t="n">
        <v>2</v>
      </c>
      <c r="S2909" t="n">
        <v>10155.6</v>
      </c>
      <c r="T2909" t="n">
        <v>7</v>
      </c>
      <c r="U2909" t="n">
        <v>8</v>
      </c>
      <c r="V2909" t="n">
        <v>30</v>
      </c>
      <c r="W2909" t="n">
        <v>4</v>
      </c>
      <c r="X2909" t="n">
        <v>0</v>
      </c>
      <c r="Y2909" t="n">
        <v>1</v>
      </c>
      <c r="Z2909" t="n">
        <v>4</v>
      </c>
      <c r="AA2909" t="n">
        <v>1</v>
      </c>
      <c r="AB2909" t="n">
        <v>3</v>
      </c>
      <c r="AC2909" t="n">
        <v>3</v>
      </c>
      <c r="AD2909" t="n">
        <v>74250</v>
      </c>
      <c r="AE2909" t="n">
        <v>222750</v>
      </c>
      <c r="AF2909" t="n">
        <v>10266</v>
      </c>
      <c r="AG2909" t="n">
        <v>2273</v>
      </c>
      <c r="AH2909" t="inlineStr">
        <is>
          <t>PT. INTI SUKSES SUMATERA - PPN (PDG)</t>
        </is>
      </c>
      <c r="AI2909" t="n">
        <v>298</v>
      </c>
      <c r="AJ2909" t="inlineStr">
        <is>
          <t>LUXCRIME</t>
        </is>
      </c>
      <c r="AK2909" t="n">
        <v>21</v>
      </c>
      <c r="AL2909" t="inlineStr">
        <is>
          <t>Miss Glam Damar</t>
        </is>
      </c>
      <c r="AM2909" t="n">
        <v>4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LUXCRIME</t>
        </is>
      </c>
      <c r="B2910" s="2">
        <f>"769503122939"</f>
        <v/>
      </c>
      <c r="C2910" t="inlineStr">
        <is>
          <t>LUXCRIME Sponge Tip Seamless Liquid Countur Hot Cocoa 9gr</t>
        </is>
      </c>
      <c r="D2910" t="inlineStr">
        <is>
          <t>Miss Glam Damar</t>
        </is>
      </c>
      <c r="E2910" t="n">
        <v>2</v>
      </c>
      <c r="F2910" t="n">
        <v>0.09100000000000001</v>
      </c>
      <c r="G2910" t="n">
        <v>1.82</v>
      </c>
      <c r="H2910" t="n">
        <v>4</v>
      </c>
      <c r="I2910" t="n">
        <v>8</v>
      </c>
      <c r="J2910" t="n">
        <v>3</v>
      </c>
      <c r="K2910" t="n">
        <v>0</v>
      </c>
      <c r="L2910" t="n">
        <v>74250</v>
      </c>
      <c r="M2910" t="n">
        <v>93000</v>
      </c>
      <c r="N2910" t="n">
        <v>91</v>
      </c>
      <c r="O2910" t="n">
        <v>0.91</v>
      </c>
      <c r="P2910" t="n">
        <v>1</v>
      </c>
      <c r="Q2910" t="n">
        <v>0.12</v>
      </c>
      <c r="R2910" t="n">
        <v>2</v>
      </c>
      <c r="S2910" t="n">
        <v>8463.000000000002</v>
      </c>
      <c r="T2910" t="n">
        <v>15</v>
      </c>
      <c r="U2910" t="n">
        <v>16</v>
      </c>
      <c r="V2910" t="n">
        <v>30</v>
      </c>
      <c r="W2910" t="n">
        <v>3</v>
      </c>
      <c r="X2910" t="n">
        <v>21.97802197802197</v>
      </c>
      <c r="Y2910" t="n">
        <v>1</v>
      </c>
      <c r="Z2910" t="n">
        <v>1</v>
      </c>
      <c r="AA2910" t="n">
        <v>0</v>
      </c>
      <c r="AB2910" t="n">
        <v>1</v>
      </c>
      <c r="AC2910" t="n">
        <v>3</v>
      </c>
      <c r="AD2910" t="n">
        <v>0</v>
      </c>
      <c r="AE2910" t="n">
        <v>222750</v>
      </c>
      <c r="AF2910" t="n">
        <v>10266</v>
      </c>
      <c r="AG2910" t="n">
        <v>2273</v>
      </c>
      <c r="AH2910" t="inlineStr">
        <is>
          <t>PT. INTI SUKSES SUMATERA - PPN (PDG)</t>
        </is>
      </c>
      <c r="AI2910" t="n">
        <v>298</v>
      </c>
      <c r="AJ2910" t="inlineStr">
        <is>
          <t>LUXCRIME</t>
        </is>
      </c>
      <c r="AK2910" t="n">
        <v>21</v>
      </c>
      <c r="AL2910" t="inlineStr">
        <is>
          <t>Miss Glam Damar</t>
        </is>
      </c>
      <c r="AM2910" t="n">
        <v>4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LUXCRIME</t>
        </is>
      </c>
      <c r="B2911" s="2">
        <f>"769503122915"</f>
        <v/>
      </c>
      <c r="C2911" t="inlineStr">
        <is>
          <t>LUXCRIME Sponge Tip Seamless Liquid Countur Praline 9gr</t>
        </is>
      </c>
      <c r="D2911" t="inlineStr">
        <is>
          <t>Miss Glam Damar</t>
        </is>
      </c>
      <c r="E2911" t="n">
        <v>3</v>
      </c>
      <c r="F2911" t="n">
        <v>0.04550000000000001</v>
      </c>
      <c r="G2911" t="n">
        <v>0.91</v>
      </c>
      <c r="H2911" t="n">
        <v>4</v>
      </c>
      <c r="I2911" t="n">
        <v>8</v>
      </c>
      <c r="J2911" t="n">
        <v>3</v>
      </c>
      <c r="K2911" t="n">
        <v>0</v>
      </c>
      <c r="L2911" t="n">
        <v>74250</v>
      </c>
      <c r="M2911" t="n">
        <v>93000</v>
      </c>
      <c r="N2911" t="n">
        <v>91</v>
      </c>
      <c r="O2911" t="n">
        <v>0.91</v>
      </c>
      <c r="P2911" t="n">
        <v>1</v>
      </c>
      <c r="Q2911" t="n">
        <v>0.12</v>
      </c>
      <c r="R2911" t="n">
        <v>1</v>
      </c>
      <c r="S2911" t="n">
        <v>4231.500000000001</v>
      </c>
      <c r="T2911" t="n">
        <v>8</v>
      </c>
      <c r="U2911" t="n">
        <v>9</v>
      </c>
      <c r="V2911" t="n">
        <v>30</v>
      </c>
      <c r="W2911" t="n">
        <v>2</v>
      </c>
      <c r="X2911" t="n">
        <v>65.93406593406593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10266</v>
      </c>
      <c r="AG2911" t="n">
        <v>2273</v>
      </c>
      <c r="AH2911" t="inlineStr">
        <is>
          <t>PT. INTI SUKSES SUMATERA - PPN (PDG)</t>
        </is>
      </c>
      <c r="AI2911" t="n">
        <v>298</v>
      </c>
      <c r="AJ2911" t="inlineStr">
        <is>
          <t>LUXCRIME</t>
        </is>
      </c>
      <c r="AK2911" t="n">
        <v>21</v>
      </c>
      <c r="AL2911" t="inlineStr">
        <is>
          <t>Miss Glam Damar</t>
        </is>
      </c>
      <c r="AM2911" t="n">
        <v>4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LUXCRIME</t>
        </is>
      </c>
      <c r="B2912" s="2">
        <f>"769503123424"</f>
        <v/>
      </c>
      <c r="C2912" t="inlineStr">
        <is>
          <t>LUXCRIME TWC Blur &amp; Cover TWC Oil Control Buttercream 4.5gr</t>
        </is>
      </c>
      <c r="D2912" t="inlineStr">
        <is>
          <t>Miss Glam Damar</t>
        </is>
      </c>
      <c r="E2912" t="n">
        <v>14</v>
      </c>
      <c r="F2912" t="n">
        <v>0.3367</v>
      </c>
      <c r="G2912" t="n">
        <v>1.82</v>
      </c>
      <c r="H2912" t="n">
        <v>4</v>
      </c>
      <c r="I2912" t="n">
        <v>8</v>
      </c>
      <c r="J2912" t="n">
        <v>3</v>
      </c>
      <c r="K2912" t="n">
        <v>0</v>
      </c>
      <c r="L2912" t="n">
        <v>59250</v>
      </c>
      <c r="M2912" t="n">
        <v>79000</v>
      </c>
      <c r="N2912" t="n">
        <v>91</v>
      </c>
      <c r="O2912" t="n">
        <v>0.91</v>
      </c>
      <c r="P2912" t="n">
        <v>1</v>
      </c>
      <c r="Q2912" t="n">
        <v>0.2</v>
      </c>
      <c r="R2912" t="n">
        <v>2</v>
      </c>
      <c r="S2912" t="n">
        <v>26599.3</v>
      </c>
      <c r="T2912" t="n">
        <v>14</v>
      </c>
      <c r="U2912" t="n">
        <v>16</v>
      </c>
      <c r="V2912" t="n">
        <v>30</v>
      </c>
      <c r="W2912" t="n">
        <v>11</v>
      </c>
      <c r="X2912" t="n">
        <v>41.58004158004158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10266</v>
      </c>
      <c r="AG2912" t="n">
        <v>2273</v>
      </c>
      <c r="AH2912" t="inlineStr">
        <is>
          <t>PT. INTI SUKSES SUMATERA - PPN (PDG)</t>
        </is>
      </c>
      <c r="AI2912" t="n">
        <v>298</v>
      </c>
      <c r="AJ2912" t="inlineStr">
        <is>
          <t>LUXCRIME</t>
        </is>
      </c>
      <c r="AK2912" t="n">
        <v>21</v>
      </c>
      <c r="AL2912" t="inlineStr">
        <is>
          <t>Miss Glam Damar</t>
        </is>
      </c>
      <c r="AM2912" t="n">
        <v>4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LUXCRIME</t>
        </is>
      </c>
      <c r="B2913" s="2">
        <f>"769503123448"</f>
        <v/>
      </c>
      <c r="C2913" t="inlineStr">
        <is>
          <t>LUXCRIME TWC Blur &amp; Cover TWC Oil Control Honeycomb 4.5gr</t>
        </is>
      </c>
      <c r="D2913" t="inlineStr">
        <is>
          <t>Miss Glam Damar</t>
        </is>
      </c>
      <c r="E2913" t="n">
        <v>5</v>
      </c>
      <c r="F2913" t="n">
        <v>0.0728</v>
      </c>
      <c r="G2913" t="n">
        <v>0.91</v>
      </c>
      <c r="H2913" t="n">
        <v>4</v>
      </c>
      <c r="I2913" t="n">
        <v>8</v>
      </c>
      <c r="J2913" t="n">
        <v>3</v>
      </c>
      <c r="K2913" t="n">
        <v>0</v>
      </c>
      <c r="L2913" t="n">
        <v>59251</v>
      </c>
      <c r="M2913" t="n">
        <v>79000</v>
      </c>
      <c r="N2913" t="n">
        <v>91</v>
      </c>
      <c r="O2913" t="n">
        <v>0.91</v>
      </c>
      <c r="P2913" t="n">
        <v>1</v>
      </c>
      <c r="Q2913" t="n">
        <v>0.07000000000000001</v>
      </c>
      <c r="R2913" t="n">
        <v>1</v>
      </c>
      <c r="S2913" t="n">
        <v>5751.200000000001</v>
      </c>
      <c r="T2913" t="n">
        <v>7</v>
      </c>
      <c r="U2913" t="n">
        <v>8</v>
      </c>
      <c r="V2913" t="n">
        <v>30</v>
      </c>
      <c r="W2913" t="n">
        <v>3</v>
      </c>
      <c r="X2913" t="n">
        <v>68.68131868131867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10266</v>
      </c>
      <c r="AG2913" t="n">
        <v>2273</v>
      </c>
      <c r="AH2913" t="inlineStr">
        <is>
          <t>PT. INTI SUKSES SUMATERA - PPN (PDG)</t>
        </is>
      </c>
      <c r="AI2913" t="n">
        <v>298</v>
      </c>
      <c r="AJ2913" t="inlineStr">
        <is>
          <t>LUXCRIME</t>
        </is>
      </c>
      <c r="AK2913" t="n">
        <v>21</v>
      </c>
      <c r="AL2913" t="inlineStr">
        <is>
          <t>Miss Glam Damar</t>
        </is>
      </c>
      <c r="AM2913" t="n">
        <v>4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LUXCRIME</t>
        </is>
      </c>
      <c r="B2914" s="2">
        <f>"769503123196"</f>
        <v/>
      </c>
      <c r="C2914" t="inlineStr">
        <is>
          <t>LUXCRIME Two Way Cake Blur &amp; Cover Oil Control Custard 8.5gr</t>
        </is>
      </c>
      <c r="D2914" t="inlineStr">
        <is>
          <t>Miss Glam Damar</t>
        </is>
      </c>
      <c r="E2914" t="n">
        <v>10</v>
      </c>
      <c r="F2914" t="n">
        <v>0.8008000000000001</v>
      </c>
      <c r="G2914" t="n">
        <v>3.64</v>
      </c>
      <c r="H2914" t="n">
        <v>4</v>
      </c>
      <c r="I2914" t="n">
        <v>8</v>
      </c>
      <c r="J2914" t="n">
        <v>3</v>
      </c>
      <c r="K2914" t="n">
        <v>0</v>
      </c>
      <c r="L2914" t="n">
        <v>96750</v>
      </c>
      <c r="M2914" t="n">
        <v>129000</v>
      </c>
      <c r="N2914" t="n">
        <v>91</v>
      </c>
      <c r="O2914" t="n">
        <v>0.91</v>
      </c>
      <c r="P2914" t="n">
        <v>1</v>
      </c>
      <c r="Q2914" t="n">
        <v>0.34</v>
      </c>
      <c r="R2914" t="n">
        <v>2</v>
      </c>
      <c r="S2914" t="n">
        <v>103303.2</v>
      </c>
      <c r="T2914" t="n">
        <v>26</v>
      </c>
      <c r="U2914" t="n">
        <v>30</v>
      </c>
      <c r="V2914" t="n">
        <v>30</v>
      </c>
      <c r="W2914" t="n">
        <v>25</v>
      </c>
      <c r="X2914" t="n">
        <v>12.48751248751249</v>
      </c>
      <c r="Y2914" t="n">
        <v>1</v>
      </c>
      <c r="Z2914" t="n">
        <v>15</v>
      </c>
      <c r="AA2914" t="n">
        <v>0</v>
      </c>
      <c r="AB2914" t="n">
        <v>15</v>
      </c>
      <c r="AC2914" t="n">
        <v>15</v>
      </c>
      <c r="AD2914" t="n">
        <v>0</v>
      </c>
      <c r="AE2914" t="n">
        <v>1451250</v>
      </c>
      <c r="AF2914" t="n">
        <v>10266</v>
      </c>
      <c r="AG2914" t="n">
        <v>2273</v>
      </c>
      <c r="AH2914" t="inlineStr">
        <is>
          <t>PT. INTI SUKSES SUMATERA - PPN (PDG)</t>
        </is>
      </c>
      <c r="AI2914" t="n">
        <v>298</v>
      </c>
      <c r="AJ2914" t="inlineStr">
        <is>
          <t>LUXCRIME</t>
        </is>
      </c>
      <c r="AK2914" t="n">
        <v>21</v>
      </c>
      <c r="AL2914" t="inlineStr">
        <is>
          <t>Miss Glam Damar</t>
        </is>
      </c>
      <c r="AM2914" t="n">
        <v>4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LUXCRIME</t>
        </is>
      </c>
      <c r="B2915" s="2">
        <f>"725765030450"</f>
        <v/>
      </c>
      <c r="C2915" t="inlineStr">
        <is>
          <t>LUXCRIME Ulti Matte Oil Control Setting Spray 50ml</t>
        </is>
      </c>
      <c r="D2915" t="inlineStr">
        <is>
          <t>Miss Glam Damar</t>
        </is>
      </c>
      <c r="E2915" t="n">
        <v>8</v>
      </c>
      <c r="F2915" t="n">
        <v>0.2002</v>
      </c>
      <c r="G2915" t="n">
        <v>1.82</v>
      </c>
      <c r="H2915" t="n">
        <v>4</v>
      </c>
      <c r="I2915" t="n">
        <v>8</v>
      </c>
      <c r="J2915" t="n">
        <v>3</v>
      </c>
      <c r="K2915" t="n">
        <v>0</v>
      </c>
      <c r="L2915" t="n">
        <v>59250</v>
      </c>
      <c r="M2915" t="n">
        <v>79000</v>
      </c>
      <c r="N2915" t="n">
        <v>91</v>
      </c>
      <c r="O2915" t="n">
        <v>0.91</v>
      </c>
      <c r="P2915" t="n">
        <v>1</v>
      </c>
      <c r="Q2915" t="n">
        <v>0.15</v>
      </c>
      <c r="R2915" t="n">
        <v>2</v>
      </c>
      <c r="S2915" t="n">
        <v>15815.8</v>
      </c>
      <c r="T2915" t="n">
        <v>14</v>
      </c>
      <c r="U2915" t="n">
        <v>15</v>
      </c>
      <c r="V2915" t="n">
        <v>30</v>
      </c>
      <c r="W2915" t="n">
        <v>7</v>
      </c>
      <c r="X2915" t="n">
        <v>39.96003996003996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10266</v>
      </c>
      <c r="AG2915" t="n">
        <v>2273</v>
      </c>
      <c r="AH2915" t="inlineStr">
        <is>
          <t>PT. INTI SUKSES SUMATERA - PPN (PDG)</t>
        </is>
      </c>
      <c r="AI2915" t="n">
        <v>298</v>
      </c>
      <c r="AJ2915" t="inlineStr">
        <is>
          <t>LUXCRIME</t>
        </is>
      </c>
      <c r="AK2915" t="n">
        <v>21</v>
      </c>
      <c r="AL2915" t="inlineStr">
        <is>
          <t>Miss Glam Damar</t>
        </is>
      </c>
      <c r="AM2915" t="n">
        <v>4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LUXCRIME</t>
        </is>
      </c>
      <c r="B2916" s="2">
        <f>"725765030016"</f>
        <v/>
      </c>
      <c r="C2916" t="inlineStr">
        <is>
          <t>LUXCRIME Ulti-Matte Oil Control Setting Spray 150ml</t>
        </is>
      </c>
      <c r="D2916" t="inlineStr">
        <is>
          <t>Miss Glam Damar</t>
        </is>
      </c>
      <c r="E2916" t="n">
        <v>6</v>
      </c>
      <c r="F2916" t="n">
        <v>0.0273</v>
      </c>
      <c r="G2916" t="n">
        <v>0.91</v>
      </c>
      <c r="H2916" t="n">
        <v>4</v>
      </c>
      <c r="I2916" t="n">
        <v>8</v>
      </c>
      <c r="J2916" t="n">
        <v>3</v>
      </c>
      <c r="K2916" t="n">
        <v>0</v>
      </c>
      <c r="L2916" t="n">
        <v>111750</v>
      </c>
      <c r="M2916" t="n">
        <v>149000</v>
      </c>
      <c r="N2916" t="n">
        <v>91</v>
      </c>
      <c r="O2916" t="n">
        <v>0.91</v>
      </c>
      <c r="P2916" t="n">
        <v>1</v>
      </c>
      <c r="Q2916" t="n">
        <v>0.02</v>
      </c>
      <c r="R2916" t="n">
        <v>1</v>
      </c>
      <c r="S2916" t="n">
        <v>4067.7</v>
      </c>
      <c r="T2916" t="n">
        <v>8</v>
      </c>
      <c r="U2916" t="n">
        <v>9</v>
      </c>
      <c r="V2916" t="n">
        <v>30</v>
      </c>
      <c r="W2916" t="n">
        <v>1</v>
      </c>
      <c r="X2916" t="n">
        <v>219.7802197802198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10266</v>
      </c>
      <c r="AG2916" t="n">
        <v>2273</v>
      </c>
      <c r="AH2916" t="inlineStr">
        <is>
          <t>PT. INTI SUKSES SUMATERA - PPN (PDG)</t>
        </is>
      </c>
      <c r="AI2916" t="n">
        <v>298</v>
      </c>
      <c r="AJ2916" t="inlineStr">
        <is>
          <t>LUXCRIME</t>
        </is>
      </c>
      <c r="AK2916" t="n">
        <v>21</v>
      </c>
      <c r="AL2916" t="inlineStr">
        <is>
          <t>Miss Glam Damar</t>
        </is>
      </c>
      <c r="AM2916" t="n">
        <v>4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LUXCRIME</t>
        </is>
      </c>
      <c r="B2917" s="2">
        <f>"725765030481"</f>
        <v/>
      </c>
      <c r="C2917" t="inlineStr">
        <is>
          <t>LUXCRIME Ultra Dreamy Eyeshadow Compact Almond Biscotti 6gr</t>
        </is>
      </c>
      <c r="D2917" t="inlineStr">
        <is>
          <t>Miss Glam Damar</t>
        </is>
      </c>
      <c r="E2917" t="n">
        <v>2</v>
      </c>
      <c r="F2917" t="n">
        <v>0.04550000000000001</v>
      </c>
      <c r="G2917" t="n">
        <v>0.91</v>
      </c>
      <c r="H2917" t="n">
        <v>4</v>
      </c>
      <c r="I2917" t="n">
        <v>8</v>
      </c>
      <c r="J2917" t="n">
        <v>3</v>
      </c>
      <c r="K2917" t="n">
        <v>0</v>
      </c>
      <c r="L2917" t="n">
        <v>89250</v>
      </c>
      <c r="M2917" t="n">
        <v>119000</v>
      </c>
      <c r="N2917" t="n">
        <v>91</v>
      </c>
      <c r="O2917" t="n">
        <v>0.91</v>
      </c>
      <c r="P2917" t="n">
        <v>1</v>
      </c>
      <c r="Q2917" t="n">
        <v>0.03</v>
      </c>
      <c r="R2917" t="n">
        <v>1</v>
      </c>
      <c r="S2917" t="n">
        <v>5414.500000000001</v>
      </c>
      <c r="T2917" t="n">
        <v>8</v>
      </c>
      <c r="U2917" t="n">
        <v>9</v>
      </c>
      <c r="V2917" t="n">
        <v>30</v>
      </c>
      <c r="W2917" t="n">
        <v>2</v>
      </c>
      <c r="X2917" t="n">
        <v>43.95604395604395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10266</v>
      </c>
      <c r="AG2917" t="n">
        <v>2273</v>
      </c>
      <c r="AH2917" t="inlineStr">
        <is>
          <t>PT. INTI SUKSES SUMATERA - PPN (PDG)</t>
        </is>
      </c>
      <c r="AI2917" t="n">
        <v>298</v>
      </c>
      <c r="AJ2917" t="inlineStr">
        <is>
          <t>LUXCRIME</t>
        </is>
      </c>
      <c r="AK2917" t="n">
        <v>21</v>
      </c>
      <c r="AL2917" t="inlineStr">
        <is>
          <t>Miss Glam Damar</t>
        </is>
      </c>
      <c r="AM2917" t="n">
        <v>4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LUXCRIME</t>
        </is>
      </c>
      <c r="B2918" s="2">
        <f>"725765030498"</f>
        <v/>
      </c>
      <c r="C2918" t="inlineStr">
        <is>
          <t>LUXCRIME Ultra Dreamy Eyeshadow Compact Rose Cocktail 6gr</t>
        </is>
      </c>
      <c r="D2918" t="inlineStr">
        <is>
          <t>Miss Glam Damar</t>
        </is>
      </c>
      <c r="E2918" t="n">
        <v>2</v>
      </c>
      <c r="F2918" t="n">
        <v>0.1001</v>
      </c>
      <c r="G2918" t="n">
        <v>0.91</v>
      </c>
      <c r="H2918" t="n">
        <v>4</v>
      </c>
      <c r="I2918" t="n">
        <v>8</v>
      </c>
      <c r="J2918" t="n">
        <v>3</v>
      </c>
      <c r="K2918" t="n">
        <v>0</v>
      </c>
      <c r="L2918" t="n">
        <v>89250</v>
      </c>
      <c r="M2918" t="n">
        <v>119000</v>
      </c>
      <c r="N2918" t="n">
        <v>91</v>
      </c>
      <c r="O2918" t="n">
        <v>0.91</v>
      </c>
      <c r="P2918" t="n">
        <v>1</v>
      </c>
      <c r="Q2918" t="n">
        <v>0.08</v>
      </c>
      <c r="R2918" t="n">
        <v>1</v>
      </c>
      <c r="S2918" t="n">
        <v>11911.9</v>
      </c>
      <c r="T2918" t="n">
        <v>7</v>
      </c>
      <c r="U2918" t="n">
        <v>8</v>
      </c>
      <c r="V2918" t="n">
        <v>30</v>
      </c>
      <c r="W2918" t="n">
        <v>4</v>
      </c>
      <c r="X2918" t="n">
        <v>19.98001998001998</v>
      </c>
      <c r="Y2918" t="n">
        <v>1</v>
      </c>
      <c r="Z2918" t="n">
        <v>2</v>
      </c>
      <c r="AA2918" t="n">
        <v>0</v>
      </c>
      <c r="AB2918" t="n">
        <v>2</v>
      </c>
      <c r="AC2918" t="n">
        <v>3</v>
      </c>
      <c r="AD2918" t="n">
        <v>0</v>
      </c>
      <c r="AE2918" t="n">
        <v>267750</v>
      </c>
      <c r="AF2918" t="n">
        <v>10266</v>
      </c>
      <c r="AG2918" t="n">
        <v>2273</v>
      </c>
      <c r="AH2918" t="inlineStr">
        <is>
          <t>PT. INTI SUKSES SUMATERA - PPN (PDG)</t>
        </is>
      </c>
      <c r="AI2918" t="n">
        <v>298</v>
      </c>
      <c r="AJ2918" t="inlineStr">
        <is>
          <t>LUXCRIME</t>
        </is>
      </c>
      <c r="AK2918" t="n">
        <v>21</v>
      </c>
      <c r="AL2918" t="inlineStr">
        <is>
          <t>Miss Glam Damar</t>
        </is>
      </c>
      <c r="AM2918" t="n">
        <v>4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LUXCRIME</t>
        </is>
      </c>
      <c r="B2919" s="2">
        <f>"769503122526"</f>
        <v/>
      </c>
      <c r="C2919" t="inlineStr">
        <is>
          <t>LUXCRIME Ultra Light Lip Stain Apricot 3gr</t>
        </is>
      </c>
      <c r="D2919" t="inlineStr">
        <is>
          <t>Miss Glam Damar</t>
        </is>
      </c>
      <c r="E2919" t="n">
        <v>28</v>
      </c>
      <c r="F2919" t="n">
        <v>0.4277</v>
      </c>
      <c r="G2919" t="n">
        <v>1.82</v>
      </c>
      <c r="H2919" t="n">
        <v>4</v>
      </c>
      <c r="I2919" t="n">
        <v>8</v>
      </c>
      <c r="J2919" t="n">
        <v>3</v>
      </c>
      <c r="K2919" t="n">
        <v>0</v>
      </c>
      <c r="L2919" t="n">
        <v>59250</v>
      </c>
      <c r="M2919" t="n">
        <v>79000</v>
      </c>
      <c r="N2919" t="n">
        <v>91</v>
      </c>
      <c r="O2919" t="n">
        <v>0.91</v>
      </c>
      <c r="P2919" t="n">
        <v>1</v>
      </c>
      <c r="Q2919" t="n">
        <v>0.24</v>
      </c>
      <c r="R2919" t="n">
        <v>2</v>
      </c>
      <c r="S2919" t="n">
        <v>33788.3</v>
      </c>
      <c r="T2919" t="n">
        <v>13</v>
      </c>
      <c r="U2919" t="n">
        <v>15</v>
      </c>
      <c r="V2919" t="n">
        <v>30</v>
      </c>
      <c r="W2919" t="n">
        <v>13</v>
      </c>
      <c r="X2919" t="n">
        <v>65.46644844517185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10266</v>
      </c>
      <c r="AG2919" t="n">
        <v>2273</v>
      </c>
      <c r="AH2919" t="inlineStr">
        <is>
          <t>PT. INTI SUKSES SUMATERA - PPN (PDG)</t>
        </is>
      </c>
      <c r="AI2919" t="n">
        <v>298</v>
      </c>
      <c r="AJ2919" t="inlineStr">
        <is>
          <t>LUXCRIME</t>
        </is>
      </c>
      <c r="AK2919" t="n">
        <v>21</v>
      </c>
      <c r="AL2919" t="inlineStr">
        <is>
          <t>Miss Glam Damar</t>
        </is>
      </c>
      <c r="AM2919" t="n">
        <v>4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LUXCRIME</t>
        </is>
      </c>
      <c r="B2920" s="2">
        <f>"769503122496"</f>
        <v/>
      </c>
      <c r="C2920" t="inlineStr">
        <is>
          <t>LUXCRIME Ultra Light Lip Stain Chiffon 3gr</t>
        </is>
      </c>
      <c r="D2920" t="inlineStr">
        <is>
          <t>Miss Glam Damar</t>
        </is>
      </c>
      <c r="E2920" t="n">
        <v>7</v>
      </c>
      <c r="F2920" t="n">
        <v>0.3094</v>
      </c>
      <c r="G2920" t="n">
        <v>1.82</v>
      </c>
      <c r="H2920" t="n">
        <v>4</v>
      </c>
      <c r="I2920" t="n">
        <v>8</v>
      </c>
      <c r="J2920" t="n">
        <v>3</v>
      </c>
      <c r="K2920" t="n">
        <v>0</v>
      </c>
      <c r="L2920" t="n">
        <v>59250</v>
      </c>
      <c r="M2920" t="n">
        <v>79000</v>
      </c>
      <c r="N2920" t="n">
        <v>91</v>
      </c>
      <c r="O2920" t="n">
        <v>0.91</v>
      </c>
      <c r="P2920" t="n">
        <v>1</v>
      </c>
      <c r="Q2920" t="n">
        <v>0.03</v>
      </c>
      <c r="R2920" t="n">
        <v>1</v>
      </c>
      <c r="S2920" t="n">
        <v>24442.6</v>
      </c>
      <c r="T2920" t="n">
        <v>14</v>
      </c>
      <c r="U2920" t="n">
        <v>16</v>
      </c>
      <c r="V2920" t="n">
        <v>30</v>
      </c>
      <c r="W2920" t="n">
        <v>10</v>
      </c>
      <c r="X2920" t="n">
        <v>22.62443438914027</v>
      </c>
      <c r="Y2920" t="n">
        <v>1</v>
      </c>
      <c r="Z2920" t="n">
        <v>3</v>
      </c>
      <c r="AA2920" t="n">
        <v>0</v>
      </c>
      <c r="AB2920" t="n">
        <v>3</v>
      </c>
      <c r="AC2920" t="n">
        <v>3</v>
      </c>
      <c r="AD2920" t="n">
        <v>0</v>
      </c>
      <c r="AE2920" t="n">
        <v>177750</v>
      </c>
      <c r="AF2920" t="n">
        <v>10266</v>
      </c>
      <c r="AG2920" t="n">
        <v>2273</v>
      </c>
      <c r="AH2920" t="inlineStr">
        <is>
          <t>PT. INTI SUKSES SUMATERA - PPN (PDG)</t>
        </is>
      </c>
      <c r="AI2920" t="n">
        <v>298</v>
      </c>
      <c r="AJ2920" t="inlineStr">
        <is>
          <t>LUXCRIME</t>
        </is>
      </c>
      <c r="AK2920" t="n">
        <v>21</v>
      </c>
      <c r="AL2920" t="inlineStr">
        <is>
          <t>Miss Glam Damar</t>
        </is>
      </c>
      <c r="AM2920" t="n">
        <v>4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LUXCRIME</t>
        </is>
      </c>
      <c r="B2921" s="2">
        <f>"769503122472"</f>
        <v/>
      </c>
      <c r="C2921" t="inlineStr">
        <is>
          <t>LUXCRIME Ultra Light Lip Stain Crimson 3gr</t>
        </is>
      </c>
      <c r="D2921" t="inlineStr">
        <is>
          <t>Miss Glam Damar</t>
        </is>
      </c>
      <c r="E2921" t="n">
        <v>1</v>
      </c>
      <c r="F2921" t="n">
        <v>0.2184</v>
      </c>
      <c r="G2921" t="n">
        <v>2.73</v>
      </c>
      <c r="H2921" t="n">
        <v>4</v>
      </c>
      <c r="I2921" t="n">
        <v>8</v>
      </c>
      <c r="J2921" t="n">
        <v>3</v>
      </c>
      <c r="K2921" t="n">
        <v>0</v>
      </c>
      <c r="L2921" t="n">
        <v>59250</v>
      </c>
      <c r="M2921" t="n">
        <v>79000</v>
      </c>
      <c r="N2921" t="n">
        <v>91</v>
      </c>
      <c r="O2921" t="n">
        <v>0.91</v>
      </c>
      <c r="P2921" t="n">
        <v>1</v>
      </c>
      <c r="Q2921" t="n">
        <v>0.07000000000000001</v>
      </c>
      <c r="R2921" t="n">
        <v>1</v>
      </c>
      <c r="S2921" t="n">
        <v>17253.6</v>
      </c>
      <c r="T2921" t="n">
        <v>21</v>
      </c>
      <c r="U2921" t="n">
        <v>22</v>
      </c>
      <c r="V2921" t="n">
        <v>30</v>
      </c>
      <c r="W2921" t="n">
        <v>7</v>
      </c>
      <c r="X2921" t="n">
        <v>4.578754578754578</v>
      </c>
      <c r="Y2921" t="n">
        <v>1</v>
      </c>
      <c r="Z2921" t="n">
        <v>6</v>
      </c>
      <c r="AA2921" t="n">
        <v>1</v>
      </c>
      <c r="AB2921" t="n">
        <v>5</v>
      </c>
      <c r="AC2921" t="n">
        <v>5</v>
      </c>
      <c r="AD2921" t="n">
        <v>59250</v>
      </c>
      <c r="AE2921" t="n">
        <v>296250</v>
      </c>
      <c r="AF2921" t="n">
        <v>10266</v>
      </c>
      <c r="AG2921" t="n">
        <v>2273</v>
      </c>
      <c r="AH2921" t="inlineStr">
        <is>
          <t>PT. INTI SUKSES SUMATERA - PPN (PDG)</t>
        </is>
      </c>
      <c r="AI2921" t="n">
        <v>298</v>
      </c>
      <c r="AJ2921" t="inlineStr">
        <is>
          <t>LUXCRIME</t>
        </is>
      </c>
      <c r="AK2921" t="n">
        <v>21</v>
      </c>
      <c r="AL2921" t="inlineStr">
        <is>
          <t>Miss Glam Damar</t>
        </is>
      </c>
      <c r="AM2921" t="n">
        <v>4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LUXCRIME</t>
        </is>
      </c>
      <c r="B2922" s="2">
        <f>"769503122502"</f>
        <v/>
      </c>
      <c r="C2922" t="inlineStr">
        <is>
          <t>LUXCRIME Ultra Light Lip Stain Glasstonberry 3gr</t>
        </is>
      </c>
      <c r="D2922" t="inlineStr">
        <is>
          <t>Miss Glam Damar</t>
        </is>
      </c>
      <c r="E2922" t="n">
        <v>7</v>
      </c>
      <c r="F2922" t="n">
        <v>0.3458</v>
      </c>
      <c r="G2922" t="n">
        <v>1.82</v>
      </c>
      <c r="H2922" t="n">
        <v>4</v>
      </c>
      <c r="I2922" t="n">
        <v>8</v>
      </c>
      <c r="J2922" t="n">
        <v>6</v>
      </c>
      <c r="K2922" t="n">
        <v>0</v>
      </c>
      <c r="L2922" t="n">
        <v>59250</v>
      </c>
      <c r="M2922" t="n">
        <v>79000</v>
      </c>
      <c r="N2922" t="n">
        <v>91</v>
      </c>
      <c r="O2922" t="n">
        <v>0.91</v>
      </c>
      <c r="P2922" t="n">
        <v>1</v>
      </c>
      <c r="Q2922" t="n">
        <v>0.24</v>
      </c>
      <c r="R2922" t="n">
        <v>2</v>
      </c>
      <c r="S2922" t="n">
        <v>27318.2</v>
      </c>
      <c r="T2922" t="n">
        <v>14</v>
      </c>
      <c r="U2922" t="n">
        <v>16</v>
      </c>
      <c r="V2922" t="n">
        <v>30</v>
      </c>
      <c r="W2922" t="n">
        <v>11</v>
      </c>
      <c r="X2922" t="n">
        <v>20.24291497975709</v>
      </c>
      <c r="Y2922" t="n">
        <v>1</v>
      </c>
      <c r="Z2922" t="n">
        <v>4</v>
      </c>
      <c r="AA2922" t="n">
        <v>0</v>
      </c>
      <c r="AB2922" t="n">
        <v>4</v>
      </c>
      <c r="AC2922" t="n">
        <v>6</v>
      </c>
      <c r="AD2922" t="n">
        <v>0</v>
      </c>
      <c r="AE2922" t="n">
        <v>355500</v>
      </c>
      <c r="AF2922" t="n">
        <v>10266</v>
      </c>
      <c r="AG2922" t="n">
        <v>2273</v>
      </c>
      <c r="AH2922" t="inlineStr">
        <is>
          <t>PT. INTI SUKSES SUMATERA - PPN (PDG)</t>
        </is>
      </c>
      <c r="AI2922" t="n">
        <v>298</v>
      </c>
      <c r="AJ2922" t="inlineStr">
        <is>
          <t>LUXCRIME</t>
        </is>
      </c>
      <c r="AK2922" t="n">
        <v>21</v>
      </c>
      <c r="AL2922" t="inlineStr">
        <is>
          <t>Miss Glam Damar</t>
        </is>
      </c>
      <c r="AM2922" t="n">
        <v>4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LUXCRIME</t>
        </is>
      </c>
      <c r="B2923" s="2">
        <f>"769503122465"</f>
        <v/>
      </c>
      <c r="C2923" t="inlineStr">
        <is>
          <t>LUXCRIME Ultra Light Lip Stain Latte 3gr</t>
        </is>
      </c>
      <c r="D2923" t="inlineStr">
        <is>
          <t>Miss Glam Damar</t>
        </is>
      </c>
      <c r="E2923" t="n">
        <v>3</v>
      </c>
      <c r="F2923" t="n">
        <v>0.04550000000000001</v>
      </c>
      <c r="G2923" t="n">
        <v>0.91</v>
      </c>
      <c r="H2923" t="n">
        <v>4</v>
      </c>
      <c r="I2923" t="n">
        <v>8</v>
      </c>
      <c r="J2923" t="n">
        <v>3</v>
      </c>
      <c r="K2923" t="n">
        <v>0</v>
      </c>
      <c r="L2923" t="n">
        <v>59250</v>
      </c>
      <c r="M2923" t="n">
        <v>79000</v>
      </c>
      <c r="N2923" t="n">
        <v>91</v>
      </c>
      <c r="O2923" t="n">
        <v>0.91</v>
      </c>
      <c r="P2923" t="n">
        <v>1</v>
      </c>
      <c r="Q2923" t="n">
        <v>0.07000000000000001</v>
      </c>
      <c r="R2923" t="n">
        <v>1</v>
      </c>
      <c r="S2923" t="n">
        <v>3594.5</v>
      </c>
      <c r="T2923" t="n">
        <v>8</v>
      </c>
      <c r="U2923" t="n">
        <v>9</v>
      </c>
      <c r="V2923" t="n">
        <v>30</v>
      </c>
      <c r="W2923" t="n">
        <v>2</v>
      </c>
      <c r="X2923" t="n">
        <v>65.93406593406593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10266</v>
      </c>
      <c r="AG2923" t="n">
        <v>2273</v>
      </c>
      <c r="AH2923" t="inlineStr">
        <is>
          <t>PT. INTI SUKSES SUMATERA - PPN (PDG)</t>
        </is>
      </c>
      <c r="AI2923" t="n">
        <v>298</v>
      </c>
      <c r="AJ2923" t="inlineStr">
        <is>
          <t>LUXCRIME</t>
        </is>
      </c>
      <c r="AK2923" t="n">
        <v>21</v>
      </c>
      <c r="AL2923" t="inlineStr">
        <is>
          <t>Miss Glam Damar</t>
        </is>
      </c>
      <c r="AM2923" t="n">
        <v>4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LUXCRIME</t>
        </is>
      </c>
      <c r="B2924" s="2">
        <f>"769503122489"</f>
        <v/>
      </c>
      <c r="C2924" t="inlineStr">
        <is>
          <t>LUXCRIME Ultra Light Lip Stain Persimmon 3gr</t>
        </is>
      </c>
      <c r="D2924" t="inlineStr">
        <is>
          <t>Miss Glam Damar</t>
        </is>
      </c>
      <c r="E2924" t="n">
        <v>3</v>
      </c>
      <c r="F2924" t="n">
        <v>0.2457</v>
      </c>
      <c r="G2924" t="n">
        <v>1.82</v>
      </c>
      <c r="H2924" t="n">
        <v>4</v>
      </c>
      <c r="I2924" t="n">
        <v>8</v>
      </c>
      <c r="J2924" t="n">
        <v>3</v>
      </c>
      <c r="K2924" t="n">
        <v>0</v>
      </c>
      <c r="L2924" t="n">
        <v>59250</v>
      </c>
      <c r="M2924" t="n">
        <v>79000</v>
      </c>
      <c r="N2924" t="n">
        <v>91</v>
      </c>
      <c r="O2924" t="n">
        <v>0.91</v>
      </c>
      <c r="P2924" t="n">
        <v>1</v>
      </c>
      <c r="Q2924" t="n">
        <v>0.07000000000000001</v>
      </c>
      <c r="R2924" t="n">
        <v>1</v>
      </c>
      <c r="S2924" t="n">
        <v>19410.3</v>
      </c>
      <c r="T2924" t="n">
        <v>14</v>
      </c>
      <c r="U2924" t="n">
        <v>15</v>
      </c>
      <c r="V2924" t="n">
        <v>30</v>
      </c>
      <c r="W2924" t="n">
        <v>8</v>
      </c>
      <c r="X2924" t="n">
        <v>12.21001221001221</v>
      </c>
      <c r="Y2924" t="n">
        <v>1</v>
      </c>
      <c r="Z2924" t="n">
        <v>5</v>
      </c>
      <c r="AA2924" t="n">
        <v>0</v>
      </c>
      <c r="AB2924" t="n">
        <v>5</v>
      </c>
      <c r="AC2924" t="n">
        <v>5</v>
      </c>
      <c r="AD2924" t="n">
        <v>0</v>
      </c>
      <c r="AE2924" t="n">
        <v>296250</v>
      </c>
      <c r="AF2924" t="n">
        <v>10266</v>
      </c>
      <c r="AG2924" t="n">
        <v>2273</v>
      </c>
      <c r="AH2924" t="inlineStr">
        <is>
          <t>PT. INTI SUKSES SUMATERA - PPN (PDG)</t>
        </is>
      </c>
      <c r="AI2924" t="n">
        <v>298</v>
      </c>
      <c r="AJ2924" t="inlineStr">
        <is>
          <t>LUXCRIME</t>
        </is>
      </c>
      <c r="AK2924" t="n">
        <v>21</v>
      </c>
      <c r="AL2924" t="inlineStr">
        <is>
          <t>Miss Glam Damar</t>
        </is>
      </c>
      <c r="AM2924" t="n">
        <v>4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LUXCRIME</t>
        </is>
      </c>
      <c r="B2925" s="2">
        <f>"769503122519"</f>
        <v/>
      </c>
      <c r="C2925" t="inlineStr">
        <is>
          <t>LUXCRIME Ultra Light Lip Stain Rose Sand 3gr</t>
        </is>
      </c>
      <c r="D2925" t="inlineStr">
        <is>
          <t>Miss Glam Damar</t>
        </is>
      </c>
      <c r="E2925" t="n">
        <v>13</v>
      </c>
      <c r="F2925" t="n">
        <v>0.3731</v>
      </c>
      <c r="G2925" t="n">
        <v>2.73</v>
      </c>
      <c r="H2925" t="n">
        <v>4</v>
      </c>
      <c r="I2925" t="n">
        <v>8</v>
      </c>
      <c r="J2925" t="n">
        <v>3</v>
      </c>
      <c r="K2925" t="n">
        <v>0</v>
      </c>
      <c r="L2925" t="n">
        <v>59250</v>
      </c>
      <c r="M2925" t="n">
        <v>79000</v>
      </c>
      <c r="N2925" t="n">
        <v>91</v>
      </c>
      <c r="O2925" t="n">
        <v>0.91</v>
      </c>
      <c r="P2925" t="n">
        <v>1</v>
      </c>
      <c r="Q2925" t="n">
        <v>0.31</v>
      </c>
      <c r="R2925" t="n">
        <v>2</v>
      </c>
      <c r="S2925" t="n">
        <v>29474.9</v>
      </c>
      <c r="T2925" t="n">
        <v>21</v>
      </c>
      <c r="U2925" t="n">
        <v>23</v>
      </c>
      <c r="V2925" t="n">
        <v>30</v>
      </c>
      <c r="W2925" t="n">
        <v>12</v>
      </c>
      <c r="X2925" t="n">
        <v>34.84320557491289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10266</v>
      </c>
      <c r="AG2925" t="n">
        <v>2273</v>
      </c>
      <c r="AH2925" t="inlineStr">
        <is>
          <t>PT. INTI SUKSES SUMATERA - PPN (PDG)</t>
        </is>
      </c>
      <c r="AI2925" t="n">
        <v>298</v>
      </c>
      <c r="AJ2925" t="inlineStr">
        <is>
          <t>LUXCRIME</t>
        </is>
      </c>
      <c r="AK2925" t="n">
        <v>21</v>
      </c>
      <c r="AL2925" t="inlineStr">
        <is>
          <t>Miss Glam Damar</t>
        </is>
      </c>
      <c r="AM2925" t="n">
        <v>4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LUXCRIME</t>
        </is>
      </c>
      <c r="B2926" s="2">
        <f>"769503122458"</f>
        <v/>
      </c>
      <c r="C2926" t="inlineStr">
        <is>
          <t>LUXCRIME Ultra Light Lip Stain Wine 2.5gr</t>
        </is>
      </c>
      <c r="D2926" t="inlineStr">
        <is>
          <t>Miss Glam Damar</t>
        </is>
      </c>
      <c r="E2926" t="n">
        <v>6</v>
      </c>
      <c r="F2926" t="n">
        <v>0.06370000000000001</v>
      </c>
      <c r="G2926" t="n">
        <v>0.91</v>
      </c>
      <c r="H2926" t="n">
        <v>4</v>
      </c>
      <c r="I2926" t="n">
        <v>8</v>
      </c>
      <c r="J2926" t="n">
        <v>3</v>
      </c>
      <c r="K2926" t="n">
        <v>0</v>
      </c>
      <c r="L2926" t="n">
        <v>59250</v>
      </c>
      <c r="M2926" t="n">
        <v>79000</v>
      </c>
      <c r="N2926" t="n">
        <v>91</v>
      </c>
      <c r="O2926" t="n">
        <v>0.91</v>
      </c>
      <c r="P2926" t="n">
        <v>1</v>
      </c>
      <c r="Q2926" t="n">
        <v>0.02</v>
      </c>
      <c r="R2926" t="n">
        <v>1</v>
      </c>
      <c r="S2926" t="n">
        <v>5032.3</v>
      </c>
      <c r="T2926" t="n">
        <v>8</v>
      </c>
      <c r="U2926" t="n">
        <v>9</v>
      </c>
      <c r="V2926" t="n">
        <v>30</v>
      </c>
      <c r="W2926" t="n">
        <v>2</v>
      </c>
      <c r="X2926" t="n">
        <v>94.19152276295132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10266</v>
      </c>
      <c r="AG2926" t="n">
        <v>2273</v>
      </c>
      <c r="AH2926" t="inlineStr">
        <is>
          <t>PT. INTI SUKSES SUMATERA - PPN (PDG)</t>
        </is>
      </c>
      <c r="AI2926" t="n">
        <v>298</v>
      </c>
      <c r="AJ2926" t="inlineStr">
        <is>
          <t>LUXCRIME</t>
        </is>
      </c>
      <c r="AK2926" t="n">
        <v>21</v>
      </c>
      <c r="AL2926" t="inlineStr">
        <is>
          <t>Miss Glam Damar</t>
        </is>
      </c>
      <c r="AM2926" t="n">
        <v>4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LUXCRIME</t>
        </is>
      </c>
      <c r="B2927" s="2">
        <f>"769503122038"</f>
        <v/>
      </c>
      <c r="C2927" t="inlineStr">
        <is>
          <t>LUXCRIME Ultra Smooth Lip Liner Chai Tea 0,gr</t>
        </is>
      </c>
      <c r="D2927" t="inlineStr">
        <is>
          <t>Miss Glam Damar</t>
        </is>
      </c>
      <c r="E2927" t="n">
        <v>10</v>
      </c>
      <c r="F2927" t="n">
        <v>0.3094</v>
      </c>
      <c r="G2927" t="n">
        <v>0.91</v>
      </c>
      <c r="H2927" t="n">
        <v>4</v>
      </c>
      <c r="I2927" t="n">
        <v>8</v>
      </c>
      <c r="J2927" t="n">
        <v>3</v>
      </c>
      <c r="K2927" t="n">
        <v>0</v>
      </c>
      <c r="L2927" t="n">
        <v>66750</v>
      </c>
      <c r="M2927" t="n">
        <v>89000</v>
      </c>
      <c r="N2927" t="n">
        <v>91</v>
      </c>
      <c r="O2927" t="n">
        <v>0.91</v>
      </c>
      <c r="P2927" t="n">
        <v>1</v>
      </c>
      <c r="Q2927" t="n">
        <v>0.53</v>
      </c>
      <c r="R2927" t="n">
        <v>3</v>
      </c>
      <c r="S2927" t="n">
        <v>27536.6</v>
      </c>
      <c r="T2927" t="n">
        <v>7</v>
      </c>
      <c r="U2927" t="n">
        <v>9</v>
      </c>
      <c r="V2927" t="n">
        <v>30</v>
      </c>
      <c r="W2927" t="n">
        <v>10</v>
      </c>
      <c r="X2927" t="n">
        <v>32.32062055591467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10266</v>
      </c>
      <c r="AG2927" t="n">
        <v>2273</v>
      </c>
      <c r="AH2927" t="inlineStr">
        <is>
          <t>PT. INTI SUKSES SUMATERA - PPN (PDG)</t>
        </is>
      </c>
      <c r="AI2927" t="n">
        <v>298</v>
      </c>
      <c r="AJ2927" t="inlineStr">
        <is>
          <t>LUXCRIME</t>
        </is>
      </c>
      <c r="AK2927" t="n">
        <v>21</v>
      </c>
      <c r="AL2927" t="inlineStr">
        <is>
          <t>Miss Glam Damar</t>
        </is>
      </c>
      <c r="AM2927" t="n">
        <v>4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LUXCRIME</t>
        </is>
      </c>
      <c r="B2928" s="2">
        <f>"20300602126"</f>
        <v/>
      </c>
      <c r="C2928" t="inlineStr">
        <is>
          <t>LUXCRIME Ultra Smooth Lip Liner Crepes 0,3gr</t>
        </is>
      </c>
      <c r="D2928" t="inlineStr">
        <is>
          <t>Miss Glam Damar</t>
        </is>
      </c>
      <c r="E2928" t="n">
        <v>7</v>
      </c>
      <c r="F2928" t="n">
        <v>0.1274</v>
      </c>
      <c r="G2928" t="n">
        <v>0.91</v>
      </c>
      <c r="H2928" t="n">
        <v>4</v>
      </c>
      <c r="I2928" t="n">
        <v>8</v>
      </c>
      <c r="J2928" t="n">
        <v>1</v>
      </c>
      <c r="K2928" t="n">
        <v>0</v>
      </c>
      <c r="L2928" t="n">
        <v>66750</v>
      </c>
      <c r="M2928" t="n">
        <v>89000</v>
      </c>
      <c r="N2928" t="n">
        <v>91</v>
      </c>
      <c r="O2928" t="n">
        <v>0.91</v>
      </c>
      <c r="P2928" t="n">
        <v>1</v>
      </c>
      <c r="Q2928" t="n">
        <v>0.14</v>
      </c>
      <c r="R2928" t="n">
        <v>1</v>
      </c>
      <c r="S2928" t="n">
        <v>11338.6</v>
      </c>
      <c r="T2928" t="n">
        <v>7</v>
      </c>
      <c r="U2928" t="n">
        <v>8</v>
      </c>
      <c r="V2928" t="n">
        <v>30</v>
      </c>
      <c r="W2928" t="n">
        <v>4</v>
      </c>
      <c r="X2928" t="n">
        <v>54.94505494505494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10266</v>
      </c>
      <c r="AG2928" t="n">
        <v>2273</v>
      </c>
      <c r="AH2928" t="inlineStr">
        <is>
          <t>PT. INTI SUKSES SUMATERA - PPN (PDG)</t>
        </is>
      </c>
      <c r="AI2928" t="n">
        <v>298</v>
      </c>
      <c r="AJ2928" t="inlineStr">
        <is>
          <t>LUXCRIME</t>
        </is>
      </c>
      <c r="AK2928" t="n">
        <v>21</v>
      </c>
      <c r="AL2928" t="inlineStr">
        <is>
          <t>Miss Glam Damar</t>
        </is>
      </c>
      <c r="AM2928" t="n">
        <v>4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LUXCRIME</t>
        </is>
      </c>
      <c r="B2929" s="2">
        <f>"769503122045"</f>
        <v/>
      </c>
      <c r="C2929" t="inlineStr">
        <is>
          <t>LUXCRIME Ultra Smooth Lip Liner Ginger Bread 0,3gr</t>
        </is>
      </c>
      <c r="D2929" t="inlineStr">
        <is>
          <t>Miss Glam Damar</t>
        </is>
      </c>
      <c r="E2929" t="n">
        <v>2</v>
      </c>
      <c r="F2929" t="n">
        <v>0.1547</v>
      </c>
      <c r="G2929" t="n">
        <v>1.82</v>
      </c>
      <c r="H2929" t="n">
        <v>4</v>
      </c>
      <c r="I2929" t="n">
        <v>8</v>
      </c>
      <c r="J2929" t="n">
        <v>3</v>
      </c>
      <c r="K2929" t="n">
        <v>0</v>
      </c>
      <c r="L2929" t="n">
        <v>66750</v>
      </c>
      <c r="M2929" t="n">
        <v>89000</v>
      </c>
      <c r="N2929" t="n">
        <v>91</v>
      </c>
      <c r="O2929" t="n">
        <v>0.91</v>
      </c>
      <c r="P2929" t="n">
        <v>1</v>
      </c>
      <c r="Q2929" t="n">
        <v>0.14</v>
      </c>
      <c r="R2929" t="n">
        <v>1</v>
      </c>
      <c r="S2929" t="n">
        <v>13768.3</v>
      </c>
      <c r="T2929" t="n">
        <v>14</v>
      </c>
      <c r="U2929" t="n">
        <v>15</v>
      </c>
      <c r="V2929" t="n">
        <v>30</v>
      </c>
      <c r="W2929" t="n">
        <v>5</v>
      </c>
      <c r="X2929" t="n">
        <v>12.92824822236587</v>
      </c>
      <c r="Y2929" t="n">
        <v>1</v>
      </c>
      <c r="Z2929" t="n">
        <v>3</v>
      </c>
      <c r="AA2929" t="n">
        <v>0</v>
      </c>
      <c r="AB2929" t="n">
        <v>3</v>
      </c>
      <c r="AC2929" t="n">
        <v>3</v>
      </c>
      <c r="AD2929" t="n">
        <v>0</v>
      </c>
      <c r="AE2929" t="n">
        <v>200250</v>
      </c>
      <c r="AF2929" t="n">
        <v>10266</v>
      </c>
      <c r="AG2929" t="n">
        <v>2273</v>
      </c>
      <c r="AH2929" t="inlineStr">
        <is>
          <t>PT. INTI SUKSES SUMATERA - PPN (PDG)</t>
        </is>
      </c>
      <c r="AI2929" t="n">
        <v>298</v>
      </c>
      <c r="AJ2929" t="inlineStr">
        <is>
          <t>LUXCRIME</t>
        </is>
      </c>
      <c r="AK2929" t="n">
        <v>21</v>
      </c>
      <c r="AL2929" t="inlineStr">
        <is>
          <t>Miss Glam Damar</t>
        </is>
      </c>
      <c r="AM2929" t="n">
        <v>4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LUXCRIME</t>
        </is>
      </c>
      <c r="B2930" s="2">
        <f>"20300601910"</f>
        <v/>
      </c>
      <c r="C2930" t="inlineStr">
        <is>
          <t>LUXCRIME Ultra Smooth Lip Liner Soda 0,3gr</t>
        </is>
      </c>
      <c r="D2930" t="inlineStr">
        <is>
          <t>Miss Glam Damar</t>
        </is>
      </c>
      <c r="E2930" t="n">
        <v>7</v>
      </c>
      <c r="F2930" t="n">
        <v>0.1092</v>
      </c>
      <c r="G2930" t="n">
        <v>0.91</v>
      </c>
      <c r="H2930" t="n">
        <v>4</v>
      </c>
      <c r="I2930" t="n">
        <v>8</v>
      </c>
      <c r="J2930" t="n">
        <v>1</v>
      </c>
      <c r="K2930" t="n">
        <v>0</v>
      </c>
      <c r="L2930" t="n">
        <v>66750</v>
      </c>
      <c r="M2930" t="n">
        <v>89000</v>
      </c>
      <c r="N2930" t="n">
        <v>91</v>
      </c>
      <c r="O2930" t="n">
        <v>0.91</v>
      </c>
      <c r="P2930" t="n">
        <v>1</v>
      </c>
      <c r="Q2930" t="n">
        <v>0.19</v>
      </c>
      <c r="R2930" t="n">
        <v>2</v>
      </c>
      <c r="S2930" t="n">
        <v>9718.800000000001</v>
      </c>
      <c r="T2930" t="n">
        <v>7</v>
      </c>
      <c r="U2930" t="n">
        <v>8</v>
      </c>
      <c r="V2930" t="n">
        <v>30</v>
      </c>
      <c r="W2930" t="n">
        <v>4</v>
      </c>
      <c r="X2930" t="n">
        <v>64.1025641025641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10266</v>
      </c>
      <c r="AG2930" t="n">
        <v>2273</v>
      </c>
      <c r="AH2930" t="inlineStr">
        <is>
          <t>PT. INTI SUKSES SUMATERA - PPN (PDG)</t>
        </is>
      </c>
      <c r="AI2930" t="n">
        <v>298</v>
      </c>
      <c r="AJ2930" t="inlineStr">
        <is>
          <t>LUXCRIME</t>
        </is>
      </c>
      <c r="AK2930" t="n">
        <v>21</v>
      </c>
      <c r="AL2930" t="inlineStr">
        <is>
          <t>Miss Glam Damar</t>
        </is>
      </c>
      <c r="AM2930" t="n">
        <v>4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LUXCRIME</t>
        </is>
      </c>
      <c r="B2931" s="2">
        <f>"20300602044"</f>
        <v/>
      </c>
      <c r="C2931" t="inlineStr">
        <is>
          <t>LUXCRIME Ultra Smooth Lip Liner Truffle 0,3gr</t>
        </is>
      </c>
      <c r="D2931" t="inlineStr">
        <is>
          <t>Miss Glam Damar</t>
        </is>
      </c>
      <c r="E2931" t="n">
        <v>5</v>
      </c>
      <c r="F2931" t="n">
        <v>0.06370000000000001</v>
      </c>
      <c r="G2931" t="n">
        <v>0.91</v>
      </c>
      <c r="H2931" t="n">
        <v>4</v>
      </c>
      <c r="I2931" t="n">
        <v>8</v>
      </c>
      <c r="J2931" t="n">
        <v>1</v>
      </c>
      <c r="K2931" t="n">
        <v>0</v>
      </c>
      <c r="L2931" t="n">
        <v>66750</v>
      </c>
      <c r="M2931" t="n">
        <v>89000</v>
      </c>
      <c r="N2931" t="n">
        <v>91</v>
      </c>
      <c r="O2931" t="n">
        <v>0.91</v>
      </c>
      <c r="P2931" t="n">
        <v>1</v>
      </c>
      <c r="Q2931" t="n">
        <v>0.07000000000000001</v>
      </c>
      <c r="R2931" t="n">
        <v>1</v>
      </c>
      <c r="S2931" t="n">
        <v>5669.3</v>
      </c>
      <c r="T2931" t="n">
        <v>8</v>
      </c>
      <c r="U2931" t="n">
        <v>9</v>
      </c>
      <c r="V2931" t="n">
        <v>30</v>
      </c>
      <c r="W2931" t="n">
        <v>2</v>
      </c>
      <c r="X2931" t="n">
        <v>78.49293563579278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10266</v>
      </c>
      <c r="AG2931" t="n">
        <v>2273</v>
      </c>
      <c r="AH2931" t="inlineStr">
        <is>
          <t>PT. INTI SUKSES SUMATERA - PPN (PDG)</t>
        </is>
      </c>
      <c r="AI2931" t="n">
        <v>298</v>
      </c>
      <c r="AJ2931" t="inlineStr">
        <is>
          <t>LUXCRIME</t>
        </is>
      </c>
      <c r="AK2931" t="n">
        <v>21</v>
      </c>
      <c r="AL2931" t="inlineStr">
        <is>
          <t>Miss Glam Damar</t>
        </is>
      </c>
      <c r="AM2931" t="n">
        <v>4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LUXCRIME</t>
        </is>
      </c>
      <c r="B2932" s="2">
        <f>"725765030313"</f>
        <v/>
      </c>
      <c r="C2932" t="inlineStr">
        <is>
          <t>LUXCRIME Ultra Stay Eyeliner Espresso 0.6ml</t>
        </is>
      </c>
      <c r="D2932" t="inlineStr">
        <is>
          <t>Miss Glam Damar</t>
        </is>
      </c>
      <c r="E2932" t="n">
        <v>2</v>
      </c>
      <c r="F2932" t="n">
        <v>0.0182</v>
      </c>
      <c r="G2932" t="n">
        <v>0.91</v>
      </c>
      <c r="H2932" t="n">
        <v>4</v>
      </c>
      <c r="I2932" t="n">
        <v>8</v>
      </c>
      <c r="J2932" t="n">
        <v>3</v>
      </c>
      <c r="K2932" t="n">
        <v>0</v>
      </c>
      <c r="L2932" t="n">
        <v>81751</v>
      </c>
      <c r="M2932" t="n">
        <v>109000</v>
      </c>
      <c r="N2932" t="n">
        <v>91</v>
      </c>
      <c r="O2932" t="n">
        <v>0.91</v>
      </c>
      <c r="P2932" t="n">
        <v>1</v>
      </c>
      <c r="Q2932" t="n">
        <v>0.02</v>
      </c>
      <c r="R2932" t="n">
        <v>1</v>
      </c>
      <c r="S2932" t="n">
        <v>1983.8</v>
      </c>
      <c r="T2932" t="n">
        <v>8</v>
      </c>
      <c r="U2932" t="n">
        <v>9</v>
      </c>
      <c r="V2932" t="n">
        <v>30</v>
      </c>
      <c r="W2932" t="n">
        <v>1</v>
      </c>
      <c r="X2932" t="n">
        <v>109.8901098901099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10266</v>
      </c>
      <c r="AG2932" t="n">
        <v>2273</v>
      </c>
      <c r="AH2932" t="inlineStr">
        <is>
          <t>PT. INTI SUKSES SUMATERA - PPN (PDG)</t>
        </is>
      </c>
      <c r="AI2932" t="n">
        <v>298</v>
      </c>
      <c r="AJ2932" t="inlineStr">
        <is>
          <t>LUXCRIME</t>
        </is>
      </c>
      <c r="AK2932" t="n">
        <v>21</v>
      </c>
      <c r="AL2932" t="inlineStr">
        <is>
          <t>Miss Glam Damar</t>
        </is>
      </c>
      <c r="AM2932" t="n">
        <v>4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LUXCRIME</t>
        </is>
      </c>
      <c r="B2933" s="2">
        <f>"725765030320"</f>
        <v/>
      </c>
      <c r="C2933" t="inlineStr">
        <is>
          <t>LUXCRIME Ultra Stay Eyeliner Midnight 0.6ml</t>
        </is>
      </c>
      <c r="D2933" t="inlineStr">
        <is>
          <t>Miss Glam Damar</t>
        </is>
      </c>
      <c r="E2933" t="n">
        <v>6</v>
      </c>
      <c r="F2933" t="n">
        <v>0.1729</v>
      </c>
      <c r="G2933" t="n">
        <v>0.91</v>
      </c>
      <c r="H2933" t="n">
        <v>4</v>
      </c>
      <c r="I2933" t="n">
        <v>8</v>
      </c>
      <c r="J2933" t="n">
        <v>3</v>
      </c>
      <c r="K2933" t="n">
        <v>0</v>
      </c>
      <c r="L2933" t="n">
        <v>81750</v>
      </c>
      <c r="M2933" t="n">
        <v>109000</v>
      </c>
      <c r="N2933" t="n">
        <v>91</v>
      </c>
      <c r="O2933" t="n">
        <v>0.91</v>
      </c>
      <c r="P2933" t="n">
        <v>1</v>
      </c>
      <c r="Q2933" t="n">
        <v>0.03</v>
      </c>
      <c r="R2933" t="n">
        <v>1</v>
      </c>
      <c r="S2933" t="n">
        <v>18846.1</v>
      </c>
      <c r="T2933" t="n">
        <v>7</v>
      </c>
      <c r="U2933" t="n">
        <v>8</v>
      </c>
      <c r="V2933" t="n">
        <v>30</v>
      </c>
      <c r="W2933" t="n">
        <v>6</v>
      </c>
      <c r="X2933" t="n">
        <v>34.70213996529786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10266</v>
      </c>
      <c r="AG2933" t="n">
        <v>2273</v>
      </c>
      <c r="AH2933" t="inlineStr">
        <is>
          <t>PT. INTI SUKSES SUMATERA - PPN (PDG)</t>
        </is>
      </c>
      <c r="AI2933" t="n">
        <v>298</v>
      </c>
      <c r="AJ2933" t="inlineStr">
        <is>
          <t>LUXCRIME</t>
        </is>
      </c>
      <c r="AK2933" t="n">
        <v>21</v>
      </c>
      <c r="AL2933" t="inlineStr">
        <is>
          <t>Miss Glam Damar</t>
        </is>
      </c>
      <c r="AM2933" t="n">
        <v>4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MADAME GIE</t>
        </is>
      </c>
      <c r="B2934" s="2">
        <f>"10300722316"</f>
        <v/>
      </c>
      <c r="C2934" t="inlineStr">
        <is>
          <t>MADAME GIE 5% Niacera Glow Moisture Gel 30gr</t>
        </is>
      </c>
      <c r="D2934" t="inlineStr">
        <is>
          <t>Miss Glam Damar</t>
        </is>
      </c>
      <c r="E2934" t="n">
        <v>6</v>
      </c>
      <c r="F2934" t="n">
        <v>0.2639</v>
      </c>
      <c r="G2934" t="n">
        <v>1.82</v>
      </c>
      <c r="H2934" t="n">
        <v>1</v>
      </c>
      <c r="I2934" t="n">
        <v>5</v>
      </c>
      <c r="J2934" t="n">
        <v>1</v>
      </c>
      <c r="K2934" t="n">
        <v>0</v>
      </c>
      <c r="L2934" t="n">
        <v>20349</v>
      </c>
      <c r="M2934" t="n">
        <v>27500</v>
      </c>
      <c r="N2934" t="n">
        <v>91</v>
      </c>
      <c r="O2934" t="n">
        <v>0.91</v>
      </c>
      <c r="P2934" t="n">
        <v>1</v>
      </c>
      <c r="Q2934" t="n">
        <v>0.24</v>
      </c>
      <c r="R2934" t="n">
        <v>3</v>
      </c>
      <c r="S2934" t="n">
        <v>7257.249999999999</v>
      </c>
      <c r="T2934" t="n">
        <v>9</v>
      </c>
      <c r="U2934" t="n">
        <v>10</v>
      </c>
      <c r="V2934" t="n">
        <v>30</v>
      </c>
      <c r="W2934" t="n">
        <v>8</v>
      </c>
      <c r="X2934" t="n">
        <v>22.73588480485033</v>
      </c>
      <c r="Y2934" t="n">
        <v>1</v>
      </c>
      <c r="Z2934" t="n">
        <v>2</v>
      </c>
      <c r="AA2934" t="n">
        <v>0</v>
      </c>
      <c r="AB2934" t="n">
        <v>2</v>
      </c>
      <c r="AC2934" t="n">
        <v>2</v>
      </c>
      <c r="AD2934" t="n">
        <v>0</v>
      </c>
      <c r="AE2934" t="n">
        <v>40698</v>
      </c>
      <c r="AF2934" t="n">
        <v>10677</v>
      </c>
      <c r="AG2934" t="n">
        <v>2378</v>
      </c>
      <c r="AH2934" t="inlineStr">
        <is>
          <t>PT. KURNIA MAJU PERKASA - PPN (PDG)</t>
        </is>
      </c>
      <c r="AI2934" t="n">
        <v>101</v>
      </c>
      <c r="AJ2934" t="inlineStr">
        <is>
          <t>MADAME GIE</t>
        </is>
      </c>
      <c r="AK2934" t="n">
        <v>21</v>
      </c>
      <c r="AL2934" t="inlineStr">
        <is>
          <t>Miss Glam Damar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MADAME GIE</t>
        </is>
      </c>
      <c r="B2935" s="2">
        <f>"8994448831277"</f>
        <v/>
      </c>
      <c r="C2935" t="inlineStr">
        <is>
          <t>MADAME GIE Angelic Lash Mascara 7ml</t>
        </is>
      </c>
      <c r="D2935" t="inlineStr">
        <is>
          <t>Miss Glam Damar</t>
        </is>
      </c>
      <c r="E2935" t="n">
        <v>4</v>
      </c>
      <c r="F2935" t="n">
        <v>0.09100000000000001</v>
      </c>
      <c r="G2935" t="n">
        <v>1.82</v>
      </c>
      <c r="H2935" t="n">
        <v>1</v>
      </c>
      <c r="I2935" t="n">
        <v>5</v>
      </c>
      <c r="J2935" t="n">
        <v>6</v>
      </c>
      <c r="K2935" t="n">
        <v>0</v>
      </c>
      <c r="L2935" t="n">
        <v>26405</v>
      </c>
      <c r="M2935" t="n">
        <v>33000</v>
      </c>
      <c r="N2935" t="n">
        <v>91</v>
      </c>
      <c r="O2935" t="n">
        <v>0.91</v>
      </c>
      <c r="P2935" t="n">
        <v>1</v>
      </c>
      <c r="Q2935" t="n">
        <v>0.02</v>
      </c>
      <c r="R2935" t="n">
        <v>1</v>
      </c>
      <c r="S2935" t="n">
        <v>3003</v>
      </c>
      <c r="T2935" t="n">
        <v>10</v>
      </c>
      <c r="U2935" t="n">
        <v>11</v>
      </c>
      <c r="V2935" t="n">
        <v>30</v>
      </c>
      <c r="W2935" t="n">
        <v>3</v>
      </c>
      <c r="X2935" t="n">
        <v>43.95604395604395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10677</v>
      </c>
      <c r="AG2935" t="n">
        <v>2378</v>
      </c>
      <c r="AH2935" t="inlineStr">
        <is>
          <t>PT. KURNIA MAJU PERKASA - PPN (PDG)</t>
        </is>
      </c>
      <c r="AI2935" t="n">
        <v>101</v>
      </c>
      <c r="AJ2935" t="inlineStr">
        <is>
          <t>MADAME GIE</t>
        </is>
      </c>
      <c r="AK2935" t="n">
        <v>21</v>
      </c>
      <c r="AL2935" t="inlineStr">
        <is>
          <t>Miss Glam Damar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MADAME GIE</t>
        </is>
      </c>
      <c r="B2936" s="2">
        <f>"8994448831406"</f>
        <v/>
      </c>
      <c r="C2936" t="inlineStr">
        <is>
          <t>MADAME GIE Blended Brow Pro 01 Black 1.2gr</t>
        </is>
      </c>
      <c r="D2936" t="inlineStr">
        <is>
          <t>Miss Glam Damar</t>
        </is>
      </c>
      <c r="E2936" t="n">
        <v>10</v>
      </c>
      <c r="F2936" t="n">
        <v>0.09100000000000001</v>
      </c>
      <c r="G2936" t="n">
        <v>2.73</v>
      </c>
      <c r="H2936" t="n">
        <v>1</v>
      </c>
      <c r="I2936" t="n">
        <v>5</v>
      </c>
      <c r="J2936" t="n">
        <v>12</v>
      </c>
      <c r="K2936" t="n">
        <v>0</v>
      </c>
      <c r="L2936" t="n">
        <v>7183</v>
      </c>
      <c r="M2936" t="n">
        <v>9000</v>
      </c>
      <c r="N2936" t="n">
        <v>91</v>
      </c>
      <c r="O2936" t="n">
        <v>0.91</v>
      </c>
      <c r="P2936" t="n">
        <v>1</v>
      </c>
      <c r="Q2936" t="n">
        <v>0.14</v>
      </c>
      <c r="R2936" t="n">
        <v>3</v>
      </c>
      <c r="S2936" t="n">
        <v>819.0000000000001</v>
      </c>
      <c r="T2936" t="n">
        <v>14</v>
      </c>
      <c r="U2936" t="n">
        <v>15</v>
      </c>
      <c r="V2936" t="n">
        <v>30</v>
      </c>
      <c r="W2936" t="n">
        <v>3</v>
      </c>
      <c r="X2936" t="n">
        <v>109.8901098901099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10677</v>
      </c>
      <c r="AG2936" t="n">
        <v>2378</v>
      </c>
      <c r="AH2936" t="inlineStr">
        <is>
          <t>PT. KURNIA MAJU PERKASA - PPN (PDG)</t>
        </is>
      </c>
      <c r="AI2936" t="n">
        <v>101</v>
      </c>
      <c r="AJ2936" t="inlineStr">
        <is>
          <t>MADAME GIE</t>
        </is>
      </c>
      <c r="AK2936" t="n">
        <v>21</v>
      </c>
      <c r="AL2936" t="inlineStr">
        <is>
          <t>Miss Glam Damar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MADAME GIE</t>
        </is>
      </c>
      <c r="B2937" s="2">
        <f>"8994448831413"</f>
        <v/>
      </c>
      <c r="C2937" t="inlineStr">
        <is>
          <t>MADAME GIE Blended Brow Pro 02 Brown 1.2gr</t>
        </is>
      </c>
      <c r="D2937" t="inlineStr">
        <is>
          <t>Miss Glam Damar</t>
        </is>
      </c>
      <c r="E2937" t="n">
        <v>0</v>
      </c>
      <c r="F2937" t="n">
        <v>0.5600000000000001</v>
      </c>
      <c r="G2937" t="n">
        <v>5</v>
      </c>
      <c r="H2937" t="n">
        <v>1</v>
      </c>
      <c r="I2937" t="n">
        <v>5</v>
      </c>
      <c r="J2937" t="n">
        <v>12</v>
      </c>
      <c r="K2937" t="n">
        <v>0</v>
      </c>
      <c r="L2937" t="n">
        <v>7186</v>
      </c>
      <c r="M2937" t="n">
        <v>9000</v>
      </c>
      <c r="N2937" t="n">
        <v>91</v>
      </c>
      <c r="O2937" t="n">
        <v>0.91</v>
      </c>
      <c r="P2937" t="n">
        <v>0</v>
      </c>
      <c r="Q2937" t="n">
        <v>0.5600000000000001</v>
      </c>
      <c r="R2937" t="n">
        <v>5</v>
      </c>
      <c r="S2937" t="n">
        <v>5040.000000000001</v>
      </c>
      <c r="T2937" t="n">
        <v>25</v>
      </c>
      <c r="U2937" t="n">
        <v>26</v>
      </c>
      <c r="V2937" t="n">
        <v>30</v>
      </c>
      <c r="W2937" t="n">
        <v>17</v>
      </c>
      <c r="X2937" t="n">
        <v>0</v>
      </c>
      <c r="Y2937" t="n">
        <v>1</v>
      </c>
      <c r="Z2937" t="n">
        <v>17</v>
      </c>
      <c r="AA2937" t="n">
        <v>3</v>
      </c>
      <c r="AB2937" t="n">
        <v>14</v>
      </c>
      <c r="AC2937" t="n">
        <v>14</v>
      </c>
      <c r="AD2937" t="n">
        <v>21558</v>
      </c>
      <c r="AE2937" t="n">
        <v>100604</v>
      </c>
      <c r="AF2937" t="n">
        <v>10677</v>
      </c>
      <c r="AG2937" t="n">
        <v>2378</v>
      </c>
      <c r="AH2937" t="inlineStr">
        <is>
          <t>PT. KURNIA MAJU PERKASA - PPN (PDG)</t>
        </is>
      </c>
      <c r="AI2937" t="n">
        <v>101</v>
      </c>
      <c r="AJ2937" t="inlineStr">
        <is>
          <t>MADAME GIE</t>
        </is>
      </c>
      <c r="AK2937" t="n">
        <v>21</v>
      </c>
      <c r="AL2937" t="inlineStr">
        <is>
          <t>Miss Glam Damar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MADAME GIE</t>
        </is>
      </c>
      <c r="B2938" s="2">
        <f>"8994448831185"</f>
        <v/>
      </c>
      <c r="C2938" t="inlineStr">
        <is>
          <t>MADAME GIE Blushed 01 Funfetti 8gr</t>
        </is>
      </c>
      <c r="D2938" t="inlineStr">
        <is>
          <t>Miss Glam Damar</t>
        </is>
      </c>
      <c r="E2938" t="n">
        <v>10</v>
      </c>
      <c r="F2938" t="n">
        <v>0.4004</v>
      </c>
      <c r="G2938" t="n">
        <v>4.55</v>
      </c>
      <c r="H2938" t="n">
        <v>1</v>
      </c>
      <c r="I2938" t="n">
        <v>5</v>
      </c>
      <c r="J2938" t="n">
        <v>3</v>
      </c>
      <c r="K2938" t="n">
        <v>0</v>
      </c>
      <c r="L2938" t="n">
        <v>14939</v>
      </c>
      <c r="M2938" t="n">
        <v>19000</v>
      </c>
      <c r="N2938" t="n">
        <v>91</v>
      </c>
      <c r="O2938" t="n">
        <v>0.91</v>
      </c>
      <c r="P2938" t="n">
        <v>1</v>
      </c>
      <c r="Q2938" t="n">
        <v>0.68</v>
      </c>
      <c r="R2938" t="n">
        <v>4</v>
      </c>
      <c r="S2938" t="n">
        <v>7607.6</v>
      </c>
      <c r="T2938" t="n">
        <v>23</v>
      </c>
      <c r="U2938" t="n">
        <v>24</v>
      </c>
      <c r="V2938" t="n">
        <v>30</v>
      </c>
      <c r="W2938" t="n">
        <v>13</v>
      </c>
      <c r="X2938" t="n">
        <v>24.97502497502497</v>
      </c>
      <c r="Y2938" t="n">
        <v>1</v>
      </c>
      <c r="Z2938" t="n">
        <v>3</v>
      </c>
      <c r="AA2938" t="n">
        <v>0</v>
      </c>
      <c r="AB2938" t="n">
        <v>3</v>
      </c>
      <c r="AC2938" t="n">
        <v>3</v>
      </c>
      <c r="AD2938" t="n">
        <v>0</v>
      </c>
      <c r="AE2938" t="n">
        <v>44817</v>
      </c>
      <c r="AF2938" t="n">
        <v>10677</v>
      </c>
      <c r="AG2938" t="n">
        <v>2378</v>
      </c>
      <c r="AH2938" t="inlineStr">
        <is>
          <t>PT. KURNIA MAJU PERKASA - PPN (PDG)</t>
        </is>
      </c>
      <c r="AI2938" t="n">
        <v>101</v>
      </c>
      <c r="AJ2938" t="inlineStr">
        <is>
          <t>MADAME GIE</t>
        </is>
      </c>
      <c r="AK2938" t="n">
        <v>21</v>
      </c>
      <c r="AL2938" t="inlineStr">
        <is>
          <t>Miss Glam Damar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MADAME GIE</t>
        </is>
      </c>
      <c r="B2939" s="2">
        <f>"8997230675660"</f>
        <v/>
      </c>
      <c r="C2939" t="inlineStr">
        <is>
          <t>MADAME GIE BROW On Point 02 Espresso 6gr</t>
        </is>
      </c>
      <c r="D2939" t="inlineStr">
        <is>
          <t>Miss Glam Damar</t>
        </is>
      </c>
      <c r="E2939" t="n">
        <v>1</v>
      </c>
      <c r="F2939" t="n">
        <v>0.1365</v>
      </c>
      <c r="G2939" t="n">
        <v>0.91</v>
      </c>
      <c r="H2939" t="n">
        <v>1</v>
      </c>
      <c r="I2939" t="n">
        <v>5</v>
      </c>
      <c r="J2939" t="n">
        <v>3</v>
      </c>
      <c r="K2939" t="n">
        <v>0</v>
      </c>
      <c r="L2939" t="n">
        <v>21157</v>
      </c>
      <c r="M2939" t="n">
        <v>26200</v>
      </c>
      <c r="N2939" t="n">
        <v>91</v>
      </c>
      <c r="O2939" t="n">
        <v>0.91</v>
      </c>
      <c r="P2939" t="n">
        <v>1</v>
      </c>
      <c r="Q2939" t="n">
        <v>0.03</v>
      </c>
      <c r="R2939" t="n">
        <v>1</v>
      </c>
      <c r="S2939" t="n">
        <v>3576.3</v>
      </c>
      <c r="T2939" t="n">
        <v>5</v>
      </c>
      <c r="U2939" t="n">
        <v>6</v>
      </c>
      <c r="V2939" t="n">
        <v>30</v>
      </c>
      <c r="W2939" t="n">
        <v>5</v>
      </c>
      <c r="X2939" t="n">
        <v>7.326007326007326</v>
      </c>
      <c r="Y2939" t="n">
        <v>1</v>
      </c>
      <c r="Z2939" t="n">
        <v>4</v>
      </c>
      <c r="AA2939" t="n">
        <v>0</v>
      </c>
      <c r="AB2939" t="n">
        <v>4</v>
      </c>
      <c r="AC2939" t="n">
        <v>4</v>
      </c>
      <c r="AD2939" t="n">
        <v>0</v>
      </c>
      <c r="AE2939" t="n">
        <v>84628</v>
      </c>
      <c r="AF2939" t="n">
        <v>10677</v>
      </c>
      <c r="AG2939" t="n">
        <v>2378</v>
      </c>
      <c r="AH2939" t="inlineStr">
        <is>
          <t>PT. KURNIA MAJU PERKASA - PPN (PDG)</t>
        </is>
      </c>
      <c r="AI2939" t="n">
        <v>101</v>
      </c>
      <c r="AJ2939" t="inlineStr">
        <is>
          <t>MADAME GIE</t>
        </is>
      </c>
      <c r="AK2939" t="n">
        <v>21</v>
      </c>
      <c r="AL2939" t="inlineStr">
        <is>
          <t>Miss Glam Damar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MADAME GIE</t>
        </is>
      </c>
      <c r="B2940" s="2">
        <f>"8994448831253"</f>
        <v/>
      </c>
      <c r="C2940" t="inlineStr">
        <is>
          <t>MADAME GIE Brow Pomade Brow On Point 03 Mocha</t>
        </is>
      </c>
      <c r="D2940" t="inlineStr">
        <is>
          <t>Miss Glam Damar</t>
        </is>
      </c>
      <c r="E2940" t="n">
        <v>2</v>
      </c>
      <c r="F2940" t="n">
        <v>0.06370000000000001</v>
      </c>
      <c r="G2940" t="n">
        <v>0.91</v>
      </c>
      <c r="H2940" t="n">
        <v>1</v>
      </c>
      <c r="I2940" t="n">
        <v>5</v>
      </c>
      <c r="J2940" t="n">
        <v>3</v>
      </c>
      <c r="K2940" t="n">
        <v>0</v>
      </c>
      <c r="L2940" t="n">
        <v>21157</v>
      </c>
      <c r="M2940" t="n">
        <v>29000</v>
      </c>
      <c r="N2940" t="n">
        <v>91</v>
      </c>
      <c r="O2940" t="n">
        <v>0.91</v>
      </c>
      <c r="P2940" t="n">
        <v>1</v>
      </c>
      <c r="Q2940" t="n">
        <v>0.02</v>
      </c>
      <c r="R2940" t="n">
        <v>1</v>
      </c>
      <c r="S2940" t="n">
        <v>1847.3</v>
      </c>
      <c r="T2940" t="n">
        <v>5</v>
      </c>
      <c r="U2940" t="n">
        <v>6</v>
      </c>
      <c r="V2940" t="n">
        <v>30</v>
      </c>
      <c r="W2940" t="n">
        <v>2</v>
      </c>
      <c r="X2940" t="n">
        <v>31.39717425431711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10677</v>
      </c>
      <c r="AG2940" t="n">
        <v>2378</v>
      </c>
      <c r="AH2940" t="inlineStr">
        <is>
          <t>PT. KURNIA MAJU PERKASA - PPN (PDG)</t>
        </is>
      </c>
      <c r="AI2940" t="n">
        <v>101</v>
      </c>
      <c r="AJ2940" t="inlineStr">
        <is>
          <t>MADAME GIE</t>
        </is>
      </c>
      <c r="AK2940" t="n">
        <v>21</v>
      </c>
      <c r="AL2940" t="inlineStr">
        <is>
          <t>Miss Glam Damar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MADAME GIE</t>
        </is>
      </c>
      <c r="B2941" s="2">
        <f>"8997230677992"</f>
        <v/>
      </c>
      <c r="C2941" t="inlineStr">
        <is>
          <t>MADAME GIE Charmseeker 01 Cheeky Lipstick &amp; Lipcream 7gr</t>
        </is>
      </c>
      <c r="D2941" t="inlineStr">
        <is>
          <t>Miss Glam Damar</t>
        </is>
      </c>
      <c r="E2941" t="n">
        <v>2</v>
      </c>
      <c r="F2941" t="n">
        <v>0.1365</v>
      </c>
      <c r="G2941" t="n">
        <v>0.91</v>
      </c>
      <c r="H2941" t="n">
        <v>1</v>
      </c>
      <c r="I2941" t="n">
        <v>5</v>
      </c>
      <c r="J2941" t="n">
        <v>3</v>
      </c>
      <c r="K2941" t="n">
        <v>0</v>
      </c>
      <c r="L2941" t="n">
        <v>27616</v>
      </c>
      <c r="M2941" t="n">
        <v>32500</v>
      </c>
      <c r="N2941" t="n">
        <v>91</v>
      </c>
      <c r="O2941" t="n">
        <v>0.91</v>
      </c>
      <c r="P2941" t="n">
        <v>1</v>
      </c>
      <c r="Q2941" t="n">
        <v>0.02</v>
      </c>
      <c r="R2941" t="n">
        <v>1</v>
      </c>
      <c r="S2941" t="n">
        <v>4436.25</v>
      </c>
      <c r="T2941" t="n">
        <v>5</v>
      </c>
      <c r="U2941" t="n">
        <v>6</v>
      </c>
      <c r="V2941" t="n">
        <v>30</v>
      </c>
      <c r="W2941" t="n">
        <v>5</v>
      </c>
      <c r="X2941" t="n">
        <v>14.65201465201465</v>
      </c>
      <c r="Y2941" t="n">
        <v>1</v>
      </c>
      <c r="Z2941" t="n">
        <v>3</v>
      </c>
      <c r="AA2941" t="n">
        <v>0</v>
      </c>
      <c r="AB2941" t="n">
        <v>3</v>
      </c>
      <c r="AC2941" t="n">
        <v>3</v>
      </c>
      <c r="AD2941" t="n">
        <v>0</v>
      </c>
      <c r="AE2941" t="n">
        <v>82848</v>
      </c>
      <c r="AF2941" t="n">
        <v>10677</v>
      </c>
      <c r="AG2941" t="n">
        <v>2378</v>
      </c>
      <c r="AH2941" t="inlineStr">
        <is>
          <t>PT. KURNIA MAJU PERKASA - PPN (PDG)</t>
        </is>
      </c>
      <c r="AI2941" t="n">
        <v>101</v>
      </c>
      <c r="AJ2941" t="inlineStr">
        <is>
          <t>MADAME GIE</t>
        </is>
      </c>
      <c r="AK2941" t="n">
        <v>21</v>
      </c>
      <c r="AL2941" t="inlineStr">
        <is>
          <t>Miss Glam Damar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MADAME GIE</t>
        </is>
      </c>
      <c r="B2942" s="2">
        <f>"8997230678005"</f>
        <v/>
      </c>
      <c r="C2942" t="inlineStr">
        <is>
          <t>MADAME GIE Charmseeker 02 Sassy Lipstick &amp; Lipcream 7gr</t>
        </is>
      </c>
      <c r="D2942" t="inlineStr">
        <is>
          <t>Miss Glam Damar</t>
        </is>
      </c>
      <c r="E2942" t="n">
        <v>9</v>
      </c>
      <c r="F2942" t="n">
        <v>0.08</v>
      </c>
      <c r="G2942" t="n">
        <v>2</v>
      </c>
      <c r="H2942" t="n">
        <v>1</v>
      </c>
      <c r="I2942" t="n">
        <v>5</v>
      </c>
      <c r="J2942" t="n">
        <v>3</v>
      </c>
      <c r="K2942" t="n">
        <v>0</v>
      </c>
      <c r="L2942" t="n">
        <v>27616</v>
      </c>
      <c r="M2942" t="n">
        <v>32500</v>
      </c>
      <c r="N2942" t="n">
        <v>91</v>
      </c>
      <c r="O2942" t="n">
        <v>0.91</v>
      </c>
      <c r="P2942" t="n">
        <v>0</v>
      </c>
      <c r="Q2942" t="n">
        <v>0.08</v>
      </c>
      <c r="R2942" t="n">
        <v>2</v>
      </c>
      <c r="S2942" t="n">
        <v>2600</v>
      </c>
      <c r="T2942" t="n">
        <v>10</v>
      </c>
      <c r="U2942" t="n">
        <v>11</v>
      </c>
      <c r="V2942" t="n">
        <v>30</v>
      </c>
      <c r="W2942" t="n">
        <v>3</v>
      </c>
      <c r="X2942" t="n">
        <v>112.5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10677</v>
      </c>
      <c r="AG2942" t="n">
        <v>2378</v>
      </c>
      <c r="AH2942" t="inlineStr">
        <is>
          <t>PT. KURNIA MAJU PERKASA - PPN (PDG)</t>
        </is>
      </c>
      <c r="AI2942" t="n">
        <v>101</v>
      </c>
      <c r="AJ2942" t="inlineStr">
        <is>
          <t>MADAME GIE</t>
        </is>
      </c>
      <c r="AK2942" t="n">
        <v>21</v>
      </c>
      <c r="AL2942" t="inlineStr">
        <is>
          <t>Miss Glam Damar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MADAME GIE</t>
        </is>
      </c>
      <c r="B2943" s="2">
        <f>"8997230678012"</f>
        <v/>
      </c>
      <c r="C2943" t="inlineStr">
        <is>
          <t>MADAME GIE Charmseeker 03 Baddie Lipstick &amp; Lipcream 7gr</t>
        </is>
      </c>
      <c r="D2943" t="inlineStr">
        <is>
          <t>Miss Glam Damar</t>
        </is>
      </c>
      <c r="E2943" t="n">
        <v>2</v>
      </c>
      <c r="F2943" t="n">
        <v>0.3367</v>
      </c>
      <c r="G2943" t="n">
        <v>2.73</v>
      </c>
      <c r="H2943" t="n">
        <v>1</v>
      </c>
      <c r="I2943" t="n">
        <v>5</v>
      </c>
      <c r="J2943" t="n">
        <v>3</v>
      </c>
      <c r="K2943" t="n">
        <v>0</v>
      </c>
      <c r="L2943" t="n">
        <v>27616</v>
      </c>
      <c r="M2943" t="n">
        <v>32500</v>
      </c>
      <c r="N2943" t="n">
        <v>91</v>
      </c>
      <c r="O2943" t="n">
        <v>0.91</v>
      </c>
      <c r="P2943" t="n">
        <v>1</v>
      </c>
      <c r="Q2943" t="n">
        <v>0.14</v>
      </c>
      <c r="R2943" t="n">
        <v>2</v>
      </c>
      <c r="S2943" t="n">
        <v>10942.75</v>
      </c>
      <c r="T2943" t="n">
        <v>14</v>
      </c>
      <c r="U2943" t="n">
        <v>15</v>
      </c>
      <c r="V2943" t="n">
        <v>30</v>
      </c>
      <c r="W2943" t="n">
        <v>11</v>
      </c>
      <c r="X2943" t="n">
        <v>5.94000594000594</v>
      </c>
      <c r="Y2943" t="n">
        <v>1</v>
      </c>
      <c r="Z2943" t="n">
        <v>9</v>
      </c>
      <c r="AA2943" t="n">
        <v>0</v>
      </c>
      <c r="AB2943" t="n">
        <v>9</v>
      </c>
      <c r="AC2943" t="n">
        <v>9</v>
      </c>
      <c r="AD2943" t="n">
        <v>0</v>
      </c>
      <c r="AE2943" t="n">
        <v>248544</v>
      </c>
      <c r="AF2943" t="n">
        <v>10677</v>
      </c>
      <c r="AG2943" t="n">
        <v>2378</v>
      </c>
      <c r="AH2943" t="inlineStr">
        <is>
          <t>PT. KURNIA MAJU PERKASA - PPN (PDG)</t>
        </is>
      </c>
      <c r="AI2943" t="n">
        <v>101</v>
      </c>
      <c r="AJ2943" t="inlineStr">
        <is>
          <t>MADAME GIE</t>
        </is>
      </c>
      <c r="AK2943" t="n">
        <v>21</v>
      </c>
      <c r="AL2943" t="inlineStr">
        <is>
          <t>Miss Glam Damar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MADAME GIE</t>
        </is>
      </c>
      <c r="B2944" s="2">
        <f>"20300196045"</f>
        <v/>
      </c>
      <c r="C2944" t="inlineStr">
        <is>
          <t>MADAME GIE Charmseeker 04 Giddy Lipstick &amp; Lipcream 7gr</t>
        </is>
      </c>
      <c r="D2944" t="inlineStr">
        <is>
          <t>Miss Glam Damar</t>
        </is>
      </c>
      <c r="E2944" t="n">
        <v>3</v>
      </c>
      <c r="F2944" t="n">
        <v>0.1092</v>
      </c>
      <c r="G2944" t="n">
        <v>0.91</v>
      </c>
      <c r="H2944" t="n">
        <v>1</v>
      </c>
      <c r="I2944" t="n">
        <v>5</v>
      </c>
      <c r="J2944" t="n">
        <v>3</v>
      </c>
      <c r="K2944" t="n">
        <v>0</v>
      </c>
      <c r="L2944" t="n">
        <v>27616</v>
      </c>
      <c r="M2944" t="n">
        <v>32500</v>
      </c>
      <c r="N2944" t="n">
        <v>91</v>
      </c>
      <c r="O2944" t="n">
        <v>0.91</v>
      </c>
      <c r="P2944" t="n">
        <v>1</v>
      </c>
      <c r="Q2944" t="n">
        <v>0.05</v>
      </c>
      <c r="R2944" t="n">
        <v>1</v>
      </c>
      <c r="S2944" t="n">
        <v>3549</v>
      </c>
      <c r="T2944" t="n">
        <v>5</v>
      </c>
      <c r="U2944" t="n">
        <v>6</v>
      </c>
      <c r="V2944" t="n">
        <v>30</v>
      </c>
      <c r="W2944" t="n">
        <v>4</v>
      </c>
      <c r="X2944" t="n">
        <v>27.47252747252747</v>
      </c>
      <c r="Y2944" t="n">
        <v>1</v>
      </c>
      <c r="Z2944" t="n">
        <v>1</v>
      </c>
      <c r="AA2944" t="n">
        <v>0</v>
      </c>
      <c r="AB2944" t="n">
        <v>1</v>
      </c>
      <c r="AC2944" t="n">
        <v>3</v>
      </c>
      <c r="AD2944" t="n">
        <v>0</v>
      </c>
      <c r="AE2944" t="n">
        <v>82848</v>
      </c>
      <c r="AF2944" t="n">
        <v>10677</v>
      </c>
      <c r="AG2944" t="n">
        <v>2378</v>
      </c>
      <c r="AH2944" t="inlineStr">
        <is>
          <t>PT. KURNIA MAJU PERKASA - PPN (PDG)</t>
        </is>
      </c>
      <c r="AI2944" t="n">
        <v>101</v>
      </c>
      <c r="AJ2944" t="inlineStr">
        <is>
          <t>MADAME GIE</t>
        </is>
      </c>
      <c r="AK2944" t="n">
        <v>21</v>
      </c>
      <c r="AL2944" t="inlineStr">
        <is>
          <t>Miss Glam Damar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MADAME GIE</t>
        </is>
      </c>
      <c r="B2945" s="2">
        <f>"20300196148"</f>
        <v/>
      </c>
      <c r="C2945" t="inlineStr">
        <is>
          <t>MADAME GIE Charmseeker 05 Flirty Lipstick &amp; Lipcream 7gr</t>
        </is>
      </c>
      <c r="D2945" t="inlineStr">
        <is>
          <t>Miss Glam Damar</t>
        </is>
      </c>
      <c r="E2945" t="n">
        <v>6</v>
      </c>
      <c r="F2945" t="n">
        <v>0.0182</v>
      </c>
      <c r="G2945" t="n">
        <v>0</v>
      </c>
      <c r="H2945" t="n">
        <v>1</v>
      </c>
      <c r="I2945" t="n">
        <v>5</v>
      </c>
      <c r="J2945" t="n">
        <v>3</v>
      </c>
      <c r="K2945" t="n">
        <v>0</v>
      </c>
      <c r="L2945" t="n">
        <v>27616</v>
      </c>
      <c r="M2945" t="n">
        <v>32500</v>
      </c>
      <c r="N2945" t="n">
        <v>91</v>
      </c>
      <c r="O2945" t="n">
        <v>0.91</v>
      </c>
      <c r="P2945" t="n">
        <v>1</v>
      </c>
      <c r="Q2945" t="n">
        <v>0.1</v>
      </c>
      <c r="R2945" t="n">
        <v>2</v>
      </c>
      <c r="S2945" t="n">
        <v>591.5</v>
      </c>
      <c r="T2945" t="n">
        <v>0</v>
      </c>
      <c r="U2945" t="n">
        <v>1</v>
      </c>
      <c r="V2945" t="n">
        <v>30</v>
      </c>
      <c r="W2945" t="n">
        <v>1</v>
      </c>
      <c r="X2945" t="n">
        <v>329.6703296703296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10677</v>
      </c>
      <c r="AG2945" t="n">
        <v>2378</v>
      </c>
      <c r="AH2945" t="inlineStr">
        <is>
          <t>PT. KURNIA MAJU PERKASA - PPN (PDG)</t>
        </is>
      </c>
      <c r="AI2945" t="n">
        <v>101</v>
      </c>
      <c r="AJ2945" t="inlineStr">
        <is>
          <t>MADAME GIE</t>
        </is>
      </c>
      <c r="AK2945" t="n">
        <v>21</v>
      </c>
      <c r="AL2945" t="inlineStr">
        <is>
          <t>Miss Glam Damar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MADAME GIE</t>
        </is>
      </c>
      <c r="B2946" s="2">
        <f>"8994448831291"</f>
        <v/>
      </c>
      <c r="C2946" t="inlineStr">
        <is>
          <t>MADAME GIE Madame Protect Me Sun Serum SPF30 With Dustress Out 60gr</t>
        </is>
      </c>
      <c r="D2946" t="inlineStr">
        <is>
          <t>Miss Glam Damar</t>
        </is>
      </c>
      <c r="E2946" t="n">
        <v>7</v>
      </c>
      <c r="F2946" t="n">
        <v>0.2821</v>
      </c>
      <c r="G2946" t="n">
        <v>1.82</v>
      </c>
      <c r="H2946" t="n">
        <v>1</v>
      </c>
      <c r="I2946" t="n">
        <v>5</v>
      </c>
      <c r="J2946" t="n">
        <v>3</v>
      </c>
      <c r="K2946" t="n">
        <v>0</v>
      </c>
      <c r="L2946" t="n">
        <v>36337</v>
      </c>
      <c r="M2946" t="n">
        <v>45500</v>
      </c>
      <c r="N2946" t="n">
        <v>91</v>
      </c>
      <c r="O2946" t="n">
        <v>0.91</v>
      </c>
      <c r="P2946" t="n">
        <v>1</v>
      </c>
      <c r="Q2946" t="n">
        <v>0.24</v>
      </c>
      <c r="R2946" t="n">
        <v>1</v>
      </c>
      <c r="S2946" t="n">
        <v>12835.55</v>
      </c>
      <c r="T2946" t="n">
        <v>9</v>
      </c>
      <c r="U2946" t="n">
        <v>10</v>
      </c>
      <c r="V2946" t="n">
        <v>30</v>
      </c>
      <c r="W2946" t="n">
        <v>9</v>
      </c>
      <c r="X2946" t="n">
        <v>24.81389578163772</v>
      </c>
      <c r="Y2946" t="n">
        <v>1</v>
      </c>
      <c r="Z2946" t="n">
        <v>2</v>
      </c>
      <c r="AA2946" t="n">
        <v>0</v>
      </c>
      <c r="AB2946" t="n">
        <v>2</v>
      </c>
      <c r="AC2946" t="n">
        <v>3</v>
      </c>
      <c r="AD2946" t="n">
        <v>0</v>
      </c>
      <c r="AE2946" t="n">
        <v>109011</v>
      </c>
      <c r="AF2946" t="n">
        <v>10677</v>
      </c>
      <c r="AG2946" t="n">
        <v>2378</v>
      </c>
      <c r="AH2946" t="inlineStr">
        <is>
          <t>PT. KURNIA MAJU PERKASA - PPN (PDG)</t>
        </is>
      </c>
      <c r="AI2946" t="n">
        <v>101</v>
      </c>
      <c r="AJ2946" t="inlineStr">
        <is>
          <t>MADAME GIE</t>
        </is>
      </c>
      <c r="AK2946" t="n">
        <v>21</v>
      </c>
      <c r="AL2946" t="inlineStr">
        <is>
          <t>Miss Glam Damar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MADAME GIE</t>
        </is>
      </c>
      <c r="B2947" s="2">
        <f>"10100724609"</f>
        <v/>
      </c>
      <c r="C2947" t="inlineStr">
        <is>
          <t>MADAME GIE Necessity Micellar Water 100ml</t>
        </is>
      </c>
      <c r="D2947" t="inlineStr">
        <is>
          <t>Miss Glam Damar</t>
        </is>
      </c>
      <c r="E2947" t="n">
        <v>2</v>
      </c>
      <c r="F2947" t="n">
        <v>0.6006</v>
      </c>
      <c r="G2947" t="n">
        <v>3.64</v>
      </c>
      <c r="H2947" t="n">
        <v>1</v>
      </c>
      <c r="I2947" t="n">
        <v>5</v>
      </c>
      <c r="J2947" t="n">
        <v>1</v>
      </c>
      <c r="K2947" t="n">
        <v>0</v>
      </c>
      <c r="L2947" t="n">
        <v>11952</v>
      </c>
      <c r="M2947" t="n">
        <v>15000</v>
      </c>
      <c r="N2947" t="n">
        <v>91</v>
      </c>
      <c r="O2947" t="n">
        <v>0.91</v>
      </c>
      <c r="P2947" t="n">
        <v>1</v>
      </c>
      <c r="Q2947" t="n">
        <v>0.31</v>
      </c>
      <c r="R2947" t="n">
        <v>2</v>
      </c>
      <c r="S2947" t="n">
        <v>9009</v>
      </c>
      <c r="T2947" t="n">
        <v>18</v>
      </c>
      <c r="U2947" t="n">
        <v>19</v>
      </c>
      <c r="V2947" t="n">
        <v>30</v>
      </c>
      <c r="W2947" t="n">
        <v>19</v>
      </c>
      <c r="X2947" t="n">
        <v>3.33000333000333</v>
      </c>
      <c r="Y2947" t="n">
        <v>1</v>
      </c>
      <c r="Z2947" t="n">
        <v>17</v>
      </c>
      <c r="AA2947" t="n">
        <v>2</v>
      </c>
      <c r="AB2947" t="n">
        <v>15</v>
      </c>
      <c r="AC2947" t="n">
        <v>15</v>
      </c>
      <c r="AD2947" t="n">
        <v>23904</v>
      </c>
      <c r="AE2947" t="n">
        <v>179280</v>
      </c>
      <c r="AF2947" t="n">
        <v>10677</v>
      </c>
      <c r="AG2947" t="n">
        <v>2378</v>
      </c>
      <c r="AH2947" t="inlineStr">
        <is>
          <t>PT. KURNIA MAJU PERKASA - PPN (PDG)</t>
        </is>
      </c>
      <c r="AI2947" t="n">
        <v>101</v>
      </c>
      <c r="AJ2947" t="inlineStr">
        <is>
          <t>MADAME GIE</t>
        </is>
      </c>
      <c r="AK2947" t="n">
        <v>21</v>
      </c>
      <c r="AL2947" t="inlineStr">
        <is>
          <t>Miss Glam Damar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MADAME GIE</t>
        </is>
      </c>
      <c r="B2948" s="2">
        <f>"8994448832267"</f>
        <v/>
      </c>
      <c r="C2948" t="inlineStr">
        <is>
          <t>MADAME GIE Necessity Micellar Water 300ml</t>
        </is>
      </c>
      <c r="D2948" t="inlineStr">
        <is>
          <t>Miss Glam Damar</t>
        </is>
      </c>
      <c r="E2948" t="n">
        <v>12</v>
      </c>
      <c r="F2948" t="n">
        <v>1.5561</v>
      </c>
      <c r="G2948" t="n">
        <v>4.55</v>
      </c>
      <c r="H2948" t="n">
        <v>1</v>
      </c>
      <c r="I2948" t="n">
        <v>5</v>
      </c>
      <c r="J2948" t="n">
        <v>3</v>
      </c>
      <c r="K2948" t="n">
        <v>0</v>
      </c>
      <c r="L2948" t="n">
        <v>29635</v>
      </c>
      <c r="M2948" t="n">
        <v>37500</v>
      </c>
      <c r="N2948" t="n">
        <v>91</v>
      </c>
      <c r="O2948" t="n">
        <v>0.91</v>
      </c>
      <c r="P2948" t="n">
        <v>1</v>
      </c>
      <c r="Q2948" t="n">
        <v>0.46</v>
      </c>
      <c r="R2948" t="n">
        <v>2</v>
      </c>
      <c r="S2948" t="n">
        <v>58353.75</v>
      </c>
      <c r="T2948" t="n">
        <v>22</v>
      </c>
      <c r="U2948" t="n">
        <v>24</v>
      </c>
      <c r="V2948" t="n">
        <v>30</v>
      </c>
      <c r="W2948" t="n">
        <v>47</v>
      </c>
      <c r="X2948" t="n">
        <v>7.711586658955079</v>
      </c>
      <c r="Y2948" t="n">
        <v>1</v>
      </c>
      <c r="Z2948" t="n">
        <v>35</v>
      </c>
      <c r="AA2948" t="n">
        <v>0</v>
      </c>
      <c r="AB2948" t="n">
        <v>35</v>
      </c>
      <c r="AC2948" t="n">
        <v>35</v>
      </c>
      <c r="AD2948" t="n">
        <v>0</v>
      </c>
      <c r="AE2948" t="n">
        <v>1037225</v>
      </c>
      <c r="AF2948" t="n">
        <v>10677</v>
      </c>
      <c r="AG2948" t="n">
        <v>2378</v>
      </c>
      <c r="AH2948" t="inlineStr">
        <is>
          <t>PT. KURNIA MAJU PERKASA - PPN (PDG)</t>
        </is>
      </c>
      <c r="AI2948" t="n">
        <v>101</v>
      </c>
      <c r="AJ2948" t="inlineStr">
        <is>
          <t>MADAME GIE</t>
        </is>
      </c>
      <c r="AK2948" t="n">
        <v>21</v>
      </c>
      <c r="AL2948" t="inlineStr">
        <is>
          <t>Miss Glam Damar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MADAME GIE</t>
        </is>
      </c>
      <c r="B2949" s="2">
        <f>"8994448831858"</f>
        <v/>
      </c>
      <c r="C2949" t="inlineStr">
        <is>
          <t>MADAME GIE Plump Balm 101 Better 2.5gr</t>
        </is>
      </c>
      <c r="D2949" t="inlineStr">
        <is>
          <t>Miss Glam Damar</t>
        </is>
      </c>
      <c r="E2949" t="n">
        <v>9</v>
      </c>
      <c r="F2949" t="n">
        <v>0.3367</v>
      </c>
      <c r="G2949" t="n">
        <v>3.64</v>
      </c>
      <c r="H2949" t="n">
        <v>1</v>
      </c>
      <c r="I2949" t="n">
        <v>5</v>
      </c>
      <c r="J2949" t="n">
        <v>3</v>
      </c>
      <c r="K2949" t="n">
        <v>0</v>
      </c>
      <c r="L2949" t="n">
        <v>22448</v>
      </c>
      <c r="M2949" t="n">
        <v>28500</v>
      </c>
      <c r="N2949" t="n">
        <v>91</v>
      </c>
      <c r="O2949" t="n">
        <v>0.91</v>
      </c>
      <c r="P2949" t="n">
        <v>1</v>
      </c>
      <c r="Q2949" t="n">
        <v>0.34</v>
      </c>
      <c r="R2949" t="n">
        <v>2</v>
      </c>
      <c r="S2949" t="n">
        <v>9595.950000000001</v>
      </c>
      <c r="T2949" t="n">
        <v>18</v>
      </c>
      <c r="U2949" t="n">
        <v>19</v>
      </c>
      <c r="V2949" t="n">
        <v>30</v>
      </c>
      <c r="W2949" t="n">
        <v>11</v>
      </c>
      <c r="X2949" t="n">
        <v>26.73002673002673</v>
      </c>
      <c r="Y2949" t="n">
        <v>1</v>
      </c>
      <c r="Z2949" t="n">
        <v>2</v>
      </c>
      <c r="AA2949" t="n">
        <v>0</v>
      </c>
      <c r="AB2949" t="n">
        <v>2</v>
      </c>
      <c r="AC2949" t="n">
        <v>3</v>
      </c>
      <c r="AD2949" t="n">
        <v>0</v>
      </c>
      <c r="AE2949" t="n">
        <v>67344</v>
      </c>
      <c r="AF2949" t="n">
        <v>10677</v>
      </c>
      <c r="AG2949" t="n">
        <v>2378</v>
      </c>
      <c r="AH2949" t="inlineStr">
        <is>
          <t>PT. KURNIA MAJU PERKASA - PPN (PDG)</t>
        </is>
      </c>
      <c r="AI2949" t="n">
        <v>101</v>
      </c>
      <c r="AJ2949" t="inlineStr">
        <is>
          <t>MADAME GIE</t>
        </is>
      </c>
      <c r="AK2949" t="n">
        <v>21</v>
      </c>
      <c r="AL2949" t="inlineStr">
        <is>
          <t>Miss Glam Damar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MADAME GIE</t>
        </is>
      </c>
      <c r="B2950" s="2">
        <f>"8994448831864"</f>
        <v/>
      </c>
      <c r="C2950" t="inlineStr">
        <is>
          <t>MADAME GIE Plump Balm 102 Prettier 2.5gr</t>
        </is>
      </c>
      <c r="D2950" t="inlineStr">
        <is>
          <t>Miss Glam Damar</t>
        </is>
      </c>
      <c r="E2950" t="n">
        <v>18</v>
      </c>
      <c r="F2950" t="n">
        <v>1.1375</v>
      </c>
      <c r="G2950" t="n">
        <v>3.64</v>
      </c>
      <c r="H2950" t="n">
        <v>1</v>
      </c>
      <c r="I2950" t="n">
        <v>5</v>
      </c>
      <c r="J2950" t="n">
        <v>3</v>
      </c>
      <c r="K2950" t="n">
        <v>0</v>
      </c>
      <c r="L2950" t="n">
        <v>22448</v>
      </c>
      <c r="M2950" t="n">
        <v>28500</v>
      </c>
      <c r="N2950" t="n">
        <v>91</v>
      </c>
      <c r="O2950" t="n">
        <v>0.91</v>
      </c>
      <c r="P2950" t="n">
        <v>1</v>
      </c>
      <c r="Q2950" t="n">
        <v>0.46</v>
      </c>
      <c r="R2950" t="n">
        <v>3</v>
      </c>
      <c r="S2950" t="n">
        <v>32418.75</v>
      </c>
      <c r="T2950" t="n">
        <v>18</v>
      </c>
      <c r="U2950" t="n">
        <v>20</v>
      </c>
      <c r="V2950" t="n">
        <v>30</v>
      </c>
      <c r="W2950" t="n">
        <v>35</v>
      </c>
      <c r="X2950" t="n">
        <v>15.82417582417582</v>
      </c>
      <c r="Y2950" t="n">
        <v>1</v>
      </c>
      <c r="Z2950" t="n">
        <v>17</v>
      </c>
      <c r="AA2950" t="n">
        <v>0</v>
      </c>
      <c r="AB2950" t="n">
        <v>17</v>
      </c>
      <c r="AC2950" t="n">
        <v>17</v>
      </c>
      <c r="AD2950" t="n">
        <v>0</v>
      </c>
      <c r="AE2950" t="n">
        <v>381616</v>
      </c>
      <c r="AF2950" t="n">
        <v>10677</v>
      </c>
      <c r="AG2950" t="n">
        <v>2378</v>
      </c>
      <c r="AH2950" t="inlineStr">
        <is>
          <t>PT. KURNIA MAJU PERKASA - PPN (PDG)</t>
        </is>
      </c>
      <c r="AI2950" t="n">
        <v>101</v>
      </c>
      <c r="AJ2950" t="inlineStr">
        <is>
          <t>MADAME GIE</t>
        </is>
      </c>
      <c r="AK2950" t="n">
        <v>21</v>
      </c>
      <c r="AL2950" t="inlineStr">
        <is>
          <t>Miss Glam Damar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MADAME GIE</t>
        </is>
      </c>
      <c r="B2951" s="2">
        <f>"8994448831871"</f>
        <v/>
      </c>
      <c r="C2951" t="inlineStr">
        <is>
          <t>MADAME GIE Plump Balm 103 Juicier 2.5gr</t>
        </is>
      </c>
      <c r="D2951" t="inlineStr">
        <is>
          <t>Miss Glam Damar</t>
        </is>
      </c>
      <c r="E2951" t="n">
        <v>11</v>
      </c>
      <c r="F2951" t="n">
        <v>0.5277999999999999</v>
      </c>
      <c r="G2951" t="n">
        <v>2.73</v>
      </c>
      <c r="H2951" t="n">
        <v>1</v>
      </c>
      <c r="I2951" t="n">
        <v>5</v>
      </c>
      <c r="J2951" t="n">
        <v>3</v>
      </c>
      <c r="K2951" t="n">
        <v>0</v>
      </c>
      <c r="L2951" t="n">
        <v>22448</v>
      </c>
      <c r="M2951" t="n">
        <v>28000</v>
      </c>
      <c r="N2951" t="n">
        <v>91</v>
      </c>
      <c r="O2951" t="n">
        <v>0.91</v>
      </c>
      <c r="P2951" t="n">
        <v>1</v>
      </c>
      <c r="Q2951" t="n">
        <v>0.14</v>
      </c>
      <c r="R2951" t="n">
        <v>2</v>
      </c>
      <c r="S2951" t="n">
        <v>14778.4</v>
      </c>
      <c r="T2951" t="n">
        <v>14</v>
      </c>
      <c r="U2951" t="n">
        <v>15</v>
      </c>
      <c r="V2951" t="n">
        <v>30</v>
      </c>
      <c r="W2951" t="n">
        <v>16</v>
      </c>
      <c r="X2951" t="n">
        <v>20.84122773777947</v>
      </c>
      <c r="Y2951" t="n">
        <v>1</v>
      </c>
      <c r="Z2951" t="n">
        <v>5</v>
      </c>
      <c r="AA2951" t="n">
        <v>0</v>
      </c>
      <c r="AB2951" t="n">
        <v>5</v>
      </c>
      <c r="AC2951" t="n">
        <v>5</v>
      </c>
      <c r="AD2951" t="n">
        <v>0</v>
      </c>
      <c r="AE2951" t="n">
        <v>112240</v>
      </c>
      <c r="AF2951" t="n">
        <v>10677</v>
      </c>
      <c r="AG2951" t="n">
        <v>2378</v>
      </c>
      <c r="AH2951" t="inlineStr">
        <is>
          <t>PT. KURNIA MAJU PERKASA - PPN (PDG)</t>
        </is>
      </c>
      <c r="AI2951" t="n">
        <v>101</v>
      </c>
      <c r="AJ2951" t="inlineStr">
        <is>
          <t>MADAME GIE</t>
        </is>
      </c>
      <c r="AK2951" t="n">
        <v>21</v>
      </c>
      <c r="AL2951" t="inlineStr">
        <is>
          <t>Miss Glam Damar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MADAME GIE</t>
        </is>
      </c>
      <c r="B2952" s="2">
        <f>"8994448831888"</f>
        <v/>
      </c>
      <c r="C2952" t="inlineStr">
        <is>
          <t>MADAME GIE Plump Balm 104 Tastier 2.5gr</t>
        </is>
      </c>
      <c r="D2952" t="inlineStr">
        <is>
          <t>Miss Glam Damar</t>
        </is>
      </c>
      <c r="E2952" t="n">
        <v>21</v>
      </c>
      <c r="F2952" t="n">
        <v>0.7826</v>
      </c>
      <c r="G2952" t="n">
        <v>4.55</v>
      </c>
      <c r="H2952" t="n">
        <v>1</v>
      </c>
      <c r="I2952" t="n">
        <v>5</v>
      </c>
      <c r="J2952" t="n">
        <v>3</v>
      </c>
      <c r="K2952" t="n">
        <v>0</v>
      </c>
      <c r="L2952" t="n">
        <v>22448</v>
      </c>
      <c r="M2952" t="n">
        <v>28000</v>
      </c>
      <c r="N2952" t="n">
        <v>91</v>
      </c>
      <c r="O2952" t="n">
        <v>0.91</v>
      </c>
      <c r="P2952" t="n">
        <v>1</v>
      </c>
      <c r="Q2952" t="n">
        <v>0.44</v>
      </c>
      <c r="R2952" t="n">
        <v>3</v>
      </c>
      <c r="S2952" t="n">
        <v>21912.8</v>
      </c>
      <c r="T2952" t="n">
        <v>22</v>
      </c>
      <c r="U2952" t="n">
        <v>23</v>
      </c>
      <c r="V2952" t="n">
        <v>30</v>
      </c>
      <c r="W2952" t="n">
        <v>24</v>
      </c>
      <c r="X2952" t="n">
        <v>26.83363148479428</v>
      </c>
      <c r="Y2952" t="n">
        <v>1</v>
      </c>
      <c r="Z2952" t="n">
        <v>3</v>
      </c>
      <c r="AA2952" t="n">
        <v>0</v>
      </c>
      <c r="AB2952" t="n">
        <v>3</v>
      </c>
      <c r="AC2952" t="n">
        <v>3</v>
      </c>
      <c r="AD2952" t="n">
        <v>0</v>
      </c>
      <c r="AE2952" t="n">
        <v>67344</v>
      </c>
      <c r="AF2952" t="n">
        <v>10677</v>
      </c>
      <c r="AG2952" t="n">
        <v>2378</v>
      </c>
      <c r="AH2952" t="inlineStr">
        <is>
          <t>PT. KURNIA MAJU PERKASA - PPN (PDG)</t>
        </is>
      </c>
      <c r="AI2952" t="n">
        <v>101</v>
      </c>
      <c r="AJ2952" t="inlineStr">
        <is>
          <t>MADAME GIE</t>
        </is>
      </c>
      <c r="AK2952" t="n">
        <v>21</v>
      </c>
      <c r="AL2952" t="inlineStr">
        <is>
          <t>Miss Glam Damar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MADAME GIE</t>
        </is>
      </c>
      <c r="B2953" s="2">
        <f>"8994448831895"</f>
        <v/>
      </c>
      <c r="C2953" t="inlineStr">
        <is>
          <t>MADAME GIE Plump Balm 105 Hotter 2.5gr</t>
        </is>
      </c>
      <c r="D2953" t="inlineStr">
        <is>
          <t>Miss Glam Damar</t>
        </is>
      </c>
      <c r="E2953" t="n">
        <v>16</v>
      </c>
      <c r="F2953" t="n">
        <v>0.1274</v>
      </c>
      <c r="G2953" t="n">
        <v>1.82</v>
      </c>
      <c r="H2953" t="n">
        <v>1</v>
      </c>
      <c r="I2953" t="n">
        <v>5</v>
      </c>
      <c r="J2953" t="n">
        <v>3</v>
      </c>
      <c r="K2953" t="n">
        <v>0</v>
      </c>
      <c r="L2953" t="n">
        <v>22448</v>
      </c>
      <c r="M2953" t="n">
        <v>28500</v>
      </c>
      <c r="N2953" t="n">
        <v>91</v>
      </c>
      <c r="O2953" t="n">
        <v>0.91</v>
      </c>
      <c r="P2953" t="n">
        <v>1</v>
      </c>
      <c r="Q2953" t="n">
        <v>0.15</v>
      </c>
      <c r="R2953" t="n">
        <v>2</v>
      </c>
      <c r="S2953" t="n">
        <v>3630.900000000001</v>
      </c>
      <c r="T2953" t="n">
        <v>9</v>
      </c>
      <c r="U2953" t="n">
        <v>10</v>
      </c>
      <c r="V2953" t="n">
        <v>30</v>
      </c>
      <c r="W2953" t="n">
        <v>4</v>
      </c>
      <c r="X2953" t="n">
        <v>125.5886970172684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10677</v>
      </c>
      <c r="AG2953" t="n">
        <v>2378</v>
      </c>
      <c r="AH2953" t="inlineStr">
        <is>
          <t>PT. KURNIA MAJU PERKASA - PPN (PDG)</t>
        </is>
      </c>
      <c r="AI2953" t="n">
        <v>101</v>
      </c>
      <c r="AJ2953" t="inlineStr">
        <is>
          <t>MADAME GIE</t>
        </is>
      </c>
      <c r="AK2953" t="n">
        <v>21</v>
      </c>
      <c r="AL2953" t="inlineStr">
        <is>
          <t>Miss Glam Damar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MADAME GIE</t>
        </is>
      </c>
      <c r="B2954" s="2">
        <f>"10400615944"</f>
        <v/>
      </c>
      <c r="C2954" t="inlineStr">
        <is>
          <t>MADAME GIE Protect Me Sunscreen SPF 30 PA +++ 50ml</t>
        </is>
      </c>
      <c r="D2954" t="inlineStr">
        <is>
          <t>Miss Glam Damar</t>
        </is>
      </c>
      <c r="E2954" t="n">
        <v>25</v>
      </c>
      <c r="F2954" t="n">
        <v>1.7108</v>
      </c>
      <c r="G2954" t="n">
        <v>6.37</v>
      </c>
      <c r="H2954" t="n">
        <v>1</v>
      </c>
      <c r="I2954" t="n">
        <v>5</v>
      </c>
      <c r="J2954" t="n">
        <v>1</v>
      </c>
      <c r="K2954" t="n">
        <v>0</v>
      </c>
      <c r="L2954" t="n">
        <v>22636</v>
      </c>
      <c r="M2954" t="n">
        <v>28000</v>
      </c>
      <c r="N2954" t="n">
        <v>91</v>
      </c>
      <c r="O2954" t="n">
        <v>0.91</v>
      </c>
      <c r="P2954" t="n">
        <v>1</v>
      </c>
      <c r="Q2954" t="n">
        <v>0.71</v>
      </c>
      <c r="R2954" t="n">
        <v>4</v>
      </c>
      <c r="S2954" t="n">
        <v>47902.39999999999</v>
      </c>
      <c r="T2954" t="n">
        <v>31</v>
      </c>
      <c r="U2954" t="n">
        <v>33</v>
      </c>
      <c r="V2954" t="n">
        <v>30</v>
      </c>
      <c r="W2954" t="n">
        <v>52</v>
      </c>
      <c r="X2954" t="n">
        <v>14.61304652794015</v>
      </c>
      <c r="Y2954" t="n">
        <v>1</v>
      </c>
      <c r="Z2954" t="n">
        <v>27</v>
      </c>
      <c r="AA2954" t="n">
        <v>0</v>
      </c>
      <c r="AB2954" t="n">
        <v>27</v>
      </c>
      <c r="AC2954" t="n">
        <v>27</v>
      </c>
      <c r="AD2954" t="n">
        <v>0</v>
      </c>
      <c r="AE2954" t="n">
        <v>611172</v>
      </c>
      <c r="AF2954" t="n">
        <v>10677</v>
      </c>
      <c r="AG2954" t="n">
        <v>2378</v>
      </c>
      <c r="AH2954" t="inlineStr">
        <is>
          <t>PT. KURNIA MAJU PERKASA - PPN (PDG)</t>
        </is>
      </c>
      <c r="AI2954" t="n">
        <v>101</v>
      </c>
      <c r="AJ2954" t="inlineStr">
        <is>
          <t>MADAME GIE</t>
        </is>
      </c>
      <c r="AK2954" t="n">
        <v>21</v>
      </c>
      <c r="AL2954" t="inlineStr">
        <is>
          <t>Miss Glam Damar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MADAME GIE</t>
        </is>
      </c>
      <c r="B2955" s="2">
        <f>"20101210621"</f>
        <v/>
      </c>
      <c r="C2955" t="inlineStr">
        <is>
          <t>MADAME GIE Setting Spray Matte 50ml</t>
        </is>
      </c>
      <c r="D2955" t="inlineStr">
        <is>
          <t>Miss Glam Damar</t>
        </is>
      </c>
      <c r="E2955" t="n">
        <v>4</v>
      </c>
      <c r="F2955" t="n">
        <v>0.0728</v>
      </c>
      <c r="G2955" t="n">
        <v>0.91</v>
      </c>
      <c r="H2955" t="n">
        <v>1</v>
      </c>
      <c r="I2955" t="n">
        <v>5</v>
      </c>
      <c r="J2955" t="n">
        <v>1</v>
      </c>
      <c r="K2955" t="n">
        <v>0</v>
      </c>
      <c r="L2955" t="n">
        <v>26649</v>
      </c>
      <c r="M2955" t="n">
        <v>33000</v>
      </c>
      <c r="N2955" t="n">
        <v>91</v>
      </c>
      <c r="O2955" t="n">
        <v>0.91</v>
      </c>
      <c r="P2955" t="n">
        <v>1</v>
      </c>
      <c r="Q2955" t="n">
        <v>0.03</v>
      </c>
      <c r="R2955" t="n">
        <v>1</v>
      </c>
      <c r="S2955" t="n">
        <v>2402.4</v>
      </c>
      <c r="T2955" t="n">
        <v>5</v>
      </c>
      <c r="U2955" t="n">
        <v>6</v>
      </c>
      <c r="V2955" t="n">
        <v>30</v>
      </c>
      <c r="W2955" t="n">
        <v>3</v>
      </c>
      <c r="X2955" t="n">
        <v>54.94505494505494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10677</v>
      </c>
      <c r="AG2955" t="n">
        <v>2378</v>
      </c>
      <c r="AH2955" t="inlineStr">
        <is>
          <t>PT. KURNIA MAJU PERKASA - PPN (PDG)</t>
        </is>
      </c>
      <c r="AI2955" t="n">
        <v>101</v>
      </c>
      <c r="AJ2955" t="inlineStr">
        <is>
          <t>MADAME GIE</t>
        </is>
      </c>
      <c r="AK2955" t="n">
        <v>21</v>
      </c>
      <c r="AL2955" t="inlineStr">
        <is>
          <t>Miss Glam Damar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MADAME GIE</t>
        </is>
      </c>
      <c r="B2956" s="2">
        <f>"8997230678036"</f>
        <v/>
      </c>
      <c r="C2956" t="inlineStr">
        <is>
          <t>MADAME GIE You Peel Me Peeling Gel With Blueberry, Pomegranate And Starfruit 01 100gr</t>
        </is>
      </c>
      <c r="D2956" t="inlineStr">
        <is>
          <t>Miss Glam Damar</t>
        </is>
      </c>
      <c r="E2956" t="n">
        <v>15</v>
      </c>
      <c r="F2956" t="n">
        <v>0.4277</v>
      </c>
      <c r="G2956" t="n">
        <v>3.64</v>
      </c>
      <c r="H2956" t="n">
        <v>1</v>
      </c>
      <c r="I2956" t="n">
        <v>5</v>
      </c>
      <c r="J2956" t="n">
        <v>3</v>
      </c>
      <c r="K2956" t="n">
        <v>0</v>
      </c>
      <c r="L2956" t="n">
        <v>14534</v>
      </c>
      <c r="M2956" t="n">
        <v>18500</v>
      </c>
      <c r="N2956" t="n">
        <v>91</v>
      </c>
      <c r="O2956" t="n">
        <v>0.91</v>
      </c>
      <c r="P2956" t="n">
        <v>1</v>
      </c>
      <c r="Q2956" t="n">
        <v>0.31</v>
      </c>
      <c r="R2956" t="n">
        <v>3</v>
      </c>
      <c r="S2956" t="n">
        <v>7912.45</v>
      </c>
      <c r="T2956" t="n">
        <v>18</v>
      </c>
      <c r="U2956" t="n">
        <v>19</v>
      </c>
      <c r="V2956" t="n">
        <v>30</v>
      </c>
      <c r="W2956" t="n">
        <v>13</v>
      </c>
      <c r="X2956" t="n">
        <v>35.07131166705635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10677</v>
      </c>
      <c r="AG2956" t="n">
        <v>2378</v>
      </c>
      <c r="AH2956" t="inlineStr">
        <is>
          <t>PT. KURNIA MAJU PERKASA - PPN (PDG)</t>
        </is>
      </c>
      <c r="AI2956" t="n">
        <v>101</v>
      </c>
      <c r="AJ2956" t="inlineStr">
        <is>
          <t>MADAME GIE</t>
        </is>
      </c>
      <c r="AK2956" t="n">
        <v>21</v>
      </c>
      <c r="AL2956" t="inlineStr">
        <is>
          <t>Miss Glam Damar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MADAME GIE</t>
        </is>
      </c>
      <c r="B2957" s="2">
        <f>"8997230678043"</f>
        <v/>
      </c>
      <c r="C2957" t="inlineStr">
        <is>
          <t>MADAME GIE You Peel Me Peeling Gel With Honey, Lemon And Edelweiss 02 100gr</t>
        </is>
      </c>
      <c r="D2957" t="inlineStr">
        <is>
          <t>Miss Glam Damar</t>
        </is>
      </c>
      <c r="E2957" t="n">
        <v>2</v>
      </c>
      <c r="F2957" t="n">
        <v>0.09100000000000001</v>
      </c>
      <c r="G2957" t="n">
        <v>1.82</v>
      </c>
      <c r="H2957" t="n">
        <v>1</v>
      </c>
      <c r="I2957" t="n">
        <v>5</v>
      </c>
      <c r="J2957" t="n">
        <v>3</v>
      </c>
      <c r="K2957" t="n">
        <v>0</v>
      </c>
      <c r="L2957" t="n">
        <v>14534</v>
      </c>
      <c r="M2957" t="n">
        <v>18500</v>
      </c>
      <c r="N2957" t="n">
        <v>91</v>
      </c>
      <c r="O2957" t="n">
        <v>0.91</v>
      </c>
      <c r="P2957" t="n">
        <v>1</v>
      </c>
      <c r="Q2957" t="n">
        <v>0.17</v>
      </c>
      <c r="R2957" t="n">
        <v>2</v>
      </c>
      <c r="S2957" t="n">
        <v>1683.5</v>
      </c>
      <c r="T2957" t="n">
        <v>10</v>
      </c>
      <c r="U2957" t="n">
        <v>11</v>
      </c>
      <c r="V2957" t="n">
        <v>30</v>
      </c>
      <c r="W2957" t="n">
        <v>3</v>
      </c>
      <c r="X2957" t="n">
        <v>21.97802197802197</v>
      </c>
      <c r="Y2957" t="n">
        <v>1</v>
      </c>
      <c r="Z2957" t="n">
        <v>1</v>
      </c>
      <c r="AA2957" t="n">
        <v>0</v>
      </c>
      <c r="AB2957" t="n">
        <v>1</v>
      </c>
      <c r="AC2957" t="n">
        <v>3</v>
      </c>
      <c r="AD2957" t="n">
        <v>0</v>
      </c>
      <c r="AE2957" t="n">
        <v>43602</v>
      </c>
      <c r="AF2957" t="n">
        <v>10677</v>
      </c>
      <c r="AG2957" t="n">
        <v>2378</v>
      </c>
      <c r="AH2957" t="inlineStr">
        <is>
          <t>PT. KURNIA MAJU PERKASA - PPN (PDG)</t>
        </is>
      </c>
      <c r="AI2957" t="n">
        <v>101</v>
      </c>
      <c r="AJ2957" t="inlineStr">
        <is>
          <t>MADAME GIE</t>
        </is>
      </c>
      <c r="AK2957" t="n">
        <v>21</v>
      </c>
      <c r="AL2957" t="inlineStr">
        <is>
          <t>Miss Glam Damar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MAKARIZO</t>
        </is>
      </c>
      <c r="B2958" s="2">
        <f>"800142384118"</f>
        <v/>
      </c>
      <c r="C2958" t="inlineStr">
        <is>
          <t>MAKARIZO  Hair Energy Creambath Kiwi 60ml</t>
        </is>
      </c>
      <c r="D2958" t="inlineStr">
        <is>
          <t>Miss Glam Damar</t>
        </is>
      </c>
      <c r="E2958" t="n">
        <v>31</v>
      </c>
      <c r="F2958" t="n">
        <v>1.0829</v>
      </c>
      <c r="G2958" t="n">
        <v>5.46</v>
      </c>
      <c r="H2958" t="n">
        <v>6</v>
      </c>
      <c r="I2958" t="n">
        <v>11</v>
      </c>
      <c r="J2958" t="n">
        <v>3</v>
      </c>
      <c r="K2958" t="n">
        <v>0</v>
      </c>
      <c r="L2958" t="n">
        <v>11639</v>
      </c>
      <c r="M2958" t="n">
        <v>14200</v>
      </c>
      <c r="N2958" t="n">
        <v>91</v>
      </c>
      <c r="O2958" t="n">
        <v>0.91</v>
      </c>
      <c r="P2958" t="n">
        <v>1</v>
      </c>
      <c r="Q2958" t="n">
        <v>1.03</v>
      </c>
      <c r="R2958" t="n">
        <v>5</v>
      </c>
      <c r="S2958" t="n">
        <v>15377.18</v>
      </c>
      <c r="T2958" t="n">
        <v>54</v>
      </c>
      <c r="U2958" t="n">
        <v>61</v>
      </c>
      <c r="V2958" t="n">
        <v>30</v>
      </c>
      <c r="W2958" t="n">
        <v>33</v>
      </c>
      <c r="X2958" t="n">
        <v>28.62683534952443</v>
      </c>
      <c r="Y2958" t="n">
        <v>1</v>
      </c>
      <c r="Z2958" t="n">
        <v>2</v>
      </c>
      <c r="AA2958" t="n">
        <v>0</v>
      </c>
      <c r="AB2958" t="n">
        <v>2</v>
      </c>
      <c r="AC2958" t="n">
        <v>3</v>
      </c>
      <c r="AD2958" t="n">
        <v>0</v>
      </c>
      <c r="AE2958" t="n">
        <v>34917</v>
      </c>
      <c r="AF2958" t="n">
        <v>2301</v>
      </c>
      <c r="AG2958" t="n">
        <v>2034</v>
      </c>
      <c r="AH2958" t="inlineStr">
        <is>
          <t>PT. AKASHA WIRA INTERNATIONAL TBK  - PPN (PKU)</t>
        </is>
      </c>
      <c r="AI2958" t="n">
        <v>102</v>
      </c>
      <c r="AJ2958" t="inlineStr">
        <is>
          <t>MAKARIZO</t>
        </is>
      </c>
      <c r="AK2958" t="n">
        <v>21</v>
      </c>
      <c r="AL2958" t="inlineStr">
        <is>
          <t>Miss Glam Damar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MAKARIZO</t>
        </is>
      </c>
      <c r="B2959" s="2">
        <f>"800142384262"</f>
        <v/>
      </c>
      <c r="C2959" t="inlineStr">
        <is>
          <t>MAKARIZO  Hair Energy Creambath Royal 30ml</t>
        </is>
      </c>
      <c r="D2959" t="inlineStr">
        <is>
          <t>Miss Glam Damar</t>
        </is>
      </c>
      <c r="E2959" t="n">
        <v>98</v>
      </c>
      <c r="F2959" t="n">
        <v>5.678400000000001</v>
      </c>
      <c r="G2959" t="n">
        <v>13.65</v>
      </c>
      <c r="H2959" t="n">
        <v>6</v>
      </c>
      <c r="I2959" t="n">
        <v>11</v>
      </c>
      <c r="J2959" t="n">
        <v>3</v>
      </c>
      <c r="K2959" t="n">
        <v>0</v>
      </c>
      <c r="L2959" t="n">
        <v>6207</v>
      </c>
      <c r="M2959" t="n">
        <v>7600</v>
      </c>
      <c r="N2959" t="n">
        <v>91</v>
      </c>
      <c r="O2959" t="n">
        <v>0.91</v>
      </c>
      <c r="P2959" t="n">
        <v>1</v>
      </c>
      <c r="Q2959" t="n">
        <v>3.34</v>
      </c>
      <c r="R2959" t="n">
        <v>11</v>
      </c>
      <c r="S2959" t="n">
        <v>43155.84</v>
      </c>
      <c r="T2959" t="n">
        <v>117</v>
      </c>
      <c r="U2959" t="n">
        <v>152</v>
      </c>
      <c r="V2959" t="n">
        <v>30</v>
      </c>
      <c r="W2959" t="n">
        <v>171</v>
      </c>
      <c r="X2959" t="n">
        <v>17.25838264299803</v>
      </c>
      <c r="Y2959" t="n">
        <v>1</v>
      </c>
      <c r="Z2959" t="n">
        <v>73</v>
      </c>
      <c r="AA2959" t="n">
        <v>0</v>
      </c>
      <c r="AB2959" t="n">
        <v>73</v>
      </c>
      <c r="AC2959" t="n">
        <v>73</v>
      </c>
      <c r="AD2959" t="n">
        <v>0</v>
      </c>
      <c r="AE2959" t="n">
        <v>453111</v>
      </c>
      <c r="AF2959" t="n">
        <v>2301</v>
      </c>
      <c r="AG2959" t="n">
        <v>2034</v>
      </c>
      <c r="AH2959" t="inlineStr">
        <is>
          <t>PT. AKASHA WIRA INTERNATIONAL TBK  - PPN (PKU)</t>
        </is>
      </c>
      <c r="AI2959" t="n">
        <v>102</v>
      </c>
      <c r="AJ2959" t="inlineStr">
        <is>
          <t>MAKARIZO</t>
        </is>
      </c>
      <c r="AK2959" t="n">
        <v>21</v>
      </c>
      <c r="AL2959" t="inlineStr">
        <is>
          <t>Miss Glam Damar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MAKARIZO</t>
        </is>
      </c>
      <c r="B2960" s="2">
        <f>"40200307241"</f>
        <v/>
      </c>
      <c r="C2960" t="inlineStr">
        <is>
          <t>MAKARIZO  T1 Techno Nature Protein Cream with Rosemary Oil Jar 50ml</t>
        </is>
      </c>
      <c r="D2960" t="inlineStr">
        <is>
          <t>Miss Glam Damar</t>
        </is>
      </c>
      <c r="E2960" t="n">
        <v>8</v>
      </c>
      <c r="F2960" t="n">
        <v>0.5824</v>
      </c>
      <c r="G2960" t="n">
        <v>3.64</v>
      </c>
      <c r="H2960" t="n">
        <v>6</v>
      </c>
      <c r="I2960" t="n">
        <v>11</v>
      </c>
      <c r="J2960" t="n">
        <v>1</v>
      </c>
      <c r="K2960" t="n">
        <v>0</v>
      </c>
      <c r="L2960" t="n">
        <v>69839</v>
      </c>
      <c r="M2960" t="n">
        <v>85500</v>
      </c>
      <c r="N2960" t="n">
        <v>91</v>
      </c>
      <c r="O2960" t="n">
        <v>0.91</v>
      </c>
      <c r="P2960" t="n">
        <v>1</v>
      </c>
      <c r="Q2960" t="n">
        <v>0.53</v>
      </c>
      <c r="R2960" t="n">
        <v>3</v>
      </c>
      <c r="S2960" t="n">
        <v>49795.2</v>
      </c>
      <c r="T2960" t="n">
        <v>37</v>
      </c>
      <c r="U2960" t="n">
        <v>41</v>
      </c>
      <c r="V2960" t="n">
        <v>30</v>
      </c>
      <c r="W2960" t="n">
        <v>18</v>
      </c>
      <c r="X2960" t="n">
        <v>13.73626373626374</v>
      </c>
      <c r="Y2960" t="n">
        <v>1</v>
      </c>
      <c r="Z2960" t="n">
        <v>10</v>
      </c>
      <c r="AA2960" t="n">
        <v>0</v>
      </c>
      <c r="AB2960" t="n">
        <v>10</v>
      </c>
      <c r="AC2960" t="n">
        <v>10</v>
      </c>
      <c r="AD2960" t="n">
        <v>0</v>
      </c>
      <c r="AE2960" t="n">
        <v>698390</v>
      </c>
      <c r="AF2960" t="n">
        <v>2301</v>
      </c>
      <c r="AG2960" t="n">
        <v>2034</v>
      </c>
      <c r="AH2960" t="inlineStr">
        <is>
          <t>PT. AKASHA WIRA INTERNATIONAL TBK  - PPN (PKU)</t>
        </is>
      </c>
      <c r="AI2960" t="n">
        <v>102</v>
      </c>
      <c r="AJ2960" t="inlineStr">
        <is>
          <t>MAKARIZO</t>
        </is>
      </c>
      <c r="AK2960" t="n">
        <v>21</v>
      </c>
      <c r="AL2960" t="inlineStr">
        <is>
          <t>Miss Glam Damar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MAKARIZO</t>
        </is>
      </c>
      <c r="B2961" s="2">
        <f>"800142202016"</f>
        <v/>
      </c>
      <c r="C2961" t="inlineStr">
        <is>
          <t>MAKARIZO Advisor Anti Frizzu 240ml</t>
        </is>
      </c>
      <c r="D2961" t="inlineStr">
        <is>
          <t>Miss Glam Damar</t>
        </is>
      </c>
      <c r="E2961" t="n">
        <v>8</v>
      </c>
      <c r="F2961" t="n">
        <v>0.0728</v>
      </c>
      <c r="G2961" t="n">
        <v>0.91</v>
      </c>
      <c r="H2961" t="n">
        <v>6</v>
      </c>
      <c r="I2961" t="n">
        <v>11</v>
      </c>
      <c r="J2961" t="n">
        <v>3</v>
      </c>
      <c r="K2961" t="n">
        <v>0</v>
      </c>
      <c r="L2961" t="n">
        <v>73816</v>
      </c>
      <c r="M2961" t="n">
        <v>90000</v>
      </c>
      <c r="N2961" t="n">
        <v>91</v>
      </c>
      <c r="O2961" t="n">
        <v>0.91</v>
      </c>
      <c r="P2961" t="n">
        <v>1</v>
      </c>
      <c r="Q2961" t="n">
        <v>0.14</v>
      </c>
      <c r="R2961" t="n">
        <v>1</v>
      </c>
      <c r="S2961" t="n">
        <v>6552</v>
      </c>
      <c r="T2961" t="n">
        <v>10</v>
      </c>
      <c r="U2961" t="n">
        <v>11</v>
      </c>
      <c r="V2961" t="n">
        <v>30</v>
      </c>
      <c r="W2961" t="n">
        <v>3</v>
      </c>
      <c r="X2961" t="n">
        <v>109.8901098901099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2301</v>
      </c>
      <c r="AG2961" t="n">
        <v>2034</v>
      </c>
      <c r="AH2961" t="inlineStr">
        <is>
          <t>PT. AKASHA WIRA INTERNATIONAL TBK  - PPN (PKU)</t>
        </is>
      </c>
      <c r="AI2961" t="n">
        <v>102</v>
      </c>
      <c r="AJ2961" t="inlineStr">
        <is>
          <t>MAKARIZO</t>
        </is>
      </c>
      <c r="AK2961" t="n">
        <v>21</v>
      </c>
      <c r="AL2961" t="inlineStr">
        <is>
          <t>Miss Glam Damar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MAKARIZO</t>
        </is>
      </c>
      <c r="B2962" s="2">
        <f>"800142333031"</f>
        <v/>
      </c>
      <c r="C2962" t="inlineStr">
        <is>
          <t>MAKARIZO Advisor AntiFrizz Spray 70ml</t>
        </is>
      </c>
      <c r="D2962" t="inlineStr">
        <is>
          <t>Miss Glam Damar</t>
        </is>
      </c>
      <c r="E2962" t="n">
        <v>15</v>
      </c>
      <c r="F2962" t="n">
        <v>0.3731</v>
      </c>
      <c r="G2962" t="n">
        <v>1.82</v>
      </c>
      <c r="H2962" t="n">
        <v>6</v>
      </c>
      <c r="I2962" t="n">
        <v>11</v>
      </c>
      <c r="J2962" t="n">
        <v>3</v>
      </c>
      <c r="K2962" t="n">
        <v>0</v>
      </c>
      <c r="L2962" t="n">
        <v>29585</v>
      </c>
      <c r="M2962" t="n">
        <v>36100</v>
      </c>
      <c r="N2962" t="n">
        <v>91</v>
      </c>
      <c r="O2962" t="n">
        <v>0.91</v>
      </c>
      <c r="P2962" t="n">
        <v>1</v>
      </c>
      <c r="Q2962" t="n">
        <v>0.31</v>
      </c>
      <c r="R2962" t="n">
        <v>2</v>
      </c>
      <c r="S2962" t="n">
        <v>13468.91</v>
      </c>
      <c r="T2962" t="n">
        <v>18</v>
      </c>
      <c r="U2962" t="n">
        <v>21</v>
      </c>
      <c r="V2962" t="n">
        <v>30</v>
      </c>
      <c r="W2962" t="n">
        <v>12</v>
      </c>
      <c r="X2962" t="n">
        <v>40.20369874028411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2301</v>
      </c>
      <c r="AG2962" t="n">
        <v>2034</v>
      </c>
      <c r="AH2962" t="inlineStr">
        <is>
          <t>PT. AKASHA WIRA INTERNATIONAL TBK  - PPN (PKU)</t>
        </is>
      </c>
      <c r="AI2962" t="n">
        <v>102</v>
      </c>
      <c r="AJ2962" t="inlineStr">
        <is>
          <t>MAKARIZO</t>
        </is>
      </c>
      <c r="AK2962" t="n">
        <v>21</v>
      </c>
      <c r="AL2962" t="inlineStr">
        <is>
          <t>Miss Glam Damar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MAKARIZO</t>
        </is>
      </c>
      <c r="B2963" s="2">
        <f>"40100151920"</f>
        <v/>
      </c>
      <c r="C2963" t="inlineStr">
        <is>
          <t>MAKARIZO Advisor Dual Defence Shampoo Bottle 200ml</t>
        </is>
      </c>
      <c r="D2963" t="inlineStr">
        <is>
          <t>Miss Glam Damar</t>
        </is>
      </c>
      <c r="E2963" t="n">
        <v>6</v>
      </c>
      <c r="F2963" t="n">
        <v>0.7371000000000001</v>
      </c>
      <c r="G2963" t="n">
        <v>3.64</v>
      </c>
      <c r="H2963" t="n">
        <v>6</v>
      </c>
      <c r="I2963" t="n">
        <v>11</v>
      </c>
      <c r="J2963" t="n">
        <v>1</v>
      </c>
      <c r="K2963" t="n">
        <v>0</v>
      </c>
      <c r="L2963" t="n">
        <v>72749</v>
      </c>
      <c r="M2963" t="n">
        <v>86000</v>
      </c>
      <c r="N2963" t="n">
        <v>91</v>
      </c>
      <c r="O2963" t="n">
        <v>0.91</v>
      </c>
      <c r="P2963" t="n">
        <v>1</v>
      </c>
      <c r="Q2963" t="n">
        <v>0.5600000000000001</v>
      </c>
      <c r="R2963" t="n">
        <v>3</v>
      </c>
      <c r="S2963" t="n">
        <v>63390.60000000001</v>
      </c>
      <c r="T2963" t="n">
        <v>36</v>
      </c>
      <c r="U2963" t="n">
        <v>41</v>
      </c>
      <c r="V2963" t="n">
        <v>30</v>
      </c>
      <c r="W2963" t="n">
        <v>23</v>
      </c>
      <c r="X2963" t="n">
        <v>8.140008140008138</v>
      </c>
      <c r="Y2963" t="n">
        <v>1</v>
      </c>
      <c r="Z2963" t="n">
        <v>17</v>
      </c>
      <c r="AA2963" t="n">
        <v>3</v>
      </c>
      <c r="AB2963" t="n">
        <v>14</v>
      </c>
      <c r="AC2963" t="n">
        <v>14</v>
      </c>
      <c r="AD2963" t="n">
        <v>218247</v>
      </c>
      <c r="AE2963" t="n">
        <v>1018486</v>
      </c>
      <c r="AF2963" t="n">
        <v>2301</v>
      </c>
      <c r="AG2963" t="n">
        <v>2034</v>
      </c>
      <c r="AH2963" t="inlineStr">
        <is>
          <t>PT. AKASHA WIRA INTERNATIONAL TBK  - PPN (PKU)</t>
        </is>
      </c>
      <c r="AI2963" t="n">
        <v>102</v>
      </c>
      <c r="AJ2963" t="inlineStr">
        <is>
          <t>MAKARIZO</t>
        </is>
      </c>
      <c r="AK2963" t="n">
        <v>21</v>
      </c>
      <c r="AL2963" t="inlineStr">
        <is>
          <t>Miss Glam Damar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MAKARIZO</t>
        </is>
      </c>
      <c r="B2964" s="2">
        <f>"800142202085"</f>
        <v/>
      </c>
      <c r="C2964" t="inlineStr">
        <is>
          <t>MAKARIZO Advisor Hair Recovery Vitamax 50ml</t>
        </is>
      </c>
      <c r="D2964" t="inlineStr">
        <is>
          <t>Miss Glam Damar</t>
        </is>
      </c>
      <c r="E2964" t="n">
        <v>9</v>
      </c>
      <c r="F2964" t="n">
        <v>1.8928</v>
      </c>
      <c r="G2964" t="n">
        <v>7.28</v>
      </c>
      <c r="H2964" t="n">
        <v>6</v>
      </c>
      <c r="I2964" t="n">
        <v>11</v>
      </c>
      <c r="J2964" t="n">
        <v>3</v>
      </c>
      <c r="K2964" t="n">
        <v>0</v>
      </c>
      <c r="L2964" t="n">
        <v>40352</v>
      </c>
      <c r="M2964" t="n">
        <v>49300</v>
      </c>
      <c r="N2964" t="n">
        <v>91</v>
      </c>
      <c r="O2964" t="n">
        <v>0.91</v>
      </c>
      <c r="P2964" t="n">
        <v>1</v>
      </c>
      <c r="Q2964" t="n">
        <v>1.46</v>
      </c>
      <c r="R2964" t="n">
        <v>6</v>
      </c>
      <c r="S2964" t="n">
        <v>93315.04000000001</v>
      </c>
      <c r="T2964" t="n">
        <v>69</v>
      </c>
      <c r="U2964" t="n">
        <v>81</v>
      </c>
      <c r="V2964" t="n">
        <v>30</v>
      </c>
      <c r="W2964" t="n">
        <v>57</v>
      </c>
      <c r="X2964" t="n">
        <v>4.754860524091293</v>
      </c>
      <c r="Y2964" t="n">
        <v>1</v>
      </c>
      <c r="Z2964" t="n">
        <v>48</v>
      </c>
      <c r="AA2964" t="n">
        <v>12</v>
      </c>
      <c r="AB2964" t="n">
        <v>36</v>
      </c>
      <c r="AC2964" t="n">
        <v>36</v>
      </c>
      <c r="AD2964" t="n">
        <v>484224</v>
      </c>
      <c r="AE2964" t="n">
        <v>1452672</v>
      </c>
      <c r="AF2964" t="n">
        <v>2301</v>
      </c>
      <c r="AG2964" t="n">
        <v>2034</v>
      </c>
      <c r="AH2964" t="inlineStr">
        <is>
          <t>PT. AKASHA WIRA INTERNATIONAL TBK  - PPN (PKU)</t>
        </is>
      </c>
      <c r="AI2964" t="n">
        <v>102</v>
      </c>
      <c r="AJ2964" t="inlineStr">
        <is>
          <t>MAKARIZO</t>
        </is>
      </c>
      <c r="AK2964" t="n">
        <v>21</v>
      </c>
      <c r="AL2964" t="inlineStr">
        <is>
          <t>Miss Glam Damar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MAKARIZO</t>
        </is>
      </c>
      <c r="B2965" s="2">
        <f>"800142106031"</f>
        <v/>
      </c>
      <c r="C2965" t="inlineStr">
        <is>
          <t>MAKARIZO Advisor Hair Recovery Vitamax 8ml</t>
        </is>
      </c>
      <c r="D2965" t="inlineStr">
        <is>
          <t>Miss Glam Damar</t>
        </is>
      </c>
      <c r="E2965" t="n">
        <v>62</v>
      </c>
      <c r="F2965" t="n">
        <v>3.9767</v>
      </c>
      <c r="G2965" t="n">
        <v>10.01</v>
      </c>
      <c r="H2965" t="n">
        <v>6</v>
      </c>
      <c r="I2965" t="n">
        <v>11</v>
      </c>
      <c r="J2965" t="n">
        <v>3</v>
      </c>
      <c r="K2965" t="n">
        <v>0</v>
      </c>
      <c r="L2965" t="n">
        <v>7456</v>
      </c>
      <c r="M2965" t="n">
        <v>9400</v>
      </c>
      <c r="N2965" t="n">
        <v>91</v>
      </c>
      <c r="O2965" t="n">
        <v>0.91</v>
      </c>
      <c r="P2965" t="n">
        <v>1</v>
      </c>
      <c r="Q2965" t="n">
        <v>3.42</v>
      </c>
      <c r="R2965" t="n">
        <v>8</v>
      </c>
      <c r="S2965" t="n">
        <v>37380.98</v>
      </c>
      <c r="T2965" t="n">
        <v>87</v>
      </c>
      <c r="U2965" t="n">
        <v>111</v>
      </c>
      <c r="V2965" t="n">
        <v>30</v>
      </c>
      <c r="W2965" t="n">
        <v>120</v>
      </c>
      <c r="X2965" t="n">
        <v>15.59081650614831</v>
      </c>
      <c r="Y2965" t="n">
        <v>1</v>
      </c>
      <c r="Z2965" t="n">
        <v>58</v>
      </c>
      <c r="AA2965" t="n">
        <v>0</v>
      </c>
      <c r="AB2965" t="n">
        <v>58</v>
      </c>
      <c r="AC2965" t="n">
        <v>58</v>
      </c>
      <c r="AD2965" t="n">
        <v>0</v>
      </c>
      <c r="AE2965" t="n">
        <v>432448</v>
      </c>
      <c r="AF2965" t="n">
        <v>2301</v>
      </c>
      <c r="AG2965" t="n">
        <v>2034</v>
      </c>
      <c r="AH2965" t="inlineStr">
        <is>
          <t>PT. AKASHA WIRA INTERNATIONAL TBK  - PPN (PKU)</t>
        </is>
      </c>
      <c r="AI2965" t="n">
        <v>102</v>
      </c>
      <c r="AJ2965" t="inlineStr">
        <is>
          <t>MAKARIZO</t>
        </is>
      </c>
      <c r="AK2965" t="n">
        <v>21</v>
      </c>
      <c r="AL2965" t="inlineStr">
        <is>
          <t>Miss Glam Damar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MAKARIZO</t>
        </is>
      </c>
      <c r="B2966" s="2">
        <f>"800142202115"</f>
        <v/>
      </c>
      <c r="C2966" t="inlineStr">
        <is>
          <t>MAKARIZO Advisor Hair Recovery Vitamax Isi 3 Pcs @ 8Ml</t>
        </is>
      </c>
      <c r="D2966" t="inlineStr">
        <is>
          <t>Miss Glam Damar</t>
        </is>
      </c>
      <c r="E2966" t="n">
        <v>12</v>
      </c>
      <c r="F2966" t="n">
        <v>0.6006</v>
      </c>
      <c r="G2966" t="n">
        <v>2.73</v>
      </c>
      <c r="H2966" t="n">
        <v>6</v>
      </c>
      <c r="I2966" t="n">
        <v>11</v>
      </c>
      <c r="J2966" t="n">
        <v>3</v>
      </c>
      <c r="K2966" t="n">
        <v>0</v>
      </c>
      <c r="L2966" t="n">
        <v>25026</v>
      </c>
      <c r="M2966" t="n">
        <v>30600</v>
      </c>
      <c r="N2966" t="n">
        <v>91</v>
      </c>
      <c r="O2966" t="n">
        <v>0.91</v>
      </c>
      <c r="P2966" t="n">
        <v>1</v>
      </c>
      <c r="Q2966" t="n">
        <v>0.49</v>
      </c>
      <c r="R2966" t="n">
        <v>4</v>
      </c>
      <c r="S2966" t="n">
        <v>18378.36</v>
      </c>
      <c r="T2966" t="n">
        <v>27</v>
      </c>
      <c r="U2966" t="n">
        <v>31</v>
      </c>
      <c r="V2966" t="n">
        <v>30</v>
      </c>
      <c r="W2966" t="n">
        <v>19</v>
      </c>
      <c r="X2966" t="n">
        <v>19.98001998001998</v>
      </c>
      <c r="Y2966" t="n">
        <v>1</v>
      </c>
      <c r="Z2966" t="n">
        <v>7</v>
      </c>
      <c r="AA2966" t="n">
        <v>0</v>
      </c>
      <c r="AB2966" t="n">
        <v>7</v>
      </c>
      <c r="AC2966" t="n">
        <v>7</v>
      </c>
      <c r="AD2966" t="n">
        <v>0</v>
      </c>
      <c r="AE2966" t="n">
        <v>175182</v>
      </c>
      <c r="AF2966" t="n">
        <v>2301</v>
      </c>
      <c r="AG2966" t="n">
        <v>2034</v>
      </c>
      <c r="AH2966" t="inlineStr">
        <is>
          <t>PT. AKASHA WIRA INTERNATIONAL TBK  - PPN (PKU)</t>
        </is>
      </c>
      <c r="AI2966" t="n">
        <v>102</v>
      </c>
      <c r="AJ2966" t="inlineStr">
        <is>
          <t>MAKARIZO</t>
        </is>
      </c>
      <c r="AK2966" t="n">
        <v>21</v>
      </c>
      <c r="AL2966" t="inlineStr">
        <is>
          <t>Miss Glam Damar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MAKARIZO</t>
        </is>
      </c>
      <c r="B2967" s="2">
        <f>"800142386099"</f>
        <v/>
      </c>
      <c r="C2967" t="inlineStr">
        <is>
          <t>MAKARIZO Advisor Hair Scalp 150ml</t>
        </is>
      </c>
      <c r="D2967" t="inlineStr">
        <is>
          <t>Miss Glam Damar</t>
        </is>
      </c>
      <c r="E2967" t="n">
        <v>28</v>
      </c>
      <c r="F2967" t="n">
        <v>0.4823000000000001</v>
      </c>
      <c r="G2967" t="n">
        <v>1.82</v>
      </c>
      <c r="H2967" t="n">
        <v>6</v>
      </c>
      <c r="I2967" t="n">
        <v>11</v>
      </c>
      <c r="J2967" t="n">
        <v>3</v>
      </c>
      <c r="K2967" t="n">
        <v>0</v>
      </c>
      <c r="L2967" t="n">
        <v>49372</v>
      </c>
      <c r="M2967" t="n">
        <v>60000</v>
      </c>
      <c r="N2967" t="n">
        <v>91</v>
      </c>
      <c r="O2967" t="n">
        <v>0.91</v>
      </c>
      <c r="P2967" t="n">
        <v>1</v>
      </c>
      <c r="Q2967" t="n">
        <v>0.63</v>
      </c>
      <c r="R2967" t="n">
        <v>3</v>
      </c>
      <c r="S2967" t="n">
        <v>28938</v>
      </c>
      <c r="T2967" t="n">
        <v>18</v>
      </c>
      <c r="U2967" t="n">
        <v>21</v>
      </c>
      <c r="V2967" t="n">
        <v>30</v>
      </c>
      <c r="W2967" t="n">
        <v>15</v>
      </c>
      <c r="X2967" t="n">
        <v>58.05515239477503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2301</v>
      </c>
      <c r="AG2967" t="n">
        <v>2034</v>
      </c>
      <c r="AH2967" t="inlineStr">
        <is>
          <t>PT. AKASHA WIRA INTERNATIONAL TBK  - PPN (PKU)</t>
        </is>
      </c>
      <c r="AI2967" t="n">
        <v>102</v>
      </c>
      <c r="AJ2967" t="inlineStr">
        <is>
          <t>MAKARIZO</t>
        </is>
      </c>
      <c r="AK2967" t="n">
        <v>21</v>
      </c>
      <c r="AL2967" t="inlineStr">
        <is>
          <t>Miss Glam Damar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MAKARIZO</t>
        </is>
      </c>
      <c r="B2968" s="2">
        <f>"800142384651"</f>
        <v/>
      </c>
      <c r="C2968" t="inlineStr">
        <is>
          <t>MAKARIZO Energy Olive Oil Creambath 30ml</t>
        </is>
      </c>
      <c r="D2968" t="inlineStr">
        <is>
          <t>Miss Glam Damar</t>
        </is>
      </c>
      <c r="E2968" t="n">
        <v>36</v>
      </c>
      <c r="F2968" t="n">
        <v>1.911</v>
      </c>
      <c r="G2968" t="n">
        <v>6.37</v>
      </c>
      <c r="H2968" t="n">
        <v>6</v>
      </c>
      <c r="I2968" t="n">
        <v>11</v>
      </c>
      <c r="J2968" t="n">
        <v>3</v>
      </c>
      <c r="K2968" t="n">
        <v>0</v>
      </c>
      <c r="L2968" t="n">
        <v>6207</v>
      </c>
      <c r="M2968" t="n">
        <v>7600</v>
      </c>
      <c r="N2968" t="n">
        <v>91</v>
      </c>
      <c r="O2968" t="n">
        <v>0.91</v>
      </c>
      <c r="P2968" t="n">
        <v>1</v>
      </c>
      <c r="Q2968" t="n">
        <v>1.24</v>
      </c>
      <c r="R2968" t="n">
        <v>4</v>
      </c>
      <c r="S2968" t="n">
        <v>14523.6</v>
      </c>
      <c r="T2968" t="n">
        <v>59</v>
      </c>
      <c r="U2968" t="n">
        <v>71</v>
      </c>
      <c r="V2968" t="n">
        <v>30</v>
      </c>
      <c r="W2968" t="n">
        <v>58</v>
      </c>
      <c r="X2968" t="n">
        <v>18.83830455259027</v>
      </c>
      <c r="Y2968" t="n">
        <v>1</v>
      </c>
      <c r="Z2968" t="n">
        <v>22</v>
      </c>
      <c r="AA2968" t="n">
        <v>0</v>
      </c>
      <c r="AB2968" t="n">
        <v>22</v>
      </c>
      <c r="AC2968" t="n">
        <v>22</v>
      </c>
      <c r="AD2968" t="n">
        <v>0</v>
      </c>
      <c r="AE2968" t="n">
        <v>136554</v>
      </c>
      <c r="AF2968" t="n">
        <v>2301</v>
      </c>
      <c r="AG2968" t="n">
        <v>2034</v>
      </c>
      <c r="AH2968" t="inlineStr">
        <is>
          <t>PT. AKASHA WIRA INTERNATIONAL TBK  - PPN (PKU)</t>
        </is>
      </c>
      <c r="AI2968" t="n">
        <v>102</v>
      </c>
      <c r="AJ2968" t="inlineStr">
        <is>
          <t>MAKARIZO</t>
        </is>
      </c>
      <c r="AK2968" t="n">
        <v>21</v>
      </c>
      <c r="AL2968" t="inlineStr">
        <is>
          <t>Miss Glam Damar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MAKARIZO</t>
        </is>
      </c>
      <c r="B2969" s="2">
        <f>"800142384408"</f>
        <v/>
      </c>
      <c r="C2969" t="inlineStr">
        <is>
          <t>MAKARIZO Hair Energy Cherry 100ml</t>
        </is>
      </c>
      <c r="D2969" t="inlineStr">
        <is>
          <t>Miss Glam Damar</t>
        </is>
      </c>
      <c r="E2969" t="n">
        <v>18</v>
      </c>
      <c r="F2969" t="n">
        <v>2.2386</v>
      </c>
      <c r="G2969" t="n">
        <v>7.28</v>
      </c>
      <c r="H2969" t="n">
        <v>6</v>
      </c>
      <c r="I2969" t="n">
        <v>11</v>
      </c>
      <c r="J2969" t="n">
        <v>3</v>
      </c>
      <c r="K2969" t="n">
        <v>0</v>
      </c>
      <c r="L2969" t="n">
        <v>22407</v>
      </c>
      <c r="M2969" t="n">
        <v>27500</v>
      </c>
      <c r="N2969" t="n">
        <v>91</v>
      </c>
      <c r="O2969" t="n">
        <v>0.91</v>
      </c>
      <c r="P2969" t="n">
        <v>1</v>
      </c>
      <c r="Q2969" t="n">
        <v>1.31</v>
      </c>
      <c r="R2969" t="n">
        <v>5</v>
      </c>
      <c r="S2969" t="n">
        <v>61561.5</v>
      </c>
      <c r="T2969" t="n">
        <v>67</v>
      </c>
      <c r="U2969" t="n">
        <v>81</v>
      </c>
      <c r="V2969" t="n">
        <v>30</v>
      </c>
      <c r="W2969" t="n">
        <v>68</v>
      </c>
      <c r="X2969" t="n">
        <v>8.040739748056822</v>
      </c>
      <c r="Y2969" t="n">
        <v>1</v>
      </c>
      <c r="Z2969" t="n">
        <v>50</v>
      </c>
      <c r="AA2969" t="n">
        <v>7</v>
      </c>
      <c r="AB2969" t="n">
        <v>43</v>
      </c>
      <c r="AC2969" t="n">
        <v>43</v>
      </c>
      <c r="AD2969" t="n">
        <v>156849</v>
      </c>
      <c r="AE2969" t="n">
        <v>963501</v>
      </c>
      <c r="AF2969" t="n">
        <v>2301</v>
      </c>
      <c r="AG2969" t="n">
        <v>2034</v>
      </c>
      <c r="AH2969" t="inlineStr">
        <is>
          <t>PT. AKASHA WIRA INTERNATIONAL TBK  - PPN (PKU)</t>
        </is>
      </c>
      <c r="AI2969" t="n">
        <v>102</v>
      </c>
      <c r="AJ2969" t="inlineStr">
        <is>
          <t>MAKARIZO</t>
        </is>
      </c>
      <c r="AK2969" t="n">
        <v>21</v>
      </c>
      <c r="AL2969" t="inlineStr">
        <is>
          <t>Miss Glam Damar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MAKARIZO</t>
        </is>
      </c>
      <c r="B2970" s="2">
        <f>"800142384248"</f>
        <v/>
      </c>
      <c r="C2970" t="inlineStr">
        <is>
          <t>MAKARIZO Hair Energy Creambath Aloe 30ml</t>
        </is>
      </c>
      <c r="D2970" t="inlineStr">
        <is>
          <t>Miss Glam Damar</t>
        </is>
      </c>
      <c r="E2970" t="n">
        <v>55</v>
      </c>
      <c r="F2970" t="n">
        <v>4.222399999999999</v>
      </c>
      <c r="G2970" t="n">
        <v>11.83</v>
      </c>
      <c r="H2970" t="n">
        <v>6</v>
      </c>
      <c r="I2970" t="n">
        <v>11</v>
      </c>
      <c r="J2970" t="n">
        <v>3</v>
      </c>
      <c r="K2970" t="n">
        <v>0</v>
      </c>
      <c r="L2970" t="n">
        <v>6208</v>
      </c>
      <c r="M2970" t="n">
        <v>7600</v>
      </c>
      <c r="N2970" t="n">
        <v>91</v>
      </c>
      <c r="O2970" t="n">
        <v>0.91</v>
      </c>
      <c r="P2970" t="n">
        <v>1</v>
      </c>
      <c r="Q2970" t="n">
        <v>3.02</v>
      </c>
      <c r="R2970" t="n">
        <v>12</v>
      </c>
      <c r="S2970" t="n">
        <v>32090.23999999999</v>
      </c>
      <c r="T2970" t="n">
        <v>105</v>
      </c>
      <c r="U2970" t="n">
        <v>131</v>
      </c>
      <c r="V2970" t="n">
        <v>30</v>
      </c>
      <c r="W2970" t="n">
        <v>127</v>
      </c>
      <c r="X2970" t="n">
        <v>13.02576733611217</v>
      </c>
      <c r="Y2970" t="n">
        <v>1</v>
      </c>
      <c r="Z2970" t="n">
        <v>72</v>
      </c>
      <c r="AA2970" t="n">
        <v>0</v>
      </c>
      <c r="AB2970" t="n">
        <v>72</v>
      </c>
      <c r="AC2970" t="n">
        <v>72</v>
      </c>
      <c r="AD2970" t="n">
        <v>0</v>
      </c>
      <c r="AE2970" t="n">
        <v>446976</v>
      </c>
      <c r="AF2970" t="n">
        <v>2301</v>
      </c>
      <c r="AG2970" t="n">
        <v>2034</v>
      </c>
      <c r="AH2970" t="inlineStr">
        <is>
          <t>PT. AKASHA WIRA INTERNATIONAL TBK  - PPN (PKU)</t>
        </is>
      </c>
      <c r="AI2970" t="n">
        <v>102</v>
      </c>
      <c r="AJ2970" t="inlineStr">
        <is>
          <t>MAKARIZO</t>
        </is>
      </c>
      <c r="AK2970" t="n">
        <v>21</v>
      </c>
      <c r="AL2970" t="inlineStr">
        <is>
          <t>Miss Glam Damar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MAKARIZO</t>
        </is>
      </c>
      <c r="B2971" s="2">
        <f>"800142384101"</f>
        <v/>
      </c>
      <c r="C2971" t="inlineStr">
        <is>
          <t>MAKARIZO Hair Energy Creambath Aloe 60gr</t>
        </is>
      </c>
      <c r="D2971" t="inlineStr">
        <is>
          <t>Miss Glam Damar</t>
        </is>
      </c>
      <c r="E2971" t="n">
        <v>52</v>
      </c>
      <c r="F2971" t="n">
        <v>2.2659</v>
      </c>
      <c r="G2971" t="n">
        <v>9.1</v>
      </c>
      <c r="H2971" t="n">
        <v>6</v>
      </c>
      <c r="I2971" t="n">
        <v>11</v>
      </c>
      <c r="J2971" t="n">
        <v>3</v>
      </c>
      <c r="K2971" t="n">
        <v>0</v>
      </c>
      <c r="L2971" t="n">
        <v>11639</v>
      </c>
      <c r="M2971" t="n">
        <v>14200</v>
      </c>
      <c r="N2971" t="n">
        <v>91</v>
      </c>
      <c r="O2971" t="n">
        <v>0.91</v>
      </c>
      <c r="P2971" t="n">
        <v>1</v>
      </c>
      <c r="Q2971" t="n">
        <v>1.92</v>
      </c>
      <c r="R2971" t="n">
        <v>6</v>
      </c>
      <c r="S2971" t="n">
        <v>32175.78</v>
      </c>
      <c r="T2971" t="n">
        <v>87</v>
      </c>
      <c r="U2971" t="n">
        <v>101</v>
      </c>
      <c r="V2971" t="n">
        <v>30</v>
      </c>
      <c r="W2971" t="n">
        <v>68</v>
      </c>
      <c r="X2971" t="n">
        <v>22.94893861158921</v>
      </c>
      <c r="Y2971" t="n">
        <v>1</v>
      </c>
      <c r="Z2971" t="n">
        <v>16</v>
      </c>
      <c r="AA2971" t="n">
        <v>0</v>
      </c>
      <c r="AB2971" t="n">
        <v>16</v>
      </c>
      <c r="AC2971" t="n">
        <v>16</v>
      </c>
      <c r="AD2971" t="n">
        <v>0</v>
      </c>
      <c r="AE2971" t="n">
        <v>186224</v>
      </c>
      <c r="AF2971" t="n">
        <v>2301</v>
      </c>
      <c r="AG2971" t="n">
        <v>2034</v>
      </c>
      <c r="AH2971" t="inlineStr">
        <is>
          <t>PT. AKASHA WIRA INTERNATIONAL TBK  - PPN (PKU)</t>
        </is>
      </c>
      <c r="AI2971" t="n">
        <v>102</v>
      </c>
      <c r="AJ2971" t="inlineStr">
        <is>
          <t>MAKARIZO</t>
        </is>
      </c>
      <c r="AK2971" t="n">
        <v>21</v>
      </c>
      <c r="AL2971" t="inlineStr">
        <is>
          <t>Miss Glam Damar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MAKARIZO</t>
        </is>
      </c>
      <c r="B2972" s="2">
        <f>"800142384255"</f>
        <v/>
      </c>
      <c r="C2972" t="inlineStr">
        <is>
          <t>MAKARIZO Hair Energy Creambath Kiwi 30ml</t>
        </is>
      </c>
      <c r="D2972" t="inlineStr">
        <is>
          <t>Miss Glam Damar</t>
        </is>
      </c>
      <c r="E2972" t="n">
        <v>14</v>
      </c>
      <c r="F2972" t="n">
        <v>1.6835</v>
      </c>
      <c r="G2972" t="n">
        <v>4.55</v>
      </c>
      <c r="H2972" t="n">
        <v>6</v>
      </c>
      <c r="I2972" t="n">
        <v>11</v>
      </c>
      <c r="J2972" t="n">
        <v>3</v>
      </c>
      <c r="K2972" t="n">
        <v>0</v>
      </c>
      <c r="L2972" t="n">
        <v>6207</v>
      </c>
      <c r="M2972" t="n">
        <v>7600</v>
      </c>
      <c r="N2972" t="n">
        <v>91</v>
      </c>
      <c r="O2972" t="n">
        <v>0.91</v>
      </c>
      <c r="P2972" t="n">
        <v>1</v>
      </c>
      <c r="Q2972" t="n">
        <v>1.75</v>
      </c>
      <c r="R2972" t="n">
        <v>7</v>
      </c>
      <c r="S2972" t="n">
        <v>12794.6</v>
      </c>
      <c r="T2972" t="n">
        <v>40</v>
      </c>
      <c r="U2972" t="n">
        <v>51</v>
      </c>
      <c r="V2972" t="n">
        <v>30</v>
      </c>
      <c r="W2972" t="n">
        <v>51</v>
      </c>
      <c r="X2972" t="n">
        <v>8.316008316008315</v>
      </c>
      <c r="Y2972" t="n">
        <v>1</v>
      </c>
      <c r="Z2972" t="n">
        <v>37</v>
      </c>
      <c r="AA2972" t="n">
        <v>5</v>
      </c>
      <c r="AB2972" t="n">
        <v>32</v>
      </c>
      <c r="AC2972" t="n">
        <v>32</v>
      </c>
      <c r="AD2972" t="n">
        <v>31035</v>
      </c>
      <c r="AE2972" t="n">
        <v>198624</v>
      </c>
      <c r="AF2972" t="n">
        <v>2301</v>
      </c>
      <c r="AG2972" t="n">
        <v>2034</v>
      </c>
      <c r="AH2972" t="inlineStr">
        <is>
          <t>PT. AKASHA WIRA INTERNATIONAL TBK  - PPN (PKU)</t>
        </is>
      </c>
      <c r="AI2972" t="n">
        <v>102</v>
      </c>
      <c r="AJ2972" t="inlineStr">
        <is>
          <t>MAKARIZO</t>
        </is>
      </c>
      <c r="AK2972" t="n">
        <v>21</v>
      </c>
      <c r="AL2972" t="inlineStr">
        <is>
          <t>Miss Glam Damar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MAKARIZO</t>
        </is>
      </c>
      <c r="B2973" s="2">
        <f>"800142384613"</f>
        <v/>
      </c>
      <c r="C2973" t="inlineStr">
        <is>
          <t>MAKARIZO Hair Energy Creambath Olive 60ml</t>
        </is>
      </c>
      <c r="D2973" t="inlineStr">
        <is>
          <t>Miss Glam Damar</t>
        </is>
      </c>
      <c r="E2973" t="n">
        <v>19</v>
      </c>
      <c r="F2973" t="n">
        <v>1.0465</v>
      </c>
      <c r="G2973" t="n">
        <v>3.64</v>
      </c>
      <c r="H2973" t="n">
        <v>6</v>
      </c>
      <c r="I2973" t="n">
        <v>11</v>
      </c>
      <c r="J2973" t="n">
        <v>3</v>
      </c>
      <c r="K2973" t="n">
        <v>0</v>
      </c>
      <c r="L2973" t="n">
        <v>11639</v>
      </c>
      <c r="M2973" t="n">
        <v>14200</v>
      </c>
      <c r="N2973" t="n">
        <v>91</v>
      </c>
      <c r="O2973" t="n">
        <v>0.91</v>
      </c>
      <c r="P2973" t="n">
        <v>1</v>
      </c>
      <c r="Q2973" t="n">
        <v>0.61</v>
      </c>
      <c r="R2973" t="n">
        <v>4</v>
      </c>
      <c r="S2973" t="n">
        <v>14860.3</v>
      </c>
      <c r="T2973" t="n">
        <v>34</v>
      </c>
      <c r="U2973" t="n">
        <v>41</v>
      </c>
      <c r="V2973" t="n">
        <v>30</v>
      </c>
      <c r="W2973" t="n">
        <v>32</v>
      </c>
      <c r="X2973" t="n">
        <v>18.15575728619207</v>
      </c>
      <c r="Y2973" t="n">
        <v>1</v>
      </c>
      <c r="Z2973" t="n">
        <v>13</v>
      </c>
      <c r="AA2973" t="n">
        <v>0</v>
      </c>
      <c r="AB2973" t="n">
        <v>13</v>
      </c>
      <c r="AC2973" t="n">
        <v>13</v>
      </c>
      <c r="AD2973" t="n">
        <v>0</v>
      </c>
      <c r="AE2973" t="n">
        <v>151307</v>
      </c>
      <c r="AF2973" t="n">
        <v>2301</v>
      </c>
      <c r="AG2973" t="n">
        <v>2034</v>
      </c>
      <c r="AH2973" t="inlineStr">
        <is>
          <t>PT. AKASHA WIRA INTERNATIONAL TBK  - PPN (PKU)</t>
        </is>
      </c>
      <c r="AI2973" t="n">
        <v>102</v>
      </c>
      <c r="AJ2973" t="inlineStr">
        <is>
          <t>MAKARIZO</t>
        </is>
      </c>
      <c r="AK2973" t="n">
        <v>21</v>
      </c>
      <c r="AL2973" t="inlineStr">
        <is>
          <t>Miss Glam Damar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MAKARIZO</t>
        </is>
      </c>
      <c r="B2974" s="2">
        <f>"800142384125"</f>
        <v/>
      </c>
      <c r="C2974" t="inlineStr">
        <is>
          <t>MAKARIZO Hair Energy Creambath Royal Jelly Ectract 60ml</t>
        </is>
      </c>
      <c r="D2974" t="inlineStr">
        <is>
          <t>Miss Glam Damar</t>
        </is>
      </c>
      <c r="E2974" t="n">
        <v>39</v>
      </c>
      <c r="F2974" t="n">
        <v>3.5763</v>
      </c>
      <c r="G2974" t="n">
        <v>13.65</v>
      </c>
      <c r="H2974" t="n">
        <v>6</v>
      </c>
      <c r="I2974" t="n">
        <v>11</v>
      </c>
      <c r="J2974" t="n">
        <v>3</v>
      </c>
      <c r="K2974" t="n">
        <v>0</v>
      </c>
      <c r="L2974" t="n">
        <v>11639</v>
      </c>
      <c r="M2974" t="n">
        <v>14200</v>
      </c>
      <c r="N2974" t="n">
        <v>91</v>
      </c>
      <c r="O2974" t="n">
        <v>0.91</v>
      </c>
      <c r="P2974" t="n">
        <v>1</v>
      </c>
      <c r="Q2974" t="n">
        <v>2.24</v>
      </c>
      <c r="R2974" t="n">
        <v>8</v>
      </c>
      <c r="S2974" t="n">
        <v>50783.46000000001</v>
      </c>
      <c r="T2974" t="n">
        <v>129</v>
      </c>
      <c r="U2974" t="n">
        <v>151</v>
      </c>
      <c r="V2974" t="n">
        <v>30</v>
      </c>
      <c r="W2974" t="n">
        <v>108</v>
      </c>
      <c r="X2974" t="n">
        <v>10.9051254089422</v>
      </c>
      <c r="Y2974" t="n">
        <v>1</v>
      </c>
      <c r="Z2974" t="n">
        <v>69</v>
      </c>
      <c r="AA2974" t="n">
        <v>1</v>
      </c>
      <c r="AB2974" t="n">
        <v>68</v>
      </c>
      <c r="AC2974" t="n">
        <v>68</v>
      </c>
      <c r="AD2974" t="n">
        <v>11639</v>
      </c>
      <c r="AE2974" t="n">
        <v>791452</v>
      </c>
      <c r="AF2974" t="n">
        <v>2301</v>
      </c>
      <c r="AG2974" t="n">
        <v>2034</v>
      </c>
      <c r="AH2974" t="inlineStr">
        <is>
          <t>PT. AKASHA WIRA INTERNATIONAL TBK  - PPN (PKU)</t>
        </is>
      </c>
      <c r="AI2974" t="n">
        <v>102</v>
      </c>
      <c r="AJ2974" t="inlineStr">
        <is>
          <t>MAKARIZO</t>
        </is>
      </c>
      <c r="AK2974" t="n">
        <v>21</v>
      </c>
      <c r="AL2974" t="inlineStr">
        <is>
          <t>Miss Glam Damar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MAKARIZO</t>
        </is>
      </c>
      <c r="B2975" s="2">
        <f>"8992982400027"</f>
        <v/>
      </c>
      <c r="C2975" t="inlineStr">
        <is>
          <t>MAKARIZO Hair Energy Easy Medium 120 gr</t>
        </is>
      </c>
      <c r="D2975" t="inlineStr">
        <is>
          <t>Miss Glam Damar</t>
        </is>
      </c>
      <c r="E2975" t="n">
        <v>9</v>
      </c>
      <c r="F2975" t="n">
        <v>0.1092</v>
      </c>
      <c r="G2975" t="n">
        <v>0.91</v>
      </c>
      <c r="H2975" t="n">
        <v>6</v>
      </c>
      <c r="I2975" t="n">
        <v>11</v>
      </c>
      <c r="J2975" t="n">
        <v>3</v>
      </c>
      <c r="K2975" t="n">
        <v>0</v>
      </c>
      <c r="L2975" t="n">
        <v>27645</v>
      </c>
      <c r="M2975" t="n">
        <v>33800</v>
      </c>
      <c r="N2975" t="n">
        <v>91</v>
      </c>
      <c r="O2975" t="n">
        <v>0.91</v>
      </c>
      <c r="P2975" t="n">
        <v>1</v>
      </c>
      <c r="Q2975" t="n">
        <v>0.14</v>
      </c>
      <c r="R2975" t="n">
        <v>2</v>
      </c>
      <c r="S2975" t="n">
        <v>3690.96</v>
      </c>
      <c r="T2975" t="n">
        <v>10</v>
      </c>
      <c r="U2975" t="n">
        <v>11</v>
      </c>
      <c r="V2975" t="n">
        <v>30</v>
      </c>
      <c r="W2975" t="n">
        <v>4</v>
      </c>
      <c r="X2975" t="n">
        <v>82.41758241758241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2301</v>
      </c>
      <c r="AG2975" t="n">
        <v>2034</v>
      </c>
      <c r="AH2975" t="inlineStr">
        <is>
          <t>PT. AKASHA WIRA INTERNATIONAL TBK  - PPN (PKU)</t>
        </is>
      </c>
      <c r="AI2975" t="n">
        <v>102</v>
      </c>
      <c r="AJ2975" t="inlineStr">
        <is>
          <t>MAKARIZO</t>
        </is>
      </c>
      <c r="AK2975" t="n">
        <v>21</v>
      </c>
      <c r="AL2975" t="inlineStr">
        <is>
          <t>Miss Glam Damar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MAKARIZO</t>
        </is>
      </c>
      <c r="B2976" s="2">
        <f>"8992982400041"</f>
        <v/>
      </c>
      <c r="C2976" t="inlineStr">
        <is>
          <t>MAKARIZO Hair Energy Easy Straight Mild 80ml</t>
        </is>
      </c>
      <c r="D2976" t="inlineStr">
        <is>
          <t>Miss Glam Damar</t>
        </is>
      </c>
      <c r="E2976" t="n">
        <v>26</v>
      </c>
      <c r="F2976" t="n">
        <v>0.3367</v>
      </c>
      <c r="G2976" t="n">
        <v>2.73</v>
      </c>
      <c r="H2976" t="n">
        <v>6</v>
      </c>
      <c r="I2976" t="n">
        <v>11</v>
      </c>
      <c r="J2976" t="n">
        <v>3</v>
      </c>
      <c r="K2976" t="n">
        <v>0</v>
      </c>
      <c r="L2976" t="n">
        <v>18430</v>
      </c>
      <c r="M2976" t="n">
        <v>22500</v>
      </c>
      <c r="N2976" t="n">
        <v>91</v>
      </c>
      <c r="O2976" t="n">
        <v>0.91</v>
      </c>
      <c r="P2976" t="n">
        <v>1</v>
      </c>
      <c r="Q2976" t="n">
        <v>0.27</v>
      </c>
      <c r="R2976" t="n">
        <v>3</v>
      </c>
      <c r="S2976" t="n">
        <v>7575.75</v>
      </c>
      <c r="T2976" t="n">
        <v>29</v>
      </c>
      <c r="U2976" t="n">
        <v>32</v>
      </c>
      <c r="V2976" t="n">
        <v>30</v>
      </c>
      <c r="W2976" t="n">
        <v>11</v>
      </c>
      <c r="X2976" t="n">
        <v>77.22007722007721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2301</v>
      </c>
      <c r="AG2976" t="n">
        <v>2034</v>
      </c>
      <c r="AH2976" t="inlineStr">
        <is>
          <t>PT. AKASHA WIRA INTERNATIONAL TBK  - PPN (PKU)</t>
        </is>
      </c>
      <c r="AI2976" t="n">
        <v>102</v>
      </c>
      <c r="AJ2976" t="inlineStr">
        <is>
          <t>MAKARIZO</t>
        </is>
      </c>
      <c r="AK2976" t="n">
        <v>21</v>
      </c>
      <c r="AL2976" t="inlineStr">
        <is>
          <t>Miss Glam Damar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MAKARIZO</t>
        </is>
      </c>
      <c r="B2977" s="2">
        <f>"8992982400034"</f>
        <v/>
      </c>
      <c r="C2977" t="inlineStr">
        <is>
          <t>MAKARIZO Hair Energy Easy Strong 120gr</t>
        </is>
      </c>
      <c r="D2977" t="inlineStr">
        <is>
          <t>Miss Glam Damar</t>
        </is>
      </c>
      <c r="E2977" t="n">
        <v>4</v>
      </c>
      <c r="F2977" t="n">
        <v>0.09100000000000001</v>
      </c>
      <c r="G2977" t="n">
        <v>1.82</v>
      </c>
      <c r="H2977" t="n">
        <v>6</v>
      </c>
      <c r="I2977" t="n">
        <v>11</v>
      </c>
      <c r="J2977" t="n">
        <v>3</v>
      </c>
      <c r="K2977" t="n">
        <v>0</v>
      </c>
      <c r="L2977" t="n">
        <v>27644</v>
      </c>
      <c r="M2977" t="n">
        <v>33800</v>
      </c>
      <c r="N2977" t="n">
        <v>91</v>
      </c>
      <c r="O2977" t="n">
        <v>0.91</v>
      </c>
      <c r="P2977" t="n">
        <v>1</v>
      </c>
      <c r="Q2977" t="n">
        <v>0.1</v>
      </c>
      <c r="R2977" t="n">
        <v>1</v>
      </c>
      <c r="S2977" t="n">
        <v>3075.8</v>
      </c>
      <c r="T2977" t="n">
        <v>20</v>
      </c>
      <c r="U2977" t="n">
        <v>21</v>
      </c>
      <c r="V2977" t="n">
        <v>30</v>
      </c>
      <c r="W2977" t="n">
        <v>3</v>
      </c>
      <c r="X2977" t="n">
        <v>43.95604395604395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2301</v>
      </c>
      <c r="AG2977" t="n">
        <v>2034</v>
      </c>
      <c r="AH2977" t="inlineStr">
        <is>
          <t>PT. AKASHA WIRA INTERNATIONAL TBK  - PPN (PKU)</t>
        </is>
      </c>
      <c r="AI2977" t="n">
        <v>102</v>
      </c>
      <c r="AJ2977" t="inlineStr">
        <is>
          <t>MAKARIZO</t>
        </is>
      </c>
      <c r="AK2977" t="n">
        <v>21</v>
      </c>
      <c r="AL2977" t="inlineStr">
        <is>
          <t>Miss Glam Damar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MAKARIZO</t>
        </is>
      </c>
      <c r="B2978" s="2">
        <f>"800142384538"</f>
        <v/>
      </c>
      <c r="C2978" t="inlineStr">
        <is>
          <t>MAKARIZO Hair Energy Fiberteraphy Olive Extract 170ml</t>
        </is>
      </c>
      <c r="D2978" t="inlineStr">
        <is>
          <t>Miss Glam Damar</t>
        </is>
      </c>
      <c r="E2978" t="n">
        <v>16</v>
      </c>
      <c r="F2978" t="n">
        <v>0.2821</v>
      </c>
      <c r="G2978" t="n">
        <v>1.82</v>
      </c>
      <c r="H2978" t="n">
        <v>6</v>
      </c>
      <c r="I2978" t="n">
        <v>11</v>
      </c>
      <c r="J2978" t="n">
        <v>3</v>
      </c>
      <c r="K2978" t="n">
        <v>0</v>
      </c>
      <c r="L2978" t="n">
        <v>19691</v>
      </c>
      <c r="M2978" t="n">
        <v>24000</v>
      </c>
      <c r="N2978" t="n">
        <v>91</v>
      </c>
      <c r="O2978" t="n">
        <v>0.91</v>
      </c>
      <c r="P2978" t="n">
        <v>1</v>
      </c>
      <c r="Q2978" t="n">
        <v>0.41</v>
      </c>
      <c r="R2978" t="n">
        <v>3</v>
      </c>
      <c r="S2978" t="n">
        <v>6770.400000000001</v>
      </c>
      <c r="T2978" t="n">
        <v>19</v>
      </c>
      <c r="U2978" t="n">
        <v>21</v>
      </c>
      <c r="V2978" t="n">
        <v>30</v>
      </c>
      <c r="W2978" t="n">
        <v>9</v>
      </c>
      <c r="X2978" t="n">
        <v>56.71747607231478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2301</v>
      </c>
      <c r="AG2978" t="n">
        <v>2034</v>
      </c>
      <c r="AH2978" t="inlineStr">
        <is>
          <t>PT. AKASHA WIRA INTERNATIONAL TBK  - PPN (PKU)</t>
        </is>
      </c>
      <c r="AI2978" t="n">
        <v>102</v>
      </c>
      <c r="AJ2978" t="inlineStr">
        <is>
          <t>MAKARIZO</t>
        </is>
      </c>
      <c r="AK2978" t="n">
        <v>21</v>
      </c>
      <c r="AL2978" t="inlineStr">
        <is>
          <t>Miss Glam Damar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MAKARIZO</t>
        </is>
      </c>
      <c r="B2979" s="2">
        <f>"8992982401215"</f>
        <v/>
      </c>
      <c r="C2979" t="inlineStr">
        <is>
          <t>MAKARIZO Hair Energy Fibertheraphy Creambath Ginseng Extract 500gr</t>
        </is>
      </c>
      <c r="D2979" t="inlineStr">
        <is>
          <t>Miss Glam Damar</t>
        </is>
      </c>
      <c r="E2979" t="n">
        <v>4</v>
      </c>
      <c r="F2979" t="n">
        <v>0.1274</v>
      </c>
      <c r="G2979" t="n">
        <v>1.82</v>
      </c>
      <c r="H2979" t="n">
        <v>6</v>
      </c>
      <c r="I2979" t="n">
        <v>11</v>
      </c>
      <c r="J2979" t="n">
        <v>3</v>
      </c>
      <c r="K2979" t="n">
        <v>0</v>
      </c>
      <c r="L2979" t="n">
        <v>70809</v>
      </c>
      <c r="M2979" t="n">
        <v>86000</v>
      </c>
      <c r="N2979" t="n">
        <v>91</v>
      </c>
      <c r="O2979" t="n">
        <v>0.91</v>
      </c>
      <c r="P2979" t="n">
        <v>1</v>
      </c>
      <c r="Q2979" t="n">
        <v>0.14</v>
      </c>
      <c r="R2979" t="n">
        <v>1</v>
      </c>
      <c r="S2979" t="n">
        <v>10956.4</v>
      </c>
      <c r="T2979" t="n">
        <v>20</v>
      </c>
      <c r="U2979" t="n">
        <v>21</v>
      </c>
      <c r="V2979" t="n">
        <v>30</v>
      </c>
      <c r="W2979" t="n">
        <v>4</v>
      </c>
      <c r="X2979" t="n">
        <v>31.39717425431711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2301</v>
      </c>
      <c r="AG2979" t="n">
        <v>2034</v>
      </c>
      <c r="AH2979" t="inlineStr">
        <is>
          <t>PT. AKASHA WIRA INTERNATIONAL TBK  - PPN (PKU)</t>
        </is>
      </c>
      <c r="AI2979" t="n">
        <v>102</v>
      </c>
      <c r="AJ2979" t="inlineStr">
        <is>
          <t>MAKARIZO</t>
        </is>
      </c>
      <c r="AK2979" t="n">
        <v>21</v>
      </c>
      <c r="AL2979" t="inlineStr">
        <is>
          <t>Miss Glam Damar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MAKARIZO</t>
        </is>
      </c>
      <c r="B2980" s="2">
        <f>"800142384521"</f>
        <v/>
      </c>
      <c r="C2980" t="inlineStr">
        <is>
          <t>MAKARIZO Hair Energy Fibertherapy Conditioning Shampoo Aloe &amp; Melon 170ml</t>
        </is>
      </c>
      <c r="D2980" t="inlineStr">
        <is>
          <t>Miss Glam Damar</t>
        </is>
      </c>
      <c r="E2980" t="n">
        <v>29</v>
      </c>
      <c r="F2980" t="n">
        <v>2.0202</v>
      </c>
      <c r="G2980" t="n">
        <v>5.46</v>
      </c>
      <c r="H2980" t="n">
        <v>6</v>
      </c>
      <c r="I2980" t="n">
        <v>11</v>
      </c>
      <c r="J2980" t="n">
        <v>3</v>
      </c>
      <c r="K2980" t="n">
        <v>0</v>
      </c>
      <c r="L2980" t="n">
        <v>19691</v>
      </c>
      <c r="M2980" t="n">
        <v>25000</v>
      </c>
      <c r="N2980" t="n">
        <v>91</v>
      </c>
      <c r="O2980" t="n">
        <v>0.91</v>
      </c>
      <c r="P2980" t="n">
        <v>1</v>
      </c>
      <c r="Q2980" t="n">
        <v>1.88</v>
      </c>
      <c r="R2980" t="n">
        <v>5</v>
      </c>
      <c r="S2980" t="n">
        <v>50505.00000000001</v>
      </c>
      <c r="T2980" t="n">
        <v>48</v>
      </c>
      <c r="U2980" t="n">
        <v>61</v>
      </c>
      <c r="V2980" t="n">
        <v>30</v>
      </c>
      <c r="W2980" t="n">
        <v>61</v>
      </c>
      <c r="X2980" t="n">
        <v>14.35501435501435</v>
      </c>
      <c r="Y2980" t="n">
        <v>1</v>
      </c>
      <c r="Z2980" t="n">
        <v>32</v>
      </c>
      <c r="AA2980" t="n">
        <v>0</v>
      </c>
      <c r="AB2980" t="n">
        <v>32</v>
      </c>
      <c r="AC2980" t="n">
        <v>32</v>
      </c>
      <c r="AD2980" t="n">
        <v>0</v>
      </c>
      <c r="AE2980" t="n">
        <v>630112</v>
      </c>
      <c r="AF2980" t="n">
        <v>2301</v>
      </c>
      <c r="AG2980" t="n">
        <v>2034</v>
      </c>
      <c r="AH2980" t="inlineStr">
        <is>
          <t>PT. AKASHA WIRA INTERNATIONAL TBK  - PPN (PKU)</t>
        </is>
      </c>
      <c r="AI2980" t="n">
        <v>102</v>
      </c>
      <c r="AJ2980" t="inlineStr">
        <is>
          <t>MAKARIZO</t>
        </is>
      </c>
      <c r="AK2980" t="n">
        <v>21</v>
      </c>
      <c r="AL2980" t="inlineStr">
        <is>
          <t>Miss Glam Damar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MAKARIZO</t>
        </is>
      </c>
      <c r="B2981" s="2">
        <f>"800142384569"</f>
        <v/>
      </c>
      <c r="C2981" t="inlineStr">
        <is>
          <t>MAKARIZO Hair Energy Fibertherapy Conditioning Shampoo Aloe &amp; Melon 330ml</t>
        </is>
      </c>
      <c r="D2981" t="inlineStr">
        <is>
          <t>Miss Glam Damar</t>
        </is>
      </c>
      <c r="E2981" t="n">
        <v>32</v>
      </c>
      <c r="F2981" t="n">
        <v>0.5824</v>
      </c>
      <c r="G2981" t="n">
        <v>2.73</v>
      </c>
      <c r="H2981" t="n">
        <v>6</v>
      </c>
      <c r="I2981" t="n">
        <v>11</v>
      </c>
      <c r="J2981" t="n">
        <v>3</v>
      </c>
      <c r="K2981" t="n">
        <v>0</v>
      </c>
      <c r="L2981" t="n">
        <v>35211</v>
      </c>
      <c r="M2981" t="n">
        <v>43000</v>
      </c>
      <c r="N2981" t="n">
        <v>91</v>
      </c>
      <c r="O2981" t="n">
        <v>0.91</v>
      </c>
      <c r="P2981" t="n">
        <v>1</v>
      </c>
      <c r="Q2981" t="n">
        <v>0.76</v>
      </c>
      <c r="R2981" t="n">
        <v>4</v>
      </c>
      <c r="S2981" t="n">
        <v>25043.2</v>
      </c>
      <c r="T2981" t="n">
        <v>27</v>
      </c>
      <c r="U2981" t="n">
        <v>31</v>
      </c>
      <c r="V2981" t="n">
        <v>30</v>
      </c>
      <c r="W2981" t="n">
        <v>18</v>
      </c>
      <c r="X2981" t="n">
        <v>54.94505494505494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2301</v>
      </c>
      <c r="AG2981" t="n">
        <v>2034</v>
      </c>
      <c r="AH2981" t="inlineStr">
        <is>
          <t>PT. AKASHA WIRA INTERNATIONAL TBK  - PPN (PKU)</t>
        </is>
      </c>
      <c r="AI2981" t="n">
        <v>102</v>
      </c>
      <c r="AJ2981" t="inlineStr">
        <is>
          <t>MAKARIZO</t>
        </is>
      </c>
      <c r="AK2981" t="n">
        <v>21</v>
      </c>
      <c r="AL2981" t="inlineStr">
        <is>
          <t>Miss Glam Damar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MAKARIZO</t>
        </is>
      </c>
      <c r="B2982" s="2">
        <f>"8992982401680"</f>
        <v/>
      </c>
      <c r="C2982" t="inlineStr">
        <is>
          <t>MAKARIZO Hair Energy Fibertherapy Creambath Aloe &amp; Melon 200ml</t>
        </is>
      </c>
      <c r="D2982" t="inlineStr">
        <is>
          <t>Miss Glam Damar</t>
        </is>
      </c>
      <c r="E2982" t="n">
        <v>5</v>
      </c>
      <c r="F2982" t="n">
        <v>0.4186</v>
      </c>
      <c r="G2982" t="n">
        <v>2.73</v>
      </c>
      <c r="H2982" t="n">
        <v>6</v>
      </c>
      <c r="I2982" t="n">
        <v>11</v>
      </c>
      <c r="J2982" t="n">
        <v>3</v>
      </c>
      <c r="K2982" t="n">
        <v>0</v>
      </c>
      <c r="L2982" t="n">
        <v>33949</v>
      </c>
      <c r="M2982" t="n">
        <v>41500</v>
      </c>
      <c r="N2982" t="n">
        <v>91</v>
      </c>
      <c r="O2982" t="n">
        <v>0.91</v>
      </c>
      <c r="P2982" t="n">
        <v>1</v>
      </c>
      <c r="Q2982" t="n">
        <v>0.46</v>
      </c>
      <c r="R2982" t="n">
        <v>3</v>
      </c>
      <c r="S2982" t="n">
        <v>17371.9</v>
      </c>
      <c r="T2982" t="n">
        <v>28</v>
      </c>
      <c r="U2982" t="n">
        <v>31</v>
      </c>
      <c r="V2982" t="n">
        <v>30</v>
      </c>
      <c r="W2982" t="n">
        <v>13</v>
      </c>
      <c r="X2982" t="n">
        <v>11.94457716196847</v>
      </c>
      <c r="Y2982" t="n">
        <v>1</v>
      </c>
      <c r="Z2982" t="n">
        <v>8</v>
      </c>
      <c r="AA2982" t="n">
        <v>0</v>
      </c>
      <c r="AB2982" t="n">
        <v>8</v>
      </c>
      <c r="AC2982" t="n">
        <v>8</v>
      </c>
      <c r="AD2982" t="n">
        <v>0</v>
      </c>
      <c r="AE2982" t="n">
        <v>271592</v>
      </c>
      <c r="AF2982" t="n">
        <v>2301</v>
      </c>
      <c r="AG2982" t="n">
        <v>2034</v>
      </c>
      <c r="AH2982" t="inlineStr">
        <is>
          <t>PT. AKASHA WIRA INTERNATIONAL TBK  - PPN (PKU)</t>
        </is>
      </c>
      <c r="AI2982" t="n">
        <v>102</v>
      </c>
      <c r="AJ2982" t="inlineStr">
        <is>
          <t>MAKARIZO</t>
        </is>
      </c>
      <c r="AK2982" t="n">
        <v>21</v>
      </c>
      <c r="AL2982" t="inlineStr">
        <is>
          <t>Miss Glam Damar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MAKARIZO</t>
        </is>
      </c>
      <c r="B2983" s="2">
        <f>"800142384156"</f>
        <v/>
      </c>
      <c r="C2983" t="inlineStr">
        <is>
          <t>MAKARIZO Hair Energy Fibertherapy Royal Jelly Extract 500gr</t>
        </is>
      </c>
      <c r="D2983" t="inlineStr">
        <is>
          <t>Miss Glam Damar</t>
        </is>
      </c>
      <c r="E2983" t="n">
        <v>29</v>
      </c>
      <c r="F2983" t="n">
        <v>0.3094</v>
      </c>
      <c r="G2983" t="n">
        <v>1.82</v>
      </c>
      <c r="H2983" t="n">
        <v>6</v>
      </c>
      <c r="I2983" t="n">
        <v>11</v>
      </c>
      <c r="J2983" t="n">
        <v>3</v>
      </c>
      <c r="K2983" t="n">
        <v>0</v>
      </c>
      <c r="L2983" t="n">
        <v>70810</v>
      </c>
      <c r="M2983" t="n">
        <v>86000</v>
      </c>
      <c r="N2983" t="n">
        <v>91</v>
      </c>
      <c r="O2983" t="n">
        <v>0.91</v>
      </c>
      <c r="P2983" t="n">
        <v>1</v>
      </c>
      <c r="Q2983" t="n">
        <v>0.46</v>
      </c>
      <c r="R2983" t="n">
        <v>2</v>
      </c>
      <c r="S2983" t="n">
        <v>26608.4</v>
      </c>
      <c r="T2983" t="n">
        <v>19</v>
      </c>
      <c r="U2983" t="n">
        <v>21</v>
      </c>
      <c r="V2983" t="n">
        <v>30</v>
      </c>
      <c r="W2983" t="n">
        <v>10</v>
      </c>
      <c r="X2983" t="n">
        <v>93.72979961215255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2301</v>
      </c>
      <c r="AG2983" t="n">
        <v>2034</v>
      </c>
      <c r="AH2983" t="inlineStr">
        <is>
          <t>PT. AKASHA WIRA INTERNATIONAL TBK  - PPN (PKU)</t>
        </is>
      </c>
      <c r="AI2983" t="n">
        <v>102</v>
      </c>
      <c r="AJ2983" t="inlineStr">
        <is>
          <t>MAKARIZO</t>
        </is>
      </c>
      <c r="AK2983" t="n">
        <v>21</v>
      </c>
      <c r="AL2983" t="inlineStr">
        <is>
          <t>Miss Glam Damar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MAKARIZO</t>
        </is>
      </c>
      <c r="B2984" s="2">
        <f>"8992982401697"</f>
        <v/>
      </c>
      <c r="C2984" t="inlineStr">
        <is>
          <t>MAKARIZO Hair Energy Fibertherapy Royal Jelly Extract Hair &amp; Scalp Creambath 200ml</t>
        </is>
      </c>
      <c r="D2984" t="inlineStr">
        <is>
          <t>Miss Glam Damar</t>
        </is>
      </c>
      <c r="E2984" t="n">
        <v>24</v>
      </c>
      <c r="F2984" t="n">
        <v>0.6916</v>
      </c>
      <c r="G2984" t="n">
        <v>2.73</v>
      </c>
      <c r="H2984" t="n">
        <v>6</v>
      </c>
      <c r="I2984" t="n">
        <v>11</v>
      </c>
      <c r="J2984" t="n">
        <v>3</v>
      </c>
      <c r="K2984" t="n">
        <v>0</v>
      </c>
      <c r="L2984" t="n">
        <v>33949</v>
      </c>
      <c r="M2984" t="n">
        <v>41500</v>
      </c>
      <c r="N2984" t="n">
        <v>91</v>
      </c>
      <c r="O2984" t="n">
        <v>0.91</v>
      </c>
      <c r="P2984" t="n">
        <v>1</v>
      </c>
      <c r="Q2984" t="n">
        <v>0.8</v>
      </c>
      <c r="R2984" t="n">
        <v>4</v>
      </c>
      <c r="S2984" t="n">
        <v>28701.4</v>
      </c>
      <c r="T2984" t="n">
        <v>26</v>
      </c>
      <c r="U2984" t="n">
        <v>31</v>
      </c>
      <c r="V2984" t="n">
        <v>30</v>
      </c>
      <c r="W2984" t="n">
        <v>21</v>
      </c>
      <c r="X2984" t="n">
        <v>34.70213996529786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2301</v>
      </c>
      <c r="AG2984" t="n">
        <v>2034</v>
      </c>
      <c r="AH2984" t="inlineStr">
        <is>
          <t>PT. AKASHA WIRA INTERNATIONAL TBK  - PPN (PKU)</t>
        </is>
      </c>
      <c r="AI2984" t="n">
        <v>102</v>
      </c>
      <c r="AJ2984" t="inlineStr">
        <is>
          <t>MAKARIZO</t>
        </is>
      </c>
      <c r="AK2984" t="n">
        <v>21</v>
      </c>
      <c r="AL2984" t="inlineStr">
        <is>
          <t>Miss Glam Damar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MAKARIZO</t>
        </is>
      </c>
      <c r="B2985" s="2">
        <f>"800142384149"</f>
        <v/>
      </c>
      <c r="C2985" t="inlineStr">
        <is>
          <t>MAKARIZO Hair Energy Kiwi Exrtact Creambath 500ml</t>
        </is>
      </c>
      <c r="D2985" t="inlineStr">
        <is>
          <t>Miss Glam Damar</t>
        </is>
      </c>
      <c r="E2985" t="n">
        <v>16</v>
      </c>
      <c r="F2985" t="n">
        <v>0.1365</v>
      </c>
      <c r="G2985" t="n">
        <v>1.82</v>
      </c>
      <c r="H2985" t="n">
        <v>6</v>
      </c>
      <c r="I2985" t="n">
        <v>11</v>
      </c>
      <c r="J2985" t="n">
        <v>3</v>
      </c>
      <c r="K2985" t="n">
        <v>0</v>
      </c>
      <c r="L2985" t="n">
        <v>70809</v>
      </c>
      <c r="M2985" t="n">
        <v>86000</v>
      </c>
      <c r="N2985" t="n">
        <v>91</v>
      </c>
      <c r="O2985" t="n">
        <v>0.91</v>
      </c>
      <c r="P2985" t="n">
        <v>1</v>
      </c>
      <c r="Q2985" t="n">
        <v>0.17</v>
      </c>
      <c r="R2985" t="n">
        <v>2</v>
      </c>
      <c r="S2985" t="n">
        <v>11739</v>
      </c>
      <c r="T2985" t="n">
        <v>20</v>
      </c>
      <c r="U2985" t="n">
        <v>21</v>
      </c>
      <c r="V2985" t="n">
        <v>30</v>
      </c>
      <c r="W2985" t="n">
        <v>5</v>
      </c>
      <c r="X2985" t="n">
        <v>117.2161172161172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2301</v>
      </c>
      <c r="AG2985" t="n">
        <v>2034</v>
      </c>
      <c r="AH2985" t="inlineStr">
        <is>
          <t>PT. AKASHA WIRA INTERNATIONAL TBK  - PPN (PKU)</t>
        </is>
      </c>
      <c r="AI2985" t="n">
        <v>102</v>
      </c>
      <c r="AJ2985" t="inlineStr">
        <is>
          <t>MAKARIZO</t>
        </is>
      </c>
      <c r="AK2985" t="n">
        <v>21</v>
      </c>
      <c r="AL2985" t="inlineStr">
        <is>
          <t>Miss Glam Damar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MAKARIZO</t>
        </is>
      </c>
      <c r="B2986" s="2">
        <f>"800142384514"</f>
        <v/>
      </c>
      <c r="C2986" t="inlineStr">
        <is>
          <t>MAKARIZO Hair Energy Kiwi Extract 170ml</t>
        </is>
      </c>
      <c r="D2986" t="inlineStr">
        <is>
          <t>Miss Glam Damar</t>
        </is>
      </c>
      <c r="E2986" t="n">
        <v>10</v>
      </c>
      <c r="F2986" t="n">
        <v>0.4641</v>
      </c>
      <c r="G2986" t="n">
        <v>2.73</v>
      </c>
      <c r="H2986" t="n">
        <v>6</v>
      </c>
      <c r="I2986" t="n">
        <v>11</v>
      </c>
      <c r="J2986" t="n">
        <v>3</v>
      </c>
      <c r="K2986" t="n">
        <v>0</v>
      </c>
      <c r="L2986" t="n">
        <v>19691</v>
      </c>
      <c r="M2986" t="n">
        <v>24000</v>
      </c>
      <c r="N2986" t="n">
        <v>91</v>
      </c>
      <c r="O2986" t="n">
        <v>0.91</v>
      </c>
      <c r="P2986" t="n">
        <v>1</v>
      </c>
      <c r="Q2986" t="n">
        <v>0.42</v>
      </c>
      <c r="R2986" t="n">
        <v>2</v>
      </c>
      <c r="S2986" t="n">
        <v>11138.4</v>
      </c>
      <c r="T2986" t="n">
        <v>28</v>
      </c>
      <c r="U2986" t="n">
        <v>31</v>
      </c>
      <c r="V2986" t="n">
        <v>30</v>
      </c>
      <c r="W2986" t="n">
        <v>14</v>
      </c>
      <c r="X2986" t="n">
        <v>21.54708037060978</v>
      </c>
      <c r="Y2986" t="n">
        <v>1</v>
      </c>
      <c r="Z2986" t="n">
        <v>4</v>
      </c>
      <c r="AA2986" t="n">
        <v>0</v>
      </c>
      <c r="AB2986" t="n">
        <v>4</v>
      </c>
      <c r="AC2986" t="n">
        <v>4</v>
      </c>
      <c r="AD2986" t="n">
        <v>0</v>
      </c>
      <c r="AE2986" t="n">
        <v>78764</v>
      </c>
      <c r="AF2986" t="n">
        <v>2301</v>
      </c>
      <c r="AG2986" t="n">
        <v>2034</v>
      </c>
      <c r="AH2986" t="inlineStr">
        <is>
          <t>PT. AKASHA WIRA INTERNATIONAL TBK  - PPN (PKU)</t>
        </is>
      </c>
      <c r="AI2986" t="n">
        <v>102</v>
      </c>
      <c r="AJ2986" t="inlineStr">
        <is>
          <t>MAKARIZO</t>
        </is>
      </c>
      <c r="AK2986" t="n">
        <v>21</v>
      </c>
      <c r="AL2986" t="inlineStr">
        <is>
          <t>Miss Glam Damar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MAKARIZO</t>
        </is>
      </c>
      <c r="B2987" s="2">
        <f>"40100149606"</f>
        <v/>
      </c>
      <c r="C2987" t="inlineStr">
        <is>
          <t>MAKARIZO Hair Energy Kiwi Extract Shampoo 330ml</t>
        </is>
      </c>
      <c r="D2987" t="inlineStr">
        <is>
          <t>Miss Glam Damar</t>
        </is>
      </c>
      <c r="E2987" t="n">
        <v>17</v>
      </c>
      <c r="F2987" t="n">
        <v>0.2002</v>
      </c>
      <c r="G2987" t="n">
        <v>1.82</v>
      </c>
      <c r="H2987" t="n">
        <v>6</v>
      </c>
      <c r="I2987" t="n">
        <v>11</v>
      </c>
      <c r="J2987" t="n">
        <v>3</v>
      </c>
      <c r="K2987" t="n">
        <v>0</v>
      </c>
      <c r="L2987" t="n">
        <v>35210</v>
      </c>
      <c r="M2987" t="n">
        <v>43000</v>
      </c>
      <c r="N2987" t="n">
        <v>91</v>
      </c>
      <c r="O2987" t="n">
        <v>0.91</v>
      </c>
      <c r="P2987" t="n">
        <v>1</v>
      </c>
      <c r="Q2987" t="n">
        <v>0.14</v>
      </c>
      <c r="R2987" t="n">
        <v>2</v>
      </c>
      <c r="S2987" t="n">
        <v>8608.6</v>
      </c>
      <c r="T2987" t="n">
        <v>19</v>
      </c>
      <c r="U2987" t="n">
        <v>21</v>
      </c>
      <c r="V2987" t="n">
        <v>30</v>
      </c>
      <c r="W2987" t="n">
        <v>7</v>
      </c>
      <c r="X2987" t="n">
        <v>84.9150849150849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2301</v>
      </c>
      <c r="AG2987" t="n">
        <v>2034</v>
      </c>
      <c r="AH2987" t="inlineStr">
        <is>
          <t>PT. AKASHA WIRA INTERNATIONAL TBK  - PPN (PKU)</t>
        </is>
      </c>
      <c r="AI2987" t="n">
        <v>102</v>
      </c>
      <c r="AJ2987" t="inlineStr">
        <is>
          <t>MAKARIZO</t>
        </is>
      </c>
      <c r="AK2987" t="n">
        <v>21</v>
      </c>
      <c r="AL2987" t="inlineStr">
        <is>
          <t>Miss Glam Damar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MAKARIZO</t>
        </is>
      </c>
      <c r="B2988" s="2">
        <f>"8992982400010"</f>
        <v/>
      </c>
      <c r="C2988" t="inlineStr">
        <is>
          <t>MAKARIZO Hair Energy Mild 120gr</t>
        </is>
      </c>
      <c r="D2988" t="inlineStr">
        <is>
          <t>Miss Glam Damar</t>
        </is>
      </c>
      <c r="E2988" t="n">
        <v>8</v>
      </c>
      <c r="F2988" t="n">
        <v>0.1274</v>
      </c>
      <c r="G2988" t="n">
        <v>2.73</v>
      </c>
      <c r="H2988" t="n">
        <v>6</v>
      </c>
      <c r="I2988" t="n">
        <v>11</v>
      </c>
      <c r="J2988" t="n">
        <v>3</v>
      </c>
      <c r="K2988" t="n">
        <v>0</v>
      </c>
      <c r="L2988" t="n">
        <v>27644</v>
      </c>
      <c r="M2988" t="n">
        <v>33800</v>
      </c>
      <c r="N2988" t="n">
        <v>91</v>
      </c>
      <c r="O2988" t="n">
        <v>0.91</v>
      </c>
      <c r="P2988" t="n">
        <v>1</v>
      </c>
      <c r="Q2988" t="n">
        <v>0.07000000000000001</v>
      </c>
      <c r="R2988" t="n">
        <v>1</v>
      </c>
      <c r="S2988" t="n">
        <v>4306.120000000001</v>
      </c>
      <c r="T2988" t="n">
        <v>30</v>
      </c>
      <c r="U2988" t="n">
        <v>31</v>
      </c>
      <c r="V2988" t="n">
        <v>30</v>
      </c>
      <c r="W2988" t="n">
        <v>4</v>
      </c>
      <c r="X2988" t="n">
        <v>62.79434850863422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2301</v>
      </c>
      <c r="AG2988" t="n">
        <v>2034</v>
      </c>
      <c r="AH2988" t="inlineStr">
        <is>
          <t>PT. AKASHA WIRA INTERNATIONAL TBK  - PPN (PKU)</t>
        </is>
      </c>
      <c r="AI2988" t="n">
        <v>102</v>
      </c>
      <c r="AJ2988" t="inlineStr">
        <is>
          <t>MAKARIZO</t>
        </is>
      </c>
      <c r="AK2988" t="n">
        <v>21</v>
      </c>
      <c r="AL2988" t="inlineStr">
        <is>
          <t>Miss Glam Damar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MAKARIZO</t>
        </is>
      </c>
      <c r="B2989" s="2">
        <f>"800142384385"</f>
        <v/>
      </c>
      <c r="C2989" t="inlineStr">
        <is>
          <t>MAKARIZO Hair Energy Morning Dew 100ml</t>
        </is>
      </c>
      <c r="D2989" t="inlineStr">
        <is>
          <t>Miss Glam Damar</t>
        </is>
      </c>
      <c r="E2989" t="n">
        <v>33</v>
      </c>
      <c r="F2989" t="n">
        <v>2.7482</v>
      </c>
      <c r="G2989" t="n">
        <v>7.28</v>
      </c>
      <c r="H2989" t="n">
        <v>6</v>
      </c>
      <c r="I2989" t="n">
        <v>11</v>
      </c>
      <c r="J2989" t="n">
        <v>3</v>
      </c>
      <c r="K2989" t="n">
        <v>0</v>
      </c>
      <c r="L2989" t="n">
        <v>22406</v>
      </c>
      <c r="M2989" t="n">
        <v>28000</v>
      </c>
      <c r="N2989" t="n">
        <v>91</v>
      </c>
      <c r="O2989" t="n">
        <v>0.91</v>
      </c>
      <c r="P2989" t="n">
        <v>1</v>
      </c>
      <c r="Q2989" t="n">
        <v>1.39</v>
      </c>
      <c r="R2989" t="n">
        <v>5</v>
      </c>
      <c r="S2989" t="n">
        <v>76949.60000000001</v>
      </c>
      <c r="T2989" t="n">
        <v>64</v>
      </c>
      <c r="U2989" t="n">
        <v>81</v>
      </c>
      <c r="V2989" t="n">
        <v>30</v>
      </c>
      <c r="W2989" t="n">
        <v>83</v>
      </c>
      <c r="X2989" t="n">
        <v>12.0078596899789</v>
      </c>
      <c r="Y2989" t="n">
        <v>1</v>
      </c>
      <c r="Z2989" t="n">
        <v>50</v>
      </c>
      <c r="AA2989" t="n">
        <v>0</v>
      </c>
      <c r="AB2989" t="n">
        <v>50</v>
      </c>
      <c r="AC2989" t="n">
        <v>50</v>
      </c>
      <c r="AD2989" t="n">
        <v>0</v>
      </c>
      <c r="AE2989" t="n">
        <v>1120300</v>
      </c>
      <c r="AF2989" t="n">
        <v>2301</v>
      </c>
      <c r="AG2989" t="n">
        <v>2034</v>
      </c>
      <c r="AH2989" t="inlineStr">
        <is>
          <t>PT. AKASHA WIRA INTERNATIONAL TBK  - PPN (PKU)</t>
        </is>
      </c>
      <c r="AI2989" t="n">
        <v>102</v>
      </c>
      <c r="AJ2989" t="inlineStr">
        <is>
          <t>MAKARIZO</t>
        </is>
      </c>
      <c r="AK2989" t="n">
        <v>21</v>
      </c>
      <c r="AL2989" t="inlineStr">
        <is>
          <t>Miss Glam Damar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MAKARIZO</t>
        </is>
      </c>
      <c r="B2990" s="2">
        <f>"800142384392"</f>
        <v/>
      </c>
      <c r="C2990" t="inlineStr">
        <is>
          <t>MAKARIZO Hair Energy Ocean 100ml</t>
        </is>
      </c>
      <c r="D2990" t="inlineStr">
        <is>
          <t>Miss Glam Damar</t>
        </is>
      </c>
      <c r="E2990" t="n">
        <v>65</v>
      </c>
      <c r="F2990" t="n">
        <v>0.8372000000000001</v>
      </c>
      <c r="G2990" t="n">
        <v>2.73</v>
      </c>
      <c r="H2990" t="n">
        <v>6</v>
      </c>
      <c r="I2990" t="n">
        <v>11</v>
      </c>
      <c r="J2990" t="n">
        <v>3</v>
      </c>
      <c r="K2990" t="n">
        <v>0</v>
      </c>
      <c r="L2990" t="n">
        <v>22406</v>
      </c>
      <c r="M2990" t="n">
        <v>27500</v>
      </c>
      <c r="N2990" t="n">
        <v>91</v>
      </c>
      <c r="O2990" t="n">
        <v>0.91</v>
      </c>
      <c r="P2990" t="n">
        <v>1</v>
      </c>
      <c r="Q2990" t="n">
        <v>0.46</v>
      </c>
      <c r="R2990" t="n">
        <v>3</v>
      </c>
      <c r="S2990" t="n">
        <v>23023</v>
      </c>
      <c r="T2990" t="n">
        <v>26</v>
      </c>
      <c r="U2990" t="n">
        <v>32</v>
      </c>
      <c r="V2990" t="n">
        <v>30</v>
      </c>
      <c r="W2990" t="n">
        <v>26</v>
      </c>
      <c r="X2990" t="n">
        <v>77.63975155279502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2301</v>
      </c>
      <c r="AG2990" t="n">
        <v>2034</v>
      </c>
      <c r="AH2990" t="inlineStr">
        <is>
          <t>PT. AKASHA WIRA INTERNATIONAL TBK  - PPN (PKU)</t>
        </is>
      </c>
      <c r="AI2990" t="n">
        <v>102</v>
      </c>
      <c r="AJ2990" t="inlineStr">
        <is>
          <t>MAKARIZO</t>
        </is>
      </c>
      <c r="AK2990" t="n">
        <v>21</v>
      </c>
      <c r="AL2990" t="inlineStr">
        <is>
          <t>Miss Glam Damar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MAKARIZO</t>
        </is>
      </c>
      <c r="B2991" s="2">
        <f>"800142384491"</f>
        <v/>
      </c>
      <c r="C2991" t="inlineStr">
        <is>
          <t>MAKARIZO Hair Energy Olive 500ml</t>
        </is>
      </c>
      <c r="D2991" t="inlineStr">
        <is>
          <t>Miss Glam Damar</t>
        </is>
      </c>
      <c r="E2991" t="n">
        <v>9</v>
      </c>
      <c r="F2991" t="n">
        <v>0.09100000000000001</v>
      </c>
      <c r="G2991" t="n">
        <v>1.82</v>
      </c>
      <c r="H2991" t="n">
        <v>6</v>
      </c>
      <c r="I2991" t="n">
        <v>11</v>
      </c>
      <c r="J2991" t="n">
        <v>3</v>
      </c>
      <c r="K2991" t="n">
        <v>0</v>
      </c>
      <c r="L2991" t="n">
        <v>70809</v>
      </c>
      <c r="M2991" t="n">
        <v>86000</v>
      </c>
      <c r="N2991" t="n">
        <v>91</v>
      </c>
      <c r="O2991" t="n">
        <v>0.91</v>
      </c>
      <c r="P2991" t="n">
        <v>1</v>
      </c>
      <c r="Q2991" t="n">
        <v>0.1</v>
      </c>
      <c r="R2991" t="n">
        <v>1</v>
      </c>
      <c r="S2991" t="n">
        <v>7826.000000000001</v>
      </c>
      <c r="T2991" t="n">
        <v>20</v>
      </c>
      <c r="U2991" t="n">
        <v>21</v>
      </c>
      <c r="V2991" t="n">
        <v>30</v>
      </c>
      <c r="W2991" t="n">
        <v>3</v>
      </c>
      <c r="X2991" t="n">
        <v>98.90109890109889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2301</v>
      </c>
      <c r="AG2991" t="n">
        <v>2034</v>
      </c>
      <c r="AH2991" t="inlineStr">
        <is>
          <t>PT. AKASHA WIRA INTERNATIONAL TBK  - PPN (PKU)</t>
        </is>
      </c>
      <c r="AI2991" t="n">
        <v>102</v>
      </c>
      <c r="AJ2991" t="inlineStr">
        <is>
          <t>MAKARIZO</t>
        </is>
      </c>
      <c r="AK2991" t="n">
        <v>21</v>
      </c>
      <c r="AL2991" t="inlineStr">
        <is>
          <t>Miss Glam Damar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MAKARIZO</t>
        </is>
      </c>
      <c r="B2992" s="2">
        <f>"40100149431"</f>
        <v/>
      </c>
      <c r="C2992" t="inlineStr">
        <is>
          <t>MAKARIZO Hair Energy Olive Extract Shampoo 330ml</t>
        </is>
      </c>
      <c r="D2992" t="inlineStr">
        <is>
          <t>Miss Glam Damar</t>
        </is>
      </c>
      <c r="E2992" t="n">
        <v>5</v>
      </c>
      <c r="F2992" t="n">
        <v>0.0728</v>
      </c>
      <c r="G2992" t="n">
        <v>0.91</v>
      </c>
      <c r="H2992" t="n">
        <v>6</v>
      </c>
      <c r="I2992" t="n">
        <v>11</v>
      </c>
      <c r="J2992" t="n">
        <v>3</v>
      </c>
      <c r="K2992" t="n">
        <v>0</v>
      </c>
      <c r="L2992" t="n">
        <v>35210</v>
      </c>
      <c r="M2992" t="n">
        <v>41500</v>
      </c>
      <c r="N2992" t="n">
        <v>91</v>
      </c>
      <c r="O2992" t="n">
        <v>0.91</v>
      </c>
      <c r="P2992" t="n">
        <v>1</v>
      </c>
      <c r="Q2992" t="n">
        <v>0.2</v>
      </c>
      <c r="R2992" t="n">
        <v>2</v>
      </c>
      <c r="S2992" t="n">
        <v>3021.2</v>
      </c>
      <c r="T2992" t="n">
        <v>10</v>
      </c>
      <c r="U2992" t="n">
        <v>11</v>
      </c>
      <c r="V2992" t="n">
        <v>30</v>
      </c>
      <c r="W2992" t="n">
        <v>3</v>
      </c>
      <c r="X2992" t="n">
        <v>68.68131868131867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2301</v>
      </c>
      <c r="AG2992" t="n">
        <v>2034</v>
      </c>
      <c r="AH2992" t="inlineStr">
        <is>
          <t>PT. AKASHA WIRA INTERNATIONAL TBK  - PPN (PKU)</t>
        </is>
      </c>
      <c r="AI2992" t="n">
        <v>102</v>
      </c>
      <c r="AJ2992" t="inlineStr">
        <is>
          <t>MAKARIZO</t>
        </is>
      </c>
      <c r="AK2992" t="n">
        <v>21</v>
      </c>
      <c r="AL2992" t="inlineStr">
        <is>
          <t>Miss Glam Damar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MAKARIZO</t>
        </is>
      </c>
      <c r="B2993" s="2">
        <f>"40100149521"</f>
        <v/>
      </c>
      <c r="C2993" t="inlineStr">
        <is>
          <t>MAKARIZO Hair Energy Royal Jelly Extract Shampoo 330ml</t>
        </is>
      </c>
      <c r="D2993" t="inlineStr">
        <is>
          <t>Miss Glam Damar</t>
        </is>
      </c>
      <c r="E2993" t="n">
        <v>14</v>
      </c>
      <c r="F2993" t="n">
        <v>0.4004</v>
      </c>
      <c r="G2993" t="n">
        <v>1.82</v>
      </c>
      <c r="H2993" t="n">
        <v>6</v>
      </c>
      <c r="I2993" t="n">
        <v>11</v>
      </c>
      <c r="J2993" t="n">
        <v>3</v>
      </c>
      <c r="K2993" t="n">
        <v>0</v>
      </c>
      <c r="L2993" t="n">
        <v>35210</v>
      </c>
      <c r="M2993" t="n">
        <v>41500</v>
      </c>
      <c r="N2993" t="n">
        <v>91</v>
      </c>
      <c r="O2993" t="n">
        <v>0.91</v>
      </c>
      <c r="P2993" t="n">
        <v>1</v>
      </c>
      <c r="Q2993" t="n">
        <v>0.36</v>
      </c>
      <c r="R2993" t="n">
        <v>3</v>
      </c>
      <c r="S2993" t="n">
        <v>16616.6</v>
      </c>
      <c r="T2993" t="n">
        <v>18</v>
      </c>
      <c r="U2993" t="n">
        <v>21</v>
      </c>
      <c r="V2993" t="n">
        <v>30</v>
      </c>
      <c r="W2993" t="n">
        <v>13</v>
      </c>
      <c r="X2993" t="n">
        <v>34.96503496503496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2301</v>
      </c>
      <c r="AG2993" t="n">
        <v>2034</v>
      </c>
      <c r="AH2993" t="inlineStr">
        <is>
          <t>PT. AKASHA WIRA INTERNATIONAL TBK  - PPN (PKU)</t>
        </is>
      </c>
      <c r="AI2993" t="n">
        <v>102</v>
      </c>
      <c r="AJ2993" t="inlineStr">
        <is>
          <t>MAKARIZO</t>
        </is>
      </c>
      <c r="AK2993" t="n">
        <v>21</v>
      </c>
      <c r="AL2993" t="inlineStr">
        <is>
          <t>Miss Glam Damar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MAKARIZO</t>
        </is>
      </c>
      <c r="B2994" s="2">
        <f>"800142384828"</f>
        <v/>
      </c>
      <c r="C2994" t="inlineStr">
        <is>
          <t>MAKARIZO Hair Energy Scensations Blue Coast 100ml</t>
        </is>
      </c>
      <c r="D2994" t="inlineStr">
        <is>
          <t>Miss Glam Damar</t>
        </is>
      </c>
      <c r="E2994" t="n">
        <v>17</v>
      </c>
      <c r="F2994" t="n">
        <v>0.8918</v>
      </c>
      <c r="G2994" t="n">
        <v>2.73</v>
      </c>
      <c r="H2994" t="n">
        <v>6</v>
      </c>
      <c r="I2994" t="n">
        <v>11</v>
      </c>
      <c r="J2994" t="n">
        <v>3</v>
      </c>
      <c r="K2994" t="n">
        <v>0</v>
      </c>
      <c r="L2994" t="n">
        <v>22406</v>
      </c>
      <c r="M2994" t="n">
        <v>27500</v>
      </c>
      <c r="N2994" t="n">
        <v>91</v>
      </c>
      <c r="O2994" t="n">
        <v>0.91</v>
      </c>
      <c r="P2994" t="n">
        <v>1</v>
      </c>
      <c r="Q2994" t="n">
        <v>0.36</v>
      </c>
      <c r="R2994" t="n">
        <v>3</v>
      </c>
      <c r="S2994" t="n">
        <v>24524.5</v>
      </c>
      <c r="T2994" t="n">
        <v>25</v>
      </c>
      <c r="U2994" t="n">
        <v>31</v>
      </c>
      <c r="V2994" t="n">
        <v>30</v>
      </c>
      <c r="W2994" t="n">
        <v>27</v>
      </c>
      <c r="X2994" t="n">
        <v>19.06257008297824</v>
      </c>
      <c r="Y2994" t="n">
        <v>1</v>
      </c>
      <c r="Z2994" t="n">
        <v>10</v>
      </c>
      <c r="AA2994" t="n">
        <v>0</v>
      </c>
      <c r="AB2994" t="n">
        <v>10</v>
      </c>
      <c r="AC2994" t="n">
        <v>10</v>
      </c>
      <c r="AD2994" t="n">
        <v>0</v>
      </c>
      <c r="AE2994" t="n">
        <v>224060</v>
      </c>
      <c r="AF2994" t="n">
        <v>2301</v>
      </c>
      <c r="AG2994" t="n">
        <v>2034</v>
      </c>
      <c r="AH2994" t="inlineStr">
        <is>
          <t>PT. AKASHA WIRA INTERNATIONAL TBK  - PPN (PKU)</t>
        </is>
      </c>
      <c r="AI2994" t="n">
        <v>102</v>
      </c>
      <c r="AJ2994" t="inlineStr">
        <is>
          <t>MAKARIZO</t>
        </is>
      </c>
      <c r="AK2994" t="n">
        <v>21</v>
      </c>
      <c r="AL2994" t="inlineStr">
        <is>
          <t>Miss Glam Damar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MAKARIZO</t>
        </is>
      </c>
      <c r="B2995" s="2">
        <f>"8992982401703"</f>
        <v/>
      </c>
      <c r="C2995" t="inlineStr">
        <is>
          <t>MAKARIZO Hair Energy Scentsaional Amber Wood 100ml</t>
        </is>
      </c>
      <c r="D2995" t="inlineStr">
        <is>
          <t>Miss Glam Damar</t>
        </is>
      </c>
      <c r="E2995" t="n">
        <v>24</v>
      </c>
      <c r="F2995" t="n">
        <v>1.8473</v>
      </c>
      <c r="G2995" t="n">
        <v>5.46</v>
      </c>
      <c r="H2995" t="n">
        <v>6</v>
      </c>
      <c r="I2995" t="n">
        <v>11</v>
      </c>
      <c r="J2995" t="n">
        <v>3</v>
      </c>
      <c r="K2995" t="n">
        <v>0</v>
      </c>
      <c r="L2995" t="n">
        <v>22406</v>
      </c>
      <c r="M2995" t="n">
        <v>27500</v>
      </c>
      <c r="N2995" t="n">
        <v>91</v>
      </c>
      <c r="O2995" t="n">
        <v>0.91</v>
      </c>
      <c r="P2995" t="n">
        <v>1</v>
      </c>
      <c r="Q2995" t="n">
        <v>0.83</v>
      </c>
      <c r="R2995" t="n">
        <v>5</v>
      </c>
      <c r="S2995" t="n">
        <v>50800.75</v>
      </c>
      <c r="T2995" t="n">
        <v>49</v>
      </c>
      <c r="U2995" t="n">
        <v>61</v>
      </c>
      <c r="V2995" t="n">
        <v>30</v>
      </c>
      <c r="W2995" t="n">
        <v>56</v>
      </c>
      <c r="X2995" t="n">
        <v>12.99193417420018</v>
      </c>
      <c r="Y2995" t="n">
        <v>1</v>
      </c>
      <c r="Z2995" t="n">
        <v>32</v>
      </c>
      <c r="AA2995" t="n">
        <v>0</v>
      </c>
      <c r="AB2995" t="n">
        <v>32</v>
      </c>
      <c r="AC2995" t="n">
        <v>32</v>
      </c>
      <c r="AD2995" t="n">
        <v>0</v>
      </c>
      <c r="AE2995" t="n">
        <v>716992</v>
      </c>
      <c r="AF2995" t="n">
        <v>2301</v>
      </c>
      <c r="AG2995" t="n">
        <v>2034</v>
      </c>
      <c r="AH2995" t="inlineStr">
        <is>
          <t>PT. AKASHA WIRA INTERNATIONAL TBK  - PPN (PKU)</t>
        </is>
      </c>
      <c r="AI2995" t="n">
        <v>102</v>
      </c>
      <c r="AJ2995" t="inlineStr">
        <is>
          <t>MAKARIZO</t>
        </is>
      </c>
      <c r="AK2995" t="n">
        <v>21</v>
      </c>
      <c r="AL2995" t="inlineStr">
        <is>
          <t>Miss Glam Damar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MAKARIZO</t>
        </is>
      </c>
      <c r="B2996" s="2">
        <f>"800142384453"</f>
        <v/>
      </c>
      <c r="C2996" t="inlineStr">
        <is>
          <t>MAKARIZO Hair Energy Scentsations Fresh Bouquet 30ml</t>
        </is>
      </c>
      <c r="D2996" t="inlineStr">
        <is>
          <t>Miss Glam Damar</t>
        </is>
      </c>
      <c r="E2996" t="n">
        <v>9</v>
      </c>
      <c r="F2996" t="n">
        <v>0.5277999999999999</v>
      </c>
      <c r="G2996" t="n">
        <v>2.73</v>
      </c>
      <c r="H2996" t="n">
        <v>6</v>
      </c>
      <c r="I2996" t="n">
        <v>11</v>
      </c>
      <c r="J2996" t="n">
        <v>3</v>
      </c>
      <c r="K2996" t="n">
        <v>0</v>
      </c>
      <c r="L2996" t="n">
        <v>10378</v>
      </c>
      <c r="M2996" t="n">
        <v>12700</v>
      </c>
      <c r="N2996" t="n">
        <v>91</v>
      </c>
      <c r="O2996" t="n">
        <v>0.91</v>
      </c>
      <c r="P2996" t="n">
        <v>1</v>
      </c>
      <c r="Q2996" t="n">
        <v>0.42</v>
      </c>
      <c r="R2996" t="n">
        <v>3</v>
      </c>
      <c r="S2996" t="n">
        <v>6703.059999999999</v>
      </c>
      <c r="T2996" t="n">
        <v>27</v>
      </c>
      <c r="U2996" t="n">
        <v>31</v>
      </c>
      <c r="V2996" t="n">
        <v>30</v>
      </c>
      <c r="W2996" t="n">
        <v>16</v>
      </c>
      <c r="X2996" t="n">
        <v>17.05191360363774</v>
      </c>
      <c r="Y2996" t="n">
        <v>1</v>
      </c>
      <c r="Z2996" t="n">
        <v>7</v>
      </c>
      <c r="AA2996" t="n">
        <v>0</v>
      </c>
      <c r="AB2996" t="n">
        <v>7</v>
      </c>
      <c r="AC2996" t="n">
        <v>7</v>
      </c>
      <c r="AD2996" t="n">
        <v>0</v>
      </c>
      <c r="AE2996" t="n">
        <v>72646</v>
      </c>
      <c r="AF2996" t="n">
        <v>2301</v>
      </c>
      <c r="AG2996" t="n">
        <v>2034</v>
      </c>
      <c r="AH2996" t="inlineStr">
        <is>
          <t>PT. AKASHA WIRA INTERNATIONAL TBK  - PPN (PKU)</t>
        </is>
      </c>
      <c r="AI2996" t="n">
        <v>102</v>
      </c>
      <c r="AJ2996" t="inlineStr">
        <is>
          <t>MAKARIZO</t>
        </is>
      </c>
      <c r="AK2996" t="n">
        <v>21</v>
      </c>
      <c r="AL2996" t="inlineStr">
        <is>
          <t>Miss Glam Damar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MAKARIZO</t>
        </is>
      </c>
      <c r="B2997" s="2">
        <f>"800142384446"</f>
        <v/>
      </c>
      <c r="C2997" t="inlineStr">
        <is>
          <t>MAKARIZO Hair Energy Scentsations Hair Fragrance Cherry Blossom 30ml</t>
        </is>
      </c>
      <c r="D2997" t="inlineStr">
        <is>
          <t>Miss Glam Damar</t>
        </is>
      </c>
      <c r="E2997" t="n">
        <v>52</v>
      </c>
      <c r="F2997" t="n">
        <v>1.4469</v>
      </c>
      <c r="G2997" t="n">
        <v>3.64</v>
      </c>
      <c r="H2997" t="n">
        <v>6</v>
      </c>
      <c r="I2997" t="n">
        <v>11</v>
      </c>
      <c r="J2997" t="n">
        <v>3</v>
      </c>
      <c r="K2997" t="n">
        <v>0</v>
      </c>
      <c r="L2997" t="n">
        <v>10378</v>
      </c>
      <c r="M2997" t="n">
        <v>12700</v>
      </c>
      <c r="N2997" t="n">
        <v>91</v>
      </c>
      <c r="O2997" t="n">
        <v>0.91</v>
      </c>
      <c r="P2997" t="n">
        <v>1</v>
      </c>
      <c r="Q2997" t="n">
        <v>0.92</v>
      </c>
      <c r="R2997" t="n">
        <v>4</v>
      </c>
      <c r="S2997" t="n">
        <v>18375.63</v>
      </c>
      <c r="T2997" t="n">
        <v>32</v>
      </c>
      <c r="U2997" t="n">
        <v>41</v>
      </c>
      <c r="V2997" t="n">
        <v>30</v>
      </c>
      <c r="W2997" t="n">
        <v>44</v>
      </c>
      <c r="X2997" t="n">
        <v>35.93890386343217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2301</v>
      </c>
      <c r="AG2997" t="n">
        <v>2034</v>
      </c>
      <c r="AH2997" t="inlineStr">
        <is>
          <t>PT. AKASHA WIRA INTERNATIONAL TBK  - PPN (PKU)</t>
        </is>
      </c>
      <c r="AI2997" t="n">
        <v>102</v>
      </c>
      <c r="AJ2997" t="inlineStr">
        <is>
          <t>MAKARIZO</t>
        </is>
      </c>
      <c r="AK2997" t="n">
        <v>21</v>
      </c>
      <c r="AL2997" t="inlineStr">
        <is>
          <t>Miss Glam Damar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MAKARIZO</t>
        </is>
      </c>
      <c r="B2998" s="2">
        <f>"800142384422"</f>
        <v/>
      </c>
      <c r="C2998" t="inlineStr">
        <is>
          <t>MAKARIZO Hair Energy Scentsations Hair Fragrance Morning Dew 30ml</t>
        </is>
      </c>
      <c r="D2998" t="inlineStr">
        <is>
          <t>Miss Glam Damar</t>
        </is>
      </c>
      <c r="E2998" t="n">
        <v>19</v>
      </c>
      <c r="F2998" t="n">
        <v>0.8827</v>
      </c>
      <c r="G2998" t="n">
        <v>3.64</v>
      </c>
      <c r="H2998" t="n">
        <v>6</v>
      </c>
      <c r="I2998" t="n">
        <v>11</v>
      </c>
      <c r="J2998" t="n">
        <v>3</v>
      </c>
      <c r="K2998" t="n">
        <v>0</v>
      </c>
      <c r="L2998" t="n">
        <v>10378</v>
      </c>
      <c r="M2998" t="n">
        <v>13000</v>
      </c>
      <c r="N2998" t="n">
        <v>91</v>
      </c>
      <c r="O2998" t="n">
        <v>0.91</v>
      </c>
      <c r="P2998" t="n">
        <v>1</v>
      </c>
      <c r="Q2998" t="n">
        <v>0.95</v>
      </c>
      <c r="R2998" t="n">
        <v>5</v>
      </c>
      <c r="S2998" t="n">
        <v>11475.1</v>
      </c>
      <c r="T2998" t="n">
        <v>35</v>
      </c>
      <c r="U2998" t="n">
        <v>41</v>
      </c>
      <c r="V2998" t="n">
        <v>30</v>
      </c>
      <c r="W2998" t="n">
        <v>27</v>
      </c>
      <c r="X2998" t="n">
        <v>21.52486688569163</v>
      </c>
      <c r="Y2998" t="n">
        <v>1</v>
      </c>
      <c r="Z2998" t="n">
        <v>8</v>
      </c>
      <c r="AA2998" t="n">
        <v>0</v>
      </c>
      <c r="AB2998" t="n">
        <v>8</v>
      </c>
      <c r="AC2998" t="n">
        <v>8</v>
      </c>
      <c r="AD2998" t="n">
        <v>0</v>
      </c>
      <c r="AE2998" t="n">
        <v>83024</v>
      </c>
      <c r="AF2998" t="n">
        <v>2301</v>
      </c>
      <c r="AG2998" t="n">
        <v>2034</v>
      </c>
      <c r="AH2998" t="inlineStr">
        <is>
          <t>PT. AKASHA WIRA INTERNATIONAL TBK  - PPN (PKU)</t>
        </is>
      </c>
      <c r="AI2998" t="n">
        <v>102</v>
      </c>
      <c r="AJ2998" t="inlineStr">
        <is>
          <t>MAKARIZO</t>
        </is>
      </c>
      <c r="AK2998" t="n">
        <v>21</v>
      </c>
      <c r="AL2998" t="inlineStr">
        <is>
          <t>Miss Glam Damar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MAKARIZO</t>
        </is>
      </c>
      <c r="B2999" s="2">
        <f>"800142384507"</f>
        <v/>
      </c>
      <c r="C2999" t="inlineStr">
        <is>
          <t>MAKARIZO Hair Energy Shampoo Royal Jelly Extract 170ml</t>
        </is>
      </c>
      <c r="D2999" t="inlineStr">
        <is>
          <t>Miss Glam Damar</t>
        </is>
      </c>
      <c r="E2999" t="n">
        <v>22</v>
      </c>
      <c r="F2999" t="n">
        <v>1.1557</v>
      </c>
      <c r="G2999" t="n">
        <v>4.55</v>
      </c>
      <c r="H2999" t="n">
        <v>6</v>
      </c>
      <c r="I2999" t="n">
        <v>11</v>
      </c>
      <c r="J2999" t="n">
        <v>3</v>
      </c>
      <c r="K2999" t="n">
        <v>0</v>
      </c>
      <c r="L2999" t="n">
        <v>19691</v>
      </c>
      <c r="M2999" t="n">
        <v>25500</v>
      </c>
      <c r="N2999" t="n">
        <v>91</v>
      </c>
      <c r="O2999" t="n">
        <v>0.91</v>
      </c>
      <c r="P2999" t="n">
        <v>1</v>
      </c>
      <c r="Q2999" t="n">
        <v>1.25</v>
      </c>
      <c r="R2999" t="n">
        <v>4</v>
      </c>
      <c r="S2999" t="n">
        <v>29470.35</v>
      </c>
      <c r="T2999" t="n">
        <v>44</v>
      </c>
      <c r="U2999" t="n">
        <v>51</v>
      </c>
      <c r="V2999" t="n">
        <v>30</v>
      </c>
      <c r="W2999" t="n">
        <v>35</v>
      </c>
      <c r="X2999" t="n">
        <v>19.03608202820801</v>
      </c>
      <c r="Y2999" t="n">
        <v>1</v>
      </c>
      <c r="Z2999" t="n">
        <v>13</v>
      </c>
      <c r="AA2999" t="n">
        <v>0</v>
      </c>
      <c r="AB2999" t="n">
        <v>13</v>
      </c>
      <c r="AC2999" t="n">
        <v>13</v>
      </c>
      <c r="AD2999" t="n">
        <v>0</v>
      </c>
      <c r="AE2999" t="n">
        <v>255983</v>
      </c>
      <c r="AF2999" t="n">
        <v>2301</v>
      </c>
      <c r="AG2999" t="n">
        <v>2034</v>
      </c>
      <c r="AH2999" t="inlineStr">
        <is>
          <t>PT. AKASHA WIRA INTERNATIONAL TBK  - PPN (PKU)</t>
        </is>
      </c>
      <c r="AI2999" t="n">
        <v>102</v>
      </c>
      <c r="AJ2999" t="inlineStr">
        <is>
          <t>MAKARIZO</t>
        </is>
      </c>
      <c r="AK2999" t="n">
        <v>21</v>
      </c>
      <c r="AL2999" t="inlineStr">
        <is>
          <t>Miss Glam Damar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MAKARIZO</t>
        </is>
      </c>
      <c r="B3000" s="2">
        <f>"8992982400195"</f>
        <v/>
      </c>
      <c r="C3000" t="inlineStr">
        <is>
          <t>MAKARIZO Hair Energy Vitaglits Hair Serum Royal Jelly 6X1ml</t>
        </is>
      </c>
      <c r="D3000" t="inlineStr">
        <is>
          <t>Miss Glam Damar</t>
        </is>
      </c>
      <c r="E3000" t="n">
        <v>46</v>
      </c>
      <c r="F3000" t="n">
        <v>4.0586</v>
      </c>
      <c r="G3000" t="n">
        <v>10.92</v>
      </c>
      <c r="H3000" t="n">
        <v>6</v>
      </c>
      <c r="I3000" t="n">
        <v>11</v>
      </c>
      <c r="J3000" t="n">
        <v>3</v>
      </c>
      <c r="K3000" t="n">
        <v>0</v>
      </c>
      <c r="L3000" t="n">
        <v>9700</v>
      </c>
      <c r="M3000" t="n">
        <v>12000</v>
      </c>
      <c r="N3000" t="n">
        <v>91</v>
      </c>
      <c r="O3000" t="n">
        <v>0.91</v>
      </c>
      <c r="P3000" t="n">
        <v>1</v>
      </c>
      <c r="Q3000" t="n">
        <v>2.47</v>
      </c>
      <c r="R3000" t="n">
        <v>7</v>
      </c>
      <c r="S3000" t="n">
        <v>48703.2</v>
      </c>
      <c r="T3000" t="n">
        <v>96</v>
      </c>
      <c r="U3000" t="n">
        <v>121</v>
      </c>
      <c r="V3000" t="n">
        <v>30</v>
      </c>
      <c r="W3000" t="n">
        <v>122</v>
      </c>
      <c r="X3000" t="n">
        <v>11.33395752229833</v>
      </c>
      <c r="Y3000" t="n">
        <v>1</v>
      </c>
      <c r="Z3000" t="n">
        <v>76</v>
      </c>
      <c r="AA3000" t="n">
        <v>0</v>
      </c>
      <c r="AB3000" t="n">
        <v>76</v>
      </c>
      <c r="AC3000" t="n">
        <v>76</v>
      </c>
      <c r="AD3000" t="n">
        <v>0</v>
      </c>
      <c r="AE3000" t="n">
        <v>737200</v>
      </c>
      <c r="AF3000" t="n">
        <v>2301</v>
      </c>
      <c r="AG3000" t="n">
        <v>2034</v>
      </c>
      <c r="AH3000" t="inlineStr">
        <is>
          <t>PT. AKASHA WIRA INTERNATIONAL TBK  - PPN (PKU)</t>
        </is>
      </c>
      <c r="AI3000" t="n">
        <v>102</v>
      </c>
      <c r="AJ3000" t="inlineStr">
        <is>
          <t>MAKARIZO</t>
        </is>
      </c>
      <c r="AK3000" t="n">
        <v>21</v>
      </c>
      <c r="AL3000" t="inlineStr">
        <is>
          <t>Miss Glam Damar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MAKARIZO</t>
        </is>
      </c>
      <c r="B3001" s="2">
        <f>"8992982400171"</f>
        <v/>
      </c>
      <c r="C3001" t="inlineStr">
        <is>
          <t>MAKARIZO Hair Energy Vitaglitz Serum Aloe Melon 6x1 ml</t>
        </is>
      </c>
      <c r="D3001" t="inlineStr">
        <is>
          <t>Miss Glam Damar</t>
        </is>
      </c>
      <c r="E3001" t="n">
        <v>23</v>
      </c>
      <c r="F3001" t="n">
        <v>1.7927</v>
      </c>
      <c r="G3001" t="n">
        <v>7.28</v>
      </c>
      <c r="H3001" t="n">
        <v>6</v>
      </c>
      <c r="I3001" t="n">
        <v>11</v>
      </c>
      <c r="J3001" t="n">
        <v>3</v>
      </c>
      <c r="K3001" t="n">
        <v>0</v>
      </c>
      <c r="L3001" t="n">
        <v>9700</v>
      </c>
      <c r="M3001" t="n">
        <v>12000</v>
      </c>
      <c r="N3001" t="n">
        <v>91</v>
      </c>
      <c r="O3001" t="n">
        <v>0.91</v>
      </c>
      <c r="P3001" t="n">
        <v>1</v>
      </c>
      <c r="Q3001" t="n">
        <v>1.37</v>
      </c>
      <c r="R3001" t="n">
        <v>5</v>
      </c>
      <c r="S3001" t="n">
        <v>21512.4</v>
      </c>
      <c r="T3001" t="n">
        <v>70</v>
      </c>
      <c r="U3001" t="n">
        <v>81</v>
      </c>
      <c r="V3001" t="n">
        <v>30</v>
      </c>
      <c r="W3001" t="n">
        <v>54</v>
      </c>
      <c r="X3001" t="n">
        <v>12.8298097841245</v>
      </c>
      <c r="Y3001" t="n">
        <v>1</v>
      </c>
      <c r="Z3001" t="n">
        <v>31</v>
      </c>
      <c r="AA3001" t="n">
        <v>0</v>
      </c>
      <c r="AB3001" t="n">
        <v>31</v>
      </c>
      <c r="AC3001" t="n">
        <v>31</v>
      </c>
      <c r="AD3001" t="n">
        <v>0</v>
      </c>
      <c r="AE3001" t="n">
        <v>300700</v>
      </c>
      <c r="AF3001" t="n">
        <v>2301</v>
      </c>
      <c r="AG3001" t="n">
        <v>2034</v>
      </c>
      <c r="AH3001" t="inlineStr">
        <is>
          <t>PT. AKASHA WIRA INTERNATIONAL TBK  - PPN (PKU)</t>
        </is>
      </c>
      <c r="AI3001" t="n">
        <v>102</v>
      </c>
      <c r="AJ3001" t="inlineStr">
        <is>
          <t>MAKARIZO</t>
        </is>
      </c>
      <c r="AK3001" t="n">
        <v>21</v>
      </c>
      <c r="AL3001" t="inlineStr">
        <is>
          <t>Miss Glam Damar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MAKARIZO</t>
        </is>
      </c>
      <c r="B3002" s="2">
        <f>"800142384835"</f>
        <v/>
      </c>
      <c r="C3002" t="inlineStr">
        <is>
          <t>MAKARIZO Hair Energy White Musk 100ml</t>
        </is>
      </c>
      <c r="D3002" t="inlineStr">
        <is>
          <t>Miss Glam Damar</t>
        </is>
      </c>
      <c r="E3002" t="n">
        <v>23</v>
      </c>
      <c r="F3002" t="n">
        <v>2.9575</v>
      </c>
      <c r="G3002" t="n">
        <v>9.1</v>
      </c>
      <c r="H3002" t="n">
        <v>6</v>
      </c>
      <c r="I3002" t="n">
        <v>11</v>
      </c>
      <c r="J3002" t="n">
        <v>3</v>
      </c>
      <c r="K3002" t="n">
        <v>0</v>
      </c>
      <c r="L3002" t="n">
        <v>22406</v>
      </c>
      <c r="M3002" t="n">
        <v>27500</v>
      </c>
      <c r="N3002" t="n">
        <v>91</v>
      </c>
      <c r="O3002" t="n">
        <v>0.91</v>
      </c>
      <c r="P3002" t="n">
        <v>1</v>
      </c>
      <c r="Q3002" t="n">
        <v>1.46</v>
      </c>
      <c r="R3002" t="n">
        <v>3</v>
      </c>
      <c r="S3002" t="n">
        <v>81331.25</v>
      </c>
      <c r="T3002" t="n">
        <v>83</v>
      </c>
      <c r="U3002" t="n">
        <v>101</v>
      </c>
      <c r="V3002" t="n">
        <v>30</v>
      </c>
      <c r="W3002" t="n">
        <v>89</v>
      </c>
      <c r="X3002" t="n">
        <v>7.776838546069316</v>
      </c>
      <c r="Y3002" t="n">
        <v>1</v>
      </c>
      <c r="Z3002" t="n">
        <v>66</v>
      </c>
      <c r="AA3002" t="n">
        <v>10</v>
      </c>
      <c r="AB3002" t="n">
        <v>56</v>
      </c>
      <c r="AC3002" t="n">
        <v>56</v>
      </c>
      <c r="AD3002" t="n">
        <v>224060</v>
      </c>
      <c r="AE3002" t="n">
        <v>1254736</v>
      </c>
      <c r="AF3002" t="n">
        <v>2301</v>
      </c>
      <c r="AG3002" t="n">
        <v>2034</v>
      </c>
      <c r="AH3002" t="inlineStr">
        <is>
          <t>PT. AKASHA WIRA INTERNATIONAL TBK  - PPN (PKU)</t>
        </is>
      </c>
      <c r="AI3002" t="n">
        <v>102</v>
      </c>
      <c r="AJ3002" t="inlineStr">
        <is>
          <t>MAKARIZO</t>
        </is>
      </c>
      <c r="AK3002" t="n">
        <v>21</v>
      </c>
      <c r="AL3002" t="inlineStr">
        <is>
          <t>Miss Glam Damar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MAKARIZO</t>
        </is>
      </c>
      <c r="B3003" s="2">
        <f>"800142207103"</f>
        <v/>
      </c>
      <c r="C3003" t="inlineStr">
        <is>
          <t>MAKARIZO Hair Mask Repair 15ml</t>
        </is>
      </c>
      <c r="D3003" t="inlineStr">
        <is>
          <t>Miss Glam Damar</t>
        </is>
      </c>
      <c r="E3003" t="n">
        <v>10</v>
      </c>
      <c r="F3003" t="n">
        <v>2.8665</v>
      </c>
      <c r="G3003" t="n">
        <v>10.92</v>
      </c>
      <c r="H3003" t="n">
        <v>6</v>
      </c>
      <c r="I3003" t="n">
        <v>11</v>
      </c>
      <c r="J3003" t="n">
        <v>3</v>
      </c>
      <c r="K3003" t="n">
        <v>0</v>
      </c>
      <c r="L3003" t="n">
        <v>4672</v>
      </c>
      <c r="M3003" t="n">
        <v>6000</v>
      </c>
      <c r="N3003" t="n">
        <v>91</v>
      </c>
      <c r="O3003" t="n">
        <v>0.91</v>
      </c>
      <c r="P3003" t="n">
        <v>1</v>
      </c>
      <c r="Q3003" t="n">
        <v>1.05</v>
      </c>
      <c r="R3003" t="n">
        <v>7</v>
      </c>
      <c r="S3003" t="n">
        <v>17199</v>
      </c>
      <c r="T3003" t="n">
        <v>103</v>
      </c>
      <c r="U3003" t="n">
        <v>121</v>
      </c>
      <c r="V3003" t="n">
        <v>30</v>
      </c>
      <c r="W3003" t="n">
        <v>86</v>
      </c>
      <c r="X3003" t="n">
        <v>3.488574917146346</v>
      </c>
      <c r="Y3003" t="n">
        <v>1</v>
      </c>
      <c r="Z3003" t="n">
        <v>76</v>
      </c>
      <c r="AA3003" t="n">
        <v>22</v>
      </c>
      <c r="AB3003" t="n">
        <v>54</v>
      </c>
      <c r="AC3003" t="n">
        <v>54</v>
      </c>
      <c r="AD3003" t="n">
        <v>102784</v>
      </c>
      <c r="AE3003" t="n">
        <v>252288</v>
      </c>
      <c r="AF3003" t="n">
        <v>2301</v>
      </c>
      <c r="AG3003" t="n">
        <v>2034</v>
      </c>
      <c r="AH3003" t="inlineStr">
        <is>
          <t>PT. AKASHA WIRA INTERNATIONAL TBK  - PPN (PKU)</t>
        </is>
      </c>
      <c r="AI3003" t="n">
        <v>102</v>
      </c>
      <c r="AJ3003" t="inlineStr">
        <is>
          <t>MAKARIZO</t>
        </is>
      </c>
      <c r="AK3003" t="n">
        <v>21</v>
      </c>
      <c r="AL3003" t="inlineStr">
        <is>
          <t>Miss Glam Damar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MAKARIZO</t>
        </is>
      </c>
      <c r="B3004" s="2">
        <f>"800142332003"</f>
        <v/>
      </c>
      <c r="C3004" t="inlineStr">
        <is>
          <t>MAKARIZO Hair Repair Mask Advisor 45ml</t>
        </is>
      </c>
      <c r="D3004" t="inlineStr">
        <is>
          <t>Miss Glam Damar</t>
        </is>
      </c>
      <c r="E3004" t="n">
        <v>22</v>
      </c>
      <c r="F3004" t="n">
        <v>1.0465</v>
      </c>
      <c r="G3004" t="n">
        <v>5.46</v>
      </c>
      <c r="H3004" t="n">
        <v>6</v>
      </c>
      <c r="I3004" t="n">
        <v>11</v>
      </c>
      <c r="J3004" t="n">
        <v>3</v>
      </c>
      <c r="K3004" t="n">
        <v>0</v>
      </c>
      <c r="L3004" t="n">
        <v>13494</v>
      </c>
      <c r="M3004" t="n">
        <v>16600</v>
      </c>
      <c r="N3004" t="n">
        <v>91</v>
      </c>
      <c r="O3004" t="n">
        <v>0.91</v>
      </c>
      <c r="P3004" t="n">
        <v>1</v>
      </c>
      <c r="Q3004" t="n">
        <v>0.92</v>
      </c>
      <c r="R3004" t="n">
        <v>4</v>
      </c>
      <c r="S3004" t="n">
        <v>17371.9</v>
      </c>
      <c r="T3004" t="n">
        <v>54</v>
      </c>
      <c r="U3004" t="n">
        <v>61</v>
      </c>
      <c r="V3004" t="n">
        <v>30</v>
      </c>
      <c r="W3004" t="n">
        <v>32</v>
      </c>
      <c r="X3004" t="n">
        <v>21.0224558050645</v>
      </c>
      <c r="Y3004" t="n">
        <v>1</v>
      </c>
      <c r="Z3004" t="n">
        <v>10</v>
      </c>
      <c r="AA3004" t="n">
        <v>0</v>
      </c>
      <c r="AB3004" t="n">
        <v>10</v>
      </c>
      <c r="AC3004" t="n">
        <v>10</v>
      </c>
      <c r="AD3004" t="n">
        <v>0</v>
      </c>
      <c r="AE3004" t="n">
        <v>134940</v>
      </c>
      <c r="AF3004" t="n">
        <v>2301</v>
      </c>
      <c r="AG3004" t="n">
        <v>2034</v>
      </c>
      <c r="AH3004" t="inlineStr">
        <is>
          <t>PT. AKASHA WIRA INTERNATIONAL TBK  - PPN (PKU)</t>
        </is>
      </c>
      <c r="AI3004" t="n">
        <v>102</v>
      </c>
      <c r="AJ3004" t="inlineStr">
        <is>
          <t>MAKARIZO</t>
        </is>
      </c>
      <c r="AK3004" t="n">
        <v>21</v>
      </c>
      <c r="AL3004" t="inlineStr">
        <is>
          <t>Miss Glam Damar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MAKARIZO</t>
        </is>
      </c>
      <c r="B3005" s="2">
        <f>"8992982400058"</f>
        <v/>
      </c>
      <c r="C3005" t="inlineStr">
        <is>
          <t>MAKARIZO He Easy Straight Medium</t>
        </is>
      </c>
      <c r="D3005" t="inlineStr">
        <is>
          <t>Miss Glam Damar</t>
        </is>
      </c>
      <c r="E3005" t="n">
        <v>12</v>
      </c>
      <c r="F3005" t="n">
        <v>0.3549</v>
      </c>
      <c r="G3005" t="n">
        <v>3.64</v>
      </c>
      <c r="H3005" t="n">
        <v>6</v>
      </c>
      <c r="I3005" t="n">
        <v>11</v>
      </c>
      <c r="J3005" t="n">
        <v>3</v>
      </c>
      <c r="K3005" t="n">
        <v>0</v>
      </c>
      <c r="L3005" t="n">
        <v>18430</v>
      </c>
      <c r="M3005" t="n">
        <v>22500</v>
      </c>
      <c r="N3005" t="n">
        <v>91</v>
      </c>
      <c r="O3005" t="n">
        <v>0.91</v>
      </c>
      <c r="P3005" t="n">
        <v>1</v>
      </c>
      <c r="Q3005" t="n">
        <v>0.1</v>
      </c>
      <c r="R3005" t="n">
        <v>2</v>
      </c>
      <c r="S3005" t="n">
        <v>7985.250000000001</v>
      </c>
      <c r="T3005" t="n">
        <v>38</v>
      </c>
      <c r="U3005" t="n">
        <v>41</v>
      </c>
      <c r="V3005" t="n">
        <v>30</v>
      </c>
      <c r="W3005" t="n">
        <v>11</v>
      </c>
      <c r="X3005" t="n">
        <v>33.81234150464919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2301</v>
      </c>
      <c r="AG3005" t="n">
        <v>2034</v>
      </c>
      <c r="AH3005" t="inlineStr">
        <is>
          <t>PT. AKASHA WIRA INTERNATIONAL TBK  - PPN (PKU)</t>
        </is>
      </c>
      <c r="AI3005" t="n">
        <v>102</v>
      </c>
      <c r="AJ3005" t="inlineStr">
        <is>
          <t>MAKARIZO</t>
        </is>
      </c>
      <c r="AK3005" t="n">
        <v>21</v>
      </c>
      <c r="AL3005" t="inlineStr">
        <is>
          <t>Miss Glam Damar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MAKARIZO</t>
        </is>
      </c>
      <c r="B3006" s="2">
        <f>"8992982400065"</f>
        <v/>
      </c>
      <c r="C3006" t="inlineStr">
        <is>
          <t>MAKARIZO He Easy Straight Strong 80ml</t>
        </is>
      </c>
      <c r="D3006" t="inlineStr">
        <is>
          <t>Miss Glam Damar</t>
        </is>
      </c>
      <c r="E3006" t="n">
        <v>18</v>
      </c>
      <c r="F3006" t="n">
        <v>0.5369</v>
      </c>
      <c r="G3006" t="n">
        <v>2.73</v>
      </c>
      <c r="H3006" t="n">
        <v>6</v>
      </c>
      <c r="I3006" t="n">
        <v>11</v>
      </c>
      <c r="J3006" t="n">
        <v>3</v>
      </c>
      <c r="K3006" t="n">
        <v>0</v>
      </c>
      <c r="L3006" t="n">
        <v>18430</v>
      </c>
      <c r="M3006" t="n">
        <v>22500</v>
      </c>
      <c r="N3006" t="n">
        <v>91</v>
      </c>
      <c r="O3006" t="n">
        <v>0.91</v>
      </c>
      <c r="P3006" t="n">
        <v>1</v>
      </c>
      <c r="Q3006" t="n">
        <v>0.19</v>
      </c>
      <c r="R3006" t="n">
        <v>2</v>
      </c>
      <c r="S3006" t="n">
        <v>12080.25</v>
      </c>
      <c r="T3006" t="n">
        <v>27</v>
      </c>
      <c r="U3006" t="n">
        <v>31</v>
      </c>
      <c r="V3006" t="n">
        <v>30</v>
      </c>
      <c r="W3006" t="n">
        <v>17</v>
      </c>
      <c r="X3006" t="n">
        <v>33.52579623766064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2301</v>
      </c>
      <c r="AG3006" t="n">
        <v>2034</v>
      </c>
      <c r="AH3006" t="inlineStr">
        <is>
          <t>PT. AKASHA WIRA INTERNATIONAL TBK  - PPN (PKU)</t>
        </is>
      </c>
      <c r="AI3006" t="n">
        <v>102</v>
      </c>
      <c r="AJ3006" t="inlineStr">
        <is>
          <t>MAKARIZO</t>
        </is>
      </c>
      <c r="AK3006" t="n">
        <v>21</v>
      </c>
      <c r="AL3006" t="inlineStr">
        <is>
          <t>Miss Glam Damar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MAKARIZO</t>
        </is>
      </c>
      <c r="B3007" s="2">
        <f>"40200634853"</f>
        <v/>
      </c>
      <c r="C3007" t="inlineStr">
        <is>
          <t>MAKARIZO HE EASYCOLOURZ Natural Hair Colour Light Brown Sachet 26ml - KIT</t>
        </is>
      </c>
      <c r="D3007" t="inlineStr">
        <is>
          <t>Miss Glam Damar</t>
        </is>
      </c>
      <c r="E3007" t="n">
        <v>59</v>
      </c>
      <c r="F3007" t="n">
        <v>3.822000000000001</v>
      </c>
      <c r="G3007" t="n">
        <v>13.65</v>
      </c>
      <c r="H3007" t="n">
        <v>6</v>
      </c>
      <c r="I3007" t="n">
        <v>11</v>
      </c>
      <c r="J3007" t="n">
        <v>1</v>
      </c>
      <c r="K3007" t="n">
        <v>0</v>
      </c>
      <c r="L3007" t="n">
        <v>8147</v>
      </c>
      <c r="M3007" t="n">
        <v>10000</v>
      </c>
      <c r="N3007" t="n">
        <v>91</v>
      </c>
      <c r="O3007" t="n">
        <v>0.91</v>
      </c>
      <c r="P3007" t="n">
        <v>1</v>
      </c>
      <c r="Q3007" t="n">
        <v>1.53</v>
      </c>
      <c r="R3007" t="n">
        <v>7</v>
      </c>
      <c r="S3007" t="n">
        <v>38220.00000000001</v>
      </c>
      <c r="T3007" t="n">
        <v>128</v>
      </c>
      <c r="U3007" t="n">
        <v>151</v>
      </c>
      <c r="V3007" t="n">
        <v>30</v>
      </c>
      <c r="W3007" t="n">
        <v>115</v>
      </c>
      <c r="X3007" t="n">
        <v>15.43694400837258</v>
      </c>
      <c r="Y3007" t="n">
        <v>1</v>
      </c>
      <c r="Z3007" t="n">
        <v>56</v>
      </c>
      <c r="AA3007" t="n">
        <v>0</v>
      </c>
      <c r="AB3007" t="n">
        <v>56</v>
      </c>
      <c r="AC3007" t="n">
        <v>56</v>
      </c>
      <c r="AD3007" t="n">
        <v>0</v>
      </c>
      <c r="AE3007" t="n">
        <v>456232</v>
      </c>
      <c r="AF3007" t="n">
        <v>2301</v>
      </c>
      <c r="AG3007" t="n">
        <v>2034</v>
      </c>
      <c r="AH3007" t="inlineStr">
        <is>
          <t>PT. AKASHA WIRA INTERNATIONAL TBK  - PPN (PKU)</t>
        </is>
      </c>
      <c r="AI3007" t="n">
        <v>102</v>
      </c>
      <c r="AJ3007" t="inlineStr">
        <is>
          <t>MAKARIZO</t>
        </is>
      </c>
      <c r="AK3007" t="n">
        <v>21</v>
      </c>
      <c r="AL3007" t="inlineStr">
        <is>
          <t>Miss Glam Damar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MAKARIZO</t>
        </is>
      </c>
      <c r="B3008" s="2">
        <f>"40200634751"</f>
        <v/>
      </c>
      <c r="C3008" t="inlineStr">
        <is>
          <t>MAKARIZO HE EASYCOLOURZ Natural Hair Colour Natural Black Sachet 26ml - KIT</t>
        </is>
      </c>
      <c r="D3008" t="inlineStr">
        <is>
          <t>Miss Glam Damar</t>
        </is>
      </c>
      <c r="E3008" t="n">
        <v>28</v>
      </c>
      <c r="F3008" t="n">
        <v>0.4641</v>
      </c>
      <c r="G3008" t="n">
        <v>4.55</v>
      </c>
      <c r="H3008" t="n">
        <v>6</v>
      </c>
      <c r="I3008" t="n">
        <v>11</v>
      </c>
      <c r="J3008" t="n">
        <v>1</v>
      </c>
      <c r="K3008" t="n">
        <v>0</v>
      </c>
      <c r="L3008" t="n">
        <v>8147</v>
      </c>
      <c r="M3008" t="n">
        <v>10000</v>
      </c>
      <c r="N3008" t="n">
        <v>91</v>
      </c>
      <c r="O3008" t="n">
        <v>0.91</v>
      </c>
      <c r="P3008" t="n">
        <v>1</v>
      </c>
      <c r="Q3008" t="n">
        <v>0.17</v>
      </c>
      <c r="R3008" t="n">
        <v>2</v>
      </c>
      <c r="S3008" t="n">
        <v>4641</v>
      </c>
      <c r="T3008" t="n">
        <v>48</v>
      </c>
      <c r="U3008" t="n">
        <v>51</v>
      </c>
      <c r="V3008" t="n">
        <v>30</v>
      </c>
      <c r="W3008" t="n">
        <v>14</v>
      </c>
      <c r="X3008" t="n">
        <v>60.33182503770739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2301</v>
      </c>
      <c r="AG3008" t="n">
        <v>2034</v>
      </c>
      <c r="AH3008" t="inlineStr">
        <is>
          <t>PT. AKASHA WIRA INTERNATIONAL TBK  - PPN (PKU)</t>
        </is>
      </c>
      <c r="AI3008" t="n">
        <v>102</v>
      </c>
      <c r="AJ3008" t="inlineStr">
        <is>
          <t>MAKARIZO</t>
        </is>
      </c>
      <c r="AK3008" t="n">
        <v>21</v>
      </c>
      <c r="AL3008" t="inlineStr">
        <is>
          <t>Miss Glam Damar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MAKARIZO</t>
        </is>
      </c>
      <c r="B3009" s="2">
        <f>"40100151828"</f>
        <v/>
      </c>
      <c r="C3009" t="inlineStr">
        <is>
          <t>MAKARIZO HE Fibertherapy Conditioning Shampoo Citrus Tea Bottle 170ml NEW</t>
        </is>
      </c>
      <c r="D3009" t="inlineStr">
        <is>
          <t>Miss Glam Damar</t>
        </is>
      </c>
      <c r="E3009" t="n">
        <v>35</v>
      </c>
      <c r="F3009" t="n">
        <v>1.4924</v>
      </c>
      <c r="G3009" t="n">
        <v>4.55</v>
      </c>
      <c r="H3009" t="n">
        <v>6</v>
      </c>
      <c r="I3009" t="n">
        <v>11</v>
      </c>
      <c r="J3009" t="n">
        <v>1</v>
      </c>
      <c r="K3009" t="n">
        <v>0</v>
      </c>
      <c r="L3009" t="n">
        <v>19691</v>
      </c>
      <c r="M3009" t="n">
        <v>23500</v>
      </c>
      <c r="N3009" t="n">
        <v>91</v>
      </c>
      <c r="O3009" t="n">
        <v>0.91</v>
      </c>
      <c r="P3009" t="n">
        <v>1</v>
      </c>
      <c r="Q3009" t="n">
        <v>1.12</v>
      </c>
      <c r="R3009" t="n">
        <v>5</v>
      </c>
      <c r="S3009" t="n">
        <v>35071.4</v>
      </c>
      <c r="T3009" t="n">
        <v>42</v>
      </c>
      <c r="U3009" t="n">
        <v>51</v>
      </c>
      <c r="V3009" t="n">
        <v>30</v>
      </c>
      <c r="W3009" t="n">
        <v>45</v>
      </c>
      <c r="X3009" t="n">
        <v>23.45215759849906</v>
      </c>
      <c r="Y3009" t="n">
        <v>1</v>
      </c>
      <c r="Z3009" t="n">
        <v>10</v>
      </c>
      <c r="AA3009" t="n">
        <v>0</v>
      </c>
      <c r="AB3009" t="n">
        <v>10</v>
      </c>
      <c r="AC3009" t="n">
        <v>10</v>
      </c>
      <c r="AD3009" t="n">
        <v>0</v>
      </c>
      <c r="AE3009" t="n">
        <v>196910</v>
      </c>
      <c r="AF3009" t="n">
        <v>2301</v>
      </c>
      <c r="AG3009" t="n">
        <v>2034</v>
      </c>
      <c r="AH3009" t="inlineStr">
        <is>
          <t>PT. AKASHA WIRA INTERNATIONAL TBK  - PPN (PKU)</t>
        </is>
      </c>
      <c r="AI3009" t="n">
        <v>102</v>
      </c>
      <c r="AJ3009" t="inlineStr">
        <is>
          <t>MAKARIZO</t>
        </is>
      </c>
      <c r="AK3009" t="n">
        <v>21</v>
      </c>
      <c r="AL3009" t="inlineStr">
        <is>
          <t>Miss Glam Damar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MAKARIZO</t>
        </is>
      </c>
      <c r="B3010" s="2">
        <f>"40200807603"</f>
        <v/>
      </c>
      <c r="C3010" t="inlineStr">
        <is>
          <t>MAKARIZO HE Scentsation Hair Perfume Into the Wild Grass Bottle 100ml</t>
        </is>
      </c>
      <c r="D3010" t="inlineStr">
        <is>
          <t>Miss Glam Damar</t>
        </is>
      </c>
      <c r="E3010" t="n">
        <v>4</v>
      </c>
      <c r="F3010" t="n">
        <v>0.1547</v>
      </c>
      <c r="G3010" t="n">
        <v>1.82</v>
      </c>
      <c r="H3010" t="n">
        <v>6</v>
      </c>
      <c r="I3010" t="n">
        <v>11</v>
      </c>
      <c r="J3010" t="n">
        <v>1</v>
      </c>
      <c r="K3010" t="n">
        <v>0</v>
      </c>
      <c r="L3010" t="n">
        <v>32495</v>
      </c>
      <c r="M3010" t="n">
        <v>50500</v>
      </c>
      <c r="N3010" t="n">
        <v>91</v>
      </c>
      <c r="O3010" t="n">
        <v>0.91</v>
      </c>
      <c r="P3010" t="n">
        <v>1</v>
      </c>
      <c r="Q3010" t="n">
        <v>0.05</v>
      </c>
      <c r="R3010" t="n">
        <v>1</v>
      </c>
      <c r="S3010" t="n">
        <v>7812.35</v>
      </c>
      <c r="T3010" t="n">
        <v>20</v>
      </c>
      <c r="U3010" t="n">
        <v>21</v>
      </c>
      <c r="V3010" t="n">
        <v>30</v>
      </c>
      <c r="W3010" t="n">
        <v>5</v>
      </c>
      <c r="X3010" t="n">
        <v>25.85649644473174</v>
      </c>
      <c r="Y3010" t="n">
        <v>1</v>
      </c>
      <c r="Z3010" t="n">
        <v>1</v>
      </c>
      <c r="AA3010" t="n">
        <v>0</v>
      </c>
      <c r="AB3010" t="n">
        <v>1</v>
      </c>
      <c r="AC3010" t="n">
        <v>1</v>
      </c>
      <c r="AD3010" t="n">
        <v>0</v>
      </c>
      <c r="AE3010" t="n">
        <v>32495</v>
      </c>
      <c r="AF3010" t="n">
        <v>2301</v>
      </c>
      <c r="AG3010" t="n">
        <v>2034</v>
      </c>
      <c r="AH3010" t="inlineStr">
        <is>
          <t>PT. AKASHA WIRA INTERNATIONAL TBK  - PPN (PKU)</t>
        </is>
      </c>
      <c r="AI3010" t="n">
        <v>102</v>
      </c>
      <c r="AJ3010" t="inlineStr">
        <is>
          <t>MAKARIZO</t>
        </is>
      </c>
      <c r="AK3010" t="n">
        <v>21</v>
      </c>
      <c r="AL3010" t="inlineStr">
        <is>
          <t>Miss Glam Damar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MAKARIZO</t>
        </is>
      </c>
      <c r="B3011" s="2">
        <f>"40200807704"</f>
        <v/>
      </c>
      <c r="C3011" t="inlineStr">
        <is>
          <t>MAKARIZO HE Scentsation Hair Perfume It's Litchi Tea Time Bottle 100ml</t>
        </is>
      </c>
      <c r="D3011" t="inlineStr">
        <is>
          <t>Miss Glam Damar</t>
        </is>
      </c>
      <c r="E3011" t="n">
        <v>18</v>
      </c>
      <c r="F3011" t="n">
        <v>0.2002</v>
      </c>
      <c r="G3011" t="n">
        <v>1.82</v>
      </c>
      <c r="H3011" t="n">
        <v>6</v>
      </c>
      <c r="I3011" t="n">
        <v>11</v>
      </c>
      <c r="J3011" t="n">
        <v>1</v>
      </c>
      <c r="K3011" t="n">
        <v>0</v>
      </c>
      <c r="L3011" t="n">
        <v>39328</v>
      </c>
      <c r="M3011" t="n">
        <v>50500</v>
      </c>
      <c r="N3011" t="n">
        <v>91</v>
      </c>
      <c r="O3011" t="n">
        <v>0.91</v>
      </c>
      <c r="P3011" t="n">
        <v>1</v>
      </c>
      <c r="Q3011" t="n">
        <v>0.34</v>
      </c>
      <c r="R3011" t="n">
        <v>2</v>
      </c>
      <c r="S3011" t="n">
        <v>10110.1</v>
      </c>
      <c r="T3011" t="n">
        <v>19</v>
      </c>
      <c r="U3011" t="n">
        <v>21</v>
      </c>
      <c r="V3011" t="n">
        <v>30</v>
      </c>
      <c r="W3011" t="n">
        <v>7</v>
      </c>
      <c r="X3011" t="n">
        <v>89.91008991008991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2301</v>
      </c>
      <c r="AG3011" t="n">
        <v>2034</v>
      </c>
      <c r="AH3011" t="inlineStr">
        <is>
          <t>PT. AKASHA WIRA INTERNATIONAL TBK  - PPN (PKU)</t>
        </is>
      </c>
      <c r="AI3011" t="n">
        <v>102</v>
      </c>
      <c r="AJ3011" t="inlineStr">
        <is>
          <t>MAKARIZO</t>
        </is>
      </c>
      <c r="AK3011" t="n">
        <v>21</v>
      </c>
      <c r="AL3011" t="inlineStr">
        <is>
          <t>Miss Glam Damar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MAKARIZO</t>
        </is>
      </c>
      <c r="B3012" s="2">
        <f>"40200807814"</f>
        <v/>
      </c>
      <c r="C3012" t="inlineStr">
        <is>
          <t>MAKARIZO HE Scentsation Hair Perfume The Taste of Chocolate Bottle 100ml</t>
        </is>
      </c>
      <c r="D3012" t="inlineStr">
        <is>
          <t>Miss Glam Damar</t>
        </is>
      </c>
      <c r="E3012" t="n">
        <v>0</v>
      </c>
      <c r="F3012" t="n">
        <v>0.2639</v>
      </c>
      <c r="G3012" t="n">
        <v>1.82</v>
      </c>
      <c r="H3012" t="n">
        <v>6</v>
      </c>
      <c r="I3012" t="n">
        <v>11</v>
      </c>
      <c r="J3012" t="n">
        <v>1</v>
      </c>
      <c r="K3012" t="n">
        <v>0</v>
      </c>
      <c r="L3012" t="n">
        <v>41322</v>
      </c>
      <c r="M3012" t="n">
        <v>50500</v>
      </c>
      <c r="N3012" t="n">
        <v>91</v>
      </c>
      <c r="O3012" t="n">
        <v>0.91</v>
      </c>
      <c r="P3012" t="n">
        <v>1</v>
      </c>
      <c r="Q3012" t="n">
        <v>0.29</v>
      </c>
      <c r="R3012" t="n">
        <v>3</v>
      </c>
      <c r="S3012" t="n">
        <v>13326.95</v>
      </c>
      <c r="T3012" t="n">
        <v>19</v>
      </c>
      <c r="U3012" t="n">
        <v>21</v>
      </c>
      <c r="V3012" t="n">
        <v>30</v>
      </c>
      <c r="W3012" t="n">
        <v>8</v>
      </c>
      <c r="X3012" t="n">
        <v>0</v>
      </c>
      <c r="Y3012" t="n">
        <v>1</v>
      </c>
      <c r="Z3012" t="n">
        <v>8</v>
      </c>
      <c r="AA3012" t="n">
        <v>3</v>
      </c>
      <c r="AB3012" t="n">
        <v>5</v>
      </c>
      <c r="AC3012" t="n">
        <v>5</v>
      </c>
      <c r="AD3012" t="n">
        <v>123966</v>
      </c>
      <c r="AE3012" t="n">
        <v>206610</v>
      </c>
      <c r="AF3012" t="n">
        <v>2301</v>
      </c>
      <c r="AG3012" t="n">
        <v>2034</v>
      </c>
      <c r="AH3012" t="inlineStr">
        <is>
          <t>PT. AKASHA WIRA INTERNATIONAL TBK  - PPN (PKU)</t>
        </is>
      </c>
      <c r="AI3012" t="n">
        <v>102</v>
      </c>
      <c r="AJ3012" t="inlineStr">
        <is>
          <t>MAKARIZO</t>
        </is>
      </c>
      <c r="AK3012" t="n">
        <v>21</v>
      </c>
      <c r="AL3012" t="inlineStr">
        <is>
          <t>Miss Glam Damar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MAKARIZO</t>
        </is>
      </c>
      <c r="B3013" s="2">
        <f>"40200807902"</f>
        <v/>
      </c>
      <c r="C3013" t="inlineStr">
        <is>
          <t>MAKARIZO HE Scentsation Hair Perfume Under the Orange Tree Bottle 100ml</t>
        </is>
      </c>
      <c r="D3013" t="inlineStr">
        <is>
          <t>Miss Glam Damar</t>
        </is>
      </c>
      <c r="E3013" t="n">
        <v>15</v>
      </c>
      <c r="F3013" t="n">
        <v>0.04550000000000001</v>
      </c>
      <c r="G3013" t="n">
        <v>0.91</v>
      </c>
      <c r="H3013" t="n">
        <v>6</v>
      </c>
      <c r="I3013" t="n">
        <v>11</v>
      </c>
      <c r="J3013" t="n">
        <v>1</v>
      </c>
      <c r="K3013" t="n">
        <v>0</v>
      </c>
      <c r="L3013" t="n">
        <v>32495</v>
      </c>
      <c r="M3013" t="n">
        <v>50500</v>
      </c>
      <c r="N3013" t="n">
        <v>91</v>
      </c>
      <c r="O3013" t="n">
        <v>0.91</v>
      </c>
      <c r="P3013" t="n">
        <v>1</v>
      </c>
      <c r="Q3013" t="n">
        <v>0.1</v>
      </c>
      <c r="R3013" t="n">
        <v>1</v>
      </c>
      <c r="S3013" t="n">
        <v>2297.75</v>
      </c>
      <c r="T3013" t="n">
        <v>10</v>
      </c>
      <c r="U3013" t="n">
        <v>11</v>
      </c>
      <c r="V3013" t="n">
        <v>30</v>
      </c>
      <c r="W3013" t="n">
        <v>2</v>
      </c>
      <c r="X3013" t="n">
        <v>329.6703296703296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2301</v>
      </c>
      <c r="AG3013" t="n">
        <v>2034</v>
      </c>
      <c r="AH3013" t="inlineStr">
        <is>
          <t>PT. AKASHA WIRA INTERNATIONAL TBK  - PPN (PKU)</t>
        </is>
      </c>
      <c r="AI3013" t="n">
        <v>102</v>
      </c>
      <c r="AJ3013" t="inlineStr">
        <is>
          <t>MAKARIZO</t>
        </is>
      </c>
      <c r="AK3013" t="n">
        <v>21</v>
      </c>
      <c r="AL3013" t="inlineStr">
        <is>
          <t>Miss Glam Damar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MAKARIZO</t>
        </is>
      </c>
      <c r="B3014" s="2">
        <f>"40200807912"</f>
        <v/>
      </c>
      <c r="C3014" t="inlineStr">
        <is>
          <t>MAKARIZO HE Scentsations Hair Fragrance Emerland Crush 100ml</t>
        </is>
      </c>
      <c r="D3014" t="inlineStr">
        <is>
          <t>Miss Glam Damar</t>
        </is>
      </c>
      <c r="E3014" t="n">
        <v>26</v>
      </c>
      <c r="F3014" t="n">
        <v>0.5733</v>
      </c>
      <c r="G3014" t="n">
        <v>3.64</v>
      </c>
      <c r="H3014" t="n">
        <v>6</v>
      </c>
      <c r="I3014" t="n">
        <v>11</v>
      </c>
      <c r="J3014" t="n">
        <v>3</v>
      </c>
      <c r="K3014" t="n">
        <v>0</v>
      </c>
      <c r="L3014" t="n">
        <v>22406</v>
      </c>
      <c r="M3014" t="n">
        <v>27500</v>
      </c>
      <c r="N3014" t="n">
        <v>91</v>
      </c>
      <c r="O3014" t="n">
        <v>0.91</v>
      </c>
      <c r="P3014" t="n">
        <v>1</v>
      </c>
      <c r="Q3014" t="n">
        <v>0.39</v>
      </c>
      <c r="R3014" t="n">
        <v>2</v>
      </c>
      <c r="S3014" t="n">
        <v>15765.75</v>
      </c>
      <c r="T3014" t="n">
        <v>37</v>
      </c>
      <c r="U3014" t="n">
        <v>41</v>
      </c>
      <c r="V3014" t="n">
        <v>30</v>
      </c>
      <c r="W3014" t="n">
        <v>18</v>
      </c>
      <c r="X3014" t="n">
        <v>45.35147392290249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2301</v>
      </c>
      <c r="AG3014" t="n">
        <v>2034</v>
      </c>
      <c r="AH3014" t="inlineStr">
        <is>
          <t>PT. AKASHA WIRA INTERNATIONAL TBK  - PPN (PKU)</t>
        </is>
      </c>
      <c r="AI3014" t="n">
        <v>102</v>
      </c>
      <c r="AJ3014" t="inlineStr">
        <is>
          <t>MAKARIZO</t>
        </is>
      </c>
      <c r="AK3014" t="n">
        <v>21</v>
      </c>
      <c r="AL3014" t="inlineStr">
        <is>
          <t>Miss Glam Damar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MAKARIZO</t>
        </is>
      </c>
      <c r="B3015" s="2">
        <f>"40200808057"</f>
        <v/>
      </c>
      <c r="C3015" t="inlineStr">
        <is>
          <t>MAKARIZO HE Scentsations Hair Fragrance Fresh Bouquet 100mL</t>
        </is>
      </c>
      <c r="D3015" t="inlineStr">
        <is>
          <t>Miss Glam Damar</t>
        </is>
      </c>
      <c r="E3015" t="n">
        <v>23</v>
      </c>
      <c r="F3015" t="n">
        <v>0.7098000000000001</v>
      </c>
      <c r="G3015" t="n">
        <v>3.64</v>
      </c>
      <c r="H3015" t="n">
        <v>6</v>
      </c>
      <c r="I3015" t="n">
        <v>11</v>
      </c>
      <c r="J3015" t="n">
        <v>3</v>
      </c>
      <c r="K3015" t="n">
        <v>0</v>
      </c>
      <c r="L3015" t="n">
        <v>22406</v>
      </c>
      <c r="M3015" t="n">
        <v>27500</v>
      </c>
      <c r="N3015" t="n">
        <v>91</v>
      </c>
      <c r="O3015" t="n">
        <v>0.91</v>
      </c>
      <c r="P3015" t="n">
        <v>1</v>
      </c>
      <c r="Q3015" t="n">
        <v>0.54</v>
      </c>
      <c r="R3015" t="n">
        <v>2</v>
      </c>
      <c r="S3015" t="n">
        <v>19519.5</v>
      </c>
      <c r="T3015" t="n">
        <v>36</v>
      </c>
      <c r="U3015" t="n">
        <v>41</v>
      </c>
      <c r="V3015" t="n">
        <v>30</v>
      </c>
      <c r="W3015" t="n">
        <v>22</v>
      </c>
      <c r="X3015" t="n">
        <v>32.40349394195547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2301</v>
      </c>
      <c r="AG3015" t="n">
        <v>2034</v>
      </c>
      <c r="AH3015" t="inlineStr">
        <is>
          <t>PT. AKASHA WIRA INTERNATIONAL TBK  - PPN (PKU)</t>
        </is>
      </c>
      <c r="AI3015" t="n">
        <v>102</v>
      </c>
      <c r="AJ3015" t="inlineStr">
        <is>
          <t>MAKARIZO</t>
        </is>
      </c>
      <c r="AK3015" t="n">
        <v>21</v>
      </c>
      <c r="AL3015" t="inlineStr">
        <is>
          <t>Miss Glam Damar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MAKARIZO</t>
        </is>
      </c>
      <c r="B3016" s="2">
        <f>"40200119658"</f>
        <v/>
      </c>
      <c r="C3016" t="inlineStr">
        <is>
          <t>MAKARIZO Honey Dew Nutriv Serum Dusset 5 ml x 5</t>
        </is>
      </c>
      <c r="D3016" t="inlineStr">
        <is>
          <t>Miss Glam Damar</t>
        </is>
      </c>
      <c r="E3016" t="n">
        <v>20</v>
      </c>
      <c r="F3016" t="n">
        <v>0.2457</v>
      </c>
      <c r="G3016" t="n">
        <v>1.82</v>
      </c>
      <c r="H3016" t="n">
        <v>6</v>
      </c>
      <c r="I3016" t="n">
        <v>11</v>
      </c>
      <c r="J3016" t="n">
        <v>1</v>
      </c>
      <c r="K3016" t="n">
        <v>0</v>
      </c>
      <c r="L3016" t="n">
        <v>54899</v>
      </c>
      <c r="M3016" t="n">
        <v>65000</v>
      </c>
      <c r="N3016" t="n">
        <v>91</v>
      </c>
      <c r="O3016" t="n">
        <v>0.91</v>
      </c>
      <c r="P3016" t="n">
        <v>1</v>
      </c>
      <c r="Q3016" t="n">
        <v>0.76</v>
      </c>
      <c r="R3016" t="n">
        <v>3</v>
      </c>
      <c r="S3016" t="n">
        <v>15970.5</v>
      </c>
      <c r="T3016" t="n">
        <v>19</v>
      </c>
      <c r="U3016" t="n">
        <v>21</v>
      </c>
      <c r="V3016" t="n">
        <v>30</v>
      </c>
      <c r="W3016" t="n">
        <v>8</v>
      </c>
      <c r="X3016" t="n">
        <v>81.40008140008139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2301</v>
      </c>
      <c r="AG3016" t="n">
        <v>2034</v>
      </c>
      <c r="AH3016" t="inlineStr">
        <is>
          <t>PT. AKASHA WIRA INTERNATIONAL TBK  - PPN (PKU)</t>
        </is>
      </c>
      <c r="AI3016" t="n">
        <v>102</v>
      </c>
      <c r="AJ3016" t="inlineStr">
        <is>
          <t>MAKARIZO</t>
        </is>
      </c>
      <c r="AK3016" t="n">
        <v>21</v>
      </c>
      <c r="AL3016" t="inlineStr">
        <is>
          <t>Miss Glam Damar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MAKARIZO</t>
        </is>
      </c>
      <c r="B3017" s="2">
        <f>"800142808065"</f>
        <v/>
      </c>
      <c r="C3017" t="inlineStr">
        <is>
          <t>MAKARIZO Honey Dew Repair Mask 50ml</t>
        </is>
      </c>
      <c r="D3017" t="inlineStr">
        <is>
          <t>Miss Glam Damar</t>
        </is>
      </c>
      <c r="E3017" t="n">
        <v>12</v>
      </c>
      <c r="F3017" t="n">
        <v>0.2002</v>
      </c>
      <c r="G3017" t="n">
        <v>1.82</v>
      </c>
      <c r="H3017" t="n">
        <v>6</v>
      </c>
      <c r="I3017" t="n">
        <v>11</v>
      </c>
      <c r="J3017" t="n">
        <v>3</v>
      </c>
      <c r="K3017" t="n">
        <v>0</v>
      </c>
      <c r="L3017" t="n">
        <v>20250</v>
      </c>
      <c r="M3017" t="n">
        <v>24700</v>
      </c>
      <c r="N3017" t="n">
        <v>91</v>
      </c>
      <c r="O3017" t="n">
        <v>0.91</v>
      </c>
      <c r="P3017" t="n">
        <v>1</v>
      </c>
      <c r="Q3017" t="n">
        <v>0.31</v>
      </c>
      <c r="R3017" t="n">
        <v>4</v>
      </c>
      <c r="S3017" t="n">
        <v>4944.940000000001</v>
      </c>
      <c r="T3017" t="n">
        <v>19</v>
      </c>
      <c r="U3017" t="n">
        <v>21</v>
      </c>
      <c r="V3017" t="n">
        <v>30</v>
      </c>
      <c r="W3017" t="n">
        <v>7</v>
      </c>
      <c r="X3017" t="n">
        <v>59.94005994005993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2301</v>
      </c>
      <c r="AG3017" t="n">
        <v>2034</v>
      </c>
      <c r="AH3017" t="inlineStr">
        <is>
          <t>PT. AKASHA WIRA INTERNATIONAL TBK  - PPN (PKU)</t>
        </is>
      </c>
      <c r="AI3017" t="n">
        <v>102</v>
      </c>
      <c r="AJ3017" t="inlineStr">
        <is>
          <t>MAKARIZO</t>
        </is>
      </c>
      <c r="AK3017" t="n">
        <v>21</v>
      </c>
      <c r="AL3017" t="inlineStr">
        <is>
          <t>Miss Glam Damar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MAKARIZO</t>
        </is>
      </c>
      <c r="B3018" s="2">
        <f>"40200119726"</f>
        <v/>
      </c>
      <c r="C3018" t="inlineStr">
        <is>
          <t>MAKARIZO Honey Dew Restructuring Serum 5 x 5 ml</t>
        </is>
      </c>
      <c r="D3018" t="inlineStr">
        <is>
          <t>Miss Glam Damar</t>
        </is>
      </c>
      <c r="E3018" t="n">
        <v>5</v>
      </c>
      <c r="F3018" t="n">
        <v>0.0728</v>
      </c>
      <c r="G3018" t="n">
        <v>1.82</v>
      </c>
      <c r="H3018" t="n">
        <v>6</v>
      </c>
      <c r="I3018" t="n">
        <v>11</v>
      </c>
      <c r="J3018" t="n">
        <v>1</v>
      </c>
      <c r="K3018" t="n">
        <v>0</v>
      </c>
      <c r="L3018" t="n">
        <v>54899</v>
      </c>
      <c r="M3018" t="n">
        <v>64500</v>
      </c>
      <c r="N3018" t="n">
        <v>91</v>
      </c>
      <c r="O3018" t="n">
        <v>0.91</v>
      </c>
      <c r="P3018" t="n">
        <v>1</v>
      </c>
      <c r="Q3018" t="n">
        <v>0.07000000000000001</v>
      </c>
      <c r="R3018" t="n">
        <v>1</v>
      </c>
      <c r="S3018" t="n">
        <v>4695.6</v>
      </c>
      <c r="T3018" t="n">
        <v>20</v>
      </c>
      <c r="U3018" t="n">
        <v>21</v>
      </c>
      <c r="V3018" t="n">
        <v>30</v>
      </c>
      <c r="W3018" t="n">
        <v>3</v>
      </c>
      <c r="X3018" t="n">
        <v>68.68131868131867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2301</v>
      </c>
      <c r="AG3018" t="n">
        <v>2034</v>
      </c>
      <c r="AH3018" t="inlineStr">
        <is>
          <t>PT. AKASHA WIRA INTERNATIONAL TBK  - PPN (PKU)</t>
        </is>
      </c>
      <c r="AI3018" t="n">
        <v>102</v>
      </c>
      <c r="AJ3018" t="inlineStr">
        <is>
          <t>MAKARIZO</t>
        </is>
      </c>
      <c r="AK3018" t="n">
        <v>21</v>
      </c>
      <c r="AL3018" t="inlineStr">
        <is>
          <t>Miss Glam Damar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MAKARIZO</t>
        </is>
      </c>
      <c r="B3019" s="2">
        <f>"8992982500185"</f>
        <v/>
      </c>
      <c r="C3019" t="inlineStr">
        <is>
          <t>MAKARIZO Professional Salon Daily Hair Mask Repair Treatment 500ml</t>
        </is>
      </c>
      <c r="D3019" t="inlineStr">
        <is>
          <t>Miss Glam Damar</t>
        </is>
      </c>
      <c r="E3019" t="n">
        <v>72</v>
      </c>
      <c r="F3019" t="n">
        <v>0.1729</v>
      </c>
      <c r="G3019" t="n">
        <v>1.82</v>
      </c>
      <c r="H3019" t="n">
        <v>6</v>
      </c>
      <c r="I3019" t="n">
        <v>11</v>
      </c>
      <c r="J3019" t="n">
        <v>3</v>
      </c>
      <c r="K3019" t="n">
        <v>0</v>
      </c>
      <c r="L3019" t="n">
        <v>92700</v>
      </c>
      <c r="M3019" t="n">
        <v>111000</v>
      </c>
      <c r="N3019" t="n">
        <v>91</v>
      </c>
      <c r="O3019" t="n">
        <v>0.91</v>
      </c>
      <c r="P3019" t="n">
        <v>1</v>
      </c>
      <c r="Q3019" t="n">
        <v>0.12</v>
      </c>
      <c r="R3019" t="n">
        <v>1</v>
      </c>
      <c r="S3019" t="n">
        <v>19191.9</v>
      </c>
      <c r="T3019" t="n">
        <v>19</v>
      </c>
      <c r="U3019" t="n">
        <v>21</v>
      </c>
      <c r="V3019" t="n">
        <v>30</v>
      </c>
      <c r="W3019" t="n">
        <v>6</v>
      </c>
      <c r="X3019" t="n">
        <v>416.4256795835743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2301</v>
      </c>
      <c r="AG3019" t="n">
        <v>2034</v>
      </c>
      <c r="AH3019" t="inlineStr">
        <is>
          <t>PT. AKASHA WIRA INTERNATIONAL TBK  - PPN (PKU)</t>
        </is>
      </c>
      <c r="AI3019" t="n">
        <v>102</v>
      </c>
      <c r="AJ3019" t="inlineStr">
        <is>
          <t>MAKARIZO</t>
        </is>
      </c>
      <c r="AK3019" t="n">
        <v>21</v>
      </c>
      <c r="AL3019" t="inlineStr">
        <is>
          <t>Miss Glam Damar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MAKARIZO</t>
        </is>
      </c>
      <c r="B3020" s="2">
        <f>"8992982501540"</f>
        <v/>
      </c>
      <c r="C3020" t="inlineStr">
        <is>
          <t>MAKARIZO Professional Texture Experience Conditioner Strawberry Yoghurt 250ml</t>
        </is>
      </c>
      <c r="D3020" t="inlineStr">
        <is>
          <t>Miss Glam Damar</t>
        </is>
      </c>
      <c r="E3020" t="n">
        <v>13</v>
      </c>
      <c r="F3020" t="n">
        <v>0.04550000000000001</v>
      </c>
      <c r="G3020" t="n">
        <v>0.91</v>
      </c>
      <c r="H3020" t="n">
        <v>6</v>
      </c>
      <c r="I3020" t="n">
        <v>11</v>
      </c>
      <c r="J3020" t="n">
        <v>3</v>
      </c>
      <c r="K3020" t="n">
        <v>0</v>
      </c>
      <c r="L3020" t="n">
        <v>46800</v>
      </c>
      <c r="M3020" t="n">
        <v>61500</v>
      </c>
      <c r="N3020" t="n">
        <v>91</v>
      </c>
      <c r="O3020" t="n">
        <v>0.91</v>
      </c>
      <c r="P3020" t="n">
        <v>1</v>
      </c>
      <c r="Q3020" t="n">
        <v>0.27</v>
      </c>
      <c r="R3020" t="n">
        <v>2</v>
      </c>
      <c r="S3020" t="n">
        <v>2798.25</v>
      </c>
      <c r="T3020" t="n">
        <v>10</v>
      </c>
      <c r="U3020" t="n">
        <v>11</v>
      </c>
      <c r="V3020" t="n">
        <v>30</v>
      </c>
      <c r="W3020" t="n">
        <v>2</v>
      </c>
      <c r="X3020" t="n">
        <v>285.7142857142857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2301</v>
      </c>
      <c r="AG3020" t="n">
        <v>2034</v>
      </c>
      <c r="AH3020" t="inlineStr">
        <is>
          <t>PT. AKASHA WIRA INTERNATIONAL TBK  - PPN (PKU)</t>
        </is>
      </c>
      <c r="AI3020" t="n">
        <v>102</v>
      </c>
      <c r="AJ3020" t="inlineStr">
        <is>
          <t>MAKARIZO</t>
        </is>
      </c>
      <c r="AK3020" t="n">
        <v>21</v>
      </c>
      <c r="AL3020" t="inlineStr">
        <is>
          <t>Miss Glam Damar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MAKARIZO</t>
        </is>
      </c>
      <c r="B3021" s="2">
        <f>"8992982501786"</f>
        <v/>
      </c>
      <c r="C3021" t="inlineStr">
        <is>
          <t>MAKARIZO Salon Daily Professional Conditioner + Keratin Collagen Pro Vit B5 200ml</t>
        </is>
      </c>
      <c r="D3021" t="inlineStr">
        <is>
          <t>Miss Glam Damar</t>
        </is>
      </c>
      <c r="E3021" t="n">
        <v>15</v>
      </c>
      <c r="F3021" t="n">
        <v>0.7371000000000001</v>
      </c>
      <c r="G3021" t="n">
        <v>3.64</v>
      </c>
      <c r="H3021" t="n">
        <v>6</v>
      </c>
      <c r="I3021" t="n">
        <v>11</v>
      </c>
      <c r="J3021" t="n">
        <v>3</v>
      </c>
      <c r="K3021" t="n">
        <v>0</v>
      </c>
      <c r="L3021" t="n">
        <v>26550</v>
      </c>
      <c r="M3021" t="n">
        <v>32400</v>
      </c>
      <c r="N3021" t="n">
        <v>91</v>
      </c>
      <c r="O3021" t="n">
        <v>0.91</v>
      </c>
      <c r="P3021" t="n">
        <v>1</v>
      </c>
      <c r="Q3021" t="n">
        <v>0.75</v>
      </c>
      <c r="R3021" t="n">
        <v>3</v>
      </c>
      <c r="S3021" t="n">
        <v>23882.04</v>
      </c>
      <c r="T3021" t="n">
        <v>36</v>
      </c>
      <c r="U3021" t="n">
        <v>41</v>
      </c>
      <c r="V3021" t="n">
        <v>30</v>
      </c>
      <c r="W3021" t="n">
        <v>23</v>
      </c>
      <c r="X3021" t="n">
        <v>20.35002035002035</v>
      </c>
      <c r="Y3021" t="n">
        <v>1</v>
      </c>
      <c r="Z3021" t="n">
        <v>8</v>
      </c>
      <c r="AA3021" t="n">
        <v>0</v>
      </c>
      <c r="AB3021" t="n">
        <v>8</v>
      </c>
      <c r="AC3021" t="n">
        <v>8</v>
      </c>
      <c r="AD3021" t="n">
        <v>0</v>
      </c>
      <c r="AE3021" t="n">
        <v>212400</v>
      </c>
      <c r="AF3021" t="n">
        <v>2301</v>
      </c>
      <c r="AG3021" t="n">
        <v>2034</v>
      </c>
      <c r="AH3021" t="inlineStr">
        <is>
          <t>PT. AKASHA WIRA INTERNATIONAL TBK  - PPN (PKU)</t>
        </is>
      </c>
      <c r="AI3021" t="n">
        <v>102</v>
      </c>
      <c r="AJ3021" t="inlineStr">
        <is>
          <t>MAKARIZO</t>
        </is>
      </c>
      <c r="AK3021" t="n">
        <v>21</v>
      </c>
      <c r="AL3021" t="inlineStr">
        <is>
          <t>Miss Glam Damar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MAKARIZO</t>
        </is>
      </c>
      <c r="B3022" s="2">
        <f>"40100318114"</f>
        <v/>
      </c>
      <c r="C3022" t="inlineStr">
        <is>
          <t>MAKARIZO Salon Daily Professional Conditioner Pump Bottle 950 ml [New]</t>
        </is>
      </c>
      <c r="D3022" t="inlineStr">
        <is>
          <t>Miss Glam Damar</t>
        </is>
      </c>
      <c r="E3022" t="n">
        <v>2</v>
      </c>
      <c r="F3022" t="n">
        <v>0.1092</v>
      </c>
      <c r="G3022" t="n">
        <v>0.91</v>
      </c>
      <c r="H3022" t="n">
        <v>6</v>
      </c>
      <c r="I3022" t="n">
        <v>11</v>
      </c>
      <c r="J3022" t="n">
        <v>1</v>
      </c>
      <c r="K3022" t="n">
        <v>0</v>
      </c>
      <c r="L3022" t="n">
        <v>92700</v>
      </c>
      <c r="M3022" t="n">
        <v>109500</v>
      </c>
      <c r="N3022" t="n">
        <v>91</v>
      </c>
      <c r="O3022" t="n">
        <v>0.91</v>
      </c>
      <c r="P3022" t="n">
        <v>1</v>
      </c>
      <c r="Q3022" t="n">
        <v>0.05</v>
      </c>
      <c r="R3022" t="n">
        <v>1</v>
      </c>
      <c r="S3022" t="n">
        <v>11957.4</v>
      </c>
      <c r="T3022" t="n">
        <v>10</v>
      </c>
      <c r="U3022" t="n">
        <v>11</v>
      </c>
      <c r="V3022" t="n">
        <v>30</v>
      </c>
      <c r="W3022" t="n">
        <v>4</v>
      </c>
      <c r="X3022" t="n">
        <v>18.31501831501831</v>
      </c>
      <c r="Y3022" t="n">
        <v>1</v>
      </c>
      <c r="Z3022" t="n">
        <v>2</v>
      </c>
      <c r="AA3022" t="n">
        <v>0</v>
      </c>
      <c r="AB3022" t="n">
        <v>2</v>
      </c>
      <c r="AC3022" t="n">
        <v>2</v>
      </c>
      <c r="AD3022" t="n">
        <v>0</v>
      </c>
      <c r="AE3022" t="n">
        <v>185400</v>
      </c>
      <c r="AF3022" t="n">
        <v>2301</v>
      </c>
      <c r="AG3022" t="n">
        <v>2034</v>
      </c>
      <c r="AH3022" t="inlineStr">
        <is>
          <t>PT. AKASHA WIRA INTERNATIONAL TBK  - PPN (PKU)</t>
        </is>
      </c>
      <c r="AI3022" t="n">
        <v>102</v>
      </c>
      <c r="AJ3022" t="inlineStr">
        <is>
          <t>MAKARIZO</t>
        </is>
      </c>
      <c r="AK3022" t="n">
        <v>21</v>
      </c>
      <c r="AL3022" t="inlineStr">
        <is>
          <t>Miss Glam Damar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MAKARIZO</t>
        </is>
      </c>
      <c r="B3023" s="2">
        <f>"40100318215"</f>
        <v/>
      </c>
      <c r="C3023" t="inlineStr">
        <is>
          <t>MAKARIZO Salon Daily Professional Creambath 250ml [New]</t>
        </is>
      </c>
      <c r="D3023" t="inlineStr">
        <is>
          <t>Miss Glam Damar</t>
        </is>
      </c>
      <c r="E3023" t="n">
        <v>10</v>
      </c>
      <c r="F3023" t="n">
        <v>0.182</v>
      </c>
      <c r="G3023" t="n">
        <v>1.82</v>
      </c>
      <c r="H3023" t="n">
        <v>6</v>
      </c>
      <c r="I3023" t="n">
        <v>11</v>
      </c>
      <c r="J3023" t="n">
        <v>1</v>
      </c>
      <c r="K3023" t="n">
        <v>0</v>
      </c>
      <c r="L3023" t="n">
        <v>45000</v>
      </c>
      <c r="M3023" t="n">
        <v>54900</v>
      </c>
      <c r="N3023" t="n">
        <v>91</v>
      </c>
      <c r="O3023" t="n">
        <v>0.91</v>
      </c>
      <c r="P3023" t="n">
        <v>1</v>
      </c>
      <c r="Q3023" t="n">
        <v>0.17</v>
      </c>
      <c r="R3023" t="n">
        <v>3</v>
      </c>
      <c r="S3023" t="n">
        <v>9991.800000000001</v>
      </c>
      <c r="T3023" t="n">
        <v>19</v>
      </c>
      <c r="U3023" t="n">
        <v>21</v>
      </c>
      <c r="V3023" t="n">
        <v>30</v>
      </c>
      <c r="W3023" t="n">
        <v>6</v>
      </c>
      <c r="X3023" t="n">
        <v>54.94505494505494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2301</v>
      </c>
      <c r="AG3023" t="n">
        <v>2034</v>
      </c>
      <c r="AH3023" t="inlineStr">
        <is>
          <t>PT. AKASHA WIRA INTERNATIONAL TBK  - PPN (PKU)</t>
        </is>
      </c>
      <c r="AI3023" t="n">
        <v>102</v>
      </c>
      <c r="AJ3023" t="inlineStr">
        <is>
          <t>MAKARIZO</t>
        </is>
      </c>
      <c r="AK3023" t="n">
        <v>21</v>
      </c>
      <c r="AL3023" t="inlineStr">
        <is>
          <t>Miss Glam Damar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MAKARIZO</t>
        </is>
      </c>
      <c r="B3024" s="2">
        <f>"40200237628"</f>
        <v/>
      </c>
      <c r="C3024" t="inlineStr">
        <is>
          <t>MAKARIZO Salon Daily Professional Hair Mask 250ml [New]</t>
        </is>
      </c>
      <c r="D3024" t="inlineStr">
        <is>
          <t>Miss Glam Damar</t>
        </is>
      </c>
      <c r="E3024" t="n">
        <v>15</v>
      </c>
      <c r="F3024" t="n">
        <v>0.4914000000000001</v>
      </c>
      <c r="G3024" t="n">
        <v>2.73</v>
      </c>
      <c r="H3024" t="n">
        <v>6</v>
      </c>
      <c r="I3024" t="n">
        <v>11</v>
      </c>
      <c r="J3024" t="n">
        <v>1</v>
      </c>
      <c r="K3024" t="n">
        <v>0</v>
      </c>
      <c r="L3024" t="n">
        <v>58500</v>
      </c>
      <c r="M3024" t="n">
        <v>69000</v>
      </c>
      <c r="N3024" t="n">
        <v>91</v>
      </c>
      <c r="O3024" t="n">
        <v>0.91</v>
      </c>
      <c r="P3024" t="n">
        <v>1</v>
      </c>
      <c r="Q3024" t="n">
        <v>0.32</v>
      </c>
      <c r="R3024" t="n">
        <v>3</v>
      </c>
      <c r="S3024" t="n">
        <v>33906.60000000001</v>
      </c>
      <c r="T3024" t="n">
        <v>28</v>
      </c>
      <c r="U3024" t="n">
        <v>31</v>
      </c>
      <c r="V3024" t="n">
        <v>30</v>
      </c>
      <c r="W3024" t="n">
        <v>15</v>
      </c>
      <c r="X3024" t="n">
        <v>30.52503052503052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2301</v>
      </c>
      <c r="AG3024" t="n">
        <v>2034</v>
      </c>
      <c r="AH3024" t="inlineStr">
        <is>
          <t>PT. AKASHA WIRA INTERNATIONAL TBK  - PPN (PKU)</t>
        </is>
      </c>
      <c r="AI3024" t="n">
        <v>102</v>
      </c>
      <c r="AJ3024" t="inlineStr">
        <is>
          <t>MAKARIZO</t>
        </is>
      </c>
      <c r="AK3024" t="n">
        <v>21</v>
      </c>
      <c r="AL3024" t="inlineStr">
        <is>
          <t>Miss Glam Damar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MAKARIZO</t>
        </is>
      </c>
      <c r="B3025" s="2">
        <f>"8992982501373"</f>
        <v/>
      </c>
      <c r="C3025" t="inlineStr">
        <is>
          <t>MAKARIZO Salon Daily Professional Hair Tonic + Keratin Collagen Pro Vit B5 140ml</t>
        </is>
      </c>
      <c r="D3025" t="inlineStr">
        <is>
          <t>Miss Glam Damar</t>
        </is>
      </c>
      <c r="E3025" t="n">
        <v>1</v>
      </c>
      <c r="F3025" t="n">
        <v>0.5733</v>
      </c>
      <c r="G3025" t="n">
        <v>2.73</v>
      </c>
      <c r="H3025" t="n">
        <v>6</v>
      </c>
      <c r="I3025" t="n">
        <v>11</v>
      </c>
      <c r="J3025" t="n">
        <v>3</v>
      </c>
      <c r="K3025" t="n">
        <v>0</v>
      </c>
      <c r="L3025" t="n">
        <v>54900</v>
      </c>
      <c r="M3025" t="n">
        <v>65000</v>
      </c>
      <c r="N3025" t="n">
        <v>91</v>
      </c>
      <c r="O3025" t="n">
        <v>0.91</v>
      </c>
      <c r="P3025" t="n">
        <v>1</v>
      </c>
      <c r="Q3025" t="n">
        <v>0.25</v>
      </c>
      <c r="R3025" t="n">
        <v>2</v>
      </c>
      <c r="S3025" t="n">
        <v>37264.5</v>
      </c>
      <c r="T3025" t="n">
        <v>27</v>
      </c>
      <c r="U3025" t="n">
        <v>31</v>
      </c>
      <c r="V3025" t="n">
        <v>30</v>
      </c>
      <c r="W3025" t="n">
        <v>18</v>
      </c>
      <c r="X3025" t="n">
        <v>1.744287458573173</v>
      </c>
      <c r="Y3025" t="n">
        <v>1</v>
      </c>
      <c r="Z3025" t="n">
        <v>17</v>
      </c>
      <c r="AA3025" t="n">
        <v>6</v>
      </c>
      <c r="AB3025" t="n">
        <v>11</v>
      </c>
      <c r="AC3025" t="n">
        <v>11</v>
      </c>
      <c r="AD3025" t="n">
        <v>329400</v>
      </c>
      <c r="AE3025" t="n">
        <v>603900</v>
      </c>
      <c r="AF3025" t="n">
        <v>2301</v>
      </c>
      <c r="AG3025" t="n">
        <v>2034</v>
      </c>
      <c r="AH3025" t="inlineStr">
        <is>
          <t>PT. AKASHA WIRA INTERNATIONAL TBK  - PPN (PKU)</t>
        </is>
      </c>
      <c r="AI3025" t="n">
        <v>102</v>
      </c>
      <c r="AJ3025" t="inlineStr">
        <is>
          <t>MAKARIZO</t>
        </is>
      </c>
      <c r="AK3025" t="n">
        <v>21</v>
      </c>
      <c r="AL3025" t="inlineStr">
        <is>
          <t>Miss Glam Damar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MAKARIZO</t>
        </is>
      </c>
      <c r="B3026" s="2">
        <f>"8992982501779"</f>
        <v/>
      </c>
      <c r="C3026" t="inlineStr">
        <is>
          <t>MAKARIZO Salon Daily Professional Shampoo + Keratin Collagen Pro Vit B5 200ml</t>
        </is>
      </c>
      <c r="D3026" t="inlineStr">
        <is>
          <t>Miss Glam Damar</t>
        </is>
      </c>
      <c r="E3026" t="n">
        <v>12</v>
      </c>
      <c r="F3026" t="n">
        <v>1.1921</v>
      </c>
      <c r="G3026" t="n">
        <v>4.55</v>
      </c>
      <c r="H3026" t="n">
        <v>6</v>
      </c>
      <c r="I3026" t="n">
        <v>11</v>
      </c>
      <c r="J3026" t="n">
        <v>3</v>
      </c>
      <c r="K3026" t="n">
        <v>0</v>
      </c>
      <c r="L3026" t="n">
        <v>26550</v>
      </c>
      <c r="M3026" t="n">
        <v>32400</v>
      </c>
      <c r="N3026" t="n">
        <v>91</v>
      </c>
      <c r="O3026" t="n">
        <v>0.91</v>
      </c>
      <c r="P3026" t="n">
        <v>1</v>
      </c>
      <c r="Q3026" t="n">
        <v>0.29</v>
      </c>
      <c r="R3026" t="n">
        <v>2</v>
      </c>
      <c r="S3026" t="n">
        <v>38624.04000000001</v>
      </c>
      <c r="T3026" t="n">
        <v>43</v>
      </c>
      <c r="U3026" t="n">
        <v>51</v>
      </c>
      <c r="V3026" t="n">
        <v>30</v>
      </c>
      <c r="W3026" t="n">
        <v>36</v>
      </c>
      <c r="X3026" t="n">
        <v>10.06626960825434</v>
      </c>
      <c r="Y3026" t="n">
        <v>1</v>
      </c>
      <c r="Z3026" t="n">
        <v>24</v>
      </c>
      <c r="AA3026" t="n">
        <v>2</v>
      </c>
      <c r="AB3026" t="n">
        <v>22</v>
      </c>
      <c r="AC3026" t="n">
        <v>22</v>
      </c>
      <c r="AD3026" t="n">
        <v>53100</v>
      </c>
      <c r="AE3026" t="n">
        <v>584100</v>
      </c>
      <c r="AF3026" t="n">
        <v>2301</v>
      </c>
      <c r="AG3026" t="n">
        <v>2034</v>
      </c>
      <c r="AH3026" t="inlineStr">
        <is>
          <t>PT. AKASHA WIRA INTERNATIONAL TBK  - PPN (PKU)</t>
        </is>
      </c>
      <c r="AI3026" t="n">
        <v>102</v>
      </c>
      <c r="AJ3026" t="inlineStr">
        <is>
          <t>MAKARIZO</t>
        </is>
      </c>
      <c r="AK3026" t="n">
        <v>21</v>
      </c>
      <c r="AL3026" t="inlineStr">
        <is>
          <t>Miss Glam Damar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MAKARIZO</t>
        </is>
      </c>
      <c r="B3027" s="2">
        <f>"40100152017"</f>
        <v/>
      </c>
      <c r="C3027" t="inlineStr">
        <is>
          <t>MAKARIZO Salon Daily Professional Shampoo Pump Bottle 950ml [New]</t>
        </is>
      </c>
      <c r="D3027" t="inlineStr">
        <is>
          <t>Miss Glam Damar</t>
        </is>
      </c>
      <c r="E3027" t="n">
        <v>7</v>
      </c>
      <c r="F3027" t="n">
        <v>0.09100000000000001</v>
      </c>
      <c r="G3027" t="n">
        <v>0.91</v>
      </c>
      <c r="H3027" t="n">
        <v>6</v>
      </c>
      <c r="I3027" t="n">
        <v>11</v>
      </c>
      <c r="J3027" t="n">
        <v>1</v>
      </c>
      <c r="K3027" t="n">
        <v>0</v>
      </c>
      <c r="L3027" t="n">
        <v>92700</v>
      </c>
      <c r="M3027" t="n">
        <v>109500</v>
      </c>
      <c r="N3027" t="n">
        <v>91</v>
      </c>
      <c r="O3027" t="n">
        <v>0.91</v>
      </c>
      <c r="P3027" t="n">
        <v>1</v>
      </c>
      <c r="Q3027" t="n">
        <v>0.19</v>
      </c>
      <c r="R3027" t="n">
        <v>2</v>
      </c>
      <c r="S3027" t="n">
        <v>9964.500000000002</v>
      </c>
      <c r="T3027" t="n">
        <v>10</v>
      </c>
      <c r="U3027" t="n">
        <v>11</v>
      </c>
      <c r="V3027" t="n">
        <v>30</v>
      </c>
      <c r="W3027" t="n">
        <v>3</v>
      </c>
      <c r="X3027" t="n">
        <v>76.92307692307692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2301</v>
      </c>
      <c r="AG3027" t="n">
        <v>2034</v>
      </c>
      <c r="AH3027" t="inlineStr">
        <is>
          <t>PT. AKASHA WIRA INTERNATIONAL TBK  - PPN (PKU)</t>
        </is>
      </c>
      <c r="AI3027" t="n">
        <v>102</v>
      </c>
      <c r="AJ3027" t="inlineStr">
        <is>
          <t>MAKARIZO</t>
        </is>
      </c>
      <c r="AK3027" t="n">
        <v>21</v>
      </c>
      <c r="AL3027" t="inlineStr">
        <is>
          <t>Miss Glam Damar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MAKARIZO</t>
        </is>
      </c>
      <c r="B3028" s="2">
        <f>"8992982501472"</f>
        <v/>
      </c>
      <c r="C3028" t="inlineStr">
        <is>
          <t>MAKARIZO Shampo Texture Black Chocolate 250ml</t>
        </is>
      </c>
      <c r="D3028" t="inlineStr">
        <is>
          <t>Miss Glam Damar</t>
        </is>
      </c>
      <c r="E3028" t="n">
        <v>10</v>
      </c>
      <c r="F3028" t="n">
        <v>0.1092</v>
      </c>
      <c r="G3028" t="n">
        <v>1.82</v>
      </c>
      <c r="H3028" t="n">
        <v>6</v>
      </c>
      <c r="I3028" t="n">
        <v>11</v>
      </c>
      <c r="J3028" t="n">
        <v>3</v>
      </c>
      <c r="K3028" t="n">
        <v>0</v>
      </c>
      <c r="L3028" t="n">
        <v>46799</v>
      </c>
      <c r="M3028" t="n">
        <v>56000</v>
      </c>
      <c r="N3028" t="n">
        <v>91</v>
      </c>
      <c r="O3028" t="n">
        <v>0.91</v>
      </c>
      <c r="P3028" t="n">
        <v>1</v>
      </c>
      <c r="Q3028" t="n">
        <v>0.12</v>
      </c>
      <c r="R3028" t="n">
        <v>1</v>
      </c>
      <c r="S3028" t="n">
        <v>6115.200000000001</v>
      </c>
      <c r="T3028" t="n">
        <v>20</v>
      </c>
      <c r="U3028" t="n">
        <v>21</v>
      </c>
      <c r="V3028" t="n">
        <v>30</v>
      </c>
      <c r="W3028" t="n">
        <v>4</v>
      </c>
      <c r="X3028" t="n">
        <v>91.57509157509158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2301</v>
      </c>
      <c r="AG3028" t="n">
        <v>2034</v>
      </c>
      <c r="AH3028" t="inlineStr">
        <is>
          <t>PT. AKASHA WIRA INTERNATIONAL TBK  - PPN (PKU)</t>
        </is>
      </c>
      <c r="AI3028" t="n">
        <v>102</v>
      </c>
      <c r="AJ3028" t="inlineStr">
        <is>
          <t>MAKARIZO</t>
        </is>
      </c>
      <c r="AK3028" t="n">
        <v>21</v>
      </c>
      <c r="AL3028" t="inlineStr">
        <is>
          <t>Miss Glam Damar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MAKARIZO</t>
        </is>
      </c>
      <c r="B3029" s="2">
        <f>"800142902329"</f>
        <v/>
      </c>
      <c r="C3029" t="inlineStr">
        <is>
          <t>MAKARIZO Shampo Texture Vanila  Milk 250ml</t>
        </is>
      </c>
      <c r="D3029" t="inlineStr">
        <is>
          <t>Miss Glam Damar</t>
        </is>
      </c>
      <c r="E3029" t="n">
        <v>8</v>
      </c>
      <c r="F3029" t="n">
        <v>0.04550000000000001</v>
      </c>
      <c r="G3029" t="n">
        <v>0.91</v>
      </c>
      <c r="H3029" t="n">
        <v>6</v>
      </c>
      <c r="I3029" t="n">
        <v>11</v>
      </c>
      <c r="J3029" t="n">
        <v>3</v>
      </c>
      <c r="K3029" t="n">
        <v>0</v>
      </c>
      <c r="L3029" t="n">
        <v>46800</v>
      </c>
      <c r="M3029" t="n">
        <v>61500</v>
      </c>
      <c r="N3029" t="n">
        <v>91</v>
      </c>
      <c r="O3029" t="n">
        <v>0.91</v>
      </c>
      <c r="P3029" t="n">
        <v>1</v>
      </c>
      <c r="Q3029" t="n">
        <v>0.1</v>
      </c>
      <c r="R3029" t="n">
        <v>1</v>
      </c>
      <c r="S3029" t="n">
        <v>2798.25</v>
      </c>
      <c r="T3029" t="n">
        <v>10</v>
      </c>
      <c r="U3029" t="n">
        <v>11</v>
      </c>
      <c r="V3029" t="n">
        <v>30</v>
      </c>
      <c r="W3029" t="n">
        <v>2</v>
      </c>
      <c r="X3029" t="n">
        <v>175.8241758241758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2301</v>
      </c>
      <c r="AG3029" t="n">
        <v>2034</v>
      </c>
      <c r="AH3029" t="inlineStr">
        <is>
          <t>PT. AKASHA WIRA INTERNATIONAL TBK  - PPN (PKU)</t>
        </is>
      </c>
      <c r="AI3029" t="n">
        <v>102</v>
      </c>
      <c r="AJ3029" t="inlineStr">
        <is>
          <t>MAKARIZO</t>
        </is>
      </c>
      <c r="AK3029" t="n">
        <v>21</v>
      </c>
      <c r="AL3029" t="inlineStr">
        <is>
          <t>Miss Glam Damar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MAKARIZO</t>
        </is>
      </c>
      <c r="B3030" s="2">
        <f>"8992982501496"</f>
        <v/>
      </c>
      <c r="C3030" t="inlineStr">
        <is>
          <t>MAKARIZO Shampoo Texture Mint Sorbet 250ml</t>
        </is>
      </c>
      <c r="D3030" t="inlineStr">
        <is>
          <t>Miss Glam Damar</t>
        </is>
      </c>
      <c r="E3030" t="n">
        <v>11</v>
      </c>
      <c r="F3030" t="n">
        <v>0.09100000000000001</v>
      </c>
      <c r="G3030" t="n">
        <v>1.82</v>
      </c>
      <c r="H3030" t="n">
        <v>6</v>
      </c>
      <c r="I3030" t="n">
        <v>11</v>
      </c>
      <c r="J3030" t="n">
        <v>3</v>
      </c>
      <c r="K3030" t="n">
        <v>0</v>
      </c>
      <c r="L3030" t="n">
        <v>46799</v>
      </c>
      <c r="M3030" t="n">
        <v>59500</v>
      </c>
      <c r="N3030" t="n">
        <v>91</v>
      </c>
      <c r="O3030" t="n">
        <v>0.91</v>
      </c>
      <c r="P3030" t="n">
        <v>1</v>
      </c>
      <c r="Q3030" t="n">
        <v>0.15</v>
      </c>
      <c r="R3030" t="n">
        <v>1</v>
      </c>
      <c r="S3030" t="n">
        <v>5414.500000000001</v>
      </c>
      <c r="T3030" t="n">
        <v>20</v>
      </c>
      <c r="U3030" t="n">
        <v>21</v>
      </c>
      <c r="V3030" t="n">
        <v>30</v>
      </c>
      <c r="W3030" t="n">
        <v>3</v>
      </c>
      <c r="X3030" t="n">
        <v>120.8791208791209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2301</v>
      </c>
      <c r="AG3030" t="n">
        <v>2034</v>
      </c>
      <c r="AH3030" t="inlineStr">
        <is>
          <t>PT. AKASHA WIRA INTERNATIONAL TBK  - PPN (PKU)</t>
        </is>
      </c>
      <c r="AI3030" t="n">
        <v>102</v>
      </c>
      <c r="AJ3030" t="inlineStr">
        <is>
          <t>MAKARIZO</t>
        </is>
      </c>
      <c r="AK3030" t="n">
        <v>21</v>
      </c>
      <c r="AL3030" t="inlineStr">
        <is>
          <t>Miss Glam Damar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MAKARIZO</t>
        </is>
      </c>
      <c r="B3031" s="2">
        <f>"8992982501649"</f>
        <v/>
      </c>
      <c r="C3031" t="inlineStr">
        <is>
          <t>MAKARIZO T1 Intensive Care System Equalizer Conditioner Bottle 180ml</t>
        </is>
      </c>
      <c r="D3031" t="inlineStr">
        <is>
          <t>Miss Glam Damar</t>
        </is>
      </c>
      <c r="E3031" t="n">
        <v>15</v>
      </c>
      <c r="F3031" t="n">
        <v>0.1547</v>
      </c>
      <c r="G3031" t="n">
        <v>1.82</v>
      </c>
      <c r="H3031" t="n">
        <v>6</v>
      </c>
      <c r="I3031" t="n">
        <v>11</v>
      </c>
      <c r="J3031" t="n">
        <v>3</v>
      </c>
      <c r="K3031" t="n">
        <v>0</v>
      </c>
      <c r="L3031" t="n">
        <v>33949</v>
      </c>
      <c r="M3031" t="n">
        <v>40000</v>
      </c>
      <c r="N3031" t="n">
        <v>91</v>
      </c>
      <c r="O3031" t="n">
        <v>0.91</v>
      </c>
      <c r="P3031" t="n">
        <v>1</v>
      </c>
      <c r="Q3031" t="n">
        <v>0.29</v>
      </c>
      <c r="R3031" t="n">
        <v>3</v>
      </c>
      <c r="S3031" t="n">
        <v>6188</v>
      </c>
      <c r="T3031" t="n">
        <v>20</v>
      </c>
      <c r="U3031" t="n">
        <v>21</v>
      </c>
      <c r="V3031" t="n">
        <v>30</v>
      </c>
      <c r="W3031" t="n">
        <v>5</v>
      </c>
      <c r="X3031" t="n">
        <v>96.96186166774402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2301</v>
      </c>
      <c r="AG3031" t="n">
        <v>2034</v>
      </c>
      <c r="AH3031" t="inlineStr">
        <is>
          <t>PT. AKASHA WIRA INTERNATIONAL TBK  - PPN (PKU)</t>
        </is>
      </c>
      <c r="AI3031" t="n">
        <v>102</v>
      </c>
      <c r="AJ3031" t="inlineStr">
        <is>
          <t>MAKARIZO</t>
        </is>
      </c>
      <c r="AK3031" t="n">
        <v>21</v>
      </c>
      <c r="AL3031" t="inlineStr">
        <is>
          <t>Miss Glam Damar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MAKARIZO</t>
        </is>
      </c>
      <c r="B3032" s="2">
        <f>"8992982501632"</f>
        <v/>
      </c>
      <c r="C3032" t="inlineStr">
        <is>
          <t>MAKARIZO T1 Intensive Care System Equalizer Shampoo Bottle 180ml</t>
        </is>
      </c>
      <c r="D3032" t="inlineStr">
        <is>
          <t>Miss Glam Damar</t>
        </is>
      </c>
      <c r="E3032" t="n">
        <v>34</v>
      </c>
      <c r="F3032" t="n">
        <v>0.5096000000000001</v>
      </c>
      <c r="G3032" t="n">
        <v>1.82</v>
      </c>
      <c r="H3032" t="n">
        <v>6</v>
      </c>
      <c r="I3032" t="n">
        <v>11</v>
      </c>
      <c r="J3032" t="n">
        <v>3</v>
      </c>
      <c r="K3032" t="n">
        <v>0</v>
      </c>
      <c r="L3032" t="n">
        <v>38799</v>
      </c>
      <c r="M3032" t="n">
        <v>48000</v>
      </c>
      <c r="N3032" t="n">
        <v>91</v>
      </c>
      <c r="O3032" t="n">
        <v>0.91</v>
      </c>
      <c r="P3032" t="n">
        <v>1</v>
      </c>
      <c r="Q3032" t="n">
        <v>0.88</v>
      </c>
      <c r="R3032" t="n">
        <v>4</v>
      </c>
      <c r="S3032" t="n">
        <v>24460.8</v>
      </c>
      <c r="T3032" t="n">
        <v>17</v>
      </c>
      <c r="U3032" t="n">
        <v>21</v>
      </c>
      <c r="V3032" t="n">
        <v>30</v>
      </c>
      <c r="W3032" t="n">
        <v>16</v>
      </c>
      <c r="X3032" t="n">
        <v>66.71899529042385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2301</v>
      </c>
      <c r="AG3032" t="n">
        <v>2034</v>
      </c>
      <c r="AH3032" t="inlineStr">
        <is>
          <t>PT. AKASHA WIRA INTERNATIONAL TBK  - PPN (PKU)</t>
        </is>
      </c>
      <c r="AI3032" t="n">
        <v>102</v>
      </c>
      <c r="AJ3032" t="inlineStr">
        <is>
          <t>MAKARIZO</t>
        </is>
      </c>
      <c r="AK3032" t="n">
        <v>21</v>
      </c>
      <c r="AL3032" t="inlineStr">
        <is>
          <t>Miss Glam Damar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MAKARIZO</t>
        </is>
      </c>
      <c r="B3033" s="2">
        <f>"8992982401581"</f>
        <v/>
      </c>
      <c r="C3033" t="inlineStr">
        <is>
          <t>MAKARIZO T1 Pure Care System Micellar Conditioner Bottle 180ml</t>
        </is>
      </c>
      <c r="D3033" t="inlineStr">
        <is>
          <t>Miss Glam Damar</t>
        </is>
      </c>
      <c r="E3033" t="n">
        <v>1</v>
      </c>
      <c r="F3033" t="n">
        <v>0.182</v>
      </c>
      <c r="G3033" t="n">
        <v>1.82</v>
      </c>
      <c r="H3033" t="n">
        <v>6</v>
      </c>
      <c r="I3033" t="n">
        <v>11</v>
      </c>
      <c r="J3033" t="n">
        <v>3</v>
      </c>
      <c r="K3033" t="n">
        <v>0</v>
      </c>
      <c r="L3033" t="n">
        <v>30716</v>
      </c>
      <c r="M3033" t="n">
        <v>41500</v>
      </c>
      <c r="N3033" t="n">
        <v>91</v>
      </c>
      <c r="O3033" t="n">
        <v>0.91</v>
      </c>
      <c r="P3033" t="n">
        <v>1</v>
      </c>
      <c r="Q3033" t="n">
        <v>0.2</v>
      </c>
      <c r="R3033" t="n">
        <v>1</v>
      </c>
      <c r="S3033" t="n">
        <v>7553.000000000001</v>
      </c>
      <c r="T3033" t="n">
        <v>19</v>
      </c>
      <c r="U3033" t="n">
        <v>21</v>
      </c>
      <c r="V3033" t="n">
        <v>30</v>
      </c>
      <c r="W3033" t="n">
        <v>6</v>
      </c>
      <c r="X3033" t="n">
        <v>5.494505494505494</v>
      </c>
      <c r="Y3033" t="n">
        <v>1</v>
      </c>
      <c r="Z3033" t="n">
        <v>5</v>
      </c>
      <c r="AA3033" t="n">
        <v>2</v>
      </c>
      <c r="AB3033" t="n">
        <v>3</v>
      </c>
      <c r="AC3033" t="n">
        <v>3</v>
      </c>
      <c r="AD3033" t="n">
        <v>61432</v>
      </c>
      <c r="AE3033" t="n">
        <v>92148</v>
      </c>
      <c r="AF3033" t="n">
        <v>2301</v>
      </c>
      <c r="AG3033" t="n">
        <v>2034</v>
      </c>
      <c r="AH3033" t="inlineStr">
        <is>
          <t>PT. AKASHA WIRA INTERNATIONAL TBK  - PPN (PKU)</t>
        </is>
      </c>
      <c r="AI3033" t="n">
        <v>102</v>
      </c>
      <c r="AJ3033" t="inlineStr">
        <is>
          <t>MAKARIZO</t>
        </is>
      </c>
      <c r="AK3033" t="n">
        <v>21</v>
      </c>
      <c r="AL3033" t="inlineStr">
        <is>
          <t>Miss Glam Damar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MAKARIZO</t>
        </is>
      </c>
      <c r="B3034" s="2">
        <f>"8992982401574"</f>
        <v/>
      </c>
      <c r="C3034" t="inlineStr">
        <is>
          <t>MAKARIZO T1 Pure Care System Micellar Shampoo Bottle 180ml</t>
        </is>
      </c>
      <c r="D3034" t="inlineStr">
        <is>
          <t>Miss Glam Damar</t>
        </is>
      </c>
      <c r="E3034" t="n">
        <v>23</v>
      </c>
      <c r="F3034" t="n">
        <v>0.5277999999999999</v>
      </c>
      <c r="G3034" t="n">
        <v>3.64</v>
      </c>
      <c r="H3034" t="n">
        <v>6</v>
      </c>
      <c r="I3034" t="n">
        <v>11</v>
      </c>
      <c r="J3034" t="n">
        <v>3</v>
      </c>
      <c r="K3034" t="n">
        <v>0</v>
      </c>
      <c r="L3034" t="n">
        <v>38800</v>
      </c>
      <c r="M3034" t="n">
        <v>48000</v>
      </c>
      <c r="N3034" t="n">
        <v>91</v>
      </c>
      <c r="O3034" t="n">
        <v>0.91</v>
      </c>
      <c r="P3034" t="n">
        <v>1</v>
      </c>
      <c r="Q3034" t="n">
        <v>0.53</v>
      </c>
      <c r="R3034" t="n">
        <v>3</v>
      </c>
      <c r="S3034" t="n">
        <v>25334.4</v>
      </c>
      <c r="T3034" t="n">
        <v>37</v>
      </c>
      <c r="U3034" t="n">
        <v>41</v>
      </c>
      <c r="V3034" t="n">
        <v>30</v>
      </c>
      <c r="W3034" t="n">
        <v>16</v>
      </c>
      <c r="X3034" t="n">
        <v>43.57711254262979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2301</v>
      </c>
      <c r="AG3034" t="n">
        <v>2034</v>
      </c>
      <c r="AH3034" t="inlineStr">
        <is>
          <t>PT. AKASHA WIRA INTERNATIONAL TBK  - PPN (PKU)</t>
        </is>
      </c>
      <c r="AI3034" t="n">
        <v>102</v>
      </c>
      <c r="AJ3034" t="inlineStr">
        <is>
          <t>MAKARIZO</t>
        </is>
      </c>
      <c r="AK3034" t="n">
        <v>21</v>
      </c>
      <c r="AL3034" t="inlineStr">
        <is>
          <t>Miss Glam Damar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MAKARIZO</t>
        </is>
      </c>
      <c r="B3035" s="2">
        <f>"40200307125"</f>
        <v/>
      </c>
      <c r="C3035" t="inlineStr">
        <is>
          <t>MAKARIZO T1 Techno Nature Scalp &amp; Hair Oil with Rosemary Oil 40ml</t>
        </is>
      </c>
      <c r="D3035" t="inlineStr">
        <is>
          <t>Miss Glam Damar</t>
        </is>
      </c>
      <c r="E3035" t="n">
        <v>11</v>
      </c>
      <c r="F3035" t="n">
        <v>0.4823000000000001</v>
      </c>
      <c r="G3035" t="n">
        <v>2.73</v>
      </c>
      <c r="H3035" t="n">
        <v>6</v>
      </c>
      <c r="I3035" t="n">
        <v>11</v>
      </c>
      <c r="J3035" t="n">
        <v>1</v>
      </c>
      <c r="K3035" t="n">
        <v>0</v>
      </c>
      <c r="L3035" t="n">
        <v>67900</v>
      </c>
      <c r="M3035" t="n">
        <v>83000</v>
      </c>
      <c r="N3035" t="n">
        <v>91</v>
      </c>
      <c r="O3035" t="n">
        <v>0.91</v>
      </c>
      <c r="P3035" t="n">
        <v>1</v>
      </c>
      <c r="Q3035" t="n">
        <v>0.42</v>
      </c>
      <c r="R3035" t="n">
        <v>4</v>
      </c>
      <c r="S3035" t="n">
        <v>40030.90000000001</v>
      </c>
      <c r="T3035" t="n">
        <v>28</v>
      </c>
      <c r="U3035" t="n">
        <v>31</v>
      </c>
      <c r="V3035" t="n">
        <v>30</v>
      </c>
      <c r="W3035" t="n">
        <v>15</v>
      </c>
      <c r="X3035" t="n">
        <v>22.80738129794733</v>
      </c>
      <c r="Y3035" t="n">
        <v>1</v>
      </c>
      <c r="Z3035" t="n">
        <v>4</v>
      </c>
      <c r="AA3035" t="n">
        <v>0</v>
      </c>
      <c r="AB3035" t="n">
        <v>4</v>
      </c>
      <c r="AC3035" t="n">
        <v>4</v>
      </c>
      <c r="AD3035" t="n">
        <v>0</v>
      </c>
      <c r="AE3035" t="n">
        <v>271600</v>
      </c>
      <c r="AF3035" t="n">
        <v>2301</v>
      </c>
      <c r="AG3035" t="n">
        <v>2034</v>
      </c>
      <c r="AH3035" t="inlineStr">
        <is>
          <t>PT. AKASHA WIRA INTERNATIONAL TBK  - PPN (PKU)</t>
        </is>
      </c>
      <c r="AI3035" t="n">
        <v>102</v>
      </c>
      <c r="AJ3035" t="inlineStr">
        <is>
          <t>MAKARIZO</t>
        </is>
      </c>
      <c r="AK3035" t="n">
        <v>21</v>
      </c>
      <c r="AL3035" t="inlineStr">
        <is>
          <t>Miss Glam Damar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MAKARIZO</t>
        </is>
      </c>
      <c r="B3036" s="2">
        <f>"8992982500055"</f>
        <v/>
      </c>
      <c r="C3036" t="inlineStr">
        <is>
          <t>MAKARIZO Tex Mint Sorbet 60ml</t>
        </is>
      </c>
      <c r="D3036" t="inlineStr">
        <is>
          <t>Miss Glam Damar</t>
        </is>
      </c>
      <c r="E3036" t="n">
        <v>9</v>
      </c>
      <c r="F3036" t="n">
        <v>0.546</v>
      </c>
      <c r="G3036" t="n">
        <v>3.64</v>
      </c>
      <c r="H3036" t="n">
        <v>6</v>
      </c>
      <c r="I3036" t="n">
        <v>11</v>
      </c>
      <c r="J3036" t="n">
        <v>3</v>
      </c>
      <c r="K3036" t="n">
        <v>0</v>
      </c>
      <c r="L3036" t="n">
        <v>20250</v>
      </c>
      <c r="M3036" t="n">
        <v>23000</v>
      </c>
      <c r="N3036" t="n">
        <v>91</v>
      </c>
      <c r="O3036" t="n">
        <v>0.91</v>
      </c>
      <c r="P3036" t="n">
        <v>1</v>
      </c>
      <c r="Q3036" t="n">
        <v>0.2</v>
      </c>
      <c r="R3036" t="n">
        <v>2</v>
      </c>
      <c r="S3036" t="n">
        <v>12558</v>
      </c>
      <c r="T3036" t="n">
        <v>37</v>
      </c>
      <c r="U3036" t="n">
        <v>41</v>
      </c>
      <c r="V3036" t="n">
        <v>30</v>
      </c>
      <c r="W3036" t="n">
        <v>17</v>
      </c>
      <c r="X3036" t="n">
        <v>16.48351648351648</v>
      </c>
      <c r="Y3036" t="n">
        <v>1</v>
      </c>
      <c r="Z3036" t="n">
        <v>8</v>
      </c>
      <c r="AA3036" t="n">
        <v>0</v>
      </c>
      <c r="AB3036" t="n">
        <v>8</v>
      </c>
      <c r="AC3036" t="n">
        <v>8</v>
      </c>
      <c r="AD3036" t="n">
        <v>0</v>
      </c>
      <c r="AE3036" t="n">
        <v>162000</v>
      </c>
      <c r="AF3036" t="n">
        <v>2301</v>
      </c>
      <c r="AG3036" t="n">
        <v>2034</v>
      </c>
      <c r="AH3036" t="inlineStr">
        <is>
          <t>PT. AKASHA WIRA INTERNATIONAL TBK  - PPN (PKU)</t>
        </is>
      </c>
      <c r="AI3036" t="n">
        <v>102</v>
      </c>
      <c r="AJ3036" t="inlineStr">
        <is>
          <t>MAKARIZO</t>
        </is>
      </c>
      <c r="AK3036" t="n">
        <v>21</v>
      </c>
      <c r="AL3036" t="inlineStr">
        <is>
          <t>Miss Glam Damar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MAKARIZO</t>
        </is>
      </c>
      <c r="B3037" s="2">
        <f>"8992982500215"</f>
        <v/>
      </c>
      <c r="C3037" t="inlineStr">
        <is>
          <t>MAKARIZO Texture  Creambath Black  Chocolate 500gr</t>
        </is>
      </c>
      <c r="D3037" t="inlineStr">
        <is>
          <t>Miss Glam Damar</t>
        </is>
      </c>
      <c r="E3037" t="n">
        <v>5</v>
      </c>
      <c r="F3037" t="n">
        <v>0.0182</v>
      </c>
      <c r="G3037" t="n">
        <v>0.91</v>
      </c>
      <c r="H3037" t="n">
        <v>6</v>
      </c>
      <c r="I3037" t="n">
        <v>11</v>
      </c>
      <c r="J3037" t="n">
        <v>3</v>
      </c>
      <c r="K3037" t="n">
        <v>0</v>
      </c>
      <c r="L3037" t="n">
        <v>143100</v>
      </c>
      <c r="M3037" t="n">
        <v>187500</v>
      </c>
      <c r="N3037" t="n">
        <v>91</v>
      </c>
      <c r="O3037" t="n">
        <v>0.91</v>
      </c>
      <c r="P3037" t="n">
        <v>1</v>
      </c>
      <c r="Q3037" t="n">
        <v>0.07000000000000001</v>
      </c>
      <c r="R3037" t="n">
        <v>1</v>
      </c>
      <c r="S3037" t="n">
        <v>3412.5</v>
      </c>
      <c r="T3037" t="n">
        <v>10</v>
      </c>
      <c r="U3037" t="n">
        <v>11</v>
      </c>
      <c r="V3037" t="n">
        <v>30</v>
      </c>
      <c r="W3037" t="n">
        <v>1</v>
      </c>
      <c r="X3037" t="n">
        <v>274.7252747252747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2301</v>
      </c>
      <c r="AG3037" t="n">
        <v>2034</v>
      </c>
      <c r="AH3037" t="inlineStr">
        <is>
          <t>PT. AKASHA WIRA INTERNATIONAL TBK  - PPN (PKU)</t>
        </is>
      </c>
      <c r="AI3037" t="n">
        <v>102</v>
      </c>
      <c r="AJ3037" t="inlineStr">
        <is>
          <t>MAKARIZO</t>
        </is>
      </c>
      <c r="AK3037" t="n">
        <v>21</v>
      </c>
      <c r="AL3037" t="inlineStr">
        <is>
          <t>Miss Glam Damar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MAKARIZO</t>
        </is>
      </c>
      <c r="B3038" s="2">
        <f>"40200707029"</f>
        <v/>
      </c>
      <c r="C3038" t="inlineStr">
        <is>
          <t>MAKARIZO Texture Creambath Black Chocolate Tube 200ml</t>
        </is>
      </c>
      <c r="D3038" t="inlineStr">
        <is>
          <t>Miss Glam Damar</t>
        </is>
      </c>
      <c r="E3038" t="n">
        <v>8</v>
      </c>
      <c r="F3038" t="n">
        <v>0.182</v>
      </c>
      <c r="G3038" t="n">
        <v>1.82</v>
      </c>
      <c r="H3038" t="n">
        <v>6</v>
      </c>
      <c r="I3038" t="n">
        <v>11</v>
      </c>
      <c r="J3038" t="n">
        <v>1</v>
      </c>
      <c r="K3038" t="n">
        <v>0</v>
      </c>
      <c r="L3038" t="n">
        <v>64799</v>
      </c>
      <c r="M3038" t="n">
        <v>76500</v>
      </c>
      <c r="N3038" t="n">
        <v>91</v>
      </c>
      <c r="O3038" t="n">
        <v>0.91</v>
      </c>
      <c r="P3038" t="n">
        <v>1</v>
      </c>
      <c r="Q3038" t="n">
        <v>0.47</v>
      </c>
      <c r="R3038" t="n">
        <v>3</v>
      </c>
      <c r="S3038" t="n">
        <v>13923</v>
      </c>
      <c r="T3038" t="n">
        <v>19</v>
      </c>
      <c r="U3038" t="n">
        <v>21</v>
      </c>
      <c r="V3038" t="n">
        <v>30</v>
      </c>
      <c r="W3038" t="n">
        <v>6</v>
      </c>
      <c r="X3038" t="n">
        <v>43.95604395604395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2301</v>
      </c>
      <c r="AG3038" t="n">
        <v>2034</v>
      </c>
      <c r="AH3038" t="inlineStr">
        <is>
          <t>PT. AKASHA WIRA INTERNATIONAL TBK  - PPN (PKU)</t>
        </is>
      </c>
      <c r="AI3038" t="n">
        <v>102</v>
      </c>
      <c r="AJ3038" t="inlineStr">
        <is>
          <t>MAKARIZO</t>
        </is>
      </c>
      <c r="AK3038" t="n">
        <v>21</v>
      </c>
      <c r="AL3038" t="inlineStr">
        <is>
          <t>Miss Glam Damar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MAKARIZO</t>
        </is>
      </c>
      <c r="B3039" s="2">
        <f>"40200707249"</f>
        <v/>
      </c>
      <c r="C3039" t="inlineStr">
        <is>
          <t>MAKARIZO Texture Creambath Green Tea Tube 200ml</t>
        </is>
      </c>
      <c r="D3039" t="inlineStr">
        <is>
          <t>Miss Glam Damar</t>
        </is>
      </c>
      <c r="E3039" t="n">
        <v>8</v>
      </c>
      <c r="F3039" t="n">
        <v>0.06370000000000001</v>
      </c>
      <c r="G3039" t="n">
        <v>2.73</v>
      </c>
      <c r="H3039" t="n">
        <v>6</v>
      </c>
      <c r="I3039" t="n">
        <v>11</v>
      </c>
      <c r="J3039" t="n">
        <v>1</v>
      </c>
      <c r="K3039" t="n">
        <v>0</v>
      </c>
      <c r="L3039" t="n">
        <v>64800</v>
      </c>
      <c r="M3039" t="n">
        <v>76500</v>
      </c>
      <c r="N3039" t="n">
        <v>91</v>
      </c>
      <c r="O3039" t="n">
        <v>0.91</v>
      </c>
      <c r="P3039" t="n">
        <v>1</v>
      </c>
      <c r="Q3039" t="n">
        <v>0.14</v>
      </c>
      <c r="R3039" t="n">
        <v>1</v>
      </c>
      <c r="S3039" t="n">
        <v>4873.05</v>
      </c>
      <c r="T3039" t="n">
        <v>30</v>
      </c>
      <c r="U3039" t="n">
        <v>31</v>
      </c>
      <c r="V3039" t="n">
        <v>30</v>
      </c>
      <c r="W3039" t="n">
        <v>2</v>
      </c>
      <c r="X3039" t="n">
        <v>125.5886970172684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2301</v>
      </c>
      <c r="AG3039" t="n">
        <v>2034</v>
      </c>
      <c r="AH3039" t="inlineStr">
        <is>
          <t>PT. AKASHA WIRA INTERNATIONAL TBK  - PPN (PKU)</t>
        </is>
      </c>
      <c r="AI3039" t="n">
        <v>102</v>
      </c>
      <c r="AJ3039" t="inlineStr">
        <is>
          <t>MAKARIZO</t>
        </is>
      </c>
      <c r="AK3039" t="n">
        <v>21</v>
      </c>
      <c r="AL3039" t="inlineStr">
        <is>
          <t>Miss Glam Damar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MAKARIZO</t>
        </is>
      </c>
      <c r="B3040" s="2">
        <f>"40200707339"</f>
        <v/>
      </c>
      <c r="C3040" t="inlineStr">
        <is>
          <t>MAKARIZO Texture Creambath Mint Sorbet Tube 200ml</t>
        </is>
      </c>
      <c r="D3040" t="inlineStr">
        <is>
          <t>Miss Glam Damar</t>
        </is>
      </c>
      <c r="E3040" t="n">
        <v>11</v>
      </c>
      <c r="F3040" t="n">
        <v>0.06370000000000001</v>
      </c>
      <c r="G3040" t="n">
        <v>0.91</v>
      </c>
      <c r="H3040" t="n">
        <v>6</v>
      </c>
      <c r="I3040" t="n">
        <v>11</v>
      </c>
      <c r="J3040" t="n">
        <v>1</v>
      </c>
      <c r="K3040" t="n">
        <v>0</v>
      </c>
      <c r="L3040" t="n">
        <v>64799</v>
      </c>
      <c r="M3040" t="n">
        <v>76500</v>
      </c>
      <c r="N3040" t="n">
        <v>91</v>
      </c>
      <c r="O3040" t="n">
        <v>0.91</v>
      </c>
      <c r="P3040" t="n">
        <v>1</v>
      </c>
      <c r="Q3040" t="n">
        <v>0.15</v>
      </c>
      <c r="R3040" t="n">
        <v>2</v>
      </c>
      <c r="S3040" t="n">
        <v>4873.05</v>
      </c>
      <c r="T3040" t="n">
        <v>10</v>
      </c>
      <c r="U3040" t="n">
        <v>11</v>
      </c>
      <c r="V3040" t="n">
        <v>30</v>
      </c>
      <c r="W3040" t="n">
        <v>2</v>
      </c>
      <c r="X3040" t="n">
        <v>172.6844583987441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2301</v>
      </c>
      <c r="AG3040" t="n">
        <v>2034</v>
      </c>
      <c r="AH3040" t="inlineStr">
        <is>
          <t>PT. AKASHA WIRA INTERNATIONAL TBK  - PPN (PKU)</t>
        </is>
      </c>
      <c r="AI3040" t="n">
        <v>102</v>
      </c>
      <c r="AJ3040" t="inlineStr">
        <is>
          <t>MAKARIZO</t>
        </is>
      </c>
      <c r="AK3040" t="n">
        <v>21</v>
      </c>
      <c r="AL3040" t="inlineStr">
        <is>
          <t>Miss Glam Damar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MAKARIZO</t>
        </is>
      </c>
      <c r="B3041" s="2">
        <f>"40200707421"</f>
        <v/>
      </c>
      <c r="C3041" t="inlineStr">
        <is>
          <t>MAKARIZO Texture Creambath Strawberry Yoghurt Tube 200ml</t>
        </is>
      </c>
      <c r="D3041" t="inlineStr">
        <is>
          <t>Miss Glam Damar</t>
        </is>
      </c>
      <c r="E3041" t="n">
        <v>21</v>
      </c>
      <c r="F3041" t="n">
        <v>0.3094</v>
      </c>
      <c r="G3041" t="n">
        <v>1.82</v>
      </c>
      <c r="H3041" t="n">
        <v>6</v>
      </c>
      <c r="I3041" t="n">
        <v>11</v>
      </c>
      <c r="J3041" t="n">
        <v>1</v>
      </c>
      <c r="K3041" t="n">
        <v>0</v>
      </c>
      <c r="L3041" t="n">
        <v>64799</v>
      </c>
      <c r="M3041" t="n">
        <v>76500</v>
      </c>
      <c r="N3041" t="n">
        <v>91</v>
      </c>
      <c r="O3041" t="n">
        <v>0.91</v>
      </c>
      <c r="P3041" t="n">
        <v>1</v>
      </c>
      <c r="Q3041" t="n">
        <v>0.41</v>
      </c>
      <c r="R3041" t="n">
        <v>2</v>
      </c>
      <c r="S3041" t="n">
        <v>23669.1</v>
      </c>
      <c r="T3041" t="n">
        <v>19</v>
      </c>
      <c r="U3041" t="n">
        <v>21</v>
      </c>
      <c r="V3041" t="n">
        <v>30</v>
      </c>
      <c r="W3041" t="n">
        <v>10</v>
      </c>
      <c r="X3041" t="n">
        <v>67.87330316742081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2301</v>
      </c>
      <c r="AG3041" t="n">
        <v>2034</v>
      </c>
      <c r="AH3041" t="inlineStr">
        <is>
          <t>PT. AKASHA WIRA INTERNATIONAL TBK  - PPN (PKU)</t>
        </is>
      </c>
      <c r="AI3041" t="n">
        <v>102</v>
      </c>
      <c r="AJ3041" t="inlineStr">
        <is>
          <t>MAKARIZO</t>
        </is>
      </c>
      <c r="AK3041" t="n">
        <v>21</v>
      </c>
      <c r="AL3041" t="inlineStr">
        <is>
          <t>Miss Glam Damar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MAKARIZO</t>
        </is>
      </c>
      <c r="B3042" s="2">
        <f>"40200707503"</f>
        <v/>
      </c>
      <c r="C3042" t="inlineStr">
        <is>
          <t>MAKARIZO Texture Creambath Vanilla Milk Tube 200ml</t>
        </is>
      </c>
      <c r="D3042" t="inlineStr">
        <is>
          <t>Miss Glam Damar</t>
        </is>
      </c>
      <c r="E3042" t="n">
        <v>6</v>
      </c>
      <c r="F3042" t="n">
        <v>0.09100000000000001</v>
      </c>
      <c r="G3042" t="n">
        <v>0.91</v>
      </c>
      <c r="H3042" t="n">
        <v>6</v>
      </c>
      <c r="I3042" t="n">
        <v>11</v>
      </c>
      <c r="J3042" t="n">
        <v>1</v>
      </c>
      <c r="K3042" t="n">
        <v>0</v>
      </c>
      <c r="L3042" t="n">
        <v>64799</v>
      </c>
      <c r="M3042" t="n">
        <v>76500</v>
      </c>
      <c r="N3042" t="n">
        <v>91</v>
      </c>
      <c r="O3042" t="n">
        <v>0.91</v>
      </c>
      <c r="P3042" t="n">
        <v>1</v>
      </c>
      <c r="Q3042" t="n">
        <v>0.14</v>
      </c>
      <c r="R3042" t="n">
        <v>2</v>
      </c>
      <c r="S3042" t="n">
        <v>6961.500000000001</v>
      </c>
      <c r="T3042" t="n">
        <v>10</v>
      </c>
      <c r="U3042" t="n">
        <v>11</v>
      </c>
      <c r="V3042" t="n">
        <v>30</v>
      </c>
      <c r="W3042" t="n">
        <v>3</v>
      </c>
      <c r="X3042" t="n">
        <v>65.93406593406593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2301</v>
      </c>
      <c r="AG3042" t="n">
        <v>2034</v>
      </c>
      <c r="AH3042" t="inlineStr">
        <is>
          <t>PT. AKASHA WIRA INTERNATIONAL TBK  - PPN (PKU)</t>
        </is>
      </c>
      <c r="AI3042" t="n">
        <v>102</v>
      </c>
      <c r="AJ3042" t="inlineStr">
        <is>
          <t>MAKARIZO</t>
        </is>
      </c>
      <c r="AK3042" t="n">
        <v>21</v>
      </c>
      <c r="AL3042" t="inlineStr">
        <is>
          <t>Miss Glam Damar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MAKARIZO</t>
        </is>
      </c>
      <c r="B3043" s="2">
        <f>"8992982501076"</f>
        <v/>
      </c>
      <c r="C3043" t="inlineStr">
        <is>
          <t>MAKARIZO Texture Experience  Creambath Strawberry Yoghurt 60ml</t>
        </is>
      </c>
      <c r="D3043" t="inlineStr">
        <is>
          <t>Miss Glam Damar</t>
        </is>
      </c>
      <c r="E3043" t="n">
        <v>32</v>
      </c>
      <c r="F3043" t="n">
        <v>0.9282</v>
      </c>
      <c r="G3043" t="n">
        <v>3.64</v>
      </c>
      <c r="H3043" t="n">
        <v>6</v>
      </c>
      <c r="I3043" t="n">
        <v>11</v>
      </c>
      <c r="J3043" t="n">
        <v>3</v>
      </c>
      <c r="K3043" t="n">
        <v>0</v>
      </c>
      <c r="L3043" t="n">
        <v>20250</v>
      </c>
      <c r="M3043" t="n">
        <v>20600</v>
      </c>
      <c r="N3043" t="n">
        <v>91</v>
      </c>
      <c r="O3043" t="n">
        <v>0.91</v>
      </c>
      <c r="P3043" t="n">
        <v>1</v>
      </c>
      <c r="Q3043" t="n">
        <v>0.75</v>
      </c>
      <c r="R3043" t="n">
        <v>3</v>
      </c>
      <c r="S3043" t="n">
        <v>19120.92</v>
      </c>
      <c r="T3043" t="n">
        <v>35</v>
      </c>
      <c r="U3043" t="n">
        <v>41</v>
      </c>
      <c r="V3043" t="n">
        <v>30</v>
      </c>
      <c r="W3043" t="n">
        <v>28</v>
      </c>
      <c r="X3043" t="n">
        <v>34.47532859297565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2301</v>
      </c>
      <c r="AG3043" t="n">
        <v>2034</v>
      </c>
      <c r="AH3043" t="inlineStr">
        <is>
          <t>PT. AKASHA WIRA INTERNATIONAL TBK  - PPN (PKU)</t>
        </is>
      </c>
      <c r="AI3043" t="n">
        <v>102</v>
      </c>
      <c r="AJ3043" t="inlineStr">
        <is>
          <t>MAKARIZO</t>
        </is>
      </c>
      <c r="AK3043" t="n">
        <v>21</v>
      </c>
      <c r="AL3043" t="inlineStr">
        <is>
          <t>Miss Glam Damar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MAKARIZO</t>
        </is>
      </c>
      <c r="B3044" s="2">
        <f>"800142902220"</f>
        <v/>
      </c>
      <c r="C3044" t="inlineStr">
        <is>
          <t>MAKARIZO Texture Experience Black Choco 60g</t>
        </is>
      </c>
      <c r="D3044" t="inlineStr">
        <is>
          <t>Miss Glam Damar</t>
        </is>
      </c>
      <c r="E3044" t="n">
        <v>17</v>
      </c>
      <c r="F3044" t="n">
        <v>0.6279</v>
      </c>
      <c r="G3044" t="n">
        <v>3.64</v>
      </c>
      <c r="H3044" t="n">
        <v>6</v>
      </c>
      <c r="I3044" t="n">
        <v>11</v>
      </c>
      <c r="J3044" t="n">
        <v>3</v>
      </c>
      <c r="K3044" t="n">
        <v>0</v>
      </c>
      <c r="L3044" t="n">
        <v>16874</v>
      </c>
      <c r="M3044" t="n">
        <v>21500</v>
      </c>
      <c r="N3044" t="n">
        <v>91</v>
      </c>
      <c r="O3044" t="n">
        <v>0.91</v>
      </c>
      <c r="P3044" t="n">
        <v>1</v>
      </c>
      <c r="Q3044" t="n">
        <v>0.98</v>
      </c>
      <c r="R3044" t="n">
        <v>5</v>
      </c>
      <c r="S3044" t="n">
        <v>13499.85</v>
      </c>
      <c r="T3044" t="n">
        <v>37</v>
      </c>
      <c r="U3044" t="n">
        <v>41</v>
      </c>
      <c r="V3044" t="n">
        <v>30</v>
      </c>
      <c r="W3044" t="n">
        <v>19</v>
      </c>
      <c r="X3044" t="n">
        <v>27.07437490046186</v>
      </c>
      <c r="Y3044" t="n">
        <v>1</v>
      </c>
      <c r="Z3044" t="n">
        <v>2</v>
      </c>
      <c r="AA3044" t="n">
        <v>0</v>
      </c>
      <c r="AB3044" t="n">
        <v>2</v>
      </c>
      <c r="AC3044" t="n">
        <v>3</v>
      </c>
      <c r="AD3044" t="n">
        <v>0</v>
      </c>
      <c r="AE3044" t="n">
        <v>50622</v>
      </c>
      <c r="AF3044" t="n">
        <v>2301</v>
      </c>
      <c r="AG3044" t="n">
        <v>2034</v>
      </c>
      <c r="AH3044" t="inlineStr">
        <is>
          <t>PT. AKASHA WIRA INTERNATIONAL TBK  - PPN (PKU)</t>
        </is>
      </c>
      <c r="AI3044" t="n">
        <v>102</v>
      </c>
      <c r="AJ3044" t="inlineStr">
        <is>
          <t>MAKARIZO</t>
        </is>
      </c>
      <c r="AK3044" t="n">
        <v>21</v>
      </c>
      <c r="AL3044" t="inlineStr">
        <is>
          <t>Miss Glam Damar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MAKARIZO</t>
        </is>
      </c>
      <c r="B3045" s="2">
        <f>"8992982501533"</f>
        <v/>
      </c>
      <c r="C3045" t="inlineStr">
        <is>
          <t>MAKARIZO Texture Experience Conditioner Black Chocolate 250ml</t>
        </is>
      </c>
      <c r="D3045" t="inlineStr">
        <is>
          <t>Miss Glam Damar</t>
        </is>
      </c>
      <c r="E3045" t="n">
        <v>3</v>
      </c>
      <c r="F3045" t="n">
        <v>0.06370000000000001</v>
      </c>
      <c r="G3045" t="n">
        <v>0.91</v>
      </c>
      <c r="H3045" t="n">
        <v>6</v>
      </c>
      <c r="I3045" t="n">
        <v>11</v>
      </c>
      <c r="J3045" t="n">
        <v>3</v>
      </c>
      <c r="K3045" t="n">
        <v>0</v>
      </c>
      <c r="L3045" t="n">
        <v>46800</v>
      </c>
      <c r="M3045" t="n">
        <v>61500</v>
      </c>
      <c r="N3045" t="n">
        <v>91</v>
      </c>
      <c r="O3045" t="n">
        <v>0.91</v>
      </c>
      <c r="P3045" t="n">
        <v>1</v>
      </c>
      <c r="Q3045" t="n">
        <v>0.07000000000000001</v>
      </c>
      <c r="R3045" t="n">
        <v>1</v>
      </c>
      <c r="S3045" t="n">
        <v>3917.55</v>
      </c>
      <c r="T3045" t="n">
        <v>10</v>
      </c>
      <c r="U3045" t="n">
        <v>11</v>
      </c>
      <c r="V3045" t="n">
        <v>30</v>
      </c>
      <c r="W3045" t="n">
        <v>2</v>
      </c>
      <c r="X3045" t="n">
        <v>47.09576138147566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2301</v>
      </c>
      <c r="AG3045" t="n">
        <v>2034</v>
      </c>
      <c r="AH3045" t="inlineStr">
        <is>
          <t>PT. AKASHA WIRA INTERNATIONAL TBK  - PPN (PKU)</t>
        </is>
      </c>
      <c r="AI3045" t="n">
        <v>102</v>
      </c>
      <c r="AJ3045" t="inlineStr">
        <is>
          <t>MAKARIZO</t>
        </is>
      </c>
      <c r="AK3045" t="n">
        <v>21</v>
      </c>
      <c r="AL3045" t="inlineStr">
        <is>
          <t>Miss Glam Damar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MAKARIZO</t>
        </is>
      </c>
      <c r="B3046" s="2">
        <f>"8992982501564"</f>
        <v/>
      </c>
      <c r="C3046" t="inlineStr">
        <is>
          <t>MAKARIZO Texture Experience Conditioner Green Tea Butter 250ml</t>
        </is>
      </c>
      <c r="D3046" t="inlineStr">
        <is>
          <t>Miss Glam Damar</t>
        </is>
      </c>
      <c r="E3046" t="n">
        <v>4</v>
      </c>
      <c r="F3046" t="n">
        <v>0.04550000000000001</v>
      </c>
      <c r="G3046" t="n">
        <v>0.91</v>
      </c>
      <c r="H3046" t="n">
        <v>6</v>
      </c>
      <c r="I3046" t="n">
        <v>11</v>
      </c>
      <c r="J3046" t="n">
        <v>3</v>
      </c>
      <c r="K3046" t="n">
        <v>0</v>
      </c>
      <c r="L3046" t="n">
        <v>46799</v>
      </c>
      <c r="M3046" t="n">
        <v>61500</v>
      </c>
      <c r="N3046" t="n">
        <v>91</v>
      </c>
      <c r="O3046" t="n">
        <v>0.91</v>
      </c>
      <c r="P3046" t="n">
        <v>1</v>
      </c>
      <c r="Q3046" t="n">
        <v>0.02</v>
      </c>
      <c r="R3046" t="n">
        <v>1</v>
      </c>
      <c r="S3046" t="n">
        <v>2798.25</v>
      </c>
      <c r="T3046" t="n">
        <v>10</v>
      </c>
      <c r="U3046" t="n">
        <v>11</v>
      </c>
      <c r="V3046" t="n">
        <v>30</v>
      </c>
      <c r="W3046" t="n">
        <v>2</v>
      </c>
      <c r="X3046" t="n">
        <v>87.9120879120879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2301</v>
      </c>
      <c r="AG3046" t="n">
        <v>2034</v>
      </c>
      <c r="AH3046" t="inlineStr">
        <is>
          <t>PT. AKASHA WIRA INTERNATIONAL TBK  - PPN (PKU)</t>
        </is>
      </c>
      <c r="AI3046" t="n">
        <v>102</v>
      </c>
      <c r="AJ3046" t="inlineStr">
        <is>
          <t>MAKARIZO</t>
        </is>
      </c>
      <c r="AK3046" t="n">
        <v>21</v>
      </c>
      <c r="AL3046" t="inlineStr">
        <is>
          <t>Miss Glam Damar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MAKARIZO</t>
        </is>
      </c>
      <c r="B3047" s="2">
        <f>"8992982500239"</f>
        <v/>
      </c>
      <c r="C3047" t="inlineStr">
        <is>
          <t>MAKARIZO Texture Experience Green Tea Butter  500ml</t>
        </is>
      </c>
      <c r="D3047" t="inlineStr">
        <is>
          <t>Miss Glam Damar</t>
        </is>
      </c>
      <c r="E3047" t="n">
        <v>8</v>
      </c>
      <c r="F3047" t="n">
        <v>0.0182</v>
      </c>
      <c r="G3047" t="n">
        <v>0.91</v>
      </c>
      <c r="H3047" t="n">
        <v>6</v>
      </c>
      <c r="I3047" t="n">
        <v>11</v>
      </c>
      <c r="J3047" t="n">
        <v>3</v>
      </c>
      <c r="K3047" t="n">
        <v>0</v>
      </c>
      <c r="L3047" t="n">
        <v>152100</v>
      </c>
      <c r="M3047" t="n">
        <v>179000</v>
      </c>
      <c r="N3047" t="n">
        <v>91</v>
      </c>
      <c r="O3047" t="n">
        <v>0.91</v>
      </c>
      <c r="P3047" t="n">
        <v>1</v>
      </c>
      <c r="Q3047" t="n">
        <v>0.03</v>
      </c>
      <c r="R3047" t="n">
        <v>1</v>
      </c>
      <c r="S3047" t="n">
        <v>3257.8</v>
      </c>
      <c r="T3047" t="n">
        <v>10</v>
      </c>
      <c r="U3047" t="n">
        <v>11</v>
      </c>
      <c r="V3047" t="n">
        <v>30</v>
      </c>
      <c r="W3047" t="n">
        <v>1</v>
      </c>
      <c r="X3047" t="n">
        <v>439.5604395604395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2301</v>
      </c>
      <c r="AG3047" t="n">
        <v>2034</v>
      </c>
      <c r="AH3047" t="inlineStr">
        <is>
          <t>PT. AKASHA WIRA INTERNATIONAL TBK  - PPN (PKU)</t>
        </is>
      </c>
      <c r="AI3047" t="n">
        <v>102</v>
      </c>
      <c r="AJ3047" t="inlineStr">
        <is>
          <t>MAKARIZO</t>
        </is>
      </c>
      <c r="AK3047" t="n">
        <v>21</v>
      </c>
      <c r="AL3047" t="inlineStr">
        <is>
          <t>Miss Glam Damar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MAKARIZO</t>
        </is>
      </c>
      <c r="B3048" s="2">
        <f>"8992982501502"</f>
        <v/>
      </c>
      <c r="C3048" t="inlineStr">
        <is>
          <t>MAKARIZO Texture Experience Shampo Green Tea Butter 250ml</t>
        </is>
      </c>
      <c r="D3048" t="inlineStr">
        <is>
          <t>Miss Glam Damar</t>
        </is>
      </c>
      <c r="E3048" t="n">
        <v>15</v>
      </c>
      <c r="F3048" t="n">
        <v>0.0182</v>
      </c>
      <c r="G3048" t="n">
        <v>0.91</v>
      </c>
      <c r="H3048" t="n">
        <v>6</v>
      </c>
      <c r="I3048" t="n">
        <v>11</v>
      </c>
      <c r="J3048" t="n">
        <v>3</v>
      </c>
      <c r="K3048" t="n">
        <v>0</v>
      </c>
      <c r="L3048" t="n">
        <v>48285</v>
      </c>
      <c r="M3048" t="n">
        <v>61500</v>
      </c>
      <c r="N3048" t="n">
        <v>91</v>
      </c>
      <c r="O3048" t="n">
        <v>0.91</v>
      </c>
      <c r="P3048" t="n">
        <v>1</v>
      </c>
      <c r="Q3048" t="n">
        <v>0.03</v>
      </c>
      <c r="R3048" t="n">
        <v>1</v>
      </c>
      <c r="S3048" t="n">
        <v>1119.3</v>
      </c>
      <c r="T3048" t="n">
        <v>10</v>
      </c>
      <c r="U3048" t="n">
        <v>11</v>
      </c>
      <c r="V3048" t="n">
        <v>30</v>
      </c>
      <c r="W3048" t="n">
        <v>1</v>
      </c>
      <c r="X3048" t="n">
        <v>824.1758241758241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2301</v>
      </c>
      <c r="AG3048" t="n">
        <v>2034</v>
      </c>
      <c r="AH3048" t="inlineStr">
        <is>
          <t>PT. AKASHA WIRA INTERNATIONAL TBK  - PPN (PKU)</t>
        </is>
      </c>
      <c r="AI3048" t="n">
        <v>102</v>
      </c>
      <c r="AJ3048" t="inlineStr">
        <is>
          <t>MAKARIZO</t>
        </is>
      </c>
      <c r="AK3048" t="n">
        <v>21</v>
      </c>
      <c r="AL3048" t="inlineStr">
        <is>
          <t>Miss Glam Damar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MAKARIZO</t>
        </is>
      </c>
      <c r="B3049" s="2">
        <f>"8992982501489"</f>
        <v/>
      </c>
      <c r="C3049" t="inlineStr">
        <is>
          <t>MAKARIZO Texture Experience Shampoo Strawberry Yoghurt 250ml</t>
        </is>
      </c>
      <c r="D3049" t="inlineStr">
        <is>
          <t>Miss Glam Damar</t>
        </is>
      </c>
      <c r="E3049" t="n">
        <v>6</v>
      </c>
      <c r="F3049" t="n">
        <v>0.0728</v>
      </c>
      <c r="G3049" t="n">
        <v>0.91</v>
      </c>
      <c r="H3049" t="n">
        <v>6</v>
      </c>
      <c r="I3049" t="n">
        <v>11</v>
      </c>
      <c r="J3049" t="n">
        <v>3</v>
      </c>
      <c r="K3049" t="n">
        <v>0</v>
      </c>
      <c r="L3049" t="n">
        <v>46799</v>
      </c>
      <c r="M3049" t="n">
        <v>57000</v>
      </c>
      <c r="N3049" t="n">
        <v>91</v>
      </c>
      <c r="O3049" t="n">
        <v>0.91</v>
      </c>
      <c r="P3049" t="n">
        <v>1</v>
      </c>
      <c r="Q3049" t="n">
        <v>0.22</v>
      </c>
      <c r="R3049" t="n">
        <v>3</v>
      </c>
      <c r="S3049" t="n">
        <v>4149.6</v>
      </c>
      <c r="T3049" t="n">
        <v>10</v>
      </c>
      <c r="U3049" t="n">
        <v>11</v>
      </c>
      <c r="V3049" t="n">
        <v>30</v>
      </c>
      <c r="W3049" t="n">
        <v>3</v>
      </c>
      <c r="X3049" t="n">
        <v>82.41758241758241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2301</v>
      </c>
      <c r="AG3049" t="n">
        <v>2034</v>
      </c>
      <c r="AH3049" t="inlineStr">
        <is>
          <t>PT. AKASHA WIRA INTERNATIONAL TBK  - PPN (PKU)</t>
        </is>
      </c>
      <c r="AI3049" t="n">
        <v>102</v>
      </c>
      <c r="AJ3049" t="inlineStr">
        <is>
          <t>MAKARIZO</t>
        </is>
      </c>
      <c r="AK3049" t="n">
        <v>21</v>
      </c>
      <c r="AL3049" t="inlineStr">
        <is>
          <t>Miss Glam Damar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MAKARIZO</t>
        </is>
      </c>
      <c r="B3050" s="2">
        <f>"8992982500253"</f>
        <v/>
      </c>
      <c r="C3050" t="inlineStr">
        <is>
          <t>MAKARIZO Texture Experience Strawberry Yoghurt 500ml</t>
        </is>
      </c>
      <c r="D3050" t="inlineStr">
        <is>
          <t>Miss Glam Damar</t>
        </is>
      </c>
      <c r="E3050" t="n">
        <v>6</v>
      </c>
      <c r="F3050" t="n">
        <v>0.06370000000000001</v>
      </c>
      <c r="G3050" t="n">
        <v>0.91</v>
      </c>
      <c r="H3050" t="n">
        <v>6</v>
      </c>
      <c r="I3050" t="n">
        <v>11</v>
      </c>
      <c r="J3050" t="n">
        <v>3</v>
      </c>
      <c r="K3050" t="n">
        <v>0</v>
      </c>
      <c r="L3050" t="n">
        <v>143099</v>
      </c>
      <c r="M3050" t="n">
        <v>170000</v>
      </c>
      <c r="N3050" t="n">
        <v>91</v>
      </c>
      <c r="O3050" t="n">
        <v>0.91</v>
      </c>
      <c r="P3050" t="n">
        <v>1</v>
      </c>
      <c r="Q3050" t="n">
        <v>0.07000000000000001</v>
      </c>
      <c r="R3050" t="n">
        <v>1</v>
      </c>
      <c r="S3050" t="n">
        <v>10829</v>
      </c>
      <c r="T3050" t="n">
        <v>10</v>
      </c>
      <c r="U3050" t="n">
        <v>11</v>
      </c>
      <c r="V3050" t="n">
        <v>30</v>
      </c>
      <c r="W3050" t="n">
        <v>2</v>
      </c>
      <c r="X3050" t="n">
        <v>94.19152276295132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2301</v>
      </c>
      <c r="AG3050" t="n">
        <v>2034</v>
      </c>
      <c r="AH3050" t="inlineStr">
        <is>
          <t>PT. AKASHA WIRA INTERNATIONAL TBK  - PPN (PKU)</t>
        </is>
      </c>
      <c r="AI3050" t="n">
        <v>102</v>
      </c>
      <c r="AJ3050" t="inlineStr">
        <is>
          <t>MAKARIZO</t>
        </is>
      </c>
      <c r="AK3050" t="n">
        <v>21</v>
      </c>
      <c r="AL3050" t="inlineStr">
        <is>
          <t>Miss Glam Damar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MAKARIZO</t>
        </is>
      </c>
      <c r="B3051" s="2">
        <f>"8992982500222"</f>
        <v/>
      </c>
      <c r="C3051" t="inlineStr">
        <is>
          <t>MAKARIZO Texture Experience Vanilla Milk 500ml</t>
        </is>
      </c>
      <c r="D3051" t="inlineStr">
        <is>
          <t>Miss Glam Damar</t>
        </is>
      </c>
      <c r="E3051" t="n">
        <v>14</v>
      </c>
      <c r="F3051" t="n">
        <v>0.07000000000000001</v>
      </c>
      <c r="G3051" t="n">
        <v>1</v>
      </c>
      <c r="H3051" t="n">
        <v>6</v>
      </c>
      <c r="I3051" t="n">
        <v>11</v>
      </c>
      <c r="J3051" t="n">
        <v>3</v>
      </c>
      <c r="K3051" t="n">
        <v>0</v>
      </c>
      <c r="L3051" t="n">
        <v>143100</v>
      </c>
      <c r="M3051" t="n">
        <v>170000</v>
      </c>
      <c r="N3051" t="n">
        <v>91</v>
      </c>
      <c r="O3051" t="n">
        <v>0.91</v>
      </c>
      <c r="P3051" t="n">
        <v>0</v>
      </c>
      <c r="Q3051" t="n">
        <v>0.07000000000000001</v>
      </c>
      <c r="R3051" t="n">
        <v>1</v>
      </c>
      <c r="S3051" t="n">
        <v>11900</v>
      </c>
      <c r="T3051" t="n">
        <v>11</v>
      </c>
      <c r="U3051" t="n">
        <v>12</v>
      </c>
      <c r="V3051" t="n">
        <v>30</v>
      </c>
      <c r="W3051" t="n">
        <v>3</v>
      </c>
      <c r="X3051" t="n">
        <v>200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2301</v>
      </c>
      <c r="AG3051" t="n">
        <v>2034</v>
      </c>
      <c r="AH3051" t="inlineStr">
        <is>
          <t>PT. AKASHA WIRA INTERNATIONAL TBK  - PPN (PKU)</t>
        </is>
      </c>
      <c r="AI3051" t="n">
        <v>102</v>
      </c>
      <c r="AJ3051" t="inlineStr">
        <is>
          <t>MAKARIZO</t>
        </is>
      </c>
      <c r="AK3051" t="n">
        <v>21</v>
      </c>
      <c r="AL3051" t="inlineStr">
        <is>
          <t>Miss Glam Damar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MAKARIZO</t>
        </is>
      </c>
      <c r="B3052" s="2">
        <f>"8992982501571"</f>
        <v/>
      </c>
      <c r="C3052" t="inlineStr">
        <is>
          <t>MAKARIZO Texture Experince Conditioner Vanila Milk 250ml</t>
        </is>
      </c>
      <c r="D3052" t="inlineStr">
        <is>
          <t>Miss Glam Damar</t>
        </is>
      </c>
      <c r="E3052" t="n">
        <v>3</v>
      </c>
      <c r="F3052" t="n">
        <v>0.0182</v>
      </c>
      <c r="G3052" t="n">
        <v>0.91</v>
      </c>
      <c r="H3052" t="n">
        <v>6</v>
      </c>
      <c r="I3052" t="n">
        <v>11</v>
      </c>
      <c r="J3052" t="n">
        <v>3</v>
      </c>
      <c r="K3052" t="n">
        <v>0</v>
      </c>
      <c r="L3052" t="n">
        <v>46800</v>
      </c>
      <c r="M3052" t="n">
        <v>55500</v>
      </c>
      <c r="N3052" t="n">
        <v>91</v>
      </c>
      <c r="O3052" t="n">
        <v>0.91</v>
      </c>
      <c r="P3052" t="n">
        <v>1</v>
      </c>
      <c r="Q3052" t="n">
        <v>0.03</v>
      </c>
      <c r="R3052" t="n">
        <v>1</v>
      </c>
      <c r="S3052" t="n">
        <v>1010.1</v>
      </c>
      <c r="T3052" t="n">
        <v>10</v>
      </c>
      <c r="U3052" t="n">
        <v>11</v>
      </c>
      <c r="V3052" t="n">
        <v>30</v>
      </c>
      <c r="W3052" t="n">
        <v>1</v>
      </c>
      <c r="X3052" t="n">
        <v>164.8351648351648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2301</v>
      </c>
      <c r="AG3052" t="n">
        <v>2034</v>
      </c>
      <c r="AH3052" t="inlineStr">
        <is>
          <t>PT. AKASHA WIRA INTERNATIONAL TBK  - PPN (PKU)</t>
        </is>
      </c>
      <c r="AI3052" t="n">
        <v>102</v>
      </c>
      <c r="AJ3052" t="inlineStr">
        <is>
          <t>MAKARIZO</t>
        </is>
      </c>
      <c r="AK3052" t="n">
        <v>21</v>
      </c>
      <c r="AL3052" t="inlineStr">
        <is>
          <t>Miss Glam Damar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MAKARIZO</t>
        </is>
      </c>
      <c r="B3053" s="2">
        <f>"8992982500246"</f>
        <v/>
      </c>
      <c r="C3053" t="inlineStr">
        <is>
          <t>MAKARIZO Texture Mint Sorbet  500ml</t>
        </is>
      </c>
      <c r="D3053" t="inlineStr">
        <is>
          <t>Miss Glam Damar</t>
        </is>
      </c>
      <c r="E3053" t="n">
        <v>3</v>
      </c>
      <c r="F3053" t="n">
        <v>0.0182</v>
      </c>
      <c r="G3053" t="n">
        <v>0.91</v>
      </c>
      <c r="H3053" t="n">
        <v>6</v>
      </c>
      <c r="I3053" t="n">
        <v>11</v>
      </c>
      <c r="J3053" t="n">
        <v>3</v>
      </c>
      <c r="K3053" t="n">
        <v>0</v>
      </c>
      <c r="L3053" t="n">
        <v>143100</v>
      </c>
      <c r="M3053" t="n">
        <v>168500</v>
      </c>
      <c r="N3053" t="n">
        <v>91</v>
      </c>
      <c r="O3053" t="n">
        <v>0.91</v>
      </c>
      <c r="P3053" t="n">
        <v>1</v>
      </c>
      <c r="Q3053" t="n">
        <v>0.07000000000000001</v>
      </c>
      <c r="R3053" t="n">
        <v>1</v>
      </c>
      <c r="S3053" t="n">
        <v>3066.7</v>
      </c>
      <c r="T3053" t="n">
        <v>10</v>
      </c>
      <c r="U3053" t="n">
        <v>11</v>
      </c>
      <c r="V3053" t="n">
        <v>30</v>
      </c>
      <c r="W3053" t="n">
        <v>1</v>
      </c>
      <c r="X3053" t="n">
        <v>164.8351648351648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2301</v>
      </c>
      <c r="AG3053" t="n">
        <v>2034</v>
      </c>
      <c r="AH3053" t="inlineStr">
        <is>
          <t>PT. AKASHA WIRA INTERNATIONAL TBK  - PPN (PKU)</t>
        </is>
      </c>
      <c r="AI3053" t="n">
        <v>102</v>
      </c>
      <c r="AJ3053" t="inlineStr">
        <is>
          <t>MAKARIZO</t>
        </is>
      </c>
      <c r="AK3053" t="n">
        <v>21</v>
      </c>
      <c r="AL3053" t="inlineStr">
        <is>
          <t>Miss Glam Damar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MAKARIZO</t>
        </is>
      </c>
      <c r="B3054" s="2">
        <f>"8992982401208"</f>
        <v/>
      </c>
      <c r="C3054" t="inlineStr">
        <is>
          <t>MAKARIZO Vitaglitz Hair Serum Revitalizing Care 8ml</t>
        </is>
      </c>
      <c r="D3054" t="inlineStr">
        <is>
          <t>Miss Glam Damar</t>
        </is>
      </c>
      <c r="E3054" t="n">
        <v>5</v>
      </c>
      <c r="F3054" t="n">
        <v>0.4004</v>
      </c>
      <c r="G3054" t="n">
        <v>1.82</v>
      </c>
      <c r="H3054" t="n">
        <v>6</v>
      </c>
      <c r="I3054" t="n">
        <v>11</v>
      </c>
      <c r="J3054" t="n">
        <v>3</v>
      </c>
      <c r="K3054" t="n">
        <v>0</v>
      </c>
      <c r="L3054" t="n">
        <v>11833</v>
      </c>
      <c r="M3054" t="n">
        <v>16200</v>
      </c>
      <c r="N3054" t="n">
        <v>91</v>
      </c>
      <c r="O3054" t="n">
        <v>0.91</v>
      </c>
      <c r="P3054" t="n">
        <v>1</v>
      </c>
      <c r="Q3054" t="n">
        <v>0.47</v>
      </c>
      <c r="R3054" t="n">
        <v>3</v>
      </c>
      <c r="S3054" t="n">
        <v>6486.48</v>
      </c>
      <c r="T3054" t="n">
        <v>18</v>
      </c>
      <c r="U3054" t="n">
        <v>21</v>
      </c>
      <c r="V3054" t="n">
        <v>30</v>
      </c>
      <c r="W3054" t="n">
        <v>13</v>
      </c>
      <c r="X3054" t="n">
        <v>12.48751248751249</v>
      </c>
      <c r="Y3054" t="n">
        <v>1</v>
      </c>
      <c r="Z3054" t="n">
        <v>8</v>
      </c>
      <c r="AA3054" t="n">
        <v>0</v>
      </c>
      <c r="AB3054" t="n">
        <v>8</v>
      </c>
      <c r="AC3054" t="n">
        <v>8</v>
      </c>
      <c r="AD3054" t="n">
        <v>0</v>
      </c>
      <c r="AE3054" t="n">
        <v>94664</v>
      </c>
      <c r="AF3054" t="n">
        <v>2301</v>
      </c>
      <c r="AG3054" t="n">
        <v>2034</v>
      </c>
      <c r="AH3054" t="inlineStr">
        <is>
          <t>PT. AKASHA WIRA INTERNATIONAL TBK  - PPN (PKU)</t>
        </is>
      </c>
      <c r="AI3054" t="n">
        <v>102</v>
      </c>
      <c r="AJ3054" t="inlineStr">
        <is>
          <t>MAKARIZO</t>
        </is>
      </c>
      <c r="AK3054" t="n">
        <v>21</v>
      </c>
      <c r="AL3054" t="inlineStr">
        <is>
          <t>Miss Glam Damar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MAKARIZO</t>
        </is>
      </c>
      <c r="B3055" s="2">
        <f>"8992982401185"</f>
        <v/>
      </c>
      <c r="C3055" t="inlineStr">
        <is>
          <t>MAKARIZO VItaglitz Hair Serum Shine Reflect Enhancer 8ml</t>
        </is>
      </c>
      <c r="D3055" t="inlineStr">
        <is>
          <t>Miss Glam Damar</t>
        </is>
      </c>
      <c r="E3055" t="n">
        <v>10</v>
      </c>
      <c r="F3055" t="n">
        <v>0.3276</v>
      </c>
      <c r="G3055" t="n">
        <v>2.73</v>
      </c>
      <c r="H3055" t="n">
        <v>6</v>
      </c>
      <c r="I3055" t="n">
        <v>11</v>
      </c>
      <c r="J3055" t="n">
        <v>3</v>
      </c>
      <c r="K3055" t="n">
        <v>0</v>
      </c>
      <c r="L3055" t="n">
        <v>11833</v>
      </c>
      <c r="M3055" t="n">
        <v>15700</v>
      </c>
      <c r="N3055" t="n">
        <v>91</v>
      </c>
      <c r="O3055" t="n">
        <v>0.91</v>
      </c>
      <c r="P3055" t="n">
        <v>1</v>
      </c>
      <c r="Q3055" t="n">
        <v>0.2</v>
      </c>
      <c r="R3055" t="n">
        <v>1</v>
      </c>
      <c r="S3055" t="n">
        <v>5143.32</v>
      </c>
      <c r="T3055" t="n">
        <v>29</v>
      </c>
      <c r="U3055" t="n">
        <v>31</v>
      </c>
      <c r="V3055" t="n">
        <v>30</v>
      </c>
      <c r="W3055" t="n">
        <v>10</v>
      </c>
      <c r="X3055" t="n">
        <v>30.52503052503052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2301</v>
      </c>
      <c r="AG3055" t="n">
        <v>2034</v>
      </c>
      <c r="AH3055" t="inlineStr">
        <is>
          <t>PT. AKASHA WIRA INTERNATIONAL TBK  - PPN (PKU)</t>
        </is>
      </c>
      <c r="AI3055" t="n">
        <v>102</v>
      </c>
      <c r="AJ3055" t="inlineStr">
        <is>
          <t>MAKARIZO</t>
        </is>
      </c>
      <c r="AK3055" t="n">
        <v>21</v>
      </c>
      <c r="AL3055" t="inlineStr">
        <is>
          <t>Miss Glam Damar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MAKARIZO</t>
        </is>
      </c>
      <c r="B3056" s="2">
        <f>"8992982401192"</f>
        <v/>
      </c>
      <c r="C3056" t="inlineStr">
        <is>
          <t>MAKARIZO Vitaglitz Hair Serum Stregh Booster 8ml</t>
        </is>
      </c>
      <c r="D3056" t="inlineStr">
        <is>
          <t>Miss Glam Damar</t>
        </is>
      </c>
      <c r="E3056" t="n">
        <v>37</v>
      </c>
      <c r="F3056" t="n">
        <v>0.1092</v>
      </c>
      <c r="G3056" t="n">
        <v>0.91</v>
      </c>
      <c r="H3056" t="n">
        <v>6</v>
      </c>
      <c r="I3056" t="n">
        <v>11</v>
      </c>
      <c r="J3056" t="n">
        <v>3</v>
      </c>
      <c r="K3056" t="n">
        <v>0</v>
      </c>
      <c r="L3056" t="n">
        <v>11864</v>
      </c>
      <c r="M3056" t="n">
        <v>15700</v>
      </c>
      <c r="N3056" t="n">
        <v>91</v>
      </c>
      <c r="O3056" t="n">
        <v>0.91</v>
      </c>
      <c r="P3056" t="n">
        <v>1</v>
      </c>
      <c r="Q3056" t="n">
        <v>0.22</v>
      </c>
      <c r="R3056" t="n">
        <v>2</v>
      </c>
      <c r="S3056" t="n">
        <v>1714.44</v>
      </c>
      <c r="T3056" t="n">
        <v>10</v>
      </c>
      <c r="U3056" t="n">
        <v>11</v>
      </c>
      <c r="V3056" t="n">
        <v>30</v>
      </c>
      <c r="W3056" t="n">
        <v>4</v>
      </c>
      <c r="X3056" t="n">
        <v>338.8278388278388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2301</v>
      </c>
      <c r="AG3056" t="n">
        <v>2034</v>
      </c>
      <c r="AH3056" t="inlineStr">
        <is>
          <t>PT. AKASHA WIRA INTERNATIONAL TBK  - PPN (PKU)</t>
        </is>
      </c>
      <c r="AI3056" t="n">
        <v>102</v>
      </c>
      <c r="AJ3056" t="inlineStr">
        <is>
          <t>MAKARIZO</t>
        </is>
      </c>
      <c r="AK3056" t="n">
        <v>21</v>
      </c>
      <c r="AL3056" t="inlineStr">
        <is>
          <t>Miss Glam Damar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MAKE OVER</t>
        </is>
      </c>
      <c r="B3057" s="2">
        <f>"20300450236"</f>
        <v/>
      </c>
      <c r="C3057" t="inlineStr">
        <is>
          <t>MAKE OVER Amplify Fluid Glass 500 COAT 4.7gr</t>
        </is>
      </c>
      <c r="D3057" t="inlineStr">
        <is>
          <t>Miss Glam Damar</t>
        </is>
      </c>
      <c r="E3057" t="n">
        <v>4</v>
      </c>
      <c r="F3057" t="n">
        <v>0.03</v>
      </c>
      <c r="G3057" t="n">
        <v>1</v>
      </c>
      <c r="H3057" t="n">
        <v>2</v>
      </c>
      <c r="I3057" t="n">
        <v>6</v>
      </c>
      <c r="J3057" t="n">
        <v>1</v>
      </c>
      <c r="K3057" t="n">
        <v>0</v>
      </c>
      <c r="L3057" t="n">
        <v>102750</v>
      </c>
      <c r="M3057" t="n">
        <v>125500</v>
      </c>
      <c r="N3057" t="n">
        <v>91</v>
      </c>
      <c r="O3057" t="n">
        <v>0.91</v>
      </c>
      <c r="P3057" t="n">
        <v>0</v>
      </c>
      <c r="Q3057" t="n">
        <v>0.03</v>
      </c>
      <c r="R3057" t="n">
        <v>1</v>
      </c>
      <c r="S3057" t="n">
        <v>3765</v>
      </c>
      <c r="T3057" t="n">
        <v>6</v>
      </c>
      <c r="U3057" t="n">
        <v>7</v>
      </c>
      <c r="V3057" t="n">
        <v>30</v>
      </c>
      <c r="W3057" t="n">
        <v>1</v>
      </c>
      <c r="X3057" t="n">
        <v>133.3333333333333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11711</v>
      </c>
      <c r="AG3057" t="n">
        <v>63</v>
      </c>
      <c r="AH3057" t="inlineStr">
        <is>
          <t>PT. PARAMA GLOBAL INSPIRA - PPN (PDG)</t>
        </is>
      </c>
      <c r="AI3057" t="n">
        <v>103</v>
      </c>
      <c r="AJ3057" t="inlineStr">
        <is>
          <t>MAKE OVER</t>
        </is>
      </c>
      <c r="AK3057" t="n">
        <v>21</v>
      </c>
      <c r="AL3057" t="inlineStr">
        <is>
          <t>Miss Glam Damar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MAKE OVER</t>
        </is>
      </c>
      <c r="B3058" s="2">
        <f>"20300449825"</f>
        <v/>
      </c>
      <c r="C3058" t="inlineStr">
        <is>
          <t>MAKE OVER Glassy Lip Lacquer 408 Pulse 4.5gr</t>
        </is>
      </c>
      <c r="D3058" t="inlineStr">
        <is>
          <t>Miss Glam Damar</t>
        </is>
      </c>
      <c r="E3058" t="n">
        <v>6</v>
      </c>
      <c r="F3058" t="n">
        <v>0.02</v>
      </c>
      <c r="G3058" t="n">
        <v>1</v>
      </c>
      <c r="H3058" t="n">
        <v>2</v>
      </c>
      <c r="I3058" t="n">
        <v>6</v>
      </c>
      <c r="J3058" t="n">
        <v>1</v>
      </c>
      <c r="K3058" t="n">
        <v>0</v>
      </c>
      <c r="L3058" t="n">
        <v>102750</v>
      </c>
      <c r="M3058" t="n">
        <v>125500</v>
      </c>
      <c r="N3058" t="n">
        <v>91</v>
      </c>
      <c r="O3058" t="n">
        <v>0.91</v>
      </c>
      <c r="P3058" t="n">
        <v>0</v>
      </c>
      <c r="Q3058" t="n">
        <v>0.02</v>
      </c>
      <c r="R3058" t="n">
        <v>1</v>
      </c>
      <c r="S3058" t="n">
        <v>2510</v>
      </c>
      <c r="T3058" t="n">
        <v>6</v>
      </c>
      <c r="U3058" t="n">
        <v>7</v>
      </c>
      <c r="V3058" t="n">
        <v>30</v>
      </c>
      <c r="W3058" t="n">
        <v>1</v>
      </c>
      <c r="X3058" t="n">
        <v>300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11711</v>
      </c>
      <c r="AG3058" t="n">
        <v>63</v>
      </c>
      <c r="AH3058" t="inlineStr">
        <is>
          <t>PT. PARAMA GLOBAL INSPIRA - PPN (PDG)</t>
        </is>
      </c>
      <c r="AI3058" t="n">
        <v>103</v>
      </c>
      <c r="AJ3058" t="inlineStr">
        <is>
          <t>MAKE OVER</t>
        </is>
      </c>
      <c r="AK3058" t="n">
        <v>21</v>
      </c>
      <c r="AL3058" t="inlineStr">
        <is>
          <t>Miss Glam Damar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MAKE OVER</t>
        </is>
      </c>
      <c r="B3059" s="2">
        <f>"20300449930"</f>
        <v/>
      </c>
      <c r="C3059" t="inlineStr">
        <is>
          <t>MAKE OVER Glassy Lip Lacquer 409 Nocturne 4.5gr</t>
        </is>
      </c>
      <c r="D3059" t="inlineStr">
        <is>
          <t>Miss Glam Damar</t>
        </is>
      </c>
      <c r="E3059" t="n">
        <v>1</v>
      </c>
      <c r="F3059" t="n">
        <v>0.0182</v>
      </c>
      <c r="G3059" t="n">
        <v>0.91</v>
      </c>
      <c r="H3059" t="n">
        <v>2</v>
      </c>
      <c r="I3059" t="n">
        <v>6</v>
      </c>
      <c r="J3059" t="n">
        <v>1</v>
      </c>
      <c r="K3059" t="n">
        <v>0</v>
      </c>
      <c r="L3059" t="n">
        <v>102750</v>
      </c>
      <c r="M3059" t="n">
        <v>125500</v>
      </c>
      <c r="N3059" t="n">
        <v>91</v>
      </c>
      <c r="O3059" t="n">
        <v>0.91</v>
      </c>
      <c r="P3059" t="n">
        <v>1</v>
      </c>
      <c r="Q3059" t="n">
        <v>0.03</v>
      </c>
      <c r="R3059" t="n">
        <v>1</v>
      </c>
      <c r="S3059" t="n">
        <v>2284.1</v>
      </c>
      <c r="T3059" t="n">
        <v>6</v>
      </c>
      <c r="U3059" t="n">
        <v>7</v>
      </c>
      <c r="V3059" t="n">
        <v>30</v>
      </c>
      <c r="W3059" t="n">
        <v>1</v>
      </c>
      <c r="X3059" t="n">
        <v>54.94505494505494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11711</v>
      </c>
      <c r="AG3059" t="n">
        <v>63</v>
      </c>
      <c r="AH3059" t="inlineStr">
        <is>
          <t>PT. PARAMA GLOBAL INSPIRA - PPN (PDG)</t>
        </is>
      </c>
      <c r="AI3059" t="n">
        <v>103</v>
      </c>
      <c r="AJ3059" t="inlineStr">
        <is>
          <t>MAKE OVER</t>
        </is>
      </c>
      <c r="AK3059" t="n">
        <v>21</v>
      </c>
      <c r="AL3059" t="inlineStr">
        <is>
          <t>Miss Glam Damar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MAKE OVER</t>
        </is>
      </c>
      <c r="B3060" s="2">
        <f>"20100471922"</f>
        <v/>
      </c>
      <c r="C3060" t="inlineStr">
        <is>
          <t>MAKE OVER Hydrastay Prismatic Glass Cushion C11 Pink Marble 12gr</t>
        </is>
      </c>
      <c r="D3060" t="inlineStr">
        <is>
          <t>Miss Glam Damar</t>
        </is>
      </c>
      <c r="E3060" t="n">
        <v>5</v>
      </c>
      <c r="F3060" t="n">
        <v>0.06370000000000001</v>
      </c>
      <c r="G3060" t="n">
        <v>0.91</v>
      </c>
      <c r="H3060" t="n">
        <v>2</v>
      </c>
      <c r="I3060" t="n">
        <v>6</v>
      </c>
      <c r="J3060" t="n">
        <v>1</v>
      </c>
      <c r="K3060" t="n">
        <v>0</v>
      </c>
      <c r="L3060" t="n">
        <v>170250</v>
      </c>
      <c r="M3060" t="n">
        <v>208000</v>
      </c>
      <c r="N3060" t="n">
        <v>91</v>
      </c>
      <c r="O3060" t="n">
        <v>0.91</v>
      </c>
      <c r="P3060" t="n">
        <v>1</v>
      </c>
      <c r="Q3060" t="n">
        <v>0.05</v>
      </c>
      <c r="R3060" t="n">
        <v>1</v>
      </c>
      <c r="S3060" t="n">
        <v>13249.6</v>
      </c>
      <c r="T3060" t="n">
        <v>6</v>
      </c>
      <c r="U3060" t="n">
        <v>7</v>
      </c>
      <c r="V3060" t="n">
        <v>30</v>
      </c>
      <c r="W3060" t="n">
        <v>2</v>
      </c>
      <c r="X3060" t="n">
        <v>78.49293563579278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11711</v>
      </c>
      <c r="AG3060" t="n">
        <v>63</v>
      </c>
      <c r="AH3060" t="inlineStr">
        <is>
          <t>PT. PARAMA GLOBAL INSPIRA - PPN (PDG)</t>
        </is>
      </c>
      <c r="AI3060" t="n">
        <v>103</v>
      </c>
      <c r="AJ3060" t="inlineStr">
        <is>
          <t>MAKE OVER</t>
        </is>
      </c>
      <c r="AK3060" t="n">
        <v>21</v>
      </c>
      <c r="AL3060" t="inlineStr">
        <is>
          <t>Miss Glam Damar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MAKE OVER</t>
        </is>
      </c>
      <c r="B3061" s="2">
        <f>"20100472020"</f>
        <v/>
      </c>
      <c r="C3061" t="inlineStr">
        <is>
          <t>MAKE OVER Hydrastay Prismatic Glass Cushion C21 Pink Ivory 12gr</t>
        </is>
      </c>
      <c r="D3061" t="inlineStr">
        <is>
          <t>Miss Glam Damar</t>
        </is>
      </c>
      <c r="E3061" t="n">
        <v>5</v>
      </c>
      <c r="F3061" t="n">
        <v>0.05</v>
      </c>
      <c r="G3061" t="n">
        <v>1</v>
      </c>
      <c r="H3061" t="n">
        <v>2</v>
      </c>
      <c r="I3061" t="n">
        <v>6</v>
      </c>
      <c r="J3061" t="n">
        <v>1</v>
      </c>
      <c r="K3061" t="n">
        <v>0</v>
      </c>
      <c r="L3061" t="n">
        <v>178114</v>
      </c>
      <c r="M3061" t="n">
        <v>208000</v>
      </c>
      <c r="N3061" t="n">
        <v>91</v>
      </c>
      <c r="O3061" t="n">
        <v>0.91</v>
      </c>
      <c r="P3061" t="n">
        <v>0</v>
      </c>
      <c r="Q3061" t="n">
        <v>0.05</v>
      </c>
      <c r="R3061" t="n">
        <v>1</v>
      </c>
      <c r="S3061" t="n">
        <v>10400</v>
      </c>
      <c r="T3061" t="n">
        <v>6</v>
      </c>
      <c r="U3061" t="n">
        <v>7</v>
      </c>
      <c r="V3061" t="n">
        <v>30</v>
      </c>
      <c r="W3061" t="n">
        <v>2</v>
      </c>
      <c r="X3061" t="n">
        <v>100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11711</v>
      </c>
      <c r="AG3061" t="n">
        <v>63</v>
      </c>
      <c r="AH3061" t="inlineStr">
        <is>
          <t>PT. PARAMA GLOBAL INSPIRA - PPN (PDG)</t>
        </is>
      </c>
      <c r="AI3061" t="n">
        <v>103</v>
      </c>
      <c r="AJ3061" t="inlineStr">
        <is>
          <t>MAKE OVER</t>
        </is>
      </c>
      <c r="AK3061" t="n">
        <v>21</v>
      </c>
      <c r="AL3061" t="inlineStr">
        <is>
          <t>Miss Glam Damar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MAKE OVER</t>
        </is>
      </c>
      <c r="B3062" s="2">
        <f>"20100488412"</f>
        <v/>
      </c>
      <c r="C3062" t="inlineStr">
        <is>
          <t>MAKE OVER Hydrastay Prismatic Glass Cushion C21 Pink Ivory 12gr REFILL</t>
        </is>
      </c>
      <c r="D3062" t="inlineStr">
        <is>
          <t>Miss Glam Damar</t>
        </is>
      </c>
      <c r="E3062" t="n">
        <v>1</v>
      </c>
      <c r="F3062" t="n">
        <v>0.08</v>
      </c>
      <c r="G3062" t="n">
        <v>1</v>
      </c>
      <c r="H3062" t="n">
        <v>2</v>
      </c>
      <c r="I3062" t="n">
        <v>6</v>
      </c>
      <c r="J3062" t="n">
        <v>1</v>
      </c>
      <c r="K3062" t="n">
        <v>0</v>
      </c>
      <c r="L3062" t="n">
        <v>108749</v>
      </c>
      <c r="M3062" t="n">
        <v>145000</v>
      </c>
      <c r="N3062" t="n">
        <v>91</v>
      </c>
      <c r="O3062" t="n">
        <v>0.91</v>
      </c>
      <c r="P3062" t="n">
        <v>0</v>
      </c>
      <c r="Q3062" t="n">
        <v>0.08</v>
      </c>
      <c r="R3062" t="n">
        <v>1</v>
      </c>
      <c r="S3062" t="n">
        <v>11600</v>
      </c>
      <c r="T3062" t="n">
        <v>6</v>
      </c>
      <c r="U3062" t="n">
        <v>7</v>
      </c>
      <c r="V3062" t="n">
        <v>30</v>
      </c>
      <c r="W3062" t="n">
        <v>3</v>
      </c>
      <c r="X3062" t="n">
        <v>12.5</v>
      </c>
      <c r="Y3062" t="n">
        <v>1</v>
      </c>
      <c r="Z3062" t="n">
        <v>2</v>
      </c>
      <c r="AA3062" t="n">
        <v>0</v>
      </c>
      <c r="AB3062" t="n">
        <v>2</v>
      </c>
      <c r="AC3062" t="n">
        <v>2</v>
      </c>
      <c r="AD3062" t="n">
        <v>0</v>
      </c>
      <c r="AE3062" t="n">
        <v>217498</v>
      </c>
      <c r="AF3062" t="n">
        <v>11711</v>
      </c>
      <c r="AG3062" t="n">
        <v>63</v>
      </c>
      <c r="AH3062" t="inlineStr">
        <is>
          <t>PT. PARAMA GLOBAL INSPIRA - PPN (PDG)</t>
        </is>
      </c>
      <c r="AI3062" t="n">
        <v>103</v>
      </c>
      <c r="AJ3062" t="inlineStr">
        <is>
          <t>MAKE OVER</t>
        </is>
      </c>
      <c r="AK3062" t="n">
        <v>21</v>
      </c>
      <c r="AL3062" t="inlineStr">
        <is>
          <t>Miss Glam Damar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MAKE OVER</t>
        </is>
      </c>
      <c r="B3063" s="2">
        <f>"20100472211"</f>
        <v/>
      </c>
      <c r="C3063" t="inlineStr">
        <is>
          <t>MAKE OVER Hydrastay Prismatic Glass Cushion N00 Porcelain 12gr</t>
        </is>
      </c>
      <c r="D3063" t="inlineStr">
        <is>
          <t>Miss Glam Damar</t>
        </is>
      </c>
      <c r="E3063" t="n">
        <v>4</v>
      </c>
      <c r="F3063" t="n">
        <v>0.04550000000000001</v>
      </c>
      <c r="G3063" t="n">
        <v>1.82</v>
      </c>
      <c r="H3063" t="n">
        <v>2</v>
      </c>
      <c r="I3063" t="n">
        <v>6</v>
      </c>
      <c r="J3063" t="n">
        <v>1</v>
      </c>
      <c r="K3063" t="n">
        <v>0</v>
      </c>
      <c r="L3063" t="n">
        <v>170250</v>
      </c>
      <c r="M3063" t="n">
        <v>208000</v>
      </c>
      <c r="N3063" t="n">
        <v>91</v>
      </c>
      <c r="O3063" t="n">
        <v>0.91</v>
      </c>
      <c r="P3063" t="n">
        <v>1</v>
      </c>
      <c r="Q3063" t="n">
        <v>0.05</v>
      </c>
      <c r="R3063" t="n">
        <v>2</v>
      </c>
      <c r="S3063" t="n">
        <v>9464.000000000002</v>
      </c>
      <c r="T3063" t="n">
        <v>11</v>
      </c>
      <c r="U3063" t="n">
        <v>12</v>
      </c>
      <c r="V3063" t="n">
        <v>30</v>
      </c>
      <c r="W3063" t="n">
        <v>2</v>
      </c>
      <c r="X3063" t="n">
        <v>87.9120879120879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11711</v>
      </c>
      <c r="AG3063" t="n">
        <v>63</v>
      </c>
      <c r="AH3063" t="inlineStr">
        <is>
          <t>PT. PARAMA GLOBAL INSPIRA - PPN (PDG)</t>
        </is>
      </c>
      <c r="AI3063" t="n">
        <v>103</v>
      </c>
      <c r="AJ3063" t="inlineStr">
        <is>
          <t>MAKE OVER</t>
        </is>
      </c>
      <c r="AK3063" t="n">
        <v>21</v>
      </c>
      <c r="AL3063" t="inlineStr">
        <is>
          <t>Miss Glam Damar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MAKE OVER</t>
        </is>
      </c>
      <c r="B3064" s="2">
        <f>"20100472355"</f>
        <v/>
      </c>
      <c r="C3064" t="inlineStr">
        <is>
          <t>MAKE OVER Hydrastay Prismatic Glass Cushion N10 Marble 12gr</t>
        </is>
      </c>
      <c r="D3064" t="inlineStr">
        <is>
          <t>Miss Glam Damar</t>
        </is>
      </c>
      <c r="E3064" t="n">
        <v>7</v>
      </c>
      <c r="F3064" t="n">
        <v>0.0273</v>
      </c>
      <c r="G3064" t="n">
        <v>0.91</v>
      </c>
      <c r="H3064" t="n">
        <v>2</v>
      </c>
      <c r="I3064" t="n">
        <v>6</v>
      </c>
      <c r="J3064" t="n">
        <v>1</v>
      </c>
      <c r="K3064" t="n">
        <v>0</v>
      </c>
      <c r="L3064" t="n">
        <v>170250</v>
      </c>
      <c r="M3064" t="n">
        <v>208000</v>
      </c>
      <c r="N3064" t="n">
        <v>91</v>
      </c>
      <c r="O3064" t="n">
        <v>0.91</v>
      </c>
      <c r="P3064" t="n">
        <v>1</v>
      </c>
      <c r="Q3064" t="n">
        <v>0.1</v>
      </c>
      <c r="R3064" t="n">
        <v>1</v>
      </c>
      <c r="S3064" t="n">
        <v>5678.400000000001</v>
      </c>
      <c r="T3064" t="n">
        <v>6</v>
      </c>
      <c r="U3064" t="n">
        <v>7</v>
      </c>
      <c r="V3064" t="n">
        <v>30</v>
      </c>
      <c r="W3064" t="n">
        <v>1</v>
      </c>
      <c r="X3064" t="n">
        <v>256.4102564102564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11711</v>
      </c>
      <c r="AG3064" t="n">
        <v>63</v>
      </c>
      <c r="AH3064" t="inlineStr">
        <is>
          <t>PT. PARAMA GLOBAL INSPIRA - PPN (PDG)</t>
        </is>
      </c>
      <c r="AI3064" t="n">
        <v>103</v>
      </c>
      <c r="AJ3064" t="inlineStr">
        <is>
          <t>MAKE OVER</t>
        </is>
      </c>
      <c r="AK3064" t="n">
        <v>21</v>
      </c>
      <c r="AL3064" t="inlineStr">
        <is>
          <t>Miss Glam Damar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MAKE OVER</t>
        </is>
      </c>
      <c r="B3065" s="2">
        <f>"20100488556"</f>
        <v/>
      </c>
      <c r="C3065" t="inlineStr">
        <is>
          <t>MAKE OVER Hydrastay Prismatic Glass Cushion N10 Marble 12gr REFILL</t>
        </is>
      </c>
      <c r="D3065" t="inlineStr">
        <is>
          <t>Miss Glam Damar</t>
        </is>
      </c>
      <c r="E3065" t="n">
        <v>1</v>
      </c>
      <c r="F3065" t="n">
        <v>0.0728</v>
      </c>
      <c r="G3065" t="n">
        <v>0.91</v>
      </c>
      <c r="H3065" t="n">
        <v>2</v>
      </c>
      <c r="I3065" t="n">
        <v>6</v>
      </c>
      <c r="J3065" t="n">
        <v>1</v>
      </c>
      <c r="K3065" t="n">
        <v>0</v>
      </c>
      <c r="L3065" t="n">
        <v>108750</v>
      </c>
      <c r="M3065" t="n">
        <v>145000</v>
      </c>
      <c r="N3065" t="n">
        <v>91</v>
      </c>
      <c r="O3065" t="n">
        <v>0.91</v>
      </c>
      <c r="P3065" t="n">
        <v>1</v>
      </c>
      <c r="Q3065" t="n">
        <v>0.03</v>
      </c>
      <c r="R3065" t="n">
        <v>1</v>
      </c>
      <c r="S3065" t="n">
        <v>10556</v>
      </c>
      <c r="T3065" t="n">
        <v>6</v>
      </c>
      <c r="U3065" t="n">
        <v>7</v>
      </c>
      <c r="V3065" t="n">
        <v>30</v>
      </c>
      <c r="W3065" t="n">
        <v>3</v>
      </c>
      <c r="X3065" t="n">
        <v>13.73626373626374</v>
      </c>
      <c r="Y3065" t="n">
        <v>1</v>
      </c>
      <c r="Z3065" t="n">
        <v>2</v>
      </c>
      <c r="AA3065" t="n">
        <v>0</v>
      </c>
      <c r="AB3065" t="n">
        <v>2</v>
      </c>
      <c r="AC3065" t="n">
        <v>2</v>
      </c>
      <c r="AD3065" t="n">
        <v>0</v>
      </c>
      <c r="AE3065" t="n">
        <v>217500</v>
      </c>
      <c r="AF3065" t="n">
        <v>11711</v>
      </c>
      <c r="AG3065" t="n">
        <v>63</v>
      </c>
      <c r="AH3065" t="inlineStr">
        <is>
          <t>PT. PARAMA GLOBAL INSPIRA - PPN (PDG)</t>
        </is>
      </c>
      <c r="AI3065" t="n">
        <v>103</v>
      </c>
      <c r="AJ3065" t="inlineStr">
        <is>
          <t>MAKE OVER</t>
        </is>
      </c>
      <c r="AK3065" t="n">
        <v>21</v>
      </c>
      <c r="AL3065" t="inlineStr">
        <is>
          <t>Miss Glam Damar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MAKE OVER</t>
        </is>
      </c>
      <c r="B3066" s="2">
        <f>"20100472446"</f>
        <v/>
      </c>
      <c r="C3066" t="inlineStr">
        <is>
          <t>MAKE OVER Hydrastay Prismatic Glass Cushion N20 Ivory 12gr</t>
        </is>
      </c>
      <c r="D3066" t="inlineStr">
        <is>
          <t>Miss Glam Damar</t>
        </is>
      </c>
      <c r="E3066" t="n">
        <v>5</v>
      </c>
      <c r="F3066" t="n">
        <v>0.06370000000000001</v>
      </c>
      <c r="G3066" t="n">
        <v>0.91</v>
      </c>
      <c r="H3066" t="n">
        <v>2</v>
      </c>
      <c r="I3066" t="n">
        <v>6</v>
      </c>
      <c r="J3066" t="n">
        <v>1</v>
      </c>
      <c r="K3066" t="n">
        <v>0</v>
      </c>
      <c r="L3066" t="n">
        <v>170250</v>
      </c>
      <c r="M3066" t="n">
        <v>208000</v>
      </c>
      <c r="N3066" t="n">
        <v>91</v>
      </c>
      <c r="O3066" t="n">
        <v>0.91</v>
      </c>
      <c r="P3066" t="n">
        <v>1</v>
      </c>
      <c r="Q3066" t="n">
        <v>0.05</v>
      </c>
      <c r="R3066" t="n">
        <v>1</v>
      </c>
      <c r="S3066" t="n">
        <v>13249.6</v>
      </c>
      <c r="T3066" t="n">
        <v>6</v>
      </c>
      <c r="U3066" t="n">
        <v>7</v>
      </c>
      <c r="V3066" t="n">
        <v>30</v>
      </c>
      <c r="W3066" t="n">
        <v>2</v>
      </c>
      <c r="X3066" t="n">
        <v>78.49293563579278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11711</v>
      </c>
      <c r="AG3066" t="n">
        <v>63</v>
      </c>
      <c r="AH3066" t="inlineStr">
        <is>
          <t>PT. PARAMA GLOBAL INSPIRA - PPN (PDG)</t>
        </is>
      </c>
      <c r="AI3066" t="n">
        <v>103</v>
      </c>
      <c r="AJ3066" t="inlineStr">
        <is>
          <t>MAKE OVER</t>
        </is>
      </c>
      <c r="AK3066" t="n">
        <v>21</v>
      </c>
      <c r="AL3066" t="inlineStr">
        <is>
          <t>Miss Glam Damar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MAKE OVER</t>
        </is>
      </c>
      <c r="B3067" s="2">
        <f>"20100488641"</f>
        <v/>
      </c>
      <c r="C3067" t="inlineStr">
        <is>
          <t>MAKE OVER Hydrastay Prismatic Glass Cushion N20 Ivory 12gr REFILL</t>
        </is>
      </c>
      <c r="D3067" t="inlineStr">
        <is>
          <t>Miss Glam Damar</t>
        </is>
      </c>
      <c r="E3067" t="n">
        <v>3</v>
      </c>
      <c r="F3067" t="n">
        <v>0.04550000000000001</v>
      </c>
      <c r="G3067" t="n">
        <v>0.91</v>
      </c>
      <c r="H3067" t="n">
        <v>2</v>
      </c>
      <c r="I3067" t="n">
        <v>6</v>
      </c>
      <c r="J3067" t="n">
        <v>1</v>
      </c>
      <c r="K3067" t="n">
        <v>0</v>
      </c>
      <c r="L3067" t="n">
        <v>108750</v>
      </c>
      <c r="M3067" t="n">
        <v>145000</v>
      </c>
      <c r="N3067" t="n">
        <v>91</v>
      </c>
      <c r="O3067" t="n">
        <v>0.91</v>
      </c>
      <c r="P3067" t="n">
        <v>1</v>
      </c>
      <c r="Q3067" t="n">
        <v>0.05</v>
      </c>
      <c r="R3067" t="n">
        <v>1</v>
      </c>
      <c r="S3067" t="n">
        <v>6597.500000000001</v>
      </c>
      <c r="T3067" t="n">
        <v>6</v>
      </c>
      <c r="U3067" t="n">
        <v>7</v>
      </c>
      <c r="V3067" t="n">
        <v>30</v>
      </c>
      <c r="W3067" t="n">
        <v>2</v>
      </c>
      <c r="X3067" t="n">
        <v>65.93406593406593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11711</v>
      </c>
      <c r="AG3067" t="n">
        <v>63</v>
      </c>
      <c r="AH3067" t="inlineStr">
        <is>
          <t>PT. PARAMA GLOBAL INSPIRA - PPN (PDG)</t>
        </is>
      </c>
      <c r="AI3067" t="n">
        <v>103</v>
      </c>
      <c r="AJ3067" t="inlineStr">
        <is>
          <t>MAKE OVER</t>
        </is>
      </c>
      <c r="AK3067" t="n">
        <v>21</v>
      </c>
      <c r="AL3067" t="inlineStr">
        <is>
          <t>Miss Glam Damar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MAKE OVER</t>
        </is>
      </c>
      <c r="B3068" s="2">
        <f>"20100472560"</f>
        <v/>
      </c>
      <c r="C3068" t="inlineStr">
        <is>
          <t>MAKE OVER Hydrastay Prismatic Glass Cushion N30 Natural Beige 12gr</t>
        </is>
      </c>
      <c r="D3068" t="inlineStr">
        <is>
          <t>Miss Glam Damar</t>
        </is>
      </c>
      <c r="E3068" t="n">
        <v>4</v>
      </c>
      <c r="F3068" t="n">
        <v>0.1547</v>
      </c>
      <c r="G3068" t="n">
        <v>0.91</v>
      </c>
      <c r="H3068" t="n">
        <v>2</v>
      </c>
      <c r="I3068" t="n">
        <v>6</v>
      </c>
      <c r="J3068" t="n">
        <v>1</v>
      </c>
      <c r="K3068" t="n">
        <v>0</v>
      </c>
      <c r="L3068" t="n">
        <v>170250</v>
      </c>
      <c r="M3068" t="n">
        <v>208000</v>
      </c>
      <c r="N3068" t="n">
        <v>91</v>
      </c>
      <c r="O3068" t="n">
        <v>0.91</v>
      </c>
      <c r="P3068" t="n">
        <v>1</v>
      </c>
      <c r="Q3068" t="n">
        <v>0.15</v>
      </c>
      <c r="R3068" t="n">
        <v>1</v>
      </c>
      <c r="S3068" t="n">
        <v>32177.6</v>
      </c>
      <c r="T3068" t="n">
        <v>6</v>
      </c>
      <c r="U3068" t="n">
        <v>7</v>
      </c>
      <c r="V3068" t="n">
        <v>30</v>
      </c>
      <c r="W3068" t="n">
        <v>5</v>
      </c>
      <c r="X3068" t="n">
        <v>25.85649644473174</v>
      </c>
      <c r="Y3068" t="n">
        <v>1</v>
      </c>
      <c r="Z3068" t="n">
        <v>1</v>
      </c>
      <c r="AA3068" t="n">
        <v>0</v>
      </c>
      <c r="AB3068" t="n">
        <v>1</v>
      </c>
      <c r="AC3068" t="n">
        <v>1</v>
      </c>
      <c r="AD3068" t="n">
        <v>0</v>
      </c>
      <c r="AE3068" t="n">
        <v>170250</v>
      </c>
      <c r="AF3068" t="n">
        <v>11711</v>
      </c>
      <c r="AG3068" t="n">
        <v>63</v>
      </c>
      <c r="AH3068" t="inlineStr">
        <is>
          <t>PT. PARAMA GLOBAL INSPIRA - PPN (PDG)</t>
        </is>
      </c>
      <c r="AI3068" t="n">
        <v>103</v>
      </c>
      <c r="AJ3068" t="inlineStr">
        <is>
          <t>MAKE OVER</t>
        </is>
      </c>
      <c r="AK3068" t="n">
        <v>21</v>
      </c>
      <c r="AL3068" t="inlineStr">
        <is>
          <t>Miss Glam Damar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MAKE OVER</t>
        </is>
      </c>
      <c r="B3069" s="2">
        <f>"20100488736"</f>
        <v/>
      </c>
      <c r="C3069" t="inlineStr">
        <is>
          <t>MAKE OVER Hydrastay Prismatic Glass Cushion N30 Natural Beige 12gr REFILL</t>
        </is>
      </c>
      <c r="D3069" t="inlineStr">
        <is>
          <t>Miss Glam Damar</t>
        </is>
      </c>
      <c r="E3069" t="n">
        <v>5</v>
      </c>
      <c r="F3069" t="n">
        <v>0.0182</v>
      </c>
      <c r="G3069" t="n">
        <v>0.91</v>
      </c>
      <c r="H3069" t="n">
        <v>2</v>
      </c>
      <c r="I3069" t="n">
        <v>6</v>
      </c>
      <c r="J3069" t="n">
        <v>1</v>
      </c>
      <c r="K3069" t="n">
        <v>0</v>
      </c>
      <c r="L3069" t="n">
        <v>108750</v>
      </c>
      <c r="M3069" t="n">
        <v>145000</v>
      </c>
      <c r="N3069" t="n">
        <v>91</v>
      </c>
      <c r="O3069" t="n">
        <v>0.91</v>
      </c>
      <c r="P3069" t="n">
        <v>1</v>
      </c>
      <c r="Q3069" t="n">
        <v>0.14</v>
      </c>
      <c r="R3069" t="n">
        <v>2</v>
      </c>
      <c r="S3069" t="n">
        <v>2639</v>
      </c>
      <c r="T3069" t="n">
        <v>6</v>
      </c>
      <c r="U3069" t="n">
        <v>7</v>
      </c>
      <c r="V3069" t="n">
        <v>30</v>
      </c>
      <c r="W3069" t="n">
        <v>1</v>
      </c>
      <c r="X3069" t="n">
        <v>274.7252747252747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11711</v>
      </c>
      <c r="AG3069" t="n">
        <v>63</v>
      </c>
      <c r="AH3069" t="inlineStr">
        <is>
          <t>PT. PARAMA GLOBAL INSPIRA - PPN (PDG)</t>
        </is>
      </c>
      <c r="AI3069" t="n">
        <v>103</v>
      </c>
      <c r="AJ3069" t="inlineStr">
        <is>
          <t>MAKE OVER</t>
        </is>
      </c>
      <c r="AK3069" t="n">
        <v>21</v>
      </c>
      <c r="AL3069" t="inlineStr">
        <is>
          <t>Miss Glam Damar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MAKE OVER</t>
        </is>
      </c>
      <c r="B3070" s="2">
        <f>"20100472752"</f>
        <v/>
      </c>
      <c r="C3070" t="inlineStr">
        <is>
          <t>MAKE OVER Hydrastay Prismatic Glass Cushion W12 Warm Marble 12gr</t>
        </is>
      </c>
      <c r="D3070" t="inlineStr">
        <is>
          <t>Miss Glam Damar</t>
        </is>
      </c>
      <c r="E3070" t="n">
        <v>6</v>
      </c>
      <c r="F3070" t="n">
        <v>0.0728</v>
      </c>
      <c r="G3070" t="n">
        <v>0.91</v>
      </c>
      <c r="H3070" t="n">
        <v>2</v>
      </c>
      <c r="I3070" t="n">
        <v>6</v>
      </c>
      <c r="J3070" t="n">
        <v>1</v>
      </c>
      <c r="K3070" t="n">
        <v>0</v>
      </c>
      <c r="L3070" t="n">
        <v>170250</v>
      </c>
      <c r="M3070" t="n">
        <v>208000</v>
      </c>
      <c r="N3070" t="n">
        <v>91</v>
      </c>
      <c r="O3070" t="n">
        <v>0.91</v>
      </c>
      <c r="P3070" t="n">
        <v>1</v>
      </c>
      <c r="Q3070" t="n">
        <v>0.07000000000000001</v>
      </c>
      <c r="R3070" t="n">
        <v>1</v>
      </c>
      <c r="S3070" t="n">
        <v>15142.4</v>
      </c>
      <c r="T3070" t="n">
        <v>6</v>
      </c>
      <c r="U3070" t="n">
        <v>7</v>
      </c>
      <c r="V3070" t="n">
        <v>30</v>
      </c>
      <c r="W3070" t="n">
        <v>3</v>
      </c>
      <c r="X3070" t="n">
        <v>82.41758241758241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11711</v>
      </c>
      <c r="AG3070" t="n">
        <v>63</v>
      </c>
      <c r="AH3070" t="inlineStr">
        <is>
          <t>PT. PARAMA GLOBAL INSPIRA - PPN (PDG)</t>
        </is>
      </c>
      <c r="AI3070" t="n">
        <v>103</v>
      </c>
      <c r="AJ3070" t="inlineStr">
        <is>
          <t>MAKE OVER</t>
        </is>
      </c>
      <c r="AK3070" t="n">
        <v>21</v>
      </c>
      <c r="AL3070" t="inlineStr">
        <is>
          <t>Miss Glam Damar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MAKE OVER</t>
        </is>
      </c>
      <c r="B3071" s="2">
        <f>"20100472811"</f>
        <v/>
      </c>
      <c r="C3071" t="inlineStr">
        <is>
          <t>MAKE OVER Hydrastay Prismatic Glass Cushion W20 Creme Ivory 12gr</t>
        </is>
      </c>
      <c r="D3071" t="inlineStr">
        <is>
          <t>Miss Glam Damar</t>
        </is>
      </c>
      <c r="E3071" t="n">
        <v>2</v>
      </c>
      <c r="F3071" t="n">
        <v>0.09100000000000001</v>
      </c>
      <c r="G3071" t="n">
        <v>0.91</v>
      </c>
      <c r="H3071" t="n">
        <v>2</v>
      </c>
      <c r="I3071" t="n">
        <v>6</v>
      </c>
      <c r="J3071" t="n">
        <v>1</v>
      </c>
      <c r="K3071" t="n">
        <v>0</v>
      </c>
      <c r="L3071" t="n">
        <v>170250</v>
      </c>
      <c r="M3071" t="n">
        <v>208000</v>
      </c>
      <c r="N3071" t="n">
        <v>91</v>
      </c>
      <c r="O3071" t="n">
        <v>0.91</v>
      </c>
      <c r="P3071" t="n">
        <v>1</v>
      </c>
      <c r="Q3071" t="n">
        <v>0.03</v>
      </c>
      <c r="R3071" t="n">
        <v>1</v>
      </c>
      <c r="S3071" t="n">
        <v>18928</v>
      </c>
      <c r="T3071" t="n">
        <v>6</v>
      </c>
      <c r="U3071" t="n">
        <v>7</v>
      </c>
      <c r="V3071" t="n">
        <v>30</v>
      </c>
      <c r="W3071" t="n">
        <v>3</v>
      </c>
      <c r="X3071" t="n">
        <v>21.97802197802197</v>
      </c>
      <c r="Y3071" t="n">
        <v>1</v>
      </c>
      <c r="Z3071" t="n">
        <v>1</v>
      </c>
      <c r="AA3071" t="n">
        <v>0</v>
      </c>
      <c r="AB3071" t="n">
        <v>1</v>
      </c>
      <c r="AC3071" t="n">
        <v>1</v>
      </c>
      <c r="AD3071" t="n">
        <v>0</v>
      </c>
      <c r="AE3071" t="n">
        <v>170250</v>
      </c>
      <c r="AF3071" t="n">
        <v>11711</v>
      </c>
      <c r="AG3071" t="n">
        <v>63</v>
      </c>
      <c r="AH3071" t="inlineStr">
        <is>
          <t>PT. PARAMA GLOBAL INSPIRA - PPN (PDG)</t>
        </is>
      </c>
      <c r="AI3071" t="n">
        <v>103</v>
      </c>
      <c r="AJ3071" t="inlineStr">
        <is>
          <t>MAKE OVER</t>
        </is>
      </c>
      <c r="AK3071" t="n">
        <v>21</v>
      </c>
      <c r="AL3071" t="inlineStr">
        <is>
          <t>Miss Glam Damar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MAKE OVER</t>
        </is>
      </c>
      <c r="B3072" s="2">
        <f>"20100481745"</f>
        <v/>
      </c>
      <c r="C3072" t="inlineStr">
        <is>
          <t>MAKE OVER Hydrastay Prismatic Glass Cushion W21 Coral Ivory 12gr</t>
        </is>
      </c>
      <c r="D3072" t="inlineStr">
        <is>
          <t>Miss Glam Damar</t>
        </is>
      </c>
      <c r="E3072" t="n">
        <v>6</v>
      </c>
      <c r="F3072" t="n">
        <v>0.1092</v>
      </c>
      <c r="G3072" t="n">
        <v>0.91</v>
      </c>
      <c r="H3072" t="n">
        <v>2</v>
      </c>
      <c r="I3072" t="n">
        <v>6</v>
      </c>
      <c r="J3072" t="n">
        <v>1</v>
      </c>
      <c r="K3072" t="n">
        <v>0</v>
      </c>
      <c r="L3072" t="n">
        <v>170251</v>
      </c>
      <c r="M3072" t="n">
        <v>208000</v>
      </c>
      <c r="N3072" t="n">
        <v>91</v>
      </c>
      <c r="O3072" t="n">
        <v>0.91</v>
      </c>
      <c r="P3072" t="n">
        <v>1</v>
      </c>
      <c r="Q3072" t="n">
        <v>0.1</v>
      </c>
      <c r="R3072" t="n">
        <v>1</v>
      </c>
      <c r="S3072" t="n">
        <v>22713.6</v>
      </c>
      <c r="T3072" t="n">
        <v>6</v>
      </c>
      <c r="U3072" t="n">
        <v>7</v>
      </c>
      <c r="V3072" t="n">
        <v>30</v>
      </c>
      <c r="W3072" t="n">
        <v>4</v>
      </c>
      <c r="X3072" t="n">
        <v>54.94505494505494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11711</v>
      </c>
      <c r="AG3072" t="n">
        <v>63</v>
      </c>
      <c r="AH3072" t="inlineStr">
        <is>
          <t>PT. PARAMA GLOBAL INSPIRA - PPN (PDG)</t>
        </is>
      </c>
      <c r="AI3072" t="n">
        <v>103</v>
      </c>
      <c r="AJ3072" t="inlineStr">
        <is>
          <t>MAKE OVER</t>
        </is>
      </c>
      <c r="AK3072" t="n">
        <v>21</v>
      </c>
      <c r="AL3072" t="inlineStr">
        <is>
          <t>Miss Glam Damar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MAKE OVER</t>
        </is>
      </c>
      <c r="B3073" s="2">
        <f>"20100488927"</f>
        <v/>
      </c>
      <c r="C3073" t="inlineStr">
        <is>
          <t>MAKE OVER Hydrastay Prismatic Glass Cushion W21 Coral Ivory 12gr REFILL</t>
        </is>
      </c>
      <c r="D3073" t="inlineStr">
        <is>
          <t>Miss Glam Damar</t>
        </is>
      </c>
      <c r="E3073" t="n">
        <v>2</v>
      </c>
      <c r="F3073" t="n">
        <v>0.0273</v>
      </c>
      <c r="G3073" t="n">
        <v>0.91</v>
      </c>
      <c r="H3073" t="n">
        <v>2</v>
      </c>
      <c r="I3073" t="n">
        <v>6</v>
      </c>
      <c r="J3073" t="n">
        <v>1</v>
      </c>
      <c r="K3073" t="n">
        <v>0</v>
      </c>
      <c r="L3073" t="n">
        <v>108750</v>
      </c>
      <c r="M3073" t="n">
        <v>145000</v>
      </c>
      <c r="N3073" t="n">
        <v>91</v>
      </c>
      <c r="O3073" t="n">
        <v>0.91</v>
      </c>
      <c r="P3073" t="n">
        <v>1</v>
      </c>
      <c r="Q3073" t="n">
        <v>0.05</v>
      </c>
      <c r="R3073" t="n">
        <v>1</v>
      </c>
      <c r="S3073" t="n">
        <v>3958.5</v>
      </c>
      <c r="T3073" t="n">
        <v>6</v>
      </c>
      <c r="U3073" t="n">
        <v>7</v>
      </c>
      <c r="V3073" t="n">
        <v>30</v>
      </c>
      <c r="W3073" t="n">
        <v>1</v>
      </c>
      <c r="X3073" t="n">
        <v>73.26007326007326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11711</v>
      </c>
      <c r="AG3073" t="n">
        <v>63</v>
      </c>
      <c r="AH3073" t="inlineStr">
        <is>
          <t>PT. PARAMA GLOBAL INSPIRA - PPN (PDG)</t>
        </is>
      </c>
      <c r="AI3073" t="n">
        <v>103</v>
      </c>
      <c r="AJ3073" t="inlineStr">
        <is>
          <t>MAKE OVER</t>
        </is>
      </c>
      <c r="AK3073" t="n">
        <v>21</v>
      </c>
      <c r="AL3073" t="inlineStr">
        <is>
          <t>Miss Glam Damar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MAKE OVER</t>
        </is>
      </c>
      <c r="B3074" s="2">
        <f>"20100472927"</f>
        <v/>
      </c>
      <c r="C3074" t="inlineStr">
        <is>
          <t>MAKE OVER Hydrastay Prismatic Glass Cushion W22 Warm Ivory 12gr</t>
        </is>
      </c>
      <c r="D3074" t="inlineStr">
        <is>
          <t>Miss Glam Damar</t>
        </is>
      </c>
      <c r="E3074" t="n">
        <v>5</v>
      </c>
      <c r="F3074" t="n">
        <v>0.06370000000000001</v>
      </c>
      <c r="G3074" t="n">
        <v>0.91</v>
      </c>
      <c r="H3074" t="n">
        <v>2</v>
      </c>
      <c r="I3074" t="n">
        <v>6</v>
      </c>
      <c r="J3074" t="n">
        <v>1</v>
      </c>
      <c r="K3074" t="n">
        <v>0</v>
      </c>
      <c r="L3074" t="n">
        <v>170250</v>
      </c>
      <c r="M3074" t="n">
        <v>208000</v>
      </c>
      <c r="N3074" t="n">
        <v>91</v>
      </c>
      <c r="O3074" t="n">
        <v>0.91</v>
      </c>
      <c r="P3074" t="n">
        <v>1</v>
      </c>
      <c r="Q3074" t="n">
        <v>0.15</v>
      </c>
      <c r="R3074" t="n">
        <v>1</v>
      </c>
      <c r="S3074" t="n">
        <v>13249.6</v>
      </c>
      <c r="T3074" t="n">
        <v>6</v>
      </c>
      <c r="U3074" t="n">
        <v>7</v>
      </c>
      <c r="V3074" t="n">
        <v>30</v>
      </c>
      <c r="W3074" t="n">
        <v>2</v>
      </c>
      <c r="X3074" t="n">
        <v>78.49293563579278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11711</v>
      </c>
      <c r="AG3074" t="n">
        <v>63</v>
      </c>
      <c r="AH3074" t="inlineStr">
        <is>
          <t>PT. PARAMA GLOBAL INSPIRA - PPN (PDG)</t>
        </is>
      </c>
      <c r="AI3074" t="n">
        <v>103</v>
      </c>
      <c r="AJ3074" t="inlineStr">
        <is>
          <t>MAKE OVER</t>
        </is>
      </c>
      <c r="AK3074" t="n">
        <v>21</v>
      </c>
      <c r="AL3074" t="inlineStr">
        <is>
          <t>Miss Glam Damar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MAKE OVER</t>
        </is>
      </c>
      <c r="B3075" s="2">
        <f>"20100489013"</f>
        <v/>
      </c>
      <c r="C3075" t="inlineStr">
        <is>
          <t>MAKE OVER Hydrastay Prismatic Glass Cushion W22 Warm Ivory 12gr REFILL</t>
        </is>
      </c>
      <c r="D3075" t="inlineStr">
        <is>
          <t>Miss Glam Damar</t>
        </is>
      </c>
      <c r="E3075" t="n">
        <v>3</v>
      </c>
      <c r="F3075" t="n">
        <v>0.0182</v>
      </c>
      <c r="G3075" t="n">
        <v>0.91</v>
      </c>
      <c r="H3075" t="n">
        <v>2</v>
      </c>
      <c r="I3075" t="n">
        <v>6</v>
      </c>
      <c r="J3075" t="n">
        <v>1</v>
      </c>
      <c r="K3075" t="n">
        <v>0</v>
      </c>
      <c r="L3075" t="n">
        <v>108750</v>
      </c>
      <c r="M3075" t="n">
        <v>145000</v>
      </c>
      <c r="N3075" t="n">
        <v>91</v>
      </c>
      <c r="O3075" t="n">
        <v>0.91</v>
      </c>
      <c r="P3075" t="n">
        <v>1</v>
      </c>
      <c r="Q3075" t="n">
        <v>0.05</v>
      </c>
      <c r="R3075" t="n">
        <v>1</v>
      </c>
      <c r="S3075" t="n">
        <v>2639</v>
      </c>
      <c r="T3075" t="n">
        <v>6</v>
      </c>
      <c r="U3075" t="n">
        <v>7</v>
      </c>
      <c r="V3075" t="n">
        <v>30</v>
      </c>
      <c r="W3075" t="n">
        <v>1</v>
      </c>
      <c r="X3075" t="n">
        <v>164.8351648351648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11711</v>
      </c>
      <c r="AG3075" t="n">
        <v>63</v>
      </c>
      <c r="AH3075" t="inlineStr">
        <is>
          <t>PT. PARAMA GLOBAL INSPIRA - PPN (PDG)</t>
        </is>
      </c>
      <c r="AI3075" t="n">
        <v>103</v>
      </c>
      <c r="AJ3075" t="inlineStr">
        <is>
          <t>MAKE OVER</t>
        </is>
      </c>
      <c r="AK3075" t="n">
        <v>21</v>
      </c>
      <c r="AL3075" t="inlineStr">
        <is>
          <t>Miss Glam Damar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MAKE OVER</t>
        </is>
      </c>
      <c r="B3076" s="2">
        <f>"20100481832"</f>
        <v/>
      </c>
      <c r="C3076" t="inlineStr">
        <is>
          <t>MAKE OVER Hydrastay Prismatic Glass Cushion W30 Creme Beige 12gr</t>
        </is>
      </c>
      <c r="D3076" t="inlineStr">
        <is>
          <t>Miss Glam Damar</t>
        </is>
      </c>
      <c r="E3076" t="n">
        <v>4</v>
      </c>
      <c r="F3076" t="n">
        <v>0.06370000000000001</v>
      </c>
      <c r="G3076" t="n">
        <v>1.82</v>
      </c>
      <c r="H3076" t="n">
        <v>2</v>
      </c>
      <c r="I3076" t="n">
        <v>6</v>
      </c>
      <c r="J3076" t="n">
        <v>1</v>
      </c>
      <c r="K3076" t="n">
        <v>0</v>
      </c>
      <c r="L3076" t="n">
        <v>170250</v>
      </c>
      <c r="M3076" t="n">
        <v>208000</v>
      </c>
      <c r="N3076" t="n">
        <v>91</v>
      </c>
      <c r="O3076" t="n">
        <v>0.91</v>
      </c>
      <c r="P3076" t="n">
        <v>1</v>
      </c>
      <c r="Q3076" t="n">
        <v>0.08</v>
      </c>
      <c r="R3076" t="n">
        <v>2</v>
      </c>
      <c r="S3076" t="n">
        <v>13249.6</v>
      </c>
      <c r="T3076" t="n">
        <v>11</v>
      </c>
      <c r="U3076" t="n">
        <v>12</v>
      </c>
      <c r="V3076" t="n">
        <v>30</v>
      </c>
      <c r="W3076" t="n">
        <v>2</v>
      </c>
      <c r="X3076" t="n">
        <v>62.79434850863422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11711</v>
      </c>
      <c r="AG3076" t="n">
        <v>63</v>
      </c>
      <c r="AH3076" t="inlineStr">
        <is>
          <t>PT. PARAMA GLOBAL INSPIRA - PPN (PDG)</t>
        </is>
      </c>
      <c r="AI3076" t="n">
        <v>103</v>
      </c>
      <c r="AJ3076" t="inlineStr">
        <is>
          <t>MAKE OVER</t>
        </is>
      </c>
      <c r="AK3076" t="n">
        <v>21</v>
      </c>
      <c r="AL3076" t="inlineStr">
        <is>
          <t>Miss Glam Damar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MAKE OVER</t>
        </is>
      </c>
      <c r="B3077" s="2">
        <f>"20100489109"</f>
        <v/>
      </c>
      <c r="C3077" t="inlineStr">
        <is>
          <t>MAKE OVER Hydrastay Prismatic Glass Cushion W30 Creme Beige 12gr REFILL</t>
        </is>
      </c>
      <c r="D3077" t="inlineStr">
        <is>
          <t>Miss Glam Damar</t>
        </is>
      </c>
      <c r="E3077" t="n">
        <v>5</v>
      </c>
      <c r="F3077" t="n">
        <v>0.06370000000000001</v>
      </c>
      <c r="G3077" t="n">
        <v>0.91</v>
      </c>
      <c r="H3077" t="n">
        <v>2</v>
      </c>
      <c r="I3077" t="n">
        <v>6</v>
      </c>
      <c r="J3077" t="n">
        <v>1</v>
      </c>
      <c r="K3077" t="n">
        <v>0</v>
      </c>
      <c r="L3077" t="n">
        <v>108750</v>
      </c>
      <c r="M3077" t="n">
        <v>145000</v>
      </c>
      <c r="N3077" t="n">
        <v>91</v>
      </c>
      <c r="O3077" t="n">
        <v>0.91</v>
      </c>
      <c r="P3077" t="n">
        <v>1</v>
      </c>
      <c r="Q3077" t="n">
        <v>0.03</v>
      </c>
      <c r="R3077" t="n">
        <v>1</v>
      </c>
      <c r="S3077" t="n">
        <v>9236.500000000002</v>
      </c>
      <c r="T3077" t="n">
        <v>6</v>
      </c>
      <c r="U3077" t="n">
        <v>7</v>
      </c>
      <c r="V3077" t="n">
        <v>30</v>
      </c>
      <c r="W3077" t="n">
        <v>2</v>
      </c>
      <c r="X3077" t="n">
        <v>78.49293563579278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11711</v>
      </c>
      <c r="AG3077" t="n">
        <v>63</v>
      </c>
      <c r="AH3077" t="inlineStr">
        <is>
          <t>PT. PARAMA GLOBAL INSPIRA - PPN (PDG)</t>
        </is>
      </c>
      <c r="AI3077" t="n">
        <v>103</v>
      </c>
      <c r="AJ3077" t="inlineStr">
        <is>
          <t>MAKE OVER</t>
        </is>
      </c>
      <c r="AK3077" t="n">
        <v>21</v>
      </c>
      <c r="AL3077" t="inlineStr">
        <is>
          <t>Miss Glam Damar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MAKE OVER</t>
        </is>
      </c>
      <c r="B3078" s="2">
        <f>"20100473026"</f>
        <v/>
      </c>
      <c r="C3078" t="inlineStr">
        <is>
          <t>MAKE OVER Hydrastay Prismatic Glass Cushion W32 Warm Beige 12gr</t>
        </is>
      </c>
      <c r="D3078" t="inlineStr">
        <is>
          <t>Miss Glam Damar</t>
        </is>
      </c>
      <c r="E3078" t="n">
        <v>6</v>
      </c>
      <c r="F3078" t="n">
        <v>0.0273</v>
      </c>
      <c r="G3078" t="n">
        <v>0.91</v>
      </c>
      <c r="H3078" t="n">
        <v>2</v>
      </c>
      <c r="I3078" t="n">
        <v>6</v>
      </c>
      <c r="J3078" t="n">
        <v>1</v>
      </c>
      <c r="K3078" t="n">
        <v>0</v>
      </c>
      <c r="L3078" t="n">
        <v>170250</v>
      </c>
      <c r="M3078" t="n">
        <v>208000</v>
      </c>
      <c r="N3078" t="n">
        <v>91</v>
      </c>
      <c r="O3078" t="n">
        <v>0.91</v>
      </c>
      <c r="P3078" t="n">
        <v>1</v>
      </c>
      <c r="Q3078" t="n">
        <v>0.19</v>
      </c>
      <c r="R3078" t="n">
        <v>2</v>
      </c>
      <c r="S3078" t="n">
        <v>5678.400000000001</v>
      </c>
      <c r="T3078" t="n">
        <v>6</v>
      </c>
      <c r="U3078" t="n">
        <v>7</v>
      </c>
      <c r="V3078" t="n">
        <v>30</v>
      </c>
      <c r="W3078" t="n">
        <v>1</v>
      </c>
      <c r="X3078" t="n">
        <v>219.7802197802198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11711</v>
      </c>
      <c r="AG3078" t="n">
        <v>63</v>
      </c>
      <c r="AH3078" t="inlineStr">
        <is>
          <t>PT. PARAMA GLOBAL INSPIRA - PPN (PDG)</t>
        </is>
      </c>
      <c r="AI3078" t="n">
        <v>103</v>
      </c>
      <c r="AJ3078" t="inlineStr">
        <is>
          <t>MAKE OVER</t>
        </is>
      </c>
      <c r="AK3078" t="n">
        <v>21</v>
      </c>
      <c r="AL3078" t="inlineStr">
        <is>
          <t>Miss Glam Damar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MAKE OVER</t>
        </is>
      </c>
      <c r="B3079" s="2">
        <f>"20100489223"</f>
        <v/>
      </c>
      <c r="C3079" t="inlineStr">
        <is>
          <t>MAKE OVER Hydrastay Prismatic Glass Cushion W32 Warm Beige 12gr REFILL</t>
        </is>
      </c>
      <c r="D3079" t="inlineStr">
        <is>
          <t>Miss Glam Damar</t>
        </is>
      </c>
      <c r="E3079" t="n">
        <v>2</v>
      </c>
      <c r="F3079" t="n">
        <v>0.02</v>
      </c>
      <c r="G3079" t="n">
        <v>1</v>
      </c>
      <c r="H3079" t="n">
        <v>2</v>
      </c>
      <c r="I3079" t="n">
        <v>6</v>
      </c>
      <c r="J3079" t="n">
        <v>1</v>
      </c>
      <c r="K3079" t="n">
        <v>0</v>
      </c>
      <c r="L3079" t="n">
        <v>108750</v>
      </c>
      <c r="M3079" t="n">
        <v>145000</v>
      </c>
      <c r="N3079" t="n">
        <v>91</v>
      </c>
      <c r="O3079" t="n">
        <v>0.91</v>
      </c>
      <c r="P3079" t="n">
        <v>0</v>
      </c>
      <c r="Q3079" t="n">
        <v>0.02</v>
      </c>
      <c r="R3079" t="n">
        <v>1</v>
      </c>
      <c r="S3079" t="n">
        <v>2900</v>
      </c>
      <c r="T3079" t="n">
        <v>6</v>
      </c>
      <c r="U3079" t="n">
        <v>7</v>
      </c>
      <c r="V3079" t="n">
        <v>30</v>
      </c>
      <c r="W3079" t="n">
        <v>1</v>
      </c>
      <c r="X3079" t="n">
        <v>100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11711</v>
      </c>
      <c r="AG3079" t="n">
        <v>63</v>
      </c>
      <c r="AH3079" t="inlineStr">
        <is>
          <t>PT. PARAMA GLOBAL INSPIRA - PPN (PDG)</t>
        </is>
      </c>
      <c r="AI3079" t="n">
        <v>103</v>
      </c>
      <c r="AJ3079" t="inlineStr">
        <is>
          <t>MAKE OVER</t>
        </is>
      </c>
      <c r="AK3079" t="n">
        <v>21</v>
      </c>
      <c r="AL3079" t="inlineStr">
        <is>
          <t>Miss Glam Damar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MAKE OVER</t>
        </is>
      </c>
      <c r="B3080" s="2">
        <f>"20100473148"</f>
        <v/>
      </c>
      <c r="C3080" t="inlineStr">
        <is>
          <t>MAKE OVER Hydrastay Prismatic Glass Cushion W33 Honey Beige 12gr</t>
        </is>
      </c>
      <c r="D3080" t="inlineStr">
        <is>
          <t>Miss Glam Damar</t>
        </is>
      </c>
      <c r="E3080" t="n">
        <v>5</v>
      </c>
      <c r="F3080" t="n">
        <v>0.09100000000000001</v>
      </c>
      <c r="G3080" t="n">
        <v>0.91</v>
      </c>
      <c r="H3080" t="n">
        <v>2</v>
      </c>
      <c r="I3080" t="n">
        <v>6</v>
      </c>
      <c r="J3080" t="n">
        <v>1</v>
      </c>
      <c r="K3080" t="n">
        <v>0</v>
      </c>
      <c r="L3080" t="n">
        <v>170250</v>
      </c>
      <c r="M3080" t="n">
        <v>208000</v>
      </c>
      <c r="N3080" t="n">
        <v>91</v>
      </c>
      <c r="O3080" t="n">
        <v>0.91</v>
      </c>
      <c r="P3080" t="n">
        <v>1</v>
      </c>
      <c r="Q3080" t="n">
        <v>0.05</v>
      </c>
      <c r="R3080" t="n">
        <v>1</v>
      </c>
      <c r="S3080" t="n">
        <v>18928</v>
      </c>
      <c r="T3080" t="n">
        <v>6</v>
      </c>
      <c r="U3080" t="n">
        <v>7</v>
      </c>
      <c r="V3080" t="n">
        <v>30</v>
      </c>
      <c r="W3080" t="n">
        <v>3</v>
      </c>
      <c r="X3080" t="n">
        <v>54.94505494505494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11711</v>
      </c>
      <c r="AG3080" t="n">
        <v>63</v>
      </c>
      <c r="AH3080" t="inlineStr">
        <is>
          <t>PT. PARAMA GLOBAL INSPIRA - PPN (PDG)</t>
        </is>
      </c>
      <c r="AI3080" t="n">
        <v>103</v>
      </c>
      <c r="AJ3080" t="inlineStr">
        <is>
          <t>MAKE OVER</t>
        </is>
      </c>
      <c r="AK3080" t="n">
        <v>21</v>
      </c>
      <c r="AL3080" t="inlineStr">
        <is>
          <t>Miss Glam Damar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MAKE OVER</t>
        </is>
      </c>
      <c r="B3081" s="2">
        <f>"20100489327"</f>
        <v/>
      </c>
      <c r="C3081" t="inlineStr">
        <is>
          <t>MAKE OVER Hydrastay Prismatic Glass Cushion W33 Honey Beige 12gr REFILL</t>
        </is>
      </c>
      <c r="D3081" t="inlineStr">
        <is>
          <t>Miss Glam Damar</t>
        </is>
      </c>
      <c r="E3081" t="n">
        <v>5</v>
      </c>
      <c r="F3081" t="n">
        <v>0.0182</v>
      </c>
      <c r="G3081" t="n">
        <v>0.91</v>
      </c>
      <c r="H3081" t="n">
        <v>2</v>
      </c>
      <c r="I3081" t="n">
        <v>6</v>
      </c>
      <c r="J3081" t="n">
        <v>1</v>
      </c>
      <c r="K3081" t="n">
        <v>0</v>
      </c>
      <c r="L3081" t="n">
        <v>108750</v>
      </c>
      <c r="M3081" t="n">
        <v>145000</v>
      </c>
      <c r="N3081" t="n">
        <v>91</v>
      </c>
      <c r="O3081" t="n">
        <v>0.91</v>
      </c>
      <c r="P3081" t="n">
        <v>1</v>
      </c>
      <c r="Q3081" t="n">
        <v>0.02</v>
      </c>
      <c r="R3081" t="n">
        <v>1</v>
      </c>
      <c r="S3081" t="n">
        <v>2639</v>
      </c>
      <c r="T3081" t="n">
        <v>6</v>
      </c>
      <c r="U3081" t="n">
        <v>7</v>
      </c>
      <c r="V3081" t="n">
        <v>30</v>
      </c>
      <c r="W3081" t="n">
        <v>1</v>
      </c>
      <c r="X3081" t="n">
        <v>274.7252747252747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11711</v>
      </c>
      <c r="AG3081" t="n">
        <v>63</v>
      </c>
      <c r="AH3081" t="inlineStr">
        <is>
          <t>PT. PARAMA GLOBAL INSPIRA - PPN (PDG)</t>
        </is>
      </c>
      <c r="AI3081" t="n">
        <v>103</v>
      </c>
      <c r="AJ3081" t="inlineStr">
        <is>
          <t>MAKE OVER</t>
        </is>
      </c>
      <c r="AK3081" t="n">
        <v>21</v>
      </c>
      <c r="AL3081" t="inlineStr">
        <is>
          <t>Miss Glam Damar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MAKE OVER</t>
        </is>
      </c>
      <c r="B3082" s="2">
        <f>"20100481918"</f>
        <v/>
      </c>
      <c r="C3082" t="inlineStr">
        <is>
          <t>MAKE OVER Hydrastay Prismatic Glass Cushion W41 Coral Sand 12gr</t>
        </is>
      </c>
      <c r="D3082" t="inlineStr">
        <is>
          <t>Miss Glam Damar</t>
        </is>
      </c>
      <c r="E3082" t="n">
        <v>6</v>
      </c>
      <c r="F3082" t="n">
        <v>0.05</v>
      </c>
      <c r="G3082" t="n">
        <v>1</v>
      </c>
      <c r="H3082" t="n">
        <v>2</v>
      </c>
      <c r="I3082" t="n">
        <v>6</v>
      </c>
      <c r="J3082" t="n">
        <v>1</v>
      </c>
      <c r="K3082" t="n">
        <v>0</v>
      </c>
      <c r="L3082" t="n">
        <v>170250</v>
      </c>
      <c r="M3082" t="n">
        <v>208000</v>
      </c>
      <c r="N3082" t="n">
        <v>91</v>
      </c>
      <c r="O3082" t="n">
        <v>0.91</v>
      </c>
      <c r="P3082" t="n">
        <v>0</v>
      </c>
      <c r="Q3082" t="n">
        <v>0.05</v>
      </c>
      <c r="R3082" t="n">
        <v>1</v>
      </c>
      <c r="S3082" t="n">
        <v>10400</v>
      </c>
      <c r="T3082" t="n">
        <v>6</v>
      </c>
      <c r="U3082" t="n">
        <v>7</v>
      </c>
      <c r="V3082" t="n">
        <v>30</v>
      </c>
      <c r="W3082" t="n">
        <v>2</v>
      </c>
      <c r="X3082" t="n">
        <v>120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11711</v>
      </c>
      <c r="AG3082" t="n">
        <v>63</v>
      </c>
      <c r="AH3082" t="inlineStr">
        <is>
          <t>PT. PARAMA GLOBAL INSPIRA - PPN (PDG)</t>
        </is>
      </c>
      <c r="AI3082" t="n">
        <v>103</v>
      </c>
      <c r="AJ3082" t="inlineStr">
        <is>
          <t>MAKE OVER</t>
        </is>
      </c>
      <c r="AK3082" t="n">
        <v>21</v>
      </c>
      <c r="AL3082" t="inlineStr">
        <is>
          <t>Miss Glam Damar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MAKE OVER</t>
        </is>
      </c>
      <c r="B3083" s="2">
        <f>"20100482053"</f>
        <v/>
      </c>
      <c r="C3083" t="inlineStr">
        <is>
          <t>MAKE OVER Hydrastay Prismatic Glass Cushion W42 Warm Sand 12gr</t>
        </is>
      </c>
      <c r="D3083" t="inlineStr">
        <is>
          <t>Miss Glam Damar</t>
        </is>
      </c>
      <c r="E3083" t="n">
        <v>2</v>
      </c>
      <c r="F3083" t="n">
        <v>0.04550000000000001</v>
      </c>
      <c r="G3083" t="n">
        <v>0.91</v>
      </c>
      <c r="H3083" t="n">
        <v>2</v>
      </c>
      <c r="I3083" t="n">
        <v>6</v>
      </c>
      <c r="J3083" t="n">
        <v>1</v>
      </c>
      <c r="K3083" t="n">
        <v>0</v>
      </c>
      <c r="L3083" t="n">
        <v>170250</v>
      </c>
      <c r="M3083" t="n">
        <v>208000</v>
      </c>
      <c r="N3083" t="n">
        <v>91</v>
      </c>
      <c r="O3083" t="n">
        <v>0.91</v>
      </c>
      <c r="P3083" t="n">
        <v>1</v>
      </c>
      <c r="Q3083" t="n">
        <v>0.02</v>
      </c>
      <c r="R3083" t="n">
        <v>1</v>
      </c>
      <c r="S3083" t="n">
        <v>9464.000000000002</v>
      </c>
      <c r="T3083" t="n">
        <v>6</v>
      </c>
      <c r="U3083" t="n">
        <v>7</v>
      </c>
      <c r="V3083" t="n">
        <v>30</v>
      </c>
      <c r="W3083" t="n">
        <v>2</v>
      </c>
      <c r="X3083" t="n">
        <v>43.95604395604395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11711</v>
      </c>
      <c r="AG3083" t="n">
        <v>63</v>
      </c>
      <c r="AH3083" t="inlineStr">
        <is>
          <t>PT. PARAMA GLOBAL INSPIRA - PPN (PDG)</t>
        </is>
      </c>
      <c r="AI3083" t="n">
        <v>103</v>
      </c>
      <c r="AJ3083" t="inlineStr">
        <is>
          <t>MAKE OVER</t>
        </is>
      </c>
      <c r="AK3083" t="n">
        <v>21</v>
      </c>
      <c r="AL3083" t="inlineStr">
        <is>
          <t>Miss Glam Damar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MAKE OVER</t>
        </is>
      </c>
      <c r="B3084" s="2">
        <f>"20100482233"</f>
        <v/>
      </c>
      <c r="C3084" t="inlineStr">
        <is>
          <t>MAKE OVER Hydrastay Prismatic Glass Cushion W60 Creme Cocoa 12gr</t>
        </is>
      </c>
      <c r="D3084" t="inlineStr">
        <is>
          <t>Miss Glam Damar</t>
        </is>
      </c>
      <c r="E3084" t="n">
        <v>5</v>
      </c>
      <c r="F3084" t="n">
        <v>0.02</v>
      </c>
      <c r="G3084" t="n">
        <v>1</v>
      </c>
      <c r="H3084" t="n">
        <v>2</v>
      </c>
      <c r="I3084" t="n">
        <v>6</v>
      </c>
      <c r="J3084" t="n">
        <v>1</v>
      </c>
      <c r="K3084" t="n">
        <v>0</v>
      </c>
      <c r="L3084" t="n">
        <v>170250</v>
      </c>
      <c r="M3084" t="n">
        <v>208000</v>
      </c>
      <c r="N3084" t="n">
        <v>91</v>
      </c>
      <c r="O3084" t="n">
        <v>0.91</v>
      </c>
      <c r="P3084" t="n">
        <v>0</v>
      </c>
      <c r="Q3084" t="n">
        <v>0.02</v>
      </c>
      <c r="R3084" t="n">
        <v>1</v>
      </c>
      <c r="S3084" t="n">
        <v>4160</v>
      </c>
      <c r="T3084" t="n">
        <v>6</v>
      </c>
      <c r="U3084" t="n">
        <v>7</v>
      </c>
      <c r="V3084" t="n">
        <v>30</v>
      </c>
      <c r="W3084" t="n">
        <v>1</v>
      </c>
      <c r="X3084" t="n">
        <v>250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11711</v>
      </c>
      <c r="AG3084" t="n">
        <v>63</v>
      </c>
      <c r="AH3084" t="inlineStr">
        <is>
          <t>PT. PARAMA GLOBAL INSPIRA - PPN (PDG)</t>
        </is>
      </c>
      <c r="AI3084" t="n">
        <v>103</v>
      </c>
      <c r="AJ3084" t="inlineStr">
        <is>
          <t>MAKE OVER</t>
        </is>
      </c>
      <c r="AK3084" t="n">
        <v>21</v>
      </c>
      <c r="AL3084" t="inlineStr">
        <is>
          <t>Miss Glam Damar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MAKE OVER</t>
        </is>
      </c>
      <c r="B3085" s="2">
        <f>"8993137700337"</f>
        <v/>
      </c>
      <c r="C3085" t="inlineStr">
        <is>
          <t>MAKE OVER Lip Amplify Contour Liner 01 Exposed 0.2gr</t>
        </is>
      </c>
      <c r="D3085" t="inlineStr">
        <is>
          <t>Miss Glam Damar</t>
        </is>
      </c>
      <c r="E3085" t="n">
        <v>4</v>
      </c>
      <c r="F3085" t="n">
        <v>0.05</v>
      </c>
      <c r="G3085" t="n">
        <v>1</v>
      </c>
      <c r="H3085" t="n">
        <v>2</v>
      </c>
      <c r="I3085" t="n">
        <v>6</v>
      </c>
      <c r="J3085" t="n">
        <v>3</v>
      </c>
      <c r="K3085" t="n">
        <v>0</v>
      </c>
      <c r="L3085" t="n">
        <v>76274</v>
      </c>
      <c r="M3085" t="n">
        <v>91000</v>
      </c>
      <c r="N3085" t="n">
        <v>91</v>
      </c>
      <c r="O3085" t="n">
        <v>0.91</v>
      </c>
      <c r="P3085" t="n">
        <v>0</v>
      </c>
      <c r="Q3085" t="n">
        <v>0.05</v>
      </c>
      <c r="R3085" t="n">
        <v>1</v>
      </c>
      <c r="S3085" t="n">
        <v>4550</v>
      </c>
      <c r="T3085" t="n">
        <v>6</v>
      </c>
      <c r="U3085" t="n">
        <v>7</v>
      </c>
      <c r="V3085" t="n">
        <v>30</v>
      </c>
      <c r="W3085" t="n">
        <v>2</v>
      </c>
      <c r="X3085" t="n">
        <v>80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11711</v>
      </c>
      <c r="AG3085" t="n">
        <v>63</v>
      </c>
      <c r="AH3085" t="inlineStr">
        <is>
          <t>PT. PARAMA GLOBAL INSPIRA - PPN (PDG)</t>
        </is>
      </c>
      <c r="AI3085" t="n">
        <v>103</v>
      </c>
      <c r="AJ3085" t="inlineStr">
        <is>
          <t>MAKE OVER</t>
        </is>
      </c>
      <c r="AK3085" t="n">
        <v>21</v>
      </c>
      <c r="AL3085" t="inlineStr">
        <is>
          <t>Miss Glam Damar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MAKE OVER</t>
        </is>
      </c>
      <c r="B3086" s="2">
        <f>"8993137716857"</f>
        <v/>
      </c>
      <c r="C3086" t="inlineStr">
        <is>
          <t>MAKE OVER Lip Cream Hian Tjen 402 Social  4.5g</t>
        </is>
      </c>
      <c r="D3086" t="inlineStr">
        <is>
          <t>Miss Glam Damar</t>
        </is>
      </c>
      <c r="E3086" t="n">
        <v>2</v>
      </c>
      <c r="F3086" t="n">
        <v>0.02</v>
      </c>
      <c r="G3086" t="n">
        <v>1</v>
      </c>
      <c r="H3086" t="n">
        <v>2</v>
      </c>
      <c r="I3086" t="n">
        <v>6</v>
      </c>
      <c r="J3086" t="n">
        <v>3</v>
      </c>
      <c r="K3086" t="n">
        <v>0</v>
      </c>
      <c r="L3086" t="n">
        <v>102750</v>
      </c>
      <c r="M3086" t="n">
        <v>132000</v>
      </c>
      <c r="N3086" t="n">
        <v>91</v>
      </c>
      <c r="O3086" t="n">
        <v>0.91</v>
      </c>
      <c r="P3086" t="n">
        <v>0</v>
      </c>
      <c r="Q3086" t="n">
        <v>0.02</v>
      </c>
      <c r="R3086" t="n">
        <v>1</v>
      </c>
      <c r="S3086" t="n">
        <v>2640</v>
      </c>
      <c r="T3086" t="n">
        <v>6</v>
      </c>
      <c r="U3086" t="n">
        <v>7</v>
      </c>
      <c r="V3086" t="n">
        <v>30</v>
      </c>
      <c r="W3086" t="n">
        <v>1</v>
      </c>
      <c r="X3086" t="n">
        <v>100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11711</v>
      </c>
      <c r="AG3086" t="n">
        <v>63</v>
      </c>
      <c r="AH3086" t="inlineStr">
        <is>
          <t>PT. PARAMA GLOBAL INSPIRA - PPN (PDG)</t>
        </is>
      </c>
      <c r="AI3086" t="n">
        <v>103</v>
      </c>
      <c r="AJ3086" t="inlineStr">
        <is>
          <t>MAKE OVER</t>
        </is>
      </c>
      <c r="AK3086" t="n">
        <v>21</v>
      </c>
      <c r="AL3086" t="inlineStr">
        <is>
          <t>Miss Glam Damar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MAKE OVER</t>
        </is>
      </c>
      <c r="B3087" s="2">
        <f>"8993137716871"</f>
        <v/>
      </c>
      <c r="C3087" t="inlineStr">
        <is>
          <t>MAKE OVER Lip Cream Hian Tjen 404 A-LIST 4.5gr</t>
        </is>
      </c>
      <c r="D3087" t="inlineStr">
        <is>
          <t>Miss Glam Damar</t>
        </is>
      </c>
      <c r="E3087" t="n">
        <v>1</v>
      </c>
      <c r="F3087" t="n">
        <v>0.03</v>
      </c>
      <c r="G3087" t="n">
        <v>1</v>
      </c>
      <c r="H3087" t="n">
        <v>2</v>
      </c>
      <c r="I3087" t="n">
        <v>6</v>
      </c>
      <c r="J3087" t="n">
        <v>3</v>
      </c>
      <c r="K3087" t="n">
        <v>0</v>
      </c>
      <c r="L3087" t="n">
        <v>102750</v>
      </c>
      <c r="M3087" t="n">
        <v>132000</v>
      </c>
      <c r="N3087" t="n">
        <v>91</v>
      </c>
      <c r="O3087" t="n">
        <v>0.91</v>
      </c>
      <c r="P3087" t="n">
        <v>0</v>
      </c>
      <c r="Q3087" t="n">
        <v>0.03</v>
      </c>
      <c r="R3087" t="n">
        <v>1</v>
      </c>
      <c r="S3087" t="n">
        <v>3960</v>
      </c>
      <c r="T3087" t="n">
        <v>6</v>
      </c>
      <c r="U3087" t="n">
        <v>7</v>
      </c>
      <c r="V3087" t="n">
        <v>30</v>
      </c>
      <c r="W3087" t="n">
        <v>1</v>
      </c>
      <c r="X3087" t="n">
        <v>33.33333333333334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11711</v>
      </c>
      <c r="AG3087" t="n">
        <v>63</v>
      </c>
      <c r="AH3087" t="inlineStr">
        <is>
          <t>PT. PARAMA GLOBAL INSPIRA - PPN (PDG)</t>
        </is>
      </c>
      <c r="AI3087" t="n">
        <v>103</v>
      </c>
      <c r="AJ3087" t="inlineStr">
        <is>
          <t>MAKE OVER</t>
        </is>
      </c>
      <c r="AK3087" t="n">
        <v>21</v>
      </c>
      <c r="AL3087" t="inlineStr">
        <is>
          <t>Miss Glam Damar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MAKE OVER</t>
        </is>
      </c>
      <c r="B3088" s="2">
        <f>"8993137716888"</f>
        <v/>
      </c>
      <c r="C3088" t="inlineStr">
        <is>
          <t>MAKE OVER Lip Cream Hian Tjen 405 Glory 4.5gr</t>
        </is>
      </c>
      <c r="D3088" t="inlineStr">
        <is>
          <t>Miss Glam Damar</t>
        </is>
      </c>
      <c r="E3088" t="n">
        <v>5</v>
      </c>
      <c r="F3088" t="n">
        <v>0.04550000000000001</v>
      </c>
      <c r="G3088" t="n">
        <v>1.82</v>
      </c>
      <c r="H3088" t="n">
        <v>2</v>
      </c>
      <c r="I3088" t="n">
        <v>6</v>
      </c>
      <c r="J3088" t="n">
        <v>3</v>
      </c>
      <c r="K3088" t="n">
        <v>0</v>
      </c>
      <c r="L3088" t="n">
        <v>102750</v>
      </c>
      <c r="M3088" t="n">
        <v>132000</v>
      </c>
      <c r="N3088" t="n">
        <v>91</v>
      </c>
      <c r="O3088" t="n">
        <v>0.91</v>
      </c>
      <c r="P3088" t="n">
        <v>1</v>
      </c>
      <c r="Q3088" t="n">
        <v>0.02</v>
      </c>
      <c r="R3088" t="n">
        <v>1</v>
      </c>
      <c r="S3088" t="n">
        <v>6006.000000000001</v>
      </c>
      <c r="T3088" t="n">
        <v>11</v>
      </c>
      <c r="U3088" t="n">
        <v>12</v>
      </c>
      <c r="V3088" t="n">
        <v>30</v>
      </c>
      <c r="W3088" t="n">
        <v>2</v>
      </c>
      <c r="X3088" t="n">
        <v>109.8901098901099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11711</v>
      </c>
      <c r="AG3088" t="n">
        <v>63</v>
      </c>
      <c r="AH3088" t="inlineStr">
        <is>
          <t>PT. PARAMA GLOBAL INSPIRA - PPN (PDG)</t>
        </is>
      </c>
      <c r="AI3088" t="n">
        <v>103</v>
      </c>
      <c r="AJ3088" t="inlineStr">
        <is>
          <t>MAKE OVER</t>
        </is>
      </c>
      <c r="AK3088" t="n">
        <v>21</v>
      </c>
      <c r="AL3088" t="inlineStr">
        <is>
          <t>Miss Glam Damar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MAKE OVER</t>
        </is>
      </c>
      <c r="B3089" s="2">
        <f>"20100181612"</f>
        <v/>
      </c>
      <c r="C3089" t="inlineStr">
        <is>
          <t>MAKE OVER Perfect Cover Powder Foundation 01 Lace 10gr</t>
        </is>
      </c>
      <c r="D3089" t="inlineStr">
        <is>
          <t>Miss Glam Damar</t>
        </is>
      </c>
      <c r="E3089" t="n">
        <v>3</v>
      </c>
      <c r="F3089" t="n">
        <v>0.0182</v>
      </c>
      <c r="G3089" t="n">
        <v>0.91</v>
      </c>
      <c r="H3089" t="n">
        <v>2</v>
      </c>
      <c r="I3089" t="n">
        <v>6</v>
      </c>
      <c r="J3089" t="n">
        <v>1</v>
      </c>
      <c r="K3089" t="n">
        <v>0</v>
      </c>
      <c r="L3089" t="n">
        <v>130500</v>
      </c>
      <c r="M3089" t="n">
        <v>159500</v>
      </c>
      <c r="N3089" t="n">
        <v>91</v>
      </c>
      <c r="O3089" t="n">
        <v>0.91</v>
      </c>
      <c r="P3089" t="n">
        <v>1</v>
      </c>
      <c r="Q3089" t="n">
        <v>0.05</v>
      </c>
      <c r="R3089" t="n">
        <v>1</v>
      </c>
      <c r="S3089" t="n">
        <v>2902.9</v>
      </c>
      <c r="T3089" t="n">
        <v>6</v>
      </c>
      <c r="U3089" t="n">
        <v>7</v>
      </c>
      <c r="V3089" t="n">
        <v>30</v>
      </c>
      <c r="W3089" t="n">
        <v>1</v>
      </c>
      <c r="X3089" t="n">
        <v>164.8351648351648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11711</v>
      </c>
      <c r="AG3089" t="n">
        <v>63</v>
      </c>
      <c r="AH3089" t="inlineStr">
        <is>
          <t>PT. PARAMA GLOBAL INSPIRA - PPN (PDG)</t>
        </is>
      </c>
      <c r="AI3089" t="n">
        <v>103</v>
      </c>
      <c r="AJ3089" t="inlineStr">
        <is>
          <t>MAKE OVER</t>
        </is>
      </c>
      <c r="AK3089" t="n">
        <v>21</v>
      </c>
      <c r="AL3089" t="inlineStr">
        <is>
          <t>Miss Glam Damar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MAKE OVER</t>
        </is>
      </c>
      <c r="B3090" s="2">
        <f>"20100181750"</f>
        <v/>
      </c>
      <c r="C3090" t="inlineStr">
        <is>
          <t>MAKE OVER Perfect Cover Powder Foundation 02 Coral 10gr</t>
        </is>
      </c>
      <c r="D3090" t="inlineStr">
        <is>
          <t>Miss Glam Damar</t>
        </is>
      </c>
      <c r="E3090" t="n">
        <v>1</v>
      </c>
      <c r="F3090" t="n">
        <v>0.09100000000000001</v>
      </c>
      <c r="G3090" t="n">
        <v>0.91</v>
      </c>
      <c r="H3090" t="n">
        <v>2</v>
      </c>
      <c r="I3090" t="n">
        <v>6</v>
      </c>
      <c r="J3090" t="n">
        <v>1</v>
      </c>
      <c r="K3090" t="n">
        <v>0</v>
      </c>
      <c r="L3090" t="n">
        <v>130499</v>
      </c>
      <c r="M3090" t="n">
        <v>159500</v>
      </c>
      <c r="N3090" t="n">
        <v>91</v>
      </c>
      <c r="O3090" t="n">
        <v>0.91</v>
      </c>
      <c r="P3090" t="n">
        <v>1</v>
      </c>
      <c r="Q3090" t="n">
        <v>0.08</v>
      </c>
      <c r="R3090" t="n">
        <v>1</v>
      </c>
      <c r="S3090" t="n">
        <v>14514.5</v>
      </c>
      <c r="T3090" t="n">
        <v>6</v>
      </c>
      <c r="U3090" t="n">
        <v>7</v>
      </c>
      <c r="V3090" t="n">
        <v>30</v>
      </c>
      <c r="W3090" t="n">
        <v>3</v>
      </c>
      <c r="X3090" t="n">
        <v>10.98901098901099</v>
      </c>
      <c r="Y3090" t="n">
        <v>1</v>
      </c>
      <c r="Z3090" t="n">
        <v>2</v>
      </c>
      <c r="AA3090" t="n">
        <v>0</v>
      </c>
      <c r="AB3090" t="n">
        <v>2</v>
      </c>
      <c r="AC3090" t="n">
        <v>2</v>
      </c>
      <c r="AD3090" t="n">
        <v>0</v>
      </c>
      <c r="AE3090" t="n">
        <v>260998</v>
      </c>
      <c r="AF3090" t="n">
        <v>11711</v>
      </c>
      <c r="AG3090" t="n">
        <v>63</v>
      </c>
      <c r="AH3090" t="inlineStr">
        <is>
          <t>PT. PARAMA GLOBAL INSPIRA - PPN (PDG)</t>
        </is>
      </c>
      <c r="AI3090" t="n">
        <v>103</v>
      </c>
      <c r="AJ3090" t="inlineStr">
        <is>
          <t>MAKE OVER</t>
        </is>
      </c>
      <c r="AK3090" t="n">
        <v>21</v>
      </c>
      <c r="AL3090" t="inlineStr">
        <is>
          <t>Miss Glam Damar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MAKE OVER</t>
        </is>
      </c>
      <c r="B3091" s="2">
        <f>"20100181838"</f>
        <v/>
      </c>
      <c r="C3091" t="inlineStr">
        <is>
          <t>MAKE OVER Perfect Cover Powder Foundation 03 Maple 10gr</t>
        </is>
      </c>
      <c r="D3091" t="inlineStr">
        <is>
          <t>Miss Glam Damar</t>
        </is>
      </c>
      <c r="E3091" t="n">
        <v>3</v>
      </c>
      <c r="F3091" t="n">
        <v>0.0728</v>
      </c>
      <c r="G3091" t="n">
        <v>0.91</v>
      </c>
      <c r="H3091" t="n">
        <v>2</v>
      </c>
      <c r="I3091" t="n">
        <v>6</v>
      </c>
      <c r="J3091" t="n">
        <v>1</v>
      </c>
      <c r="K3091" t="n">
        <v>0</v>
      </c>
      <c r="L3091" t="n">
        <v>130500</v>
      </c>
      <c r="M3091" t="n">
        <v>159500</v>
      </c>
      <c r="N3091" t="n">
        <v>91</v>
      </c>
      <c r="O3091" t="n">
        <v>0.91</v>
      </c>
      <c r="P3091" t="n">
        <v>1</v>
      </c>
      <c r="Q3091" t="n">
        <v>0.05</v>
      </c>
      <c r="R3091" t="n">
        <v>1</v>
      </c>
      <c r="S3091" t="n">
        <v>11611.6</v>
      </c>
      <c r="T3091" t="n">
        <v>6</v>
      </c>
      <c r="U3091" t="n">
        <v>7</v>
      </c>
      <c r="V3091" t="n">
        <v>30</v>
      </c>
      <c r="W3091" t="n">
        <v>3</v>
      </c>
      <c r="X3091" t="n">
        <v>41.2087912087912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11711</v>
      </c>
      <c r="AG3091" t="n">
        <v>63</v>
      </c>
      <c r="AH3091" t="inlineStr">
        <is>
          <t>PT. PARAMA GLOBAL INSPIRA - PPN (PDG)</t>
        </is>
      </c>
      <c r="AI3091" t="n">
        <v>103</v>
      </c>
      <c r="AJ3091" t="inlineStr">
        <is>
          <t>MAKE OVER</t>
        </is>
      </c>
      <c r="AK3091" t="n">
        <v>21</v>
      </c>
      <c r="AL3091" t="inlineStr">
        <is>
          <t>Miss Glam Damar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MAKE OVER</t>
        </is>
      </c>
      <c r="B3092" s="2">
        <f>"20100181920"</f>
        <v/>
      </c>
      <c r="C3092" t="inlineStr">
        <is>
          <t>MAKE OVER Perfect Cover Powder Foundation 04 Desert 10gr</t>
        </is>
      </c>
      <c r="D3092" t="inlineStr">
        <is>
          <t>Miss Glam Damar</t>
        </is>
      </c>
      <c r="E3092" t="n">
        <v>4</v>
      </c>
      <c r="F3092" t="n">
        <v>0.1092</v>
      </c>
      <c r="G3092" t="n">
        <v>0.91</v>
      </c>
      <c r="H3092" t="n">
        <v>2</v>
      </c>
      <c r="I3092" t="n">
        <v>6</v>
      </c>
      <c r="J3092" t="n">
        <v>1</v>
      </c>
      <c r="K3092" t="n">
        <v>0</v>
      </c>
      <c r="L3092" t="n">
        <v>130499</v>
      </c>
      <c r="M3092" t="n">
        <v>159500</v>
      </c>
      <c r="N3092" t="n">
        <v>91</v>
      </c>
      <c r="O3092" t="n">
        <v>0.91</v>
      </c>
      <c r="P3092" t="n">
        <v>1</v>
      </c>
      <c r="Q3092" t="n">
        <v>0.19</v>
      </c>
      <c r="R3092" t="n">
        <v>1</v>
      </c>
      <c r="S3092" t="n">
        <v>17417.4</v>
      </c>
      <c r="T3092" t="n">
        <v>6</v>
      </c>
      <c r="U3092" t="n">
        <v>7</v>
      </c>
      <c r="V3092" t="n">
        <v>30</v>
      </c>
      <c r="W3092" t="n">
        <v>4</v>
      </c>
      <c r="X3092" t="n">
        <v>36.63003663003663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11711</v>
      </c>
      <c r="AG3092" t="n">
        <v>63</v>
      </c>
      <c r="AH3092" t="inlineStr">
        <is>
          <t>PT. PARAMA GLOBAL INSPIRA - PPN (PDG)</t>
        </is>
      </c>
      <c r="AI3092" t="n">
        <v>103</v>
      </c>
      <c r="AJ3092" t="inlineStr">
        <is>
          <t>MAKE OVER</t>
        </is>
      </c>
      <c r="AK3092" t="n">
        <v>21</v>
      </c>
      <c r="AL3092" t="inlineStr">
        <is>
          <t>Miss Glam Damar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MAKE OVER</t>
        </is>
      </c>
      <c r="B3093" s="2">
        <f>"20100182160"</f>
        <v/>
      </c>
      <c r="C3093" t="inlineStr">
        <is>
          <t>MAKE OVER Perfect Cover Powder Foundation 08 Honey 10gr</t>
        </is>
      </c>
      <c r="D3093" t="inlineStr">
        <is>
          <t>Miss Glam Damar</t>
        </is>
      </c>
      <c r="E3093" t="n">
        <v>1</v>
      </c>
      <c r="F3093" t="n">
        <v>0.06370000000000001</v>
      </c>
      <c r="G3093" t="n">
        <v>0.91</v>
      </c>
      <c r="H3093" t="n">
        <v>2</v>
      </c>
      <c r="I3093" t="n">
        <v>6</v>
      </c>
      <c r="J3093" t="n">
        <v>1</v>
      </c>
      <c r="K3093" t="n">
        <v>0</v>
      </c>
      <c r="L3093" t="n">
        <v>130499</v>
      </c>
      <c r="M3093" t="n">
        <v>159500</v>
      </c>
      <c r="N3093" t="n">
        <v>91</v>
      </c>
      <c r="O3093" t="n">
        <v>0.91</v>
      </c>
      <c r="P3093" t="n">
        <v>1</v>
      </c>
      <c r="Q3093" t="n">
        <v>0.1</v>
      </c>
      <c r="R3093" t="n">
        <v>1</v>
      </c>
      <c r="S3093" t="n">
        <v>10160.15</v>
      </c>
      <c r="T3093" t="n">
        <v>6</v>
      </c>
      <c r="U3093" t="n">
        <v>7</v>
      </c>
      <c r="V3093" t="n">
        <v>30</v>
      </c>
      <c r="W3093" t="n">
        <v>2</v>
      </c>
      <c r="X3093" t="n">
        <v>15.69858712715855</v>
      </c>
      <c r="Y3093" t="n">
        <v>1</v>
      </c>
      <c r="Z3093" t="n">
        <v>1</v>
      </c>
      <c r="AA3093" t="n">
        <v>0</v>
      </c>
      <c r="AB3093" t="n">
        <v>1</v>
      </c>
      <c r="AC3093" t="n">
        <v>1</v>
      </c>
      <c r="AD3093" t="n">
        <v>0</v>
      </c>
      <c r="AE3093" t="n">
        <v>130499</v>
      </c>
      <c r="AF3093" t="n">
        <v>11711</v>
      </c>
      <c r="AG3093" t="n">
        <v>63</v>
      </c>
      <c r="AH3093" t="inlineStr">
        <is>
          <t>PT. PARAMA GLOBAL INSPIRA - PPN (PDG)</t>
        </is>
      </c>
      <c r="AI3093" t="n">
        <v>103</v>
      </c>
      <c r="AJ3093" t="inlineStr">
        <is>
          <t>MAKE OVER</t>
        </is>
      </c>
      <c r="AK3093" t="n">
        <v>21</v>
      </c>
      <c r="AL3093" t="inlineStr">
        <is>
          <t>Miss Glam Damar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MAKE OVER</t>
        </is>
      </c>
      <c r="B3094" s="2">
        <f>"20100182328"</f>
        <v/>
      </c>
      <c r="C3094" t="inlineStr">
        <is>
          <t>MAKE OVER Perfect Cover Powder Foundation 10 Cashew 10gr</t>
        </is>
      </c>
      <c r="D3094" t="inlineStr">
        <is>
          <t>Miss Glam Damar</t>
        </is>
      </c>
      <c r="E3094" t="n">
        <v>6</v>
      </c>
      <c r="F3094" t="n">
        <v>0.02</v>
      </c>
      <c r="G3094" t="n">
        <v>1</v>
      </c>
      <c r="H3094" t="n">
        <v>2</v>
      </c>
      <c r="I3094" t="n">
        <v>6</v>
      </c>
      <c r="J3094" t="n">
        <v>1</v>
      </c>
      <c r="K3094" t="n">
        <v>0</v>
      </c>
      <c r="L3094" t="n">
        <v>130500</v>
      </c>
      <c r="M3094" t="n">
        <v>159500</v>
      </c>
      <c r="N3094" t="n">
        <v>91</v>
      </c>
      <c r="O3094" t="n">
        <v>0.91</v>
      </c>
      <c r="P3094" t="n">
        <v>0</v>
      </c>
      <c r="Q3094" t="n">
        <v>0.02</v>
      </c>
      <c r="R3094" t="n">
        <v>1</v>
      </c>
      <c r="S3094" t="n">
        <v>3190</v>
      </c>
      <c r="T3094" t="n">
        <v>6</v>
      </c>
      <c r="U3094" t="n">
        <v>7</v>
      </c>
      <c r="V3094" t="n">
        <v>30</v>
      </c>
      <c r="W3094" t="n">
        <v>1</v>
      </c>
      <c r="X3094" t="n">
        <v>300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11711</v>
      </c>
      <c r="AG3094" t="n">
        <v>63</v>
      </c>
      <c r="AH3094" t="inlineStr">
        <is>
          <t>PT. PARAMA GLOBAL INSPIRA - PPN (PDG)</t>
        </is>
      </c>
      <c r="AI3094" t="n">
        <v>103</v>
      </c>
      <c r="AJ3094" t="inlineStr">
        <is>
          <t>MAKE OVER</t>
        </is>
      </c>
      <c r="AK3094" t="n">
        <v>21</v>
      </c>
      <c r="AL3094" t="inlineStr">
        <is>
          <t>Miss Glam Damar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MAKE OVER</t>
        </is>
      </c>
      <c r="B3095" s="2">
        <f>"20100182410"</f>
        <v/>
      </c>
      <c r="C3095" t="inlineStr">
        <is>
          <t>MAKE OVER Perfect Cover Powder Foundation 11 Praline 10gr</t>
        </is>
      </c>
      <c r="D3095" t="inlineStr">
        <is>
          <t>Miss Glam Damar</t>
        </is>
      </c>
      <c r="E3095" t="n">
        <v>2</v>
      </c>
      <c r="F3095" t="n">
        <v>0.0182</v>
      </c>
      <c r="G3095" t="n">
        <v>0.91</v>
      </c>
      <c r="H3095" t="n">
        <v>2</v>
      </c>
      <c r="I3095" t="n">
        <v>6</v>
      </c>
      <c r="J3095" t="n">
        <v>1</v>
      </c>
      <c r="K3095" t="n">
        <v>0</v>
      </c>
      <c r="L3095" t="n">
        <v>130500</v>
      </c>
      <c r="M3095" t="n">
        <v>159500</v>
      </c>
      <c r="N3095" t="n">
        <v>91</v>
      </c>
      <c r="O3095" t="n">
        <v>0.91</v>
      </c>
      <c r="P3095" t="n">
        <v>1</v>
      </c>
      <c r="Q3095" t="n">
        <v>0.02</v>
      </c>
      <c r="R3095" t="n">
        <v>1</v>
      </c>
      <c r="S3095" t="n">
        <v>2902.9</v>
      </c>
      <c r="T3095" t="n">
        <v>6</v>
      </c>
      <c r="U3095" t="n">
        <v>7</v>
      </c>
      <c r="V3095" t="n">
        <v>30</v>
      </c>
      <c r="W3095" t="n">
        <v>1</v>
      </c>
      <c r="X3095" t="n">
        <v>109.8901098901099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11711</v>
      </c>
      <c r="AG3095" t="n">
        <v>63</v>
      </c>
      <c r="AH3095" t="inlineStr">
        <is>
          <t>PT. PARAMA GLOBAL INSPIRA - PPN (PDG)</t>
        </is>
      </c>
      <c r="AI3095" t="n">
        <v>103</v>
      </c>
      <c r="AJ3095" t="inlineStr">
        <is>
          <t>MAKE OVER</t>
        </is>
      </c>
      <c r="AK3095" t="n">
        <v>21</v>
      </c>
      <c r="AL3095" t="inlineStr">
        <is>
          <t>Miss Glam Damar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MAKE OVER</t>
        </is>
      </c>
      <c r="B3096" s="2">
        <f>"20100182552"</f>
        <v/>
      </c>
      <c r="C3096" t="inlineStr">
        <is>
          <t>MAKE OVER Perfect Cover Powder Foundation 12 Chai 10gr</t>
        </is>
      </c>
      <c r="D3096" t="inlineStr">
        <is>
          <t>Miss Glam Damar</t>
        </is>
      </c>
      <c r="E3096" t="n">
        <v>4</v>
      </c>
      <c r="F3096" t="n">
        <v>0.03</v>
      </c>
      <c r="G3096" t="n">
        <v>1</v>
      </c>
      <c r="H3096" t="n">
        <v>2</v>
      </c>
      <c r="I3096" t="n">
        <v>6</v>
      </c>
      <c r="J3096" t="n">
        <v>1</v>
      </c>
      <c r="K3096" t="n">
        <v>0</v>
      </c>
      <c r="L3096" t="n">
        <v>130500</v>
      </c>
      <c r="M3096" t="n">
        <v>159500</v>
      </c>
      <c r="N3096" t="n">
        <v>91</v>
      </c>
      <c r="O3096" t="n">
        <v>0.91</v>
      </c>
      <c r="P3096" t="n">
        <v>0</v>
      </c>
      <c r="Q3096" t="n">
        <v>0.03</v>
      </c>
      <c r="R3096" t="n">
        <v>1</v>
      </c>
      <c r="S3096" t="n">
        <v>4785</v>
      </c>
      <c r="T3096" t="n">
        <v>6</v>
      </c>
      <c r="U3096" t="n">
        <v>7</v>
      </c>
      <c r="V3096" t="n">
        <v>30</v>
      </c>
      <c r="W3096" t="n">
        <v>1</v>
      </c>
      <c r="X3096" t="n">
        <v>133.3333333333333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11711</v>
      </c>
      <c r="AG3096" t="n">
        <v>63</v>
      </c>
      <c r="AH3096" t="inlineStr">
        <is>
          <t>PT. PARAMA GLOBAL INSPIRA - PPN (PDG)</t>
        </is>
      </c>
      <c r="AI3096" t="n">
        <v>103</v>
      </c>
      <c r="AJ3096" t="inlineStr">
        <is>
          <t>MAKE OVER</t>
        </is>
      </c>
      <c r="AK3096" t="n">
        <v>21</v>
      </c>
      <c r="AL3096" t="inlineStr">
        <is>
          <t>Miss Glam Damar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MAKE OVER</t>
        </is>
      </c>
      <c r="B3097" s="2">
        <f>"20100577850"</f>
        <v/>
      </c>
      <c r="C3097" t="inlineStr">
        <is>
          <t>MAKE OVER Perfect Cover Powder Foundation Mini 01 Lace 4,4gr</t>
        </is>
      </c>
      <c r="D3097" t="inlineStr">
        <is>
          <t>Miss Glam Damar</t>
        </is>
      </c>
      <c r="E3097" t="n">
        <v>5</v>
      </c>
      <c r="F3097" t="n">
        <v>0.14</v>
      </c>
      <c r="G3097" t="n">
        <v>5</v>
      </c>
      <c r="H3097" t="n">
        <v>2</v>
      </c>
      <c r="I3097" t="n">
        <v>6</v>
      </c>
      <c r="J3097" t="n">
        <v>1</v>
      </c>
      <c r="K3097" t="n">
        <v>0</v>
      </c>
      <c r="L3097" t="n">
        <v>67500</v>
      </c>
      <c r="M3097" t="n">
        <v>90000</v>
      </c>
      <c r="N3097" t="n">
        <v>91</v>
      </c>
      <c r="O3097" t="n">
        <v>0.91</v>
      </c>
      <c r="P3097" t="n">
        <v>0</v>
      </c>
      <c r="Q3097" t="n">
        <v>0.14</v>
      </c>
      <c r="R3097" t="n">
        <v>5</v>
      </c>
      <c r="S3097" t="n">
        <v>12600</v>
      </c>
      <c r="T3097" t="n">
        <v>30</v>
      </c>
      <c r="U3097" t="n">
        <v>31</v>
      </c>
      <c r="V3097" t="n">
        <v>30</v>
      </c>
      <c r="W3097" t="n">
        <v>5</v>
      </c>
      <c r="X3097" t="n">
        <v>35.71428571428571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11711</v>
      </c>
      <c r="AG3097" t="n">
        <v>63</v>
      </c>
      <c r="AH3097" t="inlineStr">
        <is>
          <t>PT. PARAMA GLOBAL INSPIRA - PPN (PDG)</t>
        </is>
      </c>
      <c r="AI3097" t="n">
        <v>103</v>
      </c>
      <c r="AJ3097" t="inlineStr">
        <is>
          <t>MAKE OVER</t>
        </is>
      </c>
      <c r="AK3097" t="n">
        <v>21</v>
      </c>
      <c r="AL3097" t="inlineStr">
        <is>
          <t>Miss Glam Damar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MAKE OVER</t>
        </is>
      </c>
      <c r="B3098" s="2">
        <f>"20100577942"</f>
        <v/>
      </c>
      <c r="C3098" t="inlineStr">
        <is>
          <t>MAKE OVER Perfect Cover Powder Foundation Mini 02 Coral 4,4gr</t>
        </is>
      </c>
      <c r="D3098" t="inlineStr">
        <is>
          <t>Miss Glam Damar</t>
        </is>
      </c>
      <c r="E3098" t="n">
        <v>17</v>
      </c>
      <c r="F3098" t="n">
        <v>0.31</v>
      </c>
      <c r="G3098" t="n">
        <v>16</v>
      </c>
      <c r="H3098" t="n">
        <v>2</v>
      </c>
      <c r="I3098" t="n">
        <v>6</v>
      </c>
      <c r="J3098" t="n">
        <v>1</v>
      </c>
      <c r="K3098" t="n">
        <v>0</v>
      </c>
      <c r="L3098" t="n">
        <v>67500</v>
      </c>
      <c r="M3098" t="n">
        <v>90000</v>
      </c>
      <c r="N3098" t="n">
        <v>91</v>
      </c>
      <c r="O3098" t="n">
        <v>0.91</v>
      </c>
      <c r="P3098" t="n">
        <v>0</v>
      </c>
      <c r="Q3098" t="n">
        <v>0.31</v>
      </c>
      <c r="R3098" t="n">
        <v>16</v>
      </c>
      <c r="S3098" t="n">
        <v>27900</v>
      </c>
      <c r="T3098" t="n">
        <v>96</v>
      </c>
      <c r="U3098" t="n">
        <v>97</v>
      </c>
      <c r="V3098" t="n">
        <v>30</v>
      </c>
      <c r="W3098" t="n">
        <v>10</v>
      </c>
      <c r="X3098" t="n">
        <v>54.83870967741935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11711</v>
      </c>
      <c r="AG3098" t="n">
        <v>63</v>
      </c>
      <c r="AH3098" t="inlineStr">
        <is>
          <t>PT. PARAMA GLOBAL INSPIRA - PPN (PDG)</t>
        </is>
      </c>
      <c r="AI3098" t="n">
        <v>103</v>
      </c>
      <c r="AJ3098" t="inlineStr">
        <is>
          <t>MAKE OVER</t>
        </is>
      </c>
      <c r="AK3098" t="n">
        <v>21</v>
      </c>
      <c r="AL3098" t="inlineStr">
        <is>
          <t>Miss Glam Damar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MAKE OVER</t>
        </is>
      </c>
      <c r="B3099" s="2">
        <f>"20100578003"</f>
        <v/>
      </c>
      <c r="C3099" t="inlineStr">
        <is>
          <t>MAKE OVER Perfect Cover Powder Foundation Mini 03 Maple 4,4gr</t>
        </is>
      </c>
      <c r="D3099" t="inlineStr">
        <is>
          <t>Miss Glam Damar</t>
        </is>
      </c>
      <c r="E3099" t="n">
        <v>14</v>
      </c>
      <c r="F3099" t="n">
        <v>0.19</v>
      </c>
      <c r="G3099" t="n">
        <v>9</v>
      </c>
      <c r="H3099" t="n">
        <v>2</v>
      </c>
      <c r="I3099" t="n">
        <v>6</v>
      </c>
      <c r="J3099" t="n">
        <v>1</v>
      </c>
      <c r="K3099" t="n">
        <v>0</v>
      </c>
      <c r="L3099" t="n">
        <v>67500</v>
      </c>
      <c r="M3099" t="n">
        <v>90000</v>
      </c>
      <c r="N3099" t="n">
        <v>91</v>
      </c>
      <c r="O3099" t="n">
        <v>0.91</v>
      </c>
      <c r="P3099" t="n">
        <v>0</v>
      </c>
      <c r="Q3099" t="n">
        <v>0.19</v>
      </c>
      <c r="R3099" t="n">
        <v>9</v>
      </c>
      <c r="S3099" t="n">
        <v>17100</v>
      </c>
      <c r="T3099" t="n">
        <v>54</v>
      </c>
      <c r="U3099" t="n">
        <v>55</v>
      </c>
      <c r="V3099" t="n">
        <v>30</v>
      </c>
      <c r="W3099" t="n">
        <v>6</v>
      </c>
      <c r="X3099" t="n">
        <v>73.68421052631579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11711</v>
      </c>
      <c r="AG3099" t="n">
        <v>63</v>
      </c>
      <c r="AH3099" t="inlineStr">
        <is>
          <t>PT. PARAMA GLOBAL INSPIRA - PPN (PDG)</t>
        </is>
      </c>
      <c r="AI3099" t="n">
        <v>103</v>
      </c>
      <c r="AJ3099" t="inlineStr">
        <is>
          <t>MAKE OVER</t>
        </is>
      </c>
      <c r="AK3099" t="n">
        <v>21</v>
      </c>
      <c r="AL3099" t="inlineStr">
        <is>
          <t>Miss Glam Damar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MAKE OVER</t>
        </is>
      </c>
      <c r="B3100" s="2">
        <f>"20100578156"</f>
        <v/>
      </c>
      <c r="C3100" t="inlineStr">
        <is>
          <t>MAKE OVER Perfect Cover Powder Foundation Mini 04 Desert 4,4gr</t>
        </is>
      </c>
      <c r="D3100" t="inlineStr">
        <is>
          <t>Miss Glam Damar</t>
        </is>
      </c>
      <c r="E3100" t="n">
        <v>40</v>
      </c>
      <c r="F3100" t="n">
        <v>0.71</v>
      </c>
      <c r="G3100" t="n">
        <v>39</v>
      </c>
      <c r="H3100" t="n">
        <v>2</v>
      </c>
      <c r="I3100" t="n">
        <v>6</v>
      </c>
      <c r="J3100" t="n">
        <v>1</v>
      </c>
      <c r="K3100" t="n">
        <v>0</v>
      </c>
      <c r="L3100" t="n">
        <v>67500</v>
      </c>
      <c r="M3100" t="n">
        <v>90000</v>
      </c>
      <c r="N3100" t="n">
        <v>91</v>
      </c>
      <c r="O3100" t="n">
        <v>0.91</v>
      </c>
      <c r="P3100" t="n">
        <v>0</v>
      </c>
      <c r="Q3100" t="n">
        <v>0.71</v>
      </c>
      <c r="R3100" t="n">
        <v>39</v>
      </c>
      <c r="S3100" t="n">
        <v>63900</v>
      </c>
      <c r="T3100" t="n">
        <v>233</v>
      </c>
      <c r="U3100" t="n">
        <v>235</v>
      </c>
      <c r="V3100" t="n">
        <v>30</v>
      </c>
      <c r="W3100" t="n">
        <v>22</v>
      </c>
      <c r="X3100" t="n">
        <v>56.33802816901409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11711</v>
      </c>
      <c r="AG3100" t="n">
        <v>63</v>
      </c>
      <c r="AH3100" t="inlineStr">
        <is>
          <t>PT. PARAMA GLOBAL INSPIRA - PPN (PDG)</t>
        </is>
      </c>
      <c r="AI3100" t="n">
        <v>103</v>
      </c>
      <c r="AJ3100" t="inlineStr">
        <is>
          <t>MAKE OVER</t>
        </is>
      </c>
      <c r="AK3100" t="n">
        <v>21</v>
      </c>
      <c r="AL3100" t="inlineStr">
        <is>
          <t>Miss Glam Damar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MAKE OVER</t>
        </is>
      </c>
      <c r="B3101" s="2">
        <f>"20100578334"</f>
        <v/>
      </c>
      <c r="C3101" t="inlineStr">
        <is>
          <t>MAKE OVER Perfect Cover Powder Foundation Mini 08 Honey 4,4gr</t>
        </is>
      </c>
      <c r="D3101" t="inlineStr">
        <is>
          <t>Miss Glam Damar</t>
        </is>
      </c>
      <c r="E3101" t="n">
        <v>8</v>
      </c>
      <c r="F3101" t="n">
        <v>0.1</v>
      </c>
      <c r="G3101" t="n">
        <v>6</v>
      </c>
      <c r="H3101" t="n">
        <v>2</v>
      </c>
      <c r="I3101" t="n">
        <v>6</v>
      </c>
      <c r="J3101" t="n">
        <v>1</v>
      </c>
      <c r="K3101" t="n">
        <v>0</v>
      </c>
      <c r="L3101" t="n">
        <v>67500</v>
      </c>
      <c r="M3101" t="n">
        <v>90000</v>
      </c>
      <c r="N3101" t="n">
        <v>91</v>
      </c>
      <c r="O3101" t="n">
        <v>0.91</v>
      </c>
      <c r="P3101" t="n">
        <v>0</v>
      </c>
      <c r="Q3101" t="n">
        <v>0.1</v>
      </c>
      <c r="R3101" t="n">
        <v>6</v>
      </c>
      <c r="S3101" t="n">
        <v>9000</v>
      </c>
      <c r="T3101" t="n">
        <v>36</v>
      </c>
      <c r="U3101" t="n">
        <v>37</v>
      </c>
      <c r="V3101" t="n">
        <v>30</v>
      </c>
      <c r="W3101" t="n">
        <v>3</v>
      </c>
      <c r="X3101" t="n">
        <v>80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11711</v>
      </c>
      <c r="AG3101" t="n">
        <v>63</v>
      </c>
      <c r="AH3101" t="inlineStr">
        <is>
          <t>PT. PARAMA GLOBAL INSPIRA - PPN (PDG)</t>
        </is>
      </c>
      <c r="AI3101" t="n">
        <v>103</v>
      </c>
      <c r="AJ3101" t="inlineStr">
        <is>
          <t>MAKE OVER</t>
        </is>
      </c>
      <c r="AK3101" t="n">
        <v>21</v>
      </c>
      <c r="AL3101" t="inlineStr">
        <is>
          <t>Miss Glam Damar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MAKE OVER</t>
        </is>
      </c>
      <c r="B3102" s="2">
        <f>"20100578415"</f>
        <v/>
      </c>
      <c r="C3102" t="inlineStr">
        <is>
          <t>MAKE OVER Perfect Cover Powder Foundation Mini 09 Shell 4,4gr</t>
        </is>
      </c>
      <c r="D3102" t="inlineStr">
        <is>
          <t>Miss Glam Damar</t>
        </is>
      </c>
      <c r="E3102" t="n">
        <v>17</v>
      </c>
      <c r="F3102" t="n">
        <v>0.2</v>
      </c>
      <c r="G3102" t="n">
        <v>12</v>
      </c>
      <c r="H3102" t="n">
        <v>2</v>
      </c>
      <c r="I3102" t="n">
        <v>6</v>
      </c>
      <c r="J3102" t="n">
        <v>1</v>
      </c>
      <c r="K3102" t="n">
        <v>0</v>
      </c>
      <c r="L3102" t="n">
        <v>67500</v>
      </c>
      <c r="M3102" t="n">
        <v>90000</v>
      </c>
      <c r="N3102" t="n">
        <v>91</v>
      </c>
      <c r="O3102" t="n">
        <v>0.91</v>
      </c>
      <c r="P3102" t="n">
        <v>0</v>
      </c>
      <c r="Q3102" t="n">
        <v>0.2</v>
      </c>
      <c r="R3102" t="n">
        <v>12</v>
      </c>
      <c r="S3102" t="n">
        <v>18000</v>
      </c>
      <c r="T3102" t="n">
        <v>72</v>
      </c>
      <c r="U3102" t="n">
        <v>73</v>
      </c>
      <c r="V3102" t="n">
        <v>30</v>
      </c>
      <c r="W3102" t="n">
        <v>6</v>
      </c>
      <c r="X3102" t="n">
        <v>85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11711</v>
      </c>
      <c r="AG3102" t="n">
        <v>63</v>
      </c>
      <c r="AH3102" t="inlineStr">
        <is>
          <t>PT. PARAMA GLOBAL INSPIRA - PPN (PDG)</t>
        </is>
      </c>
      <c r="AI3102" t="n">
        <v>103</v>
      </c>
      <c r="AJ3102" t="inlineStr">
        <is>
          <t>MAKE OVER</t>
        </is>
      </c>
      <c r="AK3102" t="n">
        <v>21</v>
      </c>
      <c r="AL3102" t="inlineStr">
        <is>
          <t>Miss Glam Damar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MAKE OVER</t>
        </is>
      </c>
      <c r="B3103" s="2">
        <f>"20100578511"</f>
        <v/>
      </c>
      <c r="C3103" t="inlineStr">
        <is>
          <t>MAKE OVER Perfect Cover Powder Foundation Mini 10 Cashew 4,4gr</t>
        </is>
      </c>
      <c r="D3103" t="inlineStr">
        <is>
          <t>Miss Glam Damar</t>
        </is>
      </c>
      <c r="E3103" t="n">
        <v>8</v>
      </c>
      <c r="F3103" t="n">
        <v>0.1</v>
      </c>
      <c r="G3103" t="n">
        <v>5</v>
      </c>
      <c r="H3103" t="n">
        <v>2</v>
      </c>
      <c r="I3103" t="n">
        <v>6</v>
      </c>
      <c r="J3103" t="n">
        <v>1</v>
      </c>
      <c r="K3103" t="n">
        <v>0</v>
      </c>
      <c r="L3103" t="n">
        <v>67500</v>
      </c>
      <c r="M3103" t="n">
        <v>90000</v>
      </c>
      <c r="N3103" t="n">
        <v>91</v>
      </c>
      <c r="O3103" t="n">
        <v>0.91</v>
      </c>
      <c r="P3103" t="n">
        <v>0</v>
      </c>
      <c r="Q3103" t="n">
        <v>0.1</v>
      </c>
      <c r="R3103" t="n">
        <v>5</v>
      </c>
      <c r="S3103" t="n">
        <v>9000</v>
      </c>
      <c r="T3103" t="n">
        <v>30</v>
      </c>
      <c r="U3103" t="n">
        <v>31</v>
      </c>
      <c r="V3103" t="n">
        <v>30</v>
      </c>
      <c r="W3103" t="n">
        <v>3</v>
      </c>
      <c r="X3103" t="n">
        <v>80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11711</v>
      </c>
      <c r="AG3103" t="n">
        <v>63</v>
      </c>
      <c r="AH3103" t="inlineStr">
        <is>
          <t>PT. PARAMA GLOBAL INSPIRA - PPN (PDG)</t>
        </is>
      </c>
      <c r="AI3103" t="n">
        <v>103</v>
      </c>
      <c r="AJ3103" t="inlineStr">
        <is>
          <t>MAKE OVER</t>
        </is>
      </c>
      <c r="AK3103" t="n">
        <v>21</v>
      </c>
      <c r="AL3103" t="inlineStr">
        <is>
          <t>Miss Glam Damar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MAKE OVER</t>
        </is>
      </c>
      <c r="B3104" s="2">
        <f>"20100578653"</f>
        <v/>
      </c>
      <c r="C3104" t="inlineStr">
        <is>
          <t>MAKE OVER Perfect Cover Powder Foundation Mini 11 Praline 4,4gr</t>
        </is>
      </c>
      <c r="D3104" t="inlineStr">
        <is>
          <t>Miss Glam Damar</t>
        </is>
      </c>
      <c r="E3104" t="n">
        <v>11</v>
      </c>
      <c r="F3104" t="n">
        <v>0.17</v>
      </c>
      <c r="G3104" t="n">
        <v>9</v>
      </c>
      <c r="H3104" t="n">
        <v>2</v>
      </c>
      <c r="I3104" t="n">
        <v>6</v>
      </c>
      <c r="J3104" t="n">
        <v>1</v>
      </c>
      <c r="K3104" t="n">
        <v>0</v>
      </c>
      <c r="L3104" t="n">
        <v>67500</v>
      </c>
      <c r="M3104" t="n">
        <v>90000</v>
      </c>
      <c r="N3104" t="n">
        <v>91</v>
      </c>
      <c r="O3104" t="n">
        <v>0.91</v>
      </c>
      <c r="P3104" t="n">
        <v>0</v>
      </c>
      <c r="Q3104" t="n">
        <v>0.17</v>
      </c>
      <c r="R3104" t="n">
        <v>9</v>
      </c>
      <c r="S3104" t="n">
        <v>15300</v>
      </c>
      <c r="T3104" t="n">
        <v>54</v>
      </c>
      <c r="U3104" t="n">
        <v>55</v>
      </c>
      <c r="V3104" t="n">
        <v>30</v>
      </c>
      <c r="W3104" t="n">
        <v>6</v>
      </c>
      <c r="X3104" t="n">
        <v>64.70588235294117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11711</v>
      </c>
      <c r="AG3104" t="n">
        <v>63</v>
      </c>
      <c r="AH3104" t="inlineStr">
        <is>
          <t>PT. PARAMA GLOBAL INSPIRA - PPN (PDG)</t>
        </is>
      </c>
      <c r="AI3104" t="n">
        <v>103</v>
      </c>
      <c r="AJ3104" t="inlineStr">
        <is>
          <t>MAKE OVER</t>
        </is>
      </c>
      <c r="AK3104" t="n">
        <v>21</v>
      </c>
      <c r="AL3104" t="inlineStr">
        <is>
          <t>Miss Glam Damar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MAKE OVER</t>
        </is>
      </c>
      <c r="B3105" s="2">
        <f>"20100578734"</f>
        <v/>
      </c>
      <c r="C3105" t="inlineStr">
        <is>
          <t>MAKE OVER Perfect Cover Powder Foundation Mini 12 Chai 4,4gr</t>
        </is>
      </c>
      <c r="D3105" t="inlineStr">
        <is>
          <t>Miss Glam Damar</t>
        </is>
      </c>
      <c r="E3105" t="n">
        <v>11</v>
      </c>
      <c r="F3105" t="n">
        <v>0.07000000000000001</v>
      </c>
      <c r="G3105" t="n">
        <v>4</v>
      </c>
      <c r="H3105" t="n">
        <v>2</v>
      </c>
      <c r="I3105" t="n">
        <v>6</v>
      </c>
      <c r="J3105" t="n">
        <v>1</v>
      </c>
      <c r="K3105" t="n">
        <v>0</v>
      </c>
      <c r="L3105" t="n">
        <v>67500</v>
      </c>
      <c r="M3105" t="n">
        <v>90000</v>
      </c>
      <c r="N3105" t="n">
        <v>91</v>
      </c>
      <c r="O3105" t="n">
        <v>0.91</v>
      </c>
      <c r="P3105" t="n">
        <v>0</v>
      </c>
      <c r="Q3105" t="n">
        <v>0.07000000000000001</v>
      </c>
      <c r="R3105" t="n">
        <v>4</v>
      </c>
      <c r="S3105" t="n">
        <v>6300.000000000001</v>
      </c>
      <c r="T3105" t="n">
        <v>24</v>
      </c>
      <c r="U3105" t="n">
        <v>25</v>
      </c>
      <c r="V3105" t="n">
        <v>30</v>
      </c>
      <c r="W3105" t="n">
        <v>3</v>
      </c>
      <c r="X3105" t="n">
        <v>157.1428571428571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11711</v>
      </c>
      <c r="AG3105" t="n">
        <v>63</v>
      </c>
      <c r="AH3105" t="inlineStr">
        <is>
          <t>PT. PARAMA GLOBAL INSPIRA - PPN (PDG)</t>
        </is>
      </c>
      <c r="AI3105" t="n">
        <v>103</v>
      </c>
      <c r="AJ3105" t="inlineStr">
        <is>
          <t>MAKE OVER</t>
        </is>
      </c>
      <c r="AK3105" t="n">
        <v>21</v>
      </c>
      <c r="AL3105" t="inlineStr">
        <is>
          <t>Miss Glam Damar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MAKE OVER</t>
        </is>
      </c>
      <c r="B3106" s="2">
        <f>"20100182628"</f>
        <v/>
      </c>
      <c r="C3106" t="inlineStr">
        <is>
          <t>MAKE OVER Perfect Cover Powder Foundation Refill 01 Lace 10gr</t>
        </is>
      </c>
      <c r="D3106" t="inlineStr">
        <is>
          <t>Miss Glam Damar</t>
        </is>
      </c>
      <c r="E3106" t="n">
        <v>4</v>
      </c>
      <c r="F3106" t="n">
        <v>0.0182</v>
      </c>
      <c r="G3106" t="n">
        <v>0.91</v>
      </c>
      <c r="H3106" t="n">
        <v>2</v>
      </c>
      <c r="I3106" t="n">
        <v>6</v>
      </c>
      <c r="J3106" t="n">
        <v>1</v>
      </c>
      <c r="K3106" t="n">
        <v>0</v>
      </c>
      <c r="L3106" t="n">
        <v>85500</v>
      </c>
      <c r="M3106" t="n">
        <v>104500</v>
      </c>
      <c r="N3106" t="n">
        <v>91</v>
      </c>
      <c r="O3106" t="n">
        <v>0.91</v>
      </c>
      <c r="P3106" t="n">
        <v>1</v>
      </c>
      <c r="Q3106" t="n">
        <v>0.03</v>
      </c>
      <c r="R3106" t="n">
        <v>1</v>
      </c>
      <c r="S3106" t="n">
        <v>1901.9</v>
      </c>
      <c r="T3106" t="n">
        <v>6</v>
      </c>
      <c r="U3106" t="n">
        <v>7</v>
      </c>
      <c r="V3106" t="n">
        <v>30</v>
      </c>
      <c r="W3106" t="n">
        <v>1</v>
      </c>
      <c r="X3106" t="n">
        <v>219.7802197802198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11711</v>
      </c>
      <c r="AG3106" t="n">
        <v>63</v>
      </c>
      <c r="AH3106" t="inlineStr">
        <is>
          <t>PT. PARAMA GLOBAL INSPIRA - PPN (PDG)</t>
        </is>
      </c>
      <c r="AI3106" t="n">
        <v>103</v>
      </c>
      <c r="AJ3106" t="inlineStr">
        <is>
          <t>MAKE OVER</t>
        </is>
      </c>
      <c r="AK3106" t="n">
        <v>21</v>
      </c>
      <c r="AL3106" t="inlineStr">
        <is>
          <t>Miss Glam Damar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MAKE OVER</t>
        </is>
      </c>
      <c r="B3107" s="2">
        <f>"20100182729"</f>
        <v/>
      </c>
      <c r="C3107" t="inlineStr">
        <is>
          <t>MAKE OVER Perfect Cover Powder Foundation Refill 02 Coral 10gr</t>
        </is>
      </c>
      <c r="D3107" t="inlineStr">
        <is>
          <t>Miss Glam Damar</t>
        </is>
      </c>
      <c r="E3107" t="n">
        <v>1</v>
      </c>
      <c r="F3107" t="n">
        <v>0.06370000000000001</v>
      </c>
      <c r="G3107" t="n">
        <v>0.91</v>
      </c>
      <c r="H3107" t="n">
        <v>2</v>
      </c>
      <c r="I3107" t="n">
        <v>6</v>
      </c>
      <c r="J3107" t="n">
        <v>1</v>
      </c>
      <c r="K3107" t="n">
        <v>0</v>
      </c>
      <c r="L3107" t="n">
        <v>85500</v>
      </c>
      <c r="M3107" t="n">
        <v>104500</v>
      </c>
      <c r="N3107" t="n">
        <v>91</v>
      </c>
      <c r="O3107" t="n">
        <v>0.91</v>
      </c>
      <c r="P3107" t="n">
        <v>1</v>
      </c>
      <c r="Q3107" t="n">
        <v>0.03</v>
      </c>
      <c r="R3107" t="n">
        <v>1</v>
      </c>
      <c r="S3107" t="n">
        <v>6656.650000000001</v>
      </c>
      <c r="T3107" t="n">
        <v>6</v>
      </c>
      <c r="U3107" t="n">
        <v>7</v>
      </c>
      <c r="V3107" t="n">
        <v>30</v>
      </c>
      <c r="W3107" t="n">
        <v>2</v>
      </c>
      <c r="X3107" t="n">
        <v>15.69858712715855</v>
      </c>
      <c r="Y3107" t="n">
        <v>1</v>
      </c>
      <c r="Z3107" t="n">
        <v>1</v>
      </c>
      <c r="AA3107" t="n">
        <v>0</v>
      </c>
      <c r="AB3107" t="n">
        <v>1</v>
      </c>
      <c r="AC3107" t="n">
        <v>1</v>
      </c>
      <c r="AD3107" t="n">
        <v>0</v>
      </c>
      <c r="AE3107" t="n">
        <v>85500</v>
      </c>
      <c r="AF3107" t="n">
        <v>11711</v>
      </c>
      <c r="AG3107" t="n">
        <v>63</v>
      </c>
      <c r="AH3107" t="inlineStr">
        <is>
          <t>PT. PARAMA GLOBAL INSPIRA - PPN (PDG)</t>
        </is>
      </c>
      <c r="AI3107" t="n">
        <v>103</v>
      </c>
      <c r="AJ3107" t="inlineStr">
        <is>
          <t>MAKE OVER</t>
        </is>
      </c>
      <c r="AK3107" t="n">
        <v>21</v>
      </c>
      <c r="AL3107" t="inlineStr">
        <is>
          <t>Miss Glam Damar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MAKE OVER</t>
        </is>
      </c>
      <c r="B3108" s="2">
        <f>"20100182805"</f>
        <v/>
      </c>
      <c r="C3108" t="inlineStr">
        <is>
          <t>MAKE OVER Perfect Cover Powder Foundation Refill 03 Maple 10gr</t>
        </is>
      </c>
      <c r="D3108" t="inlineStr">
        <is>
          <t>Miss Glam Damar</t>
        </is>
      </c>
      <c r="E3108" t="n">
        <v>1</v>
      </c>
      <c r="F3108" t="n">
        <v>0.1729</v>
      </c>
      <c r="G3108" t="n">
        <v>1.82</v>
      </c>
      <c r="H3108" t="n">
        <v>2</v>
      </c>
      <c r="I3108" t="n">
        <v>6</v>
      </c>
      <c r="J3108" t="n">
        <v>1</v>
      </c>
      <c r="K3108" t="n">
        <v>0</v>
      </c>
      <c r="L3108" t="n">
        <v>85500</v>
      </c>
      <c r="M3108" t="n">
        <v>104500</v>
      </c>
      <c r="N3108" t="n">
        <v>91</v>
      </c>
      <c r="O3108" t="n">
        <v>0.91</v>
      </c>
      <c r="P3108" t="n">
        <v>1</v>
      </c>
      <c r="Q3108" t="n">
        <v>0.03</v>
      </c>
      <c r="R3108" t="n">
        <v>1</v>
      </c>
      <c r="S3108" t="n">
        <v>18068.05</v>
      </c>
      <c r="T3108" t="n">
        <v>11</v>
      </c>
      <c r="U3108" t="n">
        <v>12</v>
      </c>
      <c r="V3108" t="n">
        <v>30</v>
      </c>
      <c r="W3108" t="n">
        <v>6</v>
      </c>
      <c r="X3108" t="n">
        <v>5.78368999421631</v>
      </c>
      <c r="Y3108" t="n">
        <v>1</v>
      </c>
      <c r="Z3108" t="n">
        <v>5</v>
      </c>
      <c r="AA3108" t="n">
        <v>1</v>
      </c>
      <c r="AB3108" t="n">
        <v>4</v>
      </c>
      <c r="AC3108" t="n">
        <v>4</v>
      </c>
      <c r="AD3108" t="n">
        <v>85500</v>
      </c>
      <c r="AE3108" t="n">
        <v>342000</v>
      </c>
      <c r="AF3108" t="n">
        <v>11711</v>
      </c>
      <c r="AG3108" t="n">
        <v>63</v>
      </c>
      <c r="AH3108" t="inlineStr">
        <is>
          <t>PT. PARAMA GLOBAL INSPIRA - PPN (PDG)</t>
        </is>
      </c>
      <c r="AI3108" t="n">
        <v>103</v>
      </c>
      <c r="AJ3108" t="inlineStr">
        <is>
          <t>MAKE OVER</t>
        </is>
      </c>
      <c r="AK3108" t="n">
        <v>21</v>
      </c>
      <c r="AL3108" t="inlineStr">
        <is>
          <t>Miss Glam Damar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MAKE OVER</t>
        </is>
      </c>
      <c r="B3109" s="2">
        <f>"20100182956"</f>
        <v/>
      </c>
      <c r="C3109" t="inlineStr">
        <is>
          <t>MAKE OVER Perfect Cover Powder Foundation Refill 04 Desert 10gr</t>
        </is>
      </c>
      <c r="D3109" t="inlineStr">
        <is>
          <t>Miss Glam Damar</t>
        </is>
      </c>
      <c r="E3109" t="n">
        <v>8</v>
      </c>
      <c r="F3109" t="n">
        <v>0.182</v>
      </c>
      <c r="G3109" t="n">
        <v>1.82</v>
      </c>
      <c r="H3109" t="n">
        <v>2</v>
      </c>
      <c r="I3109" t="n">
        <v>6</v>
      </c>
      <c r="J3109" t="n">
        <v>1</v>
      </c>
      <c r="K3109" t="n">
        <v>0</v>
      </c>
      <c r="L3109" t="n">
        <v>85499</v>
      </c>
      <c r="M3109" t="n">
        <v>104500</v>
      </c>
      <c r="N3109" t="n">
        <v>91</v>
      </c>
      <c r="O3109" t="n">
        <v>0.91</v>
      </c>
      <c r="P3109" t="n">
        <v>1</v>
      </c>
      <c r="Q3109" t="n">
        <v>0.07000000000000001</v>
      </c>
      <c r="R3109" t="n">
        <v>1</v>
      </c>
      <c r="S3109" t="n">
        <v>19019</v>
      </c>
      <c r="T3109" t="n">
        <v>11</v>
      </c>
      <c r="U3109" t="n">
        <v>12</v>
      </c>
      <c r="V3109" t="n">
        <v>30</v>
      </c>
      <c r="W3109" t="n">
        <v>6</v>
      </c>
      <c r="X3109" t="n">
        <v>43.95604395604395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11711</v>
      </c>
      <c r="AG3109" t="n">
        <v>63</v>
      </c>
      <c r="AH3109" t="inlineStr">
        <is>
          <t>PT. PARAMA GLOBAL INSPIRA - PPN (PDG)</t>
        </is>
      </c>
      <c r="AI3109" t="n">
        <v>103</v>
      </c>
      <c r="AJ3109" t="inlineStr">
        <is>
          <t>MAKE OVER</t>
        </is>
      </c>
      <c r="AK3109" t="n">
        <v>21</v>
      </c>
      <c r="AL3109" t="inlineStr">
        <is>
          <t>Miss Glam Damar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MAKE OVER</t>
        </is>
      </c>
      <c r="B3110" s="2">
        <f>"20100183119"</f>
        <v/>
      </c>
      <c r="C3110" t="inlineStr">
        <is>
          <t>MAKE OVER Perfect Cover Powder Foundation Refill 08 Honey 10gr</t>
        </is>
      </c>
      <c r="D3110" t="inlineStr">
        <is>
          <t>Miss Glam Damar</t>
        </is>
      </c>
      <c r="E3110" t="n">
        <v>5</v>
      </c>
      <c r="F3110" t="n">
        <v>0.0728</v>
      </c>
      <c r="G3110" t="n">
        <v>0.91</v>
      </c>
      <c r="H3110" t="n">
        <v>2</v>
      </c>
      <c r="I3110" t="n">
        <v>6</v>
      </c>
      <c r="J3110" t="n">
        <v>1</v>
      </c>
      <c r="K3110" t="n">
        <v>0</v>
      </c>
      <c r="L3110" t="n">
        <v>85499</v>
      </c>
      <c r="M3110" t="n">
        <v>104500</v>
      </c>
      <c r="N3110" t="n">
        <v>91</v>
      </c>
      <c r="O3110" t="n">
        <v>0.91</v>
      </c>
      <c r="P3110" t="n">
        <v>1</v>
      </c>
      <c r="Q3110" t="n">
        <v>0.07000000000000001</v>
      </c>
      <c r="R3110" t="n">
        <v>1</v>
      </c>
      <c r="S3110" t="n">
        <v>7607.6</v>
      </c>
      <c r="T3110" t="n">
        <v>6</v>
      </c>
      <c r="U3110" t="n">
        <v>7</v>
      </c>
      <c r="V3110" t="n">
        <v>30</v>
      </c>
      <c r="W3110" t="n">
        <v>3</v>
      </c>
      <c r="X3110" t="n">
        <v>68.68131868131867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11711</v>
      </c>
      <c r="AG3110" t="n">
        <v>63</v>
      </c>
      <c r="AH3110" t="inlineStr">
        <is>
          <t>PT. PARAMA GLOBAL INSPIRA - PPN (PDG)</t>
        </is>
      </c>
      <c r="AI3110" t="n">
        <v>103</v>
      </c>
      <c r="AJ3110" t="inlineStr">
        <is>
          <t>MAKE OVER</t>
        </is>
      </c>
      <c r="AK3110" t="n">
        <v>21</v>
      </c>
      <c r="AL3110" t="inlineStr">
        <is>
          <t>Miss Glam Damar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MAKE OVER</t>
        </is>
      </c>
      <c r="B3111" s="2">
        <f>"8993137717687"</f>
        <v/>
      </c>
      <c r="C3111" t="inlineStr">
        <is>
          <t>MAKE OVER Powerskin Ultra Deep Cleansing Oil 190ml</t>
        </is>
      </c>
      <c r="D3111" t="inlineStr">
        <is>
          <t>Miss Glam Damar</t>
        </is>
      </c>
      <c r="E3111" t="n">
        <v>2</v>
      </c>
      <c r="F3111" t="n">
        <v>0.0273</v>
      </c>
      <c r="G3111" t="n">
        <v>0.91</v>
      </c>
      <c r="H3111" t="n">
        <v>2</v>
      </c>
      <c r="I3111" t="n">
        <v>6</v>
      </c>
      <c r="J3111" t="n">
        <v>3</v>
      </c>
      <c r="K3111" t="n">
        <v>0</v>
      </c>
      <c r="L3111" t="n">
        <v>96697</v>
      </c>
      <c r="M3111" t="n">
        <v>123000</v>
      </c>
      <c r="N3111" t="n">
        <v>91</v>
      </c>
      <c r="O3111" t="n">
        <v>0.91</v>
      </c>
      <c r="P3111" t="n">
        <v>1</v>
      </c>
      <c r="Q3111" t="n">
        <v>0.07000000000000001</v>
      </c>
      <c r="R3111" t="n">
        <v>1</v>
      </c>
      <c r="S3111" t="n">
        <v>3357.9</v>
      </c>
      <c r="T3111" t="n">
        <v>6</v>
      </c>
      <c r="U3111" t="n">
        <v>7</v>
      </c>
      <c r="V3111" t="n">
        <v>30</v>
      </c>
      <c r="W3111" t="n">
        <v>1</v>
      </c>
      <c r="X3111" t="n">
        <v>73.26007326007326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11711</v>
      </c>
      <c r="AG3111" t="n">
        <v>63</v>
      </c>
      <c r="AH3111" t="inlineStr">
        <is>
          <t>PT. PARAMA GLOBAL INSPIRA - PPN (PDG)</t>
        </is>
      </c>
      <c r="AI3111" t="n">
        <v>103</v>
      </c>
      <c r="AJ3111" t="inlineStr">
        <is>
          <t>MAKE OVER</t>
        </is>
      </c>
      <c r="AK3111" t="n">
        <v>21</v>
      </c>
      <c r="AL3111" t="inlineStr">
        <is>
          <t>Miss Glam Damar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MAKE OVER</t>
        </is>
      </c>
      <c r="B3112" s="2">
        <f>"8993137717304"</f>
        <v/>
      </c>
      <c r="C3112" t="inlineStr">
        <is>
          <t>MAKE OVER Powerskin Urban Defense Suncreen SPF 50 PA++++</t>
        </is>
      </c>
      <c r="D3112" t="inlineStr">
        <is>
          <t>Miss Glam Damar</t>
        </is>
      </c>
      <c r="E3112" t="n">
        <v>5</v>
      </c>
      <c r="F3112" t="n">
        <v>0.0728</v>
      </c>
      <c r="G3112" t="n">
        <v>0.91</v>
      </c>
      <c r="H3112" t="n">
        <v>2</v>
      </c>
      <c r="I3112" t="n">
        <v>6</v>
      </c>
      <c r="J3112" t="n">
        <v>3</v>
      </c>
      <c r="K3112" t="n">
        <v>0</v>
      </c>
      <c r="L3112" t="n">
        <v>84578</v>
      </c>
      <c r="M3112" t="n">
        <v>105000</v>
      </c>
      <c r="N3112" t="n">
        <v>91</v>
      </c>
      <c r="O3112" t="n">
        <v>0.91</v>
      </c>
      <c r="P3112" t="n">
        <v>1</v>
      </c>
      <c r="Q3112" t="n">
        <v>0.03</v>
      </c>
      <c r="R3112" t="n">
        <v>1</v>
      </c>
      <c r="S3112" t="n">
        <v>7644</v>
      </c>
      <c r="T3112" t="n">
        <v>6</v>
      </c>
      <c r="U3112" t="n">
        <v>7</v>
      </c>
      <c r="V3112" t="n">
        <v>30</v>
      </c>
      <c r="W3112" t="n">
        <v>3</v>
      </c>
      <c r="X3112" t="n">
        <v>68.68131868131867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11711</v>
      </c>
      <c r="AG3112" t="n">
        <v>63</v>
      </c>
      <c r="AH3112" t="inlineStr">
        <is>
          <t>PT. PARAMA GLOBAL INSPIRA - PPN (PDG)</t>
        </is>
      </c>
      <c r="AI3112" t="n">
        <v>103</v>
      </c>
      <c r="AJ3112" t="inlineStr">
        <is>
          <t>MAKE OVER</t>
        </is>
      </c>
      <c r="AK3112" t="n">
        <v>21</v>
      </c>
      <c r="AL3112" t="inlineStr">
        <is>
          <t>Miss Glam Damar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MAKE OVER</t>
        </is>
      </c>
      <c r="B3113" s="2">
        <f>"8993137721493"</f>
        <v/>
      </c>
      <c r="C3113" t="inlineStr">
        <is>
          <t>MAKE OVER Powerstay 24H Matte Powder Foundation W22 Warm Ivory 10gr New</t>
        </is>
      </c>
      <c r="D3113" t="inlineStr">
        <is>
          <t>Miss Glam Damar</t>
        </is>
      </c>
      <c r="E3113" t="n">
        <v>6</v>
      </c>
      <c r="F3113" t="n">
        <v>0.2457</v>
      </c>
      <c r="G3113" t="n">
        <v>1.82</v>
      </c>
      <c r="H3113" t="n">
        <v>2</v>
      </c>
      <c r="I3113" t="n">
        <v>6</v>
      </c>
      <c r="J3113" t="n">
        <v>3</v>
      </c>
      <c r="K3113" t="n">
        <v>0</v>
      </c>
      <c r="L3113" t="n">
        <v>150000</v>
      </c>
      <c r="M3113" t="n">
        <v>195000</v>
      </c>
      <c r="N3113" t="n">
        <v>91</v>
      </c>
      <c r="O3113" t="n">
        <v>0.91</v>
      </c>
      <c r="P3113" t="n">
        <v>1</v>
      </c>
      <c r="Q3113" t="n">
        <v>0.17</v>
      </c>
      <c r="R3113" t="n">
        <v>1</v>
      </c>
      <c r="S3113" t="n">
        <v>47911.50000000001</v>
      </c>
      <c r="T3113" t="n">
        <v>11</v>
      </c>
      <c r="U3113" t="n">
        <v>12</v>
      </c>
      <c r="V3113" t="n">
        <v>30</v>
      </c>
      <c r="W3113" t="n">
        <v>8</v>
      </c>
      <c r="X3113" t="n">
        <v>24.42002442002442</v>
      </c>
      <c r="Y3113" t="n">
        <v>1</v>
      </c>
      <c r="Z3113" t="n">
        <v>2</v>
      </c>
      <c r="AA3113" t="n">
        <v>0</v>
      </c>
      <c r="AB3113" t="n">
        <v>2</v>
      </c>
      <c r="AC3113" t="n">
        <v>3</v>
      </c>
      <c r="AD3113" t="n">
        <v>0</v>
      </c>
      <c r="AE3113" t="n">
        <v>450000</v>
      </c>
      <c r="AF3113" t="n">
        <v>11711</v>
      </c>
      <c r="AG3113" t="n">
        <v>63</v>
      </c>
      <c r="AH3113" t="inlineStr">
        <is>
          <t>PT. PARAMA GLOBAL INSPIRA - PPN (PDG)</t>
        </is>
      </c>
      <c r="AI3113" t="n">
        <v>103</v>
      </c>
      <c r="AJ3113" t="inlineStr">
        <is>
          <t>MAKE OVER</t>
        </is>
      </c>
      <c r="AK3113" t="n">
        <v>21</v>
      </c>
      <c r="AL3113" t="inlineStr">
        <is>
          <t>Miss Glam Damar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MAKE OVER</t>
        </is>
      </c>
      <c r="B3114" s="2">
        <f>"8993137721219"</f>
        <v/>
      </c>
      <c r="C3114" t="inlineStr">
        <is>
          <t>MAKE OVER Powerstay 24H Weightless Liquid Foundation W12 Warm Marble 40ml</t>
        </is>
      </c>
      <c r="D3114" t="inlineStr">
        <is>
          <t>Miss Glam Damar</t>
        </is>
      </c>
      <c r="E3114" t="n">
        <v>4</v>
      </c>
      <c r="F3114" t="n">
        <v>0.0273</v>
      </c>
      <c r="G3114" t="n">
        <v>0.91</v>
      </c>
      <c r="H3114" t="n">
        <v>2</v>
      </c>
      <c r="I3114" t="n">
        <v>6</v>
      </c>
      <c r="J3114" t="n">
        <v>3</v>
      </c>
      <c r="K3114" t="n">
        <v>0</v>
      </c>
      <c r="L3114" t="n">
        <v>136749</v>
      </c>
      <c r="M3114" t="n">
        <v>174000</v>
      </c>
      <c r="N3114" t="n">
        <v>91</v>
      </c>
      <c r="O3114" t="n">
        <v>0.91</v>
      </c>
      <c r="P3114" t="n">
        <v>1</v>
      </c>
      <c r="Q3114" t="n">
        <v>0.08</v>
      </c>
      <c r="R3114" t="n">
        <v>1</v>
      </c>
      <c r="S3114" t="n">
        <v>4750.2</v>
      </c>
      <c r="T3114" t="n">
        <v>6</v>
      </c>
      <c r="U3114" t="n">
        <v>7</v>
      </c>
      <c r="V3114" t="n">
        <v>30</v>
      </c>
      <c r="W3114" t="n">
        <v>1</v>
      </c>
      <c r="X3114" t="n">
        <v>146.5201465201465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11711</v>
      </c>
      <c r="AG3114" t="n">
        <v>63</v>
      </c>
      <c r="AH3114" t="inlineStr">
        <is>
          <t>PT. PARAMA GLOBAL INSPIRA - PPN (PDG)</t>
        </is>
      </c>
      <c r="AI3114" t="n">
        <v>103</v>
      </c>
      <c r="AJ3114" t="inlineStr">
        <is>
          <t>MAKE OVER</t>
        </is>
      </c>
      <c r="AK3114" t="n">
        <v>21</v>
      </c>
      <c r="AL3114" t="inlineStr">
        <is>
          <t>Miss Glam Damar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MAKE OVER</t>
        </is>
      </c>
      <c r="B3115" s="2">
        <f>"8993137721240"</f>
        <v/>
      </c>
      <c r="C3115" t="inlineStr">
        <is>
          <t>MAKE OVER Powerstay 24H Weightless Liquid Foundation W21 Coral Ivory 40ml</t>
        </is>
      </c>
      <c r="D3115" t="inlineStr">
        <is>
          <t>Miss Glam Damar</t>
        </is>
      </c>
      <c r="E3115" t="n">
        <v>6</v>
      </c>
      <c r="F3115" t="n">
        <v>0.14</v>
      </c>
      <c r="G3115" t="n">
        <v>2</v>
      </c>
      <c r="H3115" t="n">
        <v>2</v>
      </c>
      <c r="I3115" t="n">
        <v>6</v>
      </c>
      <c r="J3115" t="n">
        <v>3</v>
      </c>
      <c r="K3115" t="n">
        <v>0</v>
      </c>
      <c r="L3115" t="n">
        <v>137249</v>
      </c>
      <c r="M3115" t="n">
        <v>174000</v>
      </c>
      <c r="N3115" t="n">
        <v>91</v>
      </c>
      <c r="O3115" t="n">
        <v>0.91</v>
      </c>
      <c r="P3115" t="n">
        <v>0</v>
      </c>
      <c r="Q3115" t="n">
        <v>0.14</v>
      </c>
      <c r="R3115" t="n">
        <v>2</v>
      </c>
      <c r="S3115" t="n">
        <v>24360</v>
      </c>
      <c r="T3115" t="n">
        <v>12</v>
      </c>
      <c r="U3115" t="n">
        <v>13</v>
      </c>
      <c r="V3115" t="n">
        <v>30</v>
      </c>
      <c r="W3115" t="n">
        <v>5</v>
      </c>
      <c r="X3115" t="n">
        <v>42.85714285714285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11711</v>
      </c>
      <c r="AG3115" t="n">
        <v>63</v>
      </c>
      <c r="AH3115" t="inlineStr">
        <is>
          <t>PT. PARAMA GLOBAL INSPIRA - PPN (PDG)</t>
        </is>
      </c>
      <c r="AI3115" t="n">
        <v>103</v>
      </c>
      <c r="AJ3115" t="inlineStr">
        <is>
          <t>MAKE OVER</t>
        </is>
      </c>
      <c r="AK3115" t="n">
        <v>21</v>
      </c>
      <c r="AL3115" t="inlineStr">
        <is>
          <t>Miss Glam Damar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MAKE OVER</t>
        </is>
      </c>
      <c r="B3116" s="2">
        <f>"8993137721288"</f>
        <v/>
      </c>
      <c r="C3116" t="inlineStr">
        <is>
          <t>MAKE OVER Powerstay 24H Weightless Liquid Foundation W32 Warm Beige 40ml</t>
        </is>
      </c>
      <c r="D3116" t="inlineStr">
        <is>
          <t>Miss Glam Damar</t>
        </is>
      </c>
      <c r="E3116" t="n">
        <v>4</v>
      </c>
      <c r="F3116" t="n">
        <v>0.1365</v>
      </c>
      <c r="G3116" t="n">
        <v>0.91</v>
      </c>
      <c r="H3116" t="n">
        <v>2</v>
      </c>
      <c r="I3116" t="n">
        <v>6</v>
      </c>
      <c r="J3116" t="n">
        <v>3</v>
      </c>
      <c r="K3116" t="n">
        <v>0</v>
      </c>
      <c r="L3116" t="n">
        <v>137249</v>
      </c>
      <c r="M3116" t="n">
        <v>174000</v>
      </c>
      <c r="N3116" t="n">
        <v>91</v>
      </c>
      <c r="O3116" t="n">
        <v>0.91</v>
      </c>
      <c r="P3116" t="n">
        <v>1</v>
      </c>
      <c r="Q3116" t="n">
        <v>0.08</v>
      </c>
      <c r="R3116" t="n">
        <v>1</v>
      </c>
      <c r="S3116" t="n">
        <v>23751</v>
      </c>
      <c r="T3116" t="n">
        <v>6</v>
      </c>
      <c r="U3116" t="n">
        <v>7</v>
      </c>
      <c r="V3116" t="n">
        <v>30</v>
      </c>
      <c r="W3116" t="n">
        <v>5</v>
      </c>
      <c r="X3116" t="n">
        <v>29.3040293040293</v>
      </c>
      <c r="Y3116" t="n">
        <v>1</v>
      </c>
      <c r="Z3116" t="n">
        <v>1</v>
      </c>
      <c r="AA3116" t="n">
        <v>0</v>
      </c>
      <c r="AB3116" t="n">
        <v>1</v>
      </c>
      <c r="AC3116" t="n">
        <v>3</v>
      </c>
      <c r="AD3116" t="n">
        <v>0</v>
      </c>
      <c r="AE3116" t="n">
        <v>411747</v>
      </c>
      <c r="AF3116" t="n">
        <v>11711</v>
      </c>
      <c r="AG3116" t="n">
        <v>63</v>
      </c>
      <c r="AH3116" t="inlineStr">
        <is>
          <t>PT. PARAMA GLOBAL INSPIRA - PPN (PDG)</t>
        </is>
      </c>
      <c r="AI3116" t="n">
        <v>103</v>
      </c>
      <c r="AJ3116" t="inlineStr">
        <is>
          <t>MAKE OVER</t>
        </is>
      </c>
      <c r="AK3116" t="n">
        <v>21</v>
      </c>
      <c r="AL3116" t="inlineStr">
        <is>
          <t>Miss Glam Damar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MAKE OVER</t>
        </is>
      </c>
      <c r="B3117" s="2">
        <f>"8993137717984"</f>
        <v/>
      </c>
      <c r="C3117" t="inlineStr">
        <is>
          <t>MAKE OVER Powerstay Eye Palette Hall Of Stars,12×1,5gr</t>
        </is>
      </c>
      <c r="D3117" t="inlineStr">
        <is>
          <t>Miss Glam Damar</t>
        </is>
      </c>
      <c r="E3117" t="n">
        <v>5</v>
      </c>
      <c r="F3117" t="n">
        <v>0.0273</v>
      </c>
      <c r="G3117" t="n">
        <v>0.91</v>
      </c>
      <c r="H3117" t="n">
        <v>2</v>
      </c>
      <c r="I3117" t="n">
        <v>6</v>
      </c>
      <c r="J3117" t="n">
        <v>3</v>
      </c>
      <c r="K3117" t="n">
        <v>0</v>
      </c>
      <c r="L3117" t="n">
        <v>227999</v>
      </c>
      <c r="M3117" t="n">
        <v>290000</v>
      </c>
      <c r="N3117" t="n">
        <v>91</v>
      </c>
      <c r="O3117" t="n">
        <v>0.91</v>
      </c>
      <c r="P3117" t="n">
        <v>1</v>
      </c>
      <c r="Q3117" t="n">
        <v>0.12</v>
      </c>
      <c r="R3117" t="n">
        <v>1</v>
      </c>
      <c r="S3117" t="n">
        <v>7917</v>
      </c>
      <c r="T3117" t="n">
        <v>6</v>
      </c>
      <c r="U3117" t="n">
        <v>7</v>
      </c>
      <c r="V3117" t="n">
        <v>30</v>
      </c>
      <c r="W3117" t="n">
        <v>1</v>
      </c>
      <c r="X3117" t="n">
        <v>183.1501831501832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11711</v>
      </c>
      <c r="AG3117" t="n">
        <v>63</v>
      </c>
      <c r="AH3117" t="inlineStr">
        <is>
          <t>PT. PARAMA GLOBAL INSPIRA - PPN (PDG)</t>
        </is>
      </c>
      <c r="AI3117" t="n">
        <v>103</v>
      </c>
      <c r="AJ3117" t="inlineStr">
        <is>
          <t>MAKE OVER</t>
        </is>
      </c>
      <c r="AK3117" t="n">
        <v>21</v>
      </c>
      <c r="AL3117" t="inlineStr">
        <is>
          <t>Miss Glam Damar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MAKE OVER</t>
        </is>
      </c>
      <c r="B3118" s="2">
        <f>"8993137001236"</f>
        <v/>
      </c>
      <c r="C3118" t="inlineStr">
        <is>
          <t>MAKE OVER Powerstay Glazed D01 Lover 3gr</t>
        </is>
      </c>
      <c r="D3118" t="inlineStr">
        <is>
          <t>Miss Glam Damar</t>
        </is>
      </c>
      <c r="E3118" t="n">
        <v>12</v>
      </c>
      <c r="F3118" t="n">
        <v>0.2275</v>
      </c>
      <c r="G3118" t="n">
        <v>1.82</v>
      </c>
      <c r="H3118" t="n">
        <v>2</v>
      </c>
      <c r="I3118" t="n">
        <v>6</v>
      </c>
      <c r="J3118" t="n">
        <v>3</v>
      </c>
      <c r="K3118" t="n">
        <v>0</v>
      </c>
      <c r="L3118" t="n">
        <v>102450</v>
      </c>
      <c r="M3118" t="n">
        <v>132000</v>
      </c>
      <c r="N3118" t="n">
        <v>91</v>
      </c>
      <c r="O3118" t="n">
        <v>0.91</v>
      </c>
      <c r="P3118" t="n">
        <v>1</v>
      </c>
      <c r="Q3118" t="n">
        <v>0.24</v>
      </c>
      <c r="R3118" t="n">
        <v>2</v>
      </c>
      <c r="S3118" t="n">
        <v>30030</v>
      </c>
      <c r="T3118" t="n">
        <v>11</v>
      </c>
      <c r="U3118" t="n">
        <v>12</v>
      </c>
      <c r="V3118" t="n">
        <v>30</v>
      </c>
      <c r="W3118" t="n">
        <v>7</v>
      </c>
      <c r="X3118" t="n">
        <v>52.74725274725274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11711</v>
      </c>
      <c r="AG3118" t="n">
        <v>63</v>
      </c>
      <c r="AH3118" t="inlineStr">
        <is>
          <t>PT. PARAMA GLOBAL INSPIRA - PPN (PDG)</t>
        </is>
      </c>
      <c r="AI3118" t="n">
        <v>103</v>
      </c>
      <c r="AJ3118" t="inlineStr">
        <is>
          <t>MAKE OVER</t>
        </is>
      </c>
      <c r="AK3118" t="n">
        <v>21</v>
      </c>
      <c r="AL3118" t="inlineStr">
        <is>
          <t>Miss Glam Damar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MAKE OVER</t>
        </is>
      </c>
      <c r="B3119" s="2">
        <f>"8993137001243"</f>
        <v/>
      </c>
      <c r="C3119" t="inlineStr">
        <is>
          <t>MAKE OVER Powerstay Glazed D02 Vixen 3gr</t>
        </is>
      </c>
      <c r="D3119" t="inlineStr">
        <is>
          <t>Miss Glam Damar</t>
        </is>
      </c>
      <c r="E3119" t="n">
        <v>16</v>
      </c>
      <c r="F3119" t="n">
        <v>0.4004</v>
      </c>
      <c r="G3119" t="n">
        <v>2.73</v>
      </c>
      <c r="H3119" t="n">
        <v>2</v>
      </c>
      <c r="I3119" t="n">
        <v>6</v>
      </c>
      <c r="J3119" t="n">
        <v>3</v>
      </c>
      <c r="K3119" t="n">
        <v>0</v>
      </c>
      <c r="L3119" t="n">
        <v>102736</v>
      </c>
      <c r="M3119" t="n">
        <v>132000</v>
      </c>
      <c r="N3119" t="n">
        <v>91</v>
      </c>
      <c r="O3119" t="n">
        <v>0.91</v>
      </c>
      <c r="P3119" t="n">
        <v>1</v>
      </c>
      <c r="Q3119" t="n">
        <v>0.61</v>
      </c>
      <c r="R3119" t="n">
        <v>4</v>
      </c>
      <c r="S3119" t="n">
        <v>52852.8</v>
      </c>
      <c r="T3119" t="n">
        <v>16</v>
      </c>
      <c r="U3119" t="n">
        <v>17</v>
      </c>
      <c r="V3119" t="n">
        <v>30</v>
      </c>
      <c r="W3119" t="n">
        <v>13</v>
      </c>
      <c r="X3119" t="n">
        <v>39.96003996003996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11711</v>
      </c>
      <c r="AG3119" t="n">
        <v>63</v>
      </c>
      <c r="AH3119" t="inlineStr">
        <is>
          <t>PT. PARAMA GLOBAL INSPIRA - PPN (PDG)</t>
        </is>
      </c>
      <c r="AI3119" t="n">
        <v>103</v>
      </c>
      <c r="AJ3119" t="inlineStr">
        <is>
          <t>MAKE OVER</t>
        </is>
      </c>
      <c r="AK3119" t="n">
        <v>21</v>
      </c>
      <c r="AL3119" t="inlineStr">
        <is>
          <t>Miss Glam Damar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MAKE OVER</t>
        </is>
      </c>
      <c r="B3120" s="2">
        <f>"8993137001250"</f>
        <v/>
      </c>
      <c r="C3120" t="inlineStr">
        <is>
          <t>MAKE OVER Powerstay Glazed D03 Never 3gr</t>
        </is>
      </c>
      <c r="D3120" t="inlineStr">
        <is>
          <t>Miss Glam Damar</t>
        </is>
      </c>
      <c r="E3120" t="n">
        <v>8</v>
      </c>
      <c r="F3120" t="n">
        <v>0.06370000000000001</v>
      </c>
      <c r="G3120" t="n">
        <v>0.91</v>
      </c>
      <c r="H3120" t="n">
        <v>2</v>
      </c>
      <c r="I3120" t="n">
        <v>6</v>
      </c>
      <c r="J3120" t="n">
        <v>3</v>
      </c>
      <c r="K3120" t="n">
        <v>0</v>
      </c>
      <c r="L3120" t="n">
        <v>102690</v>
      </c>
      <c r="M3120" t="n">
        <v>132000</v>
      </c>
      <c r="N3120" t="n">
        <v>91</v>
      </c>
      <c r="O3120" t="n">
        <v>0.91</v>
      </c>
      <c r="P3120" t="n">
        <v>1</v>
      </c>
      <c r="Q3120" t="n">
        <v>0.12</v>
      </c>
      <c r="R3120" t="n">
        <v>1</v>
      </c>
      <c r="S3120" t="n">
        <v>8408.400000000001</v>
      </c>
      <c r="T3120" t="n">
        <v>6</v>
      </c>
      <c r="U3120" t="n">
        <v>7</v>
      </c>
      <c r="V3120" t="n">
        <v>30</v>
      </c>
      <c r="W3120" t="n">
        <v>2</v>
      </c>
      <c r="X3120" t="n">
        <v>125.5886970172684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11711</v>
      </c>
      <c r="AG3120" t="n">
        <v>63</v>
      </c>
      <c r="AH3120" t="inlineStr">
        <is>
          <t>PT. PARAMA GLOBAL INSPIRA - PPN (PDG)</t>
        </is>
      </c>
      <c r="AI3120" t="n">
        <v>103</v>
      </c>
      <c r="AJ3120" t="inlineStr">
        <is>
          <t>MAKE OVER</t>
        </is>
      </c>
      <c r="AK3120" t="n">
        <v>21</v>
      </c>
      <c r="AL3120" t="inlineStr">
        <is>
          <t>Miss Glam Damar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MAKE OVER</t>
        </is>
      </c>
      <c r="B3121" s="2">
        <f>"8993137001267"</f>
        <v/>
      </c>
      <c r="C3121" t="inlineStr">
        <is>
          <t>MAKE OVER Powerstay Glazed D04 IYKYK 3gr</t>
        </is>
      </c>
      <c r="D3121" t="inlineStr">
        <is>
          <t>Miss Glam Damar</t>
        </is>
      </c>
      <c r="E3121" t="n">
        <v>10</v>
      </c>
      <c r="F3121" t="n">
        <v>0.2275</v>
      </c>
      <c r="G3121" t="n">
        <v>1.82</v>
      </c>
      <c r="H3121" t="n">
        <v>2</v>
      </c>
      <c r="I3121" t="n">
        <v>6</v>
      </c>
      <c r="J3121" t="n">
        <v>3</v>
      </c>
      <c r="K3121" t="n">
        <v>0</v>
      </c>
      <c r="L3121" t="n">
        <v>102745</v>
      </c>
      <c r="M3121" t="n">
        <v>132000</v>
      </c>
      <c r="N3121" t="n">
        <v>91</v>
      </c>
      <c r="O3121" t="n">
        <v>0.91</v>
      </c>
      <c r="P3121" t="n">
        <v>1</v>
      </c>
      <c r="Q3121" t="n">
        <v>0.41</v>
      </c>
      <c r="R3121" t="n">
        <v>3</v>
      </c>
      <c r="S3121" t="n">
        <v>30030</v>
      </c>
      <c r="T3121" t="n">
        <v>11</v>
      </c>
      <c r="U3121" t="n">
        <v>12</v>
      </c>
      <c r="V3121" t="n">
        <v>30</v>
      </c>
      <c r="W3121" t="n">
        <v>7</v>
      </c>
      <c r="X3121" t="n">
        <v>43.95604395604396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11711</v>
      </c>
      <c r="AG3121" t="n">
        <v>63</v>
      </c>
      <c r="AH3121" t="inlineStr">
        <is>
          <t>PT. PARAMA GLOBAL INSPIRA - PPN (PDG)</t>
        </is>
      </c>
      <c r="AI3121" t="n">
        <v>103</v>
      </c>
      <c r="AJ3121" t="inlineStr">
        <is>
          <t>MAKE OVER</t>
        </is>
      </c>
      <c r="AK3121" t="n">
        <v>21</v>
      </c>
      <c r="AL3121" t="inlineStr">
        <is>
          <t>Miss Glam Damar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MAKE OVER</t>
        </is>
      </c>
      <c r="B3122" s="2">
        <f>"8993137001274"</f>
        <v/>
      </c>
      <c r="C3122" t="inlineStr">
        <is>
          <t>MAKE OVER Powerstay Glazed D05 Summertime</t>
        </is>
      </c>
      <c r="D3122" t="inlineStr">
        <is>
          <t>Miss Glam Damar</t>
        </is>
      </c>
      <c r="E3122" t="n">
        <v>12</v>
      </c>
      <c r="F3122" t="n">
        <v>0.2184</v>
      </c>
      <c r="G3122" t="n">
        <v>1.82</v>
      </c>
      <c r="H3122" t="n">
        <v>2</v>
      </c>
      <c r="I3122" t="n">
        <v>6</v>
      </c>
      <c r="J3122" t="n">
        <v>3</v>
      </c>
      <c r="K3122" t="n">
        <v>0</v>
      </c>
      <c r="L3122" t="n">
        <v>102750</v>
      </c>
      <c r="M3122" t="n">
        <v>132000</v>
      </c>
      <c r="N3122" t="n">
        <v>91</v>
      </c>
      <c r="O3122" t="n">
        <v>0.91</v>
      </c>
      <c r="P3122" t="n">
        <v>1</v>
      </c>
      <c r="Q3122" t="n">
        <v>0.27</v>
      </c>
      <c r="R3122" t="n">
        <v>2</v>
      </c>
      <c r="S3122" t="n">
        <v>28828.8</v>
      </c>
      <c r="T3122" t="n">
        <v>11</v>
      </c>
      <c r="U3122" t="n">
        <v>12</v>
      </c>
      <c r="V3122" t="n">
        <v>30</v>
      </c>
      <c r="W3122" t="n">
        <v>7</v>
      </c>
      <c r="X3122" t="n">
        <v>54.94505494505494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11711</v>
      </c>
      <c r="AG3122" t="n">
        <v>63</v>
      </c>
      <c r="AH3122" t="inlineStr">
        <is>
          <t>PT. PARAMA GLOBAL INSPIRA - PPN (PDG)</t>
        </is>
      </c>
      <c r="AI3122" t="n">
        <v>103</v>
      </c>
      <c r="AJ3122" t="inlineStr">
        <is>
          <t>MAKE OVER</t>
        </is>
      </c>
      <c r="AK3122" t="n">
        <v>21</v>
      </c>
      <c r="AL3122" t="inlineStr">
        <is>
          <t>Miss Glam Damar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MAKE OVER</t>
        </is>
      </c>
      <c r="B3123" s="2">
        <f>"8993137001281"</f>
        <v/>
      </c>
      <c r="C3123" t="inlineStr">
        <is>
          <t>MAKE OVER Powerstay Glazed D06 Karma</t>
        </is>
      </c>
      <c r="D3123" t="inlineStr">
        <is>
          <t>Miss Glam Damar</t>
        </is>
      </c>
      <c r="E3123" t="n">
        <v>10</v>
      </c>
      <c r="F3123" t="n">
        <v>0.1274</v>
      </c>
      <c r="G3123" t="n">
        <v>1.82</v>
      </c>
      <c r="H3123" t="n">
        <v>2</v>
      </c>
      <c r="I3123" t="n">
        <v>6</v>
      </c>
      <c r="J3123" t="n">
        <v>3</v>
      </c>
      <c r="K3123" t="n">
        <v>0</v>
      </c>
      <c r="L3123" t="n">
        <v>102747</v>
      </c>
      <c r="M3123" t="n">
        <v>132000</v>
      </c>
      <c r="N3123" t="n">
        <v>91</v>
      </c>
      <c r="O3123" t="n">
        <v>0.91</v>
      </c>
      <c r="P3123" t="n">
        <v>1</v>
      </c>
      <c r="Q3123" t="n">
        <v>0.37</v>
      </c>
      <c r="R3123" t="n">
        <v>2</v>
      </c>
      <c r="S3123" t="n">
        <v>16816.8</v>
      </c>
      <c r="T3123" t="n">
        <v>11</v>
      </c>
      <c r="U3123" t="n">
        <v>12</v>
      </c>
      <c r="V3123" t="n">
        <v>30</v>
      </c>
      <c r="W3123" t="n">
        <v>4</v>
      </c>
      <c r="X3123" t="n">
        <v>78.49293563579278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11711</v>
      </c>
      <c r="AG3123" t="n">
        <v>63</v>
      </c>
      <c r="AH3123" t="inlineStr">
        <is>
          <t>PT. PARAMA GLOBAL INSPIRA - PPN (PDG)</t>
        </is>
      </c>
      <c r="AI3123" t="n">
        <v>103</v>
      </c>
      <c r="AJ3123" t="inlineStr">
        <is>
          <t>MAKE OVER</t>
        </is>
      </c>
      <c r="AK3123" t="n">
        <v>21</v>
      </c>
      <c r="AL3123" t="inlineStr">
        <is>
          <t>Miss Glam Damar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MAKE OVER</t>
        </is>
      </c>
      <c r="B3124" s="2">
        <f>"8993137001298"</f>
        <v/>
      </c>
      <c r="C3124" t="inlineStr">
        <is>
          <t>MAKE OVER Powerstay Glazed D07 Hallway 3gr</t>
        </is>
      </c>
      <c r="D3124" t="inlineStr">
        <is>
          <t>Miss Glam Damar</t>
        </is>
      </c>
      <c r="E3124" t="n">
        <v>17</v>
      </c>
      <c r="F3124" t="n">
        <v>0.6188</v>
      </c>
      <c r="G3124" t="n">
        <v>3.64</v>
      </c>
      <c r="H3124" t="n">
        <v>2</v>
      </c>
      <c r="I3124" t="n">
        <v>6</v>
      </c>
      <c r="J3124" t="n">
        <v>3</v>
      </c>
      <c r="K3124" t="n">
        <v>0</v>
      </c>
      <c r="L3124" t="n">
        <v>102747</v>
      </c>
      <c r="M3124" t="n">
        <v>132000</v>
      </c>
      <c r="N3124" t="n">
        <v>91</v>
      </c>
      <c r="O3124" t="n">
        <v>0.91</v>
      </c>
      <c r="P3124" t="n">
        <v>1</v>
      </c>
      <c r="Q3124" t="n">
        <v>0.97</v>
      </c>
      <c r="R3124" t="n">
        <v>4</v>
      </c>
      <c r="S3124" t="n">
        <v>81681.60000000001</v>
      </c>
      <c r="T3124" t="n">
        <v>21</v>
      </c>
      <c r="U3124" t="n">
        <v>23</v>
      </c>
      <c r="V3124" t="n">
        <v>30</v>
      </c>
      <c r="W3124" t="n">
        <v>19</v>
      </c>
      <c r="X3124" t="n">
        <v>27.47252747252747</v>
      </c>
      <c r="Y3124" t="n">
        <v>1</v>
      </c>
      <c r="Z3124" t="n">
        <v>2</v>
      </c>
      <c r="AA3124" t="n">
        <v>0</v>
      </c>
      <c r="AB3124" t="n">
        <v>2</v>
      </c>
      <c r="AC3124" t="n">
        <v>3</v>
      </c>
      <c r="AD3124" t="n">
        <v>0</v>
      </c>
      <c r="AE3124" t="n">
        <v>308241</v>
      </c>
      <c r="AF3124" t="n">
        <v>11711</v>
      </c>
      <c r="AG3124" t="n">
        <v>63</v>
      </c>
      <c r="AH3124" t="inlineStr">
        <is>
          <t>PT. PARAMA GLOBAL INSPIRA - PPN (PDG)</t>
        </is>
      </c>
      <c r="AI3124" t="n">
        <v>103</v>
      </c>
      <c r="AJ3124" t="inlineStr">
        <is>
          <t>MAKE OVER</t>
        </is>
      </c>
      <c r="AK3124" t="n">
        <v>21</v>
      </c>
      <c r="AL3124" t="inlineStr">
        <is>
          <t>Miss Glam Damar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MAKE OVER</t>
        </is>
      </c>
      <c r="B3125" s="2">
        <f>"8993137001304"</f>
        <v/>
      </c>
      <c r="C3125" t="inlineStr">
        <is>
          <t>MAKE OVER Powerstay Glazed D08 UPLIFT 3gr</t>
        </is>
      </c>
      <c r="D3125" t="inlineStr">
        <is>
          <t>Miss Glam Damar</t>
        </is>
      </c>
      <c r="E3125" t="n">
        <v>8</v>
      </c>
      <c r="F3125" t="n">
        <v>0.1274</v>
      </c>
      <c r="G3125" t="n">
        <v>0.91</v>
      </c>
      <c r="H3125" t="n">
        <v>2</v>
      </c>
      <c r="I3125" t="n">
        <v>6</v>
      </c>
      <c r="J3125" t="n">
        <v>3</v>
      </c>
      <c r="K3125" t="n">
        <v>0</v>
      </c>
      <c r="L3125" t="n">
        <v>102704</v>
      </c>
      <c r="M3125" t="n">
        <v>132000</v>
      </c>
      <c r="N3125" t="n">
        <v>91</v>
      </c>
      <c r="O3125" t="n">
        <v>0.91</v>
      </c>
      <c r="P3125" t="n">
        <v>1</v>
      </c>
      <c r="Q3125" t="n">
        <v>0.14</v>
      </c>
      <c r="R3125" t="n">
        <v>2</v>
      </c>
      <c r="S3125" t="n">
        <v>16816.8</v>
      </c>
      <c r="T3125" t="n">
        <v>6</v>
      </c>
      <c r="U3125" t="n">
        <v>7</v>
      </c>
      <c r="V3125" t="n">
        <v>30</v>
      </c>
      <c r="W3125" t="n">
        <v>4</v>
      </c>
      <c r="X3125" t="n">
        <v>62.79434850863422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11711</v>
      </c>
      <c r="AG3125" t="n">
        <v>63</v>
      </c>
      <c r="AH3125" t="inlineStr">
        <is>
          <t>PT. PARAMA GLOBAL INSPIRA - PPN (PDG)</t>
        </is>
      </c>
      <c r="AI3125" t="n">
        <v>103</v>
      </c>
      <c r="AJ3125" t="inlineStr">
        <is>
          <t>MAKE OVER</t>
        </is>
      </c>
      <c r="AK3125" t="n">
        <v>21</v>
      </c>
      <c r="AL3125" t="inlineStr">
        <is>
          <t>Miss Glam Damar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MAKE OVER</t>
        </is>
      </c>
      <c r="B3126" s="2">
        <f>"8993137001311"</f>
        <v/>
      </c>
      <c r="C3126" t="inlineStr">
        <is>
          <t>MAKE OVER Powerstay Glazed D09 Skye Glaze 3gr</t>
        </is>
      </c>
      <c r="D3126" t="inlineStr">
        <is>
          <t>Miss Glam Damar</t>
        </is>
      </c>
      <c r="E3126" t="n">
        <v>13</v>
      </c>
      <c r="F3126" t="n">
        <v>0.1729</v>
      </c>
      <c r="G3126" t="n">
        <v>1.82</v>
      </c>
      <c r="H3126" t="n">
        <v>2</v>
      </c>
      <c r="I3126" t="n">
        <v>6</v>
      </c>
      <c r="J3126" t="n">
        <v>3</v>
      </c>
      <c r="K3126" t="n">
        <v>0</v>
      </c>
      <c r="L3126" t="n">
        <v>102725</v>
      </c>
      <c r="M3126" t="n">
        <v>132000</v>
      </c>
      <c r="N3126" t="n">
        <v>91</v>
      </c>
      <c r="O3126" t="n">
        <v>0.91</v>
      </c>
      <c r="P3126" t="n">
        <v>1</v>
      </c>
      <c r="Q3126" t="n">
        <v>0.34</v>
      </c>
      <c r="R3126" t="n">
        <v>3</v>
      </c>
      <c r="S3126" t="n">
        <v>22822.8</v>
      </c>
      <c r="T3126" t="n">
        <v>11</v>
      </c>
      <c r="U3126" t="n">
        <v>12</v>
      </c>
      <c r="V3126" t="n">
        <v>30</v>
      </c>
      <c r="W3126" t="n">
        <v>6</v>
      </c>
      <c r="X3126" t="n">
        <v>75.18796992481204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11711</v>
      </c>
      <c r="AG3126" t="n">
        <v>63</v>
      </c>
      <c r="AH3126" t="inlineStr">
        <is>
          <t>PT. PARAMA GLOBAL INSPIRA - PPN (PDG)</t>
        </is>
      </c>
      <c r="AI3126" t="n">
        <v>103</v>
      </c>
      <c r="AJ3126" t="inlineStr">
        <is>
          <t>MAKE OVER</t>
        </is>
      </c>
      <c r="AK3126" t="n">
        <v>21</v>
      </c>
      <c r="AL3126" t="inlineStr">
        <is>
          <t>Miss Glam Damar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MAKE OVER</t>
        </is>
      </c>
      <c r="B3127" s="2">
        <f>"8993137001328"</f>
        <v/>
      </c>
      <c r="C3127" t="inlineStr">
        <is>
          <t>MAKE OVER Powerstay Glazed D10 DNA 3gr</t>
        </is>
      </c>
      <c r="D3127" t="inlineStr">
        <is>
          <t>Miss Glam Damar</t>
        </is>
      </c>
      <c r="E3127" t="n">
        <v>9</v>
      </c>
      <c r="F3127" t="n">
        <v>0.0728</v>
      </c>
      <c r="G3127" t="n">
        <v>1.82</v>
      </c>
      <c r="H3127" t="n">
        <v>2</v>
      </c>
      <c r="I3127" t="n">
        <v>6</v>
      </c>
      <c r="J3127" t="n">
        <v>3</v>
      </c>
      <c r="K3127" t="n">
        <v>0</v>
      </c>
      <c r="L3127" t="n">
        <v>102750</v>
      </c>
      <c r="M3127" t="n">
        <v>132000</v>
      </c>
      <c r="N3127" t="n">
        <v>91</v>
      </c>
      <c r="O3127" t="n">
        <v>0.91</v>
      </c>
      <c r="P3127" t="n">
        <v>1</v>
      </c>
      <c r="Q3127" t="n">
        <v>0.2</v>
      </c>
      <c r="R3127" t="n">
        <v>1</v>
      </c>
      <c r="S3127" t="n">
        <v>9609.6</v>
      </c>
      <c r="T3127" t="n">
        <v>11</v>
      </c>
      <c r="U3127" t="n">
        <v>12</v>
      </c>
      <c r="V3127" t="n">
        <v>30</v>
      </c>
      <c r="W3127" t="n">
        <v>3</v>
      </c>
      <c r="X3127" t="n">
        <v>123.6263736263736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11711</v>
      </c>
      <c r="AG3127" t="n">
        <v>63</v>
      </c>
      <c r="AH3127" t="inlineStr">
        <is>
          <t>PT. PARAMA GLOBAL INSPIRA - PPN (PDG)</t>
        </is>
      </c>
      <c r="AI3127" t="n">
        <v>103</v>
      </c>
      <c r="AJ3127" t="inlineStr">
        <is>
          <t>MAKE OVER</t>
        </is>
      </c>
      <c r="AK3127" t="n">
        <v>21</v>
      </c>
      <c r="AL3127" t="inlineStr">
        <is>
          <t>Miss Glam Damar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MAKE OVER</t>
        </is>
      </c>
      <c r="B3128" s="2">
        <f>"8993137001335"</f>
        <v/>
      </c>
      <c r="C3128" t="inlineStr">
        <is>
          <t>MAKE OVER Powerstay Glazed D11 Pompous 2.0 3gr</t>
        </is>
      </c>
      <c r="D3128" t="inlineStr">
        <is>
          <t>Miss Glam Damar</t>
        </is>
      </c>
      <c r="E3128" t="n">
        <v>16</v>
      </c>
      <c r="F3128" t="n">
        <v>0.2639</v>
      </c>
      <c r="G3128" t="n">
        <v>1.82</v>
      </c>
      <c r="H3128" t="n">
        <v>2</v>
      </c>
      <c r="I3128" t="n">
        <v>6</v>
      </c>
      <c r="J3128" t="n">
        <v>3</v>
      </c>
      <c r="K3128" t="n">
        <v>0</v>
      </c>
      <c r="L3128" t="n">
        <v>102725</v>
      </c>
      <c r="M3128" t="n">
        <v>132000</v>
      </c>
      <c r="N3128" t="n">
        <v>91</v>
      </c>
      <c r="O3128" t="n">
        <v>0.91</v>
      </c>
      <c r="P3128" t="n">
        <v>1</v>
      </c>
      <c r="Q3128" t="n">
        <v>0.47</v>
      </c>
      <c r="R3128" t="n">
        <v>4</v>
      </c>
      <c r="S3128" t="n">
        <v>34834.8</v>
      </c>
      <c r="T3128" t="n">
        <v>11</v>
      </c>
      <c r="U3128" t="n">
        <v>12</v>
      </c>
      <c r="V3128" t="n">
        <v>30</v>
      </c>
      <c r="W3128" t="n">
        <v>8</v>
      </c>
      <c r="X3128" t="n">
        <v>60.62902614626753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11711</v>
      </c>
      <c r="AG3128" t="n">
        <v>63</v>
      </c>
      <c r="AH3128" t="inlineStr">
        <is>
          <t>PT. PARAMA GLOBAL INSPIRA - PPN (PDG)</t>
        </is>
      </c>
      <c r="AI3128" t="n">
        <v>103</v>
      </c>
      <c r="AJ3128" t="inlineStr">
        <is>
          <t>MAKE OVER</t>
        </is>
      </c>
      <c r="AK3128" t="n">
        <v>21</v>
      </c>
      <c r="AL3128" t="inlineStr">
        <is>
          <t>Miss Glam Damar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MAKE OVER</t>
        </is>
      </c>
      <c r="B3129" s="2">
        <f>"8993137001342"</f>
        <v/>
      </c>
      <c r="C3129" t="inlineStr">
        <is>
          <t>MAKE OVER Powerstay Glazed D12 Vintage 3gr</t>
        </is>
      </c>
      <c r="D3129" t="inlineStr">
        <is>
          <t>Miss Glam Damar</t>
        </is>
      </c>
      <c r="E3129" t="n">
        <v>7</v>
      </c>
      <c r="F3129" t="n">
        <v>0.0728</v>
      </c>
      <c r="G3129" t="n">
        <v>1.82</v>
      </c>
      <c r="H3129" t="n">
        <v>2</v>
      </c>
      <c r="I3129" t="n">
        <v>6</v>
      </c>
      <c r="J3129" t="n">
        <v>3</v>
      </c>
      <c r="K3129" t="n">
        <v>0</v>
      </c>
      <c r="L3129" t="n">
        <v>102554</v>
      </c>
      <c r="M3129" t="n">
        <v>132000</v>
      </c>
      <c r="N3129" t="n">
        <v>91</v>
      </c>
      <c r="O3129" t="n">
        <v>0.91</v>
      </c>
      <c r="P3129" t="n">
        <v>1</v>
      </c>
      <c r="Q3129" t="n">
        <v>0.05</v>
      </c>
      <c r="R3129" t="n">
        <v>1</v>
      </c>
      <c r="S3129" t="n">
        <v>9609.6</v>
      </c>
      <c r="T3129" t="n">
        <v>11</v>
      </c>
      <c r="U3129" t="n">
        <v>12</v>
      </c>
      <c r="V3129" t="n">
        <v>30</v>
      </c>
      <c r="W3129" t="n">
        <v>3</v>
      </c>
      <c r="X3129" t="n">
        <v>96.15384615384615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11711</v>
      </c>
      <c r="AG3129" t="n">
        <v>63</v>
      </c>
      <c r="AH3129" t="inlineStr">
        <is>
          <t>PT. PARAMA GLOBAL INSPIRA - PPN (PDG)</t>
        </is>
      </c>
      <c r="AI3129" t="n">
        <v>103</v>
      </c>
      <c r="AJ3129" t="inlineStr">
        <is>
          <t>MAKE OVER</t>
        </is>
      </c>
      <c r="AK3129" t="n">
        <v>21</v>
      </c>
      <c r="AL3129" t="inlineStr">
        <is>
          <t>Miss Glam Damar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MAKE OVER</t>
        </is>
      </c>
      <c r="B3130" s="2">
        <f>"8993137007801"</f>
        <v/>
      </c>
      <c r="C3130" t="inlineStr">
        <is>
          <t>MAKE OVER Powerstay Glazed D13 Gimme! 3gr</t>
        </is>
      </c>
      <c r="D3130" t="inlineStr">
        <is>
          <t>Miss Glam Damar</t>
        </is>
      </c>
      <c r="E3130" t="n">
        <v>7</v>
      </c>
      <c r="F3130" t="n">
        <v>0.1547</v>
      </c>
      <c r="G3130" t="n">
        <v>1.82</v>
      </c>
      <c r="H3130" t="n">
        <v>2</v>
      </c>
      <c r="I3130" t="n">
        <v>6</v>
      </c>
      <c r="J3130" t="n">
        <v>3</v>
      </c>
      <c r="K3130" t="n">
        <v>0</v>
      </c>
      <c r="L3130" t="n">
        <v>102750</v>
      </c>
      <c r="M3130" t="n">
        <v>132000</v>
      </c>
      <c r="N3130" t="n">
        <v>91</v>
      </c>
      <c r="O3130" t="n">
        <v>0.91</v>
      </c>
      <c r="P3130" t="n">
        <v>1</v>
      </c>
      <c r="Q3130" t="n">
        <v>0.15</v>
      </c>
      <c r="R3130" t="n">
        <v>1</v>
      </c>
      <c r="S3130" t="n">
        <v>20420.4</v>
      </c>
      <c r="T3130" t="n">
        <v>11</v>
      </c>
      <c r="U3130" t="n">
        <v>12</v>
      </c>
      <c r="V3130" t="n">
        <v>30</v>
      </c>
      <c r="W3130" t="n">
        <v>5</v>
      </c>
      <c r="X3130" t="n">
        <v>45.24886877828054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11711</v>
      </c>
      <c r="AG3130" t="n">
        <v>63</v>
      </c>
      <c r="AH3130" t="inlineStr">
        <is>
          <t>PT. PARAMA GLOBAL INSPIRA - PPN (PDG)</t>
        </is>
      </c>
      <c r="AI3130" t="n">
        <v>103</v>
      </c>
      <c r="AJ3130" t="inlineStr">
        <is>
          <t>MAKE OVER</t>
        </is>
      </c>
      <c r="AK3130" t="n">
        <v>21</v>
      </c>
      <c r="AL3130" t="inlineStr">
        <is>
          <t>Miss Glam Damar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MAKE OVER</t>
        </is>
      </c>
      <c r="B3131" s="2">
        <f>"8993137007818"</f>
        <v/>
      </c>
      <c r="C3131" t="inlineStr">
        <is>
          <t>MAKE OVER Powerstay Glazed D14 Cherry 3gr</t>
        </is>
      </c>
      <c r="D3131" t="inlineStr">
        <is>
          <t>Miss Glam Damar</t>
        </is>
      </c>
      <c r="E3131" t="n">
        <v>2</v>
      </c>
      <c r="F3131" t="n">
        <v>0.0728</v>
      </c>
      <c r="G3131" t="n">
        <v>0.91</v>
      </c>
      <c r="H3131" t="n">
        <v>2</v>
      </c>
      <c r="I3131" t="n">
        <v>6</v>
      </c>
      <c r="J3131" t="n">
        <v>3</v>
      </c>
      <c r="K3131" t="n">
        <v>0</v>
      </c>
      <c r="L3131" t="n">
        <v>102750</v>
      </c>
      <c r="M3131" t="n">
        <v>132000</v>
      </c>
      <c r="N3131" t="n">
        <v>91</v>
      </c>
      <c r="O3131" t="n">
        <v>0.91</v>
      </c>
      <c r="P3131" t="n">
        <v>1</v>
      </c>
      <c r="Q3131" t="n">
        <v>0.14</v>
      </c>
      <c r="R3131" t="n">
        <v>1</v>
      </c>
      <c r="S3131" t="n">
        <v>9609.6</v>
      </c>
      <c r="T3131" t="n">
        <v>6</v>
      </c>
      <c r="U3131" t="n">
        <v>7</v>
      </c>
      <c r="V3131" t="n">
        <v>30</v>
      </c>
      <c r="W3131" t="n">
        <v>3</v>
      </c>
      <c r="X3131" t="n">
        <v>27.47252747252747</v>
      </c>
      <c r="Y3131" t="n">
        <v>1</v>
      </c>
      <c r="Z3131" t="n">
        <v>1</v>
      </c>
      <c r="AA3131" t="n">
        <v>0</v>
      </c>
      <c r="AB3131" t="n">
        <v>1</v>
      </c>
      <c r="AC3131" t="n">
        <v>3</v>
      </c>
      <c r="AD3131" t="n">
        <v>0</v>
      </c>
      <c r="AE3131" t="n">
        <v>308250</v>
      </c>
      <c r="AF3131" t="n">
        <v>11711</v>
      </c>
      <c r="AG3131" t="n">
        <v>63</v>
      </c>
      <c r="AH3131" t="inlineStr">
        <is>
          <t>PT. PARAMA GLOBAL INSPIRA - PPN (PDG)</t>
        </is>
      </c>
      <c r="AI3131" t="n">
        <v>103</v>
      </c>
      <c r="AJ3131" t="inlineStr">
        <is>
          <t>MAKE OVER</t>
        </is>
      </c>
      <c r="AK3131" t="n">
        <v>21</v>
      </c>
      <c r="AL3131" t="inlineStr">
        <is>
          <t>Miss Glam Damar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MAKE OVER</t>
        </is>
      </c>
      <c r="B3132" s="2">
        <f>"8993137007825"</f>
        <v/>
      </c>
      <c r="C3132" t="inlineStr">
        <is>
          <t>MAKE OVER Powerstay Glazed D15 Psyched 3gr</t>
        </is>
      </c>
      <c r="D3132" t="inlineStr">
        <is>
          <t>Miss Glam Damar</t>
        </is>
      </c>
      <c r="E3132" t="n">
        <v>9</v>
      </c>
      <c r="F3132" t="n">
        <v>0.182</v>
      </c>
      <c r="G3132" t="n">
        <v>1.82</v>
      </c>
      <c r="H3132" t="n">
        <v>2</v>
      </c>
      <c r="I3132" t="n">
        <v>6</v>
      </c>
      <c r="J3132" t="n">
        <v>3</v>
      </c>
      <c r="K3132" t="n">
        <v>0</v>
      </c>
      <c r="L3132" t="n">
        <v>102743</v>
      </c>
      <c r="M3132" t="n">
        <v>132000</v>
      </c>
      <c r="N3132" t="n">
        <v>91</v>
      </c>
      <c r="O3132" t="n">
        <v>0.91</v>
      </c>
      <c r="P3132" t="n">
        <v>1</v>
      </c>
      <c r="Q3132" t="n">
        <v>0.22</v>
      </c>
      <c r="R3132" t="n">
        <v>2</v>
      </c>
      <c r="S3132" t="n">
        <v>24024</v>
      </c>
      <c r="T3132" t="n">
        <v>11</v>
      </c>
      <c r="U3132" t="n">
        <v>12</v>
      </c>
      <c r="V3132" t="n">
        <v>30</v>
      </c>
      <c r="W3132" t="n">
        <v>6</v>
      </c>
      <c r="X3132" t="n">
        <v>49.45054945054945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11711</v>
      </c>
      <c r="AG3132" t="n">
        <v>63</v>
      </c>
      <c r="AH3132" t="inlineStr">
        <is>
          <t>PT. PARAMA GLOBAL INSPIRA - PPN (PDG)</t>
        </is>
      </c>
      <c r="AI3132" t="n">
        <v>103</v>
      </c>
      <c r="AJ3132" t="inlineStr">
        <is>
          <t>MAKE OVER</t>
        </is>
      </c>
      <c r="AK3132" t="n">
        <v>21</v>
      </c>
      <c r="AL3132" t="inlineStr">
        <is>
          <t>Miss Glam Damar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MAKE OVER</t>
        </is>
      </c>
      <c r="B3133" s="2">
        <f>"8993137007832"</f>
        <v/>
      </c>
      <c r="C3133" t="inlineStr">
        <is>
          <t>MAKE OVER Powerstay Glazed D16 California 3gr</t>
        </is>
      </c>
      <c r="D3133" t="inlineStr">
        <is>
          <t>Miss Glam Damar</t>
        </is>
      </c>
      <c r="E3133" t="n">
        <v>7</v>
      </c>
      <c r="F3133" t="n">
        <v>0.1092</v>
      </c>
      <c r="G3133" t="n">
        <v>0.91</v>
      </c>
      <c r="H3133" t="n">
        <v>2</v>
      </c>
      <c r="I3133" t="n">
        <v>6</v>
      </c>
      <c r="J3133" t="n">
        <v>3</v>
      </c>
      <c r="K3133" t="n">
        <v>0</v>
      </c>
      <c r="L3133" t="n">
        <v>102734</v>
      </c>
      <c r="M3133" t="n">
        <v>132000</v>
      </c>
      <c r="N3133" t="n">
        <v>91</v>
      </c>
      <c r="O3133" t="n">
        <v>0.91</v>
      </c>
      <c r="P3133" t="n">
        <v>1</v>
      </c>
      <c r="Q3133" t="n">
        <v>0.36</v>
      </c>
      <c r="R3133" t="n">
        <v>3</v>
      </c>
      <c r="S3133" t="n">
        <v>14414.4</v>
      </c>
      <c r="T3133" t="n">
        <v>6</v>
      </c>
      <c r="U3133" t="n">
        <v>7</v>
      </c>
      <c r="V3133" t="n">
        <v>30</v>
      </c>
      <c r="W3133" t="n">
        <v>4</v>
      </c>
      <c r="X3133" t="n">
        <v>64.1025641025641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11711</v>
      </c>
      <c r="AG3133" t="n">
        <v>63</v>
      </c>
      <c r="AH3133" t="inlineStr">
        <is>
          <t>PT. PARAMA GLOBAL INSPIRA - PPN (PDG)</t>
        </is>
      </c>
      <c r="AI3133" t="n">
        <v>103</v>
      </c>
      <c r="AJ3133" t="inlineStr">
        <is>
          <t>MAKE OVER</t>
        </is>
      </c>
      <c r="AK3133" t="n">
        <v>21</v>
      </c>
      <c r="AL3133" t="inlineStr">
        <is>
          <t>Miss Glam Damar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MAKE OVER</t>
        </is>
      </c>
      <c r="B3134" s="2">
        <f>"8993137007849"</f>
        <v/>
      </c>
      <c r="C3134" t="inlineStr">
        <is>
          <t>MAKE OVER Powerstay Glazed D17 As If 3gr</t>
        </is>
      </c>
      <c r="D3134" t="inlineStr">
        <is>
          <t>Miss Glam Damar</t>
        </is>
      </c>
      <c r="E3134" t="n">
        <v>7</v>
      </c>
      <c r="F3134" t="n">
        <v>0.1729</v>
      </c>
      <c r="G3134" t="n">
        <v>0.91</v>
      </c>
      <c r="H3134" t="n">
        <v>2</v>
      </c>
      <c r="I3134" t="n">
        <v>6</v>
      </c>
      <c r="J3134" t="n">
        <v>3</v>
      </c>
      <c r="K3134" t="n">
        <v>0</v>
      </c>
      <c r="L3134" t="n">
        <v>102745</v>
      </c>
      <c r="M3134" t="n">
        <v>132000</v>
      </c>
      <c r="N3134" t="n">
        <v>91</v>
      </c>
      <c r="O3134" t="n">
        <v>0.91</v>
      </c>
      <c r="P3134" t="n">
        <v>1</v>
      </c>
      <c r="Q3134" t="n">
        <v>0.19</v>
      </c>
      <c r="R3134" t="n">
        <v>2</v>
      </c>
      <c r="S3134" t="n">
        <v>22822.8</v>
      </c>
      <c r="T3134" t="n">
        <v>6</v>
      </c>
      <c r="U3134" t="n">
        <v>7</v>
      </c>
      <c r="V3134" t="n">
        <v>30</v>
      </c>
      <c r="W3134" t="n">
        <v>6</v>
      </c>
      <c r="X3134" t="n">
        <v>40.48582995951417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11711</v>
      </c>
      <c r="AG3134" t="n">
        <v>63</v>
      </c>
      <c r="AH3134" t="inlineStr">
        <is>
          <t>PT. PARAMA GLOBAL INSPIRA - PPN (PDG)</t>
        </is>
      </c>
      <c r="AI3134" t="n">
        <v>103</v>
      </c>
      <c r="AJ3134" t="inlineStr">
        <is>
          <t>MAKE OVER</t>
        </is>
      </c>
      <c r="AK3134" t="n">
        <v>21</v>
      </c>
      <c r="AL3134" t="inlineStr">
        <is>
          <t>Miss Glam Damar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MAKE OVER</t>
        </is>
      </c>
      <c r="B3135" s="2">
        <f>"8993137007856"</f>
        <v/>
      </c>
      <c r="C3135" t="inlineStr">
        <is>
          <t>MAKE OVER Powerstay Glazed D18 Duchess 3gr</t>
        </is>
      </c>
      <c r="D3135" t="inlineStr">
        <is>
          <t>Miss Glam Damar</t>
        </is>
      </c>
      <c r="E3135" t="n">
        <v>4</v>
      </c>
      <c r="F3135" t="n">
        <v>0.0182</v>
      </c>
      <c r="G3135" t="n">
        <v>0.91</v>
      </c>
      <c r="H3135" t="n">
        <v>2</v>
      </c>
      <c r="I3135" t="n">
        <v>6</v>
      </c>
      <c r="J3135" t="n">
        <v>3</v>
      </c>
      <c r="K3135" t="n">
        <v>0</v>
      </c>
      <c r="L3135" t="n">
        <v>102735</v>
      </c>
      <c r="M3135" t="n">
        <v>132000</v>
      </c>
      <c r="N3135" t="n">
        <v>91</v>
      </c>
      <c r="O3135" t="n">
        <v>0.91</v>
      </c>
      <c r="P3135" t="n">
        <v>1</v>
      </c>
      <c r="Q3135" t="n">
        <v>0.07000000000000001</v>
      </c>
      <c r="R3135" t="n">
        <v>1</v>
      </c>
      <c r="S3135" t="n">
        <v>2402.4</v>
      </c>
      <c r="T3135" t="n">
        <v>6</v>
      </c>
      <c r="U3135" t="n">
        <v>7</v>
      </c>
      <c r="V3135" t="n">
        <v>30</v>
      </c>
      <c r="W3135" t="n">
        <v>1</v>
      </c>
      <c r="X3135" t="n">
        <v>219.7802197802198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11711</v>
      </c>
      <c r="AG3135" t="n">
        <v>63</v>
      </c>
      <c r="AH3135" t="inlineStr">
        <is>
          <t>PT. PARAMA GLOBAL INSPIRA - PPN (PDG)</t>
        </is>
      </c>
      <c r="AI3135" t="n">
        <v>103</v>
      </c>
      <c r="AJ3135" t="inlineStr">
        <is>
          <t>MAKE OVER</t>
        </is>
      </c>
      <c r="AK3135" t="n">
        <v>21</v>
      </c>
      <c r="AL3135" t="inlineStr">
        <is>
          <t>Miss Glam Damar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MAKE OVER</t>
        </is>
      </c>
      <c r="B3136" s="2">
        <f>"20300447007"</f>
        <v/>
      </c>
      <c r="C3136" t="inlineStr">
        <is>
          <t>MAKE OVER Powerstay Glazed Lock Lip Pigment D19 Tease 3gr</t>
        </is>
      </c>
      <c r="D3136" t="inlineStr">
        <is>
          <t>Miss Glam Damar</t>
        </is>
      </c>
      <c r="E3136" t="n">
        <v>9</v>
      </c>
      <c r="F3136" t="n">
        <v>0.0182</v>
      </c>
      <c r="G3136" t="n">
        <v>0.91</v>
      </c>
      <c r="H3136" t="n">
        <v>2</v>
      </c>
      <c r="I3136" t="n">
        <v>6</v>
      </c>
      <c r="J3136" t="n">
        <v>1</v>
      </c>
      <c r="K3136" t="n">
        <v>0</v>
      </c>
      <c r="L3136" t="n">
        <v>102750</v>
      </c>
      <c r="M3136" t="n">
        <v>125500</v>
      </c>
      <c r="N3136" t="n">
        <v>91</v>
      </c>
      <c r="O3136" t="n">
        <v>0.91</v>
      </c>
      <c r="P3136" t="n">
        <v>1</v>
      </c>
      <c r="Q3136" t="n">
        <v>0.03</v>
      </c>
      <c r="R3136" t="n">
        <v>1</v>
      </c>
      <c r="S3136" t="n">
        <v>2284.1</v>
      </c>
      <c r="T3136" t="n">
        <v>6</v>
      </c>
      <c r="U3136" t="n">
        <v>7</v>
      </c>
      <c r="V3136" t="n">
        <v>30</v>
      </c>
      <c r="W3136" t="n">
        <v>1</v>
      </c>
      <c r="X3136" t="n">
        <v>494.5054945054945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11711</v>
      </c>
      <c r="AG3136" t="n">
        <v>63</v>
      </c>
      <c r="AH3136" t="inlineStr">
        <is>
          <t>PT. PARAMA GLOBAL INSPIRA - PPN (PDG)</t>
        </is>
      </c>
      <c r="AI3136" t="n">
        <v>103</v>
      </c>
      <c r="AJ3136" t="inlineStr">
        <is>
          <t>MAKE OVER</t>
        </is>
      </c>
      <c r="AK3136" t="n">
        <v>21</v>
      </c>
      <c r="AL3136" t="inlineStr">
        <is>
          <t>Miss Glam Damar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MAKE OVER</t>
        </is>
      </c>
      <c r="B3137" s="2">
        <f>"20300447157"</f>
        <v/>
      </c>
      <c r="C3137" t="inlineStr">
        <is>
          <t>MAKE OVER Powerstay Glazed Lock Lip Pigment D20 Dazed 3gr</t>
        </is>
      </c>
      <c r="D3137" t="inlineStr">
        <is>
          <t>Miss Glam Damar</t>
        </is>
      </c>
      <c r="E3137" t="n">
        <v>4</v>
      </c>
      <c r="F3137" t="n">
        <v>0.1547</v>
      </c>
      <c r="G3137" t="n">
        <v>1.82</v>
      </c>
      <c r="H3137" t="n">
        <v>2</v>
      </c>
      <c r="I3137" t="n">
        <v>6</v>
      </c>
      <c r="J3137" t="n">
        <v>1</v>
      </c>
      <c r="K3137" t="n">
        <v>0</v>
      </c>
      <c r="L3137" t="n">
        <v>102750</v>
      </c>
      <c r="M3137" t="n">
        <v>125500</v>
      </c>
      <c r="N3137" t="n">
        <v>91</v>
      </c>
      <c r="O3137" t="n">
        <v>0.91</v>
      </c>
      <c r="P3137" t="n">
        <v>1</v>
      </c>
      <c r="Q3137" t="n">
        <v>0.24</v>
      </c>
      <c r="R3137" t="n">
        <v>2</v>
      </c>
      <c r="S3137" t="n">
        <v>19414.85</v>
      </c>
      <c r="T3137" t="n">
        <v>11</v>
      </c>
      <c r="U3137" t="n">
        <v>12</v>
      </c>
      <c r="V3137" t="n">
        <v>30</v>
      </c>
      <c r="W3137" t="n">
        <v>5</v>
      </c>
      <c r="X3137" t="n">
        <v>25.85649644473174</v>
      </c>
      <c r="Y3137" t="n">
        <v>1</v>
      </c>
      <c r="Z3137" t="n">
        <v>1</v>
      </c>
      <c r="AA3137" t="n">
        <v>0</v>
      </c>
      <c r="AB3137" t="n">
        <v>1</v>
      </c>
      <c r="AC3137" t="n">
        <v>1</v>
      </c>
      <c r="AD3137" t="n">
        <v>0</v>
      </c>
      <c r="AE3137" t="n">
        <v>102750</v>
      </c>
      <c r="AF3137" t="n">
        <v>11711</v>
      </c>
      <c r="AG3137" t="n">
        <v>63</v>
      </c>
      <c r="AH3137" t="inlineStr">
        <is>
          <t>PT. PARAMA GLOBAL INSPIRA - PPN (PDG)</t>
        </is>
      </c>
      <c r="AI3137" t="n">
        <v>103</v>
      </c>
      <c r="AJ3137" t="inlineStr">
        <is>
          <t>MAKE OVER</t>
        </is>
      </c>
      <c r="AK3137" t="n">
        <v>21</v>
      </c>
      <c r="AL3137" t="inlineStr">
        <is>
          <t>Miss Glam Damar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MAKE OVER</t>
        </is>
      </c>
      <c r="B3138" s="2">
        <f>"20300447238"</f>
        <v/>
      </c>
      <c r="C3138" t="inlineStr">
        <is>
          <t>MAKE OVER Powerstay Glazed Lock Lip Pigment D21 Extra 3gr</t>
        </is>
      </c>
      <c r="D3138" t="inlineStr">
        <is>
          <t>Miss Glam Damar</t>
        </is>
      </c>
      <c r="E3138" t="n">
        <v>10</v>
      </c>
      <c r="F3138" t="n">
        <v>0.1547</v>
      </c>
      <c r="G3138" t="n">
        <v>0.91</v>
      </c>
      <c r="H3138" t="n">
        <v>2</v>
      </c>
      <c r="I3138" t="n">
        <v>6</v>
      </c>
      <c r="J3138" t="n">
        <v>1</v>
      </c>
      <c r="K3138" t="n">
        <v>0</v>
      </c>
      <c r="L3138" t="n">
        <v>102750</v>
      </c>
      <c r="M3138" t="n">
        <v>125500</v>
      </c>
      <c r="N3138" t="n">
        <v>91</v>
      </c>
      <c r="O3138" t="n">
        <v>0.91</v>
      </c>
      <c r="P3138" t="n">
        <v>1</v>
      </c>
      <c r="Q3138" t="n">
        <v>0.37</v>
      </c>
      <c r="R3138" t="n">
        <v>4</v>
      </c>
      <c r="S3138" t="n">
        <v>19414.85</v>
      </c>
      <c r="T3138" t="n">
        <v>6</v>
      </c>
      <c r="U3138" t="n">
        <v>7</v>
      </c>
      <c r="V3138" t="n">
        <v>30</v>
      </c>
      <c r="W3138" t="n">
        <v>5</v>
      </c>
      <c r="X3138" t="n">
        <v>64.64124111182934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11711</v>
      </c>
      <c r="AG3138" t="n">
        <v>63</v>
      </c>
      <c r="AH3138" t="inlineStr">
        <is>
          <t>PT. PARAMA GLOBAL INSPIRA - PPN (PDG)</t>
        </is>
      </c>
      <c r="AI3138" t="n">
        <v>103</v>
      </c>
      <c r="AJ3138" t="inlineStr">
        <is>
          <t>MAKE OVER</t>
        </is>
      </c>
      <c r="AK3138" t="n">
        <v>21</v>
      </c>
      <c r="AL3138" t="inlineStr">
        <is>
          <t>Miss Glam Damar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MAKE OVER</t>
        </is>
      </c>
      <c r="B3139" s="2">
        <f>"20300447310"</f>
        <v/>
      </c>
      <c r="C3139" t="inlineStr">
        <is>
          <t>MAKE OVER Powerstay Glazed Lock Lip Pigment D22 Lowkey 3gr</t>
        </is>
      </c>
      <c r="D3139" t="inlineStr">
        <is>
          <t>Miss Glam Damar</t>
        </is>
      </c>
      <c r="E3139" t="n">
        <v>8</v>
      </c>
      <c r="F3139" t="n">
        <v>0.04550000000000001</v>
      </c>
      <c r="G3139" t="n">
        <v>0.91</v>
      </c>
      <c r="H3139" t="n">
        <v>2</v>
      </c>
      <c r="I3139" t="n">
        <v>6</v>
      </c>
      <c r="J3139" t="n">
        <v>1</v>
      </c>
      <c r="K3139" t="n">
        <v>0</v>
      </c>
      <c r="L3139" t="n">
        <v>102750</v>
      </c>
      <c r="M3139" t="n">
        <v>125500</v>
      </c>
      <c r="N3139" t="n">
        <v>91</v>
      </c>
      <c r="O3139" t="n">
        <v>0.91</v>
      </c>
      <c r="P3139" t="n">
        <v>1</v>
      </c>
      <c r="Q3139" t="n">
        <v>0.15</v>
      </c>
      <c r="R3139" t="n">
        <v>1</v>
      </c>
      <c r="S3139" t="n">
        <v>5710.250000000001</v>
      </c>
      <c r="T3139" t="n">
        <v>6</v>
      </c>
      <c r="U3139" t="n">
        <v>7</v>
      </c>
      <c r="V3139" t="n">
        <v>30</v>
      </c>
      <c r="W3139" t="n">
        <v>2</v>
      </c>
      <c r="X3139" t="n">
        <v>175.8241758241758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11711</v>
      </c>
      <c r="AG3139" t="n">
        <v>63</v>
      </c>
      <c r="AH3139" t="inlineStr">
        <is>
          <t>PT. PARAMA GLOBAL INSPIRA - PPN (PDG)</t>
        </is>
      </c>
      <c r="AI3139" t="n">
        <v>103</v>
      </c>
      <c r="AJ3139" t="inlineStr">
        <is>
          <t>MAKE OVER</t>
        </is>
      </c>
      <c r="AK3139" t="n">
        <v>21</v>
      </c>
      <c r="AL3139" t="inlineStr">
        <is>
          <t>Miss Glam Damar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MAKE OVER</t>
        </is>
      </c>
      <c r="B3140" s="2">
        <f>"20300447445"</f>
        <v/>
      </c>
      <c r="C3140" t="inlineStr">
        <is>
          <t>MAKE OVER Powerstay Glazed Lock Lip Pigment D23 WYD 3gr</t>
        </is>
      </c>
      <c r="D3140" t="inlineStr">
        <is>
          <t>Miss Glam Damar</t>
        </is>
      </c>
      <c r="E3140" t="n">
        <v>8</v>
      </c>
      <c r="F3140" t="n">
        <v>0.1365</v>
      </c>
      <c r="G3140" t="n">
        <v>1.82</v>
      </c>
      <c r="H3140" t="n">
        <v>2</v>
      </c>
      <c r="I3140" t="n">
        <v>6</v>
      </c>
      <c r="J3140" t="n">
        <v>1</v>
      </c>
      <c r="K3140" t="n">
        <v>0</v>
      </c>
      <c r="L3140" t="n">
        <v>102750</v>
      </c>
      <c r="M3140" t="n">
        <v>125500</v>
      </c>
      <c r="N3140" t="n">
        <v>91</v>
      </c>
      <c r="O3140" t="n">
        <v>0.91</v>
      </c>
      <c r="P3140" t="n">
        <v>1</v>
      </c>
      <c r="Q3140" t="n">
        <v>0.31</v>
      </c>
      <c r="R3140" t="n">
        <v>2</v>
      </c>
      <c r="S3140" t="n">
        <v>17130.75</v>
      </c>
      <c r="T3140" t="n">
        <v>11</v>
      </c>
      <c r="U3140" t="n">
        <v>12</v>
      </c>
      <c r="V3140" t="n">
        <v>30</v>
      </c>
      <c r="W3140" t="n">
        <v>5</v>
      </c>
      <c r="X3140" t="n">
        <v>58.60805860805861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11711</v>
      </c>
      <c r="AG3140" t="n">
        <v>63</v>
      </c>
      <c r="AH3140" t="inlineStr">
        <is>
          <t>PT. PARAMA GLOBAL INSPIRA - PPN (PDG)</t>
        </is>
      </c>
      <c r="AI3140" t="n">
        <v>103</v>
      </c>
      <c r="AJ3140" t="inlineStr">
        <is>
          <t>MAKE OVER</t>
        </is>
      </c>
      <c r="AK3140" t="n">
        <v>21</v>
      </c>
      <c r="AL3140" t="inlineStr">
        <is>
          <t>Miss Glam Damar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MAKE OVER</t>
        </is>
      </c>
      <c r="B3141" s="2">
        <f>"20300447524"</f>
        <v/>
      </c>
      <c r="C3141" t="inlineStr">
        <is>
          <t>MAKE OVER Powerstay Glazed Lock Lip Pigment D24 Served 3gr</t>
        </is>
      </c>
      <c r="D3141" t="inlineStr">
        <is>
          <t>Miss Glam Damar</t>
        </is>
      </c>
      <c r="E3141" t="n">
        <v>12</v>
      </c>
      <c r="F3141" t="n">
        <v>0.1365</v>
      </c>
      <c r="G3141" t="n">
        <v>0.91</v>
      </c>
      <c r="H3141" t="n">
        <v>2</v>
      </c>
      <c r="I3141" t="n">
        <v>6</v>
      </c>
      <c r="J3141" t="n">
        <v>1</v>
      </c>
      <c r="K3141" t="n">
        <v>0</v>
      </c>
      <c r="L3141" t="n">
        <v>102750</v>
      </c>
      <c r="M3141" t="n">
        <v>125500</v>
      </c>
      <c r="N3141" t="n">
        <v>91</v>
      </c>
      <c r="O3141" t="n">
        <v>0.91</v>
      </c>
      <c r="P3141" t="n">
        <v>1</v>
      </c>
      <c r="Q3141" t="n">
        <v>0.64</v>
      </c>
      <c r="R3141" t="n">
        <v>3</v>
      </c>
      <c r="S3141" t="n">
        <v>17130.75</v>
      </c>
      <c r="T3141" t="n">
        <v>6</v>
      </c>
      <c r="U3141" t="n">
        <v>7</v>
      </c>
      <c r="V3141" t="n">
        <v>30</v>
      </c>
      <c r="W3141" t="n">
        <v>5</v>
      </c>
      <c r="X3141" t="n">
        <v>87.91208791208791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11711</v>
      </c>
      <c r="AG3141" t="n">
        <v>63</v>
      </c>
      <c r="AH3141" t="inlineStr">
        <is>
          <t>PT. PARAMA GLOBAL INSPIRA - PPN (PDG)</t>
        </is>
      </c>
      <c r="AI3141" t="n">
        <v>103</v>
      </c>
      <c r="AJ3141" t="inlineStr">
        <is>
          <t>MAKE OVER</t>
        </is>
      </c>
      <c r="AK3141" t="n">
        <v>21</v>
      </c>
      <c r="AL3141" t="inlineStr">
        <is>
          <t>Miss Glam Damar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MAKE OVER</t>
        </is>
      </c>
      <c r="B3142" s="2">
        <f>"8993137721578"</f>
        <v/>
      </c>
      <c r="C3142" t="inlineStr">
        <is>
          <t>MAKE OVER Powerstay Matte Powder Foundation 24H Oil Control N20 Ivory 10gr</t>
        </is>
      </c>
      <c r="D3142" t="inlineStr">
        <is>
          <t>Miss Glam Damar</t>
        </is>
      </c>
      <c r="E3142" t="n">
        <v>7</v>
      </c>
      <c r="F3142" t="n">
        <v>0.1729</v>
      </c>
      <c r="G3142" t="n">
        <v>1.82</v>
      </c>
      <c r="H3142" t="n">
        <v>2</v>
      </c>
      <c r="I3142" t="n">
        <v>6</v>
      </c>
      <c r="J3142" t="n">
        <v>3</v>
      </c>
      <c r="K3142" t="n">
        <v>0</v>
      </c>
      <c r="L3142" t="n">
        <v>150000</v>
      </c>
      <c r="M3142" t="n">
        <v>195000</v>
      </c>
      <c r="N3142" t="n">
        <v>91</v>
      </c>
      <c r="O3142" t="n">
        <v>0.91</v>
      </c>
      <c r="P3142" t="n">
        <v>1</v>
      </c>
      <c r="Q3142" t="n">
        <v>0.17</v>
      </c>
      <c r="R3142" t="n">
        <v>1</v>
      </c>
      <c r="S3142" t="n">
        <v>33715.5</v>
      </c>
      <c r="T3142" t="n">
        <v>11</v>
      </c>
      <c r="U3142" t="n">
        <v>12</v>
      </c>
      <c r="V3142" t="n">
        <v>30</v>
      </c>
      <c r="W3142" t="n">
        <v>6</v>
      </c>
      <c r="X3142" t="n">
        <v>40.48582995951417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11711</v>
      </c>
      <c r="AG3142" t="n">
        <v>63</v>
      </c>
      <c r="AH3142" t="inlineStr">
        <is>
          <t>PT. PARAMA GLOBAL INSPIRA - PPN (PDG)</t>
        </is>
      </c>
      <c r="AI3142" t="n">
        <v>103</v>
      </c>
      <c r="AJ3142" t="inlineStr">
        <is>
          <t>MAKE OVER</t>
        </is>
      </c>
      <c r="AK3142" t="n">
        <v>21</v>
      </c>
      <c r="AL3142" t="inlineStr">
        <is>
          <t>Miss Glam Damar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MAKE OVER</t>
        </is>
      </c>
      <c r="B3143" s="2">
        <f>"8993137721585"</f>
        <v/>
      </c>
      <c r="C3143" t="inlineStr">
        <is>
          <t>MAKE OVER Powerstay Matte Powder Foundation 24H Oil Control N40 Sand 10gr</t>
        </is>
      </c>
      <c r="D3143" t="inlineStr">
        <is>
          <t>Miss Glam Damar</t>
        </is>
      </c>
      <c r="E3143" t="n">
        <v>6</v>
      </c>
      <c r="F3143" t="n">
        <v>0.0182</v>
      </c>
      <c r="G3143" t="n">
        <v>0.91</v>
      </c>
      <c r="H3143" t="n">
        <v>2</v>
      </c>
      <c r="I3143" t="n">
        <v>6</v>
      </c>
      <c r="J3143" t="n">
        <v>3</v>
      </c>
      <c r="K3143" t="n">
        <v>0</v>
      </c>
      <c r="L3143" t="n">
        <v>150000</v>
      </c>
      <c r="M3143" t="n">
        <v>195000</v>
      </c>
      <c r="N3143" t="n">
        <v>91</v>
      </c>
      <c r="O3143" t="n">
        <v>0.91</v>
      </c>
      <c r="P3143" t="n">
        <v>1</v>
      </c>
      <c r="Q3143" t="n">
        <v>0.1</v>
      </c>
      <c r="R3143" t="n">
        <v>2</v>
      </c>
      <c r="S3143" t="n">
        <v>3549</v>
      </c>
      <c r="T3143" t="n">
        <v>6</v>
      </c>
      <c r="U3143" t="n">
        <v>7</v>
      </c>
      <c r="V3143" t="n">
        <v>30</v>
      </c>
      <c r="W3143" t="n">
        <v>1</v>
      </c>
      <c r="X3143" t="n">
        <v>329.6703296703296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11711</v>
      </c>
      <c r="AG3143" t="n">
        <v>63</v>
      </c>
      <c r="AH3143" t="inlineStr">
        <is>
          <t>PT. PARAMA GLOBAL INSPIRA - PPN (PDG)</t>
        </is>
      </c>
      <c r="AI3143" t="n">
        <v>103</v>
      </c>
      <c r="AJ3143" t="inlineStr">
        <is>
          <t>MAKE OVER</t>
        </is>
      </c>
      <c r="AK3143" t="n">
        <v>21</v>
      </c>
      <c r="AL3143" t="inlineStr">
        <is>
          <t>Miss Glam Damar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MAKE OVER</t>
        </is>
      </c>
      <c r="B3144" s="2">
        <f>"8993137721639"</f>
        <v/>
      </c>
      <c r="C3144" t="inlineStr">
        <is>
          <t>MAKE OVER Powerstay Matte Powder Foundation 24H Oil Control W12 Warm Marble 10gr</t>
        </is>
      </c>
      <c r="D3144" t="inlineStr">
        <is>
          <t>Miss Glam Damar</t>
        </is>
      </c>
      <c r="E3144" t="n">
        <v>5</v>
      </c>
      <c r="F3144" t="n">
        <v>0.02</v>
      </c>
      <c r="G3144" t="n">
        <v>1</v>
      </c>
      <c r="H3144" t="n">
        <v>2</v>
      </c>
      <c r="I3144" t="n">
        <v>6</v>
      </c>
      <c r="J3144" t="n">
        <v>3</v>
      </c>
      <c r="K3144" t="n">
        <v>0</v>
      </c>
      <c r="L3144" t="n">
        <v>150000</v>
      </c>
      <c r="M3144" t="n">
        <v>195000</v>
      </c>
      <c r="N3144" t="n">
        <v>91</v>
      </c>
      <c r="O3144" t="n">
        <v>0.91</v>
      </c>
      <c r="P3144" t="n">
        <v>0</v>
      </c>
      <c r="Q3144" t="n">
        <v>0.02</v>
      </c>
      <c r="R3144" t="n">
        <v>1</v>
      </c>
      <c r="S3144" t="n">
        <v>3900</v>
      </c>
      <c r="T3144" t="n">
        <v>6</v>
      </c>
      <c r="U3144" t="n">
        <v>7</v>
      </c>
      <c r="V3144" t="n">
        <v>30</v>
      </c>
      <c r="W3144" t="n">
        <v>1</v>
      </c>
      <c r="X3144" t="n">
        <v>250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11711</v>
      </c>
      <c r="AG3144" t="n">
        <v>63</v>
      </c>
      <c r="AH3144" t="inlineStr">
        <is>
          <t>PT. PARAMA GLOBAL INSPIRA - PPN (PDG)</t>
        </is>
      </c>
      <c r="AI3144" t="n">
        <v>103</v>
      </c>
      <c r="AJ3144" t="inlineStr">
        <is>
          <t>MAKE OVER</t>
        </is>
      </c>
      <c r="AK3144" t="n">
        <v>21</v>
      </c>
      <c r="AL3144" t="inlineStr">
        <is>
          <t>Miss Glam Damar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MAKE OVER</t>
        </is>
      </c>
      <c r="B3145" s="2">
        <f>"8993137721622"</f>
        <v/>
      </c>
      <c r="C3145" t="inlineStr">
        <is>
          <t>MAKE OVER Powerstay Matte Powder Foundation 24H Oil Control W21 Coral Ivory 10gr</t>
        </is>
      </c>
      <c r="D3145" t="inlineStr">
        <is>
          <t>Miss Glam Damar</t>
        </is>
      </c>
      <c r="E3145" t="n">
        <v>3</v>
      </c>
      <c r="F3145" t="n">
        <v>0.06370000000000001</v>
      </c>
      <c r="G3145" t="n">
        <v>0.91</v>
      </c>
      <c r="H3145" t="n">
        <v>2</v>
      </c>
      <c r="I3145" t="n">
        <v>6</v>
      </c>
      <c r="J3145" t="n">
        <v>3</v>
      </c>
      <c r="K3145" t="n">
        <v>0</v>
      </c>
      <c r="L3145" t="n">
        <v>120000</v>
      </c>
      <c r="M3145" t="n">
        <v>195000</v>
      </c>
      <c r="N3145" t="n">
        <v>91</v>
      </c>
      <c r="O3145" t="n">
        <v>0.91</v>
      </c>
      <c r="P3145" t="n">
        <v>1</v>
      </c>
      <c r="Q3145" t="n">
        <v>0.07000000000000001</v>
      </c>
      <c r="R3145" t="n">
        <v>1</v>
      </c>
      <c r="S3145" t="n">
        <v>12421.5</v>
      </c>
      <c r="T3145" t="n">
        <v>6</v>
      </c>
      <c r="U3145" t="n">
        <v>7</v>
      </c>
      <c r="V3145" t="n">
        <v>30</v>
      </c>
      <c r="W3145" t="n">
        <v>2</v>
      </c>
      <c r="X3145" t="n">
        <v>47.09576138147566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11711</v>
      </c>
      <c r="AG3145" t="n">
        <v>63</v>
      </c>
      <c r="AH3145" t="inlineStr">
        <is>
          <t>PT. PARAMA GLOBAL INSPIRA - PPN (PDG)</t>
        </is>
      </c>
      <c r="AI3145" t="n">
        <v>103</v>
      </c>
      <c r="AJ3145" t="inlineStr">
        <is>
          <t>MAKE OVER</t>
        </is>
      </c>
      <c r="AK3145" t="n">
        <v>21</v>
      </c>
      <c r="AL3145" t="inlineStr">
        <is>
          <t>Miss Glam Damar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MAKE OVER</t>
        </is>
      </c>
      <c r="B3146" s="2">
        <f>"8993137721615"</f>
        <v/>
      </c>
      <c r="C3146" t="inlineStr">
        <is>
          <t>MAKE OVER Powerstay Matte Powder Foundation 24H Oil Control W32 Warm Beige 10gr</t>
        </is>
      </c>
      <c r="D3146" t="inlineStr">
        <is>
          <t>Miss Glam Damar</t>
        </is>
      </c>
      <c r="E3146" t="n">
        <v>6</v>
      </c>
      <c r="F3146" t="n">
        <v>0.1729</v>
      </c>
      <c r="G3146" t="n">
        <v>1.82</v>
      </c>
      <c r="H3146" t="n">
        <v>2</v>
      </c>
      <c r="I3146" t="n">
        <v>6</v>
      </c>
      <c r="J3146" t="n">
        <v>3</v>
      </c>
      <c r="K3146" t="n">
        <v>0</v>
      </c>
      <c r="L3146" t="n">
        <v>150000</v>
      </c>
      <c r="M3146" t="n">
        <v>195000</v>
      </c>
      <c r="N3146" t="n">
        <v>91</v>
      </c>
      <c r="O3146" t="n">
        <v>0.91</v>
      </c>
      <c r="P3146" t="n">
        <v>1</v>
      </c>
      <c r="Q3146" t="n">
        <v>0.17</v>
      </c>
      <c r="R3146" t="n">
        <v>1</v>
      </c>
      <c r="S3146" t="n">
        <v>33715.5</v>
      </c>
      <c r="T3146" t="n">
        <v>11</v>
      </c>
      <c r="U3146" t="n">
        <v>12</v>
      </c>
      <c r="V3146" t="n">
        <v>30</v>
      </c>
      <c r="W3146" t="n">
        <v>6</v>
      </c>
      <c r="X3146" t="n">
        <v>34.70213996529786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11711</v>
      </c>
      <c r="AG3146" t="n">
        <v>63</v>
      </c>
      <c r="AH3146" t="inlineStr">
        <is>
          <t>PT. PARAMA GLOBAL INSPIRA - PPN (PDG)</t>
        </is>
      </c>
      <c r="AI3146" t="n">
        <v>103</v>
      </c>
      <c r="AJ3146" t="inlineStr">
        <is>
          <t>MAKE OVER</t>
        </is>
      </c>
      <c r="AK3146" t="n">
        <v>21</v>
      </c>
      <c r="AL3146" t="inlineStr">
        <is>
          <t>Miss Glam Damar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MAKE OVER</t>
        </is>
      </c>
      <c r="B3147" s="2">
        <f>"20100473344"</f>
        <v/>
      </c>
      <c r="C3147" t="inlineStr">
        <is>
          <t>MAKE OVER Powerstay Sync Matte Cushion C11 Pink Marble 12gr</t>
        </is>
      </c>
      <c r="D3147" t="inlineStr">
        <is>
          <t>Miss Glam Damar</t>
        </is>
      </c>
      <c r="E3147" t="n">
        <v>4</v>
      </c>
      <c r="F3147" t="n">
        <v>0.07000000000000001</v>
      </c>
      <c r="G3147" t="n">
        <v>2</v>
      </c>
      <c r="H3147" t="n">
        <v>2</v>
      </c>
      <c r="I3147" t="n">
        <v>6</v>
      </c>
      <c r="J3147" t="n">
        <v>1</v>
      </c>
      <c r="K3147" t="n">
        <v>0</v>
      </c>
      <c r="L3147" t="n">
        <v>170250</v>
      </c>
      <c r="M3147" t="n">
        <v>208000</v>
      </c>
      <c r="N3147" t="n">
        <v>91</v>
      </c>
      <c r="O3147" t="n">
        <v>0.91</v>
      </c>
      <c r="P3147" t="n">
        <v>0</v>
      </c>
      <c r="Q3147" t="n">
        <v>0.07000000000000001</v>
      </c>
      <c r="R3147" t="n">
        <v>2</v>
      </c>
      <c r="S3147" t="n">
        <v>14560</v>
      </c>
      <c r="T3147" t="n">
        <v>12</v>
      </c>
      <c r="U3147" t="n">
        <v>13</v>
      </c>
      <c r="V3147" t="n">
        <v>30</v>
      </c>
      <c r="W3147" t="n">
        <v>3</v>
      </c>
      <c r="X3147" t="n">
        <v>57.14285714285714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11711</v>
      </c>
      <c r="AG3147" t="n">
        <v>63</v>
      </c>
      <c r="AH3147" t="inlineStr">
        <is>
          <t>PT. PARAMA GLOBAL INSPIRA - PPN (PDG)</t>
        </is>
      </c>
      <c r="AI3147" t="n">
        <v>103</v>
      </c>
      <c r="AJ3147" t="inlineStr">
        <is>
          <t>MAKE OVER</t>
        </is>
      </c>
      <c r="AK3147" t="n">
        <v>21</v>
      </c>
      <c r="AL3147" t="inlineStr">
        <is>
          <t>Miss Glam Damar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MAKE OVER</t>
        </is>
      </c>
      <c r="B3148" s="2">
        <f>"20100489612"</f>
        <v/>
      </c>
      <c r="C3148" t="inlineStr">
        <is>
          <t>MAKE OVER Powerstay Sync Matte Cushion C21 Pink Ivory 12gr REFILL</t>
        </is>
      </c>
      <c r="D3148" t="inlineStr">
        <is>
          <t>Miss Glam Damar</t>
        </is>
      </c>
      <c r="E3148" t="n">
        <v>2</v>
      </c>
      <c r="F3148" t="n">
        <v>0.0182</v>
      </c>
      <c r="G3148" t="n">
        <v>0.91</v>
      </c>
      <c r="H3148" t="n">
        <v>2</v>
      </c>
      <c r="I3148" t="n">
        <v>6</v>
      </c>
      <c r="J3148" t="n">
        <v>1</v>
      </c>
      <c r="K3148" t="n">
        <v>0</v>
      </c>
      <c r="L3148" t="n">
        <v>108750</v>
      </c>
      <c r="M3148" t="n">
        <v>145000</v>
      </c>
      <c r="N3148" t="n">
        <v>91</v>
      </c>
      <c r="O3148" t="n">
        <v>0.91</v>
      </c>
      <c r="P3148" t="n">
        <v>1</v>
      </c>
      <c r="Q3148" t="n">
        <v>0.02</v>
      </c>
      <c r="R3148" t="n">
        <v>1</v>
      </c>
      <c r="S3148" t="n">
        <v>2639</v>
      </c>
      <c r="T3148" t="n">
        <v>6</v>
      </c>
      <c r="U3148" t="n">
        <v>7</v>
      </c>
      <c r="V3148" t="n">
        <v>30</v>
      </c>
      <c r="W3148" t="n">
        <v>1</v>
      </c>
      <c r="X3148" t="n">
        <v>109.8901098901099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11711</v>
      </c>
      <c r="AG3148" t="n">
        <v>63</v>
      </c>
      <c r="AH3148" t="inlineStr">
        <is>
          <t>PT. PARAMA GLOBAL INSPIRA - PPN (PDG)</t>
        </is>
      </c>
      <c r="AI3148" t="n">
        <v>103</v>
      </c>
      <c r="AJ3148" t="inlineStr">
        <is>
          <t>MAKE OVER</t>
        </is>
      </c>
      <c r="AK3148" t="n">
        <v>21</v>
      </c>
      <c r="AL3148" t="inlineStr">
        <is>
          <t>Miss Glam Damar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MAKE OVER</t>
        </is>
      </c>
      <c r="B3149" s="2">
        <f>"20100473528"</f>
        <v/>
      </c>
      <c r="C3149" t="inlineStr">
        <is>
          <t>MAKE OVER Powerstay Sync Matte Cushion C31 Pink Beige 12gr</t>
        </is>
      </c>
      <c r="D3149" t="inlineStr">
        <is>
          <t>Miss Glam Damar</t>
        </is>
      </c>
      <c r="E3149" t="n">
        <v>2</v>
      </c>
      <c r="F3149" t="n">
        <v>0.0182</v>
      </c>
      <c r="G3149" t="n">
        <v>0.91</v>
      </c>
      <c r="H3149" t="n">
        <v>2</v>
      </c>
      <c r="I3149" t="n">
        <v>6</v>
      </c>
      <c r="J3149" t="n">
        <v>1</v>
      </c>
      <c r="K3149" t="n">
        <v>0</v>
      </c>
      <c r="L3149" t="n">
        <v>170249</v>
      </c>
      <c r="M3149" t="n">
        <v>208000</v>
      </c>
      <c r="N3149" t="n">
        <v>91</v>
      </c>
      <c r="O3149" t="n">
        <v>0.91</v>
      </c>
      <c r="P3149" t="n">
        <v>1</v>
      </c>
      <c r="Q3149" t="n">
        <v>0.02</v>
      </c>
      <c r="R3149" t="n">
        <v>1</v>
      </c>
      <c r="S3149" t="n">
        <v>3785.6</v>
      </c>
      <c r="T3149" t="n">
        <v>6</v>
      </c>
      <c r="U3149" t="n">
        <v>7</v>
      </c>
      <c r="V3149" t="n">
        <v>30</v>
      </c>
      <c r="W3149" t="n">
        <v>1</v>
      </c>
      <c r="X3149" t="n">
        <v>109.8901098901099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11711</v>
      </c>
      <c r="AG3149" t="n">
        <v>63</v>
      </c>
      <c r="AH3149" t="inlineStr">
        <is>
          <t>PT. PARAMA GLOBAL INSPIRA - PPN (PDG)</t>
        </is>
      </c>
      <c r="AI3149" t="n">
        <v>103</v>
      </c>
      <c r="AJ3149" t="inlineStr">
        <is>
          <t>MAKE OVER</t>
        </is>
      </c>
      <c r="AK3149" t="n">
        <v>21</v>
      </c>
      <c r="AL3149" t="inlineStr">
        <is>
          <t>Miss Glam Damar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MAKE OVER</t>
        </is>
      </c>
      <c r="B3150" s="2">
        <f>"20100473756"</f>
        <v/>
      </c>
      <c r="C3150" t="inlineStr">
        <is>
          <t>MAKE OVER Powerstay Sync Matte Cushion N10 Marble 12gr</t>
        </is>
      </c>
      <c r="D3150" t="inlineStr">
        <is>
          <t>Miss Glam Damar</t>
        </is>
      </c>
      <c r="E3150" t="n">
        <v>5</v>
      </c>
      <c r="F3150" t="n">
        <v>0.1274</v>
      </c>
      <c r="G3150" t="n">
        <v>0.91</v>
      </c>
      <c r="H3150" t="n">
        <v>2</v>
      </c>
      <c r="I3150" t="n">
        <v>6</v>
      </c>
      <c r="J3150" t="n">
        <v>1</v>
      </c>
      <c r="K3150" t="n">
        <v>0</v>
      </c>
      <c r="L3150" t="n">
        <v>170250</v>
      </c>
      <c r="M3150" t="n">
        <v>208000</v>
      </c>
      <c r="N3150" t="n">
        <v>91</v>
      </c>
      <c r="O3150" t="n">
        <v>0.91</v>
      </c>
      <c r="P3150" t="n">
        <v>1</v>
      </c>
      <c r="Q3150" t="n">
        <v>0.03</v>
      </c>
      <c r="R3150" t="n">
        <v>1</v>
      </c>
      <c r="S3150" t="n">
        <v>26499.2</v>
      </c>
      <c r="T3150" t="n">
        <v>6</v>
      </c>
      <c r="U3150" t="n">
        <v>7</v>
      </c>
      <c r="V3150" t="n">
        <v>30</v>
      </c>
      <c r="W3150" t="n">
        <v>4</v>
      </c>
      <c r="X3150" t="n">
        <v>39.24646781789639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11711</v>
      </c>
      <c r="AG3150" t="n">
        <v>63</v>
      </c>
      <c r="AH3150" t="inlineStr">
        <is>
          <t>PT. PARAMA GLOBAL INSPIRA - PPN (PDG)</t>
        </is>
      </c>
      <c r="AI3150" t="n">
        <v>103</v>
      </c>
      <c r="AJ3150" t="inlineStr">
        <is>
          <t>MAKE OVER</t>
        </is>
      </c>
      <c r="AK3150" t="n">
        <v>21</v>
      </c>
      <c r="AL3150" t="inlineStr">
        <is>
          <t>Miss Glam Damar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MAKE OVER</t>
        </is>
      </c>
      <c r="B3151" s="2">
        <f>"20100489757"</f>
        <v/>
      </c>
      <c r="C3151" t="inlineStr">
        <is>
          <t>MAKE OVER Powerstay Sync Matte Cushion N10 Marble 12gr REFILL</t>
        </is>
      </c>
      <c r="D3151" t="inlineStr">
        <is>
          <t>Miss Glam Damar</t>
        </is>
      </c>
      <c r="E3151" t="n">
        <v>4</v>
      </c>
      <c r="F3151" t="n">
        <v>0.0182</v>
      </c>
      <c r="G3151" t="n">
        <v>0.91</v>
      </c>
      <c r="H3151" t="n">
        <v>2</v>
      </c>
      <c r="I3151" t="n">
        <v>6</v>
      </c>
      <c r="J3151" t="n">
        <v>1</v>
      </c>
      <c r="K3151" t="n">
        <v>0</v>
      </c>
      <c r="L3151" t="n">
        <v>108750</v>
      </c>
      <c r="M3151" t="n">
        <v>145000</v>
      </c>
      <c r="N3151" t="n">
        <v>91</v>
      </c>
      <c r="O3151" t="n">
        <v>0.91</v>
      </c>
      <c r="P3151" t="n">
        <v>1</v>
      </c>
      <c r="Q3151" t="n">
        <v>0.03</v>
      </c>
      <c r="R3151" t="n">
        <v>1</v>
      </c>
      <c r="S3151" t="n">
        <v>2639</v>
      </c>
      <c r="T3151" t="n">
        <v>6</v>
      </c>
      <c r="U3151" t="n">
        <v>7</v>
      </c>
      <c r="V3151" t="n">
        <v>30</v>
      </c>
      <c r="W3151" t="n">
        <v>1</v>
      </c>
      <c r="X3151" t="n">
        <v>219.7802197802198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11711</v>
      </c>
      <c r="AG3151" t="n">
        <v>63</v>
      </c>
      <c r="AH3151" t="inlineStr">
        <is>
          <t>PT. PARAMA GLOBAL INSPIRA - PPN (PDG)</t>
        </is>
      </c>
      <c r="AI3151" t="n">
        <v>103</v>
      </c>
      <c r="AJ3151" t="inlineStr">
        <is>
          <t>MAKE OVER</t>
        </is>
      </c>
      <c r="AK3151" t="n">
        <v>21</v>
      </c>
      <c r="AL3151" t="inlineStr">
        <is>
          <t>Miss Glam Damar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MAKE OVER</t>
        </is>
      </c>
      <c r="B3152" s="2">
        <f>"20100473807"</f>
        <v/>
      </c>
      <c r="C3152" t="inlineStr">
        <is>
          <t>MAKE OVER Powerstay Sync Matte Cushion N20 Ivory 12gr</t>
        </is>
      </c>
      <c r="D3152" t="inlineStr">
        <is>
          <t>Miss Glam Damar</t>
        </is>
      </c>
      <c r="E3152" t="n">
        <v>4</v>
      </c>
      <c r="F3152" t="n">
        <v>0.0273</v>
      </c>
      <c r="G3152" t="n">
        <v>0.91</v>
      </c>
      <c r="H3152" t="n">
        <v>2</v>
      </c>
      <c r="I3152" t="n">
        <v>6</v>
      </c>
      <c r="J3152" t="n">
        <v>1</v>
      </c>
      <c r="K3152" t="n">
        <v>0</v>
      </c>
      <c r="L3152" t="n">
        <v>170250</v>
      </c>
      <c r="M3152" t="n">
        <v>208000</v>
      </c>
      <c r="N3152" t="n">
        <v>91</v>
      </c>
      <c r="O3152" t="n">
        <v>0.91</v>
      </c>
      <c r="P3152" t="n">
        <v>1</v>
      </c>
      <c r="Q3152" t="n">
        <v>0.07000000000000001</v>
      </c>
      <c r="R3152" t="n">
        <v>1</v>
      </c>
      <c r="S3152" t="n">
        <v>5678.400000000001</v>
      </c>
      <c r="T3152" t="n">
        <v>6</v>
      </c>
      <c r="U3152" t="n">
        <v>7</v>
      </c>
      <c r="V3152" t="n">
        <v>30</v>
      </c>
      <c r="W3152" t="n">
        <v>1</v>
      </c>
      <c r="X3152" t="n">
        <v>146.5201465201465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11711</v>
      </c>
      <c r="AG3152" t="n">
        <v>63</v>
      </c>
      <c r="AH3152" t="inlineStr">
        <is>
          <t>PT. PARAMA GLOBAL INSPIRA - PPN (PDG)</t>
        </is>
      </c>
      <c r="AI3152" t="n">
        <v>103</v>
      </c>
      <c r="AJ3152" t="inlineStr">
        <is>
          <t>MAKE OVER</t>
        </is>
      </c>
      <c r="AK3152" t="n">
        <v>21</v>
      </c>
      <c r="AL3152" t="inlineStr">
        <is>
          <t>Miss Glam Damar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MAKE OVER</t>
        </is>
      </c>
      <c r="B3153" s="2">
        <f>"20100489810"</f>
        <v/>
      </c>
      <c r="C3153" t="inlineStr">
        <is>
          <t>MAKE OVER Powerstay Sync Matte Cushion N20 Ivory 12gr REFILL</t>
        </is>
      </c>
      <c r="D3153" t="inlineStr">
        <is>
          <t>Miss Glam Damar</t>
        </is>
      </c>
      <c r="E3153" t="n">
        <v>4</v>
      </c>
      <c r="F3153" t="n">
        <v>0.0273</v>
      </c>
      <c r="G3153" t="n">
        <v>0.91</v>
      </c>
      <c r="H3153" t="n">
        <v>2</v>
      </c>
      <c r="I3153" t="n">
        <v>6</v>
      </c>
      <c r="J3153" t="n">
        <v>1</v>
      </c>
      <c r="K3153" t="n">
        <v>0</v>
      </c>
      <c r="L3153" t="n">
        <v>108750</v>
      </c>
      <c r="M3153" t="n">
        <v>145000</v>
      </c>
      <c r="N3153" t="n">
        <v>91</v>
      </c>
      <c r="O3153" t="n">
        <v>0.91</v>
      </c>
      <c r="P3153" t="n">
        <v>1</v>
      </c>
      <c r="Q3153" t="n">
        <v>0.03</v>
      </c>
      <c r="R3153" t="n">
        <v>1</v>
      </c>
      <c r="S3153" t="n">
        <v>3958.5</v>
      </c>
      <c r="T3153" t="n">
        <v>6</v>
      </c>
      <c r="U3153" t="n">
        <v>7</v>
      </c>
      <c r="V3153" t="n">
        <v>30</v>
      </c>
      <c r="W3153" t="n">
        <v>1</v>
      </c>
      <c r="X3153" t="n">
        <v>146.5201465201465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11711</v>
      </c>
      <c r="AG3153" t="n">
        <v>63</v>
      </c>
      <c r="AH3153" t="inlineStr">
        <is>
          <t>PT. PARAMA GLOBAL INSPIRA - PPN (PDG)</t>
        </is>
      </c>
      <c r="AI3153" t="n">
        <v>103</v>
      </c>
      <c r="AJ3153" t="inlineStr">
        <is>
          <t>MAKE OVER</t>
        </is>
      </c>
      <c r="AK3153" t="n">
        <v>21</v>
      </c>
      <c r="AL3153" t="inlineStr">
        <is>
          <t>Miss Glam Damar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MAKE OVER</t>
        </is>
      </c>
      <c r="B3154" s="2">
        <f>"20100473914"</f>
        <v/>
      </c>
      <c r="C3154" t="inlineStr">
        <is>
          <t>MAKE OVER Powerstay Sync Matte Cushion N30 Natural Beige 12gr</t>
        </is>
      </c>
      <c r="D3154" t="inlineStr">
        <is>
          <t>Miss Glam Damar</t>
        </is>
      </c>
      <c r="E3154" t="n">
        <v>6</v>
      </c>
      <c r="F3154" t="n">
        <v>0.0273</v>
      </c>
      <c r="G3154" t="n">
        <v>0.91</v>
      </c>
      <c r="H3154" t="n">
        <v>2</v>
      </c>
      <c r="I3154" t="n">
        <v>6</v>
      </c>
      <c r="J3154" t="n">
        <v>1</v>
      </c>
      <c r="K3154" t="n">
        <v>0</v>
      </c>
      <c r="L3154" t="n">
        <v>170250</v>
      </c>
      <c r="M3154" t="n">
        <v>208000</v>
      </c>
      <c r="N3154" t="n">
        <v>91</v>
      </c>
      <c r="O3154" t="n">
        <v>0.91</v>
      </c>
      <c r="P3154" t="n">
        <v>1</v>
      </c>
      <c r="Q3154" t="n">
        <v>0.2</v>
      </c>
      <c r="R3154" t="n">
        <v>1</v>
      </c>
      <c r="S3154" t="n">
        <v>5678.400000000001</v>
      </c>
      <c r="T3154" t="n">
        <v>6</v>
      </c>
      <c r="U3154" t="n">
        <v>7</v>
      </c>
      <c r="V3154" t="n">
        <v>30</v>
      </c>
      <c r="W3154" t="n">
        <v>1</v>
      </c>
      <c r="X3154" t="n">
        <v>219.7802197802198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11711</v>
      </c>
      <c r="AG3154" t="n">
        <v>63</v>
      </c>
      <c r="AH3154" t="inlineStr">
        <is>
          <t>PT. PARAMA GLOBAL INSPIRA - PPN (PDG)</t>
        </is>
      </c>
      <c r="AI3154" t="n">
        <v>103</v>
      </c>
      <c r="AJ3154" t="inlineStr">
        <is>
          <t>MAKE OVER</t>
        </is>
      </c>
      <c r="AK3154" t="n">
        <v>21</v>
      </c>
      <c r="AL3154" t="inlineStr">
        <is>
          <t>Miss Glam Damar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MAKE OVER</t>
        </is>
      </c>
      <c r="B3155" s="2">
        <f>"20100489946"</f>
        <v/>
      </c>
      <c r="C3155" t="inlineStr">
        <is>
          <t>MAKE OVER Powerstay Sync Matte Cushion N30 Natural Beige 12gr REFILL</t>
        </is>
      </c>
      <c r="D3155" t="inlineStr">
        <is>
          <t>Miss Glam Damar</t>
        </is>
      </c>
      <c r="E3155" t="n">
        <v>5</v>
      </c>
      <c r="F3155" t="n">
        <v>0.04550000000000001</v>
      </c>
      <c r="G3155" t="n">
        <v>0.91</v>
      </c>
      <c r="H3155" t="n">
        <v>2</v>
      </c>
      <c r="I3155" t="n">
        <v>6</v>
      </c>
      <c r="J3155" t="n">
        <v>1</v>
      </c>
      <c r="K3155" t="n">
        <v>0</v>
      </c>
      <c r="L3155" t="n">
        <v>108750</v>
      </c>
      <c r="M3155" t="n">
        <v>145000</v>
      </c>
      <c r="N3155" t="n">
        <v>91</v>
      </c>
      <c r="O3155" t="n">
        <v>0.91</v>
      </c>
      <c r="P3155" t="n">
        <v>1</v>
      </c>
      <c r="Q3155" t="n">
        <v>0.07000000000000001</v>
      </c>
      <c r="R3155" t="n">
        <v>1</v>
      </c>
      <c r="S3155" t="n">
        <v>6597.500000000001</v>
      </c>
      <c r="T3155" t="n">
        <v>6</v>
      </c>
      <c r="U3155" t="n">
        <v>7</v>
      </c>
      <c r="V3155" t="n">
        <v>30</v>
      </c>
      <c r="W3155" t="n">
        <v>2</v>
      </c>
      <c r="X3155" t="n">
        <v>109.8901098901099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11711</v>
      </c>
      <c r="AG3155" t="n">
        <v>63</v>
      </c>
      <c r="AH3155" t="inlineStr">
        <is>
          <t>PT. PARAMA GLOBAL INSPIRA - PPN (PDG)</t>
        </is>
      </c>
      <c r="AI3155" t="n">
        <v>103</v>
      </c>
      <c r="AJ3155" t="inlineStr">
        <is>
          <t>MAKE OVER</t>
        </is>
      </c>
      <c r="AK3155" t="n">
        <v>21</v>
      </c>
      <c r="AL3155" t="inlineStr">
        <is>
          <t>Miss Glam Damar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MAKE OVER</t>
        </is>
      </c>
      <c r="B3156" s="2">
        <f>"20100474150"</f>
        <v/>
      </c>
      <c r="C3156" t="inlineStr">
        <is>
          <t>MAKE OVER Powerstay Sync Matte Cushion W12 Warm Marble 12gr</t>
        </is>
      </c>
      <c r="D3156" t="inlineStr">
        <is>
          <t>Miss Glam Damar</t>
        </is>
      </c>
      <c r="E3156" t="n">
        <v>4</v>
      </c>
      <c r="F3156" t="n">
        <v>0.0273</v>
      </c>
      <c r="G3156" t="n">
        <v>0.91</v>
      </c>
      <c r="H3156" t="n">
        <v>2</v>
      </c>
      <c r="I3156" t="n">
        <v>6</v>
      </c>
      <c r="J3156" t="n">
        <v>1</v>
      </c>
      <c r="K3156" t="n">
        <v>0</v>
      </c>
      <c r="L3156" t="n">
        <v>170250</v>
      </c>
      <c r="M3156" t="n">
        <v>208000</v>
      </c>
      <c r="N3156" t="n">
        <v>91</v>
      </c>
      <c r="O3156" t="n">
        <v>0.91</v>
      </c>
      <c r="P3156" t="n">
        <v>1</v>
      </c>
      <c r="Q3156" t="n">
        <v>0.02</v>
      </c>
      <c r="R3156" t="n">
        <v>1</v>
      </c>
      <c r="S3156" t="n">
        <v>5678.400000000001</v>
      </c>
      <c r="T3156" t="n">
        <v>6</v>
      </c>
      <c r="U3156" t="n">
        <v>7</v>
      </c>
      <c r="V3156" t="n">
        <v>30</v>
      </c>
      <c r="W3156" t="n">
        <v>1</v>
      </c>
      <c r="X3156" t="n">
        <v>146.5201465201465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11711</v>
      </c>
      <c r="AG3156" t="n">
        <v>63</v>
      </c>
      <c r="AH3156" t="inlineStr">
        <is>
          <t>PT. PARAMA GLOBAL INSPIRA - PPN (PDG)</t>
        </is>
      </c>
      <c r="AI3156" t="n">
        <v>103</v>
      </c>
      <c r="AJ3156" t="inlineStr">
        <is>
          <t>MAKE OVER</t>
        </is>
      </c>
      <c r="AK3156" t="n">
        <v>21</v>
      </c>
      <c r="AL3156" t="inlineStr">
        <is>
          <t>Miss Glam Damar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MAKE OVER</t>
        </is>
      </c>
      <c r="B3157" s="2">
        <f>"20100474251"</f>
        <v/>
      </c>
      <c r="C3157" t="inlineStr">
        <is>
          <t>MAKE OVER Powerstay Sync Matte Cushion W20 Creme Ivory 12gr</t>
        </is>
      </c>
      <c r="D3157" t="inlineStr">
        <is>
          <t>Miss Glam Damar</t>
        </is>
      </c>
      <c r="E3157" t="n">
        <v>7</v>
      </c>
      <c r="F3157" t="n">
        <v>0.0182</v>
      </c>
      <c r="G3157" t="n">
        <v>0.91</v>
      </c>
      <c r="H3157" t="n">
        <v>2</v>
      </c>
      <c r="I3157" t="n">
        <v>6</v>
      </c>
      <c r="J3157" t="n">
        <v>1</v>
      </c>
      <c r="K3157" t="n">
        <v>0</v>
      </c>
      <c r="L3157" t="n">
        <v>170250</v>
      </c>
      <c r="M3157" t="n">
        <v>208000</v>
      </c>
      <c r="N3157" t="n">
        <v>91</v>
      </c>
      <c r="O3157" t="n">
        <v>0.91</v>
      </c>
      <c r="P3157" t="n">
        <v>1</v>
      </c>
      <c r="Q3157" t="n">
        <v>0.07000000000000001</v>
      </c>
      <c r="R3157" t="n">
        <v>2</v>
      </c>
      <c r="S3157" t="n">
        <v>3785.6</v>
      </c>
      <c r="T3157" t="n">
        <v>6</v>
      </c>
      <c r="U3157" t="n">
        <v>7</v>
      </c>
      <c r="V3157" t="n">
        <v>30</v>
      </c>
      <c r="W3157" t="n">
        <v>1</v>
      </c>
      <c r="X3157" t="n">
        <v>384.6153846153846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11711</v>
      </c>
      <c r="AG3157" t="n">
        <v>63</v>
      </c>
      <c r="AH3157" t="inlineStr">
        <is>
          <t>PT. PARAMA GLOBAL INSPIRA - PPN (PDG)</t>
        </is>
      </c>
      <c r="AI3157" t="n">
        <v>103</v>
      </c>
      <c r="AJ3157" t="inlineStr">
        <is>
          <t>MAKE OVER</t>
        </is>
      </c>
      <c r="AK3157" t="n">
        <v>21</v>
      </c>
      <c r="AL3157" t="inlineStr">
        <is>
          <t>Miss Glam Damar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MAKE OVER</t>
        </is>
      </c>
      <c r="B3158" s="2">
        <f>"20100480631"</f>
        <v/>
      </c>
      <c r="C3158" t="inlineStr">
        <is>
          <t>MAKE OVER Powerstay Sync Matte Cushion W21 Coral Ivory 12gr</t>
        </is>
      </c>
      <c r="D3158" t="inlineStr">
        <is>
          <t>Miss Glam Damar</t>
        </is>
      </c>
      <c r="E3158" t="n">
        <v>4</v>
      </c>
      <c r="F3158" t="n">
        <v>0.08</v>
      </c>
      <c r="G3158" t="n">
        <v>1</v>
      </c>
      <c r="H3158" t="n">
        <v>2</v>
      </c>
      <c r="I3158" t="n">
        <v>6</v>
      </c>
      <c r="J3158" t="n">
        <v>1</v>
      </c>
      <c r="K3158" t="n">
        <v>0</v>
      </c>
      <c r="L3158" t="n">
        <v>171508</v>
      </c>
      <c r="M3158" t="n">
        <v>208000</v>
      </c>
      <c r="N3158" t="n">
        <v>91</v>
      </c>
      <c r="O3158" t="n">
        <v>0.91</v>
      </c>
      <c r="P3158" t="n">
        <v>0</v>
      </c>
      <c r="Q3158" t="n">
        <v>0.08</v>
      </c>
      <c r="R3158" t="n">
        <v>1</v>
      </c>
      <c r="S3158" t="n">
        <v>16640</v>
      </c>
      <c r="T3158" t="n">
        <v>6</v>
      </c>
      <c r="U3158" t="n">
        <v>7</v>
      </c>
      <c r="V3158" t="n">
        <v>30</v>
      </c>
      <c r="W3158" t="n">
        <v>3</v>
      </c>
      <c r="X3158" t="n">
        <v>50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11711</v>
      </c>
      <c r="AG3158" t="n">
        <v>63</v>
      </c>
      <c r="AH3158" t="inlineStr">
        <is>
          <t>PT. PARAMA GLOBAL INSPIRA - PPN (PDG)</t>
        </is>
      </c>
      <c r="AI3158" t="n">
        <v>103</v>
      </c>
      <c r="AJ3158" t="inlineStr">
        <is>
          <t>MAKE OVER</t>
        </is>
      </c>
      <c r="AK3158" t="n">
        <v>21</v>
      </c>
      <c r="AL3158" t="inlineStr">
        <is>
          <t>Miss Glam Damar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MAKE OVER</t>
        </is>
      </c>
      <c r="B3159" s="2">
        <f>"20100490117"</f>
        <v/>
      </c>
      <c r="C3159" t="inlineStr">
        <is>
          <t>MAKE OVER Powerstay Sync Matte Cushion W21 Coral Ivory 12gr REFILL</t>
        </is>
      </c>
      <c r="D3159" t="inlineStr">
        <is>
          <t>Miss Glam Damar</t>
        </is>
      </c>
      <c r="E3159" t="n">
        <v>1</v>
      </c>
      <c r="F3159" t="n">
        <v>0.0182</v>
      </c>
      <c r="G3159" t="n">
        <v>0.91</v>
      </c>
      <c r="H3159" t="n">
        <v>2</v>
      </c>
      <c r="I3159" t="n">
        <v>6</v>
      </c>
      <c r="J3159" t="n">
        <v>1</v>
      </c>
      <c r="K3159" t="n">
        <v>0</v>
      </c>
      <c r="L3159" t="n">
        <v>108750</v>
      </c>
      <c r="M3159" t="n">
        <v>145000</v>
      </c>
      <c r="N3159" t="n">
        <v>91</v>
      </c>
      <c r="O3159" t="n">
        <v>0.91</v>
      </c>
      <c r="P3159" t="n">
        <v>1</v>
      </c>
      <c r="Q3159" t="n">
        <v>0.03</v>
      </c>
      <c r="R3159" t="n">
        <v>1</v>
      </c>
      <c r="S3159" t="n">
        <v>2639</v>
      </c>
      <c r="T3159" t="n">
        <v>6</v>
      </c>
      <c r="U3159" t="n">
        <v>7</v>
      </c>
      <c r="V3159" t="n">
        <v>30</v>
      </c>
      <c r="W3159" t="n">
        <v>1</v>
      </c>
      <c r="X3159" t="n">
        <v>54.94505494505494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11711</v>
      </c>
      <c r="AG3159" t="n">
        <v>63</v>
      </c>
      <c r="AH3159" t="inlineStr">
        <is>
          <t>PT. PARAMA GLOBAL INSPIRA - PPN (PDG)</t>
        </is>
      </c>
      <c r="AI3159" t="n">
        <v>103</v>
      </c>
      <c r="AJ3159" t="inlineStr">
        <is>
          <t>MAKE OVER</t>
        </is>
      </c>
      <c r="AK3159" t="n">
        <v>21</v>
      </c>
      <c r="AL3159" t="inlineStr">
        <is>
          <t>Miss Glam Damar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MAKE OVER</t>
        </is>
      </c>
      <c r="B3160" s="2">
        <f>"20100474341"</f>
        <v/>
      </c>
      <c r="C3160" t="inlineStr">
        <is>
          <t>MAKE OVER Powerstay Sync Matte Cushion W22 Warm Ivory 12gr</t>
        </is>
      </c>
      <c r="D3160" t="inlineStr">
        <is>
          <t>Miss Glam Damar</t>
        </is>
      </c>
      <c r="E3160" t="n">
        <v>3</v>
      </c>
      <c r="F3160" t="n">
        <v>0.1092</v>
      </c>
      <c r="G3160" t="n">
        <v>1.82</v>
      </c>
      <c r="H3160" t="n">
        <v>2</v>
      </c>
      <c r="I3160" t="n">
        <v>6</v>
      </c>
      <c r="J3160" t="n">
        <v>1</v>
      </c>
      <c r="K3160" t="n">
        <v>0</v>
      </c>
      <c r="L3160" t="n">
        <v>170250</v>
      </c>
      <c r="M3160" t="n">
        <v>208000</v>
      </c>
      <c r="N3160" t="n">
        <v>91</v>
      </c>
      <c r="O3160" t="n">
        <v>0.91</v>
      </c>
      <c r="P3160" t="n">
        <v>1</v>
      </c>
      <c r="Q3160" t="n">
        <v>0.12</v>
      </c>
      <c r="R3160" t="n">
        <v>1</v>
      </c>
      <c r="S3160" t="n">
        <v>22713.6</v>
      </c>
      <c r="T3160" t="n">
        <v>11</v>
      </c>
      <c r="U3160" t="n">
        <v>12</v>
      </c>
      <c r="V3160" t="n">
        <v>30</v>
      </c>
      <c r="W3160" t="n">
        <v>4</v>
      </c>
      <c r="X3160" t="n">
        <v>27.47252747252747</v>
      </c>
      <c r="Y3160" t="n">
        <v>1</v>
      </c>
      <c r="Z3160" t="n">
        <v>1</v>
      </c>
      <c r="AA3160" t="n">
        <v>0</v>
      </c>
      <c r="AB3160" t="n">
        <v>1</v>
      </c>
      <c r="AC3160" t="n">
        <v>1</v>
      </c>
      <c r="AD3160" t="n">
        <v>0</v>
      </c>
      <c r="AE3160" t="n">
        <v>170250</v>
      </c>
      <c r="AF3160" t="n">
        <v>11711</v>
      </c>
      <c r="AG3160" t="n">
        <v>63</v>
      </c>
      <c r="AH3160" t="inlineStr">
        <is>
          <t>PT. PARAMA GLOBAL INSPIRA - PPN (PDG)</t>
        </is>
      </c>
      <c r="AI3160" t="n">
        <v>103</v>
      </c>
      <c r="AJ3160" t="inlineStr">
        <is>
          <t>MAKE OVER</t>
        </is>
      </c>
      <c r="AK3160" t="n">
        <v>21</v>
      </c>
      <c r="AL3160" t="inlineStr">
        <is>
          <t>Miss Glam Damar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MAKE OVER</t>
        </is>
      </c>
      <c r="B3161" s="2">
        <f>"20100490214"</f>
        <v/>
      </c>
      <c r="C3161" t="inlineStr">
        <is>
          <t>MAKE OVER Powerstay Sync Matte Cushion W22 Warm Ivory 12gr REFILL</t>
        </is>
      </c>
      <c r="D3161" t="inlineStr">
        <is>
          <t>Miss Glam Damar</t>
        </is>
      </c>
      <c r="E3161" t="n">
        <v>1</v>
      </c>
      <c r="F3161" t="n">
        <v>0.0273</v>
      </c>
      <c r="G3161" t="n">
        <v>0.91</v>
      </c>
      <c r="H3161" t="n">
        <v>2</v>
      </c>
      <c r="I3161" t="n">
        <v>6</v>
      </c>
      <c r="J3161" t="n">
        <v>1</v>
      </c>
      <c r="K3161" t="n">
        <v>0</v>
      </c>
      <c r="L3161" t="n">
        <v>108749</v>
      </c>
      <c r="M3161" t="n">
        <v>145000</v>
      </c>
      <c r="N3161" t="n">
        <v>91</v>
      </c>
      <c r="O3161" t="n">
        <v>0.91</v>
      </c>
      <c r="P3161" t="n">
        <v>1</v>
      </c>
      <c r="Q3161" t="n">
        <v>0.08</v>
      </c>
      <c r="R3161" t="n">
        <v>1</v>
      </c>
      <c r="S3161" t="n">
        <v>3958.5</v>
      </c>
      <c r="T3161" t="n">
        <v>6</v>
      </c>
      <c r="U3161" t="n">
        <v>7</v>
      </c>
      <c r="V3161" t="n">
        <v>30</v>
      </c>
      <c r="W3161" t="n">
        <v>1</v>
      </c>
      <c r="X3161" t="n">
        <v>36.63003663003663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11711</v>
      </c>
      <c r="AG3161" t="n">
        <v>63</v>
      </c>
      <c r="AH3161" t="inlineStr">
        <is>
          <t>PT. PARAMA GLOBAL INSPIRA - PPN (PDG)</t>
        </is>
      </c>
      <c r="AI3161" t="n">
        <v>103</v>
      </c>
      <c r="AJ3161" t="inlineStr">
        <is>
          <t>MAKE OVER</t>
        </is>
      </c>
      <c r="AK3161" t="n">
        <v>21</v>
      </c>
      <c r="AL3161" t="inlineStr">
        <is>
          <t>Miss Glam Damar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MAKE OVER</t>
        </is>
      </c>
      <c r="B3162" s="2">
        <f>"20100480711"</f>
        <v/>
      </c>
      <c r="C3162" t="inlineStr">
        <is>
          <t>MAKE OVER Powerstay Sync Matte Cushion W30 Creme Beige 12gr</t>
        </is>
      </c>
      <c r="D3162" t="inlineStr">
        <is>
          <t>Miss Glam Damar</t>
        </is>
      </c>
      <c r="E3162" t="n">
        <v>6</v>
      </c>
      <c r="F3162" t="n">
        <v>0.0728</v>
      </c>
      <c r="G3162" t="n">
        <v>0.91</v>
      </c>
      <c r="H3162" t="n">
        <v>2</v>
      </c>
      <c r="I3162" t="n">
        <v>6</v>
      </c>
      <c r="J3162" t="n">
        <v>1</v>
      </c>
      <c r="K3162" t="n">
        <v>0</v>
      </c>
      <c r="L3162" t="n">
        <v>170250</v>
      </c>
      <c r="M3162" t="n">
        <v>208000</v>
      </c>
      <c r="N3162" t="n">
        <v>91</v>
      </c>
      <c r="O3162" t="n">
        <v>0.91</v>
      </c>
      <c r="P3162" t="n">
        <v>1</v>
      </c>
      <c r="Q3162" t="n">
        <v>0.05</v>
      </c>
      <c r="R3162" t="n">
        <v>1</v>
      </c>
      <c r="S3162" t="n">
        <v>15142.4</v>
      </c>
      <c r="T3162" t="n">
        <v>6</v>
      </c>
      <c r="U3162" t="n">
        <v>7</v>
      </c>
      <c r="V3162" t="n">
        <v>30</v>
      </c>
      <c r="W3162" t="n">
        <v>3</v>
      </c>
      <c r="X3162" t="n">
        <v>82.41758241758241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11711</v>
      </c>
      <c r="AG3162" t="n">
        <v>63</v>
      </c>
      <c r="AH3162" t="inlineStr">
        <is>
          <t>PT. PARAMA GLOBAL INSPIRA - PPN (PDG)</t>
        </is>
      </c>
      <c r="AI3162" t="n">
        <v>103</v>
      </c>
      <c r="AJ3162" t="inlineStr">
        <is>
          <t>MAKE OVER</t>
        </is>
      </c>
      <c r="AK3162" t="n">
        <v>21</v>
      </c>
      <c r="AL3162" t="inlineStr">
        <is>
          <t>Miss Glam Damar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MAKE OVER</t>
        </is>
      </c>
      <c r="B3163" s="2">
        <f>"20100474417"</f>
        <v/>
      </c>
      <c r="C3163" t="inlineStr">
        <is>
          <t>MAKE OVER Powerstay Sync Matte Cushion W32 Warm Beige 12gr</t>
        </is>
      </c>
      <c r="D3163" t="inlineStr">
        <is>
          <t>Miss Glam Damar</t>
        </is>
      </c>
      <c r="E3163" t="n">
        <v>7</v>
      </c>
      <c r="F3163" t="n">
        <v>0.06370000000000001</v>
      </c>
      <c r="G3163" t="n">
        <v>0.91</v>
      </c>
      <c r="H3163" t="n">
        <v>2</v>
      </c>
      <c r="I3163" t="n">
        <v>6</v>
      </c>
      <c r="J3163" t="n">
        <v>1</v>
      </c>
      <c r="K3163" t="n">
        <v>0</v>
      </c>
      <c r="L3163" t="n">
        <v>170250</v>
      </c>
      <c r="M3163" t="n">
        <v>208000</v>
      </c>
      <c r="N3163" t="n">
        <v>91</v>
      </c>
      <c r="O3163" t="n">
        <v>0.91</v>
      </c>
      <c r="P3163" t="n">
        <v>1</v>
      </c>
      <c r="Q3163" t="n">
        <v>0.12</v>
      </c>
      <c r="R3163" t="n">
        <v>1</v>
      </c>
      <c r="S3163" t="n">
        <v>13249.6</v>
      </c>
      <c r="T3163" t="n">
        <v>6</v>
      </c>
      <c r="U3163" t="n">
        <v>7</v>
      </c>
      <c r="V3163" t="n">
        <v>30</v>
      </c>
      <c r="W3163" t="n">
        <v>2</v>
      </c>
      <c r="X3163" t="n">
        <v>109.8901098901099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11711</v>
      </c>
      <c r="AG3163" t="n">
        <v>63</v>
      </c>
      <c r="AH3163" t="inlineStr">
        <is>
          <t>PT. PARAMA GLOBAL INSPIRA - PPN (PDG)</t>
        </is>
      </c>
      <c r="AI3163" t="n">
        <v>103</v>
      </c>
      <c r="AJ3163" t="inlineStr">
        <is>
          <t>MAKE OVER</t>
        </is>
      </c>
      <c r="AK3163" t="n">
        <v>21</v>
      </c>
      <c r="AL3163" t="inlineStr">
        <is>
          <t>Miss Glam Damar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MAKE OVER</t>
        </is>
      </c>
      <c r="B3164" s="2">
        <f>"20100490456"</f>
        <v/>
      </c>
      <c r="C3164" t="inlineStr">
        <is>
          <t>MAKE OVER Powerstay Sync Matte Cushion W32 Warm Beige 12gr REFILL</t>
        </is>
      </c>
      <c r="D3164" t="inlineStr">
        <is>
          <t>Miss Glam Damar</t>
        </is>
      </c>
      <c r="E3164" t="n">
        <v>0</v>
      </c>
      <c r="F3164" t="n">
        <v>0.04550000000000001</v>
      </c>
      <c r="G3164" t="n">
        <v>0.91</v>
      </c>
      <c r="H3164" t="n">
        <v>2</v>
      </c>
      <c r="I3164" t="n">
        <v>6</v>
      </c>
      <c r="J3164" t="n">
        <v>1</v>
      </c>
      <c r="K3164" t="n">
        <v>0</v>
      </c>
      <c r="L3164" t="n">
        <v>108750</v>
      </c>
      <c r="M3164" t="n">
        <v>145000</v>
      </c>
      <c r="N3164" t="n">
        <v>91</v>
      </c>
      <c r="O3164" t="n">
        <v>0.91</v>
      </c>
      <c r="P3164" t="n">
        <v>1</v>
      </c>
      <c r="Q3164" t="n">
        <v>0.05</v>
      </c>
      <c r="R3164" t="n">
        <v>1</v>
      </c>
      <c r="S3164" t="n">
        <v>6597.500000000001</v>
      </c>
      <c r="T3164" t="n">
        <v>6</v>
      </c>
      <c r="U3164" t="n">
        <v>7</v>
      </c>
      <c r="V3164" t="n">
        <v>30</v>
      </c>
      <c r="W3164" t="n">
        <v>2</v>
      </c>
      <c r="X3164" t="n">
        <v>0</v>
      </c>
      <c r="Y3164" t="n">
        <v>1</v>
      </c>
      <c r="Z3164" t="n">
        <v>2</v>
      </c>
      <c r="AA3164" t="n">
        <v>1</v>
      </c>
      <c r="AB3164" t="n">
        <v>1</v>
      </c>
      <c r="AC3164" t="n">
        <v>1</v>
      </c>
      <c r="AD3164" t="n">
        <v>108750</v>
      </c>
      <c r="AE3164" t="n">
        <v>108750</v>
      </c>
      <c r="AF3164" t="n">
        <v>11711</v>
      </c>
      <c r="AG3164" t="n">
        <v>63</v>
      </c>
      <c r="AH3164" t="inlineStr">
        <is>
          <t>PT. PARAMA GLOBAL INSPIRA - PPN (PDG)</t>
        </is>
      </c>
      <c r="AI3164" t="n">
        <v>103</v>
      </c>
      <c r="AJ3164" t="inlineStr">
        <is>
          <t>MAKE OVER</t>
        </is>
      </c>
      <c r="AK3164" t="n">
        <v>21</v>
      </c>
      <c r="AL3164" t="inlineStr">
        <is>
          <t>Miss Glam Damar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MAKE OVER</t>
        </is>
      </c>
      <c r="B3165" s="2">
        <f>"20100474560"</f>
        <v/>
      </c>
      <c r="C3165" t="inlineStr">
        <is>
          <t>MAKE OVER Powerstay Sync Matte Cushion W33 Honey Beige 12gr</t>
        </is>
      </c>
      <c r="D3165" t="inlineStr">
        <is>
          <t>Miss Glam Damar</t>
        </is>
      </c>
      <c r="E3165" t="n">
        <v>2</v>
      </c>
      <c r="F3165" t="n">
        <v>0.0728</v>
      </c>
      <c r="G3165" t="n">
        <v>0.91</v>
      </c>
      <c r="H3165" t="n">
        <v>2</v>
      </c>
      <c r="I3165" t="n">
        <v>6</v>
      </c>
      <c r="J3165" t="n">
        <v>1</v>
      </c>
      <c r="K3165" t="n">
        <v>0</v>
      </c>
      <c r="L3165" t="n">
        <v>169186</v>
      </c>
      <c r="M3165" t="n">
        <v>208000</v>
      </c>
      <c r="N3165" t="n">
        <v>91</v>
      </c>
      <c r="O3165" t="n">
        <v>0.91</v>
      </c>
      <c r="P3165" t="n">
        <v>1</v>
      </c>
      <c r="Q3165" t="n">
        <v>0.07000000000000001</v>
      </c>
      <c r="R3165" t="n">
        <v>1</v>
      </c>
      <c r="S3165" t="n">
        <v>15142.4</v>
      </c>
      <c r="T3165" t="n">
        <v>6</v>
      </c>
      <c r="U3165" t="n">
        <v>7</v>
      </c>
      <c r="V3165" t="n">
        <v>30</v>
      </c>
      <c r="W3165" t="n">
        <v>3</v>
      </c>
      <c r="X3165" t="n">
        <v>27.47252747252747</v>
      </c>
      <c r="Y3165" t="n">
        <v>1</v>
      </c>
      <c r="Z3165" t="n">
        <v>1</v>
      </c>
      <c r="AA3165" t="n">
        <v>0</v>
      </c>
      <c r="AB3165" t="n">
        <v>1</v>
      </c>
      <c r="AC3165" t="n">
        <v>1</v>
      </c>
      <c r="AD3165" t="n">
        <v>0</v>
      </c>
      <c r="AE3165" t="n">
        <v>169186</v>
      </c>
      <c r="AF3165" t="n">
        <v>11711</v>
      </c>
      <c r="AG3165" t="n">
        <v>63</v>
      </c>
      <c r="AH3165" t="inlineStr">
        <is>
          <t>PT. PARAMA GLOBAL INSPIRA - PPN (PDG)</t>
        </is>
      </c>
      <c r="AI3165" t="n">
        <v>103</v>
      </c>
      <c r="AJ3165" t="inlineStr">
        <is>
          <t>MAKE OVER</t>
        </is>
      </c>
      <c r="AK3165" t="n">
        <v>21</v>
      </c>
      <c r="AL3165" t="inlineStr">
        <is>
          <t>Miss Glam Damar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MAKE OVER</t>
        </is>
      </c>
      <c r="B3166" s="2">
        <f>"20100490553"</f>
        <v/>
      </c>
      <c r="C3166" t="inlineStr">
        <is>
          <t>MAKE OVER Powerstay Sync Matte Cushion W33 Honey Beige 12gr REFILL</t>
        </is>
      </c>
      <c r="D3166" t="inlineStr">
        <is>
          <t>Miss Glam Damar</t>
        </is>
      </c>
      <c r="E3166" t="n">
        <v>4</v>
      </c>
      <c r="F3166" t="n">
        <v>0.0273</v>
      </c>
      <c r="G3166" t="n">
        <v>0.91</v>
      </c>
      <c r="H3166" t="n">
        <v>2</v>
      </c>
      <c r="I3166" t="n">
        <v>6</v>
      </c>
      <c r="J3166" t="n">
        <v>1</v>
      </c>
      <c r="K3166" t="n">
        <v>0</v>
      </c>
      <c r="L3166" t="n">
        <v>108750</v>
      </c>
      <c r="M3166" t="n">
        <v>145000</v>
      </c>
      <c r="N3166" t="n">
        <v>91</v>
      </c>
      <c r="O3166" t="n">
        <v>0.91</v>
      </c>
      <c r="P3166" t="n">
        <v>1</v>
      </c>
      <c r="Q3166" t="n">
        <v>0.03</v>
      </c>
      <c r="R3166" t="n">
        <v>1</v>
      </c>
      <c r="S3166" t="n">
        <v>3958.5</v>
      </c>
      <c r="T3166" t="n">
        <v>6</v>
      </c>
      <c r="U3166" t="n">
        <v>7</v>
      </c>
      <c r="V3166" t="n">
        <v>30</v>
      </c>
      <c r="W3166" t="n">
        <v>1</v>
      </c>
      <c r="X3166" t="n">
        <v>146.5201465201465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11711</v>
      </c>
      <c r="AG3166" t="n">
        <v>63</v>
      </c>
      <c r="AH3166" t="inlineStr">
        <is>
          <t>PT. PARAMA GLOBAL INSPIRA - PPN (PDG)</t>
        </is>
      </c>
      <c r="AI3166" t="n">
        <v>103</v>
      </c>
      <c r="AJ3166" t="inlineStr">
        <is>
          <t>MAKE OVER</t>
        </is>
      </c>
      <c r="AK3166" t="n">
        <v>21</v>
      </c>
      <c r="AL3166" t="inlineStr">
        <is>
          <t>Miss Glam Damar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MAKE OVER</t>
        </is>
      </c>
      <c r="B3167" s="2">
        <f>"20100474644"</f>
        <v/>
      </c>
      <c r="C3167" t="inlineStr">
        <is>
          <t>MAKE OVER Powerstay Sync Matte Cushion W40 Creme Sand 12gr</t>
        </is>
      </c>
      <c r="D3167" t="inlineStr">
        <is>
          <t>Miss Glam Damar</t>
        </is>
      </c>
      <c r="E3167" t="n">
        <v>4</v>
      </c>
      <c r="F3167" t="n">
        <v>0.02</v>
      </c>
      <c r="G3167" t="n">
        <v>1</v>
      </c>
      <c r="H3167" t="n">
        <v>2</v>
      </c>
      <c r="I3167" t="n">
        <v>6</v>
      </c>
      <c r="J3167" t="n">
        <v>1</v>
      </c>
      <c r="K3167" t="n">
        <v>0</v>
      </c>
      <c r="L3167" t="n">
        <v>170250</v>
      </c>
      <c r="M3167" t="n">
        <v>208000</v>
      </c>
      <c r="N3167" t="n">
        <v>91</v>
      </c>
      <c r="O3167" t="n">
        <v>0.91</v>
      </c>
      <c r="P3167" t="n">
        <v>0</v>
      </c>
      <c r="Q3167" t="n">
        <v>0.02</v>
      </c>
      <c r="R3167" t="n">
        <v>1</v>
      </c>
      <c r="S3167" t="n">
        <v>4160</v>
      </c>
      <c r="T3167" t="n">
        <v>6</v>
      </c>
      <c r="U3167" t="n">
        <v>7</v>
      </c>
      <c r="V3167" t="n">
        <v>30</v>
      </c>
      <c r="W3167" t="n">
        <v>1</v>
      </c>
      <c r="X3167" t="n">
        <v>200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11711</v>
      </c>
      <c r="AG3167" t="n">
        <v>63</v>
      </c>
      <c r="AH3167" t="inlineStr">
        <is>
          <t>PT. PARAMA GLOBAL INSPIRA - PPN (PDG)</t>
        </is>
      </c>
      <c r="AI3167" t="n">
        <v>103</v>
      </c>
      <c r="AJ3167" t="inlineStr">
        <is>
          <t>MAKE OVER</t>
        </is>
      </c>
      <c r="AK3167" t="n">
        <v>21</v>
      </c>
      <c r="AL3167" t="inlineStr">
        <is>
          <t>Miss Glam Damar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MAKE OVER</t>
        </is>
      </c>
      <c r="B3168" s="2">
        <f>"20100480848"</f>
        <v/>
      </c>
      <c r="C3168" t="inlineStr">
        <is>
          <t>MAKE OVER Powerstay Sync Matte Cushion W41 Coral Sand 12gr</t>
        </is>
      </c>
      <c r="D3168" t="inlineStr">
        <is>
          <t>Miss Glam Damar</t>
        </is>
      </c>
      <c r="E3168" t="n">
        <v>4</v>
      </c>
      <c r="F3168" t="n">
        <v>0.02</v>
      </c>
      <c r="G3168" t="n">
        <v>1</v>
      </c>
      <c r="H3168" t="n">
        <v>2</v>
      </c>
      <c r="I3168" t="n">
        <v>6</v>
      </c>
      <c r="J3168" t="n">
        <v>1</v>
      </c>
      <c r="K3168" t="n">
        <v>0</v>
      </c>
      <c r="L3168" t="n">
        <v>170250</v>
      </c>
      <c r="M3168" t="n">
        <v>208000</v>
      </c>
      <c r="N3168" t="n">
        <v>91</v>
      </c>
      <c r="O3168" t="n">
        <v>0.91</v>
      </c>
      <c r="P3168" t="n">
        <v>0</v>
      </c>
      <c r="Q3168" t="n">
        <v>0.02</v>
      </c>
      <c r="R3168" t="n">
        <v>1</v>
      </c>
      <c r="S3168" t="n">
        <v>4160</v>
      </c>
      <c r="T3168" t="n">
        <v>6</v>
      </c>
      <c r="U3168" t="n">
        <v>7</v>
      </c>
      <c r="V3168" t="n">
        <v>30</v>
      </c>
      <c r="W3168" t="n">
        <v>1</v>
      </c>
      <c r="X3168" t="n">
        <v>200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11711</v>
      </c>
      <c r="AG3168" t="n">
        <v>63</v>
      </c>
      <c r="AH3168" t="inlineStr">
        <is>
          <t>PT. PARAMA GLOBAL INSPIRA - PPN (PDG)</t>
        </is>
      </c>
      <c r="AI3168" t="n">
        <v>103</v>
      </c>
      <c r="AJ3168" t="inlineStr">
        <is>
          <t>MAKE OVER</t>
        </is>
      </c>
      <c r="AK3168" t="n">
        <v>21</v>
      </c>
      <c r="AL3168" t="inlineStr">
        <is>
          <t>Miss Glam Damar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MAKE OVER</t>
        </is>
      </c>
      <c r="B3169" s="2">
        <f>"20100480938"</f>
        <v/>
      </c>
      <c r="C3169" t="inlineStr">
        <is>
          <t>MAKE OVER Powerstay Sync Matte Cushion W42 Warm Sand 12gr</t>
        </is>
      </c>
      <c r="D3169" t="inlineStr">
        <is>
          <t>Miss Glam Damar</t>
        </is>
      </c>
      <c r="E3169" t="n">
        <v>6</v>
      </c>
      <c r="F3169" t="n">
        <v>0.03</v>
      </c>
      <c r="G3169" t="n">
        <v>1</v>
      </c>
      <c r="H3169" t="n">
        <v>2</v>
      </c>
      <c r="I3169" t="n">
        <v>6</v>
      </c>
      <c r="J3169" t="n">
        <v>1</v>
      </c>
      <c r="K3169" t="n">
        <v>0</v>
      </c>
      <c r="L3169" t="n">
        <v>170250</v>
      </c>
      <c r="M3169" t="n">
        <v>208000</v>
      </c>
      <c r="N3169" t="n">
        <v>91</v>
      </c>
      <c r="O3169" t="n">
        <v>0.91</v>
      </c>
      <c r="P3169" t="n">
        <v>0</v>
      </c>
      <c r="Q3169" t="n">
        <v>0.03</v>
      </c>
      <c r="R3169" t="n">
        <v>1</v>
      </c>
      <c r="S3169" t="n">
        <v>6240</v>
      </c>
      <c r="T3169" t="n">
        <v>6</v>
      </c>
      <c r="U3169" t="n">
        <v>7</v>
      </c>
      <c r="V3169" t="n">
        <v>30</v>
      </c>
      <c r="W3169" t="n">
        <v>1</v>
      </c>
      <c r="X3169" t="n">
        <v>200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11711</v>
      </c>
      <c r="AG3169" t="n">
        <v>63</v>
      </c>
      <c r="AH3169" t="inlineStr">
        <is>
          <t>PT. PARAMA GLOBAL INSPIRA - PPN (PDG)</t>
        </is>
      </c>
      <c r="AI3169" t="n">
        <v>103</v>
      </c>
      <c r="AJ3169" t="inlineStr">
        <is>
          <t>MAKE OVER</t>
        </is>
      </c>
      <c r="AK3169" t="n">
        <v>21</v>
      </c>
      <c r="AL3169" t="inlineStr">
        <is>
          <t>Miss Glam Damar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MAKE OVER</t>
        </is>
      </c>
      <c r="B3170" s="2">
        <f>"8993137711005"</f>
        <v/>
      </c>
      <c r="C3170" t="inlineStr">
        <is>
          <t>MAKE OVER Powerstay Transferproof Matte Lip Cream B11 New Rules 7gr</t>
        </is>
      </c>
      <c r="D3170" t="inlineStr">
        <is>
          <t>Miss Glam Damar</t>
        </is>
      </c>
      <c r="E3170" t="n">
        <v>16</v>
      </c>
      <c r="F3170" t="n">
        <v>0.4004</v>
      </c>
      <c r="G3170" t="n">
        <v>2.73</v>
      </c>
      <c r="H3170" t="n">
        <v>2</v>
      </c>
      <c r="I3170" t="n">
        <v>6</v>
      </c>
      <c r="J3170" t="n">
        <v>3</v>
      </c>
      <c r="K3170" t="n">
        <v>0</v>
      </c>
      <c r="L3170" t="n">
        <v>97500</v>
      </c>
      <c r="M3170" t="n">
        <v>129000</v>
      </c>
      <c r="N3170" t="n">
        <v>91</v>
      </c>
      <c r="O3170" t="n">
        <v>0.91</v>
      </c>
      <c r="P3170" t="n">
        <v>1</v>
      </c>
      <c r="Q3170" t="n">
        <v>0.31</v>
      </c>
      <c r="R3170" t="n">
        <v>2</v>
      </c>
      <c r="S3170" t="n">
        <v>51651.60000000001</v>
      </c>
      <c r="T3170" t="n">
        <v>16</v>
      </c>
      <c r="U3170" t="n">
        <v>17</v>
      </c>
      <c r="V3170" t="n">
        <v>30</v>
      </c>
      <c r="W3170" t="n">
        <v>13</v>
      </c>
      <c r="X3170" t="n">
        <v>39.96003996003996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11711</v>
      </c>
      <c r="AG3170" t="n">
        <v>63</v>
      </c>
      <c r="AH3170" t="inlineStr">
        <is>
          <t>PT. PARAMA GLOBAL INSPIRA - PPN (PDG)</t>
        </is>
      </c>
      <c r="AI3170" t="n">
        <v>103</v>
      </c>
      <c r="AJ3170" t="inlineStr">
        <is>
          <t>MAKE OVER</t>
        </is>
      </c>
      <c r="AK3170" t="n">
        <v>21</v>
      </c>
      <c r="AL3170" t="inlineStr">
        <is>
          <t>Miss Glam Damar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MAKE OVER</t>
        </is>
      </c>
      <c r="B3171" s="2">
        <f>"203002177227"</f>
        <v/>
      </c>
      <c r="C3171" t="inlineStr">
        <is>
          <t>MAKE OVER Powerstay Transferproof Matte Lip Cream P14 Peaches and Cream 4.5 gr</t>
        </is>
      </c>
      <c r="D3171" t="inlineStr">
        <is>
          <t>Miss Glam Damar</t>
        </is>
      </c>
      <c r="E3171" t="n">
        <v>7</v>
      </c>
      <c r="F3171" t="n">
        <v>0.0273</v>
      </c>
      <c r="G3171" t="n">
        <v>0.91</v>
      </c>
      <c r="H3171" t="n">
        <v>2</v>
      </c>
      <c r="I3171" t="n">
        <v>6</v>
      </c>
      <c r="J3171" t="n">
        <v>3</v>
      </c>
      <c r="K3171" t="n">
        <v>0</v>
      </c>
      <c r="L3171" t="n">
        <v>97500</v>
      </c>
      <c r="M3171" t="n">
        <v>125000</v>
      </c>
      <c r="N3171" t="n">
        <v>91</v>
      </c>
      <c r="O3171" t="n">
        <v>0.91</v>
      </c>
      <c r="P3171" t="n">
        <v>1</v>
      </c>
      <c r="Q3171" t="n">
        <v>0.03</v>
      </c>
      <c r="R3171" t="n">
        <v>1</v>
      </c>
      <c r="S3171" t="n">
        <v>3412.5</v>
      </c>
      <c r="T3171" t="n">
        <v>6</v>
      </c>
      <c r="U3171" t="n">
        <v>7</v>
      </c>
      <c r="V3171" t="n">
        <v>30</v>
      </c>
      <c r="W3171" t="n">
        <v>1</v>
      </c>
      <c r="X3171" t="n">
        <v>256.4102564102564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11711</v>
      </c>
      <c r="AG3171" t="n">
        <v>63</v>
      </c>
      <c r="AH3171" t="inlineStr">
        <is>
          <t>PT. PARAMA GLOBAL INSPIRA - PPN (PDG)</t>
        </is>
      </c>
      <c r="AI3171" t="n">
        <v>103</v>
      </c>
      <c r="AJ3171" t="inlineStr">
        <is>
          <t>MAKE OVER</t>
        </is>
      </c>
      <c r="AK3171" t="n">
        <v>21</v>
      </c>
      <c r="AL3171" t="inlineStr">
        <is>
          <t>Miss Glam Damar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MAKE OVER</t>
        </is>
      </c>
      <c r="B3172" s="2">
        <f>"203002177102"</f>
        <v/>
      </c>
      <c r="C3172" t="inlineStr">
        <is>
          <t>MAKE OVER Powerstay Transferproof Matte Lip Cream P18 Make Over Pink 4.5 gr</t>
        </is>
      </c>
      <c r="D3172" t="inlineStr">
        <is>
          <t>Miss Glam Damar</t>
        </is>
      </c>
      <c r="E3172" t="n">
        <v>2</v>
      </c>
      <c r="F3172" t="n">
        <v>0.02</v>
      </c>
      <c r="G3172" t="n">
        <v>1</v>
      </c>
      <c r="H3172" t="n">
        <v>2</v>
      </c>
      <c r="I3172" t="n">
        <v>6</v>
      </c>
      <c r="J3172" t="n">
        <v>3</v>
      </c>
      <c r="K3172" t="n">
        <v>0</v>
      </c>
      <c r="L3172" t="n">
        <v>97500</v>
      </c>
      <c r="M3172" t="n">
        <v>125000</v>
      </c>
      <c r="N3172" t="n">
        <v>91</v>
      </c>
      <c r="O3172" t="n">
        <v>0.91</v>
      </c>
      <c r="P3172" t="n">
        <v>0</v>
      </c>
      <c r="Q3172" t="n">
        <v>0.02</v>
      </c>
      <c r="R3172" t="n">
        <v>1</v>
      </c>
      <c r="S3172" t="n">
        <v>2500</v>
      </c>
      <c r="T3172" t="n">
        <v>6</v>
      </c>
      <c r="U3172" t="n">
        <v>7</v>
      </c>
      <c r="V3172" t="n">
        <v>30</v>
      </c>
      <c r="W3172" t="n">
        <v>1</v>
      </c>
      <c r="X3172" t="n">
        <v>100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11711</v>
      </c>
      <c r="AG3172" t="n">
        <v>63</v>
      </c>
      <c r="AH3172" t="inlineStr">
        <is>
          <t>PT. PARAMA GLOBAL INSPIRA - PPN (PDG)</t>
        </is>
      </c>
      <c r="AI3172" t="n">
        <v>103</v>
      </c>
      <c r="AJ3172" t="inlineStr">
        <is>
          <t>MAKE OVER</t>
        </is>
      </c>
      <c r="AK3172" t="n">
        <v>21</v>
      </c>
      <c r="AL3172" t="inlineStr">
        <is>
          <t>Miss Glam Damar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MAKE OVER</t>
        </is>
      </c>
      <c r="B3173" s="2">
        <f>"8993137705523"</f>
        <v/>
      </c>
      <c r="C3173" t="inlineStr">
        <is>
          <t>MAKE OVER Powerstay Vivid Waterlite Lip Stain A07 Xoxo 5.5gr</t>
        </is>
      </c>
      <c r="D3173" t="inlineStr">
        <is>
          <t>Miss Glam Damar</t>
        </is>
      </c>
      <c r="E3173" t="n">
        <v>2</v>
      </c>
      <c r="F3173" t="n">
        <v>0.07000000000000001</v>
      </c>
      <c r="G3173" t="n">
        <v>2</v>
      </c>
      <c r="H3173" t="n">
        <v>2</v>
      </c>
      <c r="I3173" t="n">
        <v>6</v>
      </c>
      <c r="J3173" t="n">
        <v>3</v>
      </c>
      <c r="K3173" t="n">
        <v>0</v>
      </c>
      <c r="L3173" t="n">
        <v>83999</v>
      </c>
      <c r="M3173" t="n">
        <v>109000</v>
      </c>
      <c r="N3173" t="n">
        <v>91</v>
      </c>
      <c r="O3173" t="n">
        <v>0.91</v>
      </c>
      <c r="P3173" t="n">
        <v>0</v>
      </c>
      <c r="Q3173" t="n">
        <v>0.07000000000000001</v>
      </c>
      <c r="R3173" t="n">
        <v>2</v>
      </c>
      <c r="S3173" t="n">
        <v>7630.000000000001</v>
      </c>
      <c r="T3173" t="n">
        <v>12</v>
      </c>
      <c r="U3173" t="n">
        <v>13</v>
      </c>
      <c r="V3173" t="n">
        <v>30</v>
      </c>
      <c r="W3173" t="n">
        <v>3</v>
      </c>
      <c r="X3173" t="n">
        <v>28.57142857142857</v>
      </c>
      <c r="Y3173" t="n">
        <v>1</v>
      </c>
      <c r="Z3173" t="n">
        <v>1</v>
      </c>
      <c r="AA3173" t="n">
        <v>0</v>
      </c>
      <c r="AB3173" t="n">
        <v>1</v>
      </c>
      <c r="AC3173" t="n">
        <v>3</v>
      </c>
      <c r="AD3173" t="n">
        <v>0</v>
      </c>
      <c r="AE3173" t="n">
        <v>251997</v>
      </c>
      <c r="AF3173" t="n">
        <v>11711</v>
      </c>
      <c r="AG3173" t="n">
        <v>63</v>
      </c>
      <c r="AH3173" t="inlineStr">
        <is>
          <t>PT. PARAMA GLOBAL INSPIRA - PPN (PDG)</t>
        </is>
      </c>
      <c r="AI3173" t="n">
        <v>103</v>
      </c>
      <c r="AJ3173" t="inlineStr">
        <is>
          <t>MAKE OVER</t>
        </is>
      </c>
      <c r="AK3173" t="n">
        <v>21</v>
      </c>
      <c r="AL3173" t="inlineStr">
        <is>
          <t>Miss Glam Damar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MAKE OVER</t>
        </is>
      </c>
      <c r="B3174" s="2">
        <f>"20100642032"</f>
        <v/>
      </c>
      <c r="C3174" t="inlineStr">
        <is>
          <t>MAKE OVER Silky Smooth Translucent Powder 01 Porcelain 30gr</t>
        </is>
      </c>
      <c r="D3174" t="inlineStr">
        <is>
          <t>Miss Glam Damar</t>
        </is>
      </c>
      <c r="E3174" t="n">
        <v>14</v>
      </c>
      <c r="F3174" t="n">
        <v>0.6006</v>
      </c>
      <c r="G3174" t="n">
        <v>2.73</v>
      </c>
      <c r="H3174" t="n">
        <v>2</v>
      </c>
      <c r="I3174" t="n">
        <v>6</v>
      </c>
      <c r="J3174" t="n">
        <v>1</v>
      </c>
      <c r="K3174" t="n">
        <v>0</v>
      </c>
      <c r="L3174" t="n">
        <v>108750</v>
      </c>
      <c r="M3174" t="n">
        <v>133000</v>
      </c>
      <c r="N3174" t="n">
        <v>91</v>
      </c>
      <c r="O3174" t="n">
        <v>0.91</v>
      </c>
      <c r="P3174" t="n">
        <v>1</v>
      </c>
      <c r="Q3174" t="n">
        <v>0.44</v>
      </c>
      <c r="R3174" t="n">
        <v>3</v>
      </c>
      <c r="S3174" t="n">
        <v>79879.8</v>
      </c>
      <c r="T3174" t="n">
        <v>16</v>
      </c>
      <c r="U3174" t="n">
        <v>18</v>
      </c>
      <c r="V3174" t="n">
        <v>30</v>
      </c>
      <c r="W3174" t="n">
        <v>19</v>
      </c>
      <c r="X3174" t="n">
        <v>23.31002331002331</v>
      </c>
      <c r="Y3174" t="n">
        <v>1</v>
      </c>
      <c r="Z3174" t="n">
        <v>5</v>
      </c>
      <c r="AA3174" t="n">
        <v>0</v>
      </c>
      <c r="AB3174" t="n">
        <v>5</v>
      </c>
      <c r="AC3174" t="n">
        <v>5</v>
      </c>
      <c r="AD3174" t="n">
        <v>0</v>
      </c>
      <c r="AE3174" t="n">
        <v>543750</v>
      </c>
      <c r="AF3174" t="n">
        <v>11711</v>
      </c>
      <c r="AG3174" t="n">
        <v>63</v>
      </c>
      <c r="AH3174" t="inlineStr">
        <is>
          <t>PT. PARAMA GLOBAL INSPIRA - PPN (PDG)</t>
        </is>
      </c>
      <c r="AI3174" t="n">
        <v>103</v>
      </c>
      <c r="AJ3174" t="inlineStr">
        <is>
          <t>MAKE OVER</t>
        </is>
      </c>
      <c r="AK3174" t="n">
        <v>21</v>
      </c>
      <c r="AL3174" t="inlineStr">
        <is>
          <t>Miss Glam Damar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MAKE OVER</t>
        </is>
      </c>
      <c r="B3175" s="2">
        <f>"20100642146"</f>
        <v/>
      </c>
      <c r="C3175" t="inlineStr">
        <is>
          <t>MAKE OVER Silky Smooth Translucent Powder 02 Rosy 30gr</t>
        </is>
      </c>
      <c r="D3175" t="inlineStr">
        <is>
          <t>Miss Glam Damar</t>
        </is>
      </c>
      <c r="E3175" t="n">
        <v>2</v>
      </c>
      <c r="F3175" t="n">
        <v>0.2002</v>
      </c>
      <c r="G3175" t="n">
        <v>1.82</v>
      </c>
      <c r="H3175" t="n">
        <v>2</v>
      </c>
      <c r="I3175" t="n">
        <v>6</v>
      </c>
      <c r="J3175" t="n">
        <v>1</v>
      </c>
      <c r="K3175" t="n">
        <v>0</v>
      </c>
      <c r="L3175" t="n">
        <v>108750</v>
      </c>
      <c r="M3175" t="n">
        <v>133000</v>
      </c>
      <c r="N3175" t="n">
        <v>91</v>
      </c>
      <c r="O3175" t="n">
        <v>0.91</v>
      </c>
      <c r="P3175" t="n">
        <v>1</v>
      </c>
      <c r="Q3175" t="n">
        <v>0.14</v>
      </c>
      <c r="R3175" t="n">
        <v>2</v>
      </c>
      <c r="S3175" t="n">
        <v>26626.6</v>
      </c>
      <c r="T3175" t="n">
        <v>11</v>
      </c>
      <c r="U3175" t="n">
        <v>12</v>
      </c>
      <c r="V3175" t="n">
        <v>30</v>
      </c>
      <c r="W3175" t="n">
        <v>7</v>
      </c>
      <c r="X3175" t="n">
        <v>9.990009990009989</v>
      </c>
      <c r="Y3175" t="n">
        <v>1</v>
      </c>
      <c r="Z3175" t="n">
        <v>5</v>
      </c>
      <c r="AA3175" t="n">
        <v>0</v>
      </c>
      <c r="AB3175" t="n">
        <v>5</v>
      </c>
      <c r="AC3175" t="n">
        <v>5</v>
      </c>
      <c r="AD3175" t="n">
        <v>0</v>
      </c>
      <c r="AE3175" t="n">
        <v>543750</v>
      </c>
      <c r="AF3175" t="n">
        <v>11711</v>
      </c>
      <c r="AG3175" t="n">
        <v>63</v>
      </c>
      <c r="AH3175" t="inlineStr">
        <is>
          <t>PT. PARAMA GLOBAL INSPIRA - PPN (PDG)</t>
        </is>
      </c>
      <c r="AI3175" t="n">
        <v>103</v>
      </c>
      <c r="AJ3175" t="inlineStr">
        <is>
          <t>MAKE OVER</t>
        </is>
      </c>
      <c r="AK3175" t="n">
        <v>21</v>
      </c>
      <c r="AL3175" t="inlineStr">
        <is>
          <t>Miss Glam Damar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MAKE OVER</t>
        </is>
      </c>
      <c r="B3176" s="2">
        <f>"20100642211"</f>
        <v/>
      </c>
      <c r="C3176" t="inlineStr">
        <is>
          <t>MAKE OVER Silky Smooth Translucent Powder 03 Champagne 30gr</t>
        </is>
      </c>
      <c r="D3176" t="inlineStr">
        <is>
          <t>Miss Glam Damar</t>
        </is>
      </c>
      <c r="E3176" t="n">
        <v>1</v>
      </c>
      <c r="F3176" t="n">
        <v>0.06370000000000001</v>
      </c>
      <c r="G3176" t="n">
        <v>0.91</v>
      </c>
      <c r="H3176" t="n">
        <v>2</v>
      </c>
      <c r="I3176" t="n">
        <v>6</v>
      </c>
      <c r="J3176" t="n">
        <v>1</v>
      </c>
      <c r="K3176" t="n">
        <v>0</v>
      </c>
      <c r="L3176" t="n">
        <v>108750</v>
      </c>
      <c r="M3176" t="n">
        <v>133000</v>
      </c>
      <c r="N3176" t="n">
        <v>91</v>
      </c>
      <c r="O3176" t="n">
        <v>0.91</v>
      </c>
      <c r="P3176" t="n">
        <v>1</v>
      </c>
      <c r="Q3176" t="n">
        <v>0.03</v>
      </c>
      <c r="R3176" t="n">
        <v>1</v>
      </c>
      <c r="S3176" t="n">
        <v>8472.1</v>
      </c>
      <c r="T3176" t="n">
        <v>6</v>
      </c>
      <c r="U3176" t="n">
        <v>7</v>
      </c>
      <c r="V3176" t="n">
        <v>30</v>
      </c>
      <c r="W3176" t="n">
        <v>2</v>
      </c>
      <c r="X3176" t="n">
        <v>15.69858712715855</v>
      </c>
      <c r="Y3176" t="n">
        <v>1</v>
      </c>
      <c r="Z3176" t="n">
        <v>1</v>
      </c>
      <c r="AA3176" t="n">
        <v>0</v>
      </c>
      <c r="AB3176" t="n">
        <v>1</v>
      </c>
      <c r="AC3176" t="n">
        <v>1</v>
      </c>
      <c r="AD3176" t="n">
        <v>0</v>
      </c>
      <c r="AE3176" t="n">
        <v>108750</v>
      </c>
      <c r="AF3176" t="n">
        <v>11711</v>
      </c>
      <c r="AG3176" t="n">
        <v>63</v>
      </c>
      <c r="AH3176" t="inlineStr">
        <is>
          <t>PT. PARAMA GLOBAL INSPIRA - PPN (PDG)</t>
        </is>
      </c>
      <c r="AI3176" t="n">
        <v>103</v>
      </c>
      <c r="AJ3176" t="inlineStr">
        <is>
          <t>MAKE OVER</t>
        </is>
      </c>
      <c r="AK3176" t="n">
        <v>21</v>
      </c>
      <c r="AL3176" t="inlineStr">
        <is>
          <t>Miss Glam Damar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MAKE OVER</t>
        </is>
      </c>
      <c r="B3177" s="2">
        <f>"20100642328"</f>
        <v/>
      </c>
      <c r="C3177" t="inlineStr">
        <is>
          <t>MAKE OVER Silky Smooth Translucent Powder 05 Snow 30gr</t>
        </is>
      </c>
      <c r="D3177" t="inlineStr">
        <is>
          <t>Miss Glam Damar</t>
        </is>
      </c>
      <c r="E3177" t="n">
        <v>4</v>
      </c>
      <c r="F3177" t="n">
        <v>0.182</v>
      </c>
      <c r="G3177" t="n">
        <v>1.82</v>
      </c>
      <c r="H3177" t="n">
        <v>2</v>
      </c>
      <c r="I3177" t="n">
        <v>6</v>
      </c>
      <c r="J3177" t="n">
        <v>1</v>
      </c>
      <c r="K3177" t="n">
        <v>0</v>
      </c>
      <c r="L3177" t="n">
        <v>108750</v>
      </c>
      <c r="M3177" t="n">
        <v>133000</v>
      </c>
      <c r="N3177" t="n">
        <v>91</v>
      </c>
      <c r="O3177" t="n">
        <v>0.91</v>
      </c>
      <c r="P3177" t="n">
        <v>1</v>
      </c>
      <c r="Q3177" t="n">
        <v>0.2</v>
      </c>
      <c r="R3177" t="n">
        <v>2</v>
      </c>
      <c r="S3177" t="n">
        <v>24206</v>
      </c>
      <c r="T3177" t="n">
        <v>11</v>
      </c>
      <c r="U3177" t="n">
        <v>12</v>
      </c>
      <c r="V3177" t="n">
        <v>30</v>
      </c>
      <c r="W3177" t="n">
        <v>6</v>
      </c>
      <c r="X3177" t="n">
        <v>21.97802197802197</v>
      </c>
      <c r="Y3177" t="n">
        <v>1</v>
      </c>
      <c r="Z3177" t="n">
        <v>2</v>
      </c>
      <c r="AA3177" t="n">
        <v>0</v>
      </c>
      <c r="AB3177" t="n">
        <v>2</v>
      </c>
      <c r="AC3177" t="n">
        <v>2</v>
      </c>
      <c r="AD3177" t="n">
        <v>0</v>
      </c>
      <c r="AE3177" t="n">
        <v>217500</v>
      </c>
      <c r="AF3177" t="n">
        <v>11711</v>
      </c>
      <c r="AG3177" t="n">
        <v>63</v>
      </c>
      <c r="AH3177" t="inlineStr">
        <is>
          <t>PT. PARAMA GLOBAL INSPIRA - PPN (PDG)</t>
        </is>
      </c>
      <c r="AI3177" t="n">
        <v>103</v>
      </c>
      <c r="AJ3177" t="inlineStr">
        <is>
          <t>MAKE OVER</t>
        </is>
      </c>
      <c r="AK3177" t="n">
        <v>21</v>
      </c>
      <c r="AL3177" t="inlineStr">
        <is>
          <t>Miss Glam Damar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MAKE OVER</t>
        </is>
      </c>
      <c r="B3178" s="2">
        <f>"20100642557"</f>
        <v/>
      </c>
      <c r="C3178" t="inlineStr">
        <is>
          <t>MAKE OVER Silky Smooth Translucent Powder 08 Feather 30gr</t>
        </is>
      </c>
      <c r="D3178" t="inlineStr">
        <is>
          <t>Miss Glam Damar</t>
        </is>
      </c>
      <c r="E3178" t="n">
        <v>4</v>
      </c>
      <c r="F3178" t="n">
        <v>0.0273</v>
      </c>
      <c r="G3178" t="n">
        <v>0.91</v>
      </c>
      <c r="H3178" t="n">
        <v>2</v>
      </c>
      <c r="I3178" t="n">
        <v>6</v>
      </c>
      <c r="J3178" t="n">
        <v>1</v>
      </c>
      <c r="K3178" t="n">
        <v>0</v>
      </c>
      <c r="L3178" t="n">
        <v>108750</v>
      </c>
      <c r="M3178" t="n">
        <v>133000</v>
      </c>
      <c r="N3178" t="n">
        <v>91</v>
      </c>
      <c r="O3178" t="n">
        <v>0.91</v>
      </c>
      <c r="P3178" t="n">
        <v>1</v>
      </c>
      <c r="Q3178" t="n">
        <v>0.15</v>
      </c>
      <c r="R3178" t="n">
        <v>2</v>
      </c>
      <c r="S3178" t="n">
        <v>3630.9</v>
      </c>
      <c r="T3178" t="n">
        <v>6</v>
      </c>
      <c r="U3178" t="n">
        <v>7</v>
      </c>
      <c r="V3178" t="n">
        <v>30</v>
      </c>
      <c r="W3178" t="n">
        <v>1</v>
      </c>
      <c r="X3178" t="n">
        <v>146.5201465201465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11711</v>
      </c>
      <c r="AG3178" t="n">
        <v>63</v>
      </c>
      <c r="AH3178" t="inlineStr">
        <is>
          <t>PT. PARAMA GLOBAL INSPIRA - PPN (PDG)</t>
        </is>
      </c>
      <c r="AI3178" t="n">
        <v>103</v>
      </c>
      <c r="AJ3178" t="inlineStr">
        <is>
          <t>MAKE OVER</t>
        </is>
      </c>
      <c r="AK3178" t="n">
        <v>21</v>
      </c>
      <c r="AL3178" t="inlineStr">
        <is>
          <t>Miss Glam Damar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MAKE OVER</t>
        </is>
      </c>
      <c r="B3179" s="2">
        <f>"20100641653"</f>
        <v/>
      </c>
      <c r="C3179" t="inlineStr">
        <is>
          <t>MAKE OVER Silky Smooth Translucent Powder Toffe 30gr</t>
        </is>
      </c>
      <c r="D3179" t="inlineStr">
        <is>
          <t>Miss Glam Damar</t>
        </is>
      </c>
      <c r="E3179" t="n">
        <v>7</v>
      </c>
      <c r="F3179" t="n">
        <v>0.09100000000000001</v>
      </c>
      <c r="G3179" t="n">
        <v>1.82</v>
      </c>
      <c r="H3179" t="n">
        <v>2</v>
      </c>
      <c r="I3179" t="n">
        <v>6</v>
      </c>
      <c r="J3179" t="n">
        <v>1</v>
      </c>
      <c r="K3179" t="n">
        <v>0</v>
      </c>
      <c r="L3179" t="n">
        <v>108750</v>
      </c>
      <c r="M3179" t="n">
        <v>133000</v>
      </c>
      <c r="N3179" t="n">
        <v>91</v>
      </c>
      <c r="O3179" t="n">
        <v>0.91</v>
      </c>
      <c r="P3179" t="n">
        <v>1</v>
      </c>
      <c r="Q3179" t="n">
        <v>0.19</v>
      </c>
      <c r="R3179" t="n">
        <v>1</v>
      </c>
      <c r="S3179" t="n">
        <v>12103</v>
      </c>
      <c r="T3179" t="n">
        <v>11</v>
      </c>
      <c r="U3179" t="n">
        <v>12</v>
      </c>
      <c r="V3179" t="n">
        <v>30</v>
      </c>
      <c r="W3179" t="n">
        <v>3</v>
      </c>
      <c r="X3179" t="n">
        <v>76.92307692307692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11711</v>
      </c>
      <c r="AG3179" t="n">
        <v>63</v>
      </c>
      <c r="AH3179" t="inlineStr">
        <is>
          <t>PT. PARAMA GLOBAL INSPIRA - PPN (PDG)</t>
        </is>
      </c>
      <c r="AI3179" t="n">
        <v>103</v>
      </c>
      <c r="AJ3179" t="inlineStr">
        <is>
          <t>MAKE OVER</t>
        </is>
      </c>
      <c r="AK3179" t="n">
        <v>21</v>
      </c>
      <c r="AL3179" t="inlineStr">
        <is>
          <t>Miss Glam Damar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MAKE OVER</t>
        </is>
      </c>
      <c r="B3180" s="2">
        <f>"20100641922"</f>
        <v/>
      </c>
      <c r="C3180" t="inlineStr">
        <is>
          <t>MAKE OVER Silky Smooth Translucent Powder Vanila 30gr</t>
        </is>
      </c>
      <c r="D3180" t="inlineStr">
        <is>
          <t>Miss Glam Damar</t>
        </is>
      </c>
      <c r="E3180" t="n">
        <v>17</v>
      </c>
      <c r="F3180" t="n">
        <v>0.6461</v>
      </c>
      <c r="G3180" t="n">
        <v>2.73</v>
      </c>
      <c r="H3180" t="n">
        <v>2</v>
      </c>
      <c r="I3180" t="n">
        <v>6</v>
      </c>
      <c r="J3180" t="n">
        <v>1</v>
      </c>
      <c r="K3180" t="n">
        <v>0</v>
      </c>
      <c r="L3180" t="n">
        <v>108750</v>
      </c>
      <c r="M3180" t="n">
        <v>133000</v>
      </c>
      <c r="N3180" t="n">
        <v>91</v>
      </c>
      <c r="O3180" t="n">
        <v>0.91</v>
      </c>
      <c r="P3180" t="n">
        <v>1</v>
      </c>
      <c r="Q3180" t="n">
        <v>0.88</v>
      </c>
      <c r="R3180" t="n">
        <v>4</v>
      </c>
      <c r="S3180" t="n">
        <v>85931.3</v>
      </c>
      <c r="T3180" t="n">
        <v>16</v>
      </c>
      <c r="U3180" t="n">
        <v>18</v>
      </c>
      <c r="V3180" t="n">
        <v>30</v>
      </c>
      <c r="W3180" t="n">
        <v>20</v>
      </c>
      <c r="X3180" t="n">
        <v>26.31171645256152</v>
      </c>
      <c r="Y3180" t="n">
        <v>1</v>
      </c>
      <c r="Z3180" t="n">
        <v>3</v>
      </c>
      <c r="AA3180" t="n">
        <v>0</v>
      </c>
      <c r="AB3180" t="n">
        <v>3</v>
      </c>
      <c r="AC3180" t="n">
        <v>3</v>
      </c>
      <c r="AD3180" t="n">
        <v>0</v>
      </c>
      <c r="AE3180" t="n">
        <v>326250</v>
      </c>
      <c r="AF3180" t="n">
        <v>11711</v>
      </c>
      <c r="AG3180" t="n">
        <v>63</v>
      </c>
      <c r="AH3180" t="inlineStr">
        <is>
          <t>PT. PARAMA GLOBAL INSPIRA - PPN (PDG)</t>
        </is>
      </c>
      <c r="AI3180" t="n">
        <v>103</v>
      </c>
      <c r="AJ3180" t="inlineStr">
        <is>
          <t>MAKE OVER</t>
        </is>
      </c>
      <c r="AK3180" t="n">
        <v>21</v>
      </c>
      <c r="AL3180" t="inlineStr">
        <is>
          <t>Miss Glam Damar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MAKE OVER</t>
        </is>
      </c>
      <c r="B3181" s="2">
        <f>"8993137682688"</f>
        <v/>
      </c>
      <c r="C3181" t="inlineStr">
        <is>
          <t>MAKEOVER Blush On Promiscius Peach 03 6gr</t>
        </is>
      </c>
      <c r="D3181" t="inlineStr">
        <is>
          <t>Miss Glam Damar</t>
        </is>
      </c>
      <c r="E3181" t="n">
        <v>6</v>
      </c>
      <c r="F3181" t="n">
        <v>0.0728</v>
      </c>
      <c r="G3181" t="n">
        <v>0.91</v>
      </c>
      <c r="H3181" t="n">
        <v>2</v>
      </c>
      <c r="I3181" t="n">
        <v>6</v>
      </c>
      <c r="J3181" t="n">
        <v>3</v>
      </c>
      <c r="K3181" t="n">
        <v>0</v>
      </c>
      <c r="L3181" t="n">
        <v>74250</v>
      </c>
      <c r="M3181" t="n">
        <v>94000</v>
      </c>
      <c r="N3181" t="n">
        <v>91</v>
      </c>
      <c r="O3181" t="n">
        <v>0.91</v>
      </c>
      <c r="P3181" t="n">
        <v>1</v>
      </c>
      <c r="Q3181" t="n">
        <v>0.24</v>
      </c>
      <c r="R3181" t="n">
        <v>3</v>
      </c>
      <c r="S3181" t="n">
        <v>6843.200000000001</v>
      </c>
      <c r="T3181" t="n">
        <v>6</v>
      </c>
      <c r="U3181" t="n">
        <v>7</v>
      </c>
      <c r="V3181" t="n">
        <v>30</v>
      </c>
      <c r="W3181" t="n">
        <v>3</v>
      </c>
      <c r="X3181" t="n">
        <v>82.41758241758241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11711</v>
      </c>
      <c r="AG3181" t="n">
        <v>63</v>
      </c>
      <c r="AH3181" t="inlineStr">
        <is>
          <t>PT. PARAMA GLOBAL INSPIRA - PPN (PDG)</t>
        </is>
      </c>
      <c r="AI3181" t="n">
        <v>103</v>
      </c>
      <c r="AJ3181" t="inlineStr">
        <is>
          <t>MAKE OVER</t>
        </is>
      </c>
      <c r="AK3181" t="n">
        <v>21</v>
      </c>
      <c r="AL3181" t="inlineStr">
        <is>
          <t>Miss Glam Damar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MAKE OVER</t>
        </is>
      </c>
      <c r="B3182" s="2">
        <f>"8993137682633"</f>
        <v/>
      </c>
      <c r="C3182" t="inlineStr">
        <is>
          <t>MAKEOVER Blush On Single 01 Pink Fantasist 6gr</t>
        </is>
      </c>
      <c r="D3182" t="inlineStr">
        <is>
          <t>Miss Glam Damar</t>
        </is>
      </c>
      <c r="E3182" t="n">
        <v>3</v>
      </c>
      <c r="F3182" t="n">
        <v>0.02</v>
      </c>
      <c r="G3182" t="n">
        <v>1</v>
      </c>
      <c r="H3182" t="n">
        <v>2</v>
      </c>
      <c r="I3182" t="n">
        <v>6</v>
      </c>
      <c r="J3182" t="n">
        <v>3</v>
      </c>
      <c r="K3182" t="n">
        <v>0</v>
      </c>
      <c r="L3182" t="n">
        <v>74250</v>
      </c>
      <c r="M3182" t="n">
        <v>94000</v>
      </c>
      <c r="N3182" t="n">
        <v>91</v>
      </c>
      <c r="O3182" t="n">
        <v>0.91</v>
      </c>
      <c r="P3182" t="n">
        <v>0</v>
      </c>
      <c r="Q3182" t="n">
        <v>0.02</v>
      </c>
      <c r="R3182" t="n">
        <v>1</v>
      </c>
      <c r="S3182" t="n">
        <v>1880</v>
      </c>
      <c r="T3182" t="n">
        <v>6</v>
      </c>
      <c r="U3182" t="n">
        <v>7</v>
      </c>
      <c r="V3182" t="n">
        <v>30</v>
      </c>
      <c r="W3182" t="n">
        <v>1</v>
      </c>
      <c r="X3182" t="n">
        <v>150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11711</v>
      </c>
      <c r="AG3182" t="n">
        <v>63</v>
      </c>
      <c r="AH3182" t="inlineStr">
        <is>
          <t>PT. PARAMA GLOBAL INSPIRA - PPN (PDG)</t>
        </is>
      </c>
      <c r="AI3182" t="n">
        <v>103</v>
      </c>
      <c r="AJ3182" t="inlineStr">
        <is>
          <t>MAKE OVER</t>
        </is>
      </c>
      <c r="AK3182" t="n">
        <v>21</v>
      </c>
      <c r="AL3182" t="inlineStr">
        <is>
          <t>Miss Glam Damar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MAKE OVER</t>
        </is>
      </c>
      <c r="B3183" s="2">
        <f>"8993137682664"</f>
        <v/>
      </c>
      <c r="C3183" t="inlineStr">
        <is>
          <t>MAKEOVER Blush On Single 06 Caribbean Sunset 6gr</t>
        </is>
      </c>
      <c r="D3183" t="inlineStr">
        <is>
          <t>Miss Glam Damar</t>
        </is>
      </c>
      <c r="E3183" t="n">
        <v>3</v>
      </c>
      <c r="F3183" t="n">
        <v>0.0182</v>
      </c>
      <c r="G3183" t="n">
        <v>0.91</v>
      </c>
      <c r="H3183" t="n">
        <v>2</v>
      </c>
      <c r="I3183" t="n">
        <v>6</v>
      </c>
      <c r="J3183" t="n">
        <v>3</v>
      </c>
      <c r="K3183" t="n">
        <v>0</v>
      </c>
      <c r="L3183" t="n">
        <v>74109</v>
      </c>
      <c r="M3183" t="n">
        <v>94000</v>
      </c>
      <c r="N3183" t="n">
        <v>91</v>
      </c>
      <c r="O3183" t="n">
        <v>0.91</v>
      </c>
      <c r="P3183" t="n">
        <v>1</v>
      </c>
      <c r="Q3183" t="n">
        <v>0.05</v>
      </c>
      <c r="R3183" t="n">
        <v>2</v>
      </c>
      <c r="S3183" t="n">
        <v>1710.8</v>
      </c>
      <c r="T3183" t="n">
        <v>6</v>
      </c>
      <c r="U3183" t="n">
        <v>7</v>
      </c>
      <c r="V3183" t="n">
        <v>30</v>
      </c>
      <c r="W3183" t="n">
        <v>1</v>
      </c>
      <c r="X3183" t="n">
        <v>164.8351648351648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11711</v>
      </c>
      <c r="AG3183" t="n">
        <v>63</v>
      </c>
      <c r="AH3183" t="inlineStr">
        <is>
          <t>PT. PARAMA GLOBAL INSPIRA - PPN (PDG)</t>
        </is>
      </c>
      <c r="AI3183" t="n">
        <v>103</v>
      </c>
      <c r="AJ3183" t="inlineStr">
        <is>
          <t>MAKE OVER</t>
        </is>
      </c>
      <c r="AK3183" t="n">
        <v>21</v>
      </c>
      <c r="AL3183" t="inlineStr">
        <is>
          <t>Miss Glam Damar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MAKE OVER</t>
        </is>
      </c>
      <c r="B3184" s="2">
        <f>"8993137683005"</f>
        <v/>
      </c>
      <c r="C3184" t="inlineStr">
        <is>
          <t>MAKEOVER Blush On Single 08 Cruise Coral 6gr</t>
        </is>
      </c>
      <c r="D3184" t="inlineStr">
        <is>
          <t>Miss Glam Damar</t>
        </is>
      </c>
      <c r="E3184" t="n">
        <v>3</v>
      </c>
      <c r="F3184" t="n">
        <v>0.04550000000000001</v>
      </c>
      <c r="G3184" t="n">
        <v>0.91</v>
      </c>
      <c r="H3184" t="n">
        <v>2</v>
      </c>
      <c r="I3184" t="n">
        <v>6</v>
      </c>
      <c r="J3184" t="n">
        <v>3</v>
      </c>
      <c r="K3184" t="n">
        <v>0</v>
      </c>
      <c r="L3184" t="n">
        <v>76800</v>
      </c>
      <c r="M3184" t="n">
        <v>94000</v>
      </c>
      <c r="N3184" t="n">
        <v>91</v>
      </c>
      <c r="O3184" t="n">
        <v>0.91</v>
      </c>
      <c r="P3184" t="n">
        <v>1</v>
      </c>
      <c r="Q3184" t="n">
        <v>0.03</v>
      </c>
      <c r="R3184" t="n">
        <v>1</v>
      </c>
      <c r="S3184" t="n">
        <v>4277.000000000001</v>
      </c>
      <c r="T3184" t="n">
        <v>6</v>
      </c>
      <c r="U3184" t="n">
        <v>7</v>
      </c>
      <c r="V3184" t="n">
        <v>30</v>
      </c>
      <c r="W3184" t="n">
        <v>2</v>
      </c>
      <c r="X3184" t="n">
        <v>65.93406593406593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11711</v>
      </c>
      <c r="AG3184" t="n">
        <v>63</v>
      </c>
      <c r="AH3184" t="inlineStr">
        <is>
          <t>PT. PARAMA GLOBAL INSPIRA - PPN (PDG)</t>
        </is>
      </c>
      <c r="AI3184" t="n">
        <v>103</v>
      </c>
      <c r="AJ3184" t="inlineStr">
        <is>
          <t>MAKE OVER</t>
        </is>
      </c>
      <c r="AK3184" t="n">
        <v>21</v>
      </c>
      <c r="AL3184" t="inlineStr">
        <is>
          <t>Miss Glam Damar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MAKE OVER</t>
        </is>
      </c>
      <c r="B3185" s="2">
        <f>"8993137693738"</f>
        <v/>
      </c>
      <c r="C3185" t="inlineStr">
        <is>
          <t>MAKEOVER Blush On Single 10 Passion Pink 6gr</t>
        </is>
      </c>
      <c r="D3185" t="inlineStr">
        <is>
          <t>Miss Glam Damar</t>
        </is>
      </c>
      <c r="E3185" t="n">
        <v>4</v>
      </c>
      <c r="F3185" t="n">
        <v>0.05</v>
      </c>
      <c r="G3185" t="n">
        <v>1</v>
      </c>
      <c r="H3185" t="n">
        <v>2</v>
      </c>
      <c r="I3185" t="n">
        <v>6</v>
      </c>
      <c r="J3185" t="n">
        <v>3</v>
      </c>
      <c r="K3185" t="n">
        <v>0</v>
      </c>
      <c r="L3185" t="n">
        <v>73665</v>
      </c>
      <c r="M3185" t="n">
        <v>94000</v>
      </c>
      <c r="N3185" t="n">
        <v>91</v>
      </c>
      <c r="O3185" t="n">
        <v>0.91</v>
      </c>
      <c r="P3185" t="n">
        <v>0</v>
      </c>
      <c r="Q3185" t="n">
        <v>0.05</v>
      </c>
      <c r="R3185" t="n">
        <v>1</v>
      </c>
      <c r="S3185" t="n">
        <v>4700</v>
      </c>
      <c r="T3185" t="n">
        <v>6</v>
      </c>
      <c r="U3185" t="n">
        <v>7</v>
      </c>
      <c r="V3185" t="n">
        <v>30</v>
      </c>
      <c r="W3185" t="n">
        <v>2</v>
      </c>
      <c r="X3185" t="n">
        <v>80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11711</v>
      </c>
      <c r="AG3185" t="n">
        <v>63</v>
      </c>
      <c r="AH3185" t="inlineStr">
        <is>
          <t>PT. PARAMA GLOBAL INSPIRA - PPN (PDG)</t>
        </is>
      </c>
      <c r="AI3185" t="n">
        <v>103</v>
      </c>
      <c r="AJ3185" t="inlineStr">
        <is>
          <t>MAKE OVER</t>
        </is>
      </c>
      <c r="AK3185" t="n">
        <v>21</v>
      </c>
      <c r="AL3185" t="inlineStr">
        <is>
          <t>Miss Glam Damar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MAKE OVER</t>
        </is>
      </c>
      <c r="B3186" s="2">
        <f>"8993137692250"</f>
        <v/>
      </c>
      <c r="C3186" t="inlineStr">
        <is>
          <t>MAKEOVER Blush On Sumer Twist 09 6gr</t>
        </is>
      </c>
      <c r="D3186" t="inlineStr">
        <is>
          <t>Miss Glam Damar</t>
        </is>
      </c>
      <c r="E3186" t="n">
        <v>5</v>
      </c>
      <c r="F3186" t="n">
        <v>0.0182</v>
      </c>
      <c r="G3186" t="n">
        <v>0.91</v>
      </c>
      <c r="H3186" t="n">
        <v>2</v>
      </c>
      <c r="I3186" t="n">
        <v>6</v>
      </c>
      <c r="J3186" t="n">
        <v>3</v>
      </c>
      <c r="K3186" t="n">
        <v>0</v>
      </c>
      <c r="L3186" t="n">
        <v>74250</v>
      </c>
      <c r="M3186" t="n">
        <v>94000</v>
      </c>
      <c r="N3186" t="n">
        <v>91</v>
      </c>
      <c r="O3186" t="n">
        <v>0.91</v>
      </c>
      <c r="P3186" t="n">
        <v>1</v>
      </c>
      <c r="Q3186" t="n">
        <v>0.08</v>
      </c>
      <c r="R3186" t="n">
        <v>1</v>
      </c>
      <c r="S3186" t="n">
        <v>1710.8</v>
      </c>
      <c r="T3186" t="n">
        <v>6</v>
      </c>
      <c r="U3186" t="n">
        <v>7</v>
      </c>
      <c r="V3186" t="n">
        <v>30</v>
      </c>
      <c r="W3186" t="n">
        <v>1</v>
      </c>
      <c r="X3186" t="n">
        <v>274.7252747252747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11711</v>
      </c>
      <c r="AG3186" t="n">
        <v>63</v>
      </c>
      <c r="AH3186" t="inlineStr">
        <is>
          <t>PT. PARAMA GLOBAL INSPIRA - PPN (PDG)</t>
        </is>
      </c>
      <c r="AI3186" t="n">
        <v>103</v>
      </c>
      <c r="AJ3186" t="inlineStr">
        <is>
          <t>MAKE OVER</t>
        </is>
      </c>
      <c r="AK3186" t="n">
        <v>21</v>
      </c>
      <c r="AL3186" t="inlineStr">
        <is>
          <t>Miss Glam Damar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MAKE OVER</t>
        </is>
      </c>
      <c r="B3187" s="2">
        <f>"8993137699952"</f>
        <v/>
      </c>
      <c r="C3187" t="inlineStr">
        <is>
          <t>MAKEOVER Cliquematte Lip Stylo 201 Eclair 2g</t>
        </is>
      </c>
      <c r="D3187" t="inlineStr">
        <is>
          <t>Miss Glam Damar</t>
        </is>
      </c>
      <c r="E3187" t="n">
        <v>4</v>
      </c>
      <c r="F3187" t="n">
        <v>0.03</v>
      </c>
      <c r="G3187" t="n">
        <v>1</v>
      </c>
      <c r="H3187" t="n">
        <v>2</v>
      </c>
      <c r="I3187" t="n">
        <v>6</v>
      </c>
      <c r="J3187" t="n">
        <v>3</v>
      </c>
      <c r="K3187" t="n">
        <v>0</v>
      </c>
      <c r="L3187" t="n">
        <v>91500</v>
      </c>
      <c r="M3187" t="n">
        <v>115500</v>
      </c>
      <c r="N3187" t="n">
        <v>91</v>
      </c>
      <c r="O3187" t="n">
        <v>0.91</v>
      </c>
      <c r="P3187" t="n">
        <v>0</v>
      </c>
      <c r="Q3187" t="n">
        <v>0.03</v>
      </c>
      <c r="R3187" t="n">
        <v>1</v>
      </c>
      <c r="S3187" t="n">
        <v>3465</v>
      </c>
      <c r="T3187" t="n">
        <v>6</v>
      </c>
      <c r="U3187" t="n">
        <v>7</v>
      </c>
      <c r="V3187" t="n">
        <v>30</v>
      </c>
      <c r="W3187" t="n">
        <v>1</v>
      </c>
      <c r="X3187" t="n">
        <v>133.3333333333333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11711</v>
      </c>
      <c r="AG3187" t="n">
        <v>63</v>
      </c>
      <c r="AH3187" t="inlineStr">
        <is>
          <t>PT. PARAMA GLOBAL INSPIRA - PPN (PDG)</t>
        </is>
      </c>
      <c r="AI3187" t="n">
        <v>103</v>
      </c>
      <c r="AJ3187" t="inlineStr">
        <is>
          <t>MAKE OVER</t>
        </is>
      </c>
      <c r="AK3187" t="n">
        <v>21</v>
      </c>
      <c r="AL3187" t="inlineStr">
        <is>
          <t>Miss Glam Damar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MAKE OVER</t>
        </is>
      </c>
      <c r="B3188" s="2">
        <f>"8993137699969"</f>
        <v/>
      </c>
      <c r="C3188" t="inlineStr">
        <is>
          <t>MAKEOVER Cliquematte Lip Stylo 202 Hollywood 2g</t>
        </is>
      </c>
      <c r="D3188" t="inlineStr">
        <is>
          <t>Miss Glam Damar</t>
        </is>
      </c>
      <c r="E3188" t="n">
        <v>3</v>
      </c>
      <c r="F3188" t="n">
        <v>0.0728</v>
      </c>
      <c r="G3188" t="n">
        <v>1.82</v>
      </c>
      <c r="H3188" t="n">
        <v>2</v>
      </c>
      <c r="I3188" t="n">
        <v>6</v>
      </c>
      <c r="J3188" t="n">
        <v>3</v>
      </c>
      <c r="K3188" t="n">
        <v>0</v>
      </c>
      <c r="L3188" t="n">
        <v>92142</v>
      </c>
      <c r="M3188" t="n">
        <v>115500</v>
      </c>
      <c r="N3188" t="n">
        <v>91</v>
      </c>
      <c r="O3188" t="n">
        <v>0.91</v>
      </c>
      <c r="P3188" t="n">
        <v>1</v>
      </c>
      <c r="Q3188" t="n">
        <v>0.1</v>
      </c>
      <c r="R3188" t="n">
        <v>1</v>
      </c>
      <c r="S3188" t="n">
        <v>8408.4</v>
      </c>
      <c r="T3188" t="n">
        <v>11</v>
      </c>
      <c r="U3188" t="n">
        <v>12</v>
      </c>
      <c r="V3188" t="n">
        <v>30</v>
      </c>
      <c r="W3188" t="n">
        <v>3</v>
      </c>
      <c r="X3188" t="n">
        <v>41.2087912087912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11711</v>
      </c>
      <c r="AG3188" t="n">
        <v>63</v>
      </c>
      <c r="AH3188" t="inlineStr">
        <is>
          <t>PT. PARAMA GLOBAL INSPIRA - PPN (PDG)</t>
        </is>
      </c>
      <c r="AI3188" t="n">
        <v>103</v>
      </c>
      <c r="AJ3188" t="inlineStr">
        <is>
          <t>MAKE OVER</t>
        </is>
      </c>
      <c r="AK3188" t="n">
        <v>21</v>
      </c>
      <c r="AL3188" t="inlineStr">
        <is>
          <t>Miss Glam Damar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MAKE OVER</t>
        </is>
      </c>
      <c r="B3189" s="2">
        <f>"8993137699976"</f>
        <v/>
      </c>
      <c r="C3189" t="inlineStr">
        <is>
          <t>MAKEOVER Cliquematte Lip Stylo 203 Crush 2gr</t>
        </is>
      </c>
      <c r="D3189" t="inlineStr">
        <is>
          <t>Miss Glam Damar</t>
        </is>
      </c>
      <c r="E3189" t="n">
        <v>7</v>
      </c>
      <c r="F3189" t="n">
        <v>0.0273</v>
      </c>
      <c r="G3189" t="n">
        <v>0.91</v>
      </c>
      <c r="H3189" t="n">
        <v>2</v>
      </c>
      <c r="I3189" t="n">
        <v>6</v>
      </c>
      <c r="J3189" t="n">
        <v>3</v>
      </c>
      <c r="K3189" t="n">
        <v>0</v>
      </c>
      <c r="L3189" t="n">
        <v>92240</v>
      </c>
      <c r="M3189" t="n">
        <v>115500</v>
      </c>
      <c r="N3189" t="n">
        <v>91</v>
      </c>
      <c r="O3189" t="n">
        <v>0.91</v>
      </c>
      <c r="P3189" t="n">
        <v>1</v>
      </c>
      <c r="Q3189" t="n">
        <v>0.31</v>
      </c>
      <c r="R3189" t="n">
        <v>2</v>
      </c>
      <c r="S3189" t="n">
        <v>3153.15</v>
      </c>
      <c r="T3189" t="n">
        <v>6</v>
      </c>
      <c r="U3189" t="n">
        <v>7</v>
      </c>
      <c r="V3189" t="n">
        <v>30</v>
      </c>
      <c r="W3189" t="n">
        <v>1</v>
      </c>
      <c r="X3189" t="n">
        <v>256.4102564102564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11711</v>
      </c>
      <c r="AG3189" t="n">
        <v>63</v>
      </c>
      <c r="AH3189" t="inlineStr">
        <is>
          <t>PT. PARAMA GLOBAL INSPIRA - PPN (PDG)</t>
        </is>
      </c>
      <c r="AI3189" t="n">
        <v>103</v>
      </c>
      <c r="AJ3189" t="inlineStr">
        <is>
          <t>MAKE OVER</t>
        </is>
      </c>
      <c r="AK3189" t="n">
        <v>21</v>
      </c>
      <c r="AL3189" t="inlineStr">
        <is>
          <t>Miss Glam Damar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MAKE OVER</t>
        </is>
      </c>
      <c r="B3190" s="2">
        <f>"8993137699990"</f>
        <v/>
      </c>
      <c r="C3190" t="inlineStr">
        <is>
          <t>MAKEOVER Cliquematte Lip Stylo 205 Jetsetter 2gr</t>
        </is>
      </c>
      <c r="D3190" t="inlineStr">
        <is>
          <t>Miss Glam Damar</t>
        </is>
      </c>
      <c r="E3190" t="n">
        <v>2</v>
      </c>
      <c r="F3190" t="n">
        <v>0.15</v>
      </c>
      <c r="G3190" t="n">
        <v>1</v>
      </c>
      <c r="H3190" t="n">
        <v>2</v>
      </c>
      <c r="I3190" t="n">
        <v>6</v>
      </c>
      <c r="J3190" t="n">
        <v>3</v>
      </c>
      <c r="K3190" t="n">
        <v>0</v>
      </c>
      <c r="L3190" t="n">
        <v>92200</v>
      </c>
      <c r="M3190" t="n">
        <v>115500</v>
      </c>
      <c r="N3190" t="n">
        <v>91</v>
      </c>
      <c r="O3190" t="n">
        <v>0.91</v>
      </c>
      <c r="P3190" t="n">
        <v>0</v>
      </c>
      <c r="Q3190" t="n">
        <v>0.15</v>
      </c>
      <c r="R3190" t="n">
        <v>1</v>
      </c>
      <c r="S3190" t="n">
        <v>17325</v>
      </c>
      <c r="T3190" t="n">
        <v>6</v>
      </c>
      <c r="U3190" t="n">
        <v>7</v>
      </c>
      <c r="V3190" t="n">
        <v>30</v>
      </c>
      <c r="W3190" t="n">
        <v>5</v>
      </c>
      <c r="X3190" t="n">
        <v>13.33333333333333</v>
      </c>
      <c r="Y3190" t="n">
        <v>1</v>
      </c>
      <c r="Z3190" t="n">
        <v>3</v>
      </c>
      <c r="AA3190" t="n">
        <v>0</v>
      </c>
      <c r="AB3190" t="n">
        <v>3</v>
      </c>
      <c r="AC3190" t="n">
        <v>3</v>
      </c>
      <c r="AD3190" t="n">
        <v>0</v>
      </c>
      <c r="AE3190" t="n">
        <v>276600</v>
      </c>
      <c r="AF3190" t="n">
        <v>11711</v>
      </c>
      <c r="AG3190" t="n">
        <v>63</v>
      </c>
      <c r="AH3190" t="inlineStr">
        <is>
          <t>PT. PARAMA GLOBAL INSPIRA - PPN (PDG)</t>
        </is>
      </c>
      <c r="AI3190" t="n">
        <v>103</v>
      </c>
      <c r="AJ3190" t="inlineStr">
        <is>
          <t>MAKE OVER</t>
        </is>
      </c>
      <c r="AK3190" t="n">
        <v>21</v>
      </c>
      <c r="AL3190" t="inlineStr">
        <is>
          <t>Miss Glam Damar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MAKE OVER</t>
        </is>
      </c>
      <c r="B3191" s="2">
        <f>"8993137706162"</f>
        <v/>
      </c>
      <c r="C3191" t="inlineStr">
        <is>
          <t>MAKEOVER Color Hypnose Cream Lip Matte 04 Hypnotic 4.3gr</t>
        </is>
      </c>
      <c r="D3191" t="inlineStr">
        <is>
          <t>Miss Glam Damar</t>
        </is>
      </c>
      <c r="E3191" t="n">
        <v>5</v>
      </c>
      <c r="F3191" t="n">
        <v>0.0273</v>
      </c>
      <c r="G3191" t="n">
        <v>0.91</v>
      </c>
      <c r="H3191" t="n">
        <v>2</v>
      </c>
      <c r="I3191" t="n">
        <v>6</v>
      </c>
      <c r="J3191" t="n">
        <v>3</v>
      </c>
      <c r="K3191" t="n">
        <v>0</v>
      </c>
      <c r="L3191" t="n">
        <v>68164</v>
      </c>
      <c r="M3191" t="n">
        <v>86000</v>
      </c>
      <c r="N3191" t="n">
        <v>91</v>
      </c>
      <c r="O3191" t="n">
        <v>0.91</v>
      </c>
      <c r="P3191" t="n">
        <v>1</v>
      </c>
      <c r="Q3191" t="n">
        <v>0.03</v>
      </c>
      <c r="R3191" t="n">
        <v>1</v>
      </c>
      <c r="S3191" t="n">
        <v>2347.8</v>
      </c>
      <c r="T3191" t="n">
        <v>6</v>
      </c>
      <c r="U3191" t="n">
        <v>7</v>
      </c>
      <c r="V3191" t="n">
        <v>30</v>
      </c>
      <c r="W3191" t="n">
        <v>1</v>
      </c>
      <c r="X3191" t="n">
        <v>183.1501831501832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11711</v>
      </c>
      <c r="AG3191" t="n">
        <v>63</v>
      </c>
      <c r="AH3191" t="inlineStr">
        <is>
          <t>PT. PARAMA GLOBAL INSPIRA - PPN (PDG)</t>
        </is>
      </c>
      <c r="AI3191" t="n">
        <v>103</v>
      </c>
      <c r="AJ3191" t="inlineStr">
        <is>
          <t>MAKE OVER</t>
        </is>
      </c>
      <c r="AK3191" t="n">
        <v>21</v>
      </c>
      <c r="AL3191" t="inlineStr">
        <is>
          <t>Miss Glam Damar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MAKE OVER</t>
        </is>
      </c>
      <c r="B3192" s="2">
        <f>"8993137706193"</f>
        <v/>
      </c>
      <c r="C3192" t="inlineStr">
        <is>
          <t>MAKEOVER Color Hypnose Creamy Lip Matte 07 Temptation 4,3gr</t>
        </is>
      </c>
      <c r="D3192" t="inlineStr">
        <is>
          <t>Miss Glam Damar</t>
        </is>
      </c>
      <c r="E3192" t="n">
        <v>7</v>
      </c>
      <c r="F3192" t="n">
        <v>0.0273</v>
      </c>
      <c r="G3192" t="n">
        <v>0.91</v>
      </c>
      <c r="H3192" t="n">
        <v>2</v>
      </c>
      <c r="I3192" t="n">
        <v>6</v>
      </c>
      <c r="J3192" t="n">
        <v>3</v>
      </c>
      <c r="K3192" t="n">
        <v>0</v>
      </c>
      <c r="L3192" t="n">
        <v>68249</v>
      </c>
      <c r="M3192" t="n">
        <v>86000</v>
      </c>
      <c r="N3192" t="n">
        <v>91</v>
      </c>
      <c r="O3192" t="n">
        <v>0.91</v>
      </c>
      <c r="P3192" t="n">
        <v>1</v>
      </c>
      <c r="Q3192" t="n">
        <v>0.14</v>
      </c>
      <c r="R3192" t="n">
        <v>1</v>
      </c>
      <c r="S3192" t="n">
        <v>2347.8</v>
      </c>
      <c r="T3192" t="n">
        <v>6</v>
      </c>
      <c r="U3192" t="n">
        <v>7</v>
      </c>
      <c r="V3192" t="n">
        <v>30</v>
      </c>
      <c r="W3192" t="n">
        <v>1</v>
      </c>
      <c r="X3192" t="n">
        <v>256.4102564102564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11711</v>
      </c>
      <c r="AG3192" t="n">
        <v>63</v>
      </c>
      <c r="AH3192" t="inlineStr">
        <is>
          <t>PT. PARAMA GLOBAL INSPIRA - PPN (PDG)</t>
        </is>
      </c>
      <c r="AI3192" t="n">
        <v>103</v>
      </c>
      <c r="AJ3192" t="inlineStr">
        <is>
          <t>MAKE OVER</t>
        </is>
      </c>
      <c r="AK3192" t="n">
        <v>21</v>
      </c>
      <c r="AL3192" t="inlineStr">
        <is>
          <t>Miss Glam Damar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MAKE OVER</t>
        </is>
      </c>
      <c r="B3193" s="2">
        <f>"8993137706209"</f>
        <v/>
      </c>
      <c r="C3193" t="inlineStr">
        <is>
          <t>MAKEOVER Color Hypnose Creamy Lip Matte 08 Addicted 4,3gr</t>
        </is>
      </c>
      <c r="D3193" t="inlineStr">
        <is>
          <t>Miss Glam Damar</t>
        </is>
      </c>
      <c r="E3193" t="n">
        <v>4</v>
      </c>
      <c r="F3193" t="n">
        <v>0.03</v>
      </c>
      <c r="G3193" t="n">
        <v>1</v>
      </c>
      <c r="H3193" t="n">
        <v>2</v>
      </c>
      <c r="I3193" t="n">
        <v>6</v>
      </c>
      <c r="J3193" t="n">
        <v>3</v>
      </c>
      <c r="K3193" t="n">
        <v>0</v>
      </c>
      <c r="L3193" t="n">
        <v>68787</v>
      </c>
      <c r="M3193" t="n">
        <v>86000</v>
      </c>
      <c r="N3193" t="n">
        <v>91</v>
      </c>
      <c r="O3193" t="n">
        <v>0.91</v>
      </c>
      <c r="P3193" t="n">
        <v>0</v>
      </c>
      <c r="Q3193" t="n">
        <v>0.03</v>
      </c>
      <c r="R3193" t="n">
        <v>1</v>
      </c>
      <c r="S3193" t="n">
        <v>2580</v>
      </c>
      <c r="T3193" t="n">
        <v>6</v>
      </c>
      <c r="U3193" t="n">
        <v>7</v>
      </c>
      <c r="V3193" t="n">
        <v>30</v>
      </c>
      <c r="W3193" t="n">
        <v>1</v>
      </c>
      <c r="X3193" t="n">
        <v>133.3333333333333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11711</v>
      </c>
      <c r="AG3193" t="n">
        <v>63</v>
      </c>
      <c r="AH3193" t="inlineStr">
        <is>
          <t>PT. PARAMA GLOBAL INSPIRA - PPN (PDG)</t>
        </is>
      </c>
      <c r="AI3193" t="n">
        <v>103</v>
      </c>
      <c r="AJ3193" t="inlineStr">
        <is>
          <t>MAKE OVER</t>
        </is>
      </c>
      <c r="AK3193" t="n">
        <v>21</v>
      </c>
      <c r="AL3193" t="inlineStr">
        <is>
          <t>Miss Glam Damar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MAKE OVER</t>
        </is>
      </c>
      <c r="B3194" s="2">
        <f>"8993137706216"</f>
        <v/>
      </c>
      <c r="C3194" t="inlineStr">
        <is>
          <t>MAKEOVER Color Hypnose Creamy Lip Matte 09 Undercover 4,3gr</t>
        </is>
      </c>
      <c r="D3194" t="inlineStr">
        <is>
          <t>Miss Glam Damar</t>
        </is>
      </c>
      <c r="E3194" t="n">
        <v>3</v>
      </c>
      <c r="F3194" t="n">
        <v>0.0182</v>
      </c>
      <c r="G3194" t="n">
        <v>0.91</v>
      </c>
      <c r="H3194" t="n">
        <v>2</v>
      </c>
      <c r="I3194" t="n">
        <v>6</v>
      </c>
      <c r="J3194" t="n">
        <v>3</v>
      </c>
      <c r="K3194" t="n">
        <v>0</v>
      </c>
      <c r="L3194" t="n">
        <v>68249</v>
      </c>
      <c r="M3194" t="n">
        <v>86000</v>
      </c>
      <c r="N3194" t="n">
        <v>91</v>
      </c>
      <c r="O3194" t="n">
        <v>0.91</v>
      </c>
      <c r="P3194" t="n">
        <v>1</v>
      </c>
      <c r="Q3194" t="n">
        <v>0.05</v>
      </c>
      <c r="R3194" t="n">
        <v>1</v>
      </c>
      <c r="S3194" t="n">
        <v>1565.2</v>
      </c>
      <c r="T3194" t="n">
        <v>6</v>
      </c>
      <c r="U3194" t="n">
        <v>7</v>
      </c>
      <c r="V3194" t="n">
        <v>30</v>
      </c>
      <c r="W3194" t="n">
        <v>1</v>
      </c>
      <c r="X3194" t="n">
        <v>164.8351648351648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11711</v>
      </c>
      <c r="AG3194" t="n">
        <v>63</v>
      </c>
      <c r="AH3194" t="inlineStr">
        <is>
          <t>PT. PARAMA GLOBAL INSPIRA - PPN (PDG)</t>
        </is>
      </c>
      <c r="AI3194" t="n">
        <v>103</v>
      </c>
      <c r="AJ3194" t="inlineStr">
        <is>
          <t>MAKE OVER</t>
        </is>
      </c>
      <c r="AK3194" t="n">
        <v>21</v>
      </c>
      <c r="AL3194" t="inlineStr">
        <is>
          <t>Miss Glam Damar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MAKE OVER</t>
        </is>
      </c>
      <c r="B3195" s="2">
        <f>"8993137706131"</f>
        <v/>
      </c>
      <c r="C3195" t="inlineStr">
        <is>
          <t>MAKEOVER Color Hypnose Creamy Lipmatte 01 Charm 4.3gr</t>
        </is>
      </c>
      <c r="D3195" t="inlineStr">
        <is>
          <t>Miss Glam Damar</t>
        </is>
      </c>
      <c r="E3195" t="n">
        <v>4</v>
      </c>
      <c r="F3195" t="n">
        <v>0.0273</v>
      </c>
      <c r="G3195" t="n">
        <v>0.91</v>
      </c>
      <c r="H3195" t="n">
        <v>2</v>
      </c>
      <c r="I3195" t="n">
        <v>6</v>
      </c>
      <c r="J3195" t="n">
        <v>3</v>
      </c>
      <c r="K3195" t="n">
        <v>0</v>
      </c>
      <c r="L3195" t="n">
        <v>68249</v>
      </c>
      <c r="M3195" t="n">
        <v>86000</v>
      </c>
      <c r="N3195" t="n">
        <v>91</v>
      </c>
      <c r="O3195" t="n">
        <v>0.91</v>
      </c>
      <c r="P3195" t="n">
        <v>1</v>
      </c>
      <c r="Q3195" t="n">
        <v>0.03</v>
      </c>
      <c r="R3195" t="n">
        <v>1</v>
      </c>
      <c r="S3195" t="n">
        <v>2347.8</v>
      </c>
      <c r="T3195" t="n">
        <v>6</v>
      </c>
      <c r="U3195" t="n">
        <v>7</v>
      </c>
      <c r="V3195" t="n">
        <v>30</v>
      </c>
      <c r="W3195" t="n">
        <v>1</v>
      </c>
      <c r="X3195" t="n">
        <v>146.5201465201465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11711</v>
      </c>
      <c r="AG3195" t="n">
        <v>63</v>
      </c>
      <c r="AH3195" t="inlineStr">
        <is>
          <t>PT. PARAMA GLOBAL INSPIRA - PPN (PDG)</t>
        </is>
      </c>
      <c r="AI3195" t="n">
        <v>103</v>
      </c>
      <c r="AJ3195" t="inlineStr">
        <is>
          <t>MAKE OVER</t>
        </is>
      </c>
      <c r="AK3195" t="n">
        <v>21</v>
      </c>
      <c r="AL3195" t="inlineStr">
        <is>
          <t>Miss Glam Damar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MAKE OVER</t>
        </is>
      </c>
      <c r="B3196" s="2">
        <f>"8993137706155"</f>
        <v/>
      </c>
      <c r="C3196" t="inlineStr">
        <is>
          <t>MAKEOVER Color Hypnose Creamy Lipmatte 03 Allure 4.3gr</t>
        </is>
      </c>
      <c r="D3196" t="inlineStr">
        <is>
          <t>Miss Glam Damar</t>
        </is>
      </c>
      <c r="E3196" t="n">
        <v>7</v>
      </c>
      <c r="F3196" t="n">
        <v>0.04550000000000001</v>
      </c>
      <c r="G3196" t="n">
        <v>0.91</v>
      </c>
      <c r="H3196" t="n">
        <v>2</v>
      </c>
      <c r="I3196" t="n">
        <v>6</v>
      </c>
      <c r="J3196" t="n">
        <v>3</v>
      </c>
      <c r="K3196" t="n">
        <v>0</v>
      </c>
      <c r="L3196" t="n">
        <v>68236</v>
      </c>
      <c r="M3196" t="n">
        <v>86000</v>
      </c>
      <c r="N3196" t="n">
        <v>91</v>
      </c>
      <c r="O3196" t="n">
        <v>0.91</v>
      </c>
      <c r="P3196" t="n">
        <v>1</v>
      </c>
      <c r="Q3196" t="n">
        <v>0.17</v>
      </c>
      <c r="R3196" t="n">
        <v>2</v>
      </c>
      <c r="S3196" t="n">
        <v>3913</v>
      </c>
      <c r="T3196" t="n">
        <v>6</v>
      </c>
      <c r="U3196" t="n">
        <v>7</v>
      </c>
      <c r="V3196" t="n">
        <v>30</v>
      </c>
      <c r="W3196" t="n">
        <v>2</v>
      </c>
      <c r="X3196" t="n">
        <v>153.8461538461538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11711</v>
      </c>
      <c r="AG3196" t="n">
        <v>63</v>
      </c>
      <c r="AH3196" t="inlineStr">
        <is>
          <t>PT. PARAMA GLOBAL INSPIRA - PPN (PDG)</t>
        </is>
      </c>
      <c r="AI3196" t="n">
        <v>103</v>
      </c>
      <c r="AJ3196" t="inlineStr">
        <is>
          <t>MAKE OVER</t>
        </is>
      </c>
      <c r="AK3196" t="n">
        <v>21</v>
      </c>
      <c r="AL3196" t="inlineStr">
        <is>
          <t>Miss Glam Damar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MAKE OVER</t>
        </is>
      </c>
      <c r="B3197" s="2">
        <f>"8993137706186"</f>
        <v/>
      </c>
      <c r="C3197" t="inlineStr">
        <is>
          <t>MAKEOVER Color Hypnose Creamy Lipmatte 06 Kiss 4,3gr</t>
        </is>
      </c>
      <c r="D3197" t="inlineStr">
        <is>
          <t>Miss Glam Damar</t>
        </is>
      </c>
      <c r="E3197" t="n">
        <v>13</v>
      </c>
      <c r="F3197" t="n">
        <v>0.0728</v>
      </c>
      <c r="G3197" t="n">
        <v>0.91</v>
      </c>
      <c r="H3197" t="n">
        <v>2</v>
      </c>
      <c r="I3197" t="n">
        <v>6</v>
      </c>
      <c r="J3197" t="n">
        <v>3</v>
      </c>
      <c r="K3197" t="n">
        <v>0</v>
      </c>
      <c r="L3197" t="n">
        <v>68249</v>
      </c>
      <c r="M3197" t="n">
        <v>86000</v>
      </c>
      <c r="N3197" t="n">
        <v>91</v>
      </c>
      <c r="O3197" t="n">
        <v>0.91</v>
      </c>
      <c r="P3197" t="n">
        <v>1</v>
      </c>
      <c r="Q3197" t="n">
        <v>0.25</v>
      </c>
      <c r="R3197" t="n">
        <v>2</v>
      </c>
      <c r="S3197" t="n">
        <v>6260.8</v>
      </c>
      <c r="T3197" t="n">
        <v>6</v>
      </c>
      <c r="U3197" t="n">
        <v>7</v>
      </c>
      <c r="V3197" t="n">
        <v>30</v>
      </c>
      <c r="W3197" t="n">
        <v>3</v>
      </c>
      <c r="X3197" t="n">
        <v>178.5714285714286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11711</v>
      </c>
      <c r="AG3197" t="n">
        <v>63</v>
      </c>
      <c r="AH3197" t="inlineStr">
        <is>
          <t>PT. PARAMA GLOBAL INSPIRA - PPN (PDG)</t>
        </is>
      </c>
      <c r="AI3197" t="n">
        <v>103</v>
      </c>
      <c r="AJ3197" t="inlineStr">
        <is>
          <t>MAKE OVER</t>
        </is>
      </c>
      <c r="AK3197" t="n">
        <v>21</v>
      </c>
      <c r="AL3197" t="inlineStr">
        <is>
          <t>Miss Glam Damar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MAKE OVER</t>
        </is>
      </c>
      <c r="B3198" s="2">
        <f>"8993137706247"</f>
        <v/>
      </c>
      <c r="C3198" t="inlineStr">
        <is>
          <t>MAKEOVER Color Hypnose Creamy Lipmatte 12 Magnet 4,3gr</t>
        </is>
      </c>
      <c r="D3198" t="inlineStr">
        <is>
          <t>Miss Glam Damar</t>
        </is>
      </c>
      <c r="E3198" t="n">
        <v>3</v>
      </c>
      <c r="F3198" t="n">
        <v>0.03</v>
      </c>
      <c r="G3198" t="n">
        <v>1</v>
      </c>
      <c r="H3198" t="n">
        <v>2</v>
      </c>
      <c r="I3198" t="n">
        <v>6</v>
      </c>
      <c r="J3198" t="n">
        <v>3</v>
      </c>
      <c r="K3198" t="n">
        <v>0</v>
      </c>
      <c r="L3198" t="n">
        <v>68044</v>
      </c>
      <c r="M3198" t="n">
        <v>86000</v>
      </c>
      <c r="N3198" t="n">
        <v>91</v>
      </c>
      <c r="O3198" t="n">
        <v>0.91</v>
      </c>
      <c r="P3198" t="n">
        <v>0</v>
      </c>
      <c r="Q3198" t="n">
        <v>0.03</v>
      </c>
      <c r="R3198" t="n">
        <v>1</v>
      </c>
      <c r="S3198" t="n">
        <v>2580</v>
      </c>
      <c r="T3198" t="n">
        <v>6</v>
      </c>
      <c r="U3198" t="n">
        <v>7</v>
      </c>
      <c r="V3198" t="n">
        <v>30</v>
      </c>
      <c r="W3198" t="n">
        <v>1</v>
      </c>
      <c r="X3198" t="n">
        <v>100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11711</v>
      </c>
      <c r="AG3198" t="n">
        <v>63</v>
      </c>
      <c r="AH3198" t="inlineStr">
        <is>
          <t>PT. PARAMA GLOBAL INSPIRA - PPN (PDG)</t>
        </is>
      </c>
      <c r="AI3198" t="n">
        <v>103</v>
      </c>
      <c r="AJ3198" t="inlineStr">
        <is>
          <t>MAKE OVER</t>
        </is>
      </c>
      <c r="AK3198" t="n">
        <v>21</v>
      </c>
      <c r="AL3198" t="inlineStr">
        <is>
          <t>Miss Glam Damar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MAKE OVER</t>
        </is>
      </c>
      <c r="B3199" s="2">
        <f>"8993137699280"</f>
        <v/>
      </c>
      <c r="C3199" t="inlineStr">
        <is>
          <t>MAKEOVER Color Stick Matte Crayon 101 Brooklyn 2.6gr</t>
        </is>
      </c>
      <c r="D3199" t="inlineStr">
        <is>
          <t>Miss Glam Damar</t>
        </is>
      </c>
      <c r="E3199" t="n">
        <v>7</v>
      </c>
      <c r="F3199" t="n">
        <v>0.0182</v>
      </c>
      <c r="G3199" t="n">
        <v>0.91</v>
      </c>
      <c r="H3199" t="n">
        <v>2</v>
      </c>
      <c r="I3199" t="n">
        <v>6</v>
      </c>
      <c r="J3199" t="n">
        <v>3</v>
      </c>
      <c r="K3199" t="n">
        <v>0</v>
      </c>
      <c r="L3199" t="n">
        <v>80245</v>
      </c>
      <c r="M3199" t="n">
        <v>102000</v>
      </c>
      <c r="N3199" t="n">
        <v>91</v>
      </c>
      <c r="O3199" t="n">
        <v>0.91</v>
      </c>
      <c r="P3199" t="n">
        <v>1</v>
      </c>
      <c r="Q3199" t="n">
        <v>0.17</v>
      </c>
      <c r="R3199" t="n">
        <v>2</v>
      </c>
      <c r="S3199" t="n">
        <v>1856.4</v>
      </c>
      <c r="T3199" t="n">
        <v>6</v>
      </c>
      <c r="U3199" t="n">
        <v>7</v>
      </c>
      <c r="V3199" t="n">
        <v>30</v>
      </c>
      <c r="W3199" t="n">
        <v>1</v>
      </c>
      <c r="X3199" t="n">
        <v>384.6153846153846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11711</v>
      </c>
      <c r="AG3199" t="n">
        <v>63</v>
      </c>
      <c r="AH3199" t="inlineStr">
        <is>
          <t>PT. PARAMA GLOBAL INSPIRA - PPN (PDG)</t>
        </is>
      </c>
      <c r="AI3199" t="n">
        <v>103</v>
      </c>
      <c r="AJ3199" t="inlineStr">
        <is>
          <t>MAKE OVER</t>
        </is>
      </c>
      <c r="AK3199" t="n">
        <v>21</v>
      </c>
      <c r="AL3199" t="inlineStr">
        <is>
          <t>Miss Glam Damar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MAKE OVER</t>
        </is>
      </c>
      <c r="B3200" s="2">
        <f>"8993137699297"</f>
        <v/>
      </c>
      <c r="C3200" t="inlineStr">
        <is>
          <t>MAKEOVER Color Stick Matte Crayon 102 Iris 2.6gr</t>
        </is>
      </c>
      <c r="D3200" t="inlineStr">
        <is>
          <t>Miss Glam Damar</t>
        </is>
      </c>
      <c r="E3200" t="n">
        <v>4</v>
      </c>
      <c r="F3200" t="n">
        <v>0.0728</v>
      </c>
      <c r="G3200" t="n">
        <v>0.91</v>
      </c>
      <c r="H3200" t="n">
        <v>2</v>
      </c>
      <c r="I3200" t="n">
        <v>6</v>
      </c>
      <c r="J3200" t="n">
        <v>3</v>
      </c>
      <c r="K3200" t="n">
        <v>0</v>
      </c>
      <c r="L3200" t="n">
        <v>80193</v>
      </c>
      <c r="M3200" t="n">
        <v>102000</v>
      </c>
      <c r="N3200" t="n">
        <v>91</v>
      </c>
      <c r="O3200" t="n">
        <v>0.91</v>
      </c>
      <c r="P3200" t="n">
        <v>1</v>
      </c>
      <c r="Q3200" t="n">
        <v>0.05</v>
      </c>
      <c r="R3200" t="n">
        <v>1</v>
      </c>
      <c r="S3200" t="n">
        <v>7425.6</v>
      </c>
      <c r="T3200" t="n">
        <v>6</v>
      </c>
      <c r="U3200" t="n">
        <v>7</v>
      </c>
      <c r="V3200" t="n">
        <v>30</v>
      </c>
      <c r="W3200" t="n">
        <v>3</v>
      </c>
      <c r="X3200" t="n">
        <v>54.94505494505494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11711</v>
      </c>
      <c r="AG3200" t="n">
        <v>63</v>
      </c>
      <c r="AH3200" t="inlineStr">
        <is>
          <t>PT. PARAMA GLOBAL INSPIRA - PPN (PDG)</t>
        </is>
      </c>
      <c r="AI3200" t="n">
        <v>103</v>
      </c>
      <c r="AJ3200" t="inlineStr">
        <is>
          <t>MAKE OVER</t>
        </is>
      </c>
      <c r="AK3200" t="n">
        <v>21</v>
      </c>
      <c r="AL3200" t="inlineStr">
        <is>
          <t>Miss Glam Damar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MAKE OVER</t>
        </is>
      </c>
      <c r="B3201" s="2">
        <f>"8993137699303"</f>
        <v/>
      </c>
      <c r="C3201" t="inlineStr">
        <is>
          <t>MAKEOVER Color Stick Matte Crayon 103 Harper 2.6gr</t>
        </is>
      </c>
      <c r="D3201" t="inlineStr">
        <is>
          <t>Miss Glam Damar</t>
        </is>
      </c>
      <c r="E3201" t="n">
        <v>10</v>
      </c>
      <c r="F3201" t="n">
        <v>0.09100000000000001</v>
      </c>
      <c r="G3201" t="n">
        <v>1.82</v>
      </c>
      <c r="H3201" t="n">
        <v>2</v>
      </c>
      <c r="I3201" t="n">
        <v>6</v>
      </c>
      <c r="J3201" t="n">
        <v>3</v>
      </c>
      <c r="K3201" t="n">
        <v>0</v>
      </c>
      <c r="L3201" t="n">
        <v>80250</v>
      </c>
      <c r="M3201" t="n">
        <v>102000</v>
      </c>
      <c r="N3201" t="n">
        <v>91</v>
      </c>
      <c r="O3201" t="n">
        <v>0.91</v>
      </c>
      <c r="P3201" t="n">
        <v>1</v>
      </c>
      <c r="Q3201" t="n">
        <v>0.39</v>
      </c>
      <c r="R3201" t="n">
        <v>2</v>
      </c>
      <c r="S3201" t="n">
        <v>9282.000000000002</v>
      </c>
      <c r="T3201" t="n">
        <v>11</v>
      </c>
      <c r="U3201" t="n">
        <v>12</v>
      </c>
      <c r="V3201" t="n">
        <v>30</v>
      </c>
      <c r="W3201" t="n">
        <v>3</v>
      </c>
      <c r="X3201" t="n">
        <v>109.8901098901099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11711</v>
      </c>
      <c r="AG3201" t="n">
        <v>63</v>
      </c>
      <c r="AH3201" t="inlineStr">
        <is>
          <t>PT. PARAMA GLOBAL INSPIRA - PPN (PDG)</t>
        </is>
      </c>
      <c r="AI3201" t="n">
        <v>103</v>
      </c>
      <c r="AJ3201" t="inlineStr">
        <is>
          <t>MAKE OVER</t>
        </is>
      </c>
      <c r="AK3201" t="n">
        <v>21</v>
      </c>
      <c r="AL3201" t="inlineStr">
        <is>
          <t>Miss Glam Damar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MAKE OVER</t>
        </is>
      </c>
      <c r="B3202" s="2">
        <f>"8993137699310"</f>
        <v/>
      </c>
      <c r="C3202" t="inlineStr">
        <is>
          <t>MAKEOVER Color Stick Matte Crayon 104 Blake 2.6gr</t>
        </is>
      </c>
      <c r="D3202" t="inlineStr">
        <is>
          <t>Miss Glam Damar</t>
        </is>
      </c>
      <c r="E3202" t="n">
        <v>7</v>
      </c>
      <c r="F3202" t="n">
        <v>0.1274</v>
      </c>
      <c r="G3202" t="n">
        <v>1.82</v>
      </c>
      <c r="H3202" t="n">
        <v>2</v>
      </c>
      <c r="I3202" t="n">
        <v>6</v>
      </c>
      <c r="J3202" t="n">
        <v>3</v>
      </c>
      <c r="K3202" t="n">
        <v>0</v>
      </c>
      <c r="L3202" t="n">
        <v>80250</v>
      </c>
      <c r="M3202" t="n">
        <v>102000</v>
      </c>
      <c r="N3202" t="n">
        <v>91</v>
      </c>
      <c r="O3202" t="n">
        <v>0.91</v>
      </c>
      <c r="P3202" t="n">
        <v>1</v>
      </c>
      <c r="Q3202" t="n">
        <v>0.15</v>
      </c>
      <c r="R3202" t="n">
        <v>2</v>
      </c>
      <c r="S3202" t="n">
        <v>12994.8</v>
      </c>
      <c r="T3202" t="n">
        <v>11</v>
      </c>
      <c r="U3202" t="n">
        <v>12</v>
      </c>
      <c r="V3202" t="n">
        <v>30</v>
      </c>
      <c r="W3202" t="n">
        <v>4</v>
      </c>
      <c r="X3202" t="n">
        <v>54.94505494505494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11711</v>
      </c>
      <c r="AG3202" t="n">
        <v>63</v>
      </c>
      <c r="AH3202" t="inlineStr">
        <is>
          <t>PT. PARAMA GLOBAL INSPIRA - PPN (PDG)</t>
        </is>
      </c>
      <c r="AI3202" t="n">
        <v>103</v>
      </c>
      <c r="AJ3202" t="inlineStr">
        <is>
          <t>MAKE OVER</t>
        </is>
      </c>
      <c r="AK3202" t="n">
        <v>21</v>
      </c>
      <c r="AL3202" t="inlineStr">
        <is>
          <t>Miss Glam Damar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MAKE OVER</t>
        </is>
      </c>
      <c r="B3203" s="2">
        <f>"8993137699327"</f>
        <v/>
      </c>
      <c r="C3203" t="inlineStr">
        <is>
          <t>MAKEOVER Color Stick Matte Crayon 105 Skye 2.6gr</t>
        </is>
      </c>
      <c r="D3203" t="inlineStr">
        <is>
          <t>Miss Glam Damar</t>
        </is>
      </c>
      <c r="E3203" t="n">
        <v>27</v>
      </c>
      <c r="F3203" t="n">
        <v>1.4469</v>
      </c>
      <c r="G3203" t="n">
        <v>4.55</v>
      </c>
      <c r="H3203" t="n">
        <v>2</v>
      </c>
      <c r="I3203" t="n">
        <v>6</v>
      </c>
      <c r="J3203" t="n">
        <v>12</v>
      </c>
      <c r="K3203" t="n">
        <v>0</v>
      </c>
      <c r="L3203" t="n">
        <v>80247</v>
      </c>
      <c r="M3203" t="n">
        <v>102000</v>
      </c>
      <c r="N3203" t="n">
        <v>91</v>
      </c>
      <c r="O3203" t="n">
        <v>0.91</v>
      </c>
      <c r="P3203" t="n">
        <v>1</v>
      </c>
      <c r="Q3203" t="n">
        <v>1.78</v>
      </c>
      <c r="R3203" t="n">
        <v>7</v>
      </c>
      <c r="S3203" t="n">
        <v>147583.8</v>
      </c>
      <c r="T3203" t="n">
        <v>25</v>
      </c>
      <c r="U3203" t="n">
        <v>28</v>
      </c>
      <c r="V3203" t="n">
        <v>30</v>
      </c>
      <c r="W3203" t="n">
        <v>44</v>
      </c>
      <c r="X3203" t="n">
        <v>18.66058469832055</v>
      </c>
      <c r="Y3203" t="n">
        <v>1</v>
      </c>
      <c r="Z3203" t="n">
        <v>17</v>
      </c>
      <c r="AA3203" t="n">
        <v>0</v>
      </c>
      <c r="AB3203" t="n">
        <v>17</v>
      </c>
      <c r="AC3203" t="n">
        <v>17</v>
      </c>
      <c r="AD3203" t="n">
        <v>0</v>
      </c>
      <c r="AE3203" t="n">
        <v>1364199</v>
      </c>
      <c r="AF3203" t="n">
        <v>11711</v>
      </c>
      <c r="AG3203" t="n">
        <v>63</v>
      </c>
      <c r="AH3203" t="inlineStr">
        <is>
          <t>PT. PARAMA GLOBAL INSPIRA - PPN (PDG)</t>
        </is>
      </c>
      <c r="AI3203" t="n">
        <v>103</v>
      </c>
      <c r="AJ3203" t="inlineStr">
        <is>
          <t>MAKE OVER</t>
        </is>
      </c>
      <c r="AK3203" t="n">
        <v>21</v>
      </c>
      <c r="AL3203" t="inlineStr">
        <is>
          <t>Miss Glam Damar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MAKE OVER</t>
        </is>
      </c>
      <c r="B3204" s="2">
        <f>"8993137693639"</f>
        <v/>
      </c>
      <c r="C3204" t="inlineStr">
        <is>
          <t>MAKEOVER Eye Brow Definition Kit 01 Dark Brown 6.9gr</t>
        </is>
      </c>
      <c r="D3204" t="inlineStr">
        <is>
          <t>Miss Glam Damar</t>
        </is>
      </c>
      <c r="E3204" t="n">
        <v>1</v>
      </c>
      <c r="F3204" t="n">
        <v>0.04550000000000001</v>
      </c>
      <c r="G3204" t="n">
        <v>0.91</v>
      </c>
      <c r="H3204" t="n">
        <v>2</v>
      </c>
      <c r="I3204" t="n">
        <v>6</v>
      </c>
      <c r="J3204" t="n">
        <v>3</v>
      </c>
      <c r="K3204" t="n">
        <v>0</v>
      </c>
      <c r="L3204" t="n">
        <v>91312</v>
      </c>
      <c r="M3204" t="n">
        <v>118000</v>
      </c>
      <c r="N3204" t="n">
        <v>91</v>
      </c>
      <c r="O3204" t="n">
        <v>0.91</v>
      </c>
      <c r="P3204" t="n">
        <v>1</v>
      </c>
      <c r="Q3204" t="n">
        <v>0.05</v>
      </c>
      <c r="R3204" t="n">
        <v>1</v>
      </c>
      <c r="S3204" t="n">
        <v>5369.000000000001</v>
      </c>
      <c r="T3204" t="n">
        <v>6</v>
      </c>
      <c r="U3204" t="n">
        <v>7</v>
      </c>
      <c r="V3204" t="n">
        <v>30</v>
      </c>
      <c r="W3204" t="n">
        <v>2</v>
      </c>
      <c r="X3204" t="n">
        <v>21.97802197802197</v>
      </c>
      <c r="Y3204" t="n">
        <v>1</v>
      </c>
      <c r="Z3204" t="n">
        <v>1</v>
      </c>
      <c r="AA3204" t="n">
        <v>0</v>
      </c>
      <c r="AB3204" t="n">
        <v>1</v>
      </c>
      <c r="AC3204" t="n">
        <v>3</v>
      </c>
      <c r="AD3204" t="n">
        <v>0</v>
      </c>
      <c r="AE3204" t="n">
        <v>273936</v>
      </c>
      <c r="AF3204" t="n">
        <v>11711</v>
      </c>
      <c r="AG3204" t="n">
        <v>63</v>
      </c>
      <c r="AH3204" t="inlineStr">
        <is>
          <t>PT. PARAMA GLOBAL INSPIRA - PPN (PDG)</t>
        </is>
      </c>
      <c r="AI3204" t="n">
        <v>103</v>
      </c>
      <c r="AJ3204" t="inlineStr">
        <is>
          <t>MAKE OVER</t>
        </is>
      </c>
      <c r="AK3204" t="n">
        <v>21</v>
      </c>
      <c r="AL3204" t="inlineStr">
        <is>
          <t>Miss Glam Damar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MAKE OVER</t>
        </is>
      </c>
      <c r="B3205" s="2">
        <f>"8993137683043"</f>
        <v/>
      </c>
      <c r="C3205" t="inlineStr">
        <is>
          <t>MAKEOVER Eye Liner Pencil Black Jack 1,2gr</t>
        </is>
      </c>
      <c r="D3205" t="inlineStr">
        <is>
          <t>Miss Glam Damar</t>
        </is>
      </c>
      <c r="E3205" t="n">
        <v>15</v>
      </c>
      <c r="F3205" t="n">
        <v>0.2639</v>
      </c>
      <c r="G3205" t="n">
        <v>1.82</v>
      </c>
      <c r="H3205" t="n">
        <v>2</v>
      </c>
      <c r="I3205" t="n">
        <v>6</v>
      </c>
      <c r="J3205" t="n">
        <v>3</v>
      </c>
      <c r="K3205" t="n">
        <v>0</v>
      </c>
      <c r="L3205" t="n">
        <v>66750</v>
      </c>
      <c r="M3205" t="n">
        <v>84000</v>
      </c>
      <c r="N3205" t="n">
        <v>91</v>
      </c>
      <c r="O3205" t="n">
        <v>0.91</v>
      </c>
      <c r="P3205" t="n">
        <v>1</v>
      </c>
      <c r="Q3205" t="n">
        <v>0.53</v>
      </c>
      <c r="R3205" t="n">
        <v>3</v>
      </c>
      <c r="S3205" t="n">
        <v>22167.6</v>
      </c>
      <c r="T3205" t="n">
        <v>11</v>
      </c>
      <c r="U3205" t="n">
        <v>12</v>
      </c>
      <c r="V3205" t="n">
        <v>30</v>
      </c>
      <c r="W3205" t="n">
        <v>8</v>
      </c>
      <c r="X3205" t="n">
        <v>56.83971201212582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11711</v>
      </c>
      <c r="AG3205" t="n">
        <v>63</v>
      </c>
      <c r="AH3205" t="inlineStr">
        <is>
          <t>PT. PARAMA GLOBAL INSPIRA - PPN (PDG)</t>
        </is>
      </c>
      <c r="AI3205" t="n">
        <v>103</v>
      </c>
      <c r="AJ3205" t="inlineStr">
        <is>
          <t>MAKE OVER</t>
        </is>
      </c>
      <c r="AK3205" t="n">
        <v>21</v>
      </c>
      <c r="AL3205" t="inlineStr">
        <is>
          <t>Miss Glam Damar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MAKE OVER</t>
        </is>
      </c>
      <c r="B3206" s="2">
        <f>"8993137683067"</f>
        <v/>
      </c>
      <c r="C3206" t="inlineStr">
        <is>
          <t>MAKEOVER Eye Liner Pencil Brown Latte 1,2gr</t>
        </is>
      </c>
      <c r="D3206" t="inlineStr">
        <is>
          <t>Miss Glam Damar</t>
        </is>
      </c>
      <c r="E3206" t="n">
        <v>2</v>
      </c>
      <c r="F3206" t="n">
        <v>0.0273</v>
      </c>
      <c r="G3206" t="n">
        <v>0.91</v>
      </c>
      <c r="H3206" t="n">
        <v>2</v>
      </c>
      <c r="I3206" t="n">
        <v>6</v>
      </c>
      <c r="J3206" t="n">
        <v>3</v>
      </c>
      <c r="K3206" t="n">
        <v>0</v>
      </c>
      <c r="L3206" t="n">
        <v>66750</v>
      </c>
      <c r="M3206" t="n">
        <v>84000</v>
      </c>
      <c r="N3206" t="n">
        <v>91</v>
      </c>
      <c r="O3206" t="n">
        <v>0.91</v>
      </c>
      <c r="P3206" t="n">
        <v>1</v>
      </c>
      <c r="Q3206" t="n">
        <v>0.03</v>
      </c>
      <c r="R3206" t="n">
        <v>1</v>
      </c>
      <c r="S3206" t="n">
        <v>2293.2</v>
      </c>
      <c r="T3206" t="n">
        <v>6</v>
      </c>
      <c r="U3206" t="n">
        <v>7</v>
      </c>
      <c r="V3206" t="n">
        <v>30</v>
      </c>
      <c r="W3206" t="n">
        <v>1</v>
      </c>
      <c r="X3206" t="n">
        <v>73.26007326007326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11711</v>
      </c>
      <c r="AG3206" t="n">
        <v>63</v>
      </c>
      <c r="AH3206" t="inlineStr">
        <is>
          <t>PT. PARAMA GLOBAL INSPIRA - PPN (PDG)</t>
        </is>
      </c>
      <c r="AI3206" t="n">
        <v>103</v>
      </c>
      <c r="AJ3206" t="inlineStr">
        <is>
          <t>MAKE OVER</t>
        </is>
      </c>
      <c r="AK3206" t="n">
        <v>21</v>
      </c>
      <c r="AL3206" t="inlineStr">
        <is>
          <t>Miss Glam Damar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MAKE OVER</t>
        </is>
      </c>
      <c r="B3207" s="2">
        <f>"8993137692694"</f>
        <v/>
      </c>
      <c r="C3207" t="inlineStr">
        <is>
          <t>MAKEOVER Eye Liner Pencil Silver Lines 1,2gr</t>
        </is>
      </c>
      <c r="D3207" t="inlineStr">
        <is>
          <t>Miss Glam Damar</t>
        </is>
      </c>
      <c r="E3207" t="n">
        <v>2</v>
      </c>
      <c r="F3207" t="n">
        <v>0.04550000000000001</v>
      </c>
      <c r="G3207" t="n">
        <v>0.91</v>
      </c>
      <c r="H3207" t="n">
        <v>2</v>
      </c>
      <c r="I3207" t="n">
        <v>6</v>
      </c>
      <c r="J3207" t="n">
        <v>3</v>
      </c>
      <c r="K3207" t="n">
        <v>0</v>
      </c>
      <c r="L3207" t="n">
        <v>65849</v>
      </c>
      <c r="M3207" t="n">
        <v>84000</v>
      </c>
      <c r="N3207" t="n">
        <v>91</v>
      </c>
      <c r="O3207" t="n">
        <v>0.91</v>
      </c>
      <c r="P3207" t="n">
        <v>1</v>
      </c>
      <c r="Q3207" t="n">
        <v>0.02</v>
      </c>
      <c r="R3207" t="n">
        <v>1</v>
      </c>
      <c r="S3207" t="n">
        <v>3822</v>
      </c>
      <c r="T3207" t="n">
        <v>6</v>
      </c>
      <c r="U3207" t="n">
        <v>7</v>
      </c>
      <c r="V3207" t="n">
        <v>30</v>
      </c>
      <c r="W3207" t="n">
        <v>2</v>
      </c>
      <c r="X3207" t="n">
        <v>43.95604395604395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11711</v>
      </c>
      <c r="AG3207" t="n">
        <v>63</v>
      </c>
      <c r="AH3207" t="inlineStr">
        <is>
          <t>PT. PARAMA GLOBAL INSPIRA - PPN (PDG)</t>
        </is>
      </c>
      <c r="AI3207" t="n">
        <v>103</v>
      </c>
      <c r="AJ3207" t="inlineStr">
        <is>
          <t>MAKE OVER</t>
        </is>
      </c>
      <c r="AK3207" t="n">
        <v>21</v>
      </c>
      <c r="AL3207" t="inlineStr">
        <is>
          <t>Miss Glam Damar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MAKE OVER</t>
        </is>
      </c>
      <c r="B3208" s="2">
        <f>"8993137694223"</f>
        <v/>
      </c>
      <c r="C3208" t="inlineStr">
        <is>
          <t>MAKEOVER Eye Shadow Palette Nudes 10gr</t>
        </is>
      </c>
      <c r="D3208" t="inlineStr">
        <is>
          <t>Miss Glam Damar</t>
        </is>
      </c>
      <c r="E3208" t="n">
        <v>5</v>
      </c>
      <c r="F3208" t="n">
        <v>0.04550000000000001</v>
      </c>
      <c r="G3208" t="n">
        <v>0.91</v>
      </c>
      <c r="H3208" t="n">
        <v>2</v>
      </c>
      <c r="I3208" t="n">
        <v>6</v>
      </c>
      <c r="J3208" t="n">
        <v>3</v>
      </c>
      <c r="K3208" t="n">
        <v>0</v>
      </c>
      <c r="L3208" t="n">
        <v>161533</v>
      </c>
      <c r="M3208" t="n">
        <v>205000</v>
      </c>
      <c r="N3208" t="n">
        <v>91</v>
      </c>
      <c r="O3208" t="n">
        <v>0.91</v>
      </c>
      <c r="P3208" t="n">
        <v>1</v>
      </c>
      <c r="Q3208" t="n">
        <v>0.08</v>
      </c>
      <c r="R3208" t="n">
        <v>1</v>
      </c>
      <c r="S3208" t="n">
        <v>9327.500000000002</v>
      </c>
      <c r="T3208" t="n">
        <v>6</v>
      </c>
      <c r="U3208" t="n">
        <v>7</v>
      </c>
      <c r="V3208" t="n">
        <v>30</v>
      </c>
      <c r="W3208" t="n">
        <v>2</v>
      </c>
      <c r="X3208" t="n">
        <v>109.8901098901099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11711</v>
      </c>
      <c r="AG3208" t="n">
        <v>63</v>
      </c>
      <c r="AH3208" t="inlineStr">
        <is>
          <t>PT. PARAMA GLOBAL INSPIRA - PPN (PDG)</t>
        </is>
      </c>
      <c r="AI3208" t="n">
        <v>103</v>
      </c>
      <c r="AJ3208" t="inlineStr">
        <is>
          <t>MAKE OVER</t>
        </is>
      </c>
      <c r="AK3208" t="n">
        <v>21</v>
      </c>
      <c r="AL3208" t="inlineStr">
        <is>
          <t>Miss Glam Damar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MAKE OVER</t>
        </is>
      </c>
      <c r="B3209" s="2">
        <f>"8993137683371"</f>
        <v/>
      </c>
      <c r="C3209" t="inlineStr">
        <is>
          <t>MAKEOVER Eyebrow Pencil Brown To Earth 1,14gr</t>
        </is>
      </c>
      <c r="D3209" t="inlineStr">
        <is>
          <t>Miss Glam Damar</t>
        </is>
      </c>
      <c r="E3209" t="n">
        <v>3</v>
      </c>
      <c r="F3209" t="n">
        <v>0.0728</v>
      </c>
      <c r="G3209" t="n">
        <v>0.91</v>
      </c>
      <c r="H3209" t="n">
        <v>2</v>
      </c>
      <c r="I3209" t="n">
        <v>6</v>
      </c>
      <c r="J3209" t="n">
        <v>3</v>
      </c>
      <c r="K3209" t="n">
        <v>0</v>
      </c>
      <c r="L3209" t="n">
        <v>50227</v>
      </c>
      <c r="M3209" t="n">
        <v>63000</v>
      </c>
      <c r="N3209" t="n">
        <v>91</v>
      </c>
      <c r="O3209" t="n">
        <v>0.91</v>
      </c>
      <c r="P3209" t="n">
        <v>1</v>
      </c>
      <c r="Q3209" t="n">
        <v>0.08</v>
      </c>
      <c r="R3209" t="n">
        <v>1</v>
      </c>
      <c r="S3209" t="n">
        <v>4586.400000000001</v>
      </c>
      <c r="T3209" t="n">
        <v>6</v>
      </c>
      <c r="U3209" t="n">
        <v>7</v>
      </c>
      <c r="V3209" t="n">
        <v>30</v>
      </c>
      <c r="W3209" t="n">
        <v>3</v>
      </c>
      <c r="X3209" t="n">
        <v>41.2087912087912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11711</v>
      </c>
      <c r="AG3209" t="n">
        <v>63</v>
      </c>
      <c r="AH3209" t="inlineStr">
        <is>
          <t>PT. PARAMA GLOBAL INSPIRA - PPN (PDG)</t>
        </is>
      </c>
      <c r="AI3209" t="n">
        <v>103</v>
      </c>
      <c r="AJ3209" t="inlineStr">
        <is>
          <t>MAKE OVER</t>
        </is>
      </c>
      <c r="AK3209" t="n">
        <v>21</v>
      </c>
      <c r="AL3209" t="inlineStr">
        <is>
          <t>Miss Glam Damar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MAKE OVER</t>
        </is>
      </c>
      <c r="B3210" s="2">
        <f>"8993137708852"</f>
        <v/>
      </c>
      <c r="C3210" t="inlineStr">
        <is>
          <t>MAKEOVER Hydrastay Liquid Tint Blush 03 Solace 15ml</t>
        </is>
      </c>
      <c r="D3210" t="inlineStr">
        <is>
          <t>Miss Glam Damar</t>
        </is>
      </c>
      <c r="E3210" t="n">
        <v>4</v>
      </c>
      <c r="F3210" t="n">
        <v>0.04550000000000001</v>
      </c>
      <c r="G3210" t="n">
        <v>1.82</v>
      </c>
      <c r="H3210" t="n">
        <v>2</v>
      </c>
      <c r="I3210" t="n">
        <v>6</v>
      </c>
      <c r="J3210" t="n">
        <v>3</v>
      </c>
      <c r="K3210" t="n">
        <v>0</v>
      </c>
      <c r="L3210" t="n">
        <v>98999</v>
      </c>
      <c r="M3210" t="n">
        <v>129000</v>
      </c>
      <c r="N3210" t="n">
        <v>91</v>
      </c>
      <c r="O3210" t="n">
        <v>0.91</v>
      </c>
      <c r="P3210" t="n">
        <v>1</v>
      </c>
      <c r="Q3210" t="n">
        <v>0.12</v>
      </c>
      <c r="R3210" t="n">
        <v>1</v>
      </c>
      <c r="S3210" t="n">
        <v>5869.500000000001</v>
      </c>
      <c r="T3210" t="n">
        <v>11</v>
      </c>
      <c r="U3210" t="n">
        <v>12</v>
      </c>
      <c r="V3210" t="n">
        <v>30</v>
      </c>
      <c r="W3210" t="n">
        <v>2</v>
      </c>
      <c r="X3210" t="n">
        <v>87.9120879120879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11711</v>
      </c>
      <c r="AG3210" t="n">
        <v>63</v>
      </c>
      <c r="AH3210" t="inlineStr">
        <is>
          <t>PT. PARAMA GLOBAL INSPIRA - PPN (PDG)</t>
        </is>
      </c>
      <c r="AI3210" t="n">
        <v>103</v>
      </c>
      <c r="AJ3210" t="inlineStr">
        <is>
          <t>MAKE OVER</t>
        </is>
      </c>
      <c r="AK3210" t="n">
        <v>21</v>
      </c>
      <c r="AL3210" t="inlineStr">
        <is>
          <t>Miss Glam Damar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MAKE OVER</t>
        </is>
      </c>
      <c r="B3211" s="2">
        <f>"8993137711067"</f>
        <v/>
      </c>
      <c r="C3211" t="inlineStr">
        <is>
          <t>MAKEOVER Hydrastay Radiant Finishing Powder 8gr</t>
        </is>
      </c>
      <c r="D3211" t="inlineStr">
        <is>
          <t>Miss Glam Damar</t>
        </is>
      </c>
      <c r="E3211" t="n">
        <v>7</v>
      </c>
      <c r="F3211" t="n">
        <v>0.09100000000000001</v>
      </c>
      <c r="G3211" t="n">
        <v>1.82</v>
      </c>
      <c r="H3211" t="n">
        <v>2</v>
      </c>
      <c r="I3211" t="n">
        <v>6</v>
      </c>
      <c r="J3211" t="n">
        <v>3</v>
      </c>
      <c r="K3211" t="n">
        <v>0</v>
      </c>
      <c r="L3211" t="n">
        <v>96728</v>
      </c>
      <c r="M3211" t="n">
        <v>123000</v>
      </c>
      <c r="N3211" t="n">
        <v>91</v>
      </c>
      <c r="O3211" t="n">
        <v>0.91</v>
      </c>
      <c r="P3211" t="n">
        <v>1</v>
      </c>
      <c r="Q3211" t="n">
        <v>0.15</v>
      </c>
      <c r="R3211" t="n">
        <v>2</v>
      </c>
      <c r="S3211" t="n">
        <v>11193</v>
      </c>
      <c r="T3211" t="n">
        <v>11</v>
      </c>
      <c r="U3211" t="n">
        <v>12</v>
      </c>
      <c r="V3211" t="n">
        <v>30</v>
      </c>
      <c r="W3211" t="n">
        <v>3</v>
      </c>
      <c r="X3211" t="n">
        <v>76.92307692307692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11711</v>
      </c>
      <c r="AG3211" t="n">
        <v>63</v>
      </c>
      <c r="AH3211" t="inlineStr">
        <is>
          <t>PT. PARAMA GLOBAL INSPIRA - PPN (PDG)</t>
        </is>
      </c>
      <c r="AI3211" t="n">
        <v>103</v>
      </c>
      <c r="AJ3211" t="inlineStr">
        <is>
          <t>MAKE OVER</t>
        </is>
      </c>
      <c r="AK3211" t="n">
        <v>21</v>
      </c>
      <c r="AL3211" t="inlineStr">
        <is>
          <t>Miss Glam Damar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MAKE OVER</t>
        </is>
      </c>
      <c r="B3212" s="2">
        <f>"8993137709705"</f>
        <v/>
      </c>
      <c r="C3212" t="inlineStr">
        <is>
          <t>MAKEOVER Hydrastay Smooth Lip Whip C01 Grace 6.5gr</t>
        </is>
      </c>
      <c r="D3212" t="inlineStr">
        <is>
          <t>Miss Glam Damar</t>
        </is>
      </c>
      <c r="E3212" t="n">
        <v>2</v>
      </c>
      <c r="F3212" t="n">
        <v>0.02</v>
      </c>
      <c r="G3212" t="n">
        <v>1</v>
      </c>
      <c r="H3212" t="n">
        <v>2</v>
      </c>
      <c r="I3212" t="n">
        <v>6</v>
      </c>
      <c r="J3212" t="n">
        <v>3</v>
      </c>
      <c r="K3212" t="n">
        <v>0</v>
      </c>
      <c r="L3212" t="n">
        <v>81750</v>
      </c>
      <c r="M3212" t="n">
        <v>106000</v>
      </c>
      <c r="N3212" t="n">
        <v>91</v>
      </c>
      <c r="O3212" t="n">
        <v>0.91</v>
      </c>
      <c r="P3212" t="n">
        <v>0</v>
      </c>
      <c r="Q3212" t="n">
        <v>0.02</v>
      </c>
      <c r="R3212" t="n">
        <v>1</v>
      </c>
      <c r="S3212" t="n">
        <v>2120</v>
      </c>
      <c r="T3212" t="n">
        <v>6</v>
      </c>
      <c r="U3212" t="n">
        <v>7</v>
      </c>
      <c r="V3212" t="n">
        <v>30</v>
      </c>
      <c r="W3212" t="n">
        <v>1</v>
      </c>
      <c r="X3212" t="n">
        <v>100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11711</v>
      </c>
      <c r="AG3212" t="n">
        <v>63</v>
      </c>
      <c r="AH3212" t="inlineStr">
        <is>
          <t>PT. PARAMA GLOBAL INSPIRA - PPN (PDG)</t>
        </is>
      </c>
      <c r="AI3212" t="n">
        <v>103</v>
      </c>
      <c r="AJ3212" t="inlineStr">
        <is>
          <t>MAKE OVER</t>
        </is>
      </c>
      <c r="AK3212" t="n">
        <v>21</v>
      </c>
      <c r="AL3212" t="inlineStr">
        <is>
          <t>Miss Glam Damar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MAKE OVER</t>
        </is>
      </c>
      <c r="B3213" s="2">
        <f>"8993137709743"</f>
        <v/>
      </c>
      <c r="C3213" t="inlineStr">
        <is>
          <t>MAKEOVER Hydrastay Smooth Lip Whip C05 Swift 6.5gr</t>
        </is>
      </c>
      <c r="D3213" t="inlineStr">
        <is>
          <t>Miss Glam Damar</t>
        </is>
      </c>
      <c r="E3213" t="n">
        <v>4</v>
      </c>
      <c r="F3213" t="n">
        <v>0.03</v>
      </c>
      <c r="G3213" t="n">
        <v>1</v>
      </c>
      <c r="H3213" t="n">
        <v>2</v>
      </c>
      <c r="I3213" t="n">
        <v>6</v>
      </c>
      <c r="J3213" t="n">
        <v>3</v>
      </c>
      <c r="K3213" t="n">
        <v>0</v>
      </c>
      <c r="L3213" t="n">
        <v>81750</v>
      </c>
      <c r="M3213" t="n">
        <v>106000</v>
      </c>
      <c r="N3213" t="n">
        <v>91</v>
      </c>
      <c r="O3213" t="n">
        <v>0.91</v>
      </c>
      <c r="P3213" t="n">
        <v>0</v>
      </c>
      <c r="Q3213" t="n">
        <v>0.03</v>
      </c>
      <c r="R3213" t="n">
        <v>1</v>
      </c>
      <c r="S3213" t="n">
        <v>3180</v>
      </c>
      <c r="T3213" t="n">
        <v>6</v>
      </c>
      <c r="U3213" t="n">
        <v>7</v>
      </c>
      <c r="V3213" t="n">
        <v>30</v>
      </c>
      <c r="W3213" t="n">
        <v>1</v>
      </c>
      <c r="X3213" t="n">
        <v>133.3333333333333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11711</v>
      </c>
      <c r="AG3213" t="n">
        <v>63</v>
      </c>
      <c r="AH3213" t="inlineStr">
        <is>
          <t>PT. PARAMA GLOBAL INSPIRA - PPN (PDG)</t>
        </is>
      </c>
      <c r="AI3213" t="n">
        <v>103</v>
      </c>
      <c r="AJ3213" t="inlineStr">
        <is>
          <t>MAKE OVER</t>
        </is>
      </c>
      <c r="AK3213" t="n">
        <v>21</v>
      </c>
      <c r="AL3213" t="inlineStr">
        <is>
          <t>Miss Glam Damar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MAKE OVER</t>
        </is>
      </c>
      <c r="B3214" s="2">
        <f>"8993137681872"</f>
        <v/>
      </c>
      <c r="C3214" t="inlineStr">
        <is>
          <t>MAKEOVER Hydration Serum 33ml</t>
        </is>
      </c>
      <c r="D3214" t="inlineStr">
        <is>
          <t>Miss Glam Damar</t>
        </is>
      </c>
      <c r="E3214" t="n">
        <v>10</v>
      </c>
      <c r="F3214" t="n">
        <v>0.1547</v>
      </c>
      <c r="G3214" t="n">
        <v>0.91</v>
      </c>
      <c r="H3214" t="n">
        <v>2</v>
      </c>
      <c r="I3214" t="n">
        <v>6</v>
      </c>
      <c r="J3214" t="n">
        <v>3</v>
      </c>
      <c r="K3214" t="n">
        <v>0</v>
      </c>
      <c r="L3214" t="n">
        <v>94495</v>
      </c>
      <c r="M3214" t="n">
        <v>118000</v>
      </c>
      <c r="N3214" t="n">
        <v>91</v>
      </c>
      <c r="O3214" t="n">
        <v>0.91</v>
      </c>
      <c r="P3214" t="n">
        <v>1</v>
      </c>
      <c r="Q3214" t="n">
        <v>0.32</v>
      </c>
      <c r="R3214" t="n">
        <v>3</v>
      </c>
      <c r="S3214" t="n">
        <v>18254.6</v>
      </c>
      <c r="T3214" t="n">
        <v>6</v>
      </c>
      <c r="U3214" t="n">
        <v>7</v>
      </c>
      <c r="V3214" t="n">
        <v>30</v>
      </c>
      <c r="W3214" t="n">
        <v>5</v>
      </c>
      <c r="X3214" t="n">
        <v>64.64124111182934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11711</v>
      </c>
      <c r="AG3214" t="n">
        <v>63</v>
      </c>
      <c r="AH3214" t="inlineStr">
        <is>
          <t>PT. PARAMA GLOBAL INSPIRA - PPN (PDG)</t>
        </is>
      </c>
      <c r="AI3214" t="n">
        <v>103</v>
      </c>
      <c r="AJ3214" t="inlineStr">
        <is>
          <t>MAKE OVER</t>
        </is>
      </c>
      <c r="AK3214" t="n">
        <v>21</v>
      </c>
      <c r="AL3214" t="inlineStr">
        <is>
          <t>Miss Glam Damar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MAKE OVER</t>
        </is>
      </c>
      <c r="B3215" s="2">
        <f>"8993137699273"</f>
        <v/>
      </c>
      <c r="C3215" t="inlineStr">
        <is>
          <t>MAKEOVER Hyperblack Superstay Liner 1gr</t>
        </is>
      </c>
      <c r="D3215" t="inlineStr">
        <is>
          <t>Miss Glam Damar</t>
        </is>
      </c>
      <c r="E3215" t="n">
        <v>7</v>
      </c>
      <c r="F3215" t="n">
        <v>0.2912</v>
      </c>
      <c r="G3215" t="n">
        <v>0.91</v>
      </c>
      <c r="H3215" t="n">
        <v>2</v>
      </c>
      <c r="I3215" t="n">
        <v>6</v>
      </c>
      <c r="J3215" t="n">
        <v>12</v>
      </c>
      <c r="K3215" t="n">
        <v>0</v>
      </c>
      <c r="L3215" t="n">
        <v>100493</v>
      </c>
      <c r="M3215" t="n">
        <v>122500</v>
      </c>
      <c r="N3215" t="n">
        <v>91</v>
      </c>
      <c r="O3215" t="n">
        <v>0.91</v>
      </c>
      <c r="P3215" t="n">
        <v>1</v>
      </c>
      <c r="Q3215" t="n">
        <v>0.27</v>
      </c>
      <c r="R3215" t="n">
        <v>2</v>
      </c>
      <c r="S3215" t="n">
        <v>35672</v>
      </c>
      <c r="T3215" t="n">
        <v>5</v>
      </c>
      <c r="U3215" t="n">
        <v>6</v>
      </c>
      <c r="V3215" t="n">
        <v>30</v>
      </c>
      <c r="W3215" t="n">
        <v>9</v>
      </c>
      <c r="X3215" t="n">
        <v>24.03846153846154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11711</v>
      </c>
      <c r="AG3215" t="n">
        <v>63</v>
      </c>
      <c r="AH3215" t="inlineStr">
        <is>
          <t>PT. PARAMA GLOBAL INSPIRA - PPN (PDG)</t>
        </is>
      </c>
      <c r="AI3215" t="n">
        <v>103</v>
      </c>
      <c r="AJ3215" t="inlineStr">
        <is>
          <t>MAKE OVER</t>
        </is>
      </c>
      <c r="AK3215" t="n">
        <v>21</v>
      </c>
      <c r="AL3215" t="inlineStr">
        <is>
          <t>Miss Glam Damar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MAKE OVER</t>
        </is>
      </c>
      <c r="B3216" s="2">
        <f>"8993137693875"</f>
        <v/>
      </c>
      <c r="C3216" t="inlineStr">
        <is>
          <t>MAKEOVER Intens Matte Cream 006 Cosmopolitan 6.5gr</t>
        </is>
      </c>
      <c r="D3216" t="inlineStr">
        <is>
          <t>Miss Glam Damar</t>
        </is>
      </c>
      <c r="E3216" t="n">
        <v>4</v>
      </c>
      <c r="F3216" t="n">
        <v>0.04550000000000001</v>
      </c>
      <c r="G3216" t="n">
        <v>0.91</v>
      </c>
      <c r="H3216" t="n">
        <v>2</v>
      </c>
      <c r="I3216" t="n">
        <v>6</v>
      </c>
      <c r="J3216" t="n">
        <v>3</v>
      </c>
      <c r="K3216" t="n">
        <v>0</v>
      </c>
      <c r="L3216" t="n">
        <v>81750</v>
      </c>
      <c r="M3216" t="n">
        <v>106000</v>
      </c>
      <c r="N3216" t="n">
        <v>91</v>
      </c>
      <c r="O3216" t="n">
        <v>0.91</v>
      </c>
      <c r="P3216" t="n">
        <v>1</v>
      </c>
      <c r="Q3216" t="n">
        <v>0.08</v>
      </c>
      <c r="R3216" t="n">
        <v>2</v>
      </c>
      <c r="S3216" t="n">
        <v>4823.000000000001</v>
      </c>
      <c r="T3216" t="n">
        <v>6</v>
      </c>
      <c r="U3216" t="n">
        <v>7</v>
      </c>
      <c r="V3216" t="n">
        <v>30</v>
      </c>
      <c r="W3216" t="n">
        <v>2</v>
      </c>
      <c r="X3216" t="n">
        <v>87.9120879120879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11711</v>
      </c>
      <c r="AG3216" t="n">
        <v>63</v>
      </c>
      <c r="AH3216" t="inlineStr">
        <is>
          <t>PT. PARAMA GLOBAL INSPIRA - PPN (PDG)</t>
        </is>
      </c>
      <c r="AI3216" t="n">
        <v>103</v>
      </c>
      <c r="AJ3216" t="inlineStr">
        <is>
          <t>MAKE OVER</t>
        </is>
      </c>
      <c r="AK3216" t="n">
        <v>21</v>
      </c>
      <c r="AL3216" t="inlineStr">
        <is>
          <t>Miss Glam Damar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MAKE OVER</t>
        </is>
      </c>
      <c r="B3217" s="2">
        <f>"8993137693868"</f>
        <v/>
      </c>
      <c r="C3217" t="inlineStr">
        <is>
          <t>MAKEOVER Intense Matte Lip Cream  005 Impulse 6.5gr</t>
        </is>
      </c>
      <c r="D3217" t="inlineStr">
        <is>
          <t>Miss Glam Damar</t>
        </is>
      </c>
      <c r="E3217" t="n">
        <v>3</v>
      </c>
      <c r="F3217" t="n">
        <v>0.0182</v>
      </c>
      <c r="G3217" t="n">
        <v>0.91</v>
      </c>
      <c r="H3217" t="n">
        <v>2</v>
      </c>
      <c r="I3217" t="n">
        <v>6</v>
      </c>
      <c r="J3217" t="n">
        <v>3</v>
      </c>
      <c r="K3217" t="n">
        <v>0</v>
      </c>
      <c r="L3217" t="n">
        <v>81750</v>
      </c>
      <c r="M3217" t="n">
        <v>106000</v>
      </c>
      <c r="N3217" t="n">
        <v>91</v>
      </c>
      <c r="O3217" t="n">
        <v>0.91</v>
      </c>
      <c r="P3217" t="n">
        <v>1</v>
      </c>
      <c r="Q3217" t="n">
        <v>0.05</v>
      </c>
      <c r="R3217" t="n">
        <v>1</v>
      </c>
      <c r="S3217" t="n">
        <v>1929.2</v>
      </c>
      <c r="T3217" t="n">
        <v>6</v>
      </c>
      <c r="U3217" t="n">
        <v>7</v>
      </c>
      <c r="V3217" t="n">
        <v>30</v>
      </c>
      <c r="W3217" t="n">
        <v>1</v>
      </c>
      <c r="X3217" t="n">
        <v>164.8351648351648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11711</v>
      </c>
      <c r="AG3217" t="n">
        <v>63</v>
      </c>
      <c r="AH3217" t="inlineStr">
        <is>
          <t>PT. PARAMA GLOBAL INSPIRA - PPN (PDG)</t>
        </is>
      </c>
      <c r="AI3217" t="n">
        <v>103</v>
      </c>
      <c r="AJ3217" t="inlineStr">
        <is>
          <t>MAKE OVER</t>
        </is>
      </c>
      <c r="AK3217" t="n">
        <v>21</v>
      </c>
      <c r="AL3217" t="inlineStr">
        <is>
          <t>Miss Glam Damar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MAKE OVER</t>
        </is>
      </c>
      <c r="B3218" s="2">
        <f>"8993137696432"</f>
        <v/>
      </c>
      <c r="C3218" t="inlineStr">
        <is>
          <t>MAKEOVER Intense Matte Lip Cream  010 Lux 6.5gr</t>
        </is>
      </c>
      <c r="D3218" t="inlineStr">
        <is>
          <t>Miss Glam Damar</t>
        </is>
      </c>
      <c r="E3218" t="n">
        <v>2</v>
      </c>
      <c r="F3218" t="n">
        <v>0.1</v>
      </c>
      <c r="G3218" t="n">
        <v>1</v>
      </c>
      <c r="H3218" t="n">
        <v>2</v>
      </c>
      <c r="I3218" t="n">
        <v>6</v>
      </c>
      <c r="J3218" t="n">
        <v>3</v>
      </c>
      <c r="K3218" t="n">
        <v>0</v>
      </c>
      <c r="L3218" t="n">
        <v>81750</v>
      </c>
      <c r="M3218" t="n">
        <v>106000</v>
      </c>
      <c r="N3218" t="n">
        <v>91</v>
      </c>
      <c r="O3218" t="n">
        <v>0.91</v>
      </c>
      <c r="P3218" t="n">
        <v>0</v>
      </c>
      <c r="Q3218" t="n">
        <v>0.1</v>
      </c>
      <c r="R3218" t="n">
        <v>1</v>
      </c>
      <c r="S3218" t="n">
        <v>10600</v>
      </c>
      <c r="T3218" t="n">
        <v>6</v>
      </c>
      <c r="U3218" t="n">
        <v>7</v>
      </c>
      <c r="V3218" t="n">
        <v>30</v>
      </c>
      <c r="W3218" t="n">
        <v>3</v>
      </c>
      <c r="X3218" t="n">
        <v>20</v>
      </c>
      <c r="Y3218" t="n">
        <v>1</v>
      </c>
      <c r="Z3218" t="n">
        <v>1</v>
      </c>
      <c r="AA3218" t="n">
        <v>0</v>
      </c>
      <c r="AB3218" t="n">
        <v>1</v>
      </c>
      <c r="AC3218" t="n">
        <v>3</v>
      </c>
      <c r="AD3218" t="n">
        <v>0</v>
      </c>
      <c r="AE3218" t="n">
        <v>245250</v>
      </c>
      <c r="AF3218" t="n">
        <v>11711</v>
      </c>
      <c r="AG3218" t="n">
        <v>63</v>
      </c>
      <c r="AH3218" t="inlineStr">
        <is>
          <t>PT. PARAMA GLOBAL INSPIRA - PPN (PDG)</t>
        </is>
      </c>
      <c r="AI3218" t="n">
        <v>103</v>
      </c>
      <c r="AJ3218" t="inlineStr">
        <is>
          <t>MAKE OVER</t>
        </is>
      </c>
      <c r="AK3218" t="n">
        <v>21</v>
      </c>
      <c r="AL3218" t="inlineStr">
        <is>
          <t>Miss Glam Damar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MAKE OVER</t>
        </is>
      </c>
      <c r="B3219" s="2">
        <f>"8993137693820"</f>
        <v/>
      </c>
      <c r="C3219" t="inlineStr">
        <is>
          <t>MAKEOVER Intense Matte lip Cream 001 6.5gr</t>
        </is>
      </c>
      <c r="D3219" t="inlineStr">
        <is>
          <t>Miss Glam Damar</t>
        </is>
      </c>
      <c r="E3219" t="n">
        <v>5</v>
      </c>
      <c r="F3219" t="n">
        <v>0.0182</v>
      </c>
      <c r="G3219" t="n">
        <v>0.91</v>
      </c>
      <c r="H3219" t="n">
        <v>2</v>
      </c>
      <c r="I3219" t="n">
        <v>6</v>
      </c>
      <c r="J3219" t="n">
        <v>3</v>
      </c>
      <c r="K3219" t="n">
        <v>0</v>
      </c>
      <c r="L3219" t="n">
        <v>81750</v>
      </c>
      <c r="M3219" t="n">
        <v>106000</v>
      </c>
      <c r="N3219" t="n">
        <v>91</v>
      </c>
      <c r="O3219" t="n">
        <v>0.91</v>
      </c>
      <c r="P3219" t="n">
        <v>1</v>
      </c>
      <c r="Q3219" t="n">
        <v>0.2</v>
      </c>
      <c r="R3219" t="n">
        <v>2</v>
      </c>
      <c r="S3219" t="n">
        <v>1929.2</v>
      </c>
      <c r="T3219" t="n">
        <v>6</v>
      </c>
      <c r="U3219" t="n">
        <v>7</v>
      </c>
      <c r="V3219" t="n">
        <v>30</v>
      </c>
      <c r="W3219" t="n">
        <v>1</v>
      </c>
      <c r="X3219" t="n">
        <v>274.7252747252747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11711</v>
      </c>
      <c r="AG3219" t="n">
        <v>63</v>
      </c>
      <c r="AH3219" t="inlineStr">
        <is>
          <t>PT. PARAMA GLOBAL INSPIRA - PPN (PDG)</t>
        </is>
      </c>
      <c r="AI3219" t="n">
        <v>103</v>
      </c>
      <c r="AJ3219" t="inlineStr">
        <is>
          <t>MAKE OVER</t>
        </is>
      </c>
      <c r="AK3219" t="n">
        <v>21</v>
      </c>
      <c r="AL3219" t="inlineStr">
        <is>
          <t>Miss Glam Damar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MAKE OVER</t>
        </is>
      </c>
      <c r="B3220" s="2">
        <f>"8993137693837"</f>
        <v/>
      </c>
      <c r="C3220" t="inlineStr">
        <is>
          <t>MAKEOVER Intense Matte Lip Cream 002 Heiress 6,5gr</t>
        </is>
      </c>
      <c r="D3220" t="inlineStr">
        <is>
          <t>Miss Glam Damar</t>
        </is>
      </c>
      <c r="E3220" t="n">
        <v>5</v>
      </c>
      <c r="F3220" t="n">
        <v>0.0273</v>
      </c>
      <c r="G3220" t="n">
        <v>0.91</v>
      </c>
      <c r="H3220" t="n">
        <v>2</v>
      </c>
      <c r="I3220" t="n">
        <v>6</v>
      </c>
      <c r="J3220" t="n">
        <v>3</v>
      </c>
      <c r="K3220" t="n">
        <v>0</v>
      </c>
      <c r="L3220" t="n">
        <v>81341</v>
      </c>
      <c r="M3220" t="n">
        <v>106000</v>
      </c>
      <c r="N3220" t="n">
        <v>91</v>
      </c>
      <c r="O3220" t="n">
        <v>0.91</v>
      </c>
      <c r="P3220" t="n">
        <v>1</v>
      </c>
      <c r="Q3220" t="n">
        <v>0.14</v>
      </c>
      <c r="R3220" t="n">
        <v>2</v>
      </c>
      <c r="S3220" t="n">
        <v>2893.8</v>
      </c>
      <c r="T3220" t="n">
        <v>6</v>
      </c>
      <c r="U3220" t="n">
        <v>7</v>
      </c>
      <c r="V3220" t="n">
        <v>30</v>
      </c>
      <c r="W3220" t="n">
        <v>1</v>
      </c>
      <c r="X3220" t="n">
        <v>183.1501831501832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11711</v>
      </c>
      <c r="AG3220" t="n">
        <v>63</v>
      </c>
      <c r="AH3220" t="inlineStr">
        <is>
          <t>PT. PARAMA GLOBAL INSPIRA - PPN (PDG)</t>
        </is>
      </c>
      <c r="AI3220" t="n">
        <v>103</v>
      </c>
      <c r="AJ3220" t="inlineStr">
        <is>
          <t>MAKE OVER</t>
        </is>
      </c>
      <c r="AK3220" t="n">
        <v>21</v>
      </c>
      <c r="AL3220" t="inlineStr">
        <is>
          <t>Miss Glam Damar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MAKE OVER</t>
        </is>
      </c>
      <c r="B3221" s="2">
        <f>"8993137693882"</f>
        <v/>
      </c>
      <c r="C3221" t="inlineStr">
        <is>
          <t>MAKEOVER Intense Matte Lip Cream 007 Scarlet 6.5gr</t>
        </is>
      </c>
      <c r="D3221" t="inlineStr">
        <is>
          <t>Miss Glam Damar</t>
        </is>
      </c>
      <c r="E3221" t="n">
        <v>7</v>
      </c>
      <c r="F3221" t="n">
        <v>0.0182</v>
      </c>
      <c r="G3221" t="n">
        <v>0.91</v>
      </c>
      <c r="H3221" t="n">
        <v>2</v>
      </c>
      <c r="I3221" t="n">
        <v>6</v>
      </c>
      <c r="J3221" t="n">
        <v>3</v>
      </c>
      <c r="K3221" t="n">
        <v>0</v>
      </c>
      <c r="L3221" t="n">
        <v>81750</v>
      </c>
      <c r="M3221" t="n">
        <v>106000</v>
      </c>
      <c r="N3221" t="n">
        <v>91</v>
      </c>
      <c r="O3221" t="n">
        <v>0.91</v>
      </c>
      <c r="P3221" t="n">
        <v>1</v>
      </c>
      <c r="Q3221" t="n">
        <v>0.08</v>
      </c>
      <c r="R3221" t="n">
        <v>1</v>
      </c>
      <c r="S3221" t="n">
        <v>1929.2</v>
      </c>
      <c r="T3221" t="n">
        <v>6</v>
      </c>
      <c r="U3221" t="n">
        <v>7</v>
      </c>
      <c r="V3221" t="n">
        <v>30</v>
      </c>
      <c r="W3221" t="n">
        <v>1</v>
      </c>
      <c r="X3221" t="n">
        <v>384.6153846153846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11711</v>
      </c>
      <c r="AG3221" t="n">
        <v>63</v>
      </c>
      <c r="AH3221" t="inlineStr">
        <is>
          <t>PT. PARAMA GLOBAL INSPIRA - PPN (PDG)</t>
        </is>
      </c>
      <c r="AI3221" t="n">
        <v>103</v>
      </c>
      <c r="AJ3221" t="inlineStr">
        <is>
          <t>MAKE OVER</t>
        </is>
      </c>
      <c r="AK3221" t="n">
        <v>21</v>
      </c>
      <c r="AL3221" t="inlineStr">
        <is>
          <t>Miss Glam Damar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MAKE OVER</t>
        </is>
      </c>
      <c r="B3222" s="2">
        <f>"8993137694094"</f>
        <v/>
      </c>
      <c r="C3222" t="inlineStr">
        <is>
          <t>MAKEOVER Intense Matte Lip Cream 008 Libertine 6.5gr</t>
        </is>
      </c>
      <c r="D3222" t="inlineStr">
        <is>
          <t>Miss Glam Damar</t>
        </is>
      </c>
      <c r="E3222" t="n">
        <v>3</v>
      </c>
      <c r="F3222" t="n">
        <v>0.06370000000000001</v>
      </c>
      <c r="G3222" t="n">
        <v>1.82</v>
      </c>
      <c r="H3222" t="n">
        <v>2</v>
      </c>
      <c r="I3222" t="n">
        <v>6</v>
      </c>
      <c r="J3222" t="n">
        <v>3</v>
      </c>
      <c r="K3222" t="n">
        <v>0</v>
      </c>
      <c r="L3222" t="n">
        <v>79706</v>
      </c>
      <c r="M3222" t="n">
        <v>106000</v>
      </c>
      <c r="N3222" t="n">
        <v>91</v>
      </c>
      <c r="O3222" t="n">
        <v>0.91</v>
      </c>
      <c r="P3222" t="n">
        <v>1</v>
      </c>
      <c r="Q3222" t="n">
        <v>0.03</v>
      </c>
      <c r="R3222" t="n">
        <v>1</v>
      </c>
      <c r="S3222" t="n">
        <v>6752.200000000001</v>
      </c>
      <c r="T3222" t="n">
        <v>11</v>
      </c>
      <c r="U3222" t="n">
        <v>12</v>
      </c>
      <c r="V3222" t="n">
        <v>30</v>
      </c>
      <c r="W3222" t="n">
        <v>2</v>
      </c>
      <c r="X3222" t="n">
        <v>47.09576138147566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11711</v>
      </c>
      <c r="AG3222" t="n">
        <v>63</v>
      </c>
      <c r="AH3222" t="inlineStr">
        <is>
          <t>PT. PARAMA GLOBAL INSPIRA - PPN (PDG)</t>
        </is>
      </c>
      <c r="AI3222" t="n">
        <v>103</v>
      </c>
      <c r="AJ3222" t="inlineStr">
        <is>
          <t>MAKE OVER</t>
        </is>
      </c>
      <c r="AK3222" t="n">
        <v>21</v>
      </c>
      <c r="AL3222" t="inlineStr">
        <is>
          <t>Miss Glam Damar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MAKE OVER</t>
        </is>
      </c>
      <c r="B3223" s="2">
        <f>"8993137696425"</f>
        <v/>
      </c>
      <c r="C3223" t="inlineStr">
        <is>
          <t>MAKEOVER Intense Matte Lip Cream 009 Posh 6.5gr</t>
        </is>
      </c>
      <c r="D3223" t="inlineStr">
        <is>
          <t>Miss Glam Damar</t>
        </is>
      </c>
      <c r="E3223" t="n">
        <v>3</v>
      </c>
      <c r="F3223" t="n">
        <v>0.0182</v>
      </c>
      <c r="G3223" t="n">
        <v>0.91</v>
      </c>
      <c r="H3223" t="n">
        <v>2</v>
      </c>
      <c r="I3223" t="n">
        <v>6</v>
      </c>
      <c r="J3223" t="n">
        <v>3</v>
      </c>
      <c r="K3223" t="n">
        <v>0</v>
      </c>
      <c r="L3223" t="n">
        <v>81750</v>
      </c>
      <c r="M3223" t="n">
        <v>106000</v>
      </c>
      <c r="N3223" t="n">
        <v>91</v>
      </c>
      <c r="O3223" t="n">
        <v>0.91</v>
      </c>
      <c r="P3223" t="n">
        <v>1</v>
      </c>
      <c r="Q3223" t="n">
        <v>0.02</v>
      </c>
      <c r="R3223" t="n">
        <v>1</v>
      </c>
      <c r="S3223" t="n">
        <v>1929.2</v>
      </c>
      <c r="T3223" t="n">
        <v>6</v>
      </c>
      <c r="U3223" t="n">
        <v>7</v>
      </c>
      <c r="V3223" t="n">
        <v>30</v>
      </c>
      <c r="W3223" t="n">
        <v>1</v>
      </c>
      <c r="X3223" t="n">
        <v>164.8351648351648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11711</v>
      </c>
      <c r="AG3223" t="n">
        <v>63</v>
      </c>
      <c r="AH3223" t="inlineStr">
        <is>
          <t>PT. PARAMA GLOBAL INSPIRA - PPN (PDG)</t>
        </is>
      </c>
      <c r="AI3223" t="n">
        <v>103</v>
      </c>
      <c r="AJ3223" t="inlineStr">
        <is>
          <t>MAKE OVER</t>
        </is>
      </c>
      <c r="AK3223" t="n">
        <v>21</v>
      </c>
      <c r="AL3223" t="inlineStr">
        <is>
          <t>Miss Glam Damar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MAKE OVER</t>
        </is>
      </c>
      <c r="B3224" s="2">
        <f>"8993137696449"</f>
        <v/>
      </c>
      <c r="C3224" t="inlineStr">
        <is>
          <t>MAKEOVER Intense Matte Lip Cream 011 Pompous 6.5gr</t>
        </is>
      </c>
      <c r="D3224" t="inlineStr">
        <is>
          <t>Miss Glam Damar</t>
        </is>
      </c>
      <c r="E3224" t="n">
        <v>3</v>
      </c>
      <c r="F3224" t="n">
        <v>0.0273</v>
      </c>
      <c r="G3224" t="n">
        <v>0.91</v>
      </c>
      <c r="H3224" t="n">
        <v>2</v>
      </c>
      <c r="I3224" t="n">
        <v>6</v>
      </c>
      <c r="J3224" t="n">
        <v>3</v>
      </c>
      <c r="K3224" t="n">
        <v>0</v>
      </c>
      <c r="L3224" t="n">
        <v>81750</v>
      </c>
      <c r="M3224" t="n">
        <v>106000</v>
      </c>
      <c r="N3224" t="n">
        <v>91</v>
      </c>
      <c r="O3224" t="n">
        <v>0.91</v>
      </c>
      <c r="P3224" t="n">
        <v>1</v>
      </c>
      <c r="Q3224" t="n">
        <v>0.17</v>
      </c>
      <c r="R3224" t="n">
        <v>2</v>
      </c>
      <c r="S3224" t="n">
        <v>2893.8</v>
      </c>
      <c r="T3224" t="n">
        <v>6</v>
      </c>
      <c r="U3224" t="n">
        <v>7</v>
      </c>
      <c r="V3224" t="n">
        <v>30</v>
      </c>
      <c r="W3224" t="n">
        <v>1</v>
      </c>
      <c r="X3224" t="n">
        <v>109.8901098901099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11711</v>
      </c>
      <c r="AG3224" t="n">
        <v>63</v>
      </c>
      <c r="AH3224" t="inlineStr">
        <is>
          <t>PT. PARAMA GLOBAL INSPIRA - PPN (PDG)</t>
        </is>
      </c>
      <c r="AI3224" t="n">
        <v>103</v>
      </c>
      <c r="AJ3224" t="inlineStr">
        <is>
          <t>MAKE OVER</t>
        </is>
      </c>
      <c r="AK3224" t="n">
        <v>21</v>
      </c>
      <c r="AL3224" t="inlineStr">
        <is>
          <t>Miss Glam Damar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MAKE OVER</t>
        </is>
      </c>
      <c r="B3225" s="2">
        <f>"8993137696463"</f>
        <v/>
      </c>
      <c r="C3225" t="inlineStr">
        <is>
          <t>MAKEOVER Intense Matte Lip Cream 013 Dainty 6.5gr</t>
        </is>
      </c>
      <c r="D3225" t="inlineStr">
        <is>
          <t>Miss Glam Damar</t>
        </is>
      </c>
      <c r="E3225" t="n">
        <v>6</v>
      </c>
      <c r="F3225" t="n">
        <v>0.04550000000000001</v>
      </c>
      <c r="G3225" t="n">
        <v>0.91</v>
      </c>
      <c r="H3225" t="n">
        <v>2</v>
      </c>
      <c r="I3225" t="n">
        <v>6</v>
      </c>
      <c r="J3225" t="n">
        <v>3</v>
      </c>
      <c r="K3225" t="n">
        <v>0</v>
      </c>
      <c r="L3225" t="n">
        <v>81751</v>
      </c>
      <c r="M3225" t="n">
        <v>106000</v>
      </c>
      <c r="N3225" t="n">
        <v>91</v>
      </c>
      <c r="O3225" t="n">
        <v>0.91</v>
      </c>
      <c r="P3225" t="n">
        <v>1</v>
      </c>
      <c r="Q3225" t="n">
        <v>0.19</v>
      </c>
      <c r="R3225" t="n">
        <v>3</v>
      </c>
      <c r="S3225" t="n">
        <v>4823.000000000001</v>
      </c>
      <c r="T3225" t="n">
        <v>6</v>
      </c>
      <c r="U3225" t="n">
        <v>7</v>
      </c>
      <c r="V3225" t="n">
        <v>30</v>
      </c>
      <c r="W3225" t="n">
        <v>2</v>
      </c>
      <c r="X3225" t="n">
        <v>131.8681318681319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11711</v>
      </c>
      <c r="AG3225" t="n">
        <v>63</v>
      </c>
      <c r="AH3225" t="inlineStr">
        <is>
          <t>PT. PARAMA GLOBAL INSPIRA - PPN (PDG)</t>
        </is>
      </c>
      <c r="AI3225" t="n">
        <v>103</v>
      </c>
      <c r="AJ3225" t="inlineStr">
        <is>
          <t>MAKE OVER</t>
        </is>
      </c>
      <c r="AK3225" t="n">
        <v>21</v>
      </c>
      <c r="AL3225" t="inlineStr">
        <is>
          <t>Miss Glam Damar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MAKE OVER</t>
        </is>
      </c>
      <c r="B3226" s="2">
        <f>"8993137697606"</f>
        <v/>
      </c>
      <c r="C3226" t="inlineStr">
        <is>
          <t>MAKEOVER Intense Matte Lip Cream 015 Coquette 6.5gr</t>
        </is>
      </c>
      <c r="D3226" t="inlineStr">
        <is>
          <t>Miss Glam Damar</t>
        </is>
      </c>
      <c r="E3226" t="n">
        <v>4</v>
      </c>
      <c r="F3226" t="n">
        <v>0.0182</v>
      </c>
      <c r="G3226" t="n">
        <v>0.91</v>
      </c>
      <c r="H3226" t="n">
        <v>2</v>
      </c>
      <c r="I3226" t="n">
        <v>6</v>
      </c>
      <c r="J3226" t="n">
        <v>3</v>
      </c>
      <c r="K3226" t="n">
        <v>0</v>
      </c>
      <c r="L3226" t="n">
        <v>81750</v>
      </c>
      <c r="M3226" t="n">
        <v>106000</v>
      </c>
      <c r="N3226" t="n">
        <v>91</v>
      </c>
      <c r="O3226" t="n">
        <v>0.91</v>
      </c>
      <c r="P3226" t="n">
        <v>1</v>
      </c>
      <c r="Q3226" t="n">
        <v>0.03</v>
      </c>
      <c r="R3226" t="n">
        <v>1</v>
      </c>
      <c r="S3226" t="n">
        <v>1929.2</v>
      </c>
      <c r="T3226" t="n">
        <v>6</v>
      </c>
      <c r="U3226" t="n">
        <v>7</v>
      </c>
      <c r="V3226" t="n">
        <v>30</v>
      </c>
      <c r="W3226" t="n">
        <v>1</v>
      </c>
      <c r="X3226" t="n">
        <v>219.7802197802198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11711</v>
      </c>
      <c r="AG3226" t="n">
        <v>63</v>
      </c>
      <c r="AH3226" t="inlineStr">
        <is>
          <t>PT. PARAMA GLOBAL INSPIRA - PPN (PDG)</t>
        </is>
      </c>
      <c r="AI3226" t="n">
        <v>103</v>
      </c>
      <c r="AJ3226" t="inlineStr">
        <is>
          <t>MAKE OVER</t>
        </is>
      </c>
      <c r="AK3226" t="n">
        <v>21</v>
      </c>
      <c r="AL3226" t="inlineStr">
        <is>
          <t>Miss Glam Damar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MAKE OVER</t>
        </is>
      </c>
      <c r="B3227" s="2">
        <f>"8993137697613"</f>
        <v/>
      </c>
      <c r="C3227" t="inlineStr">
        <is>
          <t>MAKEOVER Intense Matte Lip Cream 016 Pixie 6.5gr</t>
        </is>
      </c>
      <c r="D3227" t="inlineStr">
        <is>
          <t>Miss Glam Damar</t>
        </is>
      </c>
      <c r="E3227" t="n">
        <v>8</v>
      </c>
      <c r="F3227" t="n">
        <v>0.1274</v>
      </c>
      <c r="G3227" t="n">
        <v>1.82</v>
      </c>
      <c r="H3227" t="n">
        <v>2</v>
      </c>
      <c r="I3227" t="n">
        <v>6</v>
      </c>
      <c r="J3227" t="n">
        <v>3</v>
      </c>
      <c r="K3227" t="n">
        <v>0</v>
      </c>
      <c r="L3227" t="n">
        <v>81723</v>
      </c>
      <c r="M3227" t="n">
        <v>106000</v>
      </c>
      <c r="N3227" t="n">
        <v>91</v>
      </c>
      <c r="O3227" t="n">
        <v>0.91</v>
      </c>
      <c r="P3227" t="n">
        <v>1</v>
      </c>
      <c r="Q3227" t="n">
        <v>0.14</v>
      </c>
      <c r="R3227" t="n">
        <v>2</v>
      </c>
      <c r="S3227" t="n">
        <v>13504.4</v>
      </c>
      <c r="T3227" t="n">
        <v>11</v>
      </c>
      <c r="U3227" t="n">
        <v>12</v>
      </c>
      <c r="V3227" t="n">
        <v>30</v>
      </c>
      <c r="W3227" t="n">
        <v>4</v>
      </c>
      <c r="X3227" t="n">
        <v>62.79434850863422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11711</v>
      </c>
      <c r="AG3227" t="n">
        <v>63</v>
      </c>
      <c r="AH3227" t="inlineStr">
        <is>
          <t>PT. PARAMA GLOBAL INSPIRA - PPN (PDG)</t>
        </is>
      </c>
      <c r="AI3227" t="n">
        <v>103</v>
      </c>
      <c r="AJ3227" t="inlineStr">
        <is>
          <t>MAKE OVER</t>
        </is>
      </c>
      <c r="AK3227" t="n">
        <v>21</v>
      </c>
      <c r="AL3227" t="inlineStr">
        <is>
          <t>Miss Glam Damar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MAKE OVER</t>
        </is>
      </c>
      <c r="B3228" s="2">
        <f>"8993137697620"</f>
        <v/>
      </c>
      <c r="C3228" t="inlineStr">
        <is>
          <t>MAKEOVER Intense Matte Lip Cream 017 Savvy 6.5gr</t>
        </is>
      </c>
      <c r="D3228" t="inlineStr">
        <is>
          <t>Miss Glam Damar</t>
        </is>
      </c>
      <c r="E3228" t="n">
        <v>5</v>
      </c>
      <c r="F3228" t="n">
        <v>0.04550000000000001</v>
      </c>
      <c r="G3228" t="n">
        <v>0.91</v>
      </c>
      <c r="H3228" t="n">
        <v>2</v>
      </c>
      <c r="I3228" t="n">
        <v>6</v>
      </c>
      <c r="J3228" t="n">
        <v>3</v>
      </c>
      <c r="K3228" t="n">
        <v>0</v>
      </c>
      <c r="L3228" t="n">
        <v>81968</v>
      </c>
      <c r="M3228" t="n">
        <v>106000</v>
      </c>
      <c r="N3228" t="n">
        <v>91</v>
      </c>
      <c r="O3228" t="n">
        <v>0.91</v>
      </c>
      <c r="P3228" t="n">
        <v>1</v>
      </c>
      <c r="Q3228" t="n">
        <v>0.07000000000000001</v>
      </c>
      <c r="R3228" t="n">
        <v>1</v>
      </c>
      <c r="S3228" t="n">
        <v>4823.000000000001</v>
      </c>
      <c r="T3228" t="n">
        <v>6</v>
      </c>
      <c r="U3228" t="n">
        <v>7</v>
      </c>
      <c r="V3228" t="n">
        <v>30</v>
      </c>
      <c r="W3228" t="n">
        <v>2</v>
      </c>
      <c r="X3228" t="n">
        <v>109.8901098901099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11711</v>
      </c>
      <c r="AG3228" t="n">
        <v>63</v>
      </c>
      <c r="AH3228" t="inlineStr">
        <is>
          <t>PT. PARAMA GLOBAL INSPIRA - PPN (PDG)</t>
        </is>
      </c>
      <c r="AI3228" t="n">
        <v>103</v>
      </c>
      <c r="AJ3228" t="inlineStr">
        <is>
          <t>MAKE OVER</t>
        </is>
      </c>
      <c r="AK3228" t="n">
        <v>21</v>
      </c>
      <c r="AL3228" t="inlineStr">
        <is>
          <t>Miss Glam Damar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MAKE OVER</t>
        </is>
      </c>
      <c r="B3229" s="2">
        <f>"8993137697637"</f>
        <v/>
      </c>
      <c r="C3229" t="inlineStr">
        <is>
          <t>MAKEOVER Intense Matte Lip Cream 018 Classic 6.5gr</t>
        </is>
      </c>
      <c r="D3229" t="inlineStr">
        <is>
          <t>Miss Glam Damar</t>
        </is>
      </c>
      <c r="E3229" t="n">
        <v>5</v>
      </c>
      <c r="F3229" t="n">
        <v>0.0182</v>
      </c>
      <c r="G3229" t="n">
        <v>0.91</v>
      </c>
      <c r="H3229" t="n">
        <v>2</v>
      </c>
      <c r="I3229" t="n">
        <v>6</v>
      </c>
      <c r="J3229" t="n">
        <v>3</v>
      </c>
      <c r="K3229" t="n">
        <v>0</v>
      </c>
      <c r="L3229" t="n">
        <v>81772</v>
      </c>
      <c r="M3229" t="n">
        <v>106000</v>
      </c>
      <c r="N3229" t="n">
        <v>91</v>
      </c>
      <c r="O3229" t="n">
        <v>0.91</v>
      </c>
      <c r="P3229" t="n">
        <v>1</v>
      </c>
      <c r="Q3229" t="n">
        <v>0.15</v>
      </c>
      <c r="R3229" t="n">
        <v>1</v>
      </c>
      <c r="S3229" t="n">
        <v>1929.2</v>
      </c>
      <c r="T3229" t="n">
        <v>6</v>
      </c>
      <c r="U3229" t="n">
        <v>7</v>
      </c>
      <c r="V3229" t="n">
        <v>30</v>
      </c>
      <c r="W3229" t="n">
        <v>1</v>
      </c>
      <c r="X3229" t="n">
        <v>274.7252747252747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11711</v>
      </c>
      <c r="AG3229" t="n">
        <v>63</v>
      </c>
      <c r="AH3229" t="inlineStr">
        <is>
          <t>PT. PARAMA GLOBAL INSPIRA - PPN (PDG)</t>
        </is>
      </c>
      <c r="AI3229" t="n">
        <v>103</v>
      </c>
      <c r="AJ3229" t="inlineStr">
        <is>
          <t>MAKE OVER</t>
        </is>
      </c>
      <c r="AK3229" t="n">
        <v>21</v>
      </c>
      <c r="AL3229" t="inlineStr">
        <is>
          <t>Miss Glam Damar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MAKE OVER</t>
        </is>
      </c>
      <c r="B3230" s="2">
        <f>"8993137697644"</f>
        <v/>
      </c>
      <c r="C3230" t="inlineStr">
        <is>
          <t>MAKEOVER Intense Matte Lip Cream 019 Vogue 6.5gr</t>
        </is>
      </c>
      <c r="D3230" t="inlineStr">
        <is>
          <t>Miss Glam Damar</t>
        </is>
      </c>
      <c r="E3230" t="n">
        <v>1</v>
      </c>
      <c r="F3230" t="n">
        <v>0.0182</v>
      </c>
      <c r="G3230" t="n">
        <v>0.91</v>
      </c>
      <c r="H3230" t="n">
        <v>2</v>
      </c>
      <c r="I3230" t="n">
        <v>6</v>
      </c>
      <c r="J3230" t="n">
        <v>3</v>
      </c>
      <c r="K3230" t="n">
        <v>0</v>
      </c>
      <c r="L3230" t="n">
        <v>82840</v>
      </c>
      <c r="M3230" t="n">
        <v>106000</v>
      </c>
      <c r="N3230" t="n">
        <v>91</v>
      </c>
      <c r="O3230" t="n">
        <v>0.91</v>
      </c>
      <c r="P3230" t="n">
        <v>1</v>
      </c>
      <c r="Q3230" t="n">
        <v>0.05</v>
      </c>
      <c r="R3230" t="n">
        <v>2</v>
      </c>
      <c r="S3230" t="n">
        <v>1929.2</v>
      </c>
      <c r="T3230" t="n">
        <v>6</v>
      </c>
      <c r="U3230" t="n">
        <v>7</v>
      </c>
      <c r="V3230" t="n">
        <v>30</v>
      </c>
      <c r="W3230" t="n">
        <v>1</v>
      </c>
      <c r="X3230" t="n">
        <v>54.94505494505494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11711</v>
      </c>
      <c r="AG3230" t="n">
        <v>63</v>
      </c>
      <c r="AH3230" t="inlineStr">
        <is>
          <t>PT. PARAMA GLOBAL INSPIRA - PPN (PDG)</t>
        </is>
      </c>
      <c r="AI3230" t="n">
        <v>103</v>
      </c>
      <c r="AJ3230" t="inlineStr">
        <is>
          <t>MAKE OVER</t>
        </is>
      </c>
      <c r="AK3230" t="n">
        <v>21</v>
      </c>
      <c r="AL3230" t="inlineStr">
        <is>
          <t>Miss Glam Damar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MAKE OVER</t>
        </is>
      </c>
      <c r="B3231" s="2">
        <f>"8993137712033"</f>
        <v/>
      </c>
      <c r="C3231" t="inlineStr">
        <is>
          <t>MAKEOVER Lash Waterproof Mascara</t>
        </is>
      </c>
      <c r="D3231" t="inlineStr">
        <is>
          <t>Miss Glam Damar</t>
        </is>
      </c>
      <c r="E3231" t="n">
        <v>12</v>
      </c>
      <c r="F3231" t="n">
        <v>0.2912</v>
      </c>
      <c r="G3231" t="n">
        <v>1.82</v>
      </c>
      <c r="H3231" t="n">
        <v>2</v>
      </c>
      <c r="I3231" t="n">
        <v>6</v>
      </c>
      <c r="J3231" t="n">
        <v>3</v>
      </c>
      <c r="K3231" t="n">
        <v>0</v>
      </c>
      <c r="L3231" t="n">
        <v>96000</v>
      </c>
      <c r="M3231" t="n">
        <v>121000</v>
      </c>
      <c r="N3231" t="n">
        <v>91</v>
      </c>
      <c r="O3231" t="n">
        <v>0.91</v>
      </c>
      <c r="P3231" t="n">
        <v>1</v>
      </c>
      <c r="Q3231" t="n">
        <v>0.19</v>
      </c>
      <c r="R3231" t="n">
        <v>2</v>
      </c>
      <c r="S3231" t="n">
        <v>35235.2</v>
      </c>
      <c r="T3231" t="n">
        <v>11</v>
      </c>
      <c r="U3231" t="n">
        <v>12</v>
      </c>
      <c r="V3231" t="n">
        <v>30</v>
      </c>
      <c r="W3231" t="n">
        <v>9</v>
      </c>
      <c r="X3231" t="n">
        <v>41.2087912087912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11711</v>
      </c>
      <c r="AG3231" t="n">
        <v>63</v>
      </c>
      <c r="AH3231" t="inlineStr">
        <is>
          <t>PT. PARAMA GLOBAL INSPIRA - PPN (PDG)</t>
        </is>
      </c>
      <c r="AI3231" t="n">
        <v>103</v>
      </c>
      <c r="AJ3231" t="inlineStr">
        <is>
          <t>MAKE OVER</t>
        </is>
      </c>
      <c r="AK3231" t="n">
        <v>21</v>
      </c>
      <c r="AL3231" t="inlineStr">
        <is>
          <t>Miss Glam Damar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MAKE OVER</t>
        </is>
      </c>
      <c r="B3232" s="2">
        <f>"8993137713801"</f>
        <v/>
      </c>
      <c r="C3232" t="inlineStr">
        <is>
          <t>MAKEOVER Powerskin Bi-Phase Oil Micellar Water 200ml</t>
        </is>
      </c>
      <c r="D3232" t="inlineStr">
        <is>
          <t>Miss Glam Damar</t>
        </is>
      </c>
      <c r="E3232" t="n">
        <v>6</v>
      </c>
      <c r="F3232" t="n">
        <v>0.2002</v>
      </c>
      <c r="G3232" t="n">
        <v>1.82</v>
      </c>
      <c r="H3232" t="n">
        <v>2</v>
      </c>
      <c r="I3232" t="n">
        <v>6</v>
      </c>
      <c r="J3232" t="n">
        <v>3</v>
      </c>
      <c r="K3232" t="n">
        <v>0</v>
      </c>
      <c r="L3232" t="n">
        <v>72804</v>
      </c>
      <c r="M3232" t="n">
        <v>92000</v>
      </c>
      <c r="N3232" t="n">
        <v>91</v>
      </c>
      <c r="O3232" t="n">
        <v>0.91</v>
      </c>
      <c r="P3232" t="n">
        <v>1</v>
      </c>
      <c r="Q3232" t="n">
        <v>0.1</v>
      </c>
      <c r="R3232" t="n">
        <v>2</v>
      </c>
      <c r="S3232" t="n">
        <v>18418.4</v>
      </c>
      <c r="T3232" t="n">
        <v>11</v>
      </c>
      <c r="U3232" t="n">
        <v>12</v>
      </c>
      <c r="V3232" t="n">
        <v>30</v>
      </c>
      <c r="W3232" t="n">
        <v>7</v>
      </c>
      <c r="X3232" t="n">
        <v>29.97002997002997</v>
      </c>
      <c r="Y3232" t="n">
        <v>1</v>
      </c>
      <c r="Z3232" t="n">
        <v>1</v>
      </c>
      <c r="AA3232" t="n">
        <v>0</v>
      </c>
      <c r="AB3232" t="n">
        <v>1</v>
      </c>
      <c r="AC3232" t="n">
        <v>3</v>
      </c>
      <c r="AD3232" t="n">
        <v>0</v>
      </c>
      <c r="AE3232" t="n">
        <v>218412</v>
      </c>
      <c r="AF3232" t="n">
        <v>11711</v>
      </c>
      <c r="AG3232" t="n">
        <v>63</v>
      </c>
      <c r="AH3232" t="inlineStr">
        <is>
          <t>PT. PARAMA GLOBAL INSPIRA - PPN (PDG)</t>
        </is>
      </c>
      <c r="AI3232" t="n">
        <v>103</v>
      </c>
      <c r="AJ3232" t="inlineStr">
        <is>
          <t>MAKE OVER</t>
        </is>
      </c>
      <c r="AK3232" t="n">
        <v>21</v>
      </c>
      <c r="AL3232" t="inlineStr">
        <is>
          <t>Miss Glam Damar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MAKE OVER</t>
        </is>
      </c>
      <c r="B3233" s="2">
        <f>"8993137699211"</f>
        <v/>
      </c>
      <c r="C3233" t="inlineStr">
        <is>
          <t>MAKEOVER Powerstay Brow Definer Mascara 6.5 g  Eye Brow Mascara</t>
        </is>
      </c>
      <c r="D3233" t="inlineStr">
        <is>
          <t>Miss Glam Damar</t>
        </is>
      </c>
      <c r="E3233" t="n">
        <v>2</v>
      </c>
      <c r="F3233" t="n">
        <v>0.03</v>
      </c>
      <c r="G3233" t="n">
        <v>1</v>
      </c>
      <c r="H3233" t="n">
        <v>2</v>
      </c>
      <c r="I3233" t="n">
        <v>6</v>
      </c>
      <c r="J3233" t="n">
        <v>3</v>
      </c>
      <c r="K3233" t="n">
        <v>0</v>
      </c>
      <c r="L3233" t="n">
        <v>88166</v>
      </c>
      <c r="M3233" t="n">
        <v>112000</v>
      </c>
      <c r="N3233" t="n">
        <v>91</v>
      </c>
      <c r="O3233" t="n">
        <v>0.91</v>
      </c>
      <c r="P3233" t="n">
        <v>0</v>
      </c>
      <c r="Q3233" t="n">
        <v>0.03</v>
      </c>
      <c r="R3233" t="n">
        <v>1</v>
      </c>
      <c r="S3233" t="n">
        <v>3360</v>
      </c>
      <c r="T3233" t="n">
        <v>6</v>
      </c>
      <c r="U3233" t="n">
        <v>7</v>
      </c>
      <c r="V3233" t="n">
        <v>30</v>
      </c>
      <c r="W3233" t="n">
        <v>1</v>
      </c>
      <c r="X3233" t="n">
        <v>66.66666666666667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11711</v>
      </c>
      <c r="AG3233" t="n">
        <v>63</v>
      </c>
      <c r="AH3233" t="inlineStr">
        <is>
          <t>PT. PARAMA GLOBAL INSPIRA - PPN (PDG)</t>
        </is>
      </c>
      <c r="AI3233" t="n">
        <v>103</v>
      </c>
      <c r="AJ3233" t="inlineStr">
        <is>
          <t>MAKE OVER</t>
        </is>
      </c>
      <c r="AK3233" t="n">
        <v>21</v>
      </c>
      <c r="AL3233" t="inlineStr">
        <is>
          <t>Miss Glam Damar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MAKE OVER</t>
        </is>
      </c>
      <c r="B3234" s="2">
        <f>"8993137702270"</f>
        <v/>
      </c>
      <c r="C3234" t="inlineStr">
        <is>
          <t>MAKEOVER Powerstay Color Correcting Primer Peach 25ml</t>
        </is>
      </c>
      <c r="D3234" t="inlineStr">
        <is>
          <t>Miss Glam Damar</t>
        </is>
      </c>
      <c r="E3234" t="n">
        <v>4</v>
      </c>
      <c r="F3234" t="n">
        <v>0.12</v>
      </c>
      <c r="G3234" t="n">
        <v>1</v>
      </c>
      <c r="H3234" t="n">
        <v>2</v>
      </c>
      <c r="I3234" t="n">
        <v>6</v>
      </c>
      <c r="J3234" t="n">
        <v>3</v>
      </c>
      <c r="K3234" t="n">
        <v>0</v>
      </c>
      <c r="L3234" t="n">
        <v>69749</v>
      </c>
      <c r="M3234" t="n">
        <v>89000</v>
      </c>
      <c r="N3234" t="n">
        <v>91</v>
      </c>
      <c r="O3234" t="n">
        <v>0.91</v>
      </c>
      <c r="P3234" t="n">
        <v>0</v>
      </c>
      <c r="Q3234" t="n">
        <v>0.12</v>
      </c>
      <c r="R3234" t="n">
        <v>1</v>
      </c>
      <c r="S3234" t="n">
        <v>10680</v>
      </c>
      <c r="T3234" t="n">
        <v>6</v>
      </c>
      <c r="U3234" t="n">
        <v>7</v>
      </c>
      <c r="V3234" t="n">
        <v>30</v>
      </c>
      <c r="W3234" t="n">
        <v>4</v>
      </c>
      <c r="X3234" t="n">
        <v>33.33333333333334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11711</v>
      </c>
      <c r="AG3234" t="n">
        <v>63</v>
      </c>
      <c r="AH3234" t="inlineStr">
        <is>
          <t>PT. PARAMA GLOBAL INSPIRA - PPN (PDG)</t>
        </is>
      </c>
      <c r="AI3234" t="n">
        <v>103</v>
      </c>
      <c r="AJ3234" t="inlineStr">
        <is>
          <t>MAKE OVER</t>
        </is>
      </c>
      <c r="AK3234" t="n">
        <v>21</v>
      </c>
      <c r="AL3234" t="inlineStr">
        <is>
          <t>Miss Glam Damar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MAKE OVER</t>
        </is>
      </c>
      <c r="B3235" s="2">
        <f>"8993137701310"</f>
        <v/>
      </c>
      <c r="C3235" t="inlineStr">
        <is>
          <t>MAKEOVER Powerstay Fix &amp; Matte Makeup Setting Spray 50ml</t>
        </is>
      </c>
      <c r="D3235" t="inlineStr">
        <is>
          <t>Miss Glam Damar</t>
        </is>
      </c>
      <c r="E3235" t="n">
        <v>12</v>
      </c>
      <c r="F3235" t="n">
        <v>0.1729</v>
      </c>
      <c r="G3235" t="n">
        <v>0.91</v>
      </c>
      <c r="H3235" t="n">
        <v>2</v>
      </c>
      <c r="I3235" t="n">
        <v>6</v>
      </c>
      <c r="J3235" t="n">
        <v>3</v>
      </c>
      <c r="K3235" t="n">
        <v>0</v>
      </c>
      <c r="L3235" t="n">
        <v>84771</v>
      </c>
      <c r="M3235" t="n">
        <v>107000</v>
      </c>
      <c r="N3235" t="n">
        <v>91</v>
      </c>
      <c r="O3235" t="n">
        <v>0.91</v>
      </c>
      <c r="P3235" t="n">
        <v>1</v>
      </c>
      <c r="Q3235" t="n">
        <v>0.15</v>
      </c>
      <c r="R3235" t="n">
        <v>1</v>
      </c>
      <c r="S3235" t="n">
        <v>18500.3</v>
      </c>
      <c r="T3235" t="n">
        <v>6</v>
      </c>
      <c r="U3235" t="n">
        <v>7</v>
      </c>
      <c r="V3235" t="n">
        <v>30</v>
      </c>
      <c r="W3235" t="n">
        <v>6</v>
      </c>
      <c r="X3235" t="n">
        <v>69.40427993059572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11711</v>
      </c>
      <c r="AG3235" t="n">
        <v>63</v>
      </c>
      <c r="AH3235" t="inlineStr">
        <is>
          <t>PT. PARAMA GLOBAL INSPIRA - PPN (PDG)</t>
        </is>
      </c>
      <c r="AI3235" t="n">
        <v>103</v>
      </c>
      <c r="AJ3235" t="inlineStr">
        <is>
          <t>MAKE OVER</t>
        </is>
      </c>
      <c r="AK3235" t="n">
        <v>21</v>
      </c>
      <c r="AL3235" t="inlineStr">
        <is>
          <t>Miss Glam Damar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MAKE OVER</t>
        </is>
      </c>
      <c r="B3236" s="2">
        <f>"8993137736657"</f>
        <v/>
      </c>
      <c r="C3236" t="inlineStr">
        <is>
          <t>MAKEOVER Powerstay Grip Brow Gel 24H Lifting Effect 5.5 gr</t>
        </is>
      </c>
      <c r="D3236" t="inlineStr">
        <is>
          <t>Miss Glam Damar</t>
        </is>
      </c>
      <c r="E3236" t="n">
        <v>5</v>
      </c>
      <c r="F3236" t="n">
        <v>0.1547</v>
      </c>
      <c r="G3236" t="n">
        <v>0.91</v>
      </c>
      <c r="H3236" t="n">
        <v>2</v>
      </c>
      <c r="I3236" t="n">
        <v>6</v>
      </c>
      <c r="J3236" t="n">
        <v>3</v>
      </c>
      <c r="K3236" t="n">
        <v>0</v>
      </c>
      <c r="L3236" t="n">
        <v>102388</v>
      </c>
      <c r="M3236" t="n">
        <v>131000</v>
      </c>
      <c r="N3236" t="n">
        <v>91</v>
      </c>
      <c r="O3236" t="n">
        <v>0.91</v>
      </c>
      <c r="P3236" t="n">
        <v>1</v>
      </c>
      <c r="Q3236" t="n">
        <v>0.08</v>
      </c>
      <c r="R3236" t="n">
        <v>1</v>
      </c>
      <c r="S3236" t="n">
        <v>20265.7</v>
      </c>
      <c r="T3236" t="n">
        <v>6</v>
      </c>
      <c r="U3236" t="n">
        <v>7</v>
      </c>
      <c r="V3236" t="n">
        <v>30</v>
      </c>
      <c r="W3236" t="n">
        <v>5</v>
      </c>
      <c r="X3236" t="n">
        <v>32.32062055591467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11711</v>
      </c>
      <c r="AG3236" t="n">
        <v>63</v>
      </c>
      <c r="AH3236" t="inlineStr">
        <is>
          <t>PT. PARAMA GLOBAL INSPIRA - PPN (PDG)</t>
        </is>
      </c>
      <c r="AI3236" t="n">
        <v>103</v>
      </c>
      <c r="AJ3236" t="inlineStr">
        <is>
          <t>MAKE OVER</t>
        </is>
      </c>
      <c r="AK3236" t="n">
        <v>21</v>
      </c>
      <c r="AL3236" t="inlineStr">
        <is>
          <t>Miss Glam Damar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MAKE OVER</t>
        </is>
      </c>
      <c r="B3237" s="2">
        <f>"8993137721301"</f>
        <v/>
      </c>
      <c r="C3237" t="inlineStr">
        <is>
          <t>MAKEOVER Powerstay Liquid Foundation Oil Control N30 Natural Beige 40ml</t>
        </is>
      </c>
      <c r="D3237" t="inlineStr">
        <is>
          <t>Miss Glam Damar</t>
        </is>
      </c>
      <c r="E3237" t="n">
        <v>6</v>
      </c>
      <c r="F3237" t="n">
        <v>0.1547</v>
      </c>
      <c r="G3237" t="n">
        <v>1.82</v>
      </c>
      <c r="H3237" t="n">
        <v>2</v>
      </c>
      <c r="I3237" t="n">
        <v>6</v>
      </c>
      <c r="J3237" t="n">
        <v>3</v>
      </c>
      <c r="K3237" t="n">
        <v>0</v>
      </c>
      <c r="L3237" t="n">
        <v>137249</v>
      </c>
      <c r="M3237" t="n">
        <v>174000</v>
      </c>
      <c r="N3237" t="n">
        <v>91</v>
      </c>
      <c r="O3237" t="n">
        <v>0.91</v>
      </c>
      <c r="P3237" t="n">
        <v>1</v>
      </c>
      <c r="Q3237" t="n">
        <v>0.24</v>
      </c>
      <c r="R3237" t="n">
        <v>2</v>
      </c>
      <c r="S3237" t="n">
        <v>26917.8</v>
      </c>
      <c r="T3237" t="n">
        <v>11</v>
      </c>
      <c r="U3237" t="n">
        <v>12</v>
      </c>
      <c r="V3237" t="n">
        <v>30</v>
      </c>
      <c r="W3237" t="n">
        <v>5</v>
      </c>
      <c r="X3237" t="n">
        <v>38.78474466709761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11711</v>
      </c>
      <c r="AG3237" t="n">
        <v>63</v>
      </c>
      <c r="AH3237" t="inlineStr">
        <is>
          <t>PT. PARAMA GLOBAL INSPIRA - PPN (PDG)</t>
        </is>
      </c>
      <c r="AI3237" t="n">
        <v>103</v>
      </c>
      <c r="AJ3237" t="inlineStr">
        <is>
          <t>MAKE OVER</t>
        </is>
      </c>
      <c r="AK3237" t="n">
        <v>21</v>
      </c>
      <c r="AL3237" t="inlineStr">
        <is>
          <t>Miss Glam Damar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MAKE OVER</t>
        </is>
      </c>
      <c r="B3238" s="2">
        <f>"8993137721233"</f>
        <v/>
      </c>
      <c r="C3238" t="inlineStr">
        <is>
          <t>MAKEOVER Powerstay Liquid Foundation Oil Control W22 Warm Ivory 40ml</t>
        </is>
      </c>
      <c r="D3238" t="inlineStr">
        <is>
          <t>Miss Glam Damar</t>
        </is>
      </c>
      <c r="E3238" t="n">
        <v>8</v>
      </c>
      <c r="F3238" t="n">
        <v>0.2821</v>
      </c>
      <c r="G3238" t="n">
        <v>1.82</v>
      </c>
      <c r="H3238" t="n">
        <v>2</v>
      </c>
      <c r="I3238" t="n">
        <v>6</v>
      </c>
      <c r="J3238" t="n">
        <v>3</v>
      </c>
      <c r="K3238" t="n">
        <v>0</v>
      </c>
      <c r="L3238" t="n">
        <v>137249</v>
      </c>
      <c r="M3238" t="n">
        <v>174000</v>
      </c>
      <c r="N3238" t="n">
        <v>91</v>
      </c>
      <c r="O3238" t="n">
        <v>0.91</v>
      </c>
      <c r="P3238" t="n">
        <v>1</v>
      </c>
      <c r="Q3238" t="n">
        <v>0.19</v>
      </c>
      <c r="R3238" t="n">
        <v>1</v>
      </c>
      <c r="S3238" t="n">
        <v>49085.4</v>
      </c>
      <c r="T3238" t="n">
        <v>11</v>
      </c>
      <c r="U3238" t="n">
        <v>12</v>
      </c>
      <c r="V3238" t="n">
        <v>30</v>
      </c>
      <c r="W3238" t="n">
        <v>9</v>
      </c>
      <c r="X3238" t="n">
        <v>28.35873803615739</v>
      </c>
      <c r="Y3238" t="n">
        <v>1</v>
      </c>
      <c r="Z3238" t="n">
        <v>1</v>
      </c>
      <c r="AA3238" t="n">
        <v>0</v>
      </c>
      <c r="AB3238" t="n">
        <v>1</v>
      </c>
      <c r="AC3238" t="n">
        <v>3</v>
      </c>
      <c r="AD3238" t="n">
        <v>0</v>
      </c>
      <c r="AE3238" t="n">
        <v>411747</v>
      </c>
      <c r="AF3238" t="n">
        <v>11711</v>
      </c>
      <c r="AG3238" t="n">
        <v>63</v>
      </c>
      <c r="AH3238" t="inlineStr">
        <is>
          <t>PT. PARAMA GLOBAL INSPIRA - PPN (PDG)</t>
        </is>
      </c>
      <c r="AI3238" t="n">
        <v>103</v>
      </c>
      <c r="AJ3238" t="inlineStr">
        <is>
          <t>MAKE OVER</t>
        </is>
      </c>
      <c r="AK3238" t="n">
        <v>21</v>
      </c>
      <c r="AL3238" t="inlineStr">
        <is>
          <t>Miss Glam Damar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MAKE OVER</t>
        </is>
      </c>
      <c r="B3239" s="2">
        <f>"8993137721271"</f>
        <v/>
      </c>
      <c r="C3239" t="inlineStr">
        <is>
          <t>MAKEOVER Powerstay Liquid Foundation Oil Control W33 Honey Beige 40ml</t>
        </is>
      </c>
      <c r="D3239" t="inlineStr">
        <is>
          <t>Miss Glam Damar</t>
        </is>
      </c>
      <c r="E3239" t="n">
        <v>5</v>
      </c>
      <c r="F3239" t="n">
        <v>0.1</v>
      </c>
      <c r="G3239" t="n">
        <v>1</v>
      </c>
      <c r="H3239" t="n">
        <v>2</v>
      </c>
      <c r="I3239" t="n">
        <v>6</v>
      </c>
      <c r="J3239" t="n">
        <v>3</v>
      </c>
      <c r="K3239" t="n">
        <v>0</v>
      </c>
      <c r="L3239" t="n">
        <v>137295</v>
      </c>
      <c r="M3239" t="n">
        <v>174000</v>
      </c>
      <c r="N3239" t="n">
        <v>91</v>
      </c>
      <c r="O3239" t="n">
        <v>0.91</v>
      </c>
      <c r="P3239" t="n">
        <v>0</v>
      </c>
      <c r="Q3239" t="n">
        <v>0.1</v>
      </c>
      <c r="R3239" t="n">
        <v>1</v>
      </c>
      <c r="S3239" t="n">
        <v>17400</v>
      </c>
      <c r="T3239" t="n">
        <v>6</v>
      </c>
      <c r="U3239" t="n">
        <v>7</v>
      </c>
      <c r="V3239" t="n">
        <v>30</v>
      </c>
      <c r="W3239" t="n">
        <v>3</v>
      </c>
      <c r="X3239" t="n">
        <v>50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11711</v>
      </c>
      <c r="AG3239" t="n">
        <v>63</v>
      </c>
      <c r="AH3239" t="inlineStr">
        <is>
          <t>PT. PARAMA GLOBAL INSPIRA - PPN (PDG)</t>
        </is>
      </c>
      <c r="AI3239" t="n">
        <v>103</v>
      </c>
      <c r="AJ3239" t="inlineStr">
        <is>
          <t>MAKE OVER</t>
        </is>
      </c>
      <c r="AK3239" t="n">
        <v>21</v>
      </c>
      <c r="AL3239" t="inlineStr">
        <is>
          <t>Miss Glam Damar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MAKE OVER</t>
        </is>
      </c>
      <c r="B3240" s="2">
        <f>"8993137721509"</f>
        <v/>
      </c>
      <c r="C3240" t="inlineStr">
        <is>
          <t>MAKEOVER Powerstay Matte Powder Foundation 24H Oil Control C21 Pink Ivory 10g</t>
        </is>
      </c>
      <c r="D3240" t="inlineStr">
        <is>
          <t>Miss Glam Damar</t>
        </is>
      </c>
      <c r="E3240" t="n">
        <v>6</v>
      </c>
      <c r="F3240" t="n">
        <v>0.0182</v>
      </c>
      <c r="G3240" t="n">
        <v>0.91</v>
      </c>
      <c r="H3240" t="n">
        <v>2</v>
      </c>
      <c r="I3240" t="n">
        <v>6</v>
      </c>
      <c r="J3240" t="n">
        <v>3</v>
      </c>
      <c r="K3240" t="n">
        <v>0</v>
      </c>
      <c r="L3240" t="n">
        <v>151000</v>
      </c>
      <c r="M3240" t="n">
        <v>195000</v>
      </c>
      <c r="N3240" t="n">
        <v>91</v>
      </c>
      <c r="O3240" t="n">
        <v>0.91</v>
      </c>
      <c r="P3240" t="n">
        <v>1</v>
      </c>
      <c r="Q3240" t="n">
        <v>0.07000000000000001</v>
      </c>
      <c r="R3240" t="n">
        <v>2</v>
      </c>
      <c r="S3240" t="n">
        <v>3549</v>
      </c>
      <c r="T3240" t="n">
        <v>6</v>
      </c>
      <c r="U3240" t="n">
        <v>7</v>
      </c>
      <c r="V3240" t="n">
        <v>30</v>
      </c>
      <c r="W3240" t="n">
        <v>1</v>
      </c>
      <c r="X3240" t="n">
        <v>329.6703296703296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11711</v>
      </c>
      <c r="AG3240" t="n">
        <v>63</v>
      </c>
      <c r="AH3240" t="inlineStr">
        <is>
          <t>PT. PARAMA GLOBAL INSPIRA - PPN (PDG)</t>
        </is>
      </c>
      <c r="AI3240" t="n">
        <v>103</v>
      </c>
      <c r="AJ3240" t="inlineStr">
        <is>
          <t>MAKE OVER</t>
        </is>
      </c>
      <c r="AK3240" t="n">
        <v>21</v>
      </c>
      <c r="AL3240" t="inlineStr">
        <is>
          <t>Miss Glam Damar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MAKE OVER</t>
        </is>
      </c>
      <c r="B3241" s="2">
        <f>"8993137721486"</f>
        <v/>
      </c>
      <c r="C3241" t="inlineStr">
        <is>
          <t>MAKEOVER Powerstay Matte Powder Foundation 24H Oil Control N10 Marble 10g</t>
        </is>
      </c>
      <c r="D3241" t="inlineStr">
        <is>
          <t>Miss Glam Damar</t>
        </is>
      </c>
      <c r="E3241" t="n">
        <v>8</v>
      </c>
      <c r="F3241" t="n">
        <v>0.1365</v>
      </c>
      <c r="G3241" t="n">
        <v>1.82</v>
      </c>
      <c r="H3241" t="n">
        <v>2</v>
      </c>
      <c r="I3241" t="n">
        <v>6</v>
      </c>
      <c r="J3241" t="n">
        <v>3</v>
      </c>
      <c r="K3241" t="n">
        <v>0</v>
      </c>
      <c r="L3241" t="n">
        <v>150293</v>
      </c>
      <c r="M3241" t="n">
        <v>195000</v>
      </c>
      <c r="N3241" t="n">
        <v>91</v>
      </c>
      <c r="O3241" t="n">
        <v>0.91</v>
      </c>
      <c r="P3241" t="n">
        <v>1</v>
      </c>
      <c r="Q3241" t="n">
        <v>0.08</v>
      </c>
      <c r="R3241" t="n">
        <v>1</v>
      </c>
      <c r="S3241" t="n">
        <v>26617.5</v>
      </c>
      <c r="T3241" t="n">
        <v>11</v>
      </c>
      <c r="U3241" t="n">
        <v>12</v>
      </c>
      <c r="V3241" t="n">
        <v>30</v>
      </c>
      <c r="W3241" t="n">
        <v>5</v>
      </c>
      <c r="X3241" t="n">
        <v>58.60805860805861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11711</v>
      </c>
      <c r="AG3241" t="n">
        <v>63</v>
      </c>
      <c r="AH3241" t="inlineStr">
        <is>
          <t>PT. PARAMA GLOBAL INSPIRA - PPN (PDG)</t>
        </is>
      </c>
      <c r="AI3241" t="n">
        <v>103</v>
      </c>
      <c r="AJ3241" t="inlineStr">
        <is>
          <t>MAKE OVER</t>
        </is>
      </c>
      <c r="AK3241" t="n">
        <v>21</v>
      </c>
      <c r="AL3241" t="inlineStr">
        <is>
          <t>Miss Glam Damar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MAKE OVER</t>
        </is>
      </c>
      <c r="B3242" s="2">
        <f>"8993137721516"</f>
        <v/>
      </c>
      <c r="C3242" t="inlineStr">
        <is>
          <t>MAKEOVER Powerstay Matte Powder Foundation 24H Oil Control W33 Honey Beige 10g</t>
        </is>
      </c>
      <c r="D3242" t="inlineStr">
        <is>
          <t>Miss Glam Damar</t>
        </is>
      </c>
      <c r="E3242" t="n">
        <v>8</v>
      </c>
      <c r="F3242" t="n">
        <v>0.3549</v>
      </c>
      <c r="G3242" t="n">
        <v>2.73</v>
      </c>
      <c r="H3242" t="n">
        <v>2</v>
      </c>
      <c r="I3242" t="n">
        <v>6</v>
      </c>
      <c r="J3242" t="n">
        <v>3</v>
      </c>
      <c r="K3242" t="n">
        <v>0</v>
      </c>
      <c r="L3242" t="n">
        <v>149026</v>
      </c>
      <c r="M3242" t="n">
        <v>195000</v>
      </c>
      <c r="N3242" t="n">
        <v>91</v>
      </c>
      <c r="O3242" t="n">
        <v>0.91</v>
      </c>
      <c r="P3242" t="n">
        <v>1</v>
      </c>
      <c r="Q3242" t="n">
        <v>0.24</v>
      </c>
      <c r="R3242" t="n">
        <v>1</v>
      </c>
      <c r="S3242" t="n">
        <v>69205.50000000001</v>
      </c>
      <c r="T3242" t="n">
        <v>16</v>
      </c>
      <c r="U3242" t="n">
        <v>17</v>
      </c>
      <c r="V3242" t="n">
        <v>30</v>
      </c>
      <c r="W3242" t="n">
        <v>11</v>
      </c>
      <c r="X3242" t="n">
        <v>22.54156100309946</v>
      </c>
      <c r="Y3242" t="n">
        <v>1</v>
      </c>
      <c r="Z3242" t="n">
        <v>3</v>
      </c>
      <c r="AA3242" t="n">
        <v>0</v>
      </c>
      <c r="AB3242" t="n">
        <v>3</v>
      </c>
      <c r="AC3242" t="n">
        <v>3</v>
      </c>
      <c r="AD3242" t="n">
        <v>0</v>
      </c>
      <c r="AE3242" t="n">
        <v>447078</v>
      </c>
      <c r="AF3242" t="n">
        <v>11711</v>
      </c>
      <c r="AG3242" t="n">
        <v>63</v>
      </c>
      <c r="AH3242" t="inlineStr">
        <is>
          <t>PT. PARAMA GLOBAL INSPIRA - PPN (PDG)</t>
        </is>
      </c>
      <c r="AI3242" t="n">
        <v>103</v>
      </c>
      <c r="AJ3242" t="inlineStr">
        <is>
          <t>MAKE OVER</t>
        </is>
      </c>
      <c r="AK3242" t="n">
        <v>21</v>
      </c>
      <c r="AL3242" t="inlineStr">
        <is>
          <t>Miss Glam Damar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MAKE OVER</t>
        </is>
      </c>
      <c r="B3243" s="2">
        <f>"8993137721547"</f>
        <v/>
      </c>
      <c r="C3243" t="inlineStr">
        <is>
          <t>MAKEOVER Powerstay Matte Powder Foundation 24H Oil Control W41 Coral Sand 10gr</t>
        </is>
      </c>
      <c r="D3243" t="inlineStr">
        <is>
          <t>Miss Glam Damar</t>
        </is>
      </c>
      <c r="E3243" t="n">
        <v>5</v>
      </c>
      <c r="F3243" t="n">
        <v>0.0182</v>
      </c>
      <c r="G3243" t="n">
        <v>0.91</v>
      </c>
      <c r="H3243" t="n">
        <v>2</v>
      </c>
      <c r="I3243" t="n">
        <v>6</v>
      </c>
      <c r="J3243" t="n">
        <v>3</v>
      </c>
      <c r="K3243" t="n">
        <v>0</v>
      </c>
      <c r="L3243" t="n">
        <v>152000</v>
      </c>
      <c r="M3243" t="n">
        <v>195000</v>
      </c>
      <c r="N3243" t="n">
        <v>91</v>
      </c>
      <c r="O3243" t="n">
        <v>0.91</v>
      </c>
      <c r="P3243" t="n">
        <v>1</v>
      </c>
      <c r="Q3243" t="n">
        <v>0.02</v>
      </c>
      <c r="R3243" t="n">
        <v>1</v>
      </c>
      <c r="S3243" t="n">
        <v>3549</v>
      </c>
      <c r="T3243" t="n">
        <v>6</v>
      </c>
      <c r="U3243" t="n">
        <v>7</v>
      </c>
      <c r="V3243" t="n">
        <v>30</v>
      </c>
      <c r="W3243" t="n">
        <v>1</v>
      </c>
      <c r="X3243" t="n">
        <v>274.7252747252747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11711</v>
      </c>
      <c r="AG3243" t="n">
        <v>63</v>
      </c>
      <c r="AH3243" t="inlineStr">
        <is>
          <t>PT. PARAMA GLOBAL INSPIRA - PPN (PDG)</t>
        </is>
      </c>
      <c r="AI3243" t="n">
        <v>103</v>
      </c>
      <c r="AJ3243" t="inlineStr">
        <is>
          <t>MAKE OVER</t>
        </is>
      </c>
      <c r="AK3243" t="n">
        <v>21</v>
      </c>
      <c r="AL3243" t="inlineStr">
        <is>
          <t>Miss Glam Damar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MAKE OVER</t>
        </is>
      </c>
      <c r="B3244" s="2">
        <f>"8993137721523"</f>
        <v/>
      </c>
      <c r="C3244" t="inlineStr">
        <is>
          <t>MAKEOVER Powerstay Matte Powder Foundation N30 12gr</t>
        </is>
      </c>
      <c r="D3244" t="inlineStr">
        <is>
          <t>Miss Glam Damar</t>
        </is>
      </c>
      <c r="E3244" t="n">
        <v>8</v>
      </c>
      <c r="F3244" t="n">
        <v>0.42</v>
      </c>
      <c r="G3244" t="n">
        <v>2</v>
      </c>
      <c r="H3244" t="n">
        <v>2</v>
      </c>
      <c r="I3244" t="n">
        <v>6</v>
      </c>
      <c r="J3244" t="n">
        <v>3</v>
      </c>
      <c r="K3244" t="n">
        <v>0</v>
      </c>
      <c r="L3244" t="n">
        <v>149193</v>
      </c>
      <c r="M3244" t="n">
        <v>195000</v>
      </c>
      <c r="N3244" t="n">
        <v>91</v>
      </c>
      <c r="O3244" t="n">
        <v>0.91</v>
      </c>
      <c r="P3244" t="n">
        <v>0</v>
      </c>
      <c r="Q3244" t="n">
        <v>0.42</v>
      </c>
      <c r="R3244" t="n">
        <v>2</v>
      </c>
      <c r="S3244" t="n">
        <v>81900</v>
      </c>
      <c r="T3244" t="n">
        <v>12</v>
      </c>
      <c r="U3244" t="n">
        <v>13</v>
      </c>
      <c r="V3244" t="n">
        <v>30</v>
      </c>
      <c r="W3244" t="n">
        <v>13</v>
      </c>
      <c r="X3244" t="n">
        <v>19.04761904761905</v>
      </c>
      <c r="Y3244" t="n">
        <v>1</v>
      </c>
      <c r="Z3244" t="n">
        <v>5</v>
      </c>
      <c r="AA3244" t="n">
        <v>0</v>
      </c>
      <c r="AB3244" t="n">
        <v>5</v>
      </c>
      <c r="AC3244" t="n">
        <v>5</v>
      </c>
      <c r="AD3244" t="n">
        <v>0</v>
      </c>
      <c r="AE3244" t="n">
        <v>745965</v>
      </c>
      <c r="AF3244" t="n">
        <v>11711</v>
      </c>
      <c r="AG3244" t="n">
        <v>63</v>
      </c>
      <c r="AH3244" t="inlineStr">
        <is>
          <t>PT. PARAMA GLOBAL INSPIRA - PPN (PDG)</t>
        </is>
      </c>
      <c r="AI3244" t="n">
        <v>103</v>
      </c>
      <c r="AJ3244" t="inlineStr">
        <is>
          <t>MAKE OVER</t>
        </is>
      </c>
      <c r="AK3244" t="n">
        <v>21</v>
      </c>
      <c r="AL3244" t="inlineStr">
        <is>
          <t>Miss Glam Damar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MAKE OVER</t>
        </is>
      </c>
      <c r="B3245" s="2">
        <f>"8993137721561"</f>
        <v/>
      </c>
      <c r="C3245" t="inlineStr">
        <is>
          <t>MAKEOVER Powerstay Matte Powder Foundation W30 12gr</t>
        </is>
      </c>
      <c r="D3245" t="inlineStr">
        <is>
          <t>Miss Glam Damar</t>
        </is>
      </c>
      <c r="E3245" t="n">
        <v>7</v>
      </c>
      <c r="F3245" t="n">
        <v>0.1365</v>
      </c>
      <c r="G3245" t="n">
        <v>1.82</v>
      </c>
      <c r="H3245" t="n">
        <v>2</v>
      </c>
      <c r="I3245" t="n">
        <v>6</v>
      </c>
      <c r="J3245" t="n">
        <v>3</v>
      </c>
      <c r="K3245" t="n">
        <v>0</v>
      </c>
      <c r="L3245" t="n">
        <v>149781</v>
      </c>
      <c r="M3245" t="n">
        <v>195000</v>
      </c>
      <c r="N3245" t="n">
        <v>91</v>
      </c>
      <c r="O3245" t="n">
        <v>0.91</v>
      </c>
      <c r="P3245" t="n">
        <v>1</v>
      </c>
      <c r="Q3245" t="n">
        <v>0.14</v>
      </c>
      <c r="R3245" t="n">
        <v>1</v>
      </c>
      <c r="S3245" t="n">
        <v>26617.5</v>
      </c>
      <c r="T3245" t="n">
        <v>11</v>
      </c>
      <c r="U3245" t="n">
        <v>12</v>
      </c>
      <c r="V3245" t="n">
        <v>30</v>
      </c>
      <c r="W3245" t="n">
        <v>5</v>
      </c>
      <c r="X3245" t="n">
        <v>51.28205128205128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11711</v>
      </c>
      <c r="AG3245" t="n">
        <v>63</v>
      </c>
      <c r="AH3245" t="inlineStr">
        <is>
          <t>PT. PARAMA GLOBAL INSPIRA - PPN (PDG)</t>
        </is>
      </c>
      <c r="AI3245" t="n">
        <v>103</v>
      </c>
      <c r="AJ3245" t="inlineStr">
        <is>
          <t>MAKE OVER</t>
        </is>
      </c>
      <c r="AK3245" t="n">
        <v>21</v>
      </c>
      <c r="AL3245" t="inlineStr">
        <is>
          <t>Miss Glam Damar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MAKE OVER</t>
        </is>
      </c>
      <c r="B3246" s="2">
        <f>"8993137699624"</f>
        <v/>
      </c>
      <c r="C3246" t="inlineStr">
        <is>
          <t>MAKEOVER Powerstay Mattifying Transparent Powder 11gr</t>
        </is>
      </c>
      <c r="D3246" t="inlineStr">
        <is>
          <t>Miss Glam Damar</t>
        </is>
      </c>
      <c r="E3246" t="n">
        <v>2</v>
      </c>
      <c r="F3246" t="n">
        <v>0.0273</v>
      </c>
      <c r="G3246" t="n">
        <v>0.91</v>
      </c>
      <c r="H3246" t="n">
        <v>2</v>
      </c>
      <c r="I3246" t="n">
        <v>6</v>
      </c>
      <c r="J3246" t="n">
        <v>3</v>
      </c>
      <c r="K3246" t="n">
        <v>0</v>
      </c>
      <c r="L3246" t="n">
        <v>106500</v>
      </c>
      <c r="M3246" t="n">
        <v>135000</v>
      </c>
      <c r="N3246" t="n">
        <v>91</v>
      </c>
      <c r="O3246" t="n">
        <v>0.91</v>
      </c>
      <c r="P3246" t="n">
        <v>1</v>
      </c>
      <c r="Q3246" t="n">
        <v>0.03</v>
      </c>
      <c r="R3246" t="n">
        <v>1</v>
      </c>
      <c r="S3246" t="n">
        <v>3685.5</v>
      </c>
      <c r="T3246" t="n">
        <v>6</v>
      </c>
      <c r="U3246" t="n">
        <v>7</v>
      </c>
      <c r="V3246" t="n">
        <v>30</v>
      </c>
      <c r="W3246" t="n">
        <v>1</v>
      </c>
      <c r="X3246" t="n">
        <v>73.26007326007326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11711</v>
      </c>
      <c r="AG3246" t="n">
        <v>63</v>
      </c>
      <c r="AH3246" t="inlineStr">
        <is>
          <t>PT. PARAMA GLOBAL INSPIRA - PPN (PDG)</t>
        </is>
      </c>
      <c r="AI3246" t="n">
        <v>103</v>
      </c>
      <c r="AJ3246" t="inlineStr">
        <is>
          <t>MAKE OVER</t>
        </is>
      </c>
      <c r="AK3246" t="n">
        <v>21</v>
      </c>
      <c r="AL3246" t="inlineStr">
        <is>
          <t>Miss Glam Damar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MAKE OVER</t>
        </is>
      </c>
      <c r="B3247" s="2">
        <f>"8993137736237"</f>
        <v/>
      </c>
      <c r="C3247" t="inlineStr">
        <is>
          <t>MAKEOVER Powerstay Micro Brow Sculptor 24H Ultra Precision 1.0 Light Brown 0.07 gr</t>
        </is>
      </c>
      <c r="D3247" t="inlineStr">
        <is>
          <t>Miss Glam Damar</t>
        </is>
      </c>
      <c r="E3247" t="n">
        <v>4</v>
      </c>
      <c r="F3247" t="n">
        <v>0.0273</v>
      </c>
      <c r="G3247" t="n">
        <v>1.82</v>
      </c>
      <c r="H3247" t="n">
        <v>2</v>
      </c>
      <c r="I3247" t="n">
        <v>6</v>
      </c>
      <c r="J3247" t="n">
        <v>3</v>
      </c>
      <c r="K3247" t="n">
        <v>0</v>
      </c>
      <c r="L3247" t="n">
        <v>94365</v>
      </c>
      <c r="M3247" t="n">
        <v>119000</v>
      </c>
      <c r="N3247" t="n">
        <v>91</v>
      </c>
      <c r="O3247" t="n">
        <v>0.91</v>
      </c>
      <c r="P3247" t="n">
        <v>1</v>
      </c>
      <c r="Q3247" t="n">
        <v>0.15</v>
      </c>
      <c r="R3247" t="n">
        <v>3</v>
      </c>
      <c r="S3247" t="n">
        <v>3248.7</v>
      </c>
      <c r="T3247" t="n">
        <v>11</v>
      </c>
      <c r="U3247" t="n">
        <v>12</v>
      </c>
      <c r="V3247" t="n">
        <v>30</v>
      </c>
      <c r="W3247" t="n">
        <v>1</v>
      </c>
      <c r="X3247" t="n">
        <v>146.5201465201465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11711</v>
      </c>
      <c r="AG3247" t="n">
        <v>63</v>
      </c>
      <c r="AH3247" t="inlineStr">
        <is>
          <t>PT. PARAMA GLOBAL INSPIRA - PPN (PDG)</t>
        </is>
      </c>
      <c r="AI3247" t="n">
        <v>103</v>
      </c>
      <c r="AJ3247" t="inlineStr">
        <is>
          <t>MAKE OVER</t>
        </is>
      </c>
      <c r="AK3247" t="n">
        <v>21</v>
      </c>
      <c r="AL3247" t="inlineStr">
        <is>
          <t>Miss Glam Damar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MAKE OVER</t>
        </is>
      </c>
      <c r="B3248" s="2">
        <f>"8993137736244"</f>
        <v/>
      </c>
      <c r="C3248" t="inlineStr">
        <is>
          <t>MAKEOVER Powerstay Micro Brow Sculptor 24H Ultra Precision 2.0 Dark Brown 0.07gr</t>
        </is>
      </c>
      <c r="D3248" t="inlineStr">
        <is>
          <t>Miss Glam Damar</t>
        </is>
      </c>
      <c r="E3248" t="n">
        <v>11</v>
      </c>
      <c r="F3248" t="n">
        <v>0.182</v>
      </c>
      <c r="G3248" t="n">
        <v>1.82</v>
      </c>
      <c r="H3248" t="n">
        <v>2</v>
      </c>
      <c r="I3248" t="n">
        <v>6</v>
      </c>
      <c r="J3248" t="n">
        <v>3</v>
      </c>
      <c r="K3248" t="n">
        <v>0</v>
      </c>
      <c r="L3248" t="n">
        <v>94500</v>
      </c>
      <c r="M3248" t="n">
        <v>119000</v>
      </c>
      <c r="N3248" t="n">
        <v>91</v>
      </c>
      <c r="O3248" t="n">
        <v>0.91</v>
      </c>
      <c r="P3248" t="n">
        <v>1</v>
      </c>
      <c r="Q3248" t="n">
        <v>0.36</v>
      </c>
      <c r="R3248" t="n">
        <v>3</v>
      </c>
      <c r="S3248" t="n">
        <v>21658</v>
      </c>
      <c r="T3248" t="n">
        <v>11</v>
      </c>
      <c r="U3248" t="n">
        <v>12</v>
      </c>
      <c r="V3248" t="n">
        <v>30</v>
      </c>
      <c r="W3248" t="n">
        <v>6</v>
      </c>
      <c r="X3248" t="n">
        <v>60.43956043956043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11711</v>
      </c>
      <c r="AG3248" t="n">
        <v>63</v>
      </c>
      <c r="AH3248" t="inlineStr">
        <is>
          <t>PT. PARAMA GLOBAL INSPIRA - PPN (PDG)</t>
        </is>
      </c>
      <c r="AI3248" t="n">
        <v>103</v>
      </c>
      <c r="AJ3248" t="inlineStr">
        <is>
          <t>MAKE OVER</t>
        </is>
      </c>
      <c r="AK3248" t="n">
        <v>21</v>
      </c>
      <c r="AL3248" t="inlineStr">
        <is>
          <t>Miss Glam Damar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MAKE OVER</t>
        </is>
      </c>
      <c r="B3249" s="2">
        <f>"8993137736251"</f>
        <v/>
      </c>
      <c r="C3249" t="inlineStr">
        <is>
          <t>MAKEOVER Powerstay Micro Brow Sculptor 24H Ultra Precision 3.5 Deep Gray 0.07 gr</t>
        </is>
      </c>
      <c r="D3249" t="inlineStr">
        <is>
          <t>Miss Glam Damar</t>
        </is>
      </c>
      <c r="E3249" t="n">
        <v>5</v>
      </c>
      <c r="F3249" t="n">
        <v>0.1729</v>
      </c>
      <c r="G3249" t="n">
        <v>2.73</v>
      </c>
      <c r="H3249" t="n">
        <v>2</v>
      </c>
      <c r="I3249" t="n">
        <v>6</v>
      </c>
      <c r="J3249" t="n">
        <v>3</v>
      </c>
      <c r="K3249" t="n">
        <v>0</v>
      </c>
      <c r="L3249" t="n">
        <v>94500</v>
      </c>
      <c r="M3249" t="n">
        <v>119000</v>
      </c>
      <c r="N3249" t="n">
        <v>91</v>
      </c>
      <c r="O3249" t="n">
        <v>0.91</v>
      </c>
      <c r="P3249" t="n">
        <v>1</v>
      </c>
      <c r="Q3249" t="n">
        <v>0.1</v>
      </c>
      <c r="R3249" t="n">
        <v>1</v>
      </c>
      <c r="S3249" t="n">
        <v>20575.1</v>
      </c>
      <c r="T3249" t="n">
        <v>17</v>
      </c>
      <c r="U3249" t="n">
        <v>18</v>
      </c>
      <c r="V3249" t="n">
        <v>30</v>
      </c>
      <c r="W3249" t="n">
        <v>6</v>
      </c>
      <c r="X3249" t="n">
        <v>28.91844997108155</v>
      </c>
      <c r="Y3249" t="n">
        <v>1</v>
      </c>
      <c r="Z3249" t="n">
        <v>1</v>
      </c>
      <c r="AA3249" t="n">
        <v>0</v>
      </c>
      <c r="AB3249" t="n">
        <v>1</v>
      </c>
      <c r="AC3249" t="n">
        <v>3</v>
      </c>
      <c r="AD3249" t="n">
        <v>0</v>
      </c>
      <c r="AE3249" t="n">
        <v>283500</v>
      </c>
      <c r="AF3249" t="n">
        <v>11711</v>
      </c>
      <c r="AG3249" t="n">
        <v>63</v>
      </c>
      <c r="AH3249" t="inlineStr">
        <is>
          <t>PT. PARAMA GLOBAL INSPIRA - PPN (PDG)</t>
        </is>
      </c>
      <c r="AI3249" t="n">
        <v>103</v>
      </c>
      <c r="AJ3249" t="inlineStr">
        <is>
          <t>MAKE OVER</t>
        </is>
      </c>
      <c r="AK3249" t="n">
        <v>21</v>
      </c>
      <c r="AL3249" t="inlineStr">
        <is>
          <t>Miss Glam Damar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MAKE OVER</t>
        </is>
      </c>
      <c r="B3250" s="2">
        <f>"8993137736671"</f>
        <v/>
      </c>
      <c r="C3250" t="inlineStr">
        <is>
          <t>MAKEOVER Powerstay Micro Brow Volumizer Mascara 24H Defined Volume 2.0 Dark Brown 5 gr</t>
        </is>
      </c>
      <c r="D3250" t="inlineStr">
        <is>
          <t>Miss Glam Damar</t>
        </is>
      </c>
      <c r="E3250" t="n">
        <v>11</v>
      </c>
      <c r="F3250" t="n">
        <v>0.1274</v>
      </c>
      <c r="G3250" t="n">
        <v>1.82</v>
      </c>
      <c r="H3250" t="n">
        <v>2</v>
      </c>
      <c r="I3250" t="n">
        <v>6</v>
      </c>
      <c r="J3250" t="n">
        <v>3</v>
      </c>
      <c r="K3250" t="n">
        <v>0</v>
      </c>
      <c r="L3250" t="n">
        <v>95250</v>
      </c>
      <c r="M3250" t="n">
        <v>123000</v>
      </c>
      <c r="N3250" t="n">
        <v>91</v>
      </c>
      <c r="O3250" t="n">
        <v>0.91</v>
      </c>
      <c r="P3250" t="n">
        <v>1</v>
      </c>
      <c r="Q3250" t="n">
        <v>0.27</v>
      </c>
      <c r="R3250" t="n">
        <v>3</v>
      </c>
      <c r="S3250" t="n">
        <v>15670.2</v>
      </c>
      <c r="T3250" t="n">
        <v>11</v>
      </c>
      <c r="U3250" t="n">
        <v>12</v>
      </c>
      <c r="V3250" t="n">
        <v>30</v>
      </c>
      <c r="W3250" t="n">
        <v>4</v>
      </c>
      <c r="X3250" t="n">
        <v>86.34222919937204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11711</v>
      </c>
      <c r="AG3250" t="n">
        <v>63</v>
      </c>
      <c r="AH3250" t="inlineStr">
        <is>
          <t>PT. PARAMA GLOBAL INSPIRA - PPN (PDG)</t>
        </is>
      </c>
      <c r="AI3250" t="n">
        <v>103</v>
      </c>
      <c r="AJ3250" t="inlineStr">
        <is>
          <t>MAKE OVER</t>
        </is>
      </c>
      <c r="AK3250" t="n">
        <v>21</v>
      </c>
      <c r="AL3250" t="inlineStr">
        <is>
          <t>Miss Glam Damar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MAKE OVER</t>
        </is>
      </c>
      <c r="B3251" s="2">
        <f>"8993137736688"</f>
        <v/>
      </c>
      <c r="C3251" t="inlineStr">
        <is>
          <t>MAKEOVER Powerstay Micro Brow Volumizer Mascara 24H Defined Volume 3.5 Deep Gray 5 gr</t>
        </is>
      </c>
      <c r="D3251" t="inlineStr">
        <is>
          <t>Miss Glam Damar</t>
        </is>
      </c>
      <c r="E3251" t="n">
        <v>3</v>
      </c>
      <c r="F3251" t="n">
        <v>0.06370000000000001</v>
      </c>
      <c r="G3251" t="n">
        <v>0.91</v>
      </c>
      <c r="H3251" t="n">
        <v>2</v>
      </c>
      <c r="I3251" t="n">
        <v>6</v>
      </c>
      <c r="J3251" t="n">
        <v>3</v>
      </c>
      <c r="K3251" t="n">
        <v>0</v>
      </c>
      <c r="L3251" t="n">
        <v>95567</v>
      </c>
      <c r="M3251" t="n">
        <v>123000</v>
      </c>
      <c r="N3251" t="n">
        <v>91</v>
      </c>
      <c r="O3251" t="n">
        <v>0.91</v>
      </c>
      <c r="P3251" t="n">
        <v>1</v>
      </c>
      <c r="Q3251" t="n">
        <v>0.02</v>
      </c>
      <c r="R3251" t="n">
        <v>1</v>
      </c>
      <c r="S3251" t="n">
        <v>7835.1</v>
      </c>
      <c r="T3251" t="n">
        <v>6</v>
      </c>
      <c r="U3251" t="n">
        <v>7</v>
      </c>
      <c r="V3251" t="n">
        <v>30</v>
      </c>
      <c r="W3251" t="n">
        <v>2</v>
      </c>
      <c r="X3251" t="n">
        <v>47.09576138147566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11711</v>
      </c>
      <c r="AG3251" t="n">
        <v>63</v>
      </c>
      <c r="AH3251" t="inlineStr">
        <is>
          <t>PT. PARAMA GLOBAL INSPIRA - PPN (PDG)</t>
        </is>
      </c>
      <c r="AI3251" t="n">
        <v>103</v>
      </c>
      <c r="AJ3251" t="inlineStr">
        <is>
          <t>MAKE OVER</t>
        </is>
      </c>
      <c r="AK3251" t="n">
        <v>21</v>
      </c>
      <c r="AL3251" t="inlineStr">
        <is>
          <t>Miss Glam Damar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MAKE OVER</t>
        </is>
      </c>
      <c r="B3252" s="2">
        <f>"8993137736664"</f>
        <v/>
      </c>
      <c r="C3252" t="inlineStr">
        <is>
          <t>MAKEOVER Powerstay Micro Brow Volumizer Mascara 24H Defined Volume 3.5 Light Brown 5 gr</t>
        </is>
      </c>
      <c r="D3252" t="inlineStr">
        <is>
          <t>Miss Glam Damar</t>
        </is>
      </c>
      <c r="E3252" t="n">
        <v>3</v>
      </c>
      <c r="F3252" t="n">
        <v>0.03</v>
      </c>
      <c r="G3252" t="n">
        <v>1</v>
      </c>
      <c r="H3252" t="n">
        <v>2</v>
      </c>
      <c r="I3252" t="n">
        <v>6</v>
      </c>
      <c r="J3252" t="n">
        <v>3</v>
      </c>
      <c r="K3252" t="n">
        <v>0</v>
      </c>
      <c r="L3252" t="n">
        <v>95250</v>
      </c>
      <c r="M3252" t="n">
        <v>123000</v>
      </c>
      <c r="N3252" t="n">
        <v>91</v>
      </c>
      <c r="O3252" t="n">
        <v>0.91</v>
      </c>
      <c r="P3252" t="n">
        <v>0</v>
      </c>
      <c r="Q3252" t="n">
        <v>0.03</v>
      </c>
      <c r="R3252" t="n">
        <v>1</v>
      </c>
      <c r="S3252" t="n">
        <v>3690</v>
      </c>
      <c r="T3252" t="n">
        <v>6</v>
      </c>
      <c r="U3252" t="n">
        <v>7</v>
      </c>
      <c r="V3252" t="n">
        <v>30</v>
      </c>
      <c r="W3252" t="n">
        <v>1</v>
      </c>
      <c r="X3252" t="n">
        <v>100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11711</v>
      </c>
      <c r="AG3252" t="n">
        <v>63</v>
      </c>
      <c r="AH3252" t="inlineStr">
        <is>
          <t>PT. PARAMA GLOBAL INSPIRA - PPN (PDG)</t>
        </is>
      </c>
      <c r="AI3252" t="n">
        <v>103</v>
      </c>
      <c r="AJ3252" t="inlineStr">
        <is>
          <t>MAKE OVER</t>
        </is>
      </c>
      <c r="AK3252" t="n">
        <v>21</v>
      </c>
      <c r="AL3252" t="inlineStr">
        <is>
          <t>Miss Glam Damar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MAKE OVER</t>
        </is>
      </c>
      <c r="B3253" s="2">
        <f>"8993137700764"</f>
        <v/>
      </c>
      <c r="C3253" t="inlineStr">
        <is>
          <t>MAKEOVER Powerstay Total Cover Liquid Concealer 01 Light 6.5ml</t>
        </is>
      </c>
      <c r="D3253" t="inlineStr">
        <is>
          <t>Miss Glam Damar</t>
        </is>
      </c>
      <c r="E3253" t="n">
        <v>3</v>
      </c>
      <c r="F3253" t="n">
        <v>0.03</v>
      </c>
      <c r="G3253" t="n">
        <v>1</v>
      </c>
      <c r="H3253" t="n">
        <v>2</v>
      </c>
      <c r="I3253" t="n">
        <v>6</v>
      </c>
      <c r="J3253" t="n">
        <v>3</v>
      </c>
      <c r="K3253" t="n">
        <v>0</v>
      </c>
      <c r="L3253" t="n">
        <v>82530</v>
      </c>
      <c r="M3253" t="n">
        <v>106000</v>
      </c>
      <c r="N3253" t="n">
        <v>91</v>
      </c>
      <c r="O3253" t="n">
        <v>0.91</v>
      </c>
      <c r="P3253" t="n">
        <v>0</v>
      </c>
      <c r="Q3253" t="n">
        <v>0.03</v>
      </c>
      <c r="R3253" t="n">
        <v>1</v>
      </c>
      <c r="S3253" t="n">
        <v>3180</v>
      </c>
      <c r="T3253" t="n">
        <v>6</v>
      </c>
      <c r="U3253" t="n">
        <v>7</v>
      </c>
      <c r="V3253" t="n">
        <v>30</v>
      </c>
      <c r="W3253" t="n">
        <v>1</v>
      </c>
      <c r="X3253" t="n">
        <v>100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11711</v>
      </c>
      <c r="AG3253" t="n">
        <v>63</v>
      </c>
      <c r="AH3253" t="inlineStr">
        <is>
          <t>PT. PARAMA GLOBAL INSPIRA - PPN (PDG)</t>
        </is>
      </c>
      <c r="AI3253" t="n">
        <v>103</v>
      </c>
      <c r="AJ3253" t="inlineStr">
        <is>
          <t>MAKE OVER</t>
        </is>
      </c>
      <c r="AK3253" t="n">
        <v>21</v>
      </c>
      <c r="AL3253" t="inlineStr">
        <is>
          <t>Miss Glam Damar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MAKE OVER</t>
        </is>
      </c>
      <c r="B3254" s="2">
        <f>"8993137700771"</f>
        <v/>
      </c>
      <c r="C3254" t="inlineStr">
        <is>
          <t>MAKEOVER Powerstay Total Cover Liquid Concealer 02 Light to Medium 6.5ml</t>
        </is>
      </c>
      <c r="D3254" t="inlineStr">
        <is>
          <t>Miss Glam Damar</t>
        </is>
      </c>
      <c r="E3254" t="n">
        <v>10</v>
      </c>
      <c r="F3254" t="n">
        <v>0.0728</v>
      </c>
      <c r="G3254" t="n">
        <v>1.82</v>
      </c>
      <c r="H3254" t="n">
        <v>2</v>
      </c>
      <c r="I3254" t="n">
        <v>6</v>
      </c>
      <c r="J3254" t="n">
        <v>3</v>
      </c>
      <c r="K3254" t="n">
        <v>0</v>
      </c>
      <c r="L3254" t="n">
        <v>84759</v>
      </c>
      <c r="M3254" t="n">
        <v>106000</v>
      </c>
      <c r="N3254" t="n">
        <v>91</v>
      </c>
      <c r="O3254" t="n">
        <v>0.91</v>
      </c>
      <c r="P3254" t="n">
        <v>1</v>
      </c>
      <c r="Q3254" t="n">
        <v>0.17</v>
      </c>
      <c r="R3254" t="n">
        <v>1</v>
      </c>
      <c r="S3254" t="n">
        <v>7716.8</v>
      </c>
      <c r="T3254" t="n">
        <v>11</v>
      </c>
      <c r="U3254" t="n">
        <v>12</v>
      </c>
      <c r="V3254" t="n">
        <v>30</v>
      </c>
      <c r="W3254" t="n">
        <v>3</v>
      </c>
      <c r="X3254" t="n">
        <v>137.3626373626373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11711</v>
      </c>
      <c r="AG3254" t="n">
        <v>63</v>
      </c>
      <c r="AH3254" t="inlineStr">
        <is>
          <t>PT. PARAMA GLOBAL INSPIRA - PPN (PDG)</t>
        </is>
      </c>
      <c r="AI3254" t="n">
        <v>103</v>
      </c>
      <c r="AJ3254" t="inlineStr">
        <is>
          <t>MAKE OVER</t>
        </is>
      </c>
      <c r="AK3254" t="n">
        <v>21</v>
      </c>
      <c r="AL3254" t="inlineStr">
        <is>
          <t>Miss Glam Damar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MAKE OVER</t>
        </is>
      </c>
      <c r="B3255" s="2">
        <f>"8993137704960"</f>
        <v/>
      </c>
      <c r="C3255" t="inlineStr">
        <is>
          <t>MAKEOVER Powerstay Total Cover Matte Cream Foundation W22 Warm Ivory 12gr</t>
        </is>
      </c>
      <c r="D3255" t="inlineStr">
        <is>
          <t>Miss Glam Damar</t>
        </is>
      </c>
      <c r="E3255" t="n">
        <v>0</v>
      </c>
      <c r="F3255" t="n">
        <v>0.06370000000000001</v>
      </c>
      <c r="G3255" t="n">
        <v>0.91</v>
      </c>
      <c r="H3255" t="n">
        <v>2</v>
      </c>
      <c r="I3255" t="n">
        <v>6</v>
      </c>
      <c r="J3255" t="n">
        <v>3</v>
      </c>
      <c r="K3255" t="n">
        <v>0</v>
      </c>
      <c r="L3255" t="n">
        <v>116800</v>
      </c>
      <c r="M3255" t="n">
        <v>143000</v>
      </c>
      <c r="N3255" t="n">
        <v>91</v>
      </c>
      <c r="O3255" t="n">
        <v>0.91</v>
      </c>
      <c r="P3255" t="n">
        <v>1</v>
      </c>
      <c r="Q3255" t="n">
        <v>0.05</v>
      </c>
      <c r="R3255" t="n">
        <v>1</v>
      </c>
      <c r="S3255" t="n">
        <v>9109.1</v>
      </c>
      <c r="T3255" t="n">
        <v>6</v>
      </c>
      <c r="U3255" t="n">
        <v>7</v>
      </c>
      <c r="V3255" t="n">
        <v>30</v>
      </c>
      <c r="W3255" t="n">
        <v>2</v>
      </c>
      <c r="X3255" t="n">
        <v>0</v>
      </c>
      <c r="Y3255" t="n">
        <v>1</v>
      </c>
      <c r="Z3255" t="n">
        <v>2</v>
      </c>
      <c r="AA3255" t="n">
        <v>1</v>
      </c>
      <c r="AB3255" t="n">
        <v>1</v>
      </c>
      <c r="AC3255" t="n">
        <v>3</v>
      </c>
      <c r="AD3255" t="n">
        <v>116800</v>
      </c>
      <c r="AE3255" t="n">
        <v>350400</v>
      </c>
      <c r="AF3255" t="n">
        <v>11711</v>
      </c>
      <c r="AG3255" t="n">
        <v>63</v>
      </c>
      <c r="AH3255" t="inlineStr">
        <is>
          <t>PT. PARAMA GLOBAL INSPIRA - PPN (PDG)</t>
        </is>
      </c>
      <c r="AI3255" t="n">
        <v>103</v>
      </c>
      <c r="AJ3255" t="inlineStr">
        <is>
          <t>MAKE OVER</t>
        </is>
      </c>
      <c r="AK3255" t="n">
        <v>21</v>
      </c>
      <c r="AL3255" t="inlineStr">
        <is>
          <t>Miss Glam Damar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MAKE OVER</t>
        </is>
      </c>
      <c r="B3256" s="2">
        <f>"8993137706018"</f>
        <v/>
      </c>
      <c r="C3256" t="inlineStr">
        <is>
          <t>MAKEOVER Powerstay Transferproof Matte Lip Cream B01 No.1 7gr</t>
        </is>
      </c>
      <c r="D3256" t="inlineStr">
        <is>
          <t>Miss Glam Damar</t>
        </is>
      </c>
      <c r="E3256" t="n">
        <v>11</v>
      </c>
      <c r="F3256" t="n">
        <v>0.1365</v>
      </c>
      <c r="G3256" t="n">
        <v>0.91</v>
      </c>
      <c r="H3256" t="n">
        <v>2</v>
      </c>
      <c r="I3256" t="n">
        <v>6</v>
      </c>
      <c r="J3256" t="n">
        <v>3</v>
      </c>
      <c r="K3256" t="n">
        <v>0</v>
      </c>
      <c r="L3256" t="n">
        <v>97507</v>
      </c>
      <c r="M3256" t="n">
        <v>129000</v>
      </c>
      <c r="N3256" t="n">
        <v>91</v>
      </c>
      <c r="O3256" t="n">
        <v>0.91</v>
      </c>
      <c r="P3256" t="n">
        <v>1</v>
      </c>
      <c r="Q3256" t="n">
        <v>0.29</v>
      </c>
      <c r="R3256" t="n">
        <v>2</v>
      </c>
      <c r="S3256" t="n">
        <v>17608.5</v>
      </c>
      <c r="T3256" t="n">
        <v>6</v>
      </c>
      <c r="U3256" t="n">
        <v>7</v>
      </c>
      <c r="V3256" t="n">
        <v>30</v>
      </c>
      <c r="W3256" t="n">
        <v>5</v>
      </c>
      <c r="X3256" t="n">
        <v>80.58608058608058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11711</v>
      </c>
      <c r="AG3256" t="n">
        <v>63</v>
      </c>
      <c r="AH3256" t="inlineStr">
        <is>
          <t>PT. PARAMA GLOBAL INSPIRA - PPN (PDG)</t>
        </is>
      </c>
      <c r="AI3256" t="n">
        <v>103</v>
      </c>
      <c r="AJ3256" t="inlineStr">
        <is>
          <t>MAKE OVER</t>
        </is>
      </c>
      <c r="AK3256" t="n">
        <v>21</v>
      </c>
      <c r="AL3256" t="inlineStr">
        <is>
          <t>Miss Glam Damar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MAKE OVER</t>
        </is>
      </c>
      <c r="B3257" s="2">
        <f>"8993137706025"</f>
        <v/>
      </c>
      <c r="C3257" t="inlineStr">
        <is>
          <t>MAKEOVER Powerstay Transferproof Matte Lip Cream B02 Lucky 7gr</t>
        </is>
      </c>
      <c r="D3257" t="inlineStr">
        <is>
          <t>Miss Glam Damar</t>
        </is>
      </c>
      <c r="E3257" t="n">
        <v>1</v>
      </c>
      <c r="F3257" t="n">
        <v>0.03</v>
      </c>
      <c r="G3257" t="n">
        <v>1</v>
      </c>
      <c r="H3257" t="n">
        <v>2</v>
      </c>
      <c r="I3257" t="n">
        <v>6</v>
      </c>
      <c r="J3257" t="n">
        <v>3</v>
      </c>
      <c r="K3257" t="n">
        <v>0</v>
      </c>
      <c r="L3257" t="n">
        <v>98800</v>
      </c>
      <c r="M3257" t="n">
        <v>129000</v>
      </c>
      <c r="N3257" t="n">
        <v>91</v>
      </c>
      <c r="O3257" t="n">
        <v>0.91</v>
      </c>
      <c r="P3257" t="n">
        <v>0</v>
      </c>
      <c r="Q3257" t="n">
        <v>0.03</v>
      </c>
      <c r="R3257" t="n">
        <v>1</v>
      </c>
      <c r="S3257" t="n">
        <v>3870</v>
      </c>
      <c r="T3257" t="n">
        <v>6</v>
      </c>
      <c r="U3257" t="n">
        <v>7</v>
      </c>
      <c r="V3257" t="n">
        <v>30</v>
      </c>
      <c r="W3257" t="n">
        <v>1</v>
      </c>
      <c r="X3257" t="n">
        <v>33.33333333333334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11711</v>
      </c>
      <c r="AG3257" t="n">
        <v>63</v>
      </c>
      <c r="AH3257" t="inlineStr">
        <is>
          <t>PT. PARAMA GLOBAL INSPIRA - PPN (PDG)</t>
        </is>
      </c>
      <c r="AI3257" t="n">
        <v>103</v>
      </c>
      <c r="AJ3257" t="inlineStr">
        <is>
          <t>MAKE OVER</t>
        </is>
      </c>
      <c r="AK3257" t="n">
        <v>21</v>
      </c>
      <c r="AL3257" t="inlineStr">
        <is>
          <t>Miss Glam Damar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MAKE OVER</t>
        </is>
      </c>
      <c r="B3258" s="2">
        <f>"8993137706032"</f>
        <v/>
      </c>
      <c r="C3258" t="inlineStr">
        <is>
          <t>MAKEOVER Powerstay Transferproof Matte Lip Cream B03 Hype 7gr</t>
        </is>
      </c>
      <c r="D3258" t="inlineStr">
        <is>
          <t>Miss Glam Damar</t>
        </is>
      </c>
      <c r="E3258" t="n">
        <v>3</v>
      </c>
      <c r="F3258" t="n">
        <v>0.1911</v>
      </c>
      <c r="G3258" t="n">
        <v>1.82</v>
      </c>
      <c r="H3258" t="n">
        <v>2</v>
      </c>
      <c r="I3258" t="n">
        <v>6</v>
      </c>
      <c r="J3258" t="n">
        <v>3</v>
      </c>
      <c r="K3258" t="n">
        <v>0</v>
      </c>
      <c r="L3258" t="n">
        <v>97857</v>
      </c>
      <c r="M3258" t="n">
        <v>129000</v>
      </c>
      <c r="N3258" t="n">
        <v>91</v>
      </c>
      <c r="O3258" t="n">
        <v>0.91</v>
      </c>
      <c r="P3258" t="n">
        <v>1</v>
      </c>
      <c r="Q3258" t="n">
        <v>0.1</v>
      </c>
      <c r="R3258" t="n">
        <v>1</v>
      </c>
      <c r="S3258" t="n">
        <v>24651.9</v>
      </c>
      <c r="T3258" t="n">
        <v>11</v>
      </c>
      <c r="U3258" t="n">
        <v>12</v>
      </c>
      <c r="V3258" t="n">
        <v>30</v>
      </c>
      <c r="W3258" t="n">
        <v>6</v>
      </c>
      <c r="X3258" t="n">
        <v>15.69858712715856</v>
      </c>
      <c r="Y3258" t="n">
        <v>1</v>
      </c>
      <c r="Z3258" t="n">
        <v>3</v>
      </c>
      <c r="AA3258" t="n">
        <v>0</v>
      </c>
      <c r="AB3258" t="n">
        <v>3</v>
      </c>
      <c r="AC3258" t="n">
        <v>3</v>
      </c>
      <c r="AD3258" t="n">
        <v>0</v>
      </c>
      <c r="AE3258" t="n">
        <v>293571</v>
      </c>
      <c r="AF3258" t="n">
        <v>11711</v>
      </c>
      <c r="AG3258" t="n">
        <v>63</v>
      </c>
      <c r="AH3258" t="inlineStr">
        <is>
          <t>PT. PARAMA GLOBAL INSPIRA - PPN (PDG)</t>
        </is>
      </c>
      <c r="AI3258" t="n">
        <v>103</v>
      </c>
      <c r="AJ3258" t="inlineStr">
        <is>
          <t>MAKE OVER</t>
        </is>
      </c>
      <c r="AK3258" t="n">
        <v>21</v>
      </c>
      <c r="AL3258" t="inlineStr">
        <is>
          <t>Miss Glam Damar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MAKE OVER</t>
        </is>
      </c>
      <c r="B3259" s="2">
        <f>"8993137706049"</f>
        <v/>
      </c>
      <c r="C3259" t="inlineStr">
        <is>
          <t>MAKEOVER Powerstay Transferproof Matte Lip Cream B04 Fearless 7gr</t>
        </is>
      </c>
      <c r="D3259" t="inlineStr">
        <is>
          <t>Miss Glam Damar</t>
        </is>
      </c>
      <c r="E3259" t="n">
        <v>8</v>
      </c>
      <c r="F3259" t="n">
        <v>0.182</v>
      </c>
      <c r="G3259" t="n">
        <v>1.82</v>
      </c>
      <c r="H3259" t="n">
        <v>2</v>
      </c>
      <c r="I3259" t="n">
        <v>6</v>
      </c>
      <c r="J3259" t="n">
        <v>3</v>
      </c>
      <c r="K3259" t="n">
        <v>0</v>
      </c>
      <c r="L3259" t="n">
        <v>97500</v>
      </c>
      <c r="M3259" t="n">
        <v>129000</v>
      </c>
      <c r="N3259" t="n">
        <v>91</v>
      </c>
      <c r="O3259" t="n">
        <v>0.91</v>
      </c>
      <c r="P3259" t="n">
        <v>1</v>
      </c>
      <c r="Q3259" t="n">
        <v>0.34</v>
      </c>
      <c r="R3259" t="n">
        <v>2</v>
      </c>
      <c r="S3259" t="n">
        <v>23478</v>
      </c>
      <c r="T3259" t="n">
        <v>11</v>
      </c>
      <c r="U3259" t="n">
        <v>12</v>
      </c>
      <c r="V3259" t="n">
        <v>30</v>
      </c>
      <c r="W3259" t="n">
        <v>6</v>
      </c>
      <c r="X3259" t="n">
        <v>43.95604395604395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11711</v>
      </c>
      <c r="AG3259" t="n">
        <v>63</v>
      </c>
      <c r="AH3259" t="inlineStr">
        <is>
          <t>PT. PARAMA GLOBAL INSPIRA - PPN (PDG)</t>
        </is>
      </c>
      <c r="AI3259" t="n">
        <v>103</v>
      </c>
      <c r="AJ3259" t="inlineStr">
        <is>
          <t>MAKE OVER</t>
        </is>
      </c>
      <c r="AK3259" t="n">
        <v>21</v>
      </c>
      <c r="AL3259" t="inlineStr">
        <is>
          <t>Miss Glam Damar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MAKE OVER</t>
        </is>
      </c>
      <c r="B3260" s="2">
        <f>"8993137706056"</f>
        <v/>
      </c>
      <c r="C3260" t="inlineStr">
        <is>
          <t>MAKEOVER Powerstay Transferproof Matte Lip Cream B05 Fired Up 7gr</t>
        </is>
      </c>
      <c r="D3260" t="inlineStr">
        <is>
          <t>Miss Glam Damar</t>
        </is>
      </c>
      <c r="E3260" t="n">
        <v>12</v>
      </c>
      <c r="F3260" t="n">
        <v>0.4823000000000001</v>
      </c>
      <c r="G3260" t="n">
        <v>2.73</v>
      </c>
      <c r="H3260" t="n">
        <v>2</v>
      </c>
      <c r="I3260" t="n">
        <v>6</v>
      </c>
      <c r="J3260" t="n">
        <v>3</v>
      </c>
      <c r="K3260" t="n">
        <v>0</v>
      </c>
      <c r="L3260" t="n">
        <v>97865</v>
      </c>
      <c r="M3260" t="n">
        <v>129000</v>
      </c>
      <c r="N3260" t="n">
        <v>91</v>
      </c>
      <c r="O3260" t="n">
        <v>0.91</v>
      </c>
      <c r="P3260" t="n">
        <v>1</v>
      </c>
      <c r="Q3260" t="n">
        <v>0.27</v>
      </c>
      <c r="R3260" t="n">
        <v>2</v>
      </c>
      <c r="S3260" t="n">
        <v>62216.7</v>
      </c>
      <c r="T3260" t="n">
        <v>16</v>
      </c>
      <c r="U3260" t="n">
        <v>17</v>
      </c>
      <c r="V3260" t="n">
        <v>30</v>
      </c>
      <c r="W3260" t="n">
        <v>15</v>
      </c>
      <c r="X3260" t="n">
        <v>24.88077959776072</v>
      </c>
      <c r="Y3260" t="n">
        <v>1</v>
      </c>
      <c r="Z3260" t="n">
        <v>3</v>
      </c>
      <c r="AA3260" t="n">
        <v>0</v>
      </c>
      <c r="AB3260" t="n">
        <v>3</v>
      </c>
      <c r="AC3260" t="n">
        <v>3</v>
      </c>
      <c r="AD3260" t="n">
        <v>0</v>
      </c>
      <c r="AE3260" t="n">
        <v>293595</v>
      </c>
      <c r="AF3260" t="n">
        <v>11711</v>
      </c>
      <c r="AG3260" t="n">
        <v>63</v>
      </c>
      <c r="AH3260" t="inlineStr">
        <is>
          <t>PT. PARAMA GLOBAL INSPIRA - PPN (PDG)</t>
        </is>
      </c>
      <c r="AI3260" t="n">
        <v>103</v>
      </c>
      <c r="AJ3260" t="inlineStr">
        <is>
          <t>MAKE OVER</t>
        </is>
      </c>
      <c r="AK3260" t="n">
        <v>21</v>
      </c>
      <c r="AL3260" t="inlineStr">
        <is>
          <t>Miss Glam Damar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MAKE OVER</t>
        </is>
      </c>
      <c r="B3261" s="2">
        <f>"8993137706063"</f>
        <v/>
      </c>
      <c r="C3261" t="inlineStr">
        <is>
          <t>MAKEOVER Powerstay Transferproof Matte Lip Cream B06 Powerful 7gr</t>
        </is>
      </c>
      <c r="D3261" t="inlineStr">
        <is>
          <t>Miss Glam Damar</t>
        </is>
      </c>
      <c r="E3261" t="n">
        <v>6</v>
      </c>
      <c r="F3261" t="n">
        <v>0.09100000000000001</v>
      </c>
      <c r="G3261" t="n">
        <v>0.91</v>
      </c>
      <c r="H3261" t="n">
        <v>2</v>
      </c>
      <c r="I3261" t="n">
        <v>6</v>
      </c>
      <c r="J3261" t="n">
        <v>3</v>
      </c>
      <c r="K3261" t="n">
        <v>0</v>
      </c>
      <c r="L3261" t="n">
        <v>97515</v>
      </c>
      <c r="M3261" t="n">
        <v>129000</v>
      </c>
      <c r="N3261" t="n">
        <v>91</v>
      </c>
      <c r="O3261" t="n">
        <v>0.91</v>
      </c>
      <c r="P3261" t="n">
        <v>1</v>
      </c>
      <c r="Q3261" t="n">
        <v>0.27</v>
      </c>
      <c r="R3261" t="n">
        <v>2</v>
      </c>
      <c r="S3261" t="n">
        <v>11739</v>
      </c>
      <c r="T3261" t="n">
        <v>6</v>
      </c>
      <c r="U3261" t="n">
        <v>7</v>
      </c>
      <c r="V3261" t="n">
        <v>30</v>
      </c>
      <c r="W3261" t="n">
        <v>3</v>
      </c>
      <c r="X3261" t="n">
        <v>65.93406593406593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11711</v>
      </c>
      <c r="AG3261" t="n">
        <v>63</v>
      </c>
      <c r="AH3261" t="inlineStr">
        <is>
          <t>PT. PARAMA GLOBAL INSPIRA - PPN (PDG)</t>
        </is>
      </c>
      <c r="AI3261" t="n">
        <v>103</v>
      </c>
      <c r="AJ3261" t="inlineStr">
        <is>
          <t>MAKE OVER</t>
        </is>
      </c>
      <c r="AK3261" t="n">
        <v>21</v>
      </c>
      <c r="AL3261" t="inlineStr">
        <is>
          <t>Miss Glam Damar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MAKE OVER</t>
        </is>
      </c>
      <c r="B3262" s="2">
        <f>"8993137706070"</f>
        <v/>
      </c>
      <c r="C3262" t="inlineStr">
        <is>
          <t>MAKEOVER Powerstay Transferproof Matte Lip Cream B07 Amplify 7gr</t>
        </is>
      </c>
      <c r="D3262" t="inlineStr">
        <is>
          <t>Miss Glam Damar</t>
        </is>
      </c>
      <c r="E3262" t="n">
        <v>9</v>
      </c>
      <c r="F3262" t="n">
        <v>0.1365</v>
      </c>
      <c r="G3262" t="n">
        <v>0.91</v>
      </c>
      <c r="H3262" t="n">
        <v>2</v>
      </c>
      <c r="I3262" t="n">
        <v>6</v>
      </c>
      <c r="J3262" t="n">
        <v>3</v>
      </c>
      <c r="K3262" t="n">
        <v>0</v>
      </c>
      <c r="L3262" t="n">
        <v>97523</v>
      </c>
      <c r="M3262" t="n">
        <v>129000</v>
      </c>
      <c r="N3262" t="n">
        <v>91</v>
      </c>
      <c r="O3262" t="n">
        <v>0.91</v>
      </c>
      <c r="P3262" t="n">
        <v>1</v>
      </c>
      <c r="Q3262" t="n">
        <v>0.2</v>
      </c>
      <c r="R3262" t="n">
        <v>2</v>
      </c>
      <c r="S3262" t="n">
        <v>17608.5</v>
      </c>
      <c r="T3262" t="n">
        <v>6</v>
      </c>
      <c r="U3262" t="n">
        <v>7</v>
      </c>
      <c r="V3262" t="n">
        <v>30</v>
      </c>
      <c r="W3262" t="n">
        <v>5</v>
      </c>
      <c r="X3262" t="n">
        <v>65.93406593406593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11711</v>
      </c>
      <c r="AG3262" t="n">
        <v>63</v>
      </c>
      <c r="AH3262" t="inlineStr">
        <is>
          <t>PT. PARAMA GLOBAL INSPIRA - PPN (PDG)</t>
        </is>
      </c>
      <c r="AI3262" t="n">
        <v>103</v>
      </c>
      <c r="AJ3262" t="inlineStr">
        <is>
          <t>MAKE OVER</t>
        </is>
      </c>
      <c r="AK3262" t="n">
        <v>21</v>
      </c>
      <c r="AL3262" t="inlineStr">
        <is>
          <t>Miss Glam Damar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MAKE OVER</t>
        </is>
      </c>
      <c r="B3263" s="2">
        <f>"8993137706087"</f>
        <v/>
      </c>
      <c r="C3263" t="inlineStr">
        <is>
          <t>MAKEOVER Powerstay Transferproof Matte Lip Cream B08 Curious 7gr</t>
        </is>
      </c>
      <c r="D3263" t="inlineStr">
        <is>
          <t>Miss Glam Damar</t>
        </is>
      </c>
      <c r="E3263" t="n">
        <v>8</v>
      </c>
      <c r="F3263" t="n">
        <v>0.2184</v>
      </c>
      <c r="G3263" t="n">
        <v>1.82</v>
      </c>
      <c r="H3263" t="n">
        <v>2</v>
      </c>
      <c r="I3263" t="n">
        <v>6</v>
      </c>
      <c r="J3263" t="n">
        <v>3</v>
      </c>
      <c r="K3263" t="n">
        <v>0</v>
      </c>
      <c r="L3263" t="n">
        <v>97604</v>
      </c>
      <c r="M3263" t="n">
        <v>129000</v>
      </c>
      <c r="N3263" t="n">
        <v>91</v>
      </c>
      <c r="O3263" t="n">
        <v>0.91</v>
      </c>
      <c r="P3263" t="n">
        <v>1</v>
      </c>
      <c r="Q3263" t="n">
        <v>0.22</v>
      </c>
      <c r="R3263" t="n">
        <v>2</v>
      </c>
      <c r="S3263" t="n">
        <v>28173.6</v>
      </c>
      <c r="T3263" t="n">
        <v>11</v>
      </c>
      <c r="U3263" t="n">
        <v>12</v>
      </c>
      <c r="V3263" t="n">
        <v>30</v>
      </c>
      <c r="W3263" t="n">
        <v>7</v>
      </c>
      <c r="X3263" t="n">
        <v>36.63003663003663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11711</v>
      </c>
      <c r="AG3263" t="n">
        <v>63</v>
      </c>
      <c r="AH3263" t="inlineStr">
        <is>
          <t>PT. PARAMA GLOBAL INSPIRA - PPN (PDG)</t>
        </is>
      </c>
      <c r="AI3263" t="n">
        <v>103</v>
      </c>
      <c r="AJ3263" t="inlineStr">
        <is>
          <t>MAKE OVER</t>
        </is>
      </c>
      <c r="AK3263" t="n">
        <v>21</v>
      </c>
      <c r="AL3263" t="inlineStr">
        <is>
          <t>Miss Glam Damar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MAKE OVER</t>
        </is>
      </c>
      <c r="B3264" s="2">
        <f>"8993137710985"</f>
        <v/>
      </c>
      <c r="C3264" t="inlineStr">
        <is>
          <t>MAKEOVER Powerstay Transferproof Matte Lip Cream B09 Popular 7gr</t>
        </is>
      </c>
      <c r="D3264" t="inlineStr">
        <is>
          <t>Miss Glam Damar</t>
        </is>
      </c>
      <c r="E3264" t="n">
        <v>10</v>
      </c>
      <c r="F3264" t="n">
        <v>0.1729</v>
      </c>
      <c r="G3264" t="n">
        <v>1.82</v>
      </c>
      <c r="H3264" t="n">
        <v>2</v>
      </c>
      <c r="I3264" t="n">
        <v>6</v>
      </c>
      <c r="J3264" t="n">
        <v>3</v>
      </c>
      <c r="K3264" t="n">
        <v>0</v>
      </c>
      <c r="L3264" t="n">
        <v>97551</v>
      </c>
      <c r="M3264" t="n">
        <v>129000</v>
      </c>
      <c r="N3264" t="n">
        <v>91</v>
      </c>
      <c r="O3264" t="n">
        <v>0.91</v>
      </c>
      <c r="P3264" t="n">
        <v>1</v>
      </c>
      <c r="Q3264" t="n">
        <v>0.29</v>
      </c>
      <c r="R3264" t="n">
        <v>2</v>
      </c>
      <c r="S3264" t="n">
        <v>22304.1</v>
      </c>
      <c r="T3264" t="n">
        <v>11</v>
      </c>
      <c r="U3264" t="n">
        <v>12</v>
      </c>
      <c r="V3264" t="n">
        <v>30</v>
      </c>
      <c r="W3264" t="n">
        <v>6</v>
      </c>
      <c r="X3264" t="n">
        <v>57.8368999421631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11711</v>
      </c>
      <c r="AG3264" t="n">
        <v>63</v>
      </c>
      <c r="AH3264" t="inlineStr">
        <is>
          <t>PT. PARAMA GLOBAL INSPIRA - PPN (PDG)</t>
        </is>
      </c>
      <c r="AI3264" t="n">
        <v>103</v>
      </c>
      <c r="AJ3264" t="inlineStr">
        <is>
          <t>MAKE OVER</t>
        </is>
      </c>
      <c r="AK3264" t="n">
        <v>21</v>
      </c>
      <c r="AL3264" t="inlineStr">
        <is>
          <t>Miss Glam Damar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MAKE OVER</t>
        </is>
      </c>
      <c r="B3265" s="2">
        <f>"8993137710992"</f>
        <v/>
      </c>
      <c r="C3265" t="inlineStr">
        <is>
          <t>MAKEOVER Powerstay Transferproof Matte Lip Cream B10 M.O. 7gr</t>
        </is>
      </c>
      <c r="D3265" t="inlineStr">
        <is>
          <t>Miss Glam Damar</t>
        </is>
      </c>
      <c r="E3265" t="n">
        <v>5</v>
      </c>
      <c r="F3265" t="n">
        <v>0.1365</v>
      </c>
      <c r="G3265" t="n">
        <v>1.82</v>
      </c>
      <c r="H3265" t="n">
        <v>2</v>
      </c>
      <c r="I3265" t="n">
        <v>6</v>
      </c>
      <c r="J3265" t="n">
        <v>3</v>
      </c>
      <c r="K3265" t="n">
        <v>0</v>
      </c>
      <c r="L3265" t="n">
        <v>97708</v>
      </c>
      <c r="M3265" t="n">
        <v>129000</v>
      </c>
      <c r="N3265" t="n">
        <v>91</v>
      </c>
      <c r="O3265" t="n">
        <v>0.91</v>
      </c>
      <c r="P3265" t="n">
        <v>1</v>
      </c>
      <c r="Q3265" t="n">
        <v>0.12</v>
      </c>
      <c r="R3265" t="n">
        <v>1</v>
      </c>
      <c r="S3265" t="n">
        <v>17608.5</v>
      </c>
      <c r="T3265" t="n">
        <v>11</v>
      </c>
      <c r="U3265" t="n">
        <v>12</v>
      </c>
      <c r="V3265" t="n">
        <v>30</v>
      </c>
      <c r="W3265" t="n">
        <v>5</v>
      </c>
      <c r="X3265" t="n">
        <v>36.63003663003663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11711</v>
      </c>
      <c r="AG3265" t="n">
        <v>63</v>
      </c>
      <c r="AH3265" t="inlineStr">
        <is>
          <t>PT. PARAMA GLOBAL INSPIRA - PPN (PDG)</t>
        </is>
      </c>
      <c r="AI3265" t="n">
        <v>103</v>
      </c>
      <c r="AJ3265" t="inlineStr">
        <is>
          <t>MAKE OVER</t>
        </is>
      </c>
      <c r="AK3265" t="n">
        <v>21</v>
      </c>
      <c r="AL3265" t="inlineStr">
        <is>
          <t>Miss Glam Damar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MAKE OVER</t>
        </is>
      </c>
      <c r="B3266" s="2">
        <f>"8993137711012"</f>
        <v/>
      </c>
      <c r="C3266" t="inlineStr">
        <is>
          <t>MAKEOVER Powerstay Transferproof Matte Lip Cream B12 Feisty 7gr</t>
        </is>
      </c>
      <c r="D3266" t="inlineStr">
        <is>
          <t>Miss Glam Damar</t>
        </is>
      </c>
      <c r="E3266" t="n">
        <v>9</v>
      </c>
      <c r="F3266" t="n">
        <v>0.2002</v>
      </c>
      <c r="G3266" t="n">
        <v>0.91</v>
      </c>
      <c r="H3266" t="n">
        <v>2</v>
      </c>
      <c r="I3266" t="n">
        <v>6</v>
      </c>
      <c r="J3266" t="n">
        <v>3</v>
      </c>
      <c r="K3266" t="n">
        <v>0</v>
      </c>
      <c r="L3266" t="n">
        <v>97500</v>
      </c>
      <c r="M3266" t="n">
        <v>129000</v>
      </c>
      <c r="N3266" t="n">
        <v>91</v>
      </c>
      <c r="O3266" t="n">
        <v>0.91</v>
      </c>
      <c r="P3266" t="n">
        <v>1</v>
      </c>
      <c r="Q3266" t="n">
        <v>0.29</v>
      </c>
      <c r="R3266" t="n">
        <v>2</v>
      </c>
      <c r="S3266" t="n">
        <v>25825.8</v>
      </c>
      <c r="T3266" t="n">
        <v>6</v>
      </c>
      <c r="U3266" t="n">
        <v>7</v>
      </c>
      <c r="V3266" t="n">
        <v>30</v>
      </c>
      <c r="W3266" t="n">
        <v>7</v>
      </c>
      <c r="X3266" t="n">
        <v>44.95504495504495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11711</v>
      </c>
      <c r="AG3266" t="n">
        <v>63</v>
      </c>
      <c r="AH3266" t="inlineStr">
        <is>
          <t>PT. PARAMA GLOBAL INSPIRA - PPN (PDG)</t>
        </is>
      </c>
      <c r="AI3266" t="n">
        <v>103</v>
      </c>
      <c r="AJ3266" t="inlineStr">
        <is>
          <t>MAKE OVER</t>
        </is>
      </c>
      <c r="AK3266" t="n">
        <v>21</v>
      </c>
      <c r="AL3266" t="inlineStr">
        <is>
          <t>Miss Glam Damar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MAKE OVER</t>
        </is>
      </c>
      <c r="B3267" s="2">
        <f>"8993137727228"</f>
        <v/>
      </c>
      <c r="C3267" t="inlineStr">
        <is>
          <t>MAKEOVER Powerstay Transferproof matte lip cream B202 Skye-Hi</t>
        </is>
      </c>
      <c r="D3267" t="inlineStr">
        <is>
          <t>Miss Glam Damar</t>
        </is>
      </c>
      <c r="E3267" t="n">
        <v>13</v>
      </c>
      <c r="F3267" t="n">
        <v>0.3549</v>
      </c>
      <c r="G3267" t="n">
        <v>2.73</v>
      </c>
      <c r="H3267" t="n">
        <v>2</v>
      </c>
      <c r="I3267" t="n">
        <v>6</v>
      </c>
      <c r="J3267" t="n">
        <v>3</v>
      </c>
      <c r="K3267" t="n">
        <v>0</v>
      </c>
      <c r="L3267" t="n">
        <v>97500</v>
      </c>
      <c r="M3267" t="n">
        <v>129000</v>
      </c>
      <c r="N3267" t="n">
        <v>91</v>
      </c>
      <c r="O3267" t="n">
        <v>0.91</v>
      </c>
      <c r="P3267" t="n">
        <v>1</v>
      </c>
      <c r="Q3267" t="n">
        <v>0.51</v>
      </c>
      <c r="R3267" t="n">
        <v>2</v>
      </c>
      <c r="S3267" t="n">
        <v>45782.10000000001</v>
      </c>
      <c r="T3267" t="n">
        <v>16</v>
      </c>
      <c r="U3267" t="n">
        <v>17</v>
      </c>
      <c r="V3267" t="n">
        <v>30</v>
      </c>
      <c r="W3267" t="n">
        <v>11</v>
      </c>
      <c r="X3267" t="n">
        <v>36.63003663003663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11711</v>
      </c>
      <c r="AG3267" t="n">
        <v>63</v>
      </c>
      <c r="AH3267" t="inlineStr">
        <is>
          <t>PT. PARAMA GLOBAL INSPIRA - PPN (PDG)</t>
        </is>
      </c>
      <c r="AI3267" t="n">
        <v>103</v>
      </c>
      <c r="AJ3267" t="inlineStr">
        <is>
          <t>MAKE OVER</t>
        </is>
      </c>
      <c r="AK3267" t="n">
        <v>21</v>
      </c>
      <c r="AL3267" t="inlineStr">
        <is>
          <t>Miss Glam Damar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MAKE OVER</t>
        </is>
      </c>
      <c r="B3268" s="2">
        <f>"8993137705486"</f>
        <v/>
      </c>
      <c r="C3268" t="inlineStr">
        <is>
          <t>MAKEOVER Powerstay Vivid Waterlite Lip Stain A03 Kiss Bang 5.5gr</t>
        </is>
      </c>
      <c r="D3268" t="inlineStr">
        <is>
          <t>Miss Glam Damar</t>
        </is>
      </c>
      <c r="E3268" t="n">
        <v>3</v>
      </c>
      <c r="F3268" t="n">
        <v>0.06370000000000001</v>
      </c>
      <c r="G3268" t="n">
        <v>0.91</v>
      </c>
      <c r="H3268" t="n">
        <v>2</v>
      </c>
      <c r="I3268" t="n">
        <v>6</v>
      </c>
      <c r="J3268" t="n">
        <v>3</v>
      </c>
      <c r="K3268" t="n">
        <v>0</v>
      </c>
      <c r="L3268" t="n">
        <v>86250</v>
      </c>
      <c r="M3268" t="n">
        <v>109000</v>
      </c>
      <c r="N3268" t="n">
        <v>91</v>
      </c>
      <c r="O3268" t="n">
        <v>0.91</v>
      </c>
      <c r="P3268" t="n">
        <v>1</v>
      </c>
      <c r="Q3268" t="n">
        <v>0.05</v>
      </c>
      <c r="R3268" t="n">
        <v>1</v>
      </c>
      <c r="S3268" t="n">
        <v>6943.300000000001</v>
      </c>
      <c r="T3268" t="n">
        <v>6</v>
      </c>
      <c r="U3268" t="n">
        <v>7</v>
      </c>
      <c r="V3268" t="n">
        <v>30</v>
      </c>
      <c r="W3268" t="n">
        <v>2</v>
      </c>
      <c r="X3268" t="n">
        <v>47.09576138147566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11711</v>
      </c>
      <c r="AG3268" t="n">
        <v>63</v>
      </c>
      <c r="AH3268" t="inlineStr">
        <is>
          <t>PT. PARAMA GLOBAL INSPIRA - PPN (PDG)</t>
        </is>
      </c>
      <c r="AI3268" t="n">
        <v>103</v>
      </c>
      <c r="AJ3268" t="inlineStr">
        <is>
          <t>MAKE OVER</t>
        </is>
      </c>
      <c r="AK3268" t="n">
        <v>21</v>
      </c>
      <c r="AL3268" t="inlineStr">
        <is>
          <t>Miss Glam Damar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MAKE OVER</t>
        </is>
      </c>
      <c r="B3269" s="2">
        <f>"8993137721264"</f>
        <v/>
      </c>
      <c r="C3269" t="inlineStr">
        <is>
          <t>MAKEOVER Powerstay Weightless Liquid Foundation C21 Pink Ivory 40ml</t>
        </is>
      </c>
      <c r="D3269" t="inlineStr">
        <is>
          <t>Miss Glam Damar</t>
        </is>
      </c>
      <c r="E3269" t="n">
        <v>3</v>
      </c>
      <c r="F3269" t="n">
        <v>0.0273</v>
      </c>
      <c r="G3269" t="n">
        <v>0.91</v>
      </c>
      <c r="H3269" t="n">
        <v>2</v>
      </c>
      <c r="I3269" t="n">
        <v>6</v>
      </c>
      <c r="J3269" t="n">
        <v>3</v>
      </c>
      <c r="K3269" t="n">
        <v>0</v>
      </c>
      <c r="L3269" t="n">
        <v>137249</v>
      </c>
      <c r="M3269" t="n">
        <v>174000</v>
      </c>
      <c r="N3269" t="n">
        <v>91</v>
      </c>
      <c r="O3269" t="n">
        <v>0.91</v>
      </c>
      <c r="P3269" t="n">
        <v>1</v>
      </c>
      <c r="Q3269" t="n">
        <v>0.08</v>
      </c>
      <c r="R3269" t="n">
        <v>1</v>
      </c>
      <c r="S3269" t="n">
        <v>4750.2</v>
      </c>
      <c r="T3269" t="n">
        <v>6</v>
      </c>
      <c r="U3269" t="n">
        <v>7</v>
      </c>
      <c r="V3269" t="n">
        <v>30</v>
      </c>
      <c r="W3269" t="n">
        <v>1</v>
      </c>
      <c r="X3269" t="n">
        <v>109.8901098901099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11711</v>
      </c>
      <c r="AG3269" t="n">
        <v>63</v>
      </c>
      <c r="AH3269" t="inlineStr">
        <is>
          <t>PT. PARAMA GLOBAL INSPIRA - PPN (PDG)</t>
        </is>
      </c>
      <c r="AI3269" t="n">
        <v>103</v>
      </c>
      <c r="AJ3269" t="inlineStr">
        <is>
          <t>MAKE OVER</t>
        </is>
      </c>
      <c r="AK3269" t="n">
        <v>21</v>
      </c>
      <c r="AL3269" t="inlineStr">
        <is>
          <t>Miss Glam Damar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MAKE OVER</t>
        </is>
      </c>
      <c r="B3270" s="2">
        <f>"8993137721226"</f>
        <v/>
      </c>
      <c r="C3270" t="inlineStr">
        <is>
          <t>MAKEOVER Powerstay Weightless Liquid Foundation N10 Marble 40ml</t>
        </is>
      </c>
      <c r="D3270" t="inlineStr">
        <is>
          <t>Miss Glam Damar</t>
        </is>
      </c>
      <c r="E3270" t="n">
        <v>8</v>
      </c>
      <c r="F3270" t="n">
        <v>0.06370000000000001</v>
      </c>
      <c r="G3270" t="n">
        <v>0.91</v>
      </c>
      <c r="H3270" t="n">
        <v>2</v>
      </c>
      <c r="I3270" t="n">
        <v>6</v>
      </c>
      <c r="J3270" t="n">
        <v>3</v>
      </c>
      <c r="K3270" t="n">
        <v>0</v>
      </c>
      <c r="L3270" t="n">
        <v>137210</v>
      </c>
      <c r="M3270" t="n">
        <v>174000</v>
      </c>
      <c r="N3270" t="n">
        <v>91</v>
      </c>
      <c r="O3270" t="n">
        <v>0.91</v>
      </c>
      <c r="P3270" t="n">
        <v>1</v>
      </c>
      <c r="Q3270" t="n">
        <v>0.2</v>
      </c>
      <c r="R3270" t="n">
        <v>2</v>
      </c>
      <c r="S3270" t="n">
        <v>11083.8</v>
      </c>
      <c r="T3270" t="n">
        <v>6</v>
      </c>
      <c r="U3270" t="n">
        <v>7</v>
      </c>
      <c r="V3270" t="n">
        <v>30</v>
      </c>
      <c r="W3270" t="n">
        <v>2</v>
      </c>
      <c r="X3270" t="n">
        <v>125.5886970172684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11711</v>
      </c>
      <c r="AG3270" t="n">
        <v>63</v>
      </c>
      <c r="AH3270" t="inlineStr">
        <is>
          <t>PT. PARAMA GLOBAL INSPIRA - PPN (PDG)</t>
        </is>
      </c>
      <c r="AI3270" t="n">
        <v>103</v>
      </c>
      <c r="AJ3270" t="inlineStr">
        <is>
          <t>MAKE OVER</t>
        </is>
      </c>
      <c r="AK3270" t="n">
        <v>21</v>
      </c>
      <c r="AL3270" t="inlineStr">
        <is>
          <t>Miss Glam Damar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MAKE OVER</t>
        </is>
      </c>
      <c r="B3271" s="2">
        <f>"8993137721332"</f>
        <v/>
      </c>
      <c r="C3271" t="inlineStr">
        <is>
          <t>MAKEOVER Powerstay Weightless Liquid Foundation W41 Coral Sand 40ml</t>
        </is>
      </c>
      <c r="D3271" t="inlineStr">
        <is>
          <t>Miss Glam Damar</t>
        </is>
      </c>
      <c r="E3271" t="n">
        <v>5</v>
      </c>
      <c r="F3271" t="n">
        <v>0.0273</v>
      </c>
      <c r="G3271" t="n">
        <v>0.91</v>
      </c>
      <c r="H3271" t="n">
        <v>2</v>
      </c>
      <c r="I3271" t="n">
        <v>6</v>
      </c>
      <c r="J3271" t="n">
        <v>3</v>
      </c>
      <c r="K3271" t="n">
        <v>0</v>
      </c>
      <c r="L3271" t="n">
        <v>137249</v>
      </c>
      <c r="M3271" t="n">
        <v>174000</v>
      </c>
      <c r="N3271" t="n">
        <v>91</v>
      </c>
      <c r="O3271" t="n">
        <v>0.91</v>
      </c>
      <c r="P3271" t="n">
        <v>1</v>
      </c>
      <c r="Q3271" t="n">
        <v>0.05</v>
      </c>
      <c r="R3271" t="n">
        <v>1</v>
      </c>
      <c r="S3271" t="n">
        <v>4750.2</v>
      </c>
      <c r="T3271" t="n">
        <v>6</v>
      </c>
      <c r="U3271" t="n">
        <v>7</v>
      </c>
      <c r="V3271" t="n">
        <v>30</v>
      </c>
      <c r="W3271" t="n">
        <v>1</v>
      </c>
      <c r="X3271" t="n">
        <v>183.1501831501832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11711</v>
      </c>
      <c r="AG3271" t="n">
        <v>63</v>
      </c>
      <c r="AH3271" t="inlineStr">
        <is>
          <t>PT. PARAMA GLOBAL INSPIRA - PPN (PDG)</t>
        </is>
      </c>
      <c r="AI3271" t="n">
        <v>103</v>
      </c>
      <c r="AJ3271" t="inlineStr">
        <is>
          <t>MAKE OVER</t>
        </is>
      </c>
      <c r="AK3271" t="n">
        <v>21</v>
      </c>
      <c r="AL3271" t="inlineStr">
        <is>
          <t>Miss Glam Damar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MAKE OVER</t>
        </is>
      </c>
      <c r="B3272" s="2">
        <f>"20100642418"</f>
        <v/>
      </c>
      <c r="C3272" t="inlineStr">
        <is>
          <t>MAKEOVER Silky Smooth Translucent Powder 06 Buttermilk 30gr</t>
        </is>
      </c>
      <c r="D3272" t="inlineStr">
        <is>
          <t>Miss Glam Damar</t>
        </is>
      </c>
      <c r="E3272" t="n">
        <v>12</v>
      </c>
      <c r="F3272" t="n">
        <v>1.0192</v>
      </c>
      <c r="G3272" t="n">
        <v>3.64</v>
      </c>
      <c r="H3272" t="n">
        <v>2</v>
      </c>
      <c r="I3272" t="n">
        <v>6</v>
      </c>
      <c r="J3272" t="n">
        <v>1</v>
      </c>
      <c r="K3272" t="n">
        <v>0</v>
      </c>
      <c r="L3272" t="n">
        <v>108750</v>
      </c>
      <c r="M3272" t="n">
        <v>133000</v>
      </c>
      <c r="N3272" t="n">
        <v>91</v>
      </c>
      <c r="O3272" t="n">
        <v>0.91</v>
      </c>
      <c r="P3272" t="n">
        <v>1</v>
      </c>
      <c r="Q3272" t="n">
        <v>0.83</v>
      </c>
      <c r="R3272" t="n">
        <v>3</v>
      </c>
      <c r="S3272" t="n">
        <v>135553.6</v>
      </c>
      <c r="T3272" t="n">
        <v>20</v>
      </c>
      <c r="U3272" t="n">
        <v>23</v>
      </c>
      <c r="V3272" t="n">
        <v>30</v>
      </c>
      <c r="W3272" t="n">
        <v>31</v>
      </c>
      <c r="X3272" t="n">
        <v>11.77394034536892</v>
      </c>
      <c r="Y3272" t="n">
        <v>1</v>
      </c>
      <c r="Z3272" t="n">
        <v>19</v>
      </c>
      <c r="AA3272" t="n">
        <v>0</v>
      </c>
      <c r="AB3272" t="n">
        <v>19</v>
      </c>
      <c r="AC3272" t="n">
        <v>19</v>
      </c>
      <c r="AD3272" t="n">
        <v>0</v>
      </c>
      <c r="AE3272" t="n">
        <v>2066250</v>
      </c>
      <c r="AF3272" t="n">
        <v>11711</v>
      </c>
      <c r="AG3272" t="n">
        <v>63</v>
      </c>
      <c r="AH3272" t="inlineStr">
        <is>
          <t>PT. PARAMA GLOBAL INSPIRA - PPN (PDG)</t>
        </is>
      </c>
      <c r="AI3272" t="n">
        <v>103</v>
      </c>
      <c r="AJ3272" t="inlineStr">
        <is>
          <t>MAKE OVER</t>
        </is>
      </c>
      <c r="AK3272" t="n">
        <v>21</v>
      </c>
      <c r="AL3272" t="inlineStr">
        <is>
          <t>Miss Glam Damar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MAKE OVER</t>
        </is>
      </c>
      <c r="B3273" s="2">
        <f>"8993137700788"</f>
        <v/>
      </c>
      <c r="C3273" t="inlineStr">
        <is>
          <t>MAKEOVER Total Concealer Liquid Concealer 03 Medium 6,5ml</t>
        </is>
      </c>
      <c r="D3273" t="inlineStr">
        <is>
          <t>Miss Glam Damar</t>
        </is>
      </c>
      <c r="E3273" t="n">
        <v>5</v>
      </c>
      <c r="F3273" t="n">
        <v>0.06370000000000001</v>
      </c>
      <c r="G3273" t="n">
        <v>0.91</v>
      </c>
      <c r="H3273" t="n">
        <v>2</v>
      </c>
      <c r="I3273" t="n">
        <v>6</v>
      </c>
      <c r="J3273" t="n">
        <v>3</v>
      </c>
      <c r="K3273" t="n">
        <v>0</v>
      </c>
      <c r="L3273" t="n">
        <v>85925</v>
      </c>
      <c r="M3273" t="n">
        <v>106000</v>
      </c>
      <c r="N3273" t="n">
        <v>91</v>
      </c>
      <c r="O3273" t="n">
        <v>0.91</v>
      </c>
      <c r="P3273" t="n">
        <v>1</v>
      </c>
      <c r="Q3273" t="n">
        <v>0.07000000000000001</v>
      </c>
      <c r="R3273" t="n">
        <v>2</v>
      </c>
      <c r="S3273" t="n">
        <v>6752.200000000001</v>
      </c>
      <c r="T3273" t="n">
        <v>6</v>
      </c>
      <c r="U3273" t="n">
        <v>7</v>
      </c>
      <c r="V3273" t="n">
        <v>30</v>
      </c>
      <c r="W3273" t="n">
        <v>2</v>
      </c>
      <c r="X3273" t="n">
        <v>78.49293563579278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11711</v>
      </c>
      <c r="AG3273" t="n">
        <v>63</v>
      </c>
      <c r="AH3273" t="inlineStr">
        <is>
          <t>PT. PARAMA GLOBAL INSPIRA - PPN (PDG)</t>
        </is>
      </c>
      <c r="AI3273" t="n">
        <v>103</v>
      </c>
      <c r="AJ3273" t="inlineStr">
        <is>
          <t>MAKE OVER</t>
        </is>
      </c>
      <c r="AK3273" t="n">
        <v>21</v>
      </c>
      <c r="AL3273" t="inlineStr">
        <is>
          <t>Miss Glam Damar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MAKE OVER</t>
        </is>
      </c>
      <c r="B3274" s="2">
        <f>"8993137682589"</f>
        <v/>
      </c>
      <c r="C3274" t="inlineStr">
        <is>
          <t>MAKEOVER Trivia Eye Shadow Emperor Brown 6gr</t>
        </is>
      </c>
      <c r="D3274" t="inlineStr">
        <is>
          <t>Miss Glam Damar</t>
        </is>
      </c>
      <c r="E3274" t="n">
        <v>0</v>
      </c>
      <c r="F3274" t="n">
        <v>0.0273</v>
      </c>
      <c r="G3274" t="n">
        <v>0.91</v>
      </c>
      <c r="H3274" t="n">
        <v>2</v>
      </c>
      <c r="I3274" t="n">
        <v>6</v>
      </c>
      <c r="J3274" t="n">
        <v>3</v>
      </c>
      <c r="K3274" t="n">
        <v>0</v>
      </c>
      <c r="L3274" t="n">
        <v>70499</v>
      </c>
      <c r="M3274" t="n">
        <v>92000</v>
      </c>
      <c r="N3274" t="n">
        <v>91</v>
      </c>
      <c r="O3274" t="n">
        <v>0.91</v>
      </c>
      <c r="P3274" t="n">
        <v>1</v>
      </c>
      <c r="Q3274" t="n">
        <v>0.03</v>
      </c>
      <c r="R3274" t="n">
        <v>1</v>
      </c>
      <c r="S3274" t="n">
        <v>2511.6</v>
      </c>
      <c r="T3274" t="n">
        <v>6</v>
      </c>
      <c r="U3274" t="n">
        <v>7</v>
      </c>
      <c r="V3274" t="n">
        <v>30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n">
        <v>0</v>
      </c>
      <c r="AC3274" t="n">
        <v>0</v>
      </c>
      <c r="AD3274" t="n">
        <v>70499</v>
      </c>
      <c r="AE3274" t="n">
        <v>0</v>
      </c>
      <c r="AF3274" t="n">
        <v>11711</v>
      </c>
      <c r="AG3274" t="n">
        <v>63</v>
      </c>
      <c r="AH3274" t="inlineStr">
        <is>
          <t>PT. PARAMA GLOBAL INSPIRA - PPN (PDG)</t>
        </is>
      </c>
      <c r="AI3274" t="n">
        <v>103</v>
      </c>
      <c r="AJ3274" t="inlineStr">
        <is>
          <t>MAKE OVER</t>
        </is>
      </c>
      <c r="AK3274" t="n">
        <v>21</v>
      </c>
      <c r="AL3274" t="inlineStr">
        <is>
          <t>Miss Glam Damar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MAKE OVER</t>
        </is>
      </c>
      <c r="B3275" s="2">
        <f>"8993137682602"</f>
        <v/>
      </c>
      <c r="C3275" t="inlineStr">
        <is>
          <t>MAKEOVER Trivia Eye Shadow Indian Summer 6gr</t>
        </is>
      </c>
      <c r="D3275" t="inlineStr">
        <is>
          <t>Miss Glam Damar</t>
        </is>
      </c>
      <c r="E3275" t="n">
        <v>4</v>
      </c>
      <c r="F3275" t="n">
        <v>0.182</v>
      </c>
      <c r="G3275" t="n">
        <v>1.82</v>
      </c>
      <c r="H3275" t="n">
        <v>2</v>
      </c>
      <c r="I3275" t="n">
        <v>6</v>
      </c>
      <c r="J3275" t="n">
        <v>3</v>
      </c>
      <c r="K3275" t="n">
        <v>0</v>
      </c>
      <c r="L3275" t="n">
        <v>72750</v>
      </c>
      <c r="M3275" t="n">
        <v>92000</v>
      </c>
      <c r="N3275" t="n">
        <v>91</v>
      </c>
      <c r="O3275" t="n">
        <v>0.91</v>
      </c>
      <c r="P3275" t="n">
        <v>1</v>
      </c>
      <c r="Q3275" t="n">
        <v>0.1</v>
      </c>
      <c r="R3275" t="n">
        <v>2</v>
      </c>
      <c r="S3275" t="n">
        <v>16744</v>
      </c>
      <c r="T3275" t="n">
        <v>11</v>
      </c>
      <c r="U3275" t="n">
        <v>12</v>
      </c>
      <c r="V3275" t="n">
        <v>30</v>
      </c>
      <c r="W3275" t="n">
        <v>6</v>
      </c>
      <c r="X3275" t="n">
        <v>21.97802197802197</v>
      </c>
      <c r="Y3275" t="n">
        <v>1</v>
      </c>
      <c r="Z3275" t="n">
        <v>2</v>
      </c>
      <c r="AA3275" t="n">
        <v>0</v>
      </c>
      <c r="AB3275" t="n">
        <v>2</v>
      </c>
      <c r="AC3275" t="n">
        <v>3</v>
      </c>
      <c r="AD3275" t="n">
        <v>0</v>
      </c>
      <c r="AE3275" t="n">
        <v>218250</v>
      </c>
      <c r="AF3275" t="n">
        <v>11711</v>
      </c>
      <c r="AG3275" t="n">
        <v>63</v>
      </c>
      <c r="AH3275" t="inlineStr">
        <is>
          <t>PT. PARAMA GLOBAL INSPIRA - PPN (PDG)</t>
        </is>
      </c>
      <c r="AI3275" t="n">
        <v>103</v>
      </c>
      <c r="AJ3275" t="inlineStr">
        <is>
          <t>MAKE OVER</t>
        </is>
      </c>
      <c r="AK3275" t="n">
        <v>21</v>
      </c>
      <c r="AL3275" t="inlineStr">
        <is>
          <t>Miss Glam Damar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MAKE OVER</t>
        </is>
      </c>
      <c r="B3276" s="2">
        <f>"8993137681698"</f>
        <v/>
      </c>
      <c r="C3276" t="inlineStr">
        <is>
          <t>MAKEOVER Ultra Cover Liquid Matt Foundation 01 Ochre 33ml</t>
        </is>
      </c>
      <c r="D3276" t="inlineStr">
        <is>
          <t>Miss Glam Damar</t>
        </is>
      </c>
      <c r="E3276" t="n">
        <v>5</v>
      </c>
      <c r="F3276" t="n">
        <v>0.2184</v>
      </c>
      <c r="G3276" t="n">
        <v>1.82</v>
      </c>
      <c r="H3276" t="n">
        <v>2</v>
      </c>
      <c r="I3276" t="n">
        <v>6</v>
      </c>
      <c r="J3276" t="n">
        <v>3</v>
      </c>
      <c r="K3276" t="n">
        <v>0</v>
      </c>
      <c r="L3276" t="n">
        <v>115132</v>
      </c>
      <c r="M3276" t="n">
        <v>145000</v>
      </c>
      <c r="N3276" t="n">
        <v>91</v>
      </c>
      <c r="O3276" t="n">
        <v>0.91</v>
      </c>
      <c r="P3276" t="n">
        <v>1</v>
      </c>
      <c r="Q3276" t="n">
        <v>0.22</v>
      </c>
      <c r="R3276" t="n">
        <v>1</v>
      </c>
      <c r="S3276" t="n">
        <v>31668</v>
      </c>
      <c r="T3276" t="n">
        <v>11</v>
      </c>
      <c r="U3276" t="n">
        <v>12</v>
      </c>
      <c r="V3276" t="n">
        <v>30</v>
      </c>
      <c r="W3276" t="n">
        <v>7</v>
      </c>
      <c r="X3276" t="n">
        <v>22.89377289377289</v>
      </c>
      <c r="Y3276" t="n">
        <v>1</v>
      </c>
      <c r="Z3276" t="n">
        <v>2</v>
      </c>
      <c r="AA3276" t="n">
        <v>0</v>
      </c>
      <c r="AB3276" t="n">
        <v>2</v>
      </c>
      <c r="AC3276" t="n">
        <v>3</v>
      </c>
      <c r="AD3276" t="n">
        <v>0</v>
      </c>
      <c r="AE3276" t="n">
        <v>345396</v>
      </c>
      <c r="AF3276" t="n">
        <v>11711</v>
      </c>
      <c r="AG3276" t="n">
        <v>63</v>
      </c>
      <c r="AH3276" t="inlineStr">
        <is>
          <t>PT. PARAMA GLOBAL INSPIRA - PPN (PDG)</t>
        </is>
      </c>
      <c r="AI3276" t="n">
        <v>103</v>
      </c>
      <c r="AJ3276" t="inlineStr">
        <is>
          <t>MAKE OVER</t>
        </is>
      </c>
      <c r="AK3276" t="n">
        <v>21</v>
      </c>
      <c r="AL3276" t="inlineStr">
        <is>
          <t>Miss Glam Damar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MAKE OVER</t>
        </is>
      </c>
      <c r="B3277" s="2">
        <f>"8993137681704"</f>
        <v/>
      </c>
      <c r="C3277" t="inlineStr">
        <is>
          <t>MAKEOVER Ultra Cover Liquid Matt Foundation 02 Pink Shade 33ml</t>
        </is>
      </c>
      <c r="D3277" t="inlineStr">
        <is>
          <t>Miss Glam Damar</t>
        </is>
      </c>
      <c r="E3277" t="n">
        <v>3</v>
      </c>
      <c r="F3277" t="n">
        <v>0.0273</v>
      </c>
      <c r="G3277" t="n">
        <v>0.91</v>
      </c>
      <c r="H3277" t="n">
        <v>2</v>
      </c>
      <c r="I3277" t="n">
        <v>6</v>
      </c>
      <c r="J3277" t="n">
        <v>3</v>
      </c>
      <c r="K3277" t="n">
        <v>0</v>
      </c>
      <c r="L3277" t="n">
        <v>114500</v>
      </c>
      <c r="M3277" t="n">
        <v>145000</v>
      </c>
      <c r="N3277" t="n">
        <v>91</v>
      </c>
      <c r="O3277" t="n">
        <v>0.91</v>
      </c>
      <c r="P3277" t="n">
        <v>1</v>
      </c>
      <c r="Q3277" t="n">
        <v>0.05</v>
      </c>
      <c r="R3277" t="n">
        <v>1</v>
      </c>
      <c r="S3277" t="n">
        <v>3958.5</v>
      </c>
      <c r="T3277" t="n">
        <v>6</v>
      </c>
      <c r="U3277" t="n">
        <v>7</v>
      </c>
      <c r="V3277" t="n">
        <v>30</v>
      </c>
      <c r="W3277" t="n">
        <v>1</v>
      </c>
      <c r="X3277" t="n">
        <v>109.8901098901099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11711</v>
      </c>
      <c r="AG3277" t="n">
        <v>63</v>
      </c>
      <c r="AH3277" t="inlineStr">
        <is>
          <t>PT. PARAMA GLOBAL INSPIRA - PPN (PDG)</t>
        </is>
      </c>
      <c r="AI3277" t="n">
        <v>103</v>
      </c>
      <c r="AJ3277" t="inlineStr">
        <is>
          <t>MAKE OVER</t>
        </is>
      </c>
      <c r="AK3277" t="n">
        <v>21</v>
      </c>
      <c r="AL3277" t="inlineStr">
        <is>
          <t>Miss Glam Damar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MAKE OVER</t>
        </is>
      </c>
      <c r="B3278" s="2">
        <f>"8993137681711"</f>
        <v/>
      </c>
      <c r="C3278" t="inlineStr">
        <is>
          <t>MAKEOVER Ultra Cover Liquid Matt Foundation 03 Nude Silk 33ml</t>
        </is>
      </c>
      <c r="D3278" t="inlineStr">
        <is>
          <t>Miss Glam Damar</t>
        </is>
      </c>
      <c r="E3278" t="n">
        <v>3</v>
      </c>
      <c r="F3278" t="n">
        <v>0.1547</v>
      </c>
      <c r="G3278" t="n">
        <v>0.91</v>
      </c>
      <c r="H3278" t="n">
        <v>2</v>
      </c>
      <c r="I3278" t="n">
        <v>6</v>
      </c>
      <c r="J3278" t="n">
        <v>3</v>
      </c>
      <c r="K3278" t="n">
        <v>0</v>
      </c>
      <c r="L3278" t="n">
        <v>114691</v>
      </c>
      <c r="M3278" t="n">
        <v>145000</v>
      </c>
      <c r="N3278" t="n">
        <v>91</v>
      </c>
      <c r="O3278" t="n">
        <v>0.91</v>
      </c>
      <c r="P3278" t="n">
        <v>1</v>
      </c>
      <c r="Q3278" t="n">
        <v>0.12</v>
      </c>
      <c r="R3278" t="n">
        <v>2</v>
      </c>
      <c r="S3278" t="n">
        <v>22431.5</v>
      </c>
      <c r="T3278" t="n">
        <v>6</v>
      </c>
      <c r="U3278" t="n">
        <v>7</v>
      </c>
      <c r="V3278" t="n">
        <v>30</v>
      </c>
      <c r="W3278" t="n">
        <v>5</v>
      </c>
      <c r="X3278" t="n">
        <v>19.3923723335488</v>
      </c>
      <c r="Y3278" t="n">
        <v>1</v>
      </c>
      <c r="Z3278" t="n">
        <v>2</v>
      </c>
      <c r="AA3278" t="n">
        <v>0</v>
      </c>
      <c r="AB3278" t="n">
        <v>2</v>
      </c>
      <c r="AC3278" t="n">
        <v>3</v>
      </c>
      <c r="AD3278" t="n">
        <v>0</v>
      </c>
      <c r="AE3278" t="n">
        <v>344073</v>
      </c>
      <c r="AF3278" t="n">
        <v>11711</v>
      </c>
      <c r="AG3278" t="n">
        <v>63</v>
      </c>
      <c r="AH3278" t="inlineStr">
        <is>
          <t>PT. PARAMA GLOBAL INSPIRA - PPN (PDG)</t>
        </is>
      </c>
      <c r="AI3278" t="n">
        <v>103</v>
      </c>
      <c r="AJ3278" t="inlineStr">
        <is>
          <t>MAKE OVER</t>
        </is>
      </c>
      <c r="AK3278" t="n">
        <v>21</v>
      </c>
      <c r="AL3278" t="inlineStr">
        <is>
          <t>Miss Glam Damar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MAKE OVER</t>
        </is>
      </c>
      <c r="B3279" s="2">
        <f>"8993137692212"</f>
        <v/>
      </c>
      <c r="C3279" t="inlineStr">
        <is>
          <t>MAKEOVER Ultra Cover Liquid Matt Foundation 08 Pearl 33ml</t>
        </is>
      </c>
      <c r="D3279" t="inlineStr">
        <is>
          <t>Miss Glam Damar</t>
        </is>
      </c>
      <c r="E3279" t="n">
        <v>3</v>
      </c>
      <c r="F3279" t="n">
        <v>0.2002</v>
      </c>
      <c r="G3279" t="n">
        <v>1.82</v>
      </c>
      <c r="H3279" t="n">
        <v>2</v>
      </c>
      <c r="I3279" t="n">
        <v>6</v>
      </c>
      <c r="J3279" t="n">
        <v>3</v>
      </c>
      <c r="K3279" t="n">
        <v>0</v>
      </c>
      <c r="L3279" t="n">
        <v>114932</v>
      </c>
      <c r="M3279" t="n">
        <v>145000</v>
      </c>
      <c r="N3279" t="n">
        <v>91</v>
      </c>
      <c r="O3279" t="n">
        <v>0.91</v>
      </c>
      <c r="P3279" t="n">
        <v>1</v>
      </c>
      <c r="Q3279" t="n">
        <v>0.2</v>
      </c>
      <c r="R3279" t="n">
        <v>1</v>
      </c>
      <c r="S3279" t="n">
        <v>29029</v>
      </c>
      <c r="T3279" t="n">
        <v>11</v>
      </c>
      <c r="U3279" t="n">
        <v>12</v>
      </c>
      <c r="V3279" t="n">
        <v>30</v>
      </c>
      <c r="W3279" t="n">
        <v>7</v>
      </c>
      <c r="X3279" t="n">
        <v>14.98501498501498</v>
      </c>
      <c r="Y3279" t="n">
        <v>1</v>
      </c>
      <c r="Z3279" t="n">
        <v>4</v>
      </c>
      <c r="AA3279" t="n">
        <v>0</v>
      </c>
      <c r="AB3279" t="n">
        <v>4</v>
      </c>
      <c r="AC3279" t="n">
        <v>4</v>
      </c>
      <c r="AD3279" t="n">
        <v>0</v>
      </c>
      <c r="AE3279" t="n">
        <v>459728</v>
      </c>
      <c r="AF3279" t="n">
        <v>11711</v>
      </c>
      <c r="AG3279" t="n">
        <v>63</v>
      </c>
      <c r="AH3279" t="inlineStr">
        <is>
          <t>PT. PARAMA GLOBAL INSPIRA - PPN (PDG)</t>
        </is>
      </c>
      <c r="AI3279" t="n">
        <v>103</v>
      </c>
      <c r="AJ3279" t="inlineStr">
        <is>
          <t>MAKE OVER</t>
        </is>
      </c>
      <c r="AK3279" t="n">
        <v>21</v>
      </c>
      <c r="AL3279" t="inlineStr">
        <is>
          <t>Miss Glam Damar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MAKE OVER</t>
        </is>
      </c>
      <c r="B3280" s="2">
        <f>"8993137695237"</f>
        <v/>
      </c>
      <c r="C3280" t="inlineStr">
        <is>
          <t>MAKEOVER Velvet Mattfying Primer 20ml</t>
        </is>
      </c>
      <c r="D3280" t="inlineStr">
        <is>
          <t>Miss Glam Damar</t>
        </is>
      </c>
      <c r="E3280" t="n">
        <v>11</v>
      </c>
      <c r="F3280" t="n">
        <v>0.4823000000000001</v>
      </c>
      <c r="G3280" t="n">
        <v>1.82</v>
      </c>
      <c r="H3280" t="n">
        <v>2</v>
      </c>
      <c r="I3280" t="n">
        <v>6</v>
      </c>
      <c r="J3280" t="n">
        <v>3</v>
      </c>
      <c r="K3280" t="n">
        <v>0</v>
      </c>
      <c r="L3280" t="n">
        <v>78000</v>
      </c>
      <c r="M3280" t="n">
        <v>99900</v>
      </c>
      <c r="N3280" t="n">
        <v>91</v>
      </c>
      <c r="O3280" t="n">
        <v>0.91</v>
      </c>
      <c r="P3280" t="n">
        <v>1</v>
      </c>
      <c r="Q3280" t="n">
        <v>0.42</v>
      </c>
      <c r="R3280" t="n">
        <v>2</v>
      </c>
      <c r="S3280" t="n">
        <v>48181.77</v>
      </c>
      <c r="T3280" t="n">
        <v>10</v>
      </c>
      <c r="U3280" t="n">
        <v>11</v>
      </c>
      <c r="V3280" t="n">
        <v>30</v>
      </c>
      <c r="W3280" t="n">
        <v>15</v>
      </c>
      <c r="X3280" t="n">
        <v>22.80738129794733</v>
      </c>
      <c r="Y3280" t="n">
        <v>1</v>
      </c>
      <c r="Z3280" t="n">
        <v>4</v>
      </c>
      <c r="AA3280" t="n">
        <v>0</v>
      </c>
      <c r="AB3280" t="n">
        <v>4</v>
      </c>
      <c r="AC3280" t="n">
        <v>4</v>
      </c>
      <c r="AD3280" t="n">
        <v>0</v>
      </c>
      <c r="AE3280" t="n">
        <v>312000</v>
      </c>
      <c r="AF3280" t="n">
        <v>11711</v>
      </c>
      <c r="AG3280" t="n">
        <v>63</v>
      </c>
      <c r="AH3280" t="inlineStr">
        <is>
          <t>PT. PARAMA GLOBAL INSPIRA - PPN (PDG)</t>
        </is>
      </c>
      <c r="AI3280" t="n">
        <v>103</v>
      </c>
      <c r="AJ3280" t="inlineStr">
        <is>
          <t>MAKE OVER</t>
        </is>
      </c>
      <c r="AK3280" t="n">
        <v>21</v>
      </c>
      <c r="AL3280" t="inlineStr">
        <is>
          <t>Miss Glam Damar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MAMAYA</t>
        </is>
      </c>
      <c r="B3281" s="2">
        <f>"8997214430179"</f>
        <v/>
      </c>
      <c r="C3281" t="inlineStr">
        <is>
          <t>MAMAYA Papaya Anti Acne Face Wash 100gr</t>
        </is>
      </c>
      <c r="D3281" t="inlineStr">
        <is>
          <t>Miss Glam Damar</t>
        </is>
      </c>
      <c r="E3281" t="n">
        <v>21</v>
      </c>
      <c r="F3281" t="n">
        <v>0.2912</v>
      </c>
      <c r="G3281" t="n">
        <v>1.82</v>
      </c>
      <c r="H3281" t="n">
        <v>3</v>
      </c>
      <c r="I3281" t="n">
        <v>11</v>
      </c>
      <c r="J3281" t="n">
        <v>3</v>
      </c>
      <c r="K3281" t="n">
        <v>0</v>
      </c>
      <c r="L3281" t="n">
        <v>14666</v>
      </c>
      <c r="M3281" t="n">
        <v>17500</v>
      </c>
      <c r="N3281" t="n">
        <v>91</v>
      </c>
      <c r="O3281" t="n">
        <v>0.91</v>
      </c>
      <c r="P3281" t="n">
        <v>1</v>
      </c>
      <c r="Q3281" t="n">
        <v>0.14</v>
      </c>
      <c r="R3281" t="n">
        <v>2</v>
      </c>
      <c r="S3281" t="n">
        <v>5096</v>
      </c>
      <c r="T3281" t="n">
        <v>20</v>
      </c>
      <c r="U3281" t="n">
        <v>21</v>
      </c>
      <c r="V3281" t="n">
        <v>30</v>
      </c>
      <c r="W3281" t="n">
        <v>9</v>
      </c>
      <c r="X3281" t="n">
        <v>72.11538461538461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10110</v>
      </c>
      <c r="AG3281" t="n">
        <v>78</v>
      </c>
      <c r="AH3281" t="inlineStr">
        <is>
          <t>PT. GLORIENTA P.H - PPN (PDG)</t>
        </is>
      </c>
      <c r="AI3281" t="n">
        <v>497</v>
      </c>
      <c r="AJ3281" t="inlineStr">
        <is>
          <t>MAMAYA</t>
        </is>
      </c>
      <c r="AK3281" t="n">
        <v>21</v>
      </c>
      <c r="AL3281" t="inlineStr">
        <is>
          <t>Miss Glam Damar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MAMAYA</t>
        </is>
      </c>
      <c r="B3282" s="2">
        <f>"8997214430049"</f>
        <v/>
      </c>
      <c r="C3282" t="inlineStr">
        <is>
          <t>MAMAYA Papaya Orange 70gr</t>
        </is>
      </c>
      <c r="D3282" t="inlineStr">
        <is>
          <t>Miss Glam Damar</t>
        </is>
      </c>
      <c r="E3282" t="n">
        <v>5</v>
      </c>
      <c r="F3282" t="n">
        <v>2.1567</v>
      </c>
      <c r="G3282" t="n">
        <v>6.37</v>
      </c>
      <c r="H3282" t="n">
        <v>3</v>
      </c>
      <c r="I3282" t="n">
        <v>11</v>
      </c>
      <c r="J3282" t="n">
        <v>3</v>
      </c>
      <c r="K3282" t="n">
        <v>0</v>
      </c>
      <c r="L3282" t="n">
        <v>5546</v>
      </c>
      <c r="M3282" t="n">
        <v>7000</v>
      </c>
      <c r="N3282" t="n">
        <v>91</v>
      </c>
      <c r="O3282" t="n">
        <v>0.91</v>
      </c>
      <c r="P3282" t="n">
        <v>1</v>
      </c>
      <c r="Q3282" t="n">
        <v>0.32</v>
      </c>
      <c r="R3282" t="n">
        <v>3</v>
      </c>
      <c r="S3282" t="n">
        <v>15096.9</v>
      </c>
      <c r="T3282" t="n">
        <v>64</v>
      </c>
      <c r="U3282" t="n">
        <v>71</v>
      </c>
      <c r="V3282" t="n">
        <v>30</v>
      </c>
      <c r="W3282" t="n">
        <v>65</v>
      </c>
      <c r="X3282" t="n">
        <v>2.318356748736495</v>
      </c>
      <c r="Y3282" t="n">
        <v>1</v>
      </c>
      <c r="Z3282" t="n">
        <v>60</v>
      </c>
      <c r="AA3282" t="n">
        <v>19</v>
      </c>
      <c r="AB3282" t="n">
        <v>41</v>
      </c>
      <c r="AC3282" t="n">
        <v>41</v>
      </c>
      <c r="AD3282" t="n">
        <v>105374</v>
      </c>
      <c r="AE3282" t="n">
        <v>227386</v>
      </c>
      <c r="AF3282" t="n">
        <v>10110</v>
      </c>
      <c r="AG3282" t="n">
        <v>78</v>
      </c>
      <c r="AH3282" t="inlineStr">
        <is>
          <t>PT. GLORIENTA P.H - PPN (PDG)</t>
        </is>
      </c>
      <c r="AI3282" t="n">
        <v>497</v>
      </c>
      <c r="AJ3282" t="inlineStr">
        <is>
          <t>MAMAYA</t>
        </is>
      </c>
      <c r="AK3282" t="n">
        <v>21</v>
      </c>
      <c r="AL3282" t="inlineStr">
        <is>
          <t>Miss Glam Damar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MARCKS</t>
        </is>
      </c>
      <c r="B3283" s="2">
        <f>"8995026806168"</f>
        <v/>
      </c>
      <c r="C3283" t="inlineStr">
        <is>
          <t>MARCK S Bedak Beauty Powder Invisible 20g</t>
        </is>
      </c>
      <c r="D3283" t="inlineStr">
        <is>
          <t>Miss Glam Damar</t>
        </is>
      </c>
      <c r="E3283" t="n">
        <v>0</v>
      </c>
      <c r="F3283" t="n">
        <v>0.13</v>
      </c>
      <c r="G3283" t="n">
        <v>2</v>
      </c>
      <c r="H3283" t="n">
        <v>8</v>
      </c>
      <c r="I3283" t="n">
        <v>30</v>
      </c>
      <c r="J3283" t="n">
        <v>3</v>
      </c>
      <c r="K3283" t="n">
        <v>0</v>
      </c>
      <c r="L3283" t="n">
        <v>26307</v>
      </c>
      <c r="M3283" t="n">
        <v>32900</v>
      </c>
      <c r="N3283" t="n">
        <v>91</v>
      </c>
      <c r="O3283" t="n">
        <v>0.91</v>
      </c>
      <c r="P3283" t="n">
        <v>0</v>
      </c>
      <c r="Q3283" t="n">
        <v>0.13</v>
      </c>
      <c r="R3283" t="n">
        <v>2</v>
      </c>
      <c r="S3283" t="n">
        <v>4277</v>
      </c>
      <c r="T3283" t="n">
        <v>59</v>
      </c>
      <c r="U3283" t="n">
        <v>61</v>
      </c>
      <c r="V3283" t="n">
        <v>30</v>
      </c>
      <c r="W3283" t="n">
        <v>4</v>
      </c>
      <c r="X3283" t="n">
        <v>0</v>
      </c>
      <c r="Y3283" t="n">
        <v>1</v>
      </c>
      <c r="Z3283" t="n">
        <v>4</v>
      </c>
      <c r="AA3283" t="n">
        <v>4</v>
      </c>
      <c r="AB3283" t="n">
        <v>0</v>
      </c>
      <c r="AC3283" t="n">
        <v>0</v>
      </c>
      <c r="AD3283" t="n">
        <v>105228</v>
      </c>
      <c r="AE3283" t="n">
        <v>0</v>
      </c>
      <c r="AF3283" t="n">
        <v>10647</v>
      </c>
      <c r="AG3283" t="n">
        <v>633</v>
      </c>
      <c r="AH3283" t="inlineStr">
        <is>
          <t>PT. KIMIA FARMA - PPN (PDG)</t>
        </is>
      </c>
      <c r="AI3283" t="n">
        <v>462</v>
      </c>
      <c r="AJ3283" t="inlineStr">
        <is>
          <t>MARCKS</t>
        </is>
      </c>
      <c r="AK3283" t="n">
        <v>21</v>
      </c>
      <c r="AL3283" t="inlineStr">
        <is>
          <t>Miss Glam Damar</t>
        </is>
      </c>
      <c r="AM3283" t="n">
        <v>4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MARCKS</t>
        </is>
      </c>
      <c r="B3284" s="2">
        <f>"8995026806137"</f>
        <v/>
      </c>
      <c r="C3284" t="inlineStr">
        <is>
          <t>MARCKS Bedak Beauty Powder Cream 20g</t>
        </is>
      </c>
      <c r="D3284" t="inlineStr">
        <is>
          <t>Miss Glam Damar</t>
        </is>
      </c>
      <c r="E3284" t="n">
        <v>20</v>
      </c>
      <c r="F3284" t="n">
        <v>1.1</v>
      </c>
      <c r="G3284" t="n">
        <v>4</v>
      </c>
      <c r="H3284" t="n">
        <v>8</v>
      </c>
      <c r="I3284" t="n">
        <v>30</v>
      </c>
      <c r="J3284" t="n">
        <v>3</v>
      </c>
      <c r="K3284" t="n">
        <v>24</v>
      </c>
      <c r="L3284" t="n">
        <v>26307</v>
      </c>
      <c r="M3284" t="n">
        <v>32900</v>
      </c>
      <c r="N3284" t="n">
        <v>91</v>
      </c>
      <c r="O3284" t="n">
        <v>0.91</v>
      </c>
      <c r="P3284" t="n">
        <v>0</v>
      </c>
      <c r="Q3284" t="n">
        <v>1.1</v>
      </c>
      <c r="R3284" t="n">
        <v>4</v>
      </c>
      <c r="S3284" t="n">
        <v>36190</v>
      </c>
      <c r="T3284" t="n">
        <v>112</v>
      </c>
      <c r="U3284" t="n">
        <v>121</v>
      </c>
      <c r="V3284" t="n">
        <v>30</v>
      </c>
      <c r="W3284" t="n">
        <v>33</v>
      </c>
      <c r="X3284" t="n">
        <v>18.18181818181818</v>
      </c>
      <c r="Y3284" t="n">
        <v>1</v>
      </c>
      <c r="Z3284" t="n">
        <v>0</v>
      </c>
      <c r="AA3284" t="n">
        <v>13</v>
      </c>
      <c r="AB3284" t="n">
        <v>0</v>
      </c>
      <c r="AC3284" t="n">
        <v>0</v>
      </c>
      <c r="AD3284" t="n">
        <v>341991</v>
      </c>
      <c r="AE3284" t="n">
        <v>0</v>
      </c>
      <c r="AF3284" t="n">
        <v>10647</v>
      </c>
      <c r="AG3284" t="n">
        <v>633</v>
      </c>
      <c r="AH3284" t="inlineStr">
        <is>
          <t>PT. KIMIA FARMA - PPN (PDG)</t>
        </is>
      </c>
      <c r="AI3284" t="n">
        <v>462</v>
      </c>
      <c r="AJ3284" t="inlineStr">
        <is>
          <t>MARCKS</t>
        </is>
      </c>
      <c r="AK3284" t="n">
        <v>21</v>
      </c>
      <c r="AL3284" t="inlineStr">
        <is>
          <t>Miss Glam Damar</t>
        </is>
      </c>
      <c r="AM3284" t="n">
        <v>4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MARCKS</t>
        </is>
      </c>
      <c r="B3285" s="2">
        <f>"8995026806175"</f>
        <v/>
      </c>
      <c r="C3285" t="inlineStr">
        <is>
          <t>MARCKS Bedak Beauty Powder Natural Beige 20gr</t>
        </is>
      </c>
      <c r="D3285" t="inlineStr">
        <is>
          <t>Miss Glam Damar</t>
        </is>
      </c>
      <c r="E3285" t="n">
        <v>5</v>
      </c>
      <c r="F3285" t="n">
        <v>0.7280000000000001</v>
      </c>
      <c r="G3285" t="n">
        <v>2.73</v>
      </c>
      <c r="H3285" t="n">
        <v>8</v>
      </c>
      <c r="I3285" t="n">
        <v>30</v>
      </c>
      <c r="J3285" t="n">
        <v>3</v>
      </c>
      <c r="K3285" t="n">
        <v>36</v>
      </c>
      <c r="L3285" t="n">
        <v>26341</v>
      </c>
      <c r="M3285" t="n">
        <v>32900</v>
      </c>
      <c r="N3285" t="n">
        <v>91</v>
      </c>
      <c r="O3285" t="n">
        <v>0.91</v>
      </c>
      <c r="P3285" t="n">
        <v>1</v>
      </c>
      <c r="Q3285" t="n">
        <v>0.75</v>
      </c>
      <c r="R3285" t="n">
        <v>4</v>
      </c>
      <c r="S3285" t="n">
        <v>23951.2</v>
      </c>
      <c r="T3285" t="n">
        <v>77</v>
      </c>
      <c r="U3285" t="n">
        <v>83</v>
      </c>
      <c r="V3285" t="n">
        <v>30</v>
      </c>
      <c r="W3285" t="n">
        <v>22</v>
      </c>
      <c r="X3285" t="n">
        <v>6.868131868131868</v>
      </c>
      <c r="Y3285" t="n">
        <v>1</v>
      </c>
      <c r="Z3285" t="n">
        <v>0</v>
      </c>
      <c r="AA3285" t="n">
        <v>16</v>
      </c>
      <c r="AB3285" t="n">
        <v>0</v>
      </c>
      <c r="AC3285" t="n">
        <v>0</v>
      </c>
      <c r="AD3285" t="n">
        <v>421456</v>
      </c>
      <c r="AE3285" t="n">
        <v>0</v>
      </c>
      <c r="AF3285" t="n">
        <v>10647</v>
      </c>
      <c r="AG3285" t="n">
        <v>633</v>
      </c>
      <c r="AH3285" t="inlineStr">
        <is>
          <t>PT. KIMIA FARMA - PPN (PDG)</t>
        </is>
      </c>
      <c r="AI3285" t="n">
        <v>462</v>
      </c>
      <c r="AJ3285" t="inlineStr">
        <is>
          <t>MARCKS</t>
        </is>
      </c>
      <c r="AK3285" t="n">
        <v>21</v>
      </c>
      <c r="AL3285" t="inlineStr">
        <is>
          <t>Miss Glam Damar</t>
        </is>
      </c>
      <c r="AM3285" t="n">
        <v>4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MARCKS</t>
        </is>
      </c>
      <c r="B3286" s="2">
        <f>"8995026806151"</f>
        <v/>
      </c>
      <c r="C3286" t="inlineStr">
        <is>
          <t>MARCKS Bedak Beauty Powder Pink 20g</t>
        </is>
      </c>
      <c r="D3286" t="inlineStr">
        <is>
          <t>Miss Glam Damar</t>
        </is>
      </c>
      <c r="E3286" t="n">
        <v>0</v>
      </c>
      <c r="F3286" t="n">
        <v>0.38</v>
      </c>
      <c r="G3286" t="n">
        <v>4</v>
      </c>
      <c r="H3286" t="n">
        <v>8</v>
      </c>
      <c r="I3286" t="n">
        <v>30</v>
      </c>
      <c r="J3286" t="n">
        <v>3</v>
      </c>
      <c r="K3286" t="n">
        <v>0</v>
      </c>
      <c r="L3286" t="n">
        <v>27571</v>
      </c>
      <c r="M3286" t="n">
        <v>32900</v>
      </c>
      <c r="N3286" t="n">
        <v>91</v>
      </c>
      <c r="O3286" t="n">
        <v>0.91</v>
      </c>
      <c r="P3286" t="n">
        <v>0</v>
      </c>
      <c r="Q3286" t="n">
        <v>0.38</v>
      </c>
      <c r="R3286" t="n">
        <v>4</v>
      </c>
      <c r="S3286" t="n">
        <v>12502</v>
      </c>
      <c r="T3286" t="n">
        <v>117</v>
      </c>
      <c r="U3286" t="n">
        <v>121</v>
      </c>
      <c r="V3286" t="n">
        <v>30</v>
      </c>
      <c r="W3286" t="n">
        <v>12</v>
      </c>
      <c r="X3286" t="n">
        <v>0</v>
      </c>
      <c r="Y3286" t="n">
        <v>1</v>
      </c>
      <c r="Z3286" t="n">
        <v>12</v>
      </c>
      <c r="AA3286" t="n">
        <v>12</v>
      </c>
      <c r="AB3286" t="n">
        <v>0</v>
      </c>
      <c r="AC3286" t="n">
        <v>0</v>
      </c>
      <c r="AD3286" t="n">
        <v>330852</v>
      </c>
      <c r="AE3286" t="n">
        <v>0</v>
      </c>
      <c r="AF3286" t="n">
        <v>10647</v>
      </c>
      <c r="AG3286" t="n">
        <v>633</v>
      </c>
      <c r="AH3286" t="inlineStr">
        <is>
          <t>PT. KIMIA FARMA - PPN (PDG)</t>
        </is>
      </c>
      <c r="AI3286" t="n">
        <v>462</v>
      </c>
      <c r="AJ3286" t="inlineStr">
        <is>
          <t>MARCKS</t>
        </is>
      </c>
      <c r="AK3286" t="n">
        <v>21</v>
      </c>
      <c r="AL3286" t="inlineStr">
        <is>
          <t>Miss Glam Damar</t>
        </is>
      </c>
      <c r="AM3286" t="n">
        <v>4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MARCKS</t>
        </is>
      </c>
      <c r="B3287" s="2">
        <f>"8995026801033"</f>
        <v/>
      </c>
      <c r="C3287" t="inlineStr">
        <is>
          <t>MARCKS Bedak Beauty Powder Rose 40gr</t>
        </is>
      </c>
      <c r="D3287" t="inlineStr">
        <is>
          <t>Miss Glam Damar</t>
        </is>
      </c>
      <c r="E3287" t="n">
        <v>0</v>
      </c>
      <c r="F3287" t="n">
        <v>1.3286</v>
      </c>
      <c r="G3287" t="n">
        <v>5.46</v>
      </c>
      <c r="H3287" t="n">
        <v>8</v>
      </c>
      <c r="I3287" t="n">
        <v>30</v>
      </c>
      <c r="J3287" t="n">
        <v>3</v>
      </c>
      <c r="K3287" t="n">
        <v>0</v>
      </c>
      <c r="L3287" t="n">
        <v>16650</v>
      </c>
      <c r="M3287" t="n">
        <v>21000</v>
      </c>
      <c r="N3287" t="n">
        <v>91</v>
      </c>
      <c r="O3287" t="n">
        <v>0.91</v>
      </c>
      <c r="P3287" t="n">
        <v>1</v>
      </c>
      <c r="Q3287" t="n">
        <v>1.33</v>
      </c>
      <c r="R3287" t="n">
        <v>5</v>
      </c>
      <c r="S3287" t="n">
        <v>27900.6</v>
      </c>
      <c r="T3287" t="n">
        <v>154</v>
      </c>
      <c r="U3287" t="n">
        <v>165</v>
      </c>
      <c r="V3287" t="n">
        <v>30</v>
      </c>
      <c r="W3287" t="n">
        <v>40</v>
      </c>
      <c r="X3287" t="n">
        <v>0</v>
      </c>
      <c r="Y3287" t="n">
        <v>1</v>
      </c>
      <c r="Z3287" t="n">
        <v>40</v>
      </c>
      <c r="AA3287" t="n">
        <v>40</v>
      </c>
      <c r="AB3287" t="n">
        <v>0</v>
      </c>
      <c r="AC3287" t="n">
        <v>0</v>
      </c>
      <c r="AD3287" t="n">
        <v>666000</v>
      </c>
      <c r="AE3287" t="n">
        <v>0</v>
      </c>
      <c r="AF3287" t="n">
        <v>10647</v>
      </c>
      <c r="AG3287" t="n">
        <v>633</v>
      </c>
      <c r="AH3287" t="inlineStr">
        <is>
          <t>PT. KIMIA FARMA - PPN (PDG)</t>
        </is>
      </c>
      <c r="AI3287" t="n">
        <v>462</v>
      </c>
      <c r="AJ3287" t="inlineStr">
        <is>
          <t>MARCKS</t>
        </is>
      </c>
      <c r="AK3287" t="n">
        <v>21</v>
      </c>
      <c r="AL3287" t="inlineStr">
        <is>
          <t>Miss Glam Damar</t>
        </is>
      </c>
      <c r="AM3287" t="n">
        <v>4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MARCKS</t>
        </is>
      </c>
      <c r="B3288" s="2">
        <f>"8995026806298"</f>
        <v/>
      </c>
      <c r="C3288" t="inlineStr">
        <is>
          <t>MARCKS Teens Hello Bright Compact Powder Creme 12gr</t>
        </is>
      </c>
      <c r="D3288" t="inlineStr">
        <is>
          <t>Miss Glam Damar</t>
        </is>
      </c>
      <c r="E3288" t="n">
        <v>0</v>
      </c>
      <c r="F3288" t="n">
        <v>1.3923</v>
      </c>
      <c r="G3288" t="n">
        <v>5.46</v>
      </c>
      <c r="H3288" t="n">
        <v>8</v>
      </c>
      <c r="I3288" t="n">
        <v>30</v>
      </c>
      <c r="J3288" t="n">
        <v>3</v>
      </c>
      <c r="K3288" t="n">
        <v>0</v>
      </c>
      <c r="L3288" t="n">
        <v>22200</v>
      </c>
      <c r="M3288" t="n">
        <v>27000</v>
      </c>
      <c r="N3288" t="n">
        <v>91</v>
      </c>
      <c r="O3288" t="n">
        <v>0.91</v>
      </c>
      <c r="P3288" t="n">
        <v>1</v>
      </c>
      <c r="Q3288" t="n">
        <v>1.12</v>
      </c>
      <c r="R3288" t="n">
        <v>6</v>
      </c>
      <c r="S3288" t="n">
        <v>37592.10000000001</v>
      </c>
      <c r="T3288" t="n">
        <v>153</v>
      </c>
      <c r="U3288" t="n">
        <v>165</v>
      </c>
      <c r="V3288" t="n">
        <v>30</v>
      </c>
      <c r="W3288" t="n">
        <v>42</v>
      </c>
      <c r="X3288" t="n">
        <v>0</v>
      </c>
      <c r="Y3288" t="n">
        <v>1</v>
      </c>
      <c r="Z3288" t="n">
        <v>42</v>
      </c>
      <c r="AA3288" t="n">
        <v>42</v>
      </c>
      <c r="AB3288" t="n">
        <v>0</v>
      </c>
      <c r="AC3288" t="n">
        <v>0</v>
      </c>
      <c r="AD3288" t="n">
        <v>932400</v>
      </c>
      <c r="AE3288" t="n">
        <v>0</v>
      </c>
      <c r="AF3288" t="n">
        <v>10647</v>
      </c>
      <c r="AG3288" t="n">
        <v>633</v>
      </c>
      <c r="AH3288" t="inlineStr">
        <is>
          <t>PT. KIMIA FARMA - PPN (PDG)</t>
        </is>
      </c>
      <c r="AI3288" t="n">
        <v>462</v>
      </c>
      <c r="AJ3288" t="inlineStr">
        <is>
          <t>MARCKS</t>
        </is>
      </c>
      <c r="AK3288" t="n">
        <v>21</v>
      </c>
      <c r="AL3288" t="inlineStr">
        <is>
          <t>Miss Glam Damar</t>
        </is>
      </c>
      <c r="AM3288" t="n">
        <v>4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MARCKS</t>
        </is>
      </c>
      <c r="B3289" s="2">
        <f>"8995026806311"</f>
        <v/>
      </c>
      <c r="C3289" t="inlineStr">
        <is>
          <t>MARCKS Teens Hello Bright Compact Powder Natural Beige 12g</t>
        </is>
      </c>
      <c r="D3289" t="inlineStr">
        <is>
          <t>Miss Glam Damar</t>
        </is>
      </c>
      <c r="E3289" t="n">
        <v>0</v>
      </c>
      <c r="F3289" t="n">
        <v>0.9282</v>
      </c>
      <c r="G3289" t="n">
        <v>2.73</v>
      </c>
      <c r="H3289" t="n">
        <v>8</v>
      </c>
      <c r="I3289" t="n">
        <v>30</v>
      </c>
      <c r="J3289" t="n">
        <v>3</v>
      </c>
      <c r="K3289" t="n">
        <v>0</v>
      </c>
      <c r="L3289" t="n">
        <v>22200</v>
      </c>
      <c r="M3289" t="n">
        <v>26500</v>
      </c>
      <c r="N3289" t="n">
        <v>91</v>
      </c>
      <c r="O3289" t="n">
        <v>0.91</v>
      </c>
      <c r="P3289" t="n">
        <v>1</v>
      </c>
      <c r="Q3289" t="n">
        <v>0.64</v>
      </c>
      <c r="R3289" t="n">
        <v>3</v>
      </c>
      <c r="S3289" t="n">
        <v>24597.3</v>
      </c>
      <c r="T3289" t="n">
        <v>75</v>
      </c>
      <c r="U3289" t="n">
        <v>83</v>
      </c>
      <c r="V3289" t="n">
        <v>30</v>
      </c>
      <c r="W3289" t="n">
        <v>28</v>
      </c>
      <c r="X3289" t="n">
        <v>0</v>
      </c>
      <c r="Y3289" t="n">
        <v>1</v>
      </c>
      <c r="Z3289" t="n">
        <v>28</v>
      </c>
      <c r="AA3289" t="n">
        <v>28</v>
      </c>
      <c r="AB3289" t="n">
        <v>0</v>
      </c>
      <c r="AC3289" t="n">
        <v>0</v>
      </c>
      <c r="AD3289" t="n">
        <v>621600</v>
      </c>
      <c r="AE3289" t="n">
        <v>0</v>
      </c>
      <c r="AF3289" t="n">
        <v>10647</v>
      </c>
      <c r="AG3289" t="n">
        <v>633</v>
      </c>
      <c r="AH3289" t="inlineStr">
        <is>
          <t>PT. KIMIA FARMA - PPN (PDG)</t>
        </is>
      </c>
      <c r="AI3289" t="n">
        <v>462</v>
      </c>
      <c r="AJ3289" t="inlineStr">
        <is>
          <t>MARCKS</t>
        </is>
      </c>
      <c r="AK3289" t="n">
        <v>21</v>
      </c>
      <c r="AL3289" t="inlineStr">
        <is>
          <t>Miss Glam Damar</t>
        </is>
      </c>
      <c r="AM3289" t="n">
        <v>4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MARCKS</t>
        </is>
      </c>
      <c r="B3290" s="2">
        <f>"8995026806274"</f>
        <v/>
      </c>
      <c r="C3290" t="inlineStr">
        <is>
          <t>MARCKS' Teen Hello Bright Compact Powder Pink 12g</t>
        </is>
      </c>
      <c r="D3290" t="inlineStr">
        <is>
          <t>Miss Glam Damar</t>
        </is>
      </c>
      <c r="E3290" t="n">
        <v>1</v>
      </c>
      <c r="F3290" t="n">
        <v>0.5551</v>
      </c>
      <c r="G3290" t="n">
        <v>2.73</v>
      </c>
      <c r="H3290" t="n">
        <v>8</v>
      </c>
      <c r="I3290" t="n">
        <v>30</v>
      </c>
      <c r="J3290" t="n">
        <v>3</v>
      </c>
      <c r="K3290" t="n">
        <v>0</v>
      </c>
      <c r="L3290" t="n">
        <v>22200</v>
      </c>
      <c r="M3290" t="n">
        <v>26500</v>
      </c>
      <c r="N3290" t="n">
        <v>91</v>
      </c>
      <c r="O3290" t="n">
        <v>0.91</v>
      </c>
      <c r="P3290" t="n">
        <v>1</v>
      </c>
      <c r="Q3290" t="n">
        <v>0.29</v>
      </c>
      <c r="R3290" t="n">
        <v>2</v>
      </c>
      <c r="S3290" t="n">
        <v>14710.15</v>
      </c>
      <c r="T3290" t="n">
        <v>78</v>
      </c>
      <c r="U3290" t="n">
        <v>83</v>
      </c>
      <c r="V3290" t="n">
        <v>30</v>
      </c>
      <c r="W3290" t="n">
        <v>17</v>
      </c>
      <c r="X3290" t="n">
        <v>1.801477211313277</v>
      </c>
      <c r="Y3290" t="n">
        <v>1</v>
      </c>
      <c r="Z3290" t="n">
        <v>16</v>
      </c>
      <c r="AA3290" t="n">
        <v>16</v>
      </c>
      <c r="AB3290" t="n">
        <v>0</v>
      </c>
      <c r="AC3290" t="n">
        <v>0</v>
      </c>
      <c r="AD3290" t="n">
        <v>355200</v>
      </c>
      <c r="AE3290" t="n">
        <v>0</v>
      </c>
      <c r="AF3290" t="n">
        <v>10647</v>
      </c>
      <c r="AG3290" t="n">
        <v>633</v>
      </c>
      <c r="AH3290" t="inlineStr">
        <is>
          <t>PT. KIMIA FARMA - PPN (PDG)</t>
        </is>
      </c>
      <c r="AI3290" t="n">
        <v>462</v>
      </c>
      <c r="AJ3290" t="inlineStr">
        <is>
          <t>MARCKS</t>
        </is>
      </c>
      <c r="AK3290" t="n">
        <v>21</v>
      </c>
      <c r="AL3290" t="inlineStr">
        <is>
          <t>Miss Glam Damar</t>
        </is>
      </c>
      <c r="AM3290" t="n">
        <v>4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MARINA</t>
        </is>
      </c>
      <c r="B3291" s="2">
        <f>"8999908450807"</f>
        <v/>
      </c>
      <c r="C3291" t="inlineStr">
        <is>
          <t>MARINA Body Lotion Uv White Extra Spf30 92ml</t>
        </is>
      </c>
      <c r="D3291" t="inlineStr">
        <is>
          <t>Miss Glam Damar</t>
        </is>
      </c>
      <c r="E3291" t="n">
        <v>57</v>
      </c>
      <c r="F3291" t="n">
        <v>5.5692</v>
      </c>
      <c r="G3291" t="n">
        <v>14.56</v>
      </c>
      <c r="H3291" t="n">
        <v>4</v>
      </c>
      <c r="I3291" t="n">
        <v>9</v>
      </c>
      <c r="J3291" t="n">
        <v>3</v>
      </c>
      <c r="K3291" t="n">
        <v>0</v>
      </c>
      <c r="L3291" t="n">
        <v>7850</v>
      </c>
      <c r="M3291" t="n">
        <v>10500</v>
      </c>
      <c r="N3291" t="n">
        <v>91</v>
      </c>
      <c r="O3291" t="n">
        <v>0.91</v>
      </c>
      <c r="P3291" t="n">
        <v>1</v>
      </c>
      <c r="Q3291" t="n">
        <v>4</v>
      </c>
      <c r="R3291" t="n">
        <v>11</v>
      </c>
      <c r="S3291" t="n">
        <v>58476.60000000001</v>
      </c>
      <c r="T3291" t="n">
        <v>109</v>
      </c>
      <c r="U3291" t="n">
        <v>132</v>
      </c>
      <c r="V3291" t="n">
        <v>30</v>
      </c>
      <c r="W3291" t="n">
        <v>168</v>
      </c>
      <c r="X3291" t="n">
        <v>10.23486317603965</v>
      </c>
      <c r="Y3291" t="n">
        <v>1</v>
      </c>
      <c r="Z3291" t="n">
        <v>111</v>
      </c>
      <c r="AA3291" t="n">
        <v>0</v>
      </c>
      <c r="AB3291" t="n">
        <v>111</v>
      </c>
      <c r="AC3291" t="n">
        <v>111</v>
      </c>
      <c r="AD3291" t="n">
        <v>0</v>
      </c>
      <c r="AE3291" t="n">
        <v>871350</v>
      </c>
      <c r="AF3291" t="n">
        <v>13218</v>
      </c>
      <c r="AG3291" t="n">
        <v>106</v>
      </c>
      <c r="AH3291" t="inlineStr">
        <is>
          <t>PT. TEMPO - PPN (PDG)</t>
        </is>
      </c>
      <c r="AI3291" t="n">
        <v>106</v>
      </c>
      <c r="AJ3291" t="inlineStr">
        <is>
          <t>MARINA</t>
        </is>
      </c>
      <c r="AK3291" t="n">
        <v>21</v>
      </c>
      <c r="AL3291" t="inlineStr">
        <is>
          <t>Miss Glam Damar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MARINA</t>
        </is>
      </c>
      <c r="B3292" s="2">
        <f>"8999908692603"</f>
        <v/>
      </c>
      <c r="C3292" t="inlineStr">
        <is>
          <t>MARINA E Eau De Toilette Glam Perfection 150ml</t>
        </is>
      </c>
      <c r="D3292" t="inlineStr">
        <is>
          <t>Miss Glam Damar</t>
        </is>
      </c>
      <c r="E3292" t="n">
        <v>7</v>
      </c>
      <c r="F3292" t="n">
        <v>0.1274</v>
      </c>
      <c r="G3292" t="n">
        <v>1.82</v>
      </c>
      <c r="H3292" t="n">
        <v>4</v>
      </c>
      <c r="I3292" t="n">
        <v>9</v>
      </c>
      <c r="J3292" t="n">
        <v>3</v>
      </c>
      <c r="K3292" t="n">
        <v>0</v>
      </c>
      <c r="L3292" t="n">
        <v>18000</v>
      </c>
      <c r="M3292" t="n">
        <v>25000</v>
      </c>
      <c r="N3292" t="n">
        <v>91</v>
      </c>
      <c r="O3292" t="n">
        <v>0.91</v>
      </c>
      <c r="P3292" t="n">
        <v>1</v>
      </c>
      <c r="Q3292" t="n">
        <v>0.12</v>
      </c>
      <c r="R3292" t="n">
        <v>1</v>
      </c>
      <c r="S3292" t="n">
        <v>3185</v>
      </c>
      <c r="T3292" t="n">
        <v>16</v>
      </c>
      <c r="U3292" t="n">
        <v>17</v>
      </c>
      <c r="V3292" t="n">
        <v>30</v>
      </c>
      <c r="W3292" t="n">
        <v>4</v>
      </c>
      <c r="X3292" t="n">
        <v>54.94505494505494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13218</v>
      </c>
      <c r="AG3292" t="n">
        <v>106</v>
      </c>
      <c r="AH3292" t="inlineStr">
        <is>
          <t>PT. TEMPO - PPN (PDG)</t>
        </is>
      </c>
      <c r="AI3292" t="n">
        <v>106</v>
      </c>
      <c r="AJ3292" t="inlineStr">
        <is>
          <t>MARINA</t>
        </is>
      </c>
      <c r="AK3292" t="n">
        <v>21</v>
      </c>
      <c r="AL3292" t="inlineStr">
        <is>
          <t>Miss Glam Damar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MARINA</t>
        </is>
      </c>
      <c r="B3293" s="2">
        <f>"8999908766700"</f>
        <v/>
      </c>
      <c r="C3293" t="inlineStr">
        <is>
          <t>MARINA Eau De Toilette Peach Perfect 150ml</t>
        </is>
      </c>
      <c r="D3293" t="inlineStr">
        <is>
          <t>Miss Glam Damar</t>
        </is>
      </c>
      <c r="E3293" t="n">
        <v>5</v>
      </c>
      <c r="F3293" t="n">
        <v>0.02</v>
      </c>
      <c r="G3293" t="n">
        <v>0</v>
      </c>
      <c r="H3293" t="n">
        <v>4</v>
      </c>
      <c r="I3293" t="n">
        <v>9</v>
      </c>
      <c r="J3293" t="n">
        <v>3</v>
      </c>
      <c r="K3293" t="n">
        <v>0</v>
      </c>
      <c r="L3293" t="n">
        <v>20000</v>
      </c>
      <c r="M3293" t="n">
        <v>25000</v>
      </c>
      <c r="N3293" t="n">
        <v>91</v>
      </c>
      <c r="O3293" t="n">
        <v>0.91</v>
      </c>
      <c r="P3293" t="n">
        <v>0</v>
      </c>
      <c r="Q3293" t="n">
        <v>0.02</v>
      </c>
      <c r="R3293" t="n">
        <v>0</v>
      </c>
      <c r="S3293" t="n">
        <v>500</v>
      </c>
      <c r="T3293" t="n">
        <v>0</v>
      </c>
      <c r="U3293" t="n">
        <v>1</v>
      </c>
      <c r="V3293" t="n">
        <v>30</v>
      </c>
      <c r="W3293" t="n">
        <v>1</v>
      </c>
      <c r="X3293" t="n">
        <v>250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13218</v>
      </c>
      <c r="AG3293" t="n">
        <v>106</v>
      </c>
      <c r="AH3293" t="inlineStr">
        <is>
          <t>PT. TEMPO - PPN (PDG)</t>
        </is>
      </c>
      <c r="AI3293" t="n">
        <v>106</v>
      </c>
      <c r="AJ3293" t="inlineStr">
        <is>
          <t>MARINA</t>
        </is>
      </c>
      <c r="AK3293" t="n">
        <v>21</v>
      </c>
      <c r="AL3293" t="inlineStr">
        <is>
          <t>Miss Glam Damar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MARINA</t>
        </is>
      </c>
      <c r="B3294" s="2">
        <f>"8999908766809"</f>
        <v/>
      </c>
      <c r="C3294" t="inlineStr">
        <is>
          <t>MARINA Eau De Toilette Royale Velvet 150ml</t>
        </is>
      </c>
      <c r="D3294" t="inlineStr">
        <is>
          <t>Miss Glam Damar</t>
        </is>
      </c>
      <c r="E3294" t="n">
        <v>7</v>
      </c>
      <c r="F3294" t="n">
        <v>0.1365</v>
      </c>
      <c r="G3294" t="n">
        <v>0.91</v>
      </c>
      <c r="H3294" t="n">
        <v>4</v>
      </c>
      <c r="I3294" t="n">
        <v>9</v>
      </c>
      <c r="J3294" t="n">
        <v>3</v>
      </c>
      <c r="K3294" t="n">
        <v>0</v>
      </c>
      <c r="L3294" t="n">
        <v>18000</v>
      </c>
      <c r="M3294" t="n">
        <v>25000</v>
      </c>
      <c r="N3294" t="n">
        <v>91</v>
      </c>
      <c r="O3294" t="n">
        <v>0.91</v>
      </c>
      <c r="P3294" t="n">
        <v>1</v>
      </c>
      <c r="Q3294" t="n">
        <v>0.12</v>
      </c>
      <c r="R3294" t="n">
        <v>2</v>
      </c>
      <c r="S3294" t="n">
        <v>3412.5</v>
      </c>
      <c r="T3294" t="n">
        <v>8</v>
      </c>
      <c r="U3294" t="n">
        <v>9</v>
      </c>
      <c r="V3294" t="n">
        <v>30</v>
      </c>
      <c r="W3294" t="n">
        <v>5</v>
      </c>
      <c r="X3294" t="n">
        <v>51.28205128205128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13218</v>
      </c>
      <c r="AG3294" t="n">
        <v>106</v>
      </c>
      <c r="AH3294" t="inlineStr">
        <is>
          <t>PT. TEMPO - PPN (PDG)</t>
        </is>
      </c>
      <c r="AI3294" t="n">
        <v>106</v>
      </c>
      <c r="AJ3294" t="inlineStr">
        <is>
          <t>MARINA</t>
        </is>
      </c>
      <c r="AK3294" t="n">
        <v>21</v>
      </c>
      <c r="AL3294" t="inlineStr">
        <is>
          <t>Miss Glam Damar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MARINA</t>
        </is>
      </c>
      <c r="B3295" s="2">
        <f>"8999908692504"</f>
        <v/>
      </c>
      <c r="C3295" t="inlineStr">
        <is>
          <t>MARINA Eau De Toilette Sweet Romance 150ml</t>
        </is>
      </c>
      <c r="D3295" t="inlineStr">
        <is>
          <t>Miss Glam Damar</t>
        </is>
      </c>
      <c r="E3295" t="n">
        <v>11</v>
      </c>
      <c r="F3295" t="n">
        <v>0.2639</v>
      </c>
      <c r="G3295" t="n">
        <v>1.82</v>
      </c>
      <c r="H3295" t="n">
        <v>4</v>
      </c>
      <c r="I3295" t="n">
        <v>9</v>
      </c>
      <c r="J3295" t="n">
        <v>3</v>
      </c>
      <c r="K3295" t="n">
        <v>0</v>
      </c>
      <c r="L3295" t="n">
        <v>20000</v>
      </c>
      <c r="M3295" t="n">
        <v>25000</v>
      </c>
      <c r="N3295" t="n">
        <v>91</v>
      </c>
      <c r="O3295" t="n">
        <v>0.91</v>
      </c>
      <c r="P3295" t="n">
        <v>1</v>
      </c>
      <c r="Q3295" t="n">
        <v>0.25</v>
      </c>
      <c r="R3295" t="n">
        <v>4</v>
      </c>
      <c r="S3295" t="n">
        <v>6597.499999999999</v>
      </c>
      <c r="T3295" t="n">
        <v>16</v>
      </c>
      <c r="U3295" t="n">
        <v>18</v>
      </c>
      <c r="V3295" t="n">
        <v>30</v>
      </c>
      <c r="W3295" t="n">
        <v>8</v>
      </c>
      <c r="X3295" t="n">
        <v>41.68245547555893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13218</v>
      </c>
      <c r="AG3295" t="n">
        <v>106</v>
      </c>
      <c r="AH3295" t="inlineStr">
        <is>
          <t>PT. TEMPO - PPN (PDG)</t>
        </is>
      </c>
      <c r="AI3295" t="n">
        <v>106</v>
      </c>
      <c r="AJ3295" t="inlineStr">
        <is>
          <t>MARINA</t>
        </is>
      </c>
      <c r="AK3295" t="n">
        <v>21</v>
      </c>
      <c r="AL3295" t="inlineStr">
        <is>
          <t>Miss Glam Damar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MARINA</t>
        </is>
      </c>
      <c r="B3296" s="2">
        <f>"8999908914200"</f>
        <v/>
      </c>
      <c r="C3296" t="inlineStr">
        <is>
          <t>MARINA Expert White &amp; Glow Hydra Lock 100ml</t>
        </is>
      </c>
      <c r="D3296" t="inlineStr">
        <is>
          <t>Miss Glam Damar</t>
        </is>
      </c>
      <c r="E3296" t="n">
        <v>7</v>
      </c>
      <c r="F3296" t="n">
        <v>0.0728</v>
      </c>
      <c r="G3296" t="n">
        <v>0.91</v>
      </c>
      <c r="H3296" t="n">
        <v>4</v>
      </c>
      <c r="I3296" t="n">
        <v>9</v>
      </c>
      <c r="J3296" t="n">
        <v>3</v>
      </c>
      <c r="K3296" t="n">
        <v>0</v>
      </c>
      <c r="L3296" t="n">
        <v>12613</v>
      </c>
      <c r="M3296" t="n">
        <v>16000</v>
      </c>
      <c r="N3296" t="n">
        <v>91</v>
      </c>
      <c r="O3296" t="n">
        <v>0.91</v>
      </c>
      <c r="P3296" t="n">
        <v>1</v>
      </c>
      <c r="Q3296" t="n">
        <v>0.02</v>
      </c>
      <c r="R3296" t="n">
        <v>1</v>
      </c>
      <c r="S3296" t="n">
        <v>1164.8</v>
      </c>
      <c r="T3296" t="n">
        <v>8</v>
      </c>
      <c r="U3296" t="n">
        <v>9</v>
      </c>
      <c r="V3296" t="n">
        <v>30</v>
      </c>
      <c r="W3296" t="n">
        <v>3</v>
      </c>
      <c r="X3296" t="n">
        <v>96.15384615384615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13218</v>
      </c>
      <c r="AG3296" t="n">
        <v>106</v>
      </c>
      <c r="AH3296" t="inlineStr">
        <is>
          <t>PT. TEMPO - PPN (PDG)</t>
        </is>
      </c>
      <c r="AI3296" t="n">
        <v>106</v>
      </c>
      <c r="AJ3296" t="inlineStr">
        <is>
          <t>MARINA</t>
        </is>
      </c>
      <c r="AK3296" t="n">
        <v>21</v>
      </c>
      <c r="AL3296" t="inlineStr">
        <is>
          <t>Miss Glam Damar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MARINA</t>
        </is>
      </c>
      <c r="B3297" s="2">
        <f>"8999908961006"</f>
        <v/>
      </c>
      <c r="C3297" t="inlineStr">
        <is>
          <t>MARINA Extra 25% Nourished and Healthy Hand &amp; Body Lotion 150ml+38ml</t>
        </is>
      </c>
      <c r="D3297" t="inlineStr">
        <is>
          <t>Miss Glam Damar</t>
        </is>
      </c>
      <c r="E3297" t="n">
        <v>20</v>
      </c>
      <c r="F3297" t="n">
        <v>0.2275</v>
      </c>
      <c r="G3297" t="n">
        <v>3.64</v>
      </c>
      <c r="H3297" t="n">
        <v>4</v>
      </c>
      <c r="I3297" t="n">
        <v>9</v>
      </c>
      <c r="J3297" t="n">
        <v>3</v>
      </c>
      <c r="K3297" t="n">
        <v>0</v>
      </c>
      <c r="L3297" t="n">
        <v>5470</v>
      </c>
      <c r="M3297" t="n">
        <v>7000</v>
      </c>
      <c r="N3297" t="n">
        <v>91</v>
      </c>
      <c r="O3297" t="n">
        <v>0.91</v>
      </c>
      <c r="P3297" t="n">
        <v>1</v>
      </c>
      <c r="Q3297" t="n">
        <v>0.39</v>
      </c>
      <c r="R3297" t="n">
        <v>4</v>
      </c>
      <c r="S3297" t="n">
        <v>1592.5</v>
      </c>
      <c r="T3297" t="n">
        <v>32</v>
      </c>
      <c r="U3297" t="n">
        <v>33</v>
      </c>
      <c r="V3297" t="n">
        <v>30</v>
      </c>
      <c r="W3297" t="n">
        <v>7</v>
      </c>
      <c r="X3297" t="n">
        <v>87.91208791208791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13218</v>
      </c>
      <c r="AG3297" t="n">
        <v>106</v>
      </c>
      <c r="AH3297" t="inlineStr">
        <is>
          <t>PT. TEMPO - PPN (PDG)</t>
        </is>
      </c>
      <c r="AI3297" t="n">
        <v>106</v>
      </c>
      <c r="AJ3297" t="inlineStr">
        <is>
          <t>MARINA</t>
        </is>
      </c>
      <c r="AK3297" t="n">
        <v>21</v>
      </c>
      <c r="AL3297" t="inlineStr">
        <is>
          <t>Miss Glam Damar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MARINA</t>
        </is>
      </c>
      <c r="B3298" s="2">
        <f>"8999908956705"</f>
        <v/>
      </c>
      <c r="C3298" t="inlineStr">
        <is>
          <t>MARINA Extra 25% Protects and Cares Hand &amp; Body Lotion 150ml+38ml</t>
        </is>
      </c>
      <c r="D3298" t="inlineStr">
        <is>
          <t>Miss Glam Damar</t>
        </is>
      </c>
      <c r="E3298" t="n">
        <v>11</v>
      </c>
      <c r="F3298" t="n">
        <v>1.2831</v>
      </c>
      <c r="G3298" t="n">
        <v>9.1</v>
      </c>
      <c r="H3298" t="n">
        <v>4</v>
      </c>
      <c r="I3298" t="n">
        <v>9</v>
      </c>
      <c r="J3298" t="n">
        <v>3</v>
      </c>
      <c r="K3298" t="n">
        <v>0</v>
      </c>
      <c r="L3298" t="n">
        <v>5640</v>
      </c>
      <c r="M3298" t="n">
        <v>7500</v>
      </c>
      <c r="N3298" t="n">
        <v>91</v>
      </c>
      <c r="O3298" t="n">
        <v>0.91</v>
      </c>
      <c r="P3298" t="n">
        <v>1</v>
      </c>
      <c r="Q3298" t="n">
        <v>0.66</v>
      </c>
      <c r="R3298" t="n">
        <v>4</v>
      </c>
      <c r="S3298" t="n">
        <v>9623.25</v>
      </c>
      <c r="T3298" t="n">
        <v>77</v>
      </c>
      <c r="U3298" t="n">
        <v>83</v>
      </c>
      <c r="V3298" t="n">
        <v>30</v>
      </c>
      <c r="W3298" t="n">
        <v>39</v>
      </c>
      <c r="X3298" t="n">
        <v>8.572987296391553</v>
      </c>
      <c r="Y3298" t="n">
        <v>1</v>
      </c>
      <c r="Z3298" t="n">
        <v>28</v>
      </c>
      <c r="AA3298" t="n">
        <v>1</v>
      </c>
      <c r="AB3298" t="n">
        <v>27</v>
      </c>
      <c r="AC3298" t="n">
        <v>27</v>
      </c>
      <c r="AD3298" t="n">
        <v>5640</v>
      </c>
      <c r="AE3298" t="n">
        <v>152280</v>
      </c>
      <c r="AF3298" t="n">
        <v>13218</v>
      </c>
      <c r="AG3298" t="n">
        <v>106</v>
      </c>
      <c r="AH3298" t="inlineStr">
        <is>
          <t>PT. TEMPO - PPN (PDG)</t>
        </is>
      </c>
      <c r="AI3298" t="n">
        <v>106</v>
      </c>
      <c r="AJ3298" t="inlineStr">
        <is>
          <t>MARINA</t>
        </is>
      </c>
      <c r="AK3298" t="n">
        <v>21</v>
      </c>
      <c r="AL3298" t="inlineStr">
        <is>
          <t>Miss Glam Damar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MARINA</t>
        </is>
      </c>
      <c r="B3299" s="2">
        <f>"8999908961204"</f>
        <v/>
      </c>
      <c r="C3299" t="inlineStr">
        <is>
          <t>MARINA Extra 25% Smooth and Glow Hand &amp; Body Lotion 150ml+38ml</t>
        </is>
      </c>
      <c r="D3299" t="inlineStr">
        <is>
          <t>Miss Glam Damar</t>
        </is>
      </c>
      <c r="E3299" t="n">
        <v>5</v>
      </c>
      <c r="F3299" t="n">
        <v>0.5096000000000001</v>
      </c>
      <c r="G3299" t="n">
        <v>3.64</v>
      </c>
      <c r="H3299" t="n">
        <v>4</v>
      </c>
      <c r="I3299" t="n">
        <v>9</v>
      </c>
      <c r="J3299" t="n">
        <v>3</v>
      </c>
      <c r="K3299" t="n">
        <v>0</v>
      </c>
      <c r="L3299" t="n">
        <v>5470</v>
      </c>
      <c r="M3299" t="n">
        <v>7000</v>
      </c>
      <c r="N3299" t="n">
        <v>91</v>
      </c>
      <c r="O3299" t="n">
        <v>0.91</v>
      </c>
      <c r="P3299" t="n">
        <v>1</v>
      </c>
      <c r="Q3299" t="n">
        <v>0.46</v>
      </c>
      <c r="R3299" t="n">
        <v>2</v>
      </c>
      <c r="S3299" t="n">
        <v>3567.2</v>
      </c>
      <c r="T3299" t="n">
        <v>31</v>
      </c>
      <c r="U3299" t="n">
        <v>34</v>
      </c>
      <c r="V3299" t="n">
        <v>30</v>
      </c>
      <c r="W3299" t="n">
        <v>16</v>
      </c>
      <c r="X3299" t="n">
        <v>9.811616954474097</v>
      </c>
      <c r="Y3299" t="n">
        <v>1</v>
      </c>
      <c r="Z3299" t="n">
        <v>11</v>
      </c>
      <c r="AA3299" t="n">
        <v>0</v>
      </c>
      <c r="AB3299" t="n">
        <v>11</v>
      </c>
      <c r="AC3299" t="n">
        <v>11</v>
      </c>
      <c r="AD3299" t="n">
        <v>0</v>
      </c>
      <c r="AE3299" t="n">
        <v>60170</v>
      </c>
      <c r="AF3299" t="n">
        <v>13218</v>
      </c>
      <c r="AG3299" t="n">
        <v>106</v>
      </c>
      <c r="AH3299" t="inlineStr">
        <is>
          <t>PT. TEMPO - PPN (PDG)</t>
        </is>
      </c>
      <c r="AI3299" t="n">
        <v>106</v>
      </c>
      <c r="AJ3299" t="inlineStr">
        <is>
          <t>MARINA</t>
        </is>
      </c>
      <c r="AK3299" t="n">
        <v>21</v>
      </c>
      <c r="AL3299" t="inlineStr">
        <is>
          <t>Miss Glam Damar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MARINA</t>
        </is>
      </c>
      <c r="B3300" s="2">
        <f>"8999908886804"</f>
        <v/>
      </c>
      <c r="C3300" t="inlineStr">
        <is>
          <t>MARINA Face Wash Expert White &amp; Glow Hydra Lock 100ml</t>
        </is>
      </c>
      <c r="D3300" t="inlineStr">
        <is>
          <t>Miss Glam Damar</t>
        </is>
      </c>
      <c r="E3300" t="n">
        <v>11</v>
      </c>
      <c r="F3300" t="n">
        <v>0.09100000000000001</v>
      </c>
      <c r="G3300" t="n">
        <v>0.91</v>
      </c>
      <c r="H3300" t="n">
        <v>4</v>
      </c>
      <c r="I3300" t="n">
        <v>9</v>
      </c>
      <c r="J3300" t="n">
        <v>3</v>
      </c>
      <c r="K3300" t="n">
        <v>0</v>
      </c>
      <c r="L3300" t="n">
        <v>18900</v>
      </c>
      <c r="M3300" t="n">
        <v>22500</v>
      </c>
      <c r="N3300" t="n">
        <v>91</v>
      </c>
      <c r="O3300" t="n">
        <v>0.91</v>
      </c>
      <c r="P3300" t="n">
        <v>1</v>
      </c>
      <c r="Q3300" t="n">
        <v>0.05</v>
      </c>
      <c r="R3300" t="n">
        <v>2</v>
      </c>
      <c r="S3300" t="n">
        <v>2047.5</v>
      </c>
      <c r="T3300" t="n">
        <v>8</v>
      </c>
      <c r="U3300" t="n">
        <v>9</v>
      </c>
      <c r="V3300" t="n">
        <v>30</v>
      </c>
      <c r="W3300" t="n">
        <v>3</v>
      </c>
      <c r="X3300" t="n">
        <v>120.8791208791209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13218</v>
      </c>
      <c r="AG3300" t="n">
        <v>106</v>
      </c>
      <c r="AH3300" t="inlineStr">
        <is>
          <t>PT. TEMPO - PPN (PDG)</t>
        </is>
      </c>
      <c r="AI3300" t="n">
        <v>106</v>
      </c>
      <c r="AJ3300" t="inlineStr">
        <is>
          <t>MARINA</t>
        </is>
      </c>
      <c r="AK3300" t="n">
        <v>21</v>
      </c>
      <c r="AL3300" t="inlineStr">
        <is>
          <t>Miss Glam Damar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MARINA</t>
        </is>
      </c>
      <c r="B3301" s="2">
        <f>"8999908840400"</f>
        <v/>
      </c>
      <c r="C3301" t="inlineStr">
        <is>
          <t>MARINA Glam Perfection Brightening Body Wash 430ml</t>
        </is>
      </c>
      <c r="D3301" t="inlineStr">
        <is>
          <t>Miss Glam Damar</t>
        </is>
      </c>
      <c r="E3301" t="n">
        <v>4</v>
      </c>
      <c r="F3301" t="n">
        <v>0.2639</v>
      </c>
      <c r="G3301" t="n">
        <v>2.73</v>
      </c>
      <c r="H3301" t="n">
        <v>4</v>
      </c>
      <c r="I3301" t="n">
        <v>9</v>
      </c>
      <c r="J3301" t="n">
        <v>3</v>
      </c>
      <c r="K3301" t="n">
        <v>0</v>
      </c>
      <c r="L3301" t="n">
        <v>17245</v>
      </c>
      <c r="M3301" t="n">
        <v>21000</v>
      </c>
      <c r="N3301" t="n">
        <v>91</v>
      </c>
      <c r="O3301" t="n">
        <v>0.91</v>
      </c>
      <c r="P3301" t="n">
        <v>1</v>
      </c>
      <c r="Q3301" t="n">
        <v>0.42</v>
      </c>
      <c r="R3301" t="n">
        <v>2</v>
      </c>
      <c r="S3301" t="n">
        <v>5541.9</v>
      </c>
      <c r="T3301" t="n">
        <v>24</v>
      </c>
      <c r="U3301" t="n">
        <v>26</v>
      </c>
      <c r="V3301" t="n">
        <v>30</v>
      </c>
      <c r="W3301" t="n">
        <v>8</v>
      </c>
      <c r="X3301" t="n">
        <v>15.15725653656688</v>
      </c>
      <c r="Y3301" t="n">
        <v>1</v>
      </c>
      <c r="Z3301" t="n">
        <v>4</v>
      </c>
      <c r="AA3301" t="n">
        <v>0</v>
      </c>
      <c r="AB3301" t="n">
        <v>4</v>
      </c>
      <c r="AC3301" t="n">
        <v>4</v>
      </c>
      <c r="AD3301" t="n">
        <v>0</v>
      </c>
      <c r="AE3301" t="n">
        <v>68980</v>
      </c>
      <c r="AF3301" t="n">
        <v>13218</v>
      </c>
      <c r="AG3301" t="n">
        <v>106</v>
      </c>
      <c r="AH3301" t="inlineStr">
        <is>
          <t>PT. TEMPO - PPN (PDG)</t>
        </is>
      </c>
      <c r="AI3301" t="n">
        <v>106</v>
      </c>
      <c r="AJ3301" t="inlineStr">
        <is>
          <t>MARINA</t>
        </is>
      </c>
      <c r="AK3301" t="n">
        <v>21</v>
      </c>
      <c r="AL3301" t="inlineStr">
        <is>
          <t>Miss Glam Damar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MARINA</t>
        </is>
      </c>
      <c r="B3302" s="2">
        <f>"30200184333"</f>
        <v/>
      </c>
      <c r="C3302" t="inlineStr">
        <is>
          <t>MARINA Hand Body Lotion Dewy Bright Pump 350ml</t>
        </is>
      </c>
      <c r="D3302" t="inlineStr">
        <is>
          <t>Miss Glam Damar</t>
        </is>
      </c>
      <c r="E3302" t="n">
        <v>29</v>
      </c>
      <c r="F3302" t="n">
        <v>0.51</v>
      </c>
      <c r="G3302" t="n">
        <v>6</v>
      </c>
      <c r="H3302" t="n">
        <v>4</v>
      </c>
      <c r="I3302" t="n">
        <v>9</v>
      </c>
      <c r="J3302" t="n">
        <v>3</v>
      </c>
      <c r="K3302" t="n">
        <v>0</v>
      </c>
      <c r="L3302" t="n">
        <v>12250</v>
      </c>
      <c r="M3302" t="n">
        <v>14500</v>
      </c>
      <c r="N3302" t="n">
        <v>91</v>
      </c>
      <c r="O3302" t="n">
        <v>0.91</v>
      </c>
      <c r="P3302" t="n">
        <v>0</v>
      </c>
      <c r="Q3302" t="n">
        <v>0.51</v>
      </c>
      <c r="R3302" t="n">
        <v>6</v>
      </c>
      <c r="S3302" t="n">
        <v>7395</v>
      </c>
      <c r="T3302" t="n">
        <v>52</v>
      </c>
      <c r="U3302" t="n">
        <v>55</v>
      </c>
      <c r="V3302" t="n">
        <v>30</v>
      </c>
      <c r="W3302" t="n">
        <v>16</v>
      </c>
      <c r="X3302" t="n">
        <v>56.86274509803921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13218</v>
      </c>
      <c r="AG3302" t="n">
        <v>106</v>
      </c>
      <c r="AH3302" t="inlineStr">
        <is>
          <t>PT. TEMPO - PPN (PDG)</t>
        </is>
      </c>
      <c r="AI3302" t="n">
        <v>106</v>
      </c>
      <c r="AJ3302" t="inlineStr">
        <is>
          <t>MARINA</t>
        </is>
      </c>
      <c r="AK3302" t="n">
        <v>21</v>
      </c>
      <c r="AL3302" t="inlineStr">
        <is>
          <t>Miss Glam Damar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MARINA</t>
        </is>
      </c>
      <c r="B3303" s="2">
        <f>"30200192617"</f>
        <v/>
      </c>
      <c r="C3303" t="inlineStr">
        <is>
          <t>MARINA Hand Body Lotion Natural Nourish &amp; Healthy Ext 75ml</t>
        </is>
      </c>
      <c r="D3303" t="inlineStr">
        <is>
          <t>Miss Glam Damar</t>
        </is>
      </c>
      <c r="E3303" t="n">
        <v>12</v>
      </c>
      <c r="F3303" t="n">
        <v>0.7826</v>
      </c>
      <c r="G3303" t="n">
        <v>3.64</v>
      </c>
      <c r="H3303" t="n">
        <v>4</v>
      </c>
      <c r="I3303" t="n">
        <v>9</v>
      </c>
      <c r="J3303" t="n">
        <v>1</v>
      </c>
      <c r="K3303" t="n">
        <v>0</v>
      </c>
      <c r="L3303" t="n">
        <v>3270</v>
      </c>
      <c r="M3303" t="n">
        <v>4000</v>
      </c>
      <c r="N3303" t="n">
        <v>91</v>
      </c>
      <c r="O3303" t="n">
        <v>0.91</v>
      </c>
      <c r="P3303" t="n">
        <v>1</v>
      </c>
      <c r="Q3303" t="n">
        <v>0.29</v>
      </c>
      <c r="R3303" t="n">
        <v>2</v>
      </c>
      <c r="S3303" t="n">
        <v>3130.4</v>
      </c>
      <c r="T3303" t="n">
        <v>30</v>
      </c>
      <c r="U3303" t="n">
        <v>34</v>
      </c>
      <c r="V3303" t="n">
        <v>30</v>
      </c>
      <c r="W3303" t="n">
        <v>24</v>
      </c>
      <c r="X3303" t="n">
        <v>15.33350370559673</v>
      </c>
      <c r="Y3303" t="n">
        <v>1</v>
      </c>
      <c r="Z3303" t="n">
        <v>12</v>
      </c>
      <c r="AA3303" t="n">
        <v>0</v>
      </c>
      <c r="AB3303" t="n">
        <v>12</v>
      </c>
      <c r="AC3303" t="n">
        <v>12</v>
      </c>
      <c r="AD3303" t="n">
        <v>0</v>
      </c>
      <c r="AE3303" t="n">
        <v>39240</v>
      </c>
      <c r="AF3303" t="n">
        <v>13218</v>
      </c>
      <c r="AG3303" t="n">
        <v>106</v>
      </c>
      <c r="AH3303" t="inlineStr">
        <is>
          <t>PT. TEMPO - PPN (PDG)</t>
        </is>
      </c>
      <c r="AI3303" t="n">
        <v>106</v>
      </c>
      <c r="AJ3303" t="inlineStr">
        <is>
          <t>MARINA</t>
        </is>
      </c>
      <c r="AK3303" t="n">
        <v>21</v>
      </c>
      <c r="AL3303" t="inlineStr">
        <is>
          <t>Miss Glam Damar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MARINA</t>
        </is>
      </c>
      <c r="B3304" s="2">
        <f>"8999908060709"</f>
        <v/>
      </c>
      <c r="C3304" t="inlineStr">
        <is>
          <t>MARINA Hand Body Lotion Natural Nourished &amp; Healthy 95ml</t>
        </is>
      </c>
      <c r="D3304" t="inlineStr">
        <is>
          <t>Miss Glam Damar</t>
        </is>
      </c>
      <c r="E3304" t="n">
        <v>9</v>
      </c>
      <c r="F3304" t="n">
        <v>0.4641</v>
      </c>
      <c r="G3304" t="n">
        <v>3.64</v>
      </c>
      <c r="H3304" t="n">
        <v>4</v>
      </c>
      <c r="I3304" t="n">
        <v>9</v>
      </c>
      <c r="J3304" t="n">
        <v>3</v>
      </c>
      <c r="K3304" t="n">
        <v>0</v>
      </c>
      <c r="L3304" t="n">
        <v>3914</v>
      </c>
      <c r="M3304" t="n">
        <v>5000</v>
      </c>
      <c r="N3304" t="n">
        <v>91</v>
      </c>
      <c r="O3304" t="n">
        <v>0.91</v>
      </c>
      <c r="P3304" t="n">
        <v>1</v>
      </c>
      <c r="Q3304" t="n">
        <v>0.15</v>
      </c>
      <c r="R3304" t="n">
        <v>2</v>
      </c>
      <c r="S3304" t="n">
        <v>2320.5</v>
      </c>
      <c r="T3304" t="n">
        <v>31</v>
      </c>
      <c r="U3304" t="n">
        <v>33</v>
      </c>
      <c r="V3304" t="n">
        <v>30</v>
      </c>
      <c r="W3304" t="n">
        <v>14</v>
      </c>
      <c r="X3304" t="n">
        <v>19.3923723335488</v>
      </c>
      <c r="Y3304" t="n">
        <v>1</v>
      </c>
      <c r="Z3304" t="n">
        <v>5</v>
      </c>
      <c r="AA3304" t="n">
        <v>0</v>
      </c>
      <c r="AB3304" t="n">
        <v>5</v>
      </c>
      <c r="AC3304" t="n">
        <v>5</v>
      </c>
      <c r="AD3304" t="n">
        <v>0</v>
      </c>
      <c r="AE3304" t="n">
        <v>19570</v>
      </c>
      <c r="AF3304" t="n">
        <v>13218</v>
      </c>
      <c r="AG3304" t="n">
        <v>106</v>
      </c>
      <c r="AH3304" t="inlineStr">
        <is>
          <t>PT. TEMPO - PPN (PDG)</t>
        </is>
      </c>
      <c r="AI3304" t="n">
        <v>106</v>
      </c>
      <c r="AJ3304" t="inlineStr">
        <is>
          <t>MARINA</t>
        </is>
      </c>
      <c r="AK3304" t="n">
        <v>21</v>
      </c>
      <c r="AL3304" t="inlineStr">
        <is>
          <t>Miss Glam Damar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MARINA</t>
        </is>
      </c>
      <c r="B3305" s="2">
        <f>"8999908611109"</f>
        <v/>
      </c>
      <c r="C3305" t="inlineStr">
        <is>
          <t>MARINA Hand body Lotion Natural Nutri Fresh 350ml</t>
        </is>
      </c>
      <c r="D3305" t="inlineStr">
        <is>
          <t>Miss Glam Damar</t>
        </is>
      </c>
      <c r="E3305" t="n">
        <v>27</v>
      </c>
      <c r="F3305" t="n">
        <v>1.4833</v>
      </c>
      <c r="G3305" t="n">
        <v>5.46</v>
      </c>
      <c r="H3305" t="n">
        <v>4</v>
      </c>
      <c r="I3305" t="n">
        <v>9</v>
      </c>
      <c r="J3305" t="n">
        <v>3</v>
      </c>
      <c r="K3305" t="n">
        <v>0</v>
      </c>
      <c r="L3305" t="n">
        <v>9809</v>
      </c>
      <c r="M3305" t="n">
        <v>11700</v>
      </c>
      <c r="N3305" t="n">
        <v>91</v>
      </c>
      <c r="O3305" t="n">
        <v>0.91</v>
      </c>
      <c r="P3305" t="n">
        <v>1</v>
      </c>
      <c r="Q3305" t="n">
        <v>0.42</v>
      </c>
      <c r="R3305" t="n">
        <v>2</v>
      </c>
      <c r="S3305" t="n">
        <v>17354.61</v>
      </c>
      <c r="T3305" t="n">
        <v>44</v>
      </c>
      <c r="U3305" t="n">
        <v>50</v>
      </c>
      <c r="V3305" t="n">
        <v>30</v>
      </c>
      <c r="W3305" t="n">
        <v>45</v>
      </c>
      <c r="X3305" t="n">
        <v>18.20265623946606</v>
      </c>
      <c r="Y3305" t="n">
        <v>1</v>
      </c>
      <c r="Z3305" t="n">
        <v>18</v>
      </c>
      <c r="AA3305" t="n">
        <v>0</v>
      </c>
      <c r="AB3305" t="n">
        <v>18</v>
      </c>
      <c r="AC3305" t="n">
        <v>18</v>
      </c>
      <c r="AD3305" t="n">
        <v>0</v>
      </c>
      <c r="AE3305" t="n">
        <v>176562</v>
      </c>
      <c r="AF3305" t="n">
        <v>13218</v>
      </c>
      <c r="AG3305" t="n">
        <v>106</v>
      </c>
      <c r="AH3305" t="inlineStr">
        <is>
          <t>PT. TEMPO - PPN (PDG)</t>
        </is>
      </c>
      <c r="AI3305" t="n">
        <v>106</v>
      </c>
      <c r="AJ3305" t="inlineStr">
        <is>
          <t>MARINA</t>
        </is>
      </c>
      <c r="AK3305" t="n">
        <v>21</v>
      </c>
      <c r="AL3305" t="inlineStr">
        <is>
          <t>Miss Glam Damar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MARINA</t>
        </is>
      </c>
      <c r="B3306" s="2">
        <f>"8999908611208"</f>
        <v/>
      </c>
      <c r="C3306" t="inlineStr">
        <is>
          <t>MARINA Hand Body Lotion Natural Nutri Fresh 500ml</t>
        </is>
      </c>
      <c r="D3306" t="inlineStr">
        <is>
          <t>Miss Glam Damar</t>
        </is>
      </c>
      <c r="E3306" t="n">
        <v>44</v>
      </c>
      <c r="F3306" t="n">
        <v>3.3488</v>
      </c>
      <c r="G3306" t="n">
        <v>10.01</v>
      </c>
      <c r="H3306" t="n">
        <v>4</v>
      </c>
      <c r="I3306" t="n">
        <v>9</v>
      </c>
      <c r="J3306" t="n">
        <v>3</v>
      </c>
      <c r="K3306" t="n">
        <v>0</v>
      </c>
      <c r="L3306" t="n">
        <v>13702</v>
      </c>
      <c r="M3306" t="n">
        <v>16500</v>
      </c>
      <c r="N3306" t="n">
        <v>91</v>
      </c>
      <c r="O3306" t="n">
        <v>0.91</v>
      </c>
      <c r="P3306" t="n">
        <v>1</v>
      </c>
      <c r="Q3306" t="n">
        <v>2.8</v>
      </c>
      <c r="R3306" t="n">
        <v>9</v>
      </c>
      <c r="S3306" t="n">
        <v>55255.2</v>
      </c>
      <c r="T3306" t="n">
        <v>77</v>
      </c>
      <c r="U3306" t="n">
        <v>91</v>
      </c>
      <c r="V3306" t="n">
        <v>30</v>
      </c>
      <c r="W3306" t="n">
        <v>101</v>
      </c>
      <c r="X3306" t="n">
        <v>13.13903487816531</v>
      </c>
      <c r="Y3306" t="n">
        <v>1</v>
      </c>
      <c r="Z3306" t="n">
        <v>57</v>
      </c>
      <c r="AA3306" t="n">
        <v>0</v>
      </c>
      <c r="AB3306" t="n">
        <v>57</v>
      </c>
      <c r="AC3306" t="n">
        <v>57</v>
      </c>
      <c r="AD3306" t="n">
        <v>0</v>
      </c>
      <c r="AE3306" t="n">
        <v>781014</v>
      </c>
      <c r="AF3306" t="n">
        <v>13218</v>
      </c>
      <c r="AG3306" t="n">
        <v>106</v>
      </c>
      <c r="AH3306" t="inlineStr">
        <is>
          <t>PT. TEMPO - PPN (PDG)</t>
        </is>
      </c>
      <c r="AI3306" t="n">
        <v>106</v>
      </c>
      <c r="AJ3306" t="inlineStr">
        <is>
          <t>MARINA</t>
        </is>
      </c>
      <c r="AK3306" t="n">
        <v>21</v>
      </c>
      <c r="AL3306" t="inlineStr">
        <is>
          <t>Miss Glam Damar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MARINA</t>
        </is>
      </c>
      <c r="B3307" s="2">
        <f>"8999908045607"</f>
        <v/>
      </c>
      <c r="C3307" t="inlineStr">
        <is>
          <t>MARINA Hand body Lotion Natural Nutri Fresh 95Ml</t>
        </is>
      </c>
      <c r="D3307" t="inlineStr">
        <is>
          <t>Miss Glam Damar</t>
        </is>
      </c>
      <c r="E3307" t="n">
        <v>25</v>
      </c>
      <c r="F3307" t="n">
        <v>1.7472</v>
      </c>
      <c r="G3307" t="n">
        <v>6.37</v>
      </c>
      <c r="H3307" t="n">
        <v>4</v>
      </c>
      <c r="I3307" t="n">
        <v>9</v>
      </c>
      <c r="J3307" t="n">
        <v>3</v>
      </c>
      <c r="K3307" t="n">
        <v>0</v>
      </c>
      <c r="L3307" t="n">
        <v>3913</v>
      </c>
      <c r="M3307" t="n">
        <v>5000</v>
      </c>
      <c r="N3307" t="n">
        <v>91</v>
      </c>
      <c r="O3307" t="n">
        <v>0.91</v>
      </c>
      <c r="P3307" t="n">
        <v>1</v>
      </c>
      <c r="Q3307" t="n">
        <v>1.05</v>
      </c>
      <c r="R3307" t="n">
        <v>4</v>
      </c>
      <c r="S3307" t="n">
        <v>8736</v>
      </c>
      <c r="T3307" t="n">
        <v>51</v>
      </c>
      <c r="U3307" t="n">
        <v>58</v>
      </c>
      <c r="V3307" t="n">
        <v>30</v>
      </c>
      <c r="W3307" t="n">
        <v>53</v>
      </c>
      <c r="X3307" t="n">
        <v>14.30860805860806</v>
      </c>
      <c r="Y3307" t="n">
        <v>1</v>
      </c>
      <c r="Z3307" t="n">
        <v>28</v>
      </c>
      <c r="AA3307" t="n">
        <v>0</v>
      </c>
      <c r="AB3307" t="n">
        <v>28</v>
      </c>
      <c r="AC3307" t="n">
        <v>28</v>
      </c>
      <c r="AD3307" t="n">
        <v>0</v>
      </c>
      <c r="AE3307" t="n">
        <v>109564</v>
      </c>
      <c r="AF3307" t="n">
        <v>13218</v>
      </c>
      <c r="AG3307" t="n">
        <v>106</v>
      </c>
      <c r="AH3307" t="inlineStr">
        <is>
          <t>PT. TEMPO - PPN (PDG)</t>
        </is>
      </c>
      <c r="AI3307" t="n">
        <v>106</v>
      </c>
      <c r="AJ3307" t="inlineStr">
        <is>
          <t>MARINA</t>
        </is>
      </c>
      <c r="AK3307" t="n">
        <v>21</v>
      </c>
      <c r="AL3307" t="inlineStr">
        <is>
          <t>Miss Glam Damar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MARINA</t>
        </is>
      </c>
      <c r="B3308" s="2">
        <f>"30200192314"</f>
        <v/>
      </c>
      <c r="C3308" t="inlineStr">
        <is>
          <t>MARINA Hand Body Lotion Natural Protect &amp; Care Ext 75ml</t>
        </is>
      </c>
      <c r="D3308" t="inlineStr">
        <is>
          <t>Miss Glam Damar</t>
        </is>
      </c>
      <c r="E3308" t="n">
        <v>14</v>
      </c>
      <c r="F3308" t="n">
        <v>0.1365</v>
      </c>
      <c r="G3308" t="n">
        <v>2.73</v>
      </c>
      <c r="H3308" t="n">
        <v>4</v>
      </c>
      <c r="I3308" t="n">
        <v>9</v>
      </c>
      <c r="J3308" t="n">
        <v>1</v>
      </c>
      <c r="K3308" t="n">
        <v>0</v>
      </c>
      <c r="L3308" t="n">
        <v>3270</v>
      </c>
      <c r="M3308" t="n">
        <v>4000</v>
      </c>
      <c r="N3308" t="n">
        <v>91</v>
      </c>
      <c r="O3308" t="n">
        <v>0.91</v>
      </c>
      <c r="P3308" t="n">
        <v>1</v>
      </c>
      <c r="Q3308" t="n">
        <v>0.53</v>
      </c>
      <c r="R3308" t="n">
        <v>3</v>
      </c>
      <c r="S3308" t="n">
        <v>546</v>
      </c>
      <c r="T3308" t="n">
        <v>25</v>
      </c>
      <c r="U3308" t="n">
        <v>26</v>
      </c>
      <c r="V3308" t="n">
        <v>30</v>
      </c>
      <c r="W3308" t="n">
        <v>5</v>
      </c>
      <c r="X3308" t="n">
        <v>102.5641025641026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13218</v>
      </c>
      <c r="AG3308" t="n">
        <v>106</v>
      </c>
      <c r="AH3308" t="inlineStr">
        <is>
          <t>PT. TEMPO - PPN (PDG)</t>
        </is>
      </c>
      <c r="AI3308" t="n">
        <v>106</v>
      </c>
      <c r="AJ3308" t="inlineStr">
        <is>
          <t>MARINA</t>
        </is>
      </c>
      <c r="AK3308" t="n">
        <v>21</v>
      </c>
      <c r="AL3308" t="inlineStr">
        <is>
          <t>Miss Glam Damar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MARINA</t>
        </is>
      </c>
      <c r="B3309" s="2">
        <f>"8999908956804"</f>
        <v/>
      </c>
      <c r="C3309" t="inlineStr">
        <is>
          <t>MARINA Hand Body Lotion Natural Rich Moisturizing 188ml</t>
        </is>
      </c>
      <c r="D3309" t="inlineStr">
        <is>
          <t>Miss Glam Damar</t>
        </is>
      </c>
      <c r="E3309" t="n">
        <v>29</v>
      </c>
      <c r="F3309" t="n">
        <v>0.6279</v>
      </c>
      <c r="G3309" t="n">
        <v>4.55</v>
      </c>
      <c r="H3309" t="n">
        <v>4</v>
      </c>
      <c r="I3309" t="n">
        <v>9</v>
      </c>
      <c r="J3309" t="n">
        <v>3</v>
      </c>
      <c r="K3309" t="n">
        <v>0</v>
      </c>
      <c r="L3309" t="n">
        <v>5470</v>
      </c>
      <c r="M3309" t="n">
        <v>9500</v>
      </c>
      <c r="N3309" t="n">
        <v>91</v>
      </c>
      <c r="O3309" t="n">
        <v>0.91</v>
      </c>
      <c r="P3309" t="n">
        <v>1</v>
      </c>
      <c r="Q3309" t="n">
        <v>0.59</v>
      </c>
      <c r="R3309" t="n">
        <v>3</v>
      </c>
      <c r="S3309" t="n">
        <v>5965.05</v>
      </c>
      <c r="T3309" t="n">
        <v>39</v>
      </c>
      <c r="U3309" t="n">
        <v>42</v>
      </c>
      <c r="V3309" t="n">
        <v>30</v>
      </c>
      <c r="W3309" t="n">
        <v>19</v>
      </c>
      <c r="X3309" t="n">
        <v>46.1856983596114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13218</v>
      </c>
      <c r="AG3309" t="n">
        <v>106</v>
      </c>
      <c r="AH3309" t="inlineStr">
        <is>
          <t>PT. TEMPO - PPN (PDG)</t>
        </is>
      </c>
      <c r="AI3309" t="n">
        <v>106</v>
      </c>
      <c r="AJ3309" t="inlineStr">
        <is>
          <t>MARINA</t>
        </is>
      </c>
      <c r="AK3309" t="n">
        <v>21</v>
      </c>
      <c r="AL3309" t="inlineStr">
        <is>
          <t>Miss Glam Damar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MARINA</t>
        </is>
      </c>
      <c r="B3310" s="2">
        <f>"30200192448"</f>
        <v/>
      </c>
      <c r="C3310" t="inlineStr">
        <is>
          <t>MARINA Hand Body Lotion Natural Richmoist Ext 75ml</t>
        </is>
      </c>
      <c r="D3310" t="inlineStr">
        <is>
          <t>Miss Glam Damar</t>
        </is>
      </c>
      <c r="E3310" t="n">
        <v>26</v>
      </c>
      <c r="F3310" t="n">
        <v>0.8372000000000001</v>
      </c>
      <c r="G3310" t="n">
        <v>6.37</v>
      </c>
      <c r="H3310" t="n">
        <v>4</v>
      </c>
      <c r="I3310" t="n">
        <v>9</v>
      </c>
      <c r="J3310" t="n">
        <v>1</v>
      </c>
      <c r="K3310" t="n">
        <v>0</v>
      </c>
      <c r="L3310" t="n">
        <v>3270</v>
      </c>
      <c r="M3310" t="n">
        <v>4000</v>
      </c>
      <c r="N3310" t="n">
        <v>91</v>
      </c>
      <c r="O3310" t="n">
        <v>0.91</v>
      </c>
      <c r="P3310" t="n">
        <v>1</v>
      </c>
      <c r="Q3310" t="n">
        <v>0.44</v>
      </c>
      <c r="R3310" t="n">
        <v>3</v>
      </c>
      <c r="S3310" t="n">
        <v>3348.8</v>
      </c>
      <c r="T3310" t="n">
        <v>54</v>
      </c>
      <c r="U3310" t="n">
        <v>58</v>
      </c>
      <c r="V3310" t="n">
        <v>30</v>
      </c>
      <c r="W3310" t="n">
        <v>26</v>
      </c>
      <c r="X3310" t="n">
        <v>31.05590062111801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13218</v>
      </c>
      <c r="AG3310" t="n">
        <v>106</v>
      </c>
      <c r="AH3310" t="inlineStr">
        <is>
          <t>PT. TEMPO - PPN (PDG)</t>
        </is>
      </c>
      <c r="AI3310" t="n">
        <v>106</v>
      </c>
      <c r="AJ3310" t="inlineStr">
        <is>
          <t>MARINA</t>
        </is>
      </c>
      <c r="AK3310" t="n">
        <v>21</v>
      </c>
      <c r="AL3310" t="inlineStr">
        <is>
          <t>Miss Glam Damar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MARINA</t>
        </is>
      </c>
      <c r="B3311" s="2">
        <f>"30200192543"</f>
        <v/>
      </c>
      <c r="C3311" t="inlineStr">
        <is>
          <t>MARINA Hand Body Lotion Natural Smooth &amp; Glow Ext 75ml</t>
        </is>
      </c>
      <c r="D3311" t="inlineStr">
        <is>
          <t>Miss Glam Damar</t>
        </is>
      </c>
      <c r="E3311" t="n">
        <v>6</v>
      </c>
      <c r="F3311" t="n">
        <v>0.7280000000000001</v>
      </c>
      <c r="G3311" t="n">
        <v>3.64</v>
      </c>
      <c r="H3311" t="n">
        <v>4</v>
      </c>
      <c r="I3311" t="n">
        <v>9</v>
      </c>
      <c r="J3311" t="n">
        <v>1</v>
      </c>
      <c r="K3311" t="n">
        <v>0</v>
      </c>
      <c r="L3311" t="n">
        <v>3270</v>
      </c>
      <c r="M3311" t="n">
        <v>4000</v>
      </c>
      <c r="N3311" t="n">
        <v>91</v>
      </c>
      <c r="O3311" t="n">
        <v>0.91</v>
      </c>
      <c r="P3311" t="n">
        <v>1</v>
      </c>
      <c r="Q3311" t="n">
        <v>0.32</v>
      </c>
      <c r="R3311" t="n">
        <v>2</v>
      </c>
      <c r="S3311" t="n">
        <v>2912</v>
      </c>
      <c r="T3311" t="n">
        <v>30</v>
      </c>
      <c r="U3311" t="n">
        <v>33</v>
      </c>
      <c r="V3311" t="n">
        <v>30</v>
      </c>
      <c r="W3311" t="n">
        <v>22</v>
      </c>
      <c r="X3311" t="n">
        <v>8.241758241758241</v>
      </c>
      <c r="Y3311" t="n">
        <v>1</v>
      </c>
      <c r="Z3311" t="n">
        <v>16</v>
      </c>
      <c r="AA3311" t="n">
        <v>1</v>
      </c>
      <c r="AB3311" t="n">
        <v>15</v>
      </c>
      <c r="AC3311" t="n">
        <v>15</v>
      </c>
      <c r="AD3311" t="n">
        <v>3270</v>
      </c>
      <c r="AE3311" t="n">
        <v>49050</v>
      </c>
      <c r="AF3311" t="n">
        <v>13218</v>
      </c>
      <c r="AG3311" t="n">
        <v>106</v>
      </c>
      <c r="AH3311" t="inlineStr">
        <is>
          <t>PT. TEMPO - PPN (PDG)</t>
        </is>
      </c>
      <c r="AI3311" t="n">
        <v>106</v>
      </c>
      <c r="AJ3311" t="inlineStr">
        <is>
          <t>MARINA</t>
        </is>
      </c>
      <c r="AK3311" t="n">
        <v>21</v>
      </c>
      <c r="AL3311" t="inlineStr">
        <is>
          <t>Miss Glam Damar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MARINA</t>
        </is>
      </c>
      <c r="B3312" s="2">
        <f>"8999908961303"</f>
        <v/>
      </c>
      <c r="C3312" t="inlineStr">
        <is>
          <t>MARINA Hand Body Lotion Natural Smooth and Glow 313ml</t>
        </is>
      </c>
      <c r="D3312" t="inlineStr">
        <is>
          <t>Miss Glam Damar</t>
        </is>
      </c>
      <c r="E3312" t="n">
        <v>5</v>
      </c>
      <c r="F3312" t="n">
        <v>0.3367</v>
      </c>
      <c r="G3312" t="n">
        <v>3.64</v>
      </c>
      <c r="H3312" t="n">
        <v>4</v>
      </c>
      <c r="I3312" t="n">
        <v>9</v>
      </c>
      <c r="J3312" t="n">
        <v>3</v>
      </c>
      <c r="K3312" t="n">
        <v>0</v>
      </c>
      <c r="L3312" t="n">
        <v>7825</v>
      </c>
      <c r="M3312" t="n">
        <v>9500</v>
      </c>
      <c r="N3312" t="n">
        <v>91</v>
      </c>
      <c r="O3312" t="n">
        <v>0.91</v>
      </c>
      <c r="P3312" t="n">
        <v>1</v>
      </c>
      <c r="Q3312" t="n">
        <v>0.07000000000000001</v>
      </c>
      <c r="R3312" t="n">
        <v>1</v>
      </c>
      <c r="S3312" t="n">
        <v>3198.65</v>
      </c>
      <c r="T3312" t="n">
        <v>32</v>
      </c>
      <c r="U3312" t="n">
        <v>34</v>
      </c>
      <c r="V3312" t="n">
        <v>30</v>
      </c>
      <c r="W3312" t="n">
        <v>11</v>
      </c>
      <c r="X3312" t="n">
        <v>14.85001485001485</v>
      </c>
      <c r="Y3312" t="n">
        <v>1</v>
      </c>
      <c r="Z3312" t="n">
        <v>6</v>
      </c>
      <c r="AA3312" t="n">
        <v>0</v>
      </c>
      <c r="AB3312" t="n">
        <v>6</v>
      </c>
      <c r="AC3312" t="n">
        <v>6</v>
      </c>
      <c r="AD3312" t="n">
        <v>0</v>
      </c>
      <c r="AE3312" t="n">
        <v>46950</v>
      </c>
      <c r="AF3312" t="n">
        <v>13218</v>
      </c>
      <c r="AG3312" t="n">
        <v>106</v>
      </c>
      <c r="AH3312" t="inlineStr">
        <is>
          <t>PT. TEMPO - PPN (PDG)</t>
        </is>
      </c>
      <c r="AI3312" t="n">
        <v>106</v>
      </c>
      <c r="AJ3312" t="inlineStr">
        <is>
          <t>MARINA</t>
        </is>
      </c>
      <c r="AK3312" t="n">
        <v>21</v>
      </c>
      <c r="AL3312" t="inlineStr">
        <is>
          <t>Miss Glam Damar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MARINA</t>
        </is>
      </c>
      <c r="B3313" s="2">
        <f>"8999908082800"</f>
        <v/>
      </c>
      <c r="C3313" t="inlineStr">
        <is>
          <t>MARINA Hand Body Lotion Uv White Healthy &amp; Glow 185Ml</t>
        </is>
      </c>
      <c r="D3313" t="inlineStr">
        <is>
          <t>Miss Glam Damar</t>
        </is>
      </c>
      <c r="E3313" t="n">
        <v>123</v>
      </c>
      <c r="F3313" t="n">
        <v>8.8179</v>
      </c>
      <c r="G3313" t="n">
        <v>25.48</v>
      </c>
      <c r="H3313" t="n">
        <v>4</v>
      </c>
      <c r="I3313" t="n">
        <v>9</v>
      </c>
      <c r="J3313" t="n">
        <v>3</v>
      </c>
      <c r="K3313" t="n">
        <v>0</v>
      </c>
      <c r="L3313" t="n">
        <v>7487</v>
      </c>
      <c r="M3313" t="n">
        <v>11000</v>
      </c>
      <c r="N3313" t="n">
        <v>91</v>
      </c>
      <c r="O3313" t="n">
        <v>0.91</v>
      </c>
      <c r="P3313" t="n">
        <v>1</v>
      </c>
      <c r="Q3313" t="n">
        <v>8.49</v>
      </c>
      <c r="R3313" t="n">
        <v>20</v>
      </c>
      <c r="S3313" t="n">
        <v>96996.89999999999</v>
      </c>
      <c r="T3313" t="n">
        <v>195</v>
      </c>
      <c r="U3313" t="n">
        <v>231</v>
      </c>
      <c r="V3313" t="n">
        <v>30</v>
      </c>
      <c r="W3313" t="n">
        <v>265</v>
      </c>
      <c r="X3313" t="n">
        <v>13.94889939781581</v>
      </c>
      <c r="Y3313" t="n">
        <v>1</v>
      </c>
      <c r="Z3313" t="n">
        <v>142</v>
      </c>
      <c r="AA3313" t="n">
        <v>0</v>
      </c>
      <c r="AB3313" t="n">
        <v>142</v>
      </c>
      <c r="AC3313" t="n">
        <v>142</v>
      </c>
      <c r="AD3313" t="n">
        <v>0</v>
      </c>
      <c r="AE3313" t="n">
        <v>1063154</v>
      </c>
      <c r="AF3313" t="n">
        <v>13218</v>
      </c>
      <c r="AG3313" t="n">
        <v>106</v>
      </c>
      <c r="AH3313" t="inlineStr">
        <is>
          <t>PT. TEMPO - PPN (PDG)</t>
        </is>
      </c>
      <c r="AI3313" t="n">
        <v>106</v>
      </c>
      <c r="AJ3313" t="inlineStr">
        <is>
          <t>MARINA</t>
        </is>
      </c>
      <c r="AK3313" t="n">
        <v>21</v>
      </c>
      <c r="AL3313" t="inlineStr">
        <is>
          <t>Miss Glam Damar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MARINA</t>
        </is>
      </c>
      <c r="B3314" s="2">
        <f>"8999908266101"</f>
        <v/>
      </c>
      <c r="C3314" t="inlineStr">
        <is>
          <t>MARINA Hand Body Lotion Uv White Healthy &amp; Glow 460Ml</t>
        </is>
      </c>
      <c r="D3314" t="inlineStr">
        <is>
          <t>Miss Glam Damar</t>
        </is>
      </c>
      <c r="E3314" t="n">
        <v>0</v>
      </c>
      <c r="F3314" t="n">
        <v>1.4196</v>
      </c>
      <c r="G3314" t="n">
        <v>15.47</v>
      </c>
      <c r="H3314" t="n">
        <v>4</v>
      </c>
      <c r="I3314" t="n">
        <v>9</v>
      </c>
      <c r="J3314" t="n">
        <v>3</v>
      </c>
      <c r="K3314" t="n">
        <v>0</v>
      </c>
      <c r="L3314" t="n">
        <v>14743</v>
      </c>
      <c r="M3314" t="n">
        <v>20600</v>
      </c>
      <c r="N3314" t="n">
        <v>91</v>
      </c>
      <c r="O3314" t="n">
        <v>0.91</v>
      </c>
      <c r="P3314" t="n">
        <v>1</v>
      </c>
      <c r="Q3314" t="n">
        <v>2.16</v>
      </c>
      <c r="R3314" t="n">
        <v>21</v>
      </c>
      <c r="S3314" t="n">
        <v>29243.76000000001</v>
      </c>
      <c r="T3314" t="n">
        <v>134</v>
      </c>
      <c r="U3314" t="n">
        <v>140</v>
      </c>
      <c r="V3314" t="n">
        <v>30</v>
      </c>
      <c r="W3314" t="n">
        <v>43</v>
      </c>
      <c r="X3314" t="n">
        <v>0</v>
      </c>
      <c r="Y3314" t="n">
        <v>1</v>
      </c>
      <c r="Z3314" t="n">
        <v>43</v>
      </c>
      <c r="AA3314" t="n">
        <v>13</v>
      </c>
      <c r="AB3314" t="n">
        <v>30</v>
      </c>
      <c r="AC3314" t="n">
        <v>30</v>
      </c>
      <c r="AD3314" t="n">
        <v>191659</v>
      </c>
      <c r="AE3314" t="n">
        <v>442290</v>
      </c>
      <c r="AF3314" t="n">
        <v>13218</v>
      </c>
      <c r="AG3314" t="n">
        <v>106</v>
      </c>
      <c r="AH3314" t="inlineStr">
        <is>
          <t>PT. TEMPO - PPN (PDG)</t>
        </is>
      </c>
      <c r="AI3314" t="n">
        <v>106</v>
      </c>
      <c r="AJ3314" t="inlineStr">
        <is>
          <t>MARINA</t>
        </is>
      </c>
      <c r="AK3314" t="n">
        <v>21</v>
      </c>
      <c r="AL3314" t="inlineStr">
        <is>
          <t>Miss Glam Damar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MARINA</t>
        </is>
      </c>
      <c r="B3315" s="2">
        <f>"8999908082701"</f>
        <v/>
      </c>
      <c r="C3315" t="inlineStr">
        <is>
          <t>MARINA Hand Body Lotion Uv White Healthy &amp; Glow 92ml</t>
        </is>
      </c>
      <c r="D3315" t="inlineStr">
        <is>
          <t>Miss Glam Damar</t>
        </is>
      </c>
      <c r="E3315" t="n">
        <v>14</v>
      </c>
      <c r="F3315" t="n">
        <v>8.5631</v>
      </c>
      <c r="G3315" t="n">
        <v>21.84</v>
      </c>
      <c r="H3315" t="n">
        <v>4</v>
      </c>
      <c r="I3315" t="n">
        <v>9</v>
      </c>
      <c r="J3315" t="n">
        <v>3</v>
      </c>
      <c r="K3315" t="n">
        <v>0</v>
      </c>
      <c r="L3315" t="n">
        <v>4399</v>
      </c>
      <c r="M3315" t="n">
        <v>6000</v>
      </c>
      <c r="N3315" t="n">
        <v>91</v>
      </c>
      <c r="O3315" t="n">
        <v>0.91</v>
      </c>
      <c r="P3315" t="n">
        <v>1</v>
      </c>
      <c r="Q3315" t="n">
        <v>4.08</v>
      </c>
      <c r="R3315" t="n">
        <v>11</v>
      </c>
      <c r="S3315" t="n">
        <v>51378.60000000001</v>
      </c>
      <c r="T3315" t="n">
        <v>163</v>
      </c>
      <c r="U3315" t="n">
        <v>198</v>
      </c>
      <c r="V3315" t="n">
        <v>30</v>
      </c>
      <c r="W3315" t="n">
        <v>257</v>
      </c>
      <c r="X3315" t="n">
        <v>1.634921932477724</v>
      </c>
      <c r="Y3315" t="n">
        <v>1</v>
      </c>
      <c r="Z3315" t="n">
        <v>243</v>
      </c>
      <c r="AA3315" t="n">
        <v>64</v>
      </c>
      <c r="AB3315" t="n">
        <v>179</v>
      </c>
      <c r="AC3315" t="n">
        <v>179</v>
      </c>
      <c r="AD3315" t="n">
        <v>281536</v>
      </c>
      <c r="AE3315" t="n">
        <v>787421</v>
      </c>
      <c r="AF3315" t="n">
        <v>13218</v>
      </c>
      <c r="AG3315" t="n">
        <v>106</v>
      </c>
      <c r="AH3315" t="inlineStr">
        <is>
          <t>PT. TEMPO - PPN (PDG)</t>
        </is>
      </c>
      <c r="AI3315" t="n">
        <v>106</v>
      </c>
      <c r="AJ3315" t="inlineStr">
        <is>
          <t>MARINA</t>
        </is>
      </c>
      <c r="AK3315" t="n">
        <v>21</v>
      </c>
      <c r="AL3315" t="inlineStr">
        <is>
          <t>Miss Glam Damar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MARINA</t>
        </is>
      </c>
      <c r="B3316" s="2">
        <f>"8999908618702"</f>
        <v/>
      </c>
      <c r="C3316" t="inlineStr">
        <is>
          <t>MARINA Healty and Glow Body Scrub 200ml</t>
        </is>
      </c>
      <c r="D3316" t="inlineStr">
        <is>
          <t>Miss Glam Damar</t>
        </is>
      </c>
      <c r="E3316" t="n">
        <v>51</v>
      </c>
      <c r="F3316" t="n">
        <v>0.91</v>
      </c>
      <c r="G3316" t="n">
        <v>4.55</v>
      </c>
      <c r="H3316" t="n">
        <v>4</v>
      </c>
      <c r="I3316" t="n">
        <v>9</v>
      </c>
      <c r="J3316" t="n">
        <v>48</v>
      </c>
      <c r="K3316" t="n">
        <v>0</v>
      </c>
      <c r="L3316" t="n">
        <v>11677</v>
      </c>
      <c r="M3316" t="n">
        <v>17000</v>
      </c>
      <c r="N3316" t="n">
        <v>91</v>
      </c>
      <c r="O3316" t="n">
        <v>0.91</v>
      </c>
      <c r="P3316" t="n">
        <v>1</v>
      </c>
      <c r="Q3316" t="n">
        <v>0.8100000000000001</v>
      </c>
      <c r="R3316" t="n">
        <v>5</v>
      </c>
      <c r="S3316" t="n">
        <v>15470</v>
      </c>
      <c r="T3316" t="n">
        <v>38</v>
      </c>
      <c r="U3316" t="n">
        <v>42</v>
      </c>
      <c r="V3316" t="n">
        <v>30</v>
      </c>
      <c r="W3316" t="n">
        <v>28</v>
      </c>
      <c r="X3316" t="n">
        <v>56.04395604395604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13218</v>
      </c>
      <c r="AG3316" t="n">
        <v>106</v>
      </c>
      <c r="AH3316" t="inlineStr">
        <is>
          <t>PT. TEMPO - PPN (PDG)</t>
        </is>
      </c>
      <c r="AI3316" t="n">
        <v>106</v>
      </c>
      <c r="AJ3316" t="inlineStr">
        <is>
          <t>MARINA</t>
        </is>
      </c>
      <c r="AK3316" t="n">
        <v>21</v>
      </c>
      <c r="AL3316" t="inlineStr">
        <is>
          <t>Miss Glam Damar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MARINA</t>
        </is>
      </c>
      <c r="B3317" s="2">
        <f>"8999908962805"</f>
        <v/>
      </c>
      <c r="C3317" t="inlineStr">
        <is>
          <t>MARINA Natural Nourished &amp; Healthy 24H Mouisturizing 440ml</t>
        </is>
      </c>
      <c r="D3317" t="inlineStr">
        <is>
          <t>Miss Glam Damar</t>
        </is>
      </c>
      <c r="E3317" t="n">
        <v>12</v>
      </c>
      <c r="F3317" t="n">
        <v>1.9474</v>
      </c>
      <c r="G3317" t="n">
        <v>7.28</v>
      </c>
      <c r="H3317" t="n">
        <v>4</v>
      </c>
      <c r="I3317" t="n">
        <v>9</v>
      </c>
      <c r="J3317" t="n">
        <v>3</v>
      </c>
      <c r="K3317" t="n">
        <v>0</v>
      </c>
      <c r="L3317" t="n">
        <v>10800</v>
      </c>
      <c r="M3317" t="n">
        <v>13000</v>
      </c>
      <c r="N3317" t="n">
        <v>91</v>
      </c>
      <c r="O3317" t="n">
        <v>0.91</v>
      </c>
      <c r="P3317" t="n">
        <v>1</v>
      </c>
      <c r="Q3317" t="n">
        <v>1.29</v>
      </c>
      <c r="R3317" t="n">
        <v>5</v>
      </c>
      <c r="S3317" t="n">
        <v>25316.2</v>
      </c>
      <c r="T3317" t="n">
        <v>58</v>
      </c>
      <c r="U3317" t="n">
        <v>66</v>
      </c>
      <c r="V3317" t="n">
        <v>30</v>
      </c>
      <c r="W3317" t="n">
        <v>59</v>
      </c>
      <c r="X3317" t="n">
        <v>6.162062236828591</v>
      </c>
      <c r="Y3317" t="n">
        <v>1</v>
      </c>
      <c r="Z3317" t="n">
        <v>47</v>
      </c>
      <c r="AA3317" t="n">
        <v>6</v>
      </c>
      <c r="AB3317" t="n">
        <v>41</v>
      </c>
      <c r="AC3317" t="n">
        <v>41</v>
      </c>
      <c r="AD3317" t="n">
        <v>64800</v>
      </c>
      <c r="AE3317" t="n">
        <v>442800</v>
      </c>
      <c r="AF3317" t="n">
        <v>13218</v>
      </c>
      <c r="AG3317" t="n">
        <v>106</v>
      </c>
      <c r="AH3317" t="inlineStr">
        <is>
          <t>PT. TEMPO - PPN (PDG)</t>
        </is>
      </c>
      <c r="AI3317" t="n">
        <v>106</v>
      </c>
      <c r="AJ3317" t="inlineStr">
        <is>
          <t>MARINA</t>
        </is>
      </c>
      <c r="AK3317" t="n">
        <v>21</v>
      </c>
      <c r="AL3317" t="inlineStr">
        <is>
          <t>Miss Glam Damar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MARINA</t>
        </is>
      </c>
      <c r="B3318" s="2">
        <f>"8999908045706"</f>
        <v/>
      </c>
      <c r="C3318" t="inlineStr">
        <is>
          <t>MARINA Natural Nutri Fresh 190ml</t>
        </is>
      </c>
      <c r="D3318" t="inlineStr">
        <is>
          <t>Miss Glam Damar</t>
        </is>
      </c>
      <c r="E3318" t="n">
        <v>0</v>
      </c>
      <c r="F3318" t="n">
        <v>1.638</v>
      </c>
      <c r="G3318" t="n">
        <v>13.65</v>
      </c>
      <c r="H3318" t="n">
        <v>4</v>
      </c>
      <c r="I3318" t="n">
        <v>9</v>
      </c>
      <c r="J3318" t="n">
        <v>3</v>
      </c>
      <c r="K3318" t="n">
        <v>0</v>
      </c>
      <c r="L3318" t="n">
        <v>6657</v>
      </c>
      <c r="M3318" t="n">
        <v>8200</v>
      </c>
      <c r="N3318" t="n">
        <v>91</v>
      </c>
      <c r="O3318" t="n">
        <v>0.91</v>
      </c>
      <c r="P3318" t="n">
        <v>1</v>
      </c>
      <c r="Q3318" t="n">
        <v>1.53</v>
      </c>
      <c r="R3318" t="n">
        <v>7</v>
      </c>
      <c r="S3318" t="n">
        <v>13431.6</v>
      </c>
      <c r="T3318" t="n">
        <v>117</v>
      </c>
      <c r="U3318" t="n">
        <v>124</v>
      </c>
      <c r="V3318" t="n">
        <v>30</v>
      </c>
      <c r="W3318" t="n">
        <v>50</v>
      </c>
      <c r="X3318" t="n">
        <v>0</v>
      </c>
      <c r="Y3318" t="n">
        <v>1</v>
      </c>
      <c r="Z3318" t="n">
        <v>50</v>
      </c>
      <c r="AA3318" t="n">
        <v>15</v>
      </c>
      <c r="AB3318" t="n">
        <v>35</v>
      </c>
      <c r="AC3318" t="n">
        <v>35</v>
      </c>
      <c r="AD3318" t="n">
        <v>99855</v>
      </c>
      <c r="AE3318" t="n">
        <v>232995</v>
      </c>
      <c r="AF3318" t="n">
        <v>13218</v>
      </c>
      <c r="AG3318" t="n">
        <v>106</v>
      </c>
      <c r="AH3318" t="inlineStr">
        <is>
          <t>PT. TEMPO - PPN (PDG)</t>
        </is>
      </c>
      <c r="AI3318" t="n">
        <v>106</v>
      </c>
      <c r="AJ3318" t="inlineStr">
        <is>
          <t>MARINA</t>
        </is>
      </c>
      <c r="AK3318" t="n">
        <v>21</v>
      </c>
      <c r="AL3318" t="inlineStr">
        <is>
          <t>Miss Glam Damar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MARINA</t>
        </is>
      </c>
      <c r="B3319" s="2">
        <f>"8999908962607"</f>
        <v/>
      </c>
      <c r="C3319" t="inlineStr">
        <is>
          <t>MARINA Natural Protects And Cares 483ml</t>
        </is>
      </c>
      <c r="D3319" t="inlineStr">
        <is>
          <t>Miss Glam Damar</t>
        </is>
      </c>
      <c r="E3319" t="n">
        <v>18</v>
      </c>
      <c r="F3319" t="n">
        <v>2.1112</v>
      </c>
      <c r="G3319" t="n">
        <v>9.1</v>
      </c>
      <c r="H3319" t="n">
        <v>4</v>
      </c>
      <c r="I3319" t="n">
        <v>9</v>
      </c>
      <c r="J3319" t="n">
        <v>3</v>
      </c>
      <c r="K3319" t="n">
        <v>0</v>
      </c>
      <c r="L3319" t="n">
        <v>10800</v>
      </c>
      <c r="M3319" t="n">
        <v>13500</v>
      </c>
      <c r="N3319" t="n">
        <v>91</v>
      </c>
      <c r="O3319" t="n">
        <v>0.91</v>
      </c>
      <c r="P3319" t="n">
        <v>1</v>
      </c>
      <c r="Q3319" t="n">
        <v>1.83</v>
      </c>
      <c r="R3319" t="n">
        <v>6</v>
      </c>
      <c r="S3319" t="n">
        <v>28501.2</v>
      </c>
      <c r="T3319" t="n">
        <v>74</v>
      </c>
      <c r="U3319" t="n">
        <v>83</v>
      </c>
      <c r="V3319" t="n">
        <v>30</v>
      </c>
      <c r="W3319" t="n">
        <v>64</v>
      </c>
      <c r="X3319" t="n">
        <v>8.525956801818872</v>
      </c>
      <c r="Y3319" t="n">
        <v>1</v>
      </c>
      <c r="Z3319" t="n">
        <v>46</v>
      </c>
      <c r="AA3319" t="n">
        <v>2</v>
      </c>
      <c r="AB3319" t="n">
        <v>44</v>
      </c>
      <c r="AC3319" t="n">
        <v>44</v>
      </c>
      <c r="AD3319" t="n">
        <v>21600</v>
      </c>
      <c r="AE3319" t="n">
        <v>475200</v>
      </c>
      <c r="AF3319" t="n">
        <v>13218</v>
      </c>
      <c r="AG3319" t="n">
        <v>106</v>
      </c>
      <c r="AH3319" t="inlineStr">
        <is>
          <t>PT. TEMPO - PPN (PDG)</t>
        </is>
      </c>
      <c r="AI3319" t="n">
        <v>106</v>
      </c>
      <c r="AJ3319" t="inlineStr">
        <is>
          <t>MARINA</t>
        </is>
      </c>
      <c r="AK3319" t="n">
        <v>21</v>
      </c>
      <c r="AL3319" t="inlineStr">
        <is>
          <t>Miss Glam Damar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MARINA</t>
        </is>
      </c>
      <c r="B3320" s="2">
        <f>"8999908962706"</f>
        <v/>
      </c>
      <c r="C3320" t="inlineStr">
        <is>
          <t>MARINA Natural Rich Moisturizing 438ml</t>
        </is>
      </c>
      <c r="D3320" t="inlineStr">
        <is>
          <t>Miss Glam Damar</t>
        </is>
      </c>
      <c r="E3320" t="n">
        <v>2</v>
      </c>
      <c r="F3320" t="n">
        <v>1.1921</v>
      </c>
      <c r="G3320" t="n">
        <v>5.46</v>
      </c>
      <c r="H3320" t="n">
        <v>4</v>
      </c>
      <c r="I3320" t="n">
        <v>9</v>
      </c>
      <c r="J3320" t="n">
        <v>3</v>
      </c>
      <c r="K3320" t="n">
        <v>0</v>
      </c>
      <c r="L3320" t="n">
        <v>10800</v>
      </c>
      <c r="M3320" t="n">
        <v>13500</v>
      </c>
      <c r="N3320" t="n">
        <v>91</v>
      </c>
      <c r="O3320" t="n">
        <v>0.91</v>
      </c>
      <c r="P3320" t="n">
        <v>1</v>
      </c>
      <c r="Q3320" t="n">
        <v>1.32</v>
      </c>
      <c r="R3320" t="n">
        <v>6</v>
      </c>
      <c r="S3320" t="n">
        <v>16093.35</v>
      </c>
      <c r="T3320" t="n">
        <v>45</v>
      </c>
      <c r="U3320" t="n">
        <v>50</v>
      </c>
      <c r="V3320" t="n">
        <v>30</v>
      </c>
      <c r="W3320" t="n">
        <v>36</v>
      </c>
      <c r="X3320" t="n">
        <v>1.677711601375723</v>
      </c>
      <c r="Y3320" t="n">
        <v>1</v>
      </c>
      <c r="Z3320" t="n">
        <v>34</v>
      </c>
      <c r="AA3320" t="n">
        <v>9</v>
      </c>
      <c r="AB3320" t="n">
        <v>25</v>
      </c>
      <c r="AC3320" t="n">
        <v>25</v>
      </c>
      <c r="AD3320" t="n">
        <v>97200</v>
      </c>
      <c r="AE3320" t="n">
        <v>270000</v>
      </c>
      <c r="AF3320" t="n">
        <v>13218</v>
      </c>
      <c r="AG3320" t="n">
        <v>106</v>
      </c>
      <c r="AH3320" t="inlineStr">
        <is>
          <t>PT. TEMPO - PPN (PDG)</t>
        </is>
      </c>
      <c r="AI3320" t="n">
        <v>106</v>
      </c>
      <c r="AJ3320" t="inlineStr">
        <is>
          <t>MARINA</t>
        </is>
      </c>
      <c r="AK3320" t="n">
        <v>21</v>
      </c>
      <c r="AL3320" t="inlineStr">
        <is>
          <t>Miss Glam Damar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MARINA</t>
        </is>
      </c>
      <c r="B3321" s="2">
        <f>"8999908962904"</f>
        <v/>
      </c>
      <c r="C3321" t="inlineStr">
        <is>
          <t>MARINA Natural Smooth and Glow 438ml</t>
        </is>
      </c>
      <c r="D3321" t="inlineStr">
        <is>
          <t>Miss Glam Damar</t>
        </is>
      </c>
      <c r="E3321" t="n">
        <v>3</v>
      </c>
      <c r="F3321" t="n">
        <v>1.4014</v>
      </c>
      <c r="G3321" t="n">
        <v>7.28</v>
      </c>
      <c r="H3321" t="n">
        <v>4</v>
      </c>
      <c r="I3321" t="n">
        <v>9</v>
      </c>
      <c r="J3321" t="n">
        <v>3</v>
      </c>
      <c r="K3321" t="n">
        <v>0</v>
      </c>
      <c r="L3321" t="n">
        <v>10800</v>
      </c>
      <c r="M3321" t="n">
        <v>13500</v>
      </c>
      <c r="N3321" t="n">
        <v>91</v>
      </c>
      <c r="O3321" t="n">
        <v>0.91</v>
      </c>
      <c r="P3321" t="n">
        <v>1</v>
      </c>
      <c r="Q3321" t="n">
        <v>1.24</v>
      </c>
      <c r="R3321" t="n">
        <v>6</v>
      </c>
      <c r="S3321" t="n">
        <v>18918.9</v>
      </c>
      <c r="T3321" t="n">
        <v>60</v>
      </c>
      <c r="U3321" t="n">
        <v>66</v>
      </c>
      <c r="V3321" t="n">
        <v>30</v>
      </c>
      <c r="W3321" t="n">
        <v>43</v>
      </c>
      <c r="X3321" t="n">
        <v>2.140716426430712</v>
      </c>
      <c r="Y3321" t="n">
        <v>1</v>
      </c>
      <c r="Z3321" t="n">
        <v>40</v>
      </c>
      <c r="AA3321" t="n">
        <v>10</v>
      </c>
      <c r="AB3321" t="n">
        <v>30</v>
      </c>
      <c r="AC3321" t="n">
        <v>30</v>
      </c>
      <c r="AD3321" t="n">
        <v>108000</v>
      </c>
      <c r="AE3321" t="n">
        <v>324000</v>
      </c>
      <c r="AF3321" t="n">
        <v>13218</v>
      </c>
      <c r="AG3321" t="n">
        <v>106</v>
      </c>
      <c r="AH3321" t="inlineStr">
        <is>
          <t>PT. TEMPO - PPN (PDG)</t>
        </is>
      </c>
      <c r="AI3321" t="n">
        <v>106</v>
      </c>
      <c r="AJ3321" t="inlineStr">
        <is>
          <t>MARINA</t>
        </is>
      </c>
      <c r="AK3321" t="n">
        <v>21</v>
      </c>
      <c r="AL3321" t="inlineStr">
        <is>
          <t>Miss Glam Damar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MARINA</t>
        </is>
      </c>
      <c r="B3322" s="2">
        <f>"8999908961105"</f>
        <v/>
      </c>
      <c r="C3322" t="inlineStr">
        <is>
          <t>MARINA Nourished and Healthy Sweet Almond &amp; Chia Seed 250ml+63ml</t>
        </is>
      </c>
      <c r="D3322" t="inlineStr">
        <is>
          <t>Miss Glam Damar</t>
        </is>
      </c>
      <c r="E3322" t="n">
        <v>10</v>
      </c>
      <c r="F3322" t="n">
        <v>0.9555000000000001</v>
      </c>
      <c r="G3322" t="n">
        <v>3.64</v>
      </c>
      <c r="H3322" t="n">
        <v>4</v>
      </c>
      <c r="I3322" t="n">
        <v>9</v>
      </c>
      <c r="J3322" t="n">
        <v>3</v>
      </c>
      <c r="K3322" t="n">
        <v>0</v>
      </c>
      <c r="L3322" t="n">
        <v>7825</v>
      </c>
      <c r="M3322" t="n">
        <v>11000</v>
      </c>
      <c r="N3322" t="n">
        <v>91</v>
      </c>
      <c r="O3322" t="n">
        <v>0.91</v>
      </c>
      <c r="P3322" t="n">
        <v>1</v>
      </c>
      <c r="Q3322" t="n">
        <v>0.2</v>
      </c>
      <c r="R3322" t="n">
        <v>2</v>
      </c>
      <c r="S3322" t="n">
        <v>10510.5</v>
      </c>
      <c r="T3322" t="n">
        <v>29</v>
      </c>
      <c r="U3322" t="n">
        <v>33</v>
      </c>
      <c r="V3322" t="n">
        <v>30</v>
      </c>
      <c r="W3322" t="n">
        <v>29</v>
      </c>
      <c r="X3322" t="n">
        <v>10.46572475143904</v>
      </c>
      <c r="Y3322" t="n">
        <v>1</v>
      </c>
      <c r="Z3322" t="n">
        <v>19</v>
      </c>
      <c r="AA3322" t="n">
        <v>0</v>
      </c>
      <c r="AB3322" t="n">
        <v>19</v>
      </c>
      <c r="AC3322" t="n">
        <v>19</v>
      </c>
      <c r="AD3322" t="n">
        <v>0</v>
      </c>
      <c r="AE3322" t="n">
        <v>148675</v>
      </c>
      <c r="AF3322" t="n">
        <v>13218</v>
      </c>
      <c r="AG3322" t="n">
        <v>106</v>
      </c>
      <c r="AH3322" t="inlineStr">
        <is>
          <t>PT. TEMPO - PPN (PDG)</t>
        </is>
      </c>
      <c r="AI3322" t="n">
        <v>106</v>
      </c>
      <c r="AJ3322" t="inlineStr">
        <is>
          <t>MARINA</t>
        </is>
      </c>
      <c r="AK3322" t="n">
        <v>21</v>
      </c>
      <c r="AL3322" t="inlineStr">
        <is>
          <t>Miss Glam Damar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MARINA</t>
        </is>
      </c>
      <c r="B3323" s="2">
        <f>"8999908887207"</f>
        <v/>
      </c>
      <c r="C3323" t="inlineStr">
        <is>
          <t>MARINA Perfume Body Spray Let's Talk 150ml</t>
        </is>
      </c>
      <c r="D3323" t="inlineStr">
        <is>
          <t>Miss Glam Damar</t>
        </is>
      </c>
      <c r="E3323" t="n">
        <v>2</v>
      </c>
      <c r="F3323" t="n">
        <v>0.5733</v>
      </c>
      <c r="G3323" t="n">
        <v>3.64</v>
      </c>
      <c r="H3323" t="n">
        <v>4</v>
      </c>
      <c r="I3323" t="n">
        <v>9</v>
      </c>
      <c r="J3323" t="n">
        <v>3</v>
      </c>
      <c r="K3323" t="n">
        <v>0</v>
      </c>
      <c r="L3323" t="n">
        <v>16882</v>
      </c>
      <c r="M3323" t="n">
        <v>23500</v>
      </c>
      <c r="N3323" t="n">
        <v>91</v>
      </c>
      <c r="O3323" t="n">
        <v>0.91</v>
      </c>
      <c r="P3323" t="n">
        <v>1</v>
      </c>
      <c r="Q3323" t="n">
        <v>0.41</v>
      </c>
      <c r="R3323" t="n">
        <v>3</v>
      </c>
      <c r="S3323" t="n">
        <v>13472.55</v>
      </c>
      <c r="T3323" t="n">
        <v>31</v>
      </c>
      <c r="U3323" t="n">
        <v>34</v>
      </c>
      <c r="V3323" t="n">
        <v>30</v>
      </c>
      <c r="W3323" t="n">
        <v>18</v>
      </c>
      <c r="X3323" t="n">
        <v>3.488574917146345</v>
      </c>
      <c r="Y3323" t="n">
        <v>1</v>
      </c>
      <c r="Z3323" t="n">
        <v>16</v>
      </c>
      <c r="AA3323" t="n">
        <v>4</v>
      </c>
      <c r="AB3323" t="n">
        <v>12</v>
      </c>
      <c r="AC3323" t="n">
        <v>12</v>
      </c>
      <c r="AD3323" t="n">
        <v>67528</v>
      </c>
      <c r="AE3323" t="n">
        <v>202584</v>
      </c>
      <c r="AF3323" t="n">
        <v>13218</v>
      </c>
      <c r="AG3323" t="n">
        <v>106</v>
      </c>
      <c r="AH3323" t="inlineStr">
        <is>
          <t>PT. TEMPO - PPN (PDG)</t>
        </is>
      </c>
      <c r="AI3323" t="n">
        <v>106</v>
      </c>
      <c r="AJ3323" t="inlineStr">
        <is>
          <t>MARINA</t>
        </is>
      </c>
      <c r="AK3323" t="n">
        <v>21</v>
      </c>
      <c r="AL3323" t="inlineStr">
        <is>
          <t>Miss Glam Damar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MARINA</t>
        </is>
      </c>
      <c r="B3324" s="2">
        <f>"8999908887306"</f>
        <v/>
      </c>
      <c r="C3324" t="inlineStr">
        <is>
          <t>MARINA Perfume Body Spray Take Chances150ml</t>
        </is>
      </c>
      <c r="D3324" t="inlineStr">
        <is>
          <t>Miss Glam Damar</t>
        </is>
      </c>
      <c r="E3324" t="n">
        <v>2</v>
      </c>
      <c r="F3324" t="n">
        <v>0.31</v>
      </c>
      <c r="G3324" t="n">
        <v>2</v>
      </c>
      <c r="H3324" t="n">
        <v>4</v>
      </c>
      <c r="I3324" t="n">
        <v>9</v>
      </c>
      <c r="J3324" t="n">
        <v>3</v>
      </c>
      <c r="K3324" t="n">
        <v>0</v>
      </c>
      <c r="L3324" t="n">
        <v>16758</v>
      </c>
      <c r="M3324" t="n">
        <v>22000</v>
      </c>
      <c r="N3324" t="n">
        <v>91</v>
      </c>
      <c r="O3324" t="n">
        <v>0.91</v>
      </c>
      <c r="P3324" t="n">
        <v>0</v>
      </c>
      <c r="Q3324" t="n">
        <v>0.31</v>
      </c>
      <c r="R3324" t="n">
        <v>2</v>
      </c>
      <c r="S3324" t="n">
        <v>6820</v>
      </c>
      <c r="T3324" t="n">
        <v>17</v>
      </c>
      <c r="U3324" t="n">
        <v>19</v>
      </c>
      <c r="V3324" t="n">
        <v>30</v>
      </c>
      <c r="W3324" t="n">
        <v>10</v>
      </c>
      <c r="X3324" t="n">
        <v>6.451612903225807</v>
      </c>
      <c r="Y3324" t="n">
        <v>1</v>
      </c>
      <c r="Z3324" t="n">
        <v>8</v>
      </c>
      <c r="AA3324" t="n">
        <v>1</v>
      </c>
      <c r="AB3324" t="n">
        <v>7</v>
      </c>
      <c r="AC3324" t="n">
        <v>7</v>
      </c>
      <c r="AD3324" t="n">
        <v>16758</v>
      </c>
      <c r="AE3324" t="n">
        <v>117306</v>
      </c>
      <c r="AF3324" t="n">
        <v>13218</v>
      </c>
      <c r="AG3324" t="n">
        <v>106</v>
      </c>
      <c r="AH3324" t="inlineStr">
        <is>
          <t>PT. TEMPO - PPN (PDG)</t>
        </is>
      </c>
      <c r="AI3324" t="n">
        <v>106</v>
      </c>
      <c r="AJ3324" t="inlineStr">
        <is>
          <t>MARINA</t>
        </is>
      </c>
      <c r="AK3324" t="n">
        <v>21</v>
      </c>
      <c r="AL3324" t="inlineStr">
        <is>
          <t>Miss Glam Damar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MARINA</t>
        </is>
      </c>
      <c r="B3325" s="2">
        <f>"8999908618801"</f>
        <v/>
      </c>
      <c r="C3325" t="inlineStr">
        <is>
          <t>MARINA UV Bright and Fresh Body Scrub 200ml</t>
        </is>
      </c>
      <c r="D3325" t="inlineStr">
        <is>
          <t>Miss Glam Damar</t>
        </is>
      </c>
      <c r="E3325" t="n">
        <v>15</v>
      </c>
      <c r="F3325" t="n">
        <v>0.7826</v>
      </c>
      <c r="G3325" t="n">
        <v>3.64</v>
      </c>
      <c r="H3325" t="n">
        <v>4</v>
      </c>
      <c r="I3325" t="n">
        <v>9</v>
      </c>
      <c r="J3325" t="n">
        <v>3</v>
      </c>
      <c r="K3325" t="n">
        <v>0</v>
      </c>
      <c r="L3325" t="n">
        <v>11836</v>
      </c>
      <c r="M3325" t="n">
        <v>15000</v>
      </c>
      <c r="N3325" t="n">
        <v>91</v>
      </c>
      <c r="O3325" t="n">
        <v>0.91</v>
      </c>
      <c r="P3325" t="n">
        <v>1</v>
      </c>
      <c r="Q3325" t="n">
        <v>0.49</v>
      </c>
      <c r="R3325" t="n">
        <v>3</v>
      </c>
      <c r="S3325" t="n">
        <v>11739</v>
      </c>
      <c r="T3325" t="n">
        <v>30</v>
      </c>
      <c r="U3325" t="n">
        <v>34</v>
      </c>
      <c r="V3325" t="n">
        <v>30</v>
      </c>
      <c r="W3325" t="n">
        <v>24</v>
      </c>
      <c r="X3325" t="n">
        <v>19.16687963199591</v>
      </c>
      <c r="Y3325" t="n">
        <v>1</v>
      </c>
      <c r="Z3325" t="n">
        <v>9</v>
      </c>
      <c r="AA3325" t="n">
        <v>0</v>
      </c>
      <c r="AB3325" t="n">
        <v>9</v>
      </c>
      <c r="AC3325" t="n">
        <v>9</v>
      </c>
      <c r="AD3325" t="n">
        <v>0</v>
      </c>
      <c r="AE3325" t="n">
        <v>106524</v>
      </c>
      <c r="AF3325" t="n">
        <v>13218</v>
      </c>
      <c r="AG3325" t="n">
        <v>106</v>
      </c>
      <c r="AH3325" t="inlineStr">
        <is>
          <t>PT. TEMPO - PPN (PDG)</t>
        </is>
      </c>
      <c r="AI3325" t="n">
        <v>106</v>
      </c>
      <c r="AJ3325" t="inlineStr">
        <is>
          <t>MARINA</t>
        </is>
      </c>
      <c r="AK3325" t="n">
        <v>21</v>
      </c>
      <c r="AL3325" t="inlineStr">
        <is>
          <t>Miss Glam Damar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MARINA</t>
        </is>
      </c>
      <c r="B3326" s="2">
        <f>"8999908559500"</f>
        <v/>
      </c>
      <c r="C3326" t="inlineStr">
        <is>
          <t>MARINA Uv Hand Body Gel Lation White Hydroo Cool 185Ml</t>
        </is>
      </c>
      <c r="D3326" t="inlineStr">
        <is>
          <t>Miss Glam Damar</t>
        </is>
      </c>
      <c r="E3326" t="n">
        <v>19</v>
      </c>
      <c r="F3326" t="n">
        <v>0.53</v>
      </c>
      <c r="G3326" t="n">
        <v>2</v>
      </c>
      <c r="H3326" t="n">
        <v>4</v>
      </c>
      <c r="I3326" t="n">
        <v>9</v>
      </c>
      <c r="J3326" t="n">
        <v>3</v>
      </c>
      <c r="K3326" t="n">
        <v>0</v>
      </c>
      <c r="L3326" t="n">
        <v>7471</v>
      </c>
      <c r="M3326" t="n">
        <v>9300</v>
      </c>
      <c r="N3326" t="n">
        <v>91</v>
      </c>
      <c r="O3326" t="n">
        <v>0.91</v>
      </c>
      <c r="P3326" t="n">
        <v>0</v>
      </c>
      <c r="Q3326" t="n">
        <v>0.53</v>
      </c>
      <c r="R3326" t="n">
        <v>2</v>
      </c>
      <c r="S3326" t="n">
        <v>4929</v>
      </c>
      <c r="T3326" t="n">
        <v>16</v>
      </c>
      <c r="U3326" t="n">
        <v>19</v>
      </c>
      <c r="V3326" t="n">
        <v>30</v>
      </c>
      <c r="W3326" t="n">
        <v>16</v>
      </c>
      <c r="X3326" t="n">
        <v>35.84905660377358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13218</v>
      </c>
      <c r="AG3326" t="n">
        <v>106</v>
      </c>
      <c r="AH3326" t="inlineStr">
        <is>
          <t>PT. TEMPO - PPN (PDG)</t>
        </is>
      </c>
      <c r="AI3326" t="n">
        <v>106</v>
      </c>
      <c r="AJ3326" t="inlineStr">
        <is>
          <t>MARINA</t>
        </is>
      </c>
      <c r="AK3326" t="n">
        <v>21</v>
      </c>
      <c r="AL3326" t="inlineStr">
        <is>
          <t>Miss Glam Damar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MARINA</t>
        </is>
      </c>
      <c r="B3327" s="2">
        <f>"8999908010704"</f>
        <v/>
      </c>
      <c r="C3327" t="inlineStr">
        <is>
          <t>MARINA Uv Hand Body Lotion White Bright &amp; Fresh 185Ml</t>
        </is>
      </c>
      <c r="D3327" t="inlineStr">
        <is>
          <t>Miss Glam Damar</t>
        </is>
      </c>
      <c r="E3327" t="n">
        <v>11</v>
      </c>
      <c r="F3327" t="n">
        <v>1.6835</v>
      </c>
      <c r="G3327" t="n">
        <v>4.55</v>
      </c>
      <c r="H3327" t="n">
        <v>4</v>
      </c>
      <c r="I3327" t="n">
        <v>9</v>
      </c>
      <c r="J3327" t="n">
        <v>3</v>
      </c>
      <c r="K3327" t="n">
        <v>0</v>
      </c>
      <c r="L3327" t="n">
        <v>7486</v>
      </c>
      <c r="M3327" t="n">
        <v>9500</v>
      </c>
      <c r="N3327" t="n">
        <v>91</v>
      </c>
      <c r="O3327" t="n">
        <v>0.91</v>
      </c>
      <c r="P3327" t="n">
        <v>1</v>
      </c>
      <c r="Q3327" t="n">
        <v>1.14</v>
      </c>
      <c r="R3327" t="n">
        <v>4</v>
      </c>
      <c r="S3327" t="n">
        <v>15993.25</v>
      </c>
      <c r="T3327" t="n">
        <v>35</v>
      </c>
      <c r="U3327" t="n">
        <v>42</v>
      </c>
      <c r="V3327" t="n">
        <v>30</v>
      </c>
      <c r="W3327" t="n">
        <v>51</v>
      </c>
      <c r="X3327" t="n">
        <v>6.534006534006533</v>
      </c>
      <c r="Y3327" t="n">
        <v>1</v>
      </c>
      <c r="Z3327" t="n">
        <v>40</v>
      </c>
      <c r="AA3327" t="n">
        <v>5</v>
      </c>
      <c r="AB3327" t="n">
        <v>35</v>
      </c>
      <c r="AC3327" t="n">
        <v>35</v>
      </c>
      <c r="AD3327" t="n">
        <v>37430</v>
      </c>
      <c r="AE3327" t="n">
        <v>262010</v>
      </c>
      <c r="AF3327" t="n">
        <v>13218</v>
      </c>
      <c r="AG3327" t="n">
        <v>106</v>
      </c>
      <c r="AH3327" t="inlineStr">
        <is>
          <t>PT. TEMPO - PPN (PDG)</t>
        </is>
      </c>
      <c r="AI3327" t="n">
        <v>106</v>
      </c>
      <c r="AJ3327" t="inlineStr">
        <is>
          <t>MARINA</t>
        </is>
      </c>
      <c r="AK3327" t="n">
        <v>21</v>
      </c>
      <c r="AL3327" t="inlineStr">
        <is>
          <t>Miss Glam Damar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MARINA</t>
        </is>
      </c>
      <c r="B3328" s="2">
        <f>"8999908734709"</f>
        <v/>
      </c>
      <c r="C3328" t="inlineStr">
        <is>
          <t>MARINA Uv White ECollagen Asta 92ml</t>
        </is>
      </c>
      <c r="D3328" t="inlineStr">
        <is>
          <t>Miss Glam Damar</t>
        </is>
      </c>
      <c r="E3328" t="n">
        <v>20</v>
      </c>
      <c r="F3328" t="n">
        <v>1.7745</v>
      </c>
      <c r="G3328" t="n">
        <v>10.01</v>
      </c>
      <c r="H3328" t="n">
        <v>4</v>
      </c>
      <c r="I3328" t="n">
        <v>9</v>
      </c>
      <c r="J3328" t="n">
        <v>3</v>
      </c>
      <c r="K3328" t="n">
        <v>0</v>
      </c>
      <c r="L3328" t="n">
        <v>4387</v>
      </c>
      <c r="M3328" t="n">
        <v>6000</v>
      </c>
      <c r="N3328" t="n">
        <v>91</v>
      </c>
      <c r="O3328" t="n">
        <v>0.91</v>
      </c>
      <c r="P3328" t="n">
        <v>1</v>
      </c>
      <c r="Q3328" t="n">
        <v>1.24</v>
      </c>
      <c r="R3328" t="n">
        <v>7</v>
      </c>
      <c r="S3328" t="n">
        <v>10647</v>
      </c>
      <c r="T3328" t="n">
        <v>83</v>
      </c>
      <c r="U3328" t="n">
        <v>91</v>
      </c>
      <c r="V3328" t="n">
        <v>30</v>
      </c>
      <c r="W3328" t="n">
        <v>54</v>
      </c>
      <c r="X3328" t="n">
        <v>11.27078050154973</v>
      </c>
      <c r="Y3328" t="n">
        <v>1</v>
      </c>
      <c r="Z3328" t="n">
        <v>34</v>
      </c>
      <c r="AA3328" t="n">
        <v>0</v>
      </c>
      <c r="AB3328" t="n">
        <v>34</v>
      </c>
      <c r="AC3328" t="n">
        <v>34</v>
      </c>
      <c r="AD3328" t="n">
        <v>0</v>
      </c>
      <c r="AE3328" t="n">
        <v>149158</v>
      </c>
      <c r="AF3328" t="n">
        <v>13218</v>
      </c>
      <c r="AG3328" t="n">
        <v>106</v>
      </c>
      <c r="AH3328" t="inlineStr">
        <is>
          <t>PT. TEMPO - PPN (PDG)</t>
        </is>
      </c>
      <c r="AI3328" t="n">
        <v>106</v>
      </c>
      <c r="AJ3328" t="inlineStr">
        <is>
          <t>MARINA</t>
        </is>
      </c>
      <c r="AK3328" t="n">
        <v>21</v>
      </c>
      <c r="AL3328" t="inlineStr">
        <is>
          <t>Miss Glam Damar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MARINA</t>
        </is>
      </c>
      <c r="B3329" s="2">
        <f>"8999908450906"</f>
        <v/>
      </c>
      <c r="C3329" t="inlineStr">
        <is>
          <t>MARINA Uv White Extra SPF30 185ml</t>
        </is>
      </c>
      <c r="D3329" t="inlineStr">
        <is>
          <t>Miss Glam Damar</t>
        </is>
      </c>
      <c r="E3329" t="n">
        <v>57</v>
      </c>
      <c r="F3329" t="n">
        <v>5.1233</v>
      </c>
      <c r="G3329" t="n">
        <v>13.65</v>
      </c>
      <c r="H3329" t="n">
        <v>4</v>
      </c>
      <c r="I3329" t="n">
        <v>9</v>
      </c>
      <c r="J3329" t="n">
        <v>3</v>
      </c>
      <c r="K3329" t="n">
        <v>0</v>
      </c>
      <c r="L3329" t="n">
        <v>13850</v>
      </c>
      <c r="M3329" t="n">
        <v>19500</v>
      </c>
      <c r="N3329" t="n">
        <v>91</v>
      </c>
      <c r="O3329" t="n">
        <v>0.91</v>
      </c>
      <c r="P3329" t="n">
        <v>1</v>
      </c>
      <c r="Q3329" t="n">
        <v>4.98</v>
      </c>
      <c r="R3329" t="n">
        <v>13</v>
      </c>
      <c r="S3329" t="n">
        <v>99904.35000000001</v>
      </c>
      <c r="T3329" t="n">
        <v>103</v>
      </c>
      <c r="U3329" t="n">
        <v>124</v>
      </c>
      <c r="V3329" t="n">
        <v>30</v>
      </c>
      <c r="W3329" t="n">
        <v>154</v>
      </c>
      <c r="X3329" t="n">
        <v>11.12564167626335</v>
      </c>
      <c r="Y3329" t="n">
        <v>1</v>
      </c>
      <c r="Z3329" t="n">
        <v>97</v>
      </c>
      <c r="AA3329" t="n">
        <v>0</v>
      </c>
      <c r="AB3329" t="n">
        <v>97</v>
      </c>
      <c r="AC3329" t="n">
        <v>97</v>
      </c>
      <c r="AD3329" t="n">
        <v>0</v>
      </c>
      <c r="AE3329" t="n">
        <v>1343450</v>
      </c>
      <c r="AF3329" t="n">
        <v>13218</v>
      </c>
      <c r="AG3329" t="n">
        <v>106</v>
      </c>
      <c r="AH3329" t="inlineStr">
        <is>
          <t>PT. TEMPO - PPN (PDG)</t>
        </is>
      </c>
      <c r="AI3329" t="n">
        <v>106</v>
      </c>
      <c r="AJ3329" t="inlineStr">
        <is>
          <t>MARINA</t>
        </is>
      </c>
      <c r="AK3329" t="n">
        <v>21</v>
      </c>
      <c r="AL3329" t="inlineStr">
        <is>
          <t>Miss Glam Damar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MARINA</t>
        </is>
      </c>
      <c r="B3330" s="2">
        <f>"8999908010605"</f>
        <v/>
      </c>
      <c r="C3330" t="inlineStr">
        <is>
          <t>MARINA Uv White Nourish &amp; Bright Lotion 92ml</t>
        </is>
      </c>
      <c r="D3330" t="inlineStr">
        <is>
          <t>Miss Glam Damar</t>
        </is>
      </c>
      <c r="E3330" t="n">
        <v>23</v>
      </c>
      <c r="F3330" t="n">
        <v>1.5106</v>
      </c>
      <c r="G3330" t="n">
        <v>7.28</v>
      </c>
      <c r="H3330" t="n">
        <v>4</v>
      </c>
      <c r="I3330" t="n">
        <v>9</v>
      </c>
      <c r="J3330" t="n">
        <v>3</v>
      </c>
      <c r="K3330" t="n">
        <v>0</v>
      </c>
      <c r="L3330" t="n">
        <v>4400</v>
      </c>
      <c r="M3330" t="n">
        <v>5500</v>
      </c>
      <c r="N3330" t="n">
        <v>91</v>
      </c>
      <c r="O3330" t="n">
        <v>0.91</v>
      </c>
      <c r="P3330" t="n">
        <v>1</v>
      </c>
      <c r="Q3330" t="n">
        <v>0.68</v>
      </c>
      <c r="R3330" t="n">
        <v>4</v>
      </c>
      <c r="S3330" t="n">
        <v>8308.299999999999</v>
      </c>
      <c r="T3330" t="n">
        <v>60</v>
      </c>
      <c r="U3330" t="n">
        <v>67</v>
      </c>
      <c r="V3330" t="n">
        <v>30</v>
      </c>
      <c r="W3330" t="n">
        <v>46</v>
      </c>
      <c r="X3330" t="n">
        <v>15.22573811730438</v>
      </c>
      <c r="Y3330" t="n">
        <v>1</v>
      </c>
      <c r="Z3330" t="n">
        <v>23</v>
      </c>
      <c r="AA3330" t="n">
        <v>0</v>
      </c>
      <c r="AB3330" t="n">
        <v>23</v>
      </c>
      <c r="AC3330" t="n">
        <v>23</v>
      </c>
      <c r="AD3330" t="n">
        <v>0</v>
      </c>
      <c r="AE3330" t="n">
        <v>101200</v>
      </c>
      <c r="AF3330" t="n">
        <v>13218</v>
      </c>
      <c r="AG3330" t="n">
        <v>106</v>
      </c>
      <c r="AH3330" t="inlineStr">
        <is>
          <t>PT. TEMPO - PPN (PDG)</t>
        </is>
      </c>
      <c r="AI3330" t="n">
        <v>106</v>
      </c>
      <c r="AJ3330" t="inlineStr">
        <is>
          <t>MARINA</t>
        </is>
      </c>
      <c r="AK3330" t="n">
        <v>21</v>
      </c>
      <c r="AL3330" t="inlineStr">
        <is>
          <t>Miss Glam Damar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MARSHWILLOW</t>
        </is>
      </c>
      <c r="B3331" s="2">
        <f>"20101208157"</f>
        <v/>
      </c>
      <c r="C3331" t="inlineStr">
        <is>
          <t>MARASHWILLOW Pretty Me Stay On Matte Setting Spray 100ml</t>
        </is>
      </c>
      <c r="D3331" t="inlineStr">
        <is>
          <t>Miss Glam Damar</t>
        </is>
      </c>
      <c r="E3331" t="n">
        <v>5</v>
      </c>
      <c r="F3331" t="n">
        <v>0.12</v>
      </c>
      <c r="G3331" t="n">
        <v>1</v>
      </c>
      <c r="H3331" t="n">
        <v>2</v>
      </c>
      <c r="I3331" t="n">
        <v>16</v>
      </c>
      <c r="J3331" t="n">
        <v>1</v>
      </c>
      <c r="K3331" t="n">
        <v>0</v>
      </c>
      <c r="L3331" t="n">
        <v>25650</v>
      </c>
      <c r="M3331" t="n">
        <v>30500</v>
      </c>
      <c r="N3331" t="n">
        <v>91</v>
      </c>
      <c r="O3331" t="n">
        <v>0.91</v>
      </c>
      <c r="P3331" t="n">
        <v>0</v>
      </c>
      <c r="Q3331" t="n">
        <v>0.12</v>
      </c>
      <c r="R3331" t="n">
        <v>1</v>
      </c>
      <c r="S3331" t="n">
        <v>3660</v>
      </c>
      <c r="T3331" t="n">
        <v>16</v>
      </c>
      <c r="U3331" t="n">
        <v>17</v>
      </c>
      <c r="V3331" t="n">
        <v>30</v>
      </c>
      <c r="W3331" t="n">
        <v>4</v>
      </c>
      <c r="X3331" t="n">
        <v>41.66666666666667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585</v>
      </c>
      <c r="AG3331" t="n">
        <v>107</v>
      </c>
      <c r="AH3331" t="inlineStr">
        <is>
          <t xml:space="preserve">CV. DAHLIA - PPN (PDG) </t>
        </is>
      </c>
      <c r="AI3331" t="n">
        <v>107</v>
      </c>
      <c r="AJ3331" t="inlineStr">
        <is>
          <t>MARSHWILLOW</t>
        </is>
      </c>
      <c r="AK3331" t="n">
        <v>21</v>
      </c>
      <c r="AL3331" t="inlineStr">
        <is>
          <t>Miss Glam Damar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MARSHWILLOW</t>
        </is>
      </c>
      <c r="B3332" s="2">
        <f>"8997232431837"</f>
        <v/>
      </c>
      <c r="C3332" t="inlineStr">
        <is>
          <t>MARSHWILLOW Candy Crush Berry Pop 3.5gr</t>
        </is>
      </c>
      <c r="D3332" t="inlineStr">
        <is>
          <t>Miss Glam Damar</t>
        </is>
      </c>
      <c r="E3332" t="n">
        <v>4</v>
      </c>
      <c r="F3332" t="n">
        <v>0.3731</v>
      </c>
      <c r="G3332" t="n">
        <v>3.64</v>
      </c>
      <c r="H3332" t="n">
        <v>2</v>
      </c>
      <c r="I3332" t="n">
        <v>16</v>
      </c>
      <c r="J3332" t="n">
        <v>3</v>
      </c>
      <c r="K3332" t="n">
        <v>0</v>
      </c>
      <c r="L3332" t="n">
        <v>5694</v>
      </c>
      <c r="M3332" t="n">
        <v>7500</v>
      </c>
      <c r="N3332" t="n">
        <v>91</v>
      </c>
      <c r="O3332" t="n">
        <v>0.91</v>
      </c>
      <c r="P3332" t="n">
        <v>1</v>
      </c>
      <c r="Q3332" t="n">
        <v>0.8</v>
      </c>
      <c r="R3332" t="n">
        <v>3</v>
      </c>
      <c r="S3332" t="n">
        <v>2798.25</v>
      </c>
      <c r="T3332" t="n">
        <v>58</v>
      </c>
      <c r="U3332" t="n">
        <v>59</v>
      </c>
      <c r="V3332" t="n">
        <v>30</v>
      </c>
      <c r="W3332" t="n">
        <v>12</v>
      </c>
      <c r="X3332" t="n">
        <v>10.72098633074243</v>
      </c>
      <c r="Y3332" t="n">
        <v>1</v>
      </c>
      <c r="Z3332" t="n">
        <v>8</v>
      </c>
      <c r="AA3332" t="n">
        <v>2</v>
      </c>
      <c r="AB3332" t="n">
        <v>6</v>
      </c>
      <c r="AC3332" t="n">
        <v>6</v>
      </c>
      <c r="AD3332" t="n">
        <v>11388</v>
      </c>
      <c r="AE3332" t="n">
        <v>34164</v>
      </c>
      <c r="AF3332" t="n">
        <v>585</v>
      </c>
      <c r="AG3332" t="n">
        <v>107</v>
      </c>
      <c r="AH3332" t="inlineStr">
        <is>
          <t xml:space="preserve">CV. DAHLIA - PPN (PDG) </t>
        </is>
      </c>
      <c r="AI3332" t="n">
        <v>107</v>
      </c>
      <c r="AJ3332" t="inlineStr">
        <is>
          <t>MARSHWILLOW</t>
        </is>
      </c>
      <c r="AK3332" t="n">
        <v>21</v>
      </c>
      <c r="AL3332" t="inlineStr">
        <is>
          <t>Miss Glam Damar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MARSHWILLOW</t>
        </is>
      </c>
      <c r="B3333" s="2">
        <f>"8997232431851"</f>
        <v/>
      </c>
      <c r="C3333" t="inlineStr">
        <is>
          <t>MARSHWILLOW Candy Crush Bubble Gum 3.5gr</t>
        </is>
      </c>
      <c r="D3333" t="inlineStr">
        <is>
          <t>Miss Glam Damar</t>
        </is>
      </c>
      <c r="E3333" t="n">
        <v>1</v>
      </c>
      <c r="F3333" t="n">
        <v>0.3094</v>
      </c>
      <c r="G3333" t="n">
        <v>2.73</v>
      </c>
      <c r="H3333" t="n">
        <v>2</v>
      </c>
      <c r="I3333" t="n">
        <v>16</v>
      </c>
      <c r="J3333" t="n">
        <v>3</v>
      </c>
      <c r="K3333" t="n">
        <v>0</v>
      </c>
      <c r="L3333" t="n">
        <v>5694</v>
      </c>
      <c r="M3333" t="n">
        <v>9000</v>
      </c>
      <c r="N3333" t="n">
        <v>91</v>
      </c>
      <c r="O3333" t="n">
        <v>0.91</v>
      </c>
      <c r="P3333" t="n">
        <v>1</v>
      </c>
      <c r="Q3333" t="n">
        <v>0.44</v>
      </c>
      <c r="R3333" t="n">
        <v>4</v>
      </c>
      <c r="S3333" t="n">
        <v>2784.6</v>
      </c>
      <c r="T3333" t="n">
        <v>44</v>
      </c>
      <c r="U3333" t="n">
        <v>45</v>
      </c>
      <c r="V3333" t="n">
        <v>30</v>
      </c>
      <c r="W3333" t="n">
        <v>10</v>
      </c>
      <c r="X3333" t="n">
        <v>3.232062055591467</v>
      </c>
      <c r="Y3333" t="n">
        <v>1</v>
      </c>
      <c r="Z3333" t="n">
        <v>9</v>
      </c>
      <c r="AA3333" t="n">
        <v>4</v>
      </c>
      <c r="AB3333" t="n">
        <v>5</v>
      </c>
      <c r="AC3333" t="n">
        <v>5</v>
      </c>
      <c r="AD3333" t="n">
        <v>22776</v>
      </c>
      <c r="AE3333" t="n">
        <v>28470</v>
      </c>
      <c r="AF3333" t="n">
        <v>585</v>
      </c>
      <c r="AG3333" t="n">
        <v>107</v>
      </c>
      <c r="AH3333" t="inlineStr">
        <is>
          <t xml:space="preserve">CV. DAHLIA - PPN (PDG) </t>
        </is>
      </c>
      <c r="AI3333" t="n">
        <v>107</v>
      </c>
      <c r="AJ3333" t="inlineStr">
        <is>
          <t>MARSHWILLOW</t>
        </is>
      </c>
      <c r="AK3333" t="n">
        <v>21</v>
      </c>
      <c r="AL3333" t="inlineStr">
        <is>
          <t>Miss Glam Damar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MARSHWILLOW</t>
        </is>
      </c>
      <c r="B3334" s="2">
        <f>"8997232431868"</f>
        <v/>
      </c>
      <c r="C3334" t="inlineStr">
        <is>
          <t>MARSHWILLOW Candy Crush Cherry Lush 3.5gr</t>
        </is>
      </c>
      <c r="D3334" t="inlineStr">
        <is>
          <t>Miss Glam Damar</t>
        </is>
      </c>
      <c r="E3334" t="n">
        <v>0</v>
      </c>
      <c r="F3334" t="n">
        <v>0.2457</v>
      </c>
      <c r="G3334" t="n">
        <v>3.64</v>
      </c>
      <c r="H3334" t="n">
        <v>2</v>
      </c>
      <c r="I3334" t="n">
        <v>16</v>
      </c>
      <c r="J3334" t="n">
        <v>3</v>
      </c>
      <c r="K3334" t="n">
        <v>0</v>
      </c>
      <c r="L3334" t="n">
        <v>5694</v>
      </c>
      <c r="M3334" t="n">
        <v>7500</v>
      </c>
      <c r="N3334" t="n">
        <v>91</v>
      </c>
      <c r="O3334" t="n">
        <v>0.91</v>
      </c>
      <c r="P3334" t="n">
        <v>1</v>
      </c>
      <c r="Q3334" t="n">
        <v>1.45</v>
      </c>
      <c r="R3334" t="n">
        <v>5</v>
      </c>
      <c r="S3334" t="n">
        <v>1842.75</v>
      </c>
      <c r="T3334" t="n">
        <v>58</v>
      </c>
      <c r="U3334" t="n">
        <v>59</v>
      </c>
      <c r="V3334" t="n">
        <v>30</v>
      </c>
      <c r="W3334" t="n">
        <v>8</v>
      </c>
      <c r="X3334" t="n">
        <v>0</v>
      </c>
      <c r="Y3334" t="n">
        <v>1</v>
      </c>
      <c r="Z3334" t="n">
        <v>8</v>
      </c>
      <c r="AA3334" t="n">
        <v>4</v>
      </c>
      <c r="AB3334" t="n">
        <v>4</v>
      </c>
      <c r="AC3334" t="n">
        <v>4</v>
      </c>
      <c r="AD3334" t="n">
        <v>22776</v>
      </c>
      <c r="AE3334" t="n">
        <v>22776</v>
      </c>
      <c r="AF3334" t="n">
        <v>585</v>
      </c>
      <c r="AG3334" t="n">
        <v>107</v>
      </c>
      <c r="AH3334" t="inlineStr">
        <is>
          <t xml:space="preserve">CV. DAHLIA - PPN (PDG) </t>
        </is>
      </c>
      <c r="AI3334" t="n">
        <v>107</v>
      </c>
      <c r="AJ3334" t="inlineStr">
        <is>
          <t>MARSHWILLOW</t>
        </is>
      </c>
      <c r="AK3334" t="n">
        <v>21</v>
      </c>
      <c r="AL3334" t="inlineStr">
        <is>
          <t>Miss Glam Damar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MARSHWILLOW</t>
        </is>
      </c>
      <c r="B3335" s="2">
        <f>"8997232431844"</f>
        <v/>
      </c>
      <c r="C3335" t="inlineStr">
        <is>
          <t>MARSHWILLOW Candy Crush Explosion 3.5gr</t>
        </is>
      </c>
      <c r="D3335" t="inlineStr">
        <is>
          <t>Miss Glam Damar</t>
        </is>
      </c>
      <c r="E3335" t="n">
        <v>1</v>
      </c>
      <c r="F3335" t="n">
        <v>0.2002</v>
      </c>
      <c r="G3335" t="n">
        <v>2.73</v>
      </c>
      <c r="H3335" t="n">
        <v>2</v>
      </c>
      <c r="I3335" t="n">
        <v>16</v>
      </c>
      <c r="J3335" t="n">
        <v>3</v>
      </c>
      <c r="K3335" t="n">
        <v>0</v>
      </c>
      <c r="L3335" t="n">
        <v>5679</v>
      </c>
      <c r="M3335" t="n">
        <v>7500</v>
      </c>
      <c r="N3335" t="n">
        <v>91</v>
      </c>
      <c r="O3335" t="n">
        <v>0.91</v>
      </c>
      <c r="P3335" t="n">
        <v>1</v>
      </c>
      <c r="Q3335" t="n">
        <v>0.15</v>
      </c>
      <c r="R3335" t="n">
        <v>1</v>
      </c>
      <c r="S3335" t="n">
        <v>1501.5</v>
      </c>
      <c r="T3335" t="n">
        <v>44</v>
      </c>
      <c r="U3335" t="n">
        <v>45</v>
      </c>
      <c r="V3335" t="n">
        <v>30</v>
      </c>
      <c r="W3335" t="n">
        <v>7</v>
      </c>
      <c r="X3335" t="n">
        <v>4.995004995004995</v>
      </c>
      <c r="Y3335" t="n">
        <v>1</v>
      </c>
      <c r="Z3335" t="n">
        <v>6</v>
      </c>
      <c r="AA3335" t="n">
        <v>3</v>
      </c>
      <c r="AB3335" t="n">
        <v>3</v>
      </c>
      <c r="AC3335" t="n">
        <v>3</v>
      </c>
      <c r="AD3335" t="n">
        <v>17037</v>
      </c>
      <c r="AE3335" t="n">
        <v>17037</v>
      </c>
      <c r="AF3335" t="n">
        <v>585</v>
      </c>
      <c r="AG3335" t="n">
        <v>107</v>
      </c>
      <c r="AH3335" t="inlineStr">
        <is>
          <t xml:space="preserve">CV. DAHLIA - PPN (PDG) </t>
        </is>
      </c>
      <c r="AI3335" t="n">
        <v>107</v>
      </c>
      <c r="AJ3335" t="inlineStr">
        <is>
          <t>MARSHWILLOW</t>
        </is>
      </c>
      <c r="AK3335" t="n">
        <v>21</v>
      </c>
      <c r="AL3335" t="inlineStr">
        <is>
          <t>Miss Glam Damar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MARSHWILLOW</t>
        </is>
      </c>
      <c r="B3336" s="2">
        <f>"8997232431813"</f>
        <v/>
      </c>
      <c r="C3336" t="inlineStr">
        <is>
          <t>MARSHWILLOW Candy Crush Sugar Apple 3.5gr</t>
        </is>
      </c>
      <c r="D3336" t="inlineStr">
        <is>
          <t>Miss Glam Damar</t>
        </is>
      </c>
      <c r="E3336" t="n">
        <v>11</v>
      </c>
      <c r="F3336" t="n">
        <v>0.6643</v>
      </c>
      <c r="G3336" t="n">
        <v>2.73</v>
      </c>
      <c r="H3336" t="n">
        <v>2</v>
      </c>
      <c r="I3336" t="n">
        <v>16</v>
      </c>
      <c r="J3336" t="n">
        <v>3</v>
      </c>
      <c r="K3336" t="n">
        <v>0</v>
      </c>
      <c r="L3336" t="n">
        <v>5688</v>
      </c>
      <c r="M3336" t="n">
        <v>7500</v>
      </c>
      <c r="N3336" t="n">
        <v>91</v>
      </c>
      <c r="O3336" t="n">
        <v>0.91</v>
      </c>
      <c r="P3336" t="n">
        <v>1</v>
      </c>
      <c r="Q3336" t="n">
        <v>0.12</v>
      </c>
      <c r="R3336" t="n">
        <v>2</v>
      </c>
      <c r="S3336" t="n">
        <v>4982.25</v>
      </c>
      <c r="T3336" t="n">
        <v>43</v>
      </c>
      <c r="U3336" t="n">
        <v>45</v>
      </c>
      <c r="V3336" t="n">
        <v>30</v>
      </c>
      <c r="W3336" t="n">
        <v>20</v>
      </c>
      <c r="X3336" t="n">
        <v>16.55878368207135</v>
      </c>
      <c r="Y3336" t="n">
        <v>1</v>
      </c>
      <c r="Z3336" t="n">
        <v>9</v>
      </c>
      <c r="AA3336" t="n">
        <v>0</v>
      </c>
      <c r="AB3336" t="n">
        <v>9</v>
      </c>
      <c r="AC3336" t="n">
        <v>9</v>
      </c>
      <c r="AD3336" t="n">
        <v>0</v>
      </c>
      <c r="AE3336" t="n">
        <v>51192</v>
      </c>
      <c r="AF3336" t="n">
        <v>585</v>
      </c>
      <c r="AG3336" t="n">
        <v>107</v>
      </c>
      <c r="AH3336" t="inlineStr">
        <is>
          <t xml:space="preserve">CV. DAHLIA - PPN (PDG) </t>
        </is>
      </c>
      <c r="AI3336" t="n">
        <v>107</v>
      </c>
      <c r="AJ3336" t="inlineStr">
        <is>
          <t>MARSHWILLOW</t>
        </is>
      </c>
      <c r="AK3336" t="n">
        <v>21</v>
      </c>
      <c r="AL3336" t="inlineStr">
        <is>
          <t>Miss Glam Damar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MARSHWILLOW</t>
        </is>
      </c>
      <c r="B3337" s="2">
        <f>"8997232431820"</f>
        <v/>
      </c>
      <c r="C3337" t="inlineStr">
        <is>
          <t>MARSHWILLOW Candy Crush Tropical Punch 3.5gr</t>
        </is>
      </c>
      <c r="D3337" t="inlineStr">
        <is>
          <t>Miss Glam Damar</t>
        </is>
      </c>
      <c r="E3337" t="n">
        <v>11</v>
      </c>
      <c r="F3337" t="n">
        <v>0.2457</v>
      </c>
      <c r="G3337" t="n">
        <v>1.82</v>
      </c>
      <c r="H3337" t="n">
        <v>2</v>
      </c>
      <c r="I3337" t="n">
        <v>16</v>
      </c>
      <c r="J3337" t="n">
        <v>3</v>
      </c>
      <c r="K3337" t="n">
        <v>0</v>
      </c>
      <c r="L3337" t="n">
        <v>5694</v>
      </c>
      <c r="M3337" t="n">
        <v>7500</v>
      </c>
      <c r="N3337" t="n">
        <v>91</v>
      </c>
      <c r="O3337" t="n">
        <v>0.91</v>
      </c>
      <c r="P3337" t="n">
        <v>1</v>
      </c>
      <c r="Q3337" t="n">
        <v>0.29</v>
      </c>
      <c r="R3337" t="n">
        <v>4</v>
      </c>
      <c r="S3337" t="n">
        <v>1842.75</v>
      </c>
      <c r="T3337" t="n">
        <v>29</v>
      </c>
      <c r="U3337" t="n">
        <v>30</v>
      </c>
      <c r="V3337" t="n">
        <v>30</v>
      </c>
      <c r="W3337" t="n">
        <v>8</v>
      </c>
      <c r="X3337" t="n">
        <v>44.77004477004476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585</v>
      </c>
      <c r="AG3337" t="n">
        <v>107</v>
      </c>
      <c r="AH3337" t="inlineStr">
        <is>
          <t xml:space="preserve">CV. DAHLIA - PPN (PDG) </t>
        </is>
      </c>
      <c r="AI3337" t="n">
        <v>107</v>
      </c>
      <c r="AJ3337" t="inlineStr">
        <is>
          <t>MARSHWILLOW</t>
        </is>
      </c>
      <c r="AK3337" t="n">
        <v>21</v>
      </c>
      <c r="AL3337" t="inlineStr">
        <is>
          <t>Miss Glam Damar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MARSHWILLOW</t>
        </is>
      </c>
      <c r="B3338" s="2">
        <f>"8997232432612"</f>
        <v/>
      </c>
      <c r="C3338" t="inlineStr">
        <is>
          <t>MARSHWILLOW Dynamic Duo Blusher 04 2x1.4gr</t>
        </is>
      </c>
      <c r="D3338" t="inlineStr">
        <is>
          <t>Miss Glam Damar</t>
        </is>
      </c>
      <c r="E3338" t="n">
        <v>0</v>
      </c>
      <c r="F3338" t="n">
        <v>0.22</v>
      </c>
      <c r="G3338" t="n">
        <v>2</v>
      </c>
      <c r="H3338" t="n">
        <v>2</v>
      </c>
      <c r="I3338" t="n">
        <v>16</v>
      </c>
      <c r="J3338" t="n">
        <v>3</v>
      </c>
      <c r="K3338" t="n">
        <v>0</v>
      </c>
      <c r="L3338" t="n">
        <v>15185</v>
      </c>
      <c r="M3338" t="n">
        <v>19800</v>
      </c>
      <c r="N3338" t="n">
        <v>91</v>
      </c>
      <c r="O3338" t="n">
        <v>0.91</v>
      </c>
      <c r="P3338" t="n">
        <v>0</v>
      </c>
      <c r="Q3338" t="n">
        <v>0.22</v>
      </c>
      <c r="R3338" t="n">
        <v>2</v>
      </c>
      <c r="S3338" t="n">
        <v>4356</v>
      </c>
      <c r="T3338" t="n">
        <v>32</v>
      </c>
      <c r="U3338" t="n">
        <v>33</v>
      </c>
      <c r="V3338" t="n">
        <v>30</v>
      </c>
      <c r="W3338" t="n">
        <v>7</v>
      </c>
      <c r="X3338" t="n">
        <v>0</v>
      </c>
      <c r="Y3338" t="n">
        <v>1</v>
      </c>
      <c r="Z3338" t="n">
        <v>7</v>
      </c>
      <c r="AA3338" t="n">
        <v>4</v>
      </c>
      <c r="AB3338" t="n">
        <v>3</v>
      </c>
      <c r="AC3338" t="n">
        <v>3</v>
      </c>
      <c r="AD3338" t="n">
        <v>60740</v>
      </c>
      <c r="AE3338" t="n">
        <v>45555</v>
      </c>
      <c r="AF3338" t="n">
        <v>585</v>
      </c>
      <c r="AG3338" t="n">
        <v>107</v>
      </c>
      <c r="AH3338" t="inlineStr">
        <is>
          <t xml:space="preserve">CV. DAHLIA - PPN (PDG) </t>
        </is>
      </c>
      <c r="AI3338" t="n">
        <v>107</v>
      </c>
      <c r="AJ3338" t="inlineStr">
        <is>
          <t>MARSHWILLOW</t>
        </is>
      </c>
      <c r="AK3338" t="n">
        <v>21</v>
      </c>
      <c r="AL3338" t="inlineStr">
        <is>
          <t>Miss Glam Damar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MARSHWILLOW</t>
        </is>
      </c>
      <c r="B3339" s="2">
        <f>"8997232432599"</f>
        <v/>
      </c>
      <c r="C3339" t="inlineStr">
        <is>
          <t>MARSHWILLOW Dynamic Duo Blusher 2 x 1.4 gr</t>
        </is>
      </c>
      <c r="D3339" t="inlineStr">
        <is>
          <t>Miss Glam Damar</t>
        </is>
      </c>
      <c r="E3339" t="n">
        <v>-1</v>
      </c>
      <c r="F3339" t="n">
        <v>0.17</v>
      </c>
      <c r="G3339" t="n">
        <v>2</v>
      </c>
      <c r="H3339" t="n">
        <v>2</v>
      </c>
      <c r="I3339" t="n">
        <v>16</v>
      </c>
      <c r="J3339" t="n">
        <v>3</v>
      </c>
      <c r="K3339" t="n">
        <v>0</v>
      </c>
      <c r="L3339" t="n">
        <v>15185</v>
      </c>
      <c r="M3339" t="n">
        <v>20000</v>
      </c>
      <c r="N3339" t="n">
        <v>91</v>
      </c>
      <c r="O3339" t="n">
        <v>0.91</v>
      </c>
      <c r="P3339" t="n">
        <v>0</v>
      </c>
      <c r="Q3339" t="n">
        <v>0.17</v>
      </c>
      <c r="R3339" t="n">
        <v>2</v>
      </c>
      <c r="S3339" t="n">
        <v>3400</v>
      </c>
      <c r="T3339" t="n">
        <v>32</v>
      </c>
      <c r="U3339" t="n">
        <v>33</v>
      </c>
      <c r="V3339" t="n">
        <v>30</v>
      </c>
      <c r="W3339" t="n">
        <v>6</v>
      </c>
      <c r="X3339" t="n">
        <v>-5.88235294117647</v>
      </c>
      <c r="Y3339" t="n">
        <v>1</v>
      </c>
      <c r="Z3339" t="n">
        <v>7</v>
      </c>
      <c r="AA3339" t="n">
        <v>4</v>
      </c>
      <c r="AB3339" t="n">
        <v>3</v>
      </c>
      <c r="AC3339" t="n">
        <v>3</v>
      </c>
      <c r="AD3339" t="n">
        <v>60740</v>
      </c>
      <c r="AE3339" t="n">
        <v>45555</v>
      </c>
      <c r="AF3339" t="n">
        <v>585</v>
      </c>
      <c r="AG3339" t="n">
        <v>107</v>
      </c>
      <c r="AH3339" t="inlineStr">
        <is>
          <t xml:space="preserve">CV. DAHLIA - PPN (PDG) </t>
        </is>
      </c>
      <c r="AI3339" t="n">
        <v>107</v>
      </c>
      <c r="AJ3339" t="inlineStr">
        <is>
          <t>MARSHWILLOW</t>
        </is>
      </c>
      <c r="AK3339" t="n">
        <v>21</v>
      </c>
      <c r="AL3339" t="inlineStr">
        <is>
          <t>Miss Glam Damar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MARSHWILLOW</t>
        </is>
      </c>
      <c r="B3340" s="2">
        <f>"8997232433190"</f>
        <v/>
      </c>
      <c r="C3340" t="inlineStr">
        <is>
          <t>MARSHWILLOW Fairy Dust Face Pallete Peach Series (blusher2x1.8gr eyeshadow 8x0.9gr)</t>
        </is>
      </c>
      <c r="D3340" t="inlineStr">
        <is>
          <t>Miss Glam Damar</t>
        </is>
      </c>
      <c r="E3340" t="n">
        <v>2</v>
      </c>
      <c r="F3340" t="n">
        <v>0.42</v>
      </c>
      <c r="G3340" t="n">
        <v>6</v>
      </c>
      <c r="H3340" t="n">
        <v>2</v>
      </c>
      <c r="I3340" t="n">
        <v>16</v>
      </c>
      <c r="J3340" t="n">
        <v>3</v>
      </c>
      <c r="K3340" t="n">
        <v>0</v>
      </c>
      <c r="L3340" t="n">
        <v>28472</v>
      </c>
      <c r="M3340" t="n">
        <v>37500</v>
      </c>
      <c r="N3340" t="n">
        <v>91</v>
      </c>
      <c r="O3340" t="n">
        <v>0.91</v>
      </c>
      <c r="P3340" t="n">
        <v>0</v>
      </c>
      <c r="Q3340" t="n">
        <v>0.42</v>
      </c>
      <c r="R3340" t="n">
        <v>6</v>
      </c>
      <c r="S3340" t="n">
        <v>15750</v>
      </c>
      <c r="T3340" t="n">
        <v>96</v>
      </c>
      <c r="U3340" t="n">
        <v>97</v>
      </c>
      <c r="V3340" t="n">
        <v>30</v>
      </c>
      <c r="W3340" t="n">
        <v>13</v>
      </c>
      <c r="X3340" t="n">
        <v>4.761904761904762</v>
      </c>
      <c r="Y3340" t="n">
        <v>1</v>
      </c>
      <c r="Z3340" t="n">
        <v>11</v>
      </c>
      <c r="AA3340" t="n">
        <v>5</v>
      </c>
      <c r="AB3340" t="n">
        <v>6</v>
      </c>
      <c r="AC3340" t="n">
        <v>6</v>
      </c>
      <c r="AD3340" t="n">
        <v>142360</v>
      </c>
      <c r="AE3340" t="n">
        <v>170832</v>
      </c>
      <c r="AF3340" t="n">
        <v>585</v>
      </c>
      <c r="AG3340" t="n">
        <v>107</v>
      </c>
      <c r="AH3340" t="inlineStr">
        <is>
          <t xml:space="preserve">CV. DAHLIA - PPN (PDG) </t>
        </is>
      </c>
      <c r="AI3340" t="n">
        <v>107</v>
      </c>
      <c r="AJ3340" t="inlineStr">
        <is>
          <t>MARSHWILLOW</t>
        </is>
      </c>
      <c r="AK3340" t="n">
        <v>21</v>
      </c>
      <c r="AL3340" t="inlineStr">
        <is>
          <t>Miss Glam Damar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MARSHWILLOW</t>
        </is>
      </c>
      <c r="B3341" s="2">
        <f>"8997232433206"</f>
        <v/>
      </c>
      <c r="C3341" t="inlineStr">
        <is>
          <t>MARSHWILLOW Fairy Dust Face Pallete Twinkle Series (blusher2x1,8gr eyeshadow 8x0,9gr)</t>
        </is>
      </c>
      <c r="D3341" t="inlineStr">
        <is>
          <t>Miss Glam Damar</t>
        </is>
      </c>
      <c r="E3341" t="n">
        <v>5</v>
      </c>
      <c r="F3341" t="n">
        <v>0.1729</v>
      </c>
      <c r="G3341" t="n">
        <v>1.82</v>
      </c>
      <c r="H3341" t="n">
        <v>2</v>
      </c>
      <c r="I3341" t="n">
        <v>16</v>
      </c>
      <c r="J3341" t="n">
        <v>3</v>
      </c>
      <c r="K3341" t="n">
        <v>0</v>
      </c>
      <c r="L3341" t="n">
        <v>28472</v>
      </c>
      <c r="M3341" t="n">
        <v>37500</v>
      </c>
      <c r="N3341" t="n">
        <v>91</v>
      </c>
      <c r="O3341" t="n">
        <v>0.91</v>
      </c>
      <c r="P3341" t="n">
        <v>1</v>
      </c>
      <c r="Q3341" t="n">
        <v>0.25</v>
      </c>
      <c r="R3341" t="n">
        <v>2</v>
      </c>
      <c r="S3341" t="n">
        <v>6483.75</v>
      </c>
      <c r="T3341" t="n">
        <v>29</v>
      </c>
      <c r="U3341" t="n">
        <v>30</v>
      </c>
      <c r="V3341" t="n">
        <v>30</v>
      </c>
      <c r="W3341" t="n">
        <v>6</v>
      </c>
      <c r="X3341" t="n">
        <v>28.91844997108155</v>
      </c>
      <c r="Y3341" t="n">
        <v>1</v>
      </c>
      <c r="Z3341" t="n">
        <v>1</v>
      </c>
      <c r="AA3341" t="n">
        <v>0</v>
      </c>
      <c r="AB3341" t="n">
        <v>1</v>
      </c>
      <c r="AC3341" t="n">
        <v>3</v>
      </c>
      <c r="AD3341" t="n">
        <v>0</v>
      </c>
      <c r="AE3341" t="n">
        <v>85416</v>
      </c>
      <c r="AF3341" t="n">
        <v>585</v>
      </c>
      <c r="AG3341" t="n">
        <v>107</v>
      </c>
      <c r="AH3341" t="inlineStr">
        <is>
          <t xml:space="preserve">CV. DAHLIA - PPN (PDG) </t>
        </is>
      </c>
      <c r="AI3341" t="n">
        <v>107</v>
      </c>
      <c r="AJ3341" t="inlineStr">
        <is>
          <t>MARSHWILLOW</t>
        </is>
      </c>
      <c r="AK3341" t="n">
        <v>21</v>
      </c>
      <c r="AL3341" t="inlineStr">
        <is>
          <t>Miss Glam Damar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MARSHWILLOW</t>
        </is>
      </c>
      <c r="B3342" s="2">
        <f>"10700332213"</f>
        <v/>
      </c>
      <c r="C3342" t="inlineStr">
        <is>
          <t>MARSHWILLOW Lip Butter Up Tinted Balm Candy Pink 3gr</t>
        </is>
      </c>
      <c r="D3342" t="inlineStr">
        <is>
          <t>Miss Glam Damar</t>
        </is>
      </c>
      <c r="E3342" t="n">
        <v>5</v>
      </c>
      <c r="F3342" t="n">
        <v>0.02</v>
      </c>
      <c r="G3342" t="n">
        <v>1</v>
      </c>
      <c r="H3342" t="n">
        <v>2</v>
      </c>
      <c r="I3342" t="n">
        <v>16</v>
      </c>
      <c r="J3342" t="n">
        <v>1</v>
      </c>
      <c r="K3342" t="n">
        <v>0</v>
      </c>
      <c r="L3342" t="n">
        <v>18725</v>
      </c>
      <c r="M3342" t="n">
        <v>22500</v>
      </c>
      <c r="N3342" t="n">
        <v>91</v>
      </c>
      <c r="O3342" t="n">
        <v>0.91</v>
      </c>
      <c r="P3342" t="n">
        <v>0</v>
      </c>
      <c r="Q3342" t="n">
        <v>0.02</v>
      </c>
      <c r="R3342" t="n">
        <v>1</v>
      </c>
      <c r="S3342" t="n">
        <v>450</v>
      </c>
      <c r="T3342" t="n">
        <v>16</v>
      </c>
      <c r="U3342" t="n">
        <v>17</v>
      </c>
      <c r="V3342" t="n">
        <v>30</v>
      </c>
      <c r="W3342" t="n">
        <v>1</v>
      </c>
      <c r="X3342" t="n">
        <v>250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585</v>
      </c>
      <c r="AG3342" t="n">
        <v>107</v>
      </c>
      <c r="AH3342" t="inlineStr">
        <is>
          <t xml:space="preserve">CV. DAHLIA - PPN (PDG) </t>
        </is>
      </c>
      <c r="AI3342" t="n">
        <v>107</v>
      </c>
      <c r="AJ3342" t="inlineStr">
        <is>
          <t>MARSHWILLOW</t>
        </is>
      </c>
      <c r="AK3342" t="n">
        <v>21</v>
      </c>
      <c r="AL3342" t="inlineStr">
        <is>
          <t>Miss Glam Damar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MARSHWILLOW</t>
        </is>
      </c>
      <c r="B3343" s="2">
        <f>"10700332350"</f>
        <v/>
      </c>
      <c r="C3343" t="inlineStr">
        <is>
          <t>MARSHWILLOW Lip Butter Up Tinted Balm Cherry Rush 3gr</t>
        </is>
      </c>
      <c r="D3343" t="inlineStr">
        <is>
          <t>Miss Glam Damar</t>
        </is>
      </c>
      <c r="E3343" t="n">
        <v>6</v>
      </c>
      <c r="F3343" t="n">
        <v>0.05</v>
      </c>
      <c r="G3343" t="n">
        <v>1</v>
      </c>
      <c r="H3343" t="n">
        <v>2</v>
      </c>
      <c r="I3343" t="n">
        <v>16</v>
      </c>
      <c r="J3343" t="n">
        <v>1</v>
      </c>
      <c r="K3343" t="n">
        <v>0</v>
      </c>
      <c r="L3343" t="n">
        <v>18725</v>
      </c>
      <c r="M3343" t="n">
        <v>22500</v>
      </c>
      <c r="N3343" t="n">
        <v>91</v>
      </c>
      <c r="O3343" t="n">
        <v>0.91</v>
      </c>
      <c r="P3343" t="n">
        <v>0</v>
      </c>
      <c r="Q3343" t="n">
        <v>0.05</v>
      </c>
      <c r="R3343" t="n">
        <v>1</v>
      </c>
      <c r="S3343" t="n">
        <v>1125</v>
      </c>
      <c r="T3343" t="n">
        <v>16</v>
      </c>
      <c r="U3343" t="n">
        <v>17</v>
      </c>
      <c r="V3343" t="n">
        <v>30</v>
      </c>
      <c r="W3343" t="n">
        <v>2</v>
      </c>
      <c r="X3343" t="n">
        <v>120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585</v>
      </c>
      <c r="AG3343" t="n">
        <v>107</v>
      </c>
      <c r="AH3343" t="inlineStr">
        <is>
          <t xml:space="preserve">CV. DAHLIA - PPN (PDG) </t>
        </is>
      </c>
      <c r="AI3343" t="n">
        <v>107</v>
      </c>
      <c r="AJ3343" t="inlineStr">
        <is>
          <t>MARSHWILLOW</t>
        </is>
      </c>
      <c r="AK3343" t="n">
        <v>21</v>
      </c>
      <c r="AL3343" t="inlineStr">
        <is>
          <t>Miss Glam Damar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MARSHWILLOW</t>
        </is>
      </c>
      <c r="B3344" s="2">
        <f>"10700332533"</f>
        <v/>
      </c>
      <c r="C3344" t="inlineStr">
        <is>
          <t>MARSHWILLOW Lip Butter Up Tinted Balm Peach Pie 3gr</t>
        </is>
      </c>
      <c r="D3344" t="inlineStr">
        <is>
          <t>Miss Glam Damar</t>
        </is>
      </c>
      <c r="E3344" t="n">
        <v>4</v>
      </c>
      <c r="F3344" t="n">
        <v>0.05</v>
      </c>
      <c r="G3344" t="n">
        <v>1</v>
      </c>
      <c r="H3344" t="n">
        <v>2</v>
      </c>
      <c r="I3344" t="n">
        <v>16</v>
      </c>
      <c r="J3344" t="n">
        <v>1</v>
      </c>
      <c r="K3344" t="n">
        <v>0</v>
      </c>
      <c r="L3344" t="n">
        <v>18725</v>
      </c>
      <c r="M3344" t="n">
        <v>22500</v>
      </c>
      <c r="N3344" t="n">
        <v>91</v>
      </c>
      <c r="O3344" t="n">
        <v>0.91</v>
      </c>
      <c r="P3344" t="n">
        <v>0</v>
      </c>
      <c r="Q3344" t="n">
        <v>0.05</v>
      </c>
      <c r="R3344" t="n">
        <v>1</v>
      </c>
      <c r="S3344" t="n">
        <v>1125</v>
      </c>
      <c r="T3344" t="n">
        <v>16</v>
      </c>
      <c r="U3344" t="n">
        <v>17</v>
      </c>
      <c r="V3344" t="n">
        <v>30</v>
      </c>
      <c r="W3344" t="n">
        <v>2</v>
      </c>
      <c r="X3344" t="n">
        <v>80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585</v>
      </c>
      <c r="AG3344" t="n">
        <v>107</v>
      </c>
      <c r="AH3344" t="inlineStr">
        <is>
          <t xml:space="preserve">CV. DAHLIA - PPN (PDG) </t>
        </is>
      </c>
      <c r="AI3344" t="n">
        <v>107</v>
      </c>
      <c r="AJ3344" t="inlineStr">
        <is>
          <t>MARSHWILLOW</t>
        </is>
      </c>
      <c r="AK3344" t="n">
        <v>21</v>
      </c>
      <c r="AL3344" t="inlineStr">
        <is>
          <t>Miss Glam Damar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MARSHWILLOW</t>
        </is>
      </c>
      <c r="B3345" s="2">
        <f>"8997232433794"</f>
        <v/>
      </c>
      <c r="C3345" t="inlineStr">
        <is>
          <t>MARSHWILLOW Lipsy Serum Vit E &amp; Jojoba Oil 5 ml</t>
        </is>
      </c>
      <c r="D3345" t="inlineStr">
        <is>
          <t>Miss Glam Damar</t>
        </is>
      </c>
      <c r="E3345" t="n">
        <v>7</v>
      </c>
      <c r="F3345" t="n">
        <v>0.05</v>
      </c>
      <c r="G3345" t="n">
        <v>1</v>
      </c>
      <c r="H3345" t="n">
        <v>2</v>
      </c>
      <c r="I3345" t="n">
        <v>16</v>
      </c>
      <c r="J3345" t="n">
        <v>3</v>
      </c>
      <c r="K3345" t="n">
        <v>0</v>
      </c>
      <c r="L3345" t="n">
        <v>25624</v>
      </c>
      <c r="M3345" t="n">
        <v>38200</v>
      </c>
      <c r="N3345" t="n">
        <v>91</v>
      </c>
      <c r="O3345" t="n">
        <v>0.91</v>
      </c>
      <c r="P3345" t="n">
        <v>0</v>
      </c>
      <c r="Q3345" t="n">
        <v>0.05</v>
      </c>
      <c r="R3345" t="n">
        <v>1</v>
      </c>
      <c r="S3345" t="n">
        <v>1910</v>
      </c>
      <c r="T3345" t="n">
        <v>16</v>
      </c>
      <c r="U3345" t="n">
        <v>17</v>
      </c>
      <c r="V3345" t="n">
        <v>30</v>
      </c>
      <c r="W3345" t="n">
        <v>2</v>
      </c>
      <c r="X3345" t="n">
        <v>140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585</v>
      </c>
      <c r="AG3345" t="n">
        <v>107</v>
      </c>
      <c r="AH3345" t="inlineStr">
        <is>
          <t xml:space="preserve">CV. DAHLIA - PPN (PDG) </t>
        </is>
      </c>
      <c r="AI3345" t="n">
        <v>107</v>
      </c>
      <c r="AJ3345" t="inlineStr">
        <is>
          <t>MARSHWILLOW</t>
        </is>
      </c>
      <c r="AK3345" t="n">
        <v>21</v>
      </c>
      <c r="AL3345" t="inlineStr">
        <is>
          <t>Miss Glam Damar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MARSHWILLOW</t>
        </is>
      </c>
      <c r="B3346" s="2">
        <f>"8997232433282"</f>
        <v/>
      </c>
      <c r="C3346" t="inlineStr">
        <is>
          <t>MARSHWILLOW Mascara Extra Volume Waterproof 8gr</t>
        </is>
      </c>
      <c r="D3346" t="inlineStr">
        <is>
          <t>Miss Glam Damar</t>
        </is>
      </c>
      <c r="E3346" t="n">
        <v>23</v>
      </c>
      <c r="F3346" t="n">
        <v>0.37</v>
      </c>
      <c r="G3346" t="n">
        <v>2</v>
      </c>
      <c r="H3346" t="n">
        <v>2</v>
      </c>
      <c r="I3346" t="n">
        <v>16</v>
      </c>
      <c r="J3346" t="n">
        <v>3</v>
      </c>
      <c r="K3346" t="n">
        <v>0</v>
      </c>
      <c r="L3346" t="n">
        <v>28472</v>
      </c>
      <c r="M3346" t="n">
        <v>37200</v>
      </c>
      <c r="N3346" t="n">
        <v>91</v>
      </c>
      <c r="O3346" t="n">
        <v>0.91</v>
      </c>
      <c r="P3346" t="n">
        <v>0</v>
      </c>
      <c r="Q3346" t="n">
        <v>0.37</v>
      </c>
      <c r="R3346" t="n">
        <v>2</v>
      </c>
      <c r="S3346" t="n">
        <v>13764</v>
      </c>
      <c r="T3346" t="n">
        <v>32</v>
      </c>
      <c r="U3346" t="n">
        <v>33</v>
      </c>
      <c r="V3346" t="n">
        <v>30</v>
      </c>
      <c r="W3346" t="n">
        <v>12</v>
      </c>
      <c r="X3346" t="n">
        <v>62.16216216216216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585</v>
      </c>
      <c r="AG3346" t="n">
        <v>107</v>
      </c>
      <c r="AH3346" t="inlineStr">
        <is>
          <t xml:space="preserve">CV. DAHLIA - PPN (PDG) </t>
        </is>
      </c>
      <c r="AI3346" t="n">
        <v>107</v>
      </c>
      <c r="AJ3346" t="inlineStr">
        <is>
          <t>MARSHWILLOW</t>
        </is>
      </c>
      <c r="AK3346" t="n">
        <v>21</v>
      </c>
      <c r="AL3346" t="inlineStr">
        <is>
          <t>Miss Glam Damar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MARSHWILLOW</t>
        </is>
      </c>
      <c r="B3347" s="2">
        <f>"8997232433275"</f>
        <v/>
      </c>
      <c r="C3347" t="inlineStr">
        <is>
          <t>MARSHWILLOW Mascara Overcurl Waterproof 8gr</t>
        </is>
      </c>
      <c r="D3347" t="inlineStr">
        <is>
          <t>Miss Glam Damar</t>
        </is>
      </c>
      <c r="E3347" t="n">
        <v>7</v>
      </c>
      <c r="F3347" t="n">
        <v>0.22</v>
      </c>
      <c r="G3347" t="n">
        <v>2</v>
      </c>
      <c r="H3347" t="n">
        <v>2</v>
      </c>
      <c r="I3347" t="n">
        <v>16</v>
      </c>
      <c r="J3347" t="n">
        <v>3</v>
      </c>
      <c r="K3347" t="n">
        <v>0</v>
      </c>
      <c r="L3347" t="n">
        <v>28472</v>
      </c>
      <c r="M3347" t="n">
        <v>37200</v>
      </c>
      <c r="N3347" t="n">
        <v>91</v>
      </c>
      <c r="O3347" t="n">
        <v>0.91</v>
      </c>
      <c r="P3347" t="n">
        <v>0</v>
      </c>
      <c r="Q3347" t="n">
        <v>0.22</v>
      </c>
      <c r="R3347" t="n">
        <v>2</v>
      </c>
      <c r="S3347" t="n">
        <v>8184</v>
      </c>
      <c r="T3347" t="n">
        <v>32</v>
      </c>
      <c r="U3347" t="n">
        <v>33</v>
      </c>
      <c r="V3347" t="n">
        <v>30</v>
      </c>
      <c r="W3347" t="n">
        <v>7</v>
      </c>
      <c r="X3347" t="n">
        <v>31.81818181818182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585</v>
      </c>
      <c r="AG3347" t="n">
        <v>107</v>
      </c>
      <c r="AH3347" t="inlineStr">
        <is>
          <t xml:space="preserve">CV. DAHLIA - PPN (PDG) </t>
        </is>
      </c>
      <c r="AI3347" t="n">
        <v>107</v>
      </c>
      <c r="AJ3347" t="inlineStr">
        <is>
          <t>MARSHWILLOW</t>
        </is>
      </c>
      <c r="AK3347" t="n">
        <v>21</v>
      </c>
      <c r="AL3347" t="inlineStr">
        <is>
          <t>Miss Glam Damar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MARSHWILLOW</t>
        </is>
      </c>
      <c r="B3348" s="2">
        <f>"8997232434173"</f>
        <v/>
      </c>
      <c r="C3348" t="inlineStr">
        <is>
          <t>MARSHWILLOW Pretty Me Eye Pallete Every Where 02 18 gr</t>
        </is>
      </c>
      <c r="D3348" t="inlineStr">
        <is>
          <t>Miss Glam Damar</t>
        </is>
      </c>
      <c r="E3348" t="n">
        <v>2</v>
      </c>
      <c r="F3348" t="n">
        <v>0.15</v>
      </c>
      <c r="G3348" t="n">
        <v>1</v>
      </c>
      <c r="H3348" t="n">
        <v>2</v>
      </c>
      <c r="I3348" t="n">
        <v>16</v>
      </c>
      <c r="J3348" t="n">
        <v>3</v>
      </c>
      <c r="K3348" t="n">
        <v>0</v>
      </c>
      <c r="L3348" t="n">
        <v>27873</v>
      </c>
      <c r="M3348" t="n">
        <v>35000</v>
      </c>
      <c r="N3348" t="n">
        <v>91</v>
      </c>
      <c r="O3348" t="n">
        <v>0.91</v>
      </c>
      <c r="P3348" t="n">
        <v>0</v>
      </c>
      <c r="Q3348" t="n">
        <v>0.15</v>
      </c>
      <c r="R3348" t="n">
        <v>1</v>
      </c>
      <c r="S3348" t="n">
        <v>5250</v>
      </c>
      <c r="T3348" t="n">
        <v>16</v>
      </c>
      <c r="U3348" t="n">
        <v>17</v>
      </c>
      <c r="V3348" t="n">
        <v>30</v>
      </c>
      <c r="W3348" t="n">
        <v>5</v>
      </c>
      <c r="X3348" t="n">
        <v>13.33333333333333</v>
      </c>
      <c r="Y3348" t="n">
        <v>1</v>
      </c>
      <c r="Z3348" t="n">
        <v>3</v>
      </c>
      <c r="AA3348" t="n">
        <v>1</v>
      </c>
      <c r="AB3348" t="n">
        <v>2</v>
      </c>
      <c r="AC3348" t="n">
        <v>3</v>
      </c>
      <c r="AD3348" t="n">
        <v>27873</v>
      </c>
      <c r="AE3348" t="n">
        <v>83619</v>
      </c>
      <c r="AF3348" t="n">
        <v>585</v>
      </c>
      <c r="AG3348" t="n">
        <v>107</v>
      </c>
      <c r="AH3348" t="inlineStr">
        <is>
          <t xml:space="preserve">CV. DAHLIA - PPN (PDG) </t>
        </is>
      </c>
      <c r="AI3348" t="n">
        <v>107</v>
      </c>
      <c r="AJ3348" t="inlineStr">
        <is>
          <t>MARSHWILLOW</t>
        </is>
      </c>
      <c r="AK3348" t="n">
        <v>21</v>
      </c>
      <c r="AL3348" t="inlineStr">
        <is>
          <t>Miss Glam Damar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MARSHWILLOW</t>
        </is>
      </c>
      <c r="B3349" s="2">
        <f>"8997232434463"</f>
        <v/>
      </c>
      <c r="C3349" t="inlineStr">
        <is>
          <t>MARSHWILLOW Pretty Me Glossy Look Gel Tint Blush Pink 5ml</t>
        </is>
      </c>
      <c r="D3349" t="inlineStr">
        <is>
          <t>Miss Glam Damar</t>
        </is>
      </c>
      <c r="E3349" t="n">
        <v>8</v>
      </c>
      <c r="F3349" t="n">
        <v>0.04550000000000001</v>
      </c>
      <c r="G3349" t="n">
        <v>0.91</v>
      </c>
      <c r="H3349" t="n">
        <v>2</v>
      </c>
      <c r="I3349" t="n">
        <v>16</v>
      </c>
      <c r="J3349" t="n">
        <v>3</v>
      </c>
      <c r="K3349" t="n">
        <v>0</v>
      </c>
      <c r="L3349" t="n">
        <v>20948</v>
      </c>
      <c r="M3349" t="n">
        <v>26500</v>
      </c>
      <c r="N3349" t="n">
        <v>91</v>
      </c>
      <c r="O3349" t="n">
        <v>0.91</v>
      </c>
      <c r="P3349" t="n">
        <v>1</v>
      </c>
      <c r="Q3349" t="n">
        <v>0.12</v>
      </c>
      <c r="R3349" t="n">
        <v>3</v>
      </c>
      <c r="S3349" t="n">
        <v>1205.75</v>
      </c>
      <c r="T3349" t="n">
        <v>15</v>
      </c>
      <c r="U3349" t="n">
        <v>16</v>
      </c>
      <c r="V3349" t="n">
        <v>30</v>
      </c>
      <c r="W3349" t="n">
        <v>2</v>
      </c>
      <c r="X3349" t="n">
        <v>175.8241758241758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585</v>
      </c>
      <c r="AG3349" t="n">
        <v>107</v>
      </c>
      <c r="AH3349" t="inlineStr">
        <is>
          <t xml:space="preserve">CV. DAHLIA - PPN (PDG) </t>
        </is>
      </c>
      <c r="AI3349" t="n">
        <v>107</v>
      </c>
      <c r="AJ3349" t="inlineStr">
        <is>
          <t>MARSHWILLOW</t>
        </is>
      </c>
      <c r="AK3349" t="n">
        <v>21</v>
      </c>
      <c r="AL3349" t="inlineStr">
        <is>
          <t>Miss Glam Damar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MARSHWILLOW</t>
        </is>
      </c>
      <c r="B3350" s="2">
        <f>"8997232434456"</f>
        <v/>
      </c>
      <c r="C3350" t="inlineStr">
        <is>
          <t>MARSHWILLOW Pretty Me Glossy Look Gel Tint Peach Sweet 5ml</t>
        </is>
      </c>
      <c r="D3350" t="inlineStr">
        <is>
          <t>Miss Glam Damar</t>
        </is>
      </c>
      <c r="E3350" t="n">
        <v>5</v>
      </c>
      <c r="F3350" t="n">
        <v>0.05</v>
      </c>
      <c r="G3350" t="n">
        <v>2</v>
      </c>
      <c r="H3350" t="n">
        <v>2</v>
      </c>
      <c r="I3350" t="n">
        <v>16</v>
      </c>
      <c r="J3350" t="n">
        <v>3</v>
      </c>
      <c r="K3350" t="n">
        <v>0</v>
      </c>
      <c r="L3350" t="n">
        <v>20948</v>
      </c>
      <c r="M3350" t="n">
        <v>26500</v>
      </c>
      <c r="N3350" t="n">
        <v>91</v>
      </c>
      <c r="O3350" t="n">
        <v>0.91</v>
      </c>
      <c r="P3350" t="n">
        <v>0</v>
      </c>
      <c r="Q3350" t="n">
        <v>0.05</v>
      </c>
      <c r="R3350" t="n">
        <v>2</v>
      </c>
      <c r="S3350" t="n">
        <v>1325</v>
      </c>
      <c r="T3350" t="n">
        <v>32</v>
      </c>
      <c r="U3350" t="n">
        <v>33</v>
      </c>
      <c r="V3350" t="n">
        <v>30</v>
      </c>
      <c r="W3350" t="n">
        <v>2</v>
      </c>
      <c r="X3350" t="n">
        <v>100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585</v>
      </c>
      <c r="AG3350" t="n">
        <v>107</v>
      </c>
      <c r="AH3350" t="inlineStr">
        <is>
          <t xml:space="preserve">CV. DAHLIA - PPN (PDG) </t>
        </is>
      </c>
      <c r="AI3350" t="n">
        <v>107</v>
      </c>
      <c r="AJ3350" t="inlineStr">
        <is>
          <t>MARSHWILLOW</t>
        </is>
      </c>
      <c r="AK3350" t="n">
        <v>21</v>
      </c>
      <c r="AL3350" t="inlineStr">
        <is>
          <t>Miss Glam Damar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MARSHWILLOW</t>
        </is>
      </c>
      <c r="B3351" s="2">
        <f>"8997232434449"</f>
        <v/>
      </c>
      <c r="C3351" t="inlineStr">
        <is>
          <t>MARSHWILLOW Pretty Me Glossy Look Gel Tint Sandy Brown 5ml</t>
        </is>
      </c>
      <c r="D3351" t="inlineStr">
        <is>
          <t>Miss Glam Damar</t>
        </is>
      </c>
      <c r="E3351" t="n">
        <v>19</v>
      </c>
      <c r="F3351" t="n">
        <v>0.02</v>
      </c>
      <c r="G3351" t="n">
        <v>1</v>
      </c>
      <c r="H3351" t="n">
        <v>2</v>
      </c>
      <c r="I3351" t="n">
        <v>16</v>
      </c>
      <c r="J3351" t="n">
        <v>3</v>
      </c>
      <c r="K3351" t="n">
        <v>0</v>
      </c>
      <c r="L3351" t="n">
        <v>20948</v>
      </c>
      <c r="M3351" t="n">
        <v>26500</v>
      </c>
      <c r="N3351" t="n">
        <v>91</v>
      </c>
      <c r="O3351" t="n">
        <v>0.91</v>
      </c>
      <c r="P3351" t="n">
        <v>0</v>
      </c>
      <c r="Q3351" t="n">
        <v>0.02</v>
      </c>
      <c r="R3351" t="n">
        <v>1</v>
      </c>
      <c r="S3351" t="n">
        <v>530</v>
      </c>
      <c r="T3351" t="n">
        <v>16</v>
      </c>
      <c r="U3351" t="n">
        <v>17</v>
      </c>
      <c r="V3351" t="n">
        <v>30</v>
      </c>
      <c r="W3351" t="n">
        <v>1</v>
      </c>
      <c r="X3351" t="n">
        <v>950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585</v>
      </c>
      <c r="AG3351" t="n">
        <v>107</v>
      </c>
      <c r="AH3351" t="inlineStr">
        <is>
          <t xml:space="preserve">CV. DAHLIA - PPN (PDG) </t>
        </is>
      </c>
      <c r="AI3351" t="n">
        <v>107</v>
      </c>
      <c r="AJ3351" t="inlineStr">
        <is>
          <t>MARSHWILLOW</t>
        </is>
      </c>
      <c r="AK3351" t="n">
        <v>21</v>
      </c>
      <c r="AL3351" t="inlineStr">
        <is>
          <t>Miss Glam Damar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MARSHWILLOW</t>
        </is>
      </c>
      <c r="B3352" s="2">
        <f>"8997232434425"</f>
        <v/>
      </c>
      <c r="C3352" t="inlineStr">
        <is>
          <t>MARSHWILLOW Pretty Me Glossy Look Gel Tint Scarlet 5ml</t>
        </is>
      </c>
      <c r="D3352" t="inlineStr">
        <is>
          <t>Miss Glam Damar</t>
        </is>
      </c>
      <c r="E3352" t="n">
        <v>6</v>
      </c>
      <c r="F3352" t="n">
        <v>0.24</v>
      </c>
      <c r="G3352" t="n">
        <v>3</v>
      </c>
      <c r="H3352" t="n">
        <v>2</v>
      </c>
      <c r="I3352" t="n">
        <v>16</v>
      </c>
      <c r="J3352" t="n">
        <v>3</v>
      </c>
      <c r="K3352" t="n">
        <v>0</v>
      </c>
      <c r="L3352" t="n">
        <v>20948</v>
      </c>
      <c r="M3352" t="n">
        <v>26500</v>
      </c>
      <c r="N3352" t="n">
        <v>91</v>
      </c>
      <c r="O3352" t="n">
        <v>0.91</v>
      </c>
      <c r="P3352" t="n">
        <v>0</v>
      </c>
      <c r="Q3352" t="n">
        <v>0.24</v>
      </c>
      <c r="R3352" t="n">
        <v>3</v>
      </c>
      <c r="S3352" t="n">
        <v>6360</v>
      </c>
      <c r="T3352" t="n">
        <v>48</v>
      </c>
      <c r="U3352" t="n">
        <v>49</v>
      </c>
      <c r="V3352" t="n">
        <v>30</v>
      </c>
      <c r="W3352" t="n">
        <v>8</v>
      </c>
      <c r="X3352" t="n">
        <v>25</v>
      </c>
      <c r="Y3352" t="n">
        <v>1</v>
      </c>
      <c r="Z3352" t="n">
        <v>2</v>
      </c>
      <c r="AA3352" t="n">
        <v>0</v>
      </c>
      <c r="AB3352" t="n">
        <v>2</v>
      </c>
      <c r="AC3352" t="n">
        <v>3</v>
      </c>
      <c r="AD3352" t="n">
        <v>0</v>
      </c>
      <c r="AE3352" t="n">
        <v>62844</v>
      </c>
      <c r="AF3352" t="n">
        <v>585</v>
      </c>
      <c r="AG3352" t="n">
        <v>107</v>
      </c>
      <c r="AH3352" t="inlineStr">
        <is>
          <t xml:space="preserve">CV. DAHLIA - PPN (PDG) </t>
        </is>
      </c>
      <c r="AI3352" t="n">
        <v>107</v>
      </c>
      <c r="AJ3352" t="inlineStr">
        <is>
          <t>MARSHWILLOW</t>
        </is>
      </c>
      <c r="AK3352" t="n">
        <v>21</v>
      </c>
      <c r="AL3352" t="inlineStr">
        <is>
          <t>Miss Glam Damar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MARSHWILLOW</t>
        </is>
      </c>
      <c r="B3353" s="2">
        <f>"8997232434418"</f>
        <v/>
      </c>
      <c r="C3353" t="inlineStr">
        <is>
          <t>MARSHWILLOW Pretty Me Glossy Look Gel Tint Spring Red 5ml</t>
        </is>
      </c>
      <c r="D3353" t="inlineStr">
        <is>
          <t>Miss Glam Damar</t>
        </is>
      </c>
      <c r="E3353" t="n">
        <v>5</v>
      </c>
      <c r="F3353" t="n">
        <v>0.12</v>
      </c>
      <c r="G3353" t="n">
        <v>2</v>
      </c>
      <c r="H3353" t="n">
        <v>2</v>
      </c>
      <c r="I3353" t="n">
        <v>16</v>
      </c>
      <c r="J3353" t="n">
        <v>3</v>
      </c>
      <c r="K3353" t="n">
        <v>0</v>
      </c>
      <c r="L3353" t="n">
        <v>20948</v>
      </c>
      <c r="M3353" t="n">
        <v>26500</v>
      </c>
      <c r="N3353" t="n">
        <v>91</v>
      </c>
      <c r="O3353" t="n">
        <v>0.91</v>
      </c>
      <c r="P3353" t="n">
        <v>0</v>
      </c>
      <c r="Q3353" t="n">
        <v>0.12</v>
      </c>
      <c r="R3353" t="n">
        <v>2</v>
      </c>
      <c r="S3353" t="n">
        <v>3180</v>
      </c>
      <c r="T3353" t="n">
        <v>32</v>
      </c>
      <c r="U3353" t="n">
        <v>33</v>
      </c>
      <c r="V3353" t="n">
        <v>30</v>
      </c>
      <c r="W3353" t="n">
        <v>4</v>
      </c>
      <c r="X3353" t="n">
        <v>41.66666666666667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585</v>
      </c>
      <c r="AG3353" t="n">
        <v>107</v>
      </c>
      <c r="AH3353" t="inlineStr">
        <is>
          <t xml:space="preserve">CV. DAHLIA - PPN (PDG) </t>
        </is>
      </c>
      <c r="AI3353" t="n">
        <v>107</v>
      </c>
      <c r="AJ3353" t="inlineStr">
        <is>
          <t>MARSHWILLOW</t>
        </is>
      </c>
      <c r="AK3353" t="n">
        <v>21</v>
      </c>
      <c r="AL3353" t="inlineStr">
        <is>
          <t>Miss Glam Damar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MARSHWILLOW</t>
        </is>
      </c>
      <c r="B3354" s="2">
        <f>"20101208025"</f>
        <v/>
      </c>
      <c r="C3354" t="inlineStr">
        <is>
          <t>MARSHWILLOW Pretty Me Stay On Glowy Setting Spray 100ml</t>
        </is>
      </c>
      <c r="D3354" t="inlineStr">
        <is>
          <t>Miss Glam Damar</t>
        </is>
      </c>
      <c r="E3354" t="n">
        <v>5</v>
      </c>
      <c r="F3354" t="n">
        <v>0.12</v>
      </c>
      <c r="G3354" t="n">
        <v>1</v>
      </c>
      <c r="H3354" t="n">
        <v>2</v>
      </c>
      <c r="I3354" t="n">
        <v>16</v>
      </c>
      <c r="J3354" t="n">
        <v>1</v>
      </c>
      <c r="K3354" t="n">
        <v>0</v>
      </c>
      <c r="L3354" t="n">
        <v>28985</v>
      </c>
      <c r="M3354" t="n">
        <v>34500</v>
      </c>
      <c r="N3354" t="n">
        <v>91</v>
      </c>
      <c r="O3354" t="n">
        <v>0.91</v>
      </c>
      <c r="P3354" t="n">
        <v>0</v>
      </c>
      <c r="Q3354" t="n">
        <v>0.12</v>
      </c>
      <c r="R3354" t="n">
        <v>1</v>
      </c>
      <c r="S3354" t="n">
        <v>4140</v>
      </c>
      <c r="T3354" t="n">
        <v>16</v>
      </c>
      <c r="U3354" t="n">
        <v>17</v>
      </c>
      <c r="V3354" t="n">
        <v>30</v>
      </c>
      <c r="W3354" t="n">
        <v>4</v>
      </c>
      <c r="X3354" t="n">
        <v>41.66666666666667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585</v>
      </c>
      <c r="AG3354" t="n">
        <v>107</v>
      </c>
      <c r="AH3354" t="inlineStr">
        <is>
          <t xml:space="preserve">CV. DAHLIA - PPN (PDG) </t>
        </is>
      </c>
      <c r="AI3354" t="n">
        <v>107</v>
      </c>
      <c r="AJ3354" t="inlineStr">
        <is>
          <t>MARSHWILLOW</t>
        </is>
      </c>
      <c r="AK3354" t="n">
        <v>21</v>
      </c>
      <c r="AL3354" t="inlineStr">
        <is>
          <t>Miss Glam Damar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MARSHWILLOW</t>
        </is>
      </c>
      <c r="B3355" s="2">
        <f>"8997232432759"</f>
        <v/>
      </c>
      <c r="C3355" t="inlineStr">
        <is>
          <t>MARSHWILLOW Sugar Dust Eyeshadow 802 10x0.95gr</t>
        </is>
      </c>
      <c r="D3355" t="inlineStr">
        <is>
          <t>Miss Glam Damar</t>
        </is>
      </c>
      <c r="E3355" t="n">
        <v>1</v>
      </c>
      <c r="F3355" t="n">
        <v>0.03</v>
      </c>
      <c r="G3355" t="n">
        <v>1</v>
      </c>
      <c r="H3355" t="n">
        <v>2</v>
      </c>
      <c r="I3355" t="n">
        <v>16</v>
      </c>
      <c r="J3355" t="n">
        <v>3</v>
      </c>
      <c r="K3355" t="n">
        <v>0</v>
      </c>
      <c r="L3355" t="n">
        <v>20879</v>
      </c>
      <c r="M3355" t="n">
        <v>27500</v>
      </c>
      <c r="N3355" t="n">
        <v>91</v>
      </c>
      <c r="O3355" t="n">
        <v>0.91</v>
      </c>
      <c r="P3355" t="n">
        <v>0</v>
      </c>
      <c r="Q3355" t="n">
        <v>0.03</v>
      </c>
      <c r="R3355" t="n">
        <v>1</v>
      </c>
      <c r="S3355" t="n">
        <v>825</v>
      </c>
      <c r="T3355" t="n">
        <v>16</v>
      </c>
      <c r="U3355" t="n">
        <v>17</v>
      </c>
      <c r="V3355" t="n">
        <v>30</v>
      </c>
      <c r="W3355" t="n">
        <v>1</v>
      </c>
      <c r="X3355" t="n">
        <v>33.33333333333334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585</v>
      </c>
      <c r="AG3355" t="n">
        <v>107</v>
      </c>
      <c r="AH3355" t="inlineStr">
        <is>
          <t xml:space="preserve">CV. DAHLIA - PPN (PDG) </t>
        </is>
      </c>
      <c r="AI3355" t="n">
        <v>107</v>
      </c>
      <c r="AJ3355" t="inlineStr">
        <is>
          <t>MARSHWILLOW</t>
        </is>
      </c>
      <c r="AK3355" t="n">
        <v>21</v>
      </c>
      <c r="AL3355" t="inlineStr">
        <is>
          <t>Miss Glam Damar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MARSHWILLOW</t>
        </is>
      </c>
      <c r="B3356" s="2">
        <f>"8997232433046"</f>
        <v/>
      </c>
      <c r="C3356" t="inlineStr">
        <is>
          <t>MARSHWILLOW Sugar Dust Eyeshadow 803 10x0.95gr</t>
        </is>
      </c>
      <c r="D3356" t="inlineStr">
        <is>
          <t>Miss Glam Damar</t>
        </is>
      </c>
      <c r="E3356" t="n">
        <v>8</v>
      </c>
      <c r="F3356" t="n">
        <v>0.22</v>
      </c>
      <c r="G3356" t="n">
        <v>2</v>
      </c>
      <c r="H3356" t="n">
        <v>2</v>
      </c>
      <c r="I3356" t="n">
        <v>16</v>
      </c>
      <c r="J3356" t="n">
        <v>3</v>
      </c>
      <c r="K3356" t="n">
        <v>0</v>
      </c>
      <c r="L3356" t="n">
        <v>20879</v>
      </c>
      <c r="M3356" t="n">
        <v>27500</v>
      </c>
      <c r="N3356" t="n">
        <v>91</v>
      </c>
      <c r="O3356" t="n">
        <v>0.91</v>
      </c>
      <c r="P3356" t="n">
        <v>0</v>
      </c>
      <c r="Q3356" t="n">
        <v>0.22</v>
      </c>
      <c r="R3356" t="n">
        <v>2</v>
      </c>
      <c r="S3356" t="n">
        <v>6050</v>
      </c>
      <c r="T3356" t="n">
        <v>32</v>
      </c>
      <c r="U3356" t="n">
        <v>33</v>
      </c>
      <c r="V3356" t="n">
        <v>30</v>
      </c>
      <c r="W3356" t="n">
        <v>7</v>
      </c>
      <c r="X3356" t="n">
        <v>36.36363636363637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585</v>
      </c>
      <c r="AG3356" t="n">
        <v>107</v>
      </c>
      <c r="AH3356" t="inlineStr">
        <is>
          <t xml:space="preserve">CV. DAHLIA - PPN (PDG) </t>
        </is>
      </c>
      <c r="AI3356" t="n">
        <v>107</v>
      </c>
      <c r="AJ3356" t="inlineStr">
        <is>
          <t>MARSHWILLOW</t>
        </is>
      </c>
      <c r="AK3356" t="n">
        <v>21</v>
      </c>
      <c r="AL3356" t="inlineStr">
        <is>
          <t>Miss Glam Damar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MAYBELLINE</t>
        </is>
      </c>
      <c r="B3357" s="2">
        <f>"10700341405"</f>
        <v/>
      </c>
      <c r="C3357" t="inlineStr">
        <is>
          <t>MAYBELLINE Baby Lips Berry Crush 4gr</t>
        </is>
      </c>
      <c r="D3357" t="inlineStr">
        <is>
          <t>Miss Glam Damar</t>
        </is>
      </c>
      <c r="E3357" t="n">
        <v>4</v>
      </c>
      <c r="F3357" t="n">
        <v>0.0728</v>
      </c>
      <c r="G3357" t="n">
        <v>0.91</v>
      </c>
      <c r="H3357" t="n">
        <v>3</v>
      </c>
      <c r="I3357" t="n">
        <v>14</v>
      </c>
      <c r="J3357" t="n">
        <v>1</v>
      </c>
      <c r="K3357" t="n">
        <v>0</v>
      </c>
      <c r="L3357" t="n">
        <v>40033</v>
      </c>
      <c r="M3357" t="n">
        <v>50000</v>
      </c>
      <c r="N3357" t="n">
        <v>91</v>
      </c>
      <c r="O3357" t="n">
        <v>0.91</v>
      </c>
      <c r="P3357" t="n">
        <v>1</v>
      </c>
      <c r="Q3357" t="n">
        <v>0.03</v>
      </c>
      <c r="R3357" t="n">
        <v>1</v>
      </c>
      <c r="S3357" t="n">
        <v>3640</v>
      </c>
      <c r="T3357" t="n">
        <v>13</v>
      </c>
      <c r="U3357" t="n">
        <v>14</v>
      </c>
      <c r="V3357" t="n">
        <v>30</v>
      </c>
      <c r="W3357" t="n">
        <v>3</v>
      </c>
      <c r="X3357" t="n">
        <v>54.94505494505494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11038</v>
      </c>
      <c r="AG3357" t="n">
        <v>33</v>
      </c>
      <c r="AH3357" t="inlineStr">
        <is>
          <t>PT. MENSA BINASUKSES - PPN (PDG)</t>
        </is>
      </c>
      <c r="AI3357" t="n">
        <v>98</v>
      </c>
      <c r="AJ3357" t="inlineStr">
        <is>
          <t>MAYBELLINE</t>
        </is>
      </c>
      <c r="AK3357" t="n">
        <v>21</v>
      </c>
      <c r="AL3357" t="inlineStr">
        <is>
          <t>Miss Glam Damar</t>
        </is>
      </c>
      <c r="AM3357" t="n">
        <v>3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MAYBELLINE</t>
        </is>
      </c>
      <c r="B3358" s="2">
        <f>"10700341512"</f>
        <v/>
      </c>
      <c r="C3358" t="inlineStr">
        <is>
          <t>MAYBELLINE Baby Lips Cheryy Kiss 4gr</t>
        </is>
      </c>
      <c r="D3358" t="inlineStr">
        <is>
          <t>Miss Glam Damar</t>
        </is>
      </c>
      <c r="E3358" t="n">
        <v>3</v>
      </c>
      <c r="F3358" t="n">
        <v>0.06370000000000001</v>
      </c>
      <c r="G3358" t="n">
        <v>1.82</v>
      </c>
      <c r="H3358" t="n">
        <v>3</v>
      </c>
      <c r="I3358" t="n">
        <v>14</v>
      </c>
      <c r="J3358" t="n">
        <v>1</v>
      </c>
      <c r="K3358" t="n">
        <v>0</v>
      </c>
      <c r="L3358" t="n">
        <v>40033</v>
      </c>
      <c r="M3358" t="n">
        <v>50000</v>
      </c>
      <c r="N3358" t="n">
        <v>91</v>
      </c>
      <c r="O3358" t="n">
        <v>0.91</v>
      </c>
      <c r="P3358" t="n">
        <v>1</v>
      </c>
      <c r="Q3358" t="n">
        <v>0.05</v>
      </c>
      <c r="R3358" t="n">
        <v>1</v>
      </c>
      <c r="S3358" t="n">
        <v>3185</v>
      </c>
      <c r="T3358" t="n">
        <v>26</v>
      </c>
      <c r="U3358" t="n">
        <v>27</v>
      </c>
      <c r="V3358" t="n">
        <v>30</v>
      </c>
      <c r="W3358" t="n">
        <v>2</v>
      </c>
      <c r="X3358" t="n">
        <v>47.09576138147566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11038</v>
      </c>
      <c r="AG3358" t="n">
        <v>33</v>
      </c>
      <c r="AH3358" t="inlineStr">
        <is>
          <t>PT. MENSA BINASUKSES - PPN (PDG)</t>
        </is>
      </c>
      <c r="AI3358" t="n">
        <v>98</v>
      </c>
      <c r="AJ3358" t="inlineStr">
        <is>
          <t>MAYBELLINE</t>
        </is>
      </c>
      <c r="AK3358" t="n">
        <v>21</v>
      </c>
      <c r="AL3358" t="inlineStr">
        <is>
          <t>Miss Glam Damar</t>
        </is>
      </c>
      <c r="AM3358" t="n">
        <v>3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MAYBELLINE</t>
        </is>
      </c>
      <c r="B3359" s="2">
        <f>"6902395853527"</f>
        <v/>
      </c>
      <c r="C3359" t="inlineStr">
        <is>
          <t>MAYBELLINE Eraser Instant Age Rewind Multi Use Concealer 122 6ml</t>
        </is>
      </c>
      <c r="D3359" t="inlineStr">
        <is>
          <t>Miss Glam Damar</t>
        </is>
      </c>
      <c r="E3359" t="n">
        <v>1</v>
      </c>
      <c r="F3359" t="n">
        <v>0.02</v>
      </c>
      <c r="G3359" t="n">
        <v>0</v>
      </c>
      <c r="H3359" t="n">
        <v>3</v>
      </c>
      <c r="I3359" t="n">
        <v>14</v>
      </c>
      <c r="J3359" t="n">
        <v>3</v>
      </c>
      <c r="K3359" t="n">
        <v>0</v>
      </c>
      <c r="L3359" t="n">
        <v>119055</v>
      </c>
      <c r="M3359" t="n">
        <v>158000</v>
      </c>
      <c r="N3359" t="n">
        <v>91</v>
      </c>
      <c r="O3359" t="n">
        <v>0.91</v>
      </c>
      <c r="P3359" t="n">
        <v>0</v>
      </c>
      <c r="Q3359" t="n">
        <v>0.02</v>
      </c>
      <c r="R3359" t="n">
        <v>0</v>
      </c>
      <c r="S3359" t="n">
        <v>3160</v>
      </c>
      <c r="T3359" t="n">
        <v>0</v>
      </c>
      <c r="U3359" t="n">
        <v>1</v>
      </c>
      <c r="V3359" t="n">
        <v>30</v>
      </c>
      <c r="W3359" t="n">
        <v>1</v>
      </c>
      <c r="X3359" t="n">
        <v>50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11038</v>
      </c>
      <c r="AG3359" t="n">
        <v>33</v>
      </c>
      <c r="AH3359" t="inlineStr">
        <is>
          <t>PT. MENSA BINASUKSES - PPN (PDG)</t>
        </is>
      </c>
      <c r="AI3359" t="n">
        <v>98</v>
      </c>
      <c r="AJ3359" t="inlineStr">
        <is>
          <t>MAYBELLINE</t>
        </is>
      </c>
      <c r="AK3359" t="n">
        <v>21</v>
      </c>
      <c r="AL3359" t="inlineStr">
        <is>
          <t>Miss Glam Damar</t>
        </is>
      </c>
      <c r="AM3359" t="n">
        <v>3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MAYBELLINE</t>
        </is>
      </c>
      <c r="B3360" s="2">
        <f>"6902395853534"</f>
        <v/>
      </c>
      <c r="C3360" t="inlineStr">
        <is>
          <t>MAYBELLINE Eraser Instant Age Rewind Multi Use Concealer 130 6ml</t>
        </is>
      </c>
      <c r="D3360" t="inlineStr">
        <is>
          <t>Miss Glam Damar</t>
        </is>
      </c>
      <c r="E3360" t="n">
        <v>0</v>
      </c>
      <c r="F3360" t="n">
        <v>0.0182</v>
      </c>
      <c r="G3360" t="n">
        <v>0.91</v>
      </c>
      <c r="H3360" t="n">
        <v>3</v>
      </c>
      <c r="I3360" t="n">
        <v>14</v>
      </c>
      <c r="J3360" t="n">
        <v>3</v>
      </c>
      <c r="K3360" t="n">
        <v>0</v>
      </c>
      <c r="L3360" t="n">
        <v>120258</v>
      </c>
      <c r="M3360" t="n">
        <v>158000</v>
      </c>
      <c r="N3360" t="n">
        <v>91</v>
      </c>
      <c r="O3360" t="n">
        <v>0.91</v>
      </c>
      <c r="P3360" t="n">
        <v>1</v>
      </c>
      <c r="Q3360" t="n">
        <v>0.03</v>
      </c>
      <c r="R3360" t="n">
        <v>1</v>
      </c>
      <c r="S3360" t="n">
        <v>2875.6</v>
      </c>
      <c r="T3360" t="n">
        <v>13</v>
      </c>
      <c r="U3360" t="n">
        <v>14</v>
      </c>
      <c r="V3360" t="n">
        <v>30</v>
      </c>
      <c r="W3360" t="n">
        <v>1</v>
      </c>
      <c r="X3360" t="n">
        <v>0</v>
      </c>
      <c r="Y3360" t="n">
        <v>1</v>
      </c>
      <c r="Z3360" t="n">
        <v>1</v>
      </c>
      <c r="AA3360" t="n">
        <v>1</v>
      </c>
      <c r="AB3360" t="n">
        <v>0</v>
      </c>
      <c r="AC3360" t="n">
        <v>0</v>
      </c>
      <c r="AD3360" t="n">
        <v>120258</v>
      </c>
      <c r="AE3360" t="n">
        <v>0</v>
      </c>
      <c r="AF3360" t="n">
        <v>11038</v>
      </c>
      <c r="AG3360" t="n">
        <v>33</v>
      </c>
      <c r="AH3360" t="inlineStr">
        <is>
          <t>PT. MENSA BINASUKSES - PPN (PDG)</t>
        </is>
      </c>
      <c r="AI3360" t="n">
        <v>98</v>
      </c>
      <c r="AJ3360" t="inlineStr">
        <is>
          <t>MAYBELLINE</t>
        </is>
      </c>
      <c r="AK3360" t="n">
        <v>21</v>
      </c>
      <c r="AL3360" t="inlineStr">
        <is>
          <t>Miss Glam Damar</t>
        </is>
      </c>
      <c r="AM3360" t="n">
        <v>3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MAYBELLINE</t>
        </is>
      </c>
      <c r="B3361" s="2">
        <f>"6902395843467"</f>
        <v/>
      </c>
      <c r="C3361" t="inlineStr">
        <is>
          <t>MAYBELLINE Eye Lip Remover 150ml</t>
        </is>
      </c>
      <c r="D3361" t="inlineStr">
        <is>
          <t>Miss Glam Damar</t>
        </is>
      </c>
      <c r="E3361" t="n">
        <v>7</v>
      </c>
      <c r="F3361" t="n">
        <v>0.06370000000000001</v>
      </c>
      <c r="G3361" t="n">
        <v>0.91</v>
      </c>
      <c r="H3361" t="n">
        <v>3</v>
      </c>
      <c r="I3361" t="n">
        <v>14</v>
      </c>
      <c r="J3361" t="n">
        <v>3</v>
      </c>
      <c r="K3361" t="n">
        <v>0</v>
      </c>
      <c r="L3361" t="n">
        <v>98802</v>
      </c>
      <c r="M3361" t="n">
        <v>145000</v>
      </c>
      <c r="N3361" t="n">
        <v>91</v>
      </c>
      <c r="O3361" t="n">
        <v>0.91</v>
      </c>
      <c r="P3361" t="n">
        <v>1</v>
      </c>
      <c r="Q3361" t="n">
        <v>0.12</v>
      </c>
      <c r="R3361" t="n">
        <v>3</v>
      </c>
      <c r="S3361" t="n">
        <v>9236.500000000002</v>
      </c>
      <c r="T3361" t="n">
        <v>13</v>
      </c>
      <c r="U3361" t="n">
        <v>14</v>
      </c>
      <c r="V3361" t="n">
        <v>30</v>
      </c>
      <c r="W3361" t="n">
        <v>2</v>
      </c>
      <c r="X3361" t="n">
        <v>109.8901098901099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11038</v>
      </c>
      <c r="AG3361" t="n">
        <v>33</v>
      </c>
      <c r="AH3361" t="inlineStr">
        <is>
          <t>PT. MENSA BINASUKSES - PPN (PDG)</t>
        </is>
      </c>
      <c r="AI3361" t="n">
        <v>98</v>
      </c>
      <c r="AJ3361" t="inlineStr">
        <is>
          <t>MAYBELLINE</t>
        </is>
      </c>
      <c r="AK3361" t="n">
        <v>21</v>
      </c>
      <c r="AL3361" t="inlineStr">
        <is>
          <t>Miss Glam Damar</t>
        </is>
      </c>
      <c r="AM3361" t="n">
        <v>3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MAYBELLINE</t>
        </is>
      </c>
      <c r="B3362" s="2">
        <f>"6902395847335"</f>
        <v/>
      </c>
      <c r="C3362" t="inlineStr">
        <is>
          <t>MAYBELLINE Eye Lip Remover 70ml</t>
        </is>
      </c>
      <c r="D3362" t="inlineStr">
        <is>
          <t>Miss Glam Damar</t>
        </is>
      </c>
      <c r="E3362" t="n">
        <v>8</v>
      </c>
      <c r="F3362" t="n">
        <v>0.0728</v>
      </c>
      <c r="G3362" t="n">
        <v>0.91</v>
      </c>
      <c r="H3362" t="n">
        <v>3</v>
      </c>
      <c r="I3362" t="n">
        <v>14</v>
      </c>
      <c r="J3362" t="n">
        <v>3</v>
      </c>
      <c r="K3362" t="n">
        <v>0</v>
      </c>
      <c r="L3362" t="n">
        <v>66499</v>
      </c>
      <c r="M3362" t="n">
        <v>95000</v>
      </c>
      <c r="N3362" t="n">
        <v>91</v>
      </c>
      <c r="O3362" t="n">
        <v>0.91</v>
      </c>
      <c r="P3362" t="n">
        <v>1</v>
      </c>
      <c r="Q3362" t="n">
        <v>0.2</v>
      </c>
      <c r="R3362" t="n">
        <v>2</v>
      </c>
      <c r="S3362" t="n">
        <v>6916</v>
      </c>
      <c r="T3362" t="n">
        <v>13</v>
      </c>
      <c r="U3362" t="n">
        <v>14</v>
      </c>
      <c r="V3362" t="n">
        <v>30</v>
      </c>
      <c r="W3362" t="n">
        <v>3</v>
      </c>
      <c r="X3362" t="n">
        <v>109.8901098901099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11038</v>
      </c>
      <c r="AG3362" t="n">
        <v>33</v>
      </c>
      <c r="AH3362" t="inlineStr">
        <is>
          <t>PT. MENSA BINASUKSES - PPN (PDG)</t>
        </is>
      </c>
      <c r="AI3362" t="n">
        <v>98</v>
      </c>
      <c r="AJ3362" t="inlineStr">
        <is>
          <t>MAYBELLINE</t>
        </is>
      </c>
      <c r="AK3362" t="n">
        <v>21</v>
      </c>
      <c r="AL3362" t="inlineStr">
        <is>
          <t>Miss Glam Damar</t>
        </is>
      </c>
      <c r="AM3362" t="n">
        <v>3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MAYBELLINE</t>
        </is>
      </c>
      <c r="B3363" s="2">
        <f>"6902395972518"</f>
        <v/>
      </c>
      <c r="C3363" t="inlineStr">
        <is>
          <t>MAYBELLINE Firework Waterproof Mascara 6ml</t>
        </is>
      </c>
      <c r="D3363" t="inlineStr">
        <is>
          <t>Miss Glam Damar</t>
        </is>
      </c>
      <c r="E3363" t="n">
        <v>7</v>
      </c>
      <c r="F3363" t="n">
        <v>0.182</v>
      </c>
      <c r="G3363" t="n">
        <v>1.82</v>
      </c>
      <c r="H3363" t="n">
        <v>3</v>
      </c>
      <c r="I3363" t="n">
        <v>14</v>
      </c>
      <c r="J3363" t="n">
        <v>3</v>
      </c>
      <c r="K3363" t="n">
        <v>0</v>
      </c>
      <c r="L3363" t="n">
        <v>120833</v>
      </c>
      <c r="M3363" t="n">
        <v>157000</v>
      </c>
      <c r="N3363" t="n">
        <v>91</v>
      </c>
      <c r="O3363" t="n">
        <v>0.91</v>
      </c>
      <c r="P3363" t="n">
        <v>1</v>
      </c>
      <c r="Q3363" t="n">
        <v>0.27</v>
      </c>
      <c r="R3363" t="n">
        <v>2</v>
      </c>
      <c r="S3363" t="n">
        <v>28574</v>
      </c>
      <c r="T3363" t="n">
        <v>25</v>
      </c>
      <c r="U3363" t="n">
        <v>26</v>
      </c>
      <c r="V3363" t="n">
        <v>30</v>
      </c>
      <c r="W3363" t="n">
        <v>6</v>
      </c>
      <c r="X3363" t="n">
        <v>38.46153846153846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11038</v>
      </c>
      <c r="AG3363" t="n">
        <v>33</v>
      </c>
      <c r="AH3363" t="inlineStr">
        <is>
          <t>PT. MENSA BINASUKSES - PPN (PDG)</t>
        </is>
      </c>
      <c r="AI3363" t="n">
        <v>98</v>
      </c>
      <c r="AJ3363" t="inlineStr">
        <is>
          <t>MAYBELLINE</t>
        </is>
      </c>
      <c r="AK3363" t="n">
        <v>21</v>
      </c>
      <c r="AL3363" t="inlineStr">
        <is>
          <t>Miss Glam Damar</t>
        </is>
      </c>
      <c r="AM3363" t="n">
        <v>3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MAYBELLINE</t>
        </is>
      </c>
      <c r="B3364" s="2">
        <f>"6902395834380"</f>
        <v/>
      </c>
      <c r="C3364" t="inlineStr">
        <is>
          <t>MAYBELLINE FIT Me Matte + Poreless Foundation 111 30ml</t>
        </is>
      </c>
      <c r="D3364" t="inlineStr">
        <is>
          <t>Miss Glam Damar</t>
        </is>
      </c>
      <c r="E3364" t="n">
        <v>1</v>
      </c>
      <c r="F3364" t="n">
        <v>0.03</v>
      </c>
      <c r="G3364" t="n">
        <v>1</v>
      </c>
      <c r="H3364" t="n">
        <v>3</v>
      </c>
      <c r="I3364" t="n">
        <v>14</v>
      </c>
      <c r="J3364" t="n">
        <v>3</v>
      </c>
      <c r="K3364" t="n">
        <v>0</v>
      </c>
      <c r="L3364" t="n">
        <v>128687</v>
      </c>
      <c r="M3364" t="n">
        <v>169900</v>
      </c>
      <c r="N3364" t="n">
        <v>91</v>
      </c>
      <c r="O3364" t="n">
        <v>0.91</v>
      </c>
      <c r="P3364" t="n">
        <v>0</v>
      </c>
      <c r="Q3364" t="n">
        <v>0.03</v>
      </c>
      <c r="R3364" t="n">
        <v>1</v>
      </c>
      <c r="S3364" t="n">
        <v>5097</v>
      </c>
      <c r="T3364" t="n">
        <v>14</v>
      </c>
      <c r="U3364" t="n">
        <v>15</v>
      </c>
      <c r="V3364" t="n">
        <v>30</v>
      </c>
      <c r="W3364" t="n">
        <v>1</v>
      </c>
      <c r="X3364" t="n">
        <v>33.33333333333334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11038</v>
      </c>
      <c r="AG3364" t="n">
        <v>33</v>
      </c>
      <c r="AH3364" t="inlineStr">
        <is>
          <t>PT. MENSA BINASUKSES - PPN (PDG)</t>
        </is>
      </c>
      <c r="AI3364" t="n">
        <v>98</v>
      </c>
      <c r="AJ3364" t="inlineStr">
        <is>
          <t>MAYBELLINE</t>
        </is>
      </c>
      <c r="AK3364" t="n">
        <v>21</v>
      </c>
      <c r="AL3364" t="inlineStr">
        <is>
          <t>Miss Glam Damar</t>
        </is>
      </c>
      <c r="AM3364" t="n">
        <v>3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MAYBELLINE</t>
        </is>
      </c>
      <c r="B3365" s="2">
        <f>"6902395826859"</f>
        <v/>
      </c>
      <c r="C3365" t="inlineStr">
        <is>
          <t>MAYBELLINE Fit Me Matte + Poreless Foundation 123 30ml</t>
        </is>
      </c>
      <c r="D3365" t="inlineStr">
        <is>
          <t>Miss Glam Damar</t>
        </is>
      </c>
      <c r="E3365" t="n">
        <v>3</v>
      </c>
      <c r="F3365" t="n">
        <v>0.02</v>
      </c>
      <c r="G3365" t="n">
        <v>1</v>
      </c>
      <c r="H3365" t="n">
        <v>3</v>
      </c>
      <c r="I3365" t="n">
        <v>14</v>
      </c>
      <c r="J3365" t="n">
        <v>3</v>
      </c>
      <c r="K3365" t="n">
        <v>0</v>
      </c>
      <c r="L3365" t="n">
        <v>114356</v>
      </c>
      <c r="M3365" t="n">
        <v>169900</v>
      </c>
      <c r="N3365" t="n">
        <v>91</v>
      </c>
      <c r="O3365" t="n">
        <v>0.91</v>
      </c>
      <c r="P3365" t="n">
        <v>0</v>
      </c>
      <c r="Q3365" t="n">
        <v>0.02</v>
      </c>
      <c r="R3365" t="n">
        <v>1</v>
      </c>
      <c r="S3365" t="n">
        <v>3398</v>
      </c>
      <c r="T3365" t="n">
        <v>14</v>
      </c>
      <c r="U3365" t="n">
        <v>15</v>
      </c>
      <c r="V3365" t="n">
        <v>30</v>
      </c>
      <c r="W3365" t="n">
        <v>1</v>
      </c>
      <c r="X3365" t="n">
        <v>150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11038</v>
      </c>
      <c r="AG3365" t="n">
        <v>33</v>
      </c>
      <c r="AH3365" t="inlineStr">
        <is>
          <t>PT. MENSA BINASUKSES - PPN (PDG)</t>
        </is>
      </c>
      <c r="AI3365" t="n">
        <v>98</v>
      </c>
      <c r="AJ3365" t="inlineStr">
        <is>
          <t>MAYBELLINE</t>
        </is>
      </c>
      <c r="AK3365" t="n">
        <v>21</v>
      </c>
      <c r="AL3365" t="inlineStr">
        <is>
          <t>Miss Glam Damar</t>
        </is>
      </c>
      <c r="AM3365" t="n">
        <v>3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MAYBELLINE</t>
        </is>
      </c>
      <c r="B3366" s="2">
        <f>"6902395646891"</f>
        <v/>
      </c>
      <c r="C3366" t="inlineStr">
        <is>
          <t>MAYBELLINE Fit Me Matte Poreless Liquid Foundation 125</t>
        </is>
      </c>
      <c r="D3366" t="inlineStr">
        <is>
          <t>Miss Glam Damar</t>
        </is>
      </c>
      <c r="E3366" t="n">
        <v>2</v>
      </c>
      <c r="F3366" t="n">
        <v>0.04550000000000001</v>
      </c>
      <c r="G3366" t="n">
        <v>0.91</v>
      </c>
      <c r="H3366" t="n">
        <v>3</v>
      </c>
      <c r="I3366" t="n">
        <v>14</v>
      </c>
      <c r="J3366" t="n">
        <v>3</v>
      </c>
      <c r="K3366" t="n">
        <v>0</v>
      </c>
      <c r="L3366" t="n">
        <v>114356</v>
      </c>
      <c r="M3366" t="n">
        <v>168000</v>
      </c>
      <c r="N3366" t="n">
        <v>91</v>
      </c>
      <c r="O3366" t="n">
        <v>0.91</v>
      </c>
      <c r="P3366" t="n">
        <v>1</v>
      </c>
      <c r="Q3366" t="n">
        <v>0.05</v>
      </c>
      <c r="R3366" t="n">
        <v>1</v>
      </c>
      <c r="S3366" t="n">
        <v>7644.000000000001</v>
      </c>
      <c r="T3366" t="n">
        <v>13</v>
      </c>
      <c r="U3366" t="n">
        <v>14</v>
      </c>
      <c r="V3366" t="n">
        <v>30</v>
      </c>
      <c r="W3366" t="n">
        <v>2</v>
      </c>
      <c r="X3366" t="n">
        <v>43.95604395604395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11038</v>
      </c>
      <c r="AG3366" t="n">
        <v>33</v>
      </c>
      <c r="AH3366" t="inlineStr">
        <is>
          <t>PT. MENSA BINASUKSES - PPN (PDG)</t>
        </is>
      </c>
      <c r="AI3366" t="n">
        <v>98</v>
      </c>
      <c r="AJ3366" t="inlineStr">
        <is>
          <t>MAYBELLINE</t>
        </is>
      </c>
      <c r="AK3366" t="n">
        <v>21</v>
      </c>
      <c r="AL3366" t="inlineStr">
        <is>
          <t>Miss Glam Damar</t>
        </is>
      </c>
      <c r="AM3366" t="n">
        <v>3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MAYBELLINE</t>
        </is>
      </c>
      <c r="B3367" s="2">
        <f>"6902395718338"</f>
        <v/>
      </c>
      <c r="C3367" t="inlineStr">
        <is>
          <t>MAYBELLINE Fit Me Matte Poreless Liquid Foundation128</t>
        </is>
      </c>
      <c r="D3367" t="inlineStr">
        <is>
          <t>Miss Glam Damar</t>
        </is>
      </c>
      <c r="E3367" t="n">
        <v>2</v>
      </c>
      <c r="F3367" t="n">
        <v>0.06370000000000001</v>
      </c>
      <c r="G3367" t="n">
        <v>0.91</v>
      </c>
      <c r="H3367" t="n">
        <v>3</v>
      </c>
      <c r="I3367" t="n">
        <v>14</v>
      </c>
      <c r="J3367" t="n">
        <v>3</v>
      </c>
      <c r="K3367" t="n">
        <v>0</v>
      </c>
      <c r="L3367" t="n">
        <v>127640</v>
      </c>
      <c r="M3367" t="n">
        <v>168000</v>
      </c>
      <c r="N3367" t="n">
        <v>91</v>
      </c>
      <c r="O3367" t="n">
        <v>0.91</v>
      </c>
      <c r="P3367" t="n">
        <v>1</v>
      </c>
      <c r="Q3367" t="n">
        <v>0.05</v>
      </c>
      <c r="R3367" t="n">
        <v>1</v>
      </c>
      <c r="S3367" t="n">
        <v>10701.6</v>
      </c>
      <c r="T3367" t="n">
        <v>13</v>
      </c>
      <c r="U3367" t="n">
        <v>14</v>
      </c>
      <c r="V3367" t="n">
        <v>30</v>
      </c>
      <c r="W3367" t="n">
        <v>2</v>
      </c>
      <c r="X3367" t="n">
        <v>31.39717425431711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11038</v>
      </c>
      <c r="AG3367" t="n">
        <v>33</v>
      </c>
      <c r="AH3367" t="inlineStr">
        <is>
          <t>PT. MENSA BINASUKSES - PPN (PDG)</t>
        </is>
      </c>
      <c r="AI3367" t="n">
        <v>98</v>
      </c>
      <c r="AJ3367" t="inlineStr">
        <is>
          <t>MAYBELLINE</t>
        </is>
      </c>
      <c r="AK3367" t="n">
        <v>21</v>
      </c>
      <c r="AL3367" t="inlineStr">
        <is>
          <t>Miss Glam Damar</t>
        </is>
      </c>
      <c r="AM3367" t="n">
        <v>3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MAYBELLINE</t>
        </is>
      </c>
      <c r="B3368" s="2">
        <f>"6902395646877"</f>
        <v/>
      </c>
      <c r="C3368" t="inlineStr">
        <is>
          <t>MAYBELLINE Fit Me Matte+Poreless 120 30ml</t>
        </is>
      </c>
      <c r="D3368" t="inlineStr">
        <is>
          <t>Miss Glam Damar</t>
        </is>
      </c>
      <c r="E3368" t="n">
        <v>2</v>
      </c>
      <c r="F3368" t="n">
        <v>0.06370000000000001</v>
      </c>
      <c r="G3368" t="n">
        <v>1.82</v>
      </c>
      <c r="H3368" t="n">
        <v>3</v>
      </c>
      <c r="I3368" t="n">
        <v>14</v>
      </c>
      <c r="J3368" t="n">
        <v>3</v>
      </c>
      <c r="K3368" t="n">
        <v>0</v>
      </c>
      <c r="L3368" t="n">
        <v>128085</v>
      </c>
      <c r="M3368" t="n">
        <v>168000</v>
      </c>
      <c r="N3368" t="n">
        <v>91</v>
      </c>
      <c r="O3368" t="n">
        <v>0.91</v>
      </c>
      <c r="P3368" t="n">
        <v>1</v>
      </c>
      <c r="Q3368" t="n">
        <v>0.02</v>
      </c>
      <c r="R3368" t="n">
        <v>1</v>
      </c>
      <c r="S3368" t="n">
        <v>10701.6</v>
      </c>
      <c r="T3368" t="n">
        <v>26</v>
      </c>
      <c r="U3368" t="n">
        <v>27</v>
      </c>
      <c r="V3368" t="n">
        <v>30</v>
      </c>
      <c r="W3368" t="n">
        <v>2</v>
      </c>
      <c r="X3368" t="n">
        <v>31.39717425431711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11038</v>
      </c>
      <c r="AG3368" t="n">
        <v>33</v>
      </c>
      <c r="AH3368" t="inlineStr">
        <is>
          <t>PT. MENSA BINASUKSES - PPN (PDG)</t>
        </is>
      </c>
      <c r="AI3368" t="n">
        <v>98</v>
      </c>
      <c r="AJ3368" t="inlineStr">
        <is>
          <t>MAYBELLINE</t>
        </is>
      </c>
      <c r="AK3368" t="n">
        <v>21</v>
      </c>
      <c r="AL3368" t="inlineStr">
        <is>
          <t>Miss Glam Damar</t>
        </is>
      </c>
      <c r="AM3368" t="n">
        <v>3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MAYBELLINE</t>
        </is>
      </c>
      <c r="B3369" s="2">
        <f>"6902395742302"</f>
        <v/>
      </c>
      <c r="C3369" t="inlineStr">
        <is>
          <t>MAYBELLINE Fit Me Matte+Poreless 228 30ml</t>
        </is>
      </c>
      <c r="D3369" t="inlineStr">
        <is>
          <t>Miss Glam Damar</t>
        </is>
      </c>
      <c r="E3369" t="n">
        <v>2</v>
      </c>
      <c r="F3369" t="n">
        <v>0.02</v>
      </c>
      <c r="G3369" t="n">
        <v>1</v>
      </c>
      <c r="H3369" t="n">
        <v>3</v>
      </c>
      <c r="I3369" t="n">
        <v>14</v>
      </c>
      <c r="J3369" t="n">
        <v>3</v>
      </c>
      <c r="K3369" t="n">
        <v>0</v>
      </c>
      <c r="L3369" t="n">
        <v>120186</v>
      </c>
      <c r="M3369" t="n">
        <v>168000</v>
      </c>
      <c r="N3369" t="n">
        <v>91</v>
      </c>
      <c r="O3369" t="n">
        <v>0.91</v>
      </c>
      <c r="P3369" t="n">
        <v>0</v>
      </c>
      <c r="Q3369" t="n">
        <v>0.02</v>
      </c>
      <c r="R3369" t="n">
        <v>1</v>
      </c>
      <c r="S3369" t="n">
        <v>3360</v>
      </c>
      <c r="T3369" t="n">
        <v>14</v>
      </c>
      <c r="U3369" t="n">
        <v>15</v>
      </c>
      <c r="V3369" t="n">
        <v>30</v>
      </c>
      <c r="W3369" t="n">
        <v>1</v>
      </c>
      <c r="X3369" t="n">
        <v>100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11038</v>
      </c>
      <c r="AG3369" t="n">
        <v>33</v>
      </c>
      <c r="AH3369" t="inlineStr">
        <is>
          <t>PT. MENSA BINASUKSES - PPN (PDG)</t>
        </is>
      </c>
      <c r="AI3369" t="n">
        <v>98</v>
      </c>
      <c r="AJ3369" t="inlineStr">
        <is>
          <t>MAYBELLINE</t>
        </is>
      </c>
      <c r="AK3369" t="n">
        <v>21</v>
      </c>
      <c r="AL3369" t="inlineStr">
        <is>
          <t>Miss Glam Damar</t>
        </is>
      </c>
      <c r="AM3369" t="n">
        <v>3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MAYBELLINE</t>
        </is>
      </c>
      <c r="B3370" s="2">
        <f>"6902395646921"</f>
        <v/>
      </c>
      <c r="C3370" t="inlineStr">
        <is>
          <t>MAYBELLINE Fit Me Matte+Poreless Foundation 220 30ml</t>
        </is>
      </c>
      <c r="D3370" t="inlineStr">
        <is>
          <t>Miss Glam Damar</t>
        </is>
      </c>
      <c r="E3370" t="n">
        <v>6</v>
      </c>
      <c r="F3370" t="n">
        <v>0.06370000000000001</v>
      </c>
      <c r="G3370" t="n">
        <v>0.91</v>
      </c>
      <c r="H3370" t="n">
        <v>3</v>
      </c>
      <c r="I3370" t="n">
        <v>14</v>
      </c>
      <c r="J3370" t="n">
        <v>3</v>
      </c>
      <c r="K3370" t="n">
        <v>0</v>
      </c>
      <c r="L3370" t="n">
        <v>131509</v>
      </c>
      <c r="M3370" t="n">
        <v>168000</v>
      </c>
      <c r="N3370" t="n">
        <v>91</v>
      </c>
      <c r="O3370" t="n">
        <v>0.91</v>
      </c>
      <c r="P3370" t="n">
        <v>1</v>
      </c>
      <c r="Q3370" t="n">
        <v>0.05</v>
      </c>
      <c r="R3370" t="n">
        <v>1</v>
      </c>
      <c r="S3370" t="n">
        <v>10701.6</v>
      </c>
      <c r="T3370" t="n">
        <v>13</v>
      </c>
      <c r="U3370" t="n">
        <v>14</v>
      </c>
      <c r="V3370" t="n">
        <v>30</v>
      </c>
      <c r="W3370" t="n">
        <v>2</v>
      </c>
      <c r="X3370" t="n">
        <v>94.19152276295132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11038</v>
      </c>
      <c r="AG3370" t="n">
        <v>33</v>
      </c>
      <c r="AH3370" t="inlineStr">
        <is>
          <t>PT. MENSA BINASUKSES - PPN (PDG)</t>
        </is>
      </c>
      <c r="AI3370" t="n">
        <v>98</v>
      </c>
      <c r="AJ3370" t="inlineStr">
        <is>
          <t>MAYBELLINE</t>
        </is>
      </c>
      <c r="AK3370" t="n">
        <v>21</v>
      </c>
      <c r="AL3370" t="inlineStr">
        <is>
          <t>Miss Glam Damar</t>
        </is>
      </c>
      <c r="AM3370" t="n">
        <v>3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MAYBELLINE</t>
        </is>
      </c>
      <c r="B3371" s="2">
        <f>"6902395762393"</f>
        <v/>
      </c>
      <c r="C3371" t="inlineStr">
        <is>
          <t>MAYBELLINE Fit Me Matte+Poreless Powder 112 Natural Ivory 6gr</t>
        </is>
      </c>
      <c r="D3371" t="inlineStr">
        <is>
          <t>Miss Glam Damar</t>
        </is>
      </c>
      <c r="E3371" t="n">
        <v>6</v>
      </c>
      <c r="F3371" t="n">
        <v>0.2184</v>
      </c>
      <c r="G3371" t="n">
        <v>1.82</v>
      </c>
      <c r="H3371" t="n">
        <v>3</v>
      </c>
      <c r="I3371" t="n">
        <v>14</v>
      </c>
      <c r="J3371" t="n">
        <v>3</v>
      </c>
      <c r="K3371" t="n">
        <v>0</v>
      </c>
      <c r="L3371" t="n">
        <v>54786</v>
      </c>
      <c r="M3371" t="n">
        <v>82900</v>
      </c>
      <c r="N3371" t="n">
        <v>91</v>
      </c>
      <c r="O3371" t="n">
        <v>0.91</v>
      </c>
      <c r="P3371" t="n">
        <v>1</v>
      </c>
      <c r="Q3371" t="n">
        <v>0.2</v>
      </c>
      <c r="R3371" t="n">
        <v>2</v>
      </c>
      <c r="S3371" t="n">
        <v>18105.36</v>
      </c>
      <c r="T3371" t="n">
        <v>25</v>
      </c>
      <c r="U3371" t="n">
        <v>26</v>
      </c>
      <c r="V3371" t="n">
        <v>30</v>
      </c>
      <c r="W3371" t="n">
        <v>7</v>
      </c>
      <c r="X3371" t="n">
        <v>27.47252747252747</v>
      </c>
      <c r="Y3371" t="n">
        <v>1</v>
      </c>
      <c r="Z3371" t="n">
        <v>1</v>
      </c>
      <c r="AA3371" t="n">
        <v>0</v>
      </c>
      <c r="AB3371" t="n">
        <v>1</v>
      </c>
      <c r="AC3371" t="n">
        <v>3</v>
      </c>
      <c r="AD3371" t="n">
        <v>0</v>
      </c>
      <c r="AE3371" t="n">
        <v>164358</v>
      </c>
      <c r="AF3371" t="n">
        <v>11038</v>
      </c>
      <c r="AG3371" t="n">
        <v>33</v>
      </c>
      <c r="AH3371" t="inlineStr">
        <is>
          <t>PT. MENSA BINASUKSES - PPN (PDG)</t>
        </is>
      </c>
      <c r="AI3371" t="n">
        <v>98</v>
      </c>
      <c r="AJ3371" t="inlineStr">
        <is>
          <t>MAYBELLINE</t>
        </is>
      </c>
      <c r="AK3371" t="n">
        <v>21</v>
      </c>
      <c r="AL3371" t="inlineStr">
        <is>
          <t>Miss Glam Damar</t>
        </is>
      </c>
      <c r="AM3371" t="n">
        <v>3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MAYBELLINE</t>
        </is>
      </c>
      <c r="B3372" s="2">
        <f>"6902395762416"</f>
        <v/>
      </c>
      <c r="C3372" t="inlineStr">
        <is>
          <t>MAYBELLINE Fit Me Matte+Poreless Powder 118 Light Beige 6g</t>
        </is>
      </c>
      <c r="D3372" t="inlineStr">
        <is>
          <t>Miss Glam Damar</t>
        </is>
      </c>
      <c r="E3372" t="n">
        <v>9</v>
      </c>
      <c r="F3372" t="n">
        <v>0.2639</v>
      </c>
      <c r="G3372" t="n">
        <v>2.73</v>
      </c>
      <c r="H3372" t="n">
        <v>3</v>
      </c>
      <c r="I3372" t="n">
        <v>14</v>
      </c>
      <c r="J3372" t="n">
        <v>3</v>
      </c>
      <c r="K3372" t="n">
        <v>0</v>
      </c>
      <c r="L3372" t="n">
        <v>56992</v>
      </c>
      <c r="M3372" t="n">
        <v>82900</v>
      </c>
      <c r="N3372" t="n">
        <v>91</v>
      </c>
      <c r="O3372" t="n">
        <v>0.91</v>
      </c>
      <c r="P3372" t="n">
        <v>1</v>
      </c>
      <c r="Q3372" t="n">
        <v>0.22</v>
      </c>
      <c r="R3372" t="n">
        <v>3</v>
      </c>
      <c r="S3372" t="n">
        <v>21877.31</v>
      </c>
      <c r="T3372" t="n">
        <v>38</v>
      </c>
      <c r="U3372" t="n">
        <v>39</v>
      </c>
      <c r="V3372" t="n">
        <v>30</v>
      </c>
      <c r="W3372" t="n">
        <v>8</v>
      </c>
      <c r="X3372" t="n">
        <v>34.10382720727549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11038</v>
      </c>
      <c r="AG3372" t="n">
        <v>33</v>
      </c>
      <c r="AH3372" t="inlineStr">
        <is>
          <t>PT. MENSA BINASUKSES - PPN (PDG)</t>
        </is>
      </c>
      <c r="AI3372" t="n">
        <v>98</v>
      </c>
      <c r="AJ3372" t="inlineStr">
        <is>
          <t>MAYBELLINE</t>
        </is>
      </c>
      <c r="AK3372" t="n">
        <v>21</v>
      </c>
      <c r="AL3372" t="inlineStr">
        <is>
          <t>Miss Glam Damar</t>
        </is>
      </c>
      <c r="AM3372" t="n">
        <v>3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MAYBELLINE</t>
        </is>
      </c>
      <c r="B3373" s="2">
        <f>"6902395762423"</f>
        <v/>
      </c>
      <c r="C3373" t="inlineStr">
        <is>
          <t>MAYBELLINE Fit Me Matte+Poreless Powder 120 Classic Ivory 6g</t>
        </is>
      </c>
      <c r="D3373" t="inlineStr">
        <is>
          <t>Miss Glam Damar</t>
        </is>
      </c>
      <c r="E3373" t="n">
        <v>12</v>
      </c>
      <c r="F3373" t="n">
        <v>0.2275</v>
      </c>
      <c r="G3373" t="n">
        <v>1.82</v>
      </c>
      <c r="H3373" t="n">
        <v>3</v>
      </c>
      <c r="I3373" t="n">
        <v>14</v>
      </c>
      <c r="J3373" t="n">
        <v>3</v>
      </c>
      <c r="K3373" t="n">
        <v>0</v>
      </c>
      <c r="L3373" t="n">
        <v>57048</v>
      </c>
      <c r="M3373" t="n">
        <v>82900</v>
      </c>
      <c r="N3373" t="n">
        <v>91</v>
      </c>
      <c r="O3373" t="n">
        <v>0.91</v>
      </c>
      <c r="P3373" t="n">
        <v>1</v>
      </c>
      <c r="Q3373" t="n">
        <v>0.32</v>
      </c>
      <c r="R3373" t="n">
        <v>4</v>
      </c>
      <c r="S3373" t="n">
        <v>18859.75</v>
      </c>
      <c r="T3373" t="n">
        <v>25</v>
      </c>
      <c r="U3373" t="n">
        <v>26</v>
      </c>
      <c r="V3373" t="n">
        <v>30</v>
      </c>
      <c r="W3373" t="n">
        <v>7</v>
      </c>
      <c r="X3373" t="n">
        <v>52.74725274725274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11038</v>
      </c>
      <c r="AG3373" t="n">
        <v>33</v>
      </c>
      <c r="AH3373" t="inlineStr">
        <is>
          <t>PT. MENSA BINASUKSES - PPN (PDG)</t>
        </is>
      </c>
      <c r="AI3373" t="n">
        <v>98</v>
      </c>
      <c r="AJ3373" t="inlineStr">
        <is>
          <t>MAYBELLINE</t>
        </is>
      </c>
      <c r="AK3373" t="n">
        <v>21</v>
      </c>
      <c r="AL3373" t="inlineStr">
        <is>
          <t>Miss Glam Damar</t>
        </is>
      </c>
      <c r="AM3373" t="n">
        <v>3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MAYBELLINE</t>
        </is>
      </c>
      <c r="B3374" s="2">
        <f>"6902395762430"</f>
        <v/>
      </c>
      <c r="C3374" t="inlineStr">
        <is>
          <t>MAYBELLINE Fit Me Matte+Poreless Powder 128 Warm Nude 6gr</t>
        </is>
      </c>
      <c r="D3374" t="inlineStr">
        <is>
          <t>Miss Glam Damar</t>
        </is>
      </c>
      <c r="E3374" t="n">
        <v>7</v>
      </c>
      <c r="F3374" t="n">
        <v>0.182</v>
      </c>
      <c r="G3374" t="n">
        <v>1.82</v>
      </c>
      <c r="H3374" t="n">
        <v>3</v>
      </c>
      <c r="I3374" t="n">
        <v>14</v>
      </c>
      <c r="J3374" t="n">
        <v>3</v>
      </c>
      <c r="K3374" t="n">
        <v>0</v>
      </c>
      <c r="L3374" t="n">
        <v>55465</v>
      </c>
      <c r="M3374" t="n">
        <v>82900</v>
      </c>
      <c r="N3374" t="n">
        <v>91</v>
      </c>
      <c r="O3374" t="n">
        <v>0.91</v>
      </c>
      <c r="P3374" t="n">
        <v>1</v>
      </c>
      <c r="Q3374" t="n">
        <v>0.15</v>
      </c>
      <c r="R3374" t="n">
        <v>2</v>
      </c>
      <c r="S3374" t="n">
        <v>15087.8</v>
      </c>
      <c r="T3374" t="n">
        <v>25</v>
      </c>
      <c r="U3374" t="n">
        <v>26</v>
      </c>
      <c r="V3374" t="n">
        <v>30</v>
      </c>
      <c r="W3374" t="n">
        <v>6</v>
      </c>
      <c r="X3374" t="n">
        <v>38.46153846153846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11038</v>
      </c>
      <c r="AG3374" t="n">
        <v>33</v>
      </c>
      <c r="AH3374" t="inlineStr">
        <is>
          <t>PT. MENSA BINASUKSES - PPN (PDG)</t>
        </is>
      </c>
      <c r="AI3374" t="n">
        <v>98</v>
      </c>
      <c r="AJ3374" t="inlineStr">
        <is>
          <t>MAYBELLINE</t>
        </is>
      </c>
      <c r="AK3374" t="n">
        <v>21</v>
      </c>
      <c r="AL3374" t="inlineStr">
        <is>
          <t>Miss Glam Damar</t>
        </is>
      </c>
      <c r="AM3374" t="n">
        <v>3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MAYBELLINE</t>
        </is>
      </c>
      <c r="B3375" s="2">
        <f>"6902395806455"</f>
        <v/>
      </c>
      <c r="C3375" t="inlineStr">
        <is>
          <t>MAYBELLINE Fit Me Matte+Poreless Powder Foundation 120 9gr</t>
        </is>
      </c>
      <c r="D3375" t="inlineStr">
        <is>
          <t>Miss Glam Damar</t>
        </is>
      </c>
      <c r="E3375" t="n">
        <v>8</v>
      </c>
      <c r="F3375" t="n">
        <v>0.0182</v>
      </c>
      <c r="G3375" t="n">
        <v>0.91</v>
      </c>
      <c r="H3375" t="n">
        <v>3</v>
      </c>
      <c r="I3375" t="n">
        <v>14</v>
      </c>
      <c r="J3375" t="n">
        <v>3</v>
      </c>
      <c r="K3375" t="n">
        <v>0</v>
      </c>
      <c r="L3375" t="n">
        <v>117802</v>
      </c>
      <c r="M3375" t="n">
        <v>169000</v>
      </c>
      <c r="N3375" t="n">
        <v>91</v>
      </c>
      <c r="O3375" t="n">
        <v>0.91</v>
      </c>
      <c r="P3375" t="n">
        <v>1</v>
      </c>
      <c r="Q3375" t="n">
        <v>0.15</v>
      </c>
      <c r="R3375" t="n">
        <v>1</v>
      </c>
      <c r="S3375" t="n">
        <v>3075.8</v>
      </c>
      <c r="T3375" t="n">
        <v>13</v>
      </c>
      <c r="U3375" t="n">
        <v>14</v>
      </c>
      <c r="V3375" t="n">
        <v>30</v>
      </c>
      <c r="W3375" t="n">
        <v>1</v>
      </c>
      <c r="X3375" t="n">
        <v>439.5604395604395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11038</v>
      </c>
      <c r="AG3375" t="n">
        <v>33</v>
      </c>
      <c r="AH3375" t="inlineStr">
        <is>
          <t>PT. MENSA BINASUKSES - PPN (PDG)</t>
        </is>
      </c>
      <c r="AI3375" t="n">
        <v>98</v>
      </c>
      <c r="AJ3375" t="inlineStr">
        <is>
          <t>MAYBELLINE</t>
        </is>
      </c>
      <c r="AK3375" t="n">
        <v>21</v>
      </c>
      <c r="AL3375" t="inlineStr">
        <is>
          <t>Miss Glam Damar</t>
        </is>
      </c>
      <c r="AM3375" t="n">
        <v>3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MAYBELLINE</t>
        </is>
      </c>
      <c r="B3376" s="2">
        <f>"6902395806479"</f>
        <v/>
      </c>
      <c r="C3376" t="inlineStr">
        <is>
          <t>MAYBELLINE Fit Me Matte+Poreless Powder Foundation 128 9gr</t>
        </is>
      </c>
      <c r="D3376" t="inlineStr">
        <is>
          <t>Miss Glam Damar</t>
        </is>
      </c>
      <c r="E3376" t="n">
        <v>2</v>
      </c>
      <c r="F3376" t="n">
        <v>0.03</v>
      </c>
      <c r="G3376" t="n">
        <v>1</v>
      </c>
      <c r="H3376" t="n">
        <v>3</v>
      </c>
      <c r="I3376" t="n">
        <v>14</v>
      </c>
      <c r="J3376" t="n">
        <v>3</v>
      </c>
      <c r="K3376" t="n">
        <v>0</v>
      </c>
      <c r="L3376" t="n">
        <v>115246</v>
      </c>
      <c r="M3376" t="n">
        <v>169000</v>
      </c>
      <c r="N3376" t="n">
        <v>91</v>
      </c>
      <c r="O3376" t="n">
        <v>0.91</v>
      </c>
      <c r="P3376" t="n">
        <v>0</v>
      </c>
      <c r="Q3376" t="n">
        <v>0.03</v>
      </c>
      <c r="R3376" t="n">
        <v>1</v>
      </c>
      <c r="S3376" t="n">
        <v>5070</v>
      </c>
      <c r="T3376" t="n">
        <v>14</v>
      </c>
      <c r="U3376" t="n">
        <v>15</v>
      </c>
      <c r="V3376" t="n">
        <v>30</v>
      </c>
      <c r="W3376" t="n">
        <v>1</v>
      </c>
      <c r="X3376" t="n">
        <v>66.66666666666667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11038</v>
      </c>
      <c r="AG3376" t="n">
        <v>33</v>
      </c>
      <c r="AH3376" t="inlineStr">
        <is>
          <t>PT. MENSA BINASUKSES - PPN (PDG)</t>
        </is>
      </c>
      <c r="AI3376" t="n">
        <v>98</v>
      </c>
      <c r="AJ3376" t="inlineStr">
        <is>
          <t>MAYBELLINE</t>
        </is>
      </c>
      <c r="AK3376" t="n">
        <v>21</v>
      </c>
      <c r="AL3376" t="inlineStr">
        <is>
          <t>Miss Glam Damar</t>
        </is>
      </c>
      <c r="AM3376" t="n">
        <v>3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MAYBELLINE</t>
        </is>
      </c>
      <c r="B3377" s="2">
        <f>"6902395806493"</f>
        <v/>
      </c>
      <c r="C3377" t="inlineStr">
        <is>
          <t>MAYBELLINE Fit Me Matte+Poreless Powder Foundation 220 Natural Beige 9gr</t>
        </is>
      </c>
      <c r="D3377" t="inlineStr">
        <is>
          <t>Miss Glam Damar</t>
        </is>
      </c>
      <c r="E3377" t="n">
        <v>2</v>
      </c>
      <c r="F3377" t="n">
        <v>0.0182</v>
      </c>
      <c r="G3377" t="n">
        <v>0.91</v>
      </c>
      <c r="H3377" t="n">
        <v>3</v>
      </c>
      <c r="I3377" t="n">
        <v>14</v>
      </c>
      <c r="J3377" t="n">
        <v>3</v>
      </c>
      <c r="K3377" t="n">
        <v>0</v>
      </c>
      <c r="L3377" t="n">
        <v>115246</v>
      </c>
      <c r="M3377" t="n">
        <v>169000</v>
      </c>
      <c r="N3377" t="n">
        <v>91</v>
      </c>
      <c r="O3377" t="n">
        <v>0.91</v>
      </c>
      <c r="P3377" t="n">
        <v>1</v>
      </c>
      <c r="Q3377" t="n">
        <v>0.02</v>
      </c>
      <c r="R3377" t="n">
        <v>1</v>
      </c>
      <c r="S3377" t="n">
        <v>3075.8</v>
      </c>
      <c r="T3377" t="n">
        <v>13</v>
      </c>
      <c r="U3377" t="n">
        <v>14</v>
      </c>
      <c r="V3377" t="n">
        <v>30</v>
      </c>
      <c r="W3377" t="n">
        <v>1</v>
      </c>
      <c r="X3377" t="n">
        <v>109.8901098901099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11038</v>
      </c>
      <c r="AG3377" t="n">
        <v>33</v>
      </c>
      <c r="AH3377" t="inlineStr">
        <is>
          <t>PT. MENSA BINASUKSES - PPN (PDG)</t>
        </is>
      </c>
      <c r="AI3377" t="n">
        <v>98</v>
      </c>
      <c r="AJ3377" t="inlineStr">
        <is>
          <t>MAYBELLINE</t>
        </is>
      </c>
      <c r="AK3377" t="n">
        <v>21</v>
      </c>
      <c r="AL3377" t="inlineStr">
        <is>
          <t>Miss Glam Damar</t>
        </is>
      </c>
      <c r="AM3377" t="n">
        <v>3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MAYBELLINE</t>
        </is>
      </c>
      <c r="B3378" s="2">
        <f>"6902395828426"</f>
        <v/>
      </c>
      <c r="C3378" t="inlineStr">
        <is>
          <t>MAYBELLINE Hyper Sharp BK-1 Ultra Black</t>
        </is>
      </c>
      <c r="D3378" t="inlineStr">
        <is>
          <t>Miss Glam Damar</t>
        </is>
      </c>
      <c r="E3378" t="n">
        <v>9</v>
      </c>
      <c r="F3378" t="n">
        <v>0.09100000000000001</v>
      </c>
      <c r="G3378" t="n">
        <v>0.91</v>
      </c>
      <c r="H3378" t="n">
        <v>3</v>
      </c>
      <c r="I3378" t="n">
        <v>14</v>
      </c>
      <c r="J3378" t="n">
        <v>3</v>
      </c>
      <c r="K3378" t="n">
        <v>0</v>
      </c>
      <c r="L3378" t="n">
        <v>106338</v>
      </c>
      <c r="M3378" t="n">
        <v>158000</v>
      </c>
      <c r="N3378" t="n">
        <v>91</v>
      </c>
      <c r="O3378" t="n">
        <v>0.91</v>
      </c>
      <c r="P3378" t="n">
        <v>1</v>
      </c>
      <c r="Q3378" t="n">
        <v>0.17</v>
      </c>
      <c r="R3378" t="n">
        <v>2</v>
      </c>
      <c r="S3378" t="n">
        <v>14378</v>
      </c>
      <c r="T3378" t="n">
        <v>13</v>
      </c>
      <c r="U3378" t="n">
        <v>14</v>
      </c>
      <c r="V3378" t="n">
        <v>30</v>
      </c>
      <c r="W3378" t="n">
        <v>3</v>
      </c>
      <c r="X3378" t="n">
        <v>98.90109890109889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11038</v>
      </c>
      <c r="AG3378" t="n">
        <v>33</v>
      </c>
      <c r="AH3378" t="inlineStr">
        <is>
          <t>PT. MENSA BINASUKSES - PPN (PDG)</t>
        </is>
      </c>
      <c r="AI3378" t="n">
        <v>98</v>
      </c>
      <c r="AJ3378" t="inlineStr">
        <is>
          <t>MAYBELLINE</t>
        </is>
      </c>
      <c r="AK3378" t="n">
        <v>21</v>
      </c>
      <c r="AL3378" t="inlineStr">
        <is>
          <t>Miss Glam Damar</t>
        </is>
      </c>
      <c r="AM3378" t="n">
        <v>3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MAYBELLINE</t>
        </is>
      </c>
      <c r="B3379" s="2">
        <f>"041554590913"</f>
        <v/>
      </c>
      <c r="C3379" t="inlineStr">
        <is>
          <t>MAYBELLINE Lash Sensational Sky High Mascara 6ml</t>
        </is>
      </c>
      <c r="D3379" t="inlineStr">
        <is>
          <t>Miss Glam Damar</t>
        </is>
      </c>
      <c r="E3379" t="n">
        <v>22</v>
      </c>
      <c r="F3379" t="n">
        <v>0.8</v>
      </c>
      <c r="G3379" t="n">
        <v>4</v>
      </c>
      <c r="H3379" t="n">
        <v>3</v>
      </c>
      <c r="I3379" t="n">
        <v>14</v>
      </c>
      <c r="J3379" t="n">
        <v>3</v>
      </c>
      <c r="K3379" t="n">
        <v>0</v>
      </c>
      <c r="L3379" t="n">
        <v>103068</v>
      </c>
      <c r="M3379" t="n">
        <v>139000</v>
      </c>
      <c r="N3379" t="n">
        <v>91</v>
      </c>
      <c r="O3379" t="n">
        <v>0.91</v>
      </c>
      <c r="P3379" t="n">
        <v>0</v>
      </c>
      <c r="Q3379" t="n">
        <v>0.8</v>
      </c>
      <c r="R3379" t="n">
        <v>4</v>
      </c>
      <c r="S3379" t="n">
        <v>111200</v>
      </c>
      <c r="T3379" t="n">
        <v>54</v>
      </c>
      <c r="U3379" t="n">
        <v>57</v>
      </c>
      <c r="V3379" t="n">
        <v>30</v>
      </c>
      <c r="W3379" t="n">
        <v>24</v>
      </c>
      <c r="X3379" t="n">
        <v>27.5</v>
      </c>
      <c r="Y3379" t="n">
        <v>1</v>
      </c>
      <c r="Z3379" t="n">
        <v>2</v>
      </c>
      <c r="AA3379" t="n">
        <v>0</v>
      </c>
      <c r="AB3379" t="n">
        <v>2</v>
      </c>
      <c r="AC3379" t="n">
        <v>3</v>
      </c>
      <c r="AD3379" t="n">
        <v>0</v>
      </c>
      <c r="AE3379" t="n">
        <v>309204</v>
      </c>
      <c r="AF3379" t="n">
        <v>11038</v>
      </c>
      <c r="AG3379" t="n">
        <v>33</v>
      </c>
      <c r="AH3379" t="inlineStr">
        <is>
          <t>PT. MENSA BINASUKSES - PPN (PDG)</t>
        </is>
      </c>
      <c r="AI3379" t="n">
        <v>98</v>
      </c>
      <c r="AJ3379" t="inlineStr">
        <is>
          <t>MAYBELLINE</t>
        </is>
      </c>
      <c r="AK3379" t="n">
        <v>21</v>
      </c>
      <c r="AL3379" t="inlineStr">
        <is>
          <t>Miss Glam Damar</t>
        </is>
      </c>
      <c r="AM3379" t="n">
        <v>3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MAYBELLINE</t>
        </is>
      </c>
      <c r="B3380" s="2">
        <f>"6902395703495"</f>
        <v/>
      </c>
      <c r="C3380" t="inlineStr">
        <is>
          <t>MAYBELLINE Line Tatto Crayon Pen Black</t>
        </is>
      </c>
      <c r="D3380" t="inlineStr">
        <is>
          <t>Miss Glam Damar</t>
        </is>
      </c>
      <c r="E3380" t="n">
        <v>13</v>
      </c>
      <c r="F3380" t="n">
        <v>0.1547</v>
      </c>
      <c r="G3380" t="n">
        <v>1.82</v>
      </c>
      <c r="H3380" t="n">
        <v>3</v>
      </c>
      <c r="I3380" t="n">
        <v>14</v>
      </c>
      <c r="J3380" t="n">
        <v>3</v>
      </c>
      <c r="K3380" t="n">
        <v>0</v>
      </c>
      <c r="L3380" t="n">
        <v>97996</v>
      </c>
      <c r="M3380" t="n">
        <v>145000</v>
      </c>
      <c r="N3380" t="n">
        <v>91</v>
      </c>
      <c r="O3380" t="n">
        <v>0.91</v>
      </c>
      <c r="P3380" t="n">
        <v>1</v>
      </c>
      <c r="Q3380" t="n">
        <v>0.17</v>
      </c>
      <c r="R3380" t="n">
        <v>2</v>
      </c>
      <c r="S3380" t="n">
        <v>22431.5</v>
      </c>
      <c r="T3380" t="n">
        <v>26</v>
      </c>
      <c r="U3380" t="n">
        <v>27</v>
      </c>
      <c r="V3380" t="n">
        <v>30</v>
      </c>
      <c r="W3380" t="n">
        <v>5</v>
      </c>
      <c r="X3380" t="n">
        <v>84.03361344537815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11038</v>
      </c>
      <c r="AG3380" t="n">
        <v>33</v>
      </c>
      <c r="AH3380" t="inlineStr">
        <is>
          <t>PT. MENSA BINASUKSES - PPN (PDG)</t>
        </is>
      </c>
      <c r="AI3380" t="n">
        <v>98</v>
      </c>
      <c r="AJ3380" t="inlineStr">
        <is>
          <t>MAYBELLINE</t>
        </is>
      </c>
      <c r="AK3380" t="n">
        <v>21</v>
      </c>
      <c r="AL3380" t="inlineStr">
        <is>
          <t>Miss Glam Damar</t>
        </is>
      </c>
      <c r="AM3380" t="n">
        <v>3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MAYBELLINE</t>
        </is>
      </c>
      <c r="B3381" s="2">
        <f>"6902395703549"</f>
        <v/>
      </c>
      <c r="C3381" t="inlineStr">
        <is>
          <t>MAYBELLINE Line Tatto Crayon Pen Dark Brown</t>
        </is>
      </c>
      <c r="D3381" t="inlineStr">
        <is>
          <t>Miss Glam Damar</t>
        </is>
      </c>
      <c r="E3381" t="n">
        <v>6</v>
      </c>
      <c r="F3381" t="n">
        <v>0.04550000000000001</v>
      </c>
      <c r="G3381" t="n">
        <v>0.91</v>
      </c>
      <c r="H3381" t="n">
        <v>3</v>
      </c>
      <c r="I3381" t="n">
        <v>14</v>
      </c>
      <c r="J3381" t="n">
        <v>3</v>
      </c>
      <c r="K3381" t="n">
        <v>0</v>
      </c>
      <c r="L3381" t="n">
        <v>97055</v>
      </c>
      <c r="M3381" t="n">
        <v>145000</v>
      </c>
      <c r="N3381" t="n">
        <v>91</v>
      </c>
      <c r="O3381" t="n">
        <v>0.91</v>
      </c>
      <c r="P3381" t="n">
        <v>1</v>
      </c>
      <c r="Q3381" t="n">
        <v>0.07000000000000001</v>
      </c>
      <c r="R3381" t="n">
        <v>1</v>
      </c>
      <c r="S3381" t="n">
        <v>6597.500000000001</v>
      </c>
      <c r="T3381" t="n">
        <v>13</v>
      </c>
      <c r="U3381" t="n">
        <v>14</v>
      </c>
      <c r="V3381" t="n">
        <v>30</v>
      </c>
      <c r="W3381" t="n">
        <v>2</v>
      </c>
      <c r="X3381" t="n">
        <v>131.8681318681319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11038</v>
      </c>
      <c r="AG3381" t="n">
        <v>33</v>
      </c>
      <c r="AH3381" t="inlineStr">
        <is>
          <t>PT. MENSA BINASUKSES - PPN (PDG)</t>
        </is>
      </c>
      <c r="AI3381" t="n">
        <v>98</v>
      </c>
      <c r="AJ3381" t="inlineStr">
        <is>
          <t>MAYBELLINE</t>
        </is>
      </c>
      <c r="AK3381" t="n">
        <v>21</v>
      </c>
      <c r="AL3381" t="inlineStr">
        <is>
          <t>Miss Glam Damar</t>
        </is>
      </c>
      <c r="AM3381" t="n">
        <v>3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MAYBELLINE</t>
        </is>
      </c>
      <c r="B3382" s="2">
        <f>"20100964459"</f>
        <v/>
      </c>
      <c r="C3382" t="inlineStr">
        <is>
          <t>MAYBELLINE Sunkisser Blush 11 Electric Bronze 5.4ml</t>
        </is>
      </c>
      <c r="D3382" t="inlineStr">
        <is>
          <t>Miss Glam Damar</t>
        </is>
      </c>
      <c r="E3382" t="n">
        <v>5</v>
      </c>
      <c r="F3382" t="n">
        <v>0.02</v>
      </c>
      <c r="G3382" t="n">
        <v>1</v>
      </c>
      <c r="H3382" t="n">
        <v>3</v>
      </c>
      <c r="I3382" t="n">
        <v>14</v>
      </c>
      <c r="J3382" t="n">
        <v>1</v>
      </c>
      <c r="K3382" t="n">
        <v>0</v>
      </c>
      <c r="L3382" t="n">
        <v>83347</v>
      </c>
      <c r="M3382" t="n">
        <v>100000</v>
      </c>
      <c r="N3382" t="n">
        <v>91</v>
      </c>
      <c r="O3382" t="n">
        <v>0.91</v>
      </c>
      <c r="P3382" t="n">
        <v>0</v>
      </c>
      <c r="Q3382" t="n">
        <v>0.02</v>
      </c>
      <c r="R3382" t="n">
        <v>1</v>
      </c>
      <c r="S3382" t="n">
        <v>2000</v>
      </c>
      <c r="T3382" t="n">
        <v>14</v>
      </c>
      <c r="U3382" t="n">
        <v>15</v>
      </c>
      <c r="V3382" t="n">
        <v>30</v>
      </c>
      <c r="W3382" t="n">
        <v>1</v>
      </c>
      <c r="X3382" t="n">
        <v>250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11038</v>
      </c>
      <c r="AG3382" t="n">
        <v>33</v>
      </c>
      <c r="AH3382" t="inlineStr">
        <is>
          <t>PT. MENSA BINASUKSES - PPN (PDG)</t>
        </is>
      </c>
      <c r="AI3382" t="n">
        <v>98</v>
      </c>
      <c r="AJ3382" t="inlineStr">
        <is>
          <t>MAYBELLINE</t>
        </is>
      </c>
      <c r="AK3382" t="n">
        <v>21</v>
      </c>
      <c r="AL3382" t="inlineStr">
        <is>
          <t>Miss Glam Damar</t>
        </is>
      </c>
      <c r="AM3382" t="n">
        <v>3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MAYBELLINE</t>
        </is>
      </c>
      <c r="B3383" s="2">
        <f>"6902395970033"</f>
        <v/>
      </c>
      <c r="C3383" t="inlineStr">
        <is>
          <t>MAYBELLINE Super Stay Lumi-Matte Foundation Up to 30H 110 35ml</t>
        </is>
      </c>
      <c r="D3383" t="inlineStr">
        <is>
          <t>Miss Glam Damar</t>
        </is>
      </c>
      <c r="E3383" t="n">
        <v>4</v>
      </c>
      <c r="F3383" t="n">
        <v>0.03</v>
      </c>
      <c r="G3383" t="n">
        <v>1</v>
      </c>
      <c r="H3383" t="n">
        <v>3</v>
      </c>
      <c r="I3383" t="n">
        <v>14</v>
      </c>
      <c r="J3383" t="n">
        <v>3</v>
      </c>
      <c r="K3383" t="n">
        <v>0</v>
      </c>
      <c r="L3383" t="n">
        <v>100633</v>
      </c>
      <c r="M3383" t="n">
        <v>145000</v>
      </c>
      <c r="N3383" t="n">
        <v>91</v>
      </c>
      <c r="O3383" t="n">
        <v>0.91</v>
      </c>
      <c r="P3383" t="n">
        <v>0</v>
      </c>
      <c r="Q3383" t="n">
        <v>0.03</v>
      </c>
      <c r="R3383" t="n">
        <v>1</v>
      </c>
      <c r="S3383" t="n">
        <v>4350</v>
      </c>
      <c r="T3383" t="n">
        <v>14</v>
      </c>
      <c r="U3383" t="n">
        <v>15</v>
      </c>
      <c r="V3383" t="n">
        <v>30</v>
      </c>
      <c r="W3383" t="n">
        <v>1</v>
      </c>
      <c r="X3383" t="n">
        <v>133.3333333333333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11038</v>
      </c>
      <c r="AG3383" t="n">
        <v>33</v>
      </c>
      <c r="AH3383" t="inlineStr">
        <is>
          <t>PT. MENSA BINASUKSES - PPN (PDG)</t>
        </is>
      </c>
      <c r="AI3383" t="n">
        <v>98</v>
      </c>
      <c r="AJ3383" t="inlineStr">
        <is>
          <t>MAYBELLINE</t>
        </is>
      </c>
      <c r="AK3383" t="n">
        <v>21</v>
      </c>
      <c r="AL3383" t="inlineStr">
        <is>
          <t>Miss Glam Damar</t>
        </is>
      </c>
      <c r="AM3383" t="n">
        <v>3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MAYBELLINE</t>
        </is>
      </c>
      <c r="B3384" s="2">
        <f>"6902395970040"</f>
        <v/>
      </c>
      <c r="C3384" t="inlineStr">
        <is>
          <t>MAYBELLINE Super Stay Lumi-Matte Foundation Up to 30H 111 35ml</t>
        </is>
      </c>
      <c r="D3384" t="inlineStr">
        <is>
          <t>Miss Glam Damar</t>
        </is>
      </c>
      <c r="E3384" t="n">
        <v>3</v>
      </c>
      <c r="F3384" t="n">
        <v>0.03</v>
      </c>
      <c r="G3384" t="n">
        <v>1</v>
      </c>
      <c r="H3384" t="n">
        <v>3</v>
      </c>
      <c r="I3384" t="n">
        <v>14</v>
      </c>
      <c r="J3384" t="n">
        <v>3</v>
      </c>
      <c r="K3384" t="n">
        <v>0</v>
      </c>
      <c r="L3384" t="n">
        <v>103068</v>
      </c>
      <c r="M3384" t="n">
        <v>145000</v>
      </c>
      <c r="N3384" t="n">
        <v>91</v>
      </c>
      <c r="O3384" t="n">
        <v>0.91</v>
      </c>
      <c r="P3384" t="n">
        <v>0</v>
      </c>
      <c r="Q3384" t="n">
        <v>0.03</v>
      </c>
      <c r="R3384" t="n">
        <v>1</v>
      </c>
      <c r="S3384" t="n">
        <v>4350</v>
      </c>
      <c r="T3384" t="n">
        <v>14</v>
      </c>
      <c r="U3384" t="n">
        <v>15</v>
      </c>
      <c r="V3384" t="n">
        <v>30</v>
      </c>
      <c r="W3384" t="n">
        <v>1</v>
      </c>
      <c r="X3384" t="n">
        <v>100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11038</v>
      </c>
      <c r="AG3384" t="n">
        <v>33</v>
      </c>
      <c r="AH3384" t="inlineStr">
        <is>
          <t>PT. MENSA BINASUKSES - PPN (PDG)</t>
        </is>
      </c>
      <c r="AI3384" t="n">
        <v>98</v>
      </c>
      <c r="AJ3384" t="inlineStr">
        <is>
          <t>MAYBELLINE</t>
        </is>
      </c>
      <c r="AK3384" t="n">
        <v>21</v>
      </c>
      <c r="AL3384" t="inlineStr">
        <is>
          <t>Miss Glam Damar</t>
        </is>
      </c>
      <c r="AM3384" t="n">
        <v>3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MAYBELLINE</t>
        </is>
      </c>
      <c r="B3385" s="2">
        <f>"6902395970057"</f>
        <v/>
      </c>
      <c r="C3385" t="inlineStr">
        <is>
          <t>MAYBELLINE Super Stay Lumi-Matte Foundation Up to 30H 115 35ml</t>
        </is>
      </c>
      <c r="D3385" t="inlineStr">
        <is>
          <t>Miss Glam Damar</t>
        </is>
      </c>
      <c r="E3385" t="n">
        <v>1</v>
      </c>
      <c r="F3385" t="n">
        <v>0.02</v>
      </c>
      <c r="G3385" t="n">
        <v>1</v>
      </c>
      <c r="H3385" t="n">
        <v>3</v>
      </c>
      <c r="I3385" t="n">
        <v>14</v>
      </c>
      <c r="J3385" t="n">
        <v>3</v>
      </c>
      <c r="K3385" t="n">
        <v>0</v>
      </c>
      <c r="L3385" t="n">
        <v>100604</v>
      </c>
      <c r="M3385" t="n">
        <v>145000</v>
      </c>
      <c r="N3385" t="n">
        <v>91</v>
      </c>
      <c r="O3385" t="n">
        <v>0.91</v>
      </c>
      <c r="P3385" t="n">
        <v>0</v>
      </c>
      <c r="Q3385" t="n">
        <v>0.02</v>
      </c>
      <c r="R3385" t="n">
        <v>1</v>
      </c>
      <c r="S3385" t="n">
        <v>2900</v>
      </c>
      <c r="T3385" t="n">
        <v>14</v>
      </c>
      <c r="U3385" t="n">
        <v>15</v>
      </c>
      <c r="V3385" t="n">
        <v>30</v>
      </c>
      <c r="W3385" t="n">
        <v>1</v>
      </c>
      <c r="X3385" t="n">
        <v>50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11038</v>
      </c>
      <c r="AG3385" t="n">
        <v>33</v>
      </c>
      <c r="AH3385" t="inlineStr">
        <is>
          <t>PT. MENSA BINASUKSES - PPN (PDG)</t>
        </is>
      </c>
      <c r="AI3385" t="n">
        <v>98</v>
      </c>
      <c r="AJ3385" t="inlineStr">
        <is>
          <t>MAYBELLINE</t>
        </is>
      </c>
      <c r="AK3385" t="n">
        <v>21</v>
      </c>
      <c r="AL3385" t="inlineStr">
        <is>
          <t>Miss Glam Damar</t>
        </is>
      </c>
      <c r="AM3385" t="n">
        <v>3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MAYBELLINE</t>
        </is>
      </c>
      <c r="B3386" s="2">
        <f>"6902395970071"</f>
        <v/>
      </c>
      <c r="C3386" t="inlineStr">
        <is>
          <t>MAYBELLINE Super Stay Lumi-Matte Foundation Up to 30H 120 35ml</t>
        </is>
      </c>
      <c r="D3386" t="inlineStr">
        <is>
          <t>Miss Glam Damar</t>
        </is>
      </c>
      <c r="E3386" t="n">
        <v>7</v>
      </c>
      <c r="F3386" t="n">
        <v>0.06370000000000001</v>
      </c>
      <c r="G3386" t="n">
        <v>0.91</v>
      </c>
      <c r="H3386" t="n">
        <v>3</v>
      </c>
      <c r="I3386" t="n">
        <v>14</v>
      </c>
      <c r="J3386" t="n">
        <v>3</v>
      </c>
      <c r="K3386" t="n">
        <v>0</v>
      </c>
      <c r="L3386" t="n">
        <v>103309</v>
      </c>
      <c r="M3386" t="n">
        <v>145000</v>
      </c>
      <c r="N3386" t="n">
        <v>91</v>
      </c>
      <c r="O3386" t="n">
        <v>0.91</v>
      </c>
      <c r="P3386" t="n">
        <v>1</v>
      </c>
      <c r="Q3386" t="n">
        <v>0.1</v>
      </c>
      <c r="R3386" t="n">
        <v>1</v>
      </c>
      <c r="S3386" t="n">
        <v>9236.500000000002</v>
      </c>
      <c r="T3386" t="n">
        <v>13</v>
      </c>
      <c r="U3386" t="n">
        <v>14</v>
      </c>
      <c r="V3386" t="n">
        <v>30</v>
      </c>
      <c r="W3386" t="n">
        <v>2</v>
      </c>
      <c r="X3386" t="n">
        <v>109.8901098901099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11038</v>
      </c>
      <c r="AG3386" t="n">
        <v>33</v>
      </c>
      <c r="AH3386" t="inlineStr">
        <is>
          <t>PT. MENSA BINASUKSES - PPN (PDG)</t>
        </is>
      </c>
      <c r="AI3386" t="n">
        <v>98</v>
      </c>
      <c r="AJ3386" t="inlineStr">
        <is>
          <t>MAYBELLINE</t>
        </is>
      </c>
      <c r="AK3386" t="n">
        <v>21</v>
      </c>
      <c r="AL3386" t="inlineStr">
        <is>
          <t>Miss Glam Damar</t>
        </is>
      </c>
      <c r="AM3386" t="n">
        <v>3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MAYBELLINE</t>
        </is>
      </c>
      <c r="B3387" s="2">
        <f>"6902395970118"</f>
        <v/>
      </c>
      <c r="C3387" t="inlineStr">
        <is>
          <t>MAYBELLINE Super Stay Lumi-Matte Foundation Up to 30H 128 35ml</t>
        </is>
      </c>
      <c r="D3387" t="inlineStr">
        <is>
          <t>Miss Glam Damar</t>
        </is>
      </c>
      <c r="E3387" t="n">
        <v>4</v>
      </c>
      <c r="F3387" t="n">
        <v>0.1092</v>
      </c>
      <c r="G3387" t="n">
        <v>0.91</v>
      </c>
      <c r="H3387" t="n">
        <v>3</v>
      </c>
      <c r="I3387" t="n">
        <v>14</v>
      </c>
      <c r="J3387" t="n">
        <v>3</v>
      </c>
      <c r="K3387" t="n">
        <v>0</v>
      </c>
      <c r="L3387" t="n">
        <v>104509</v>
      </c>
      <c r="M3387" t="n">
        <v>145000</v>
      </c>
      <c r="N3387" t="n">
        <v>91</v>
      </c>
      <c r="O3387" t="n">
        <v>0.91</v>
      </c>
      <c r="P3387" t="n">
        <v>1</v>
      </c>
      <c r="Q3387" t="n">
        <v>0.05</v>
      </c>
      <c r="R3387" t="n">
        <v>2</v>
      </c>
      <c r="S3387" t="n">
        <v>15834</v>
      </c>
      <c r="T3387" t="n">
        <v>13</v>
      </c>
      <c r="U3387" t="n">
        <v>14</v>
      </c>
      <c r="V3387" t="n">
        <v>30</v>
      </c>
      <c r="W3387" t="n">
        <v>4</v>
      </c>
      <c r="X3387" t="n">
        <v>36.63003663003663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11038</v>
      </c>
      <c r="AG3387" t="n">
        <v>33</v>
      </c>
      <c r="AH3387" t="inlineStr">
        <is>
          <t>PT. MENSA BINASUKSES - PPN (PDG)</t>
        </is>
      </c>
      <c r="AI3387" t="n">
        <v>98</v>
      </c>
      <c r="AJ3387" t="inlineStr">
        <is>
          <t>MAYBELLINE</t>
        </is>
      </c>
      <c r="AK3387" t="n">
        <v>21</v>
      </c>
      <c r="AL3387" t="inlineStr">
        <is>
          <t>Miss Glam Damar</t>
        </is>
      </c>
      <c r="AM3387" t="n">
        <v>3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MAYBELLINE</t>
        </is>
      </c>
      <c r="B3388" s="2">
        <f>"6902395970156"</f>
        <v/>
      </c>
      <c r="C3388" t="inlineStr">
        <is>
          <t>MAYBELLINE Super Stay Lumi-Matte Foundation Up to 30H 220 35ml</t>
        </is>
      </c>
      <c r="D3388" t="inlineStr">
        <is>
          <t>Miss Glam Damar</t>
        </is>
      </c>
      <c r="E3388" t="n">
        <v>2</v>
      </c>
      <c r="F3388" t="n">
        <v>0.02</v>
      </c>
      <c r="G3388" t="n">
        <v>1</v>
      </c>
      <c r="H3388" t="n">
        <v>3</v>
      </c>
      <c r="I3388" t="n">
        <v>14</v>
      </c>
      <c r="J3388" t="n">
        <v>3</v>
      </c>
      <c r="K3388" t="n">
        <v>0</v>
      </c>
      <c r="L3388" t="n">
        <v>105967</v>
      </c>
      <c r="M3388" t="n">
        <v>145000</v>
      </c>
      <c r="N3388" t="n">
        <v>91</v>
      </c>
      <c r="O3388" t="n">
        <v>0.91</v>
      </c>
      <c r="P3388" t="n">
        <v>0</v>
      </c>
      <c r="Q3388" t="n">
        <v>0.02</v>
      </c>
      <c r="R3388" t="n">
        <v>1</v>
      </c>
      <c r="S3388" t="n">
        <v>2900</v>
      </c>
      <c r="T3388" t="n">
        <v>14</v>
      </c>
      <c r="U3388" t="n">
        <v>15</v>
      </c>
      <c r="V3388" t="n">
        <v>30</v>
      </c>
      <c r="W3388" t="n">
        <v>1</v>
      </c>
      <c r="X3388" t="n">
        <v>100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11038</v>
      </c>
      <c r="AG3388" t="n">
        <v>33</v>
      </c>
      <c r="AH3388" t="inlineStr">
        <is>
          <t>PT. MENSA BINASUKSES - PPN (PDG)</t>
        </is>
      </c>
      <c r="AI3388" t="n">
        <v>98</v>
      </c>
      <c r="AJ3388" t="inlineStr">
        <is>
          <t>MAYBELLINE</t>
        </is>
      </c>
      <c r="AK3388" t="n">
        <v>21</v>
      </c>
      <c r="AL3388" t="inlineStr">
        <is>
          <t>Miss Glam Damar</t>
        </is>
      </c>
      <c r="AM3388" t="n">
        <v>3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MAYBELLINE</t>
        </is>
      </c>
      <c r="B3389" s="2">
        <f>"203002196829"</f>
        <v/>
      </c>
      <c r="C3389" t="inlineStr">
        <is>
          <t>MAYBELLINE Super Stay Matte Ink 500 Insider 5ml</t>
        </is>
      </c>
      <c r="D3389" t="inlineStr">
        <is>
          <t>Miss Glam Damar</t>
        </is>
      </c>
      <c r="E3389" t="n">
        <v>3</v>
      </c>
      <c r="F3389" t="n">
        <v>0.06370000000000001</v>
      </c>
      <c r="G3389" t="n">
        <v>0.91</v>
      </c>
      <c r="H3389" t="n">
        <v>3</v>
      </c>
      <c r="I3389" t="n">
        <v>14</v>
      </c>
      <c r="J3389" t="n">
        <v>1</v>
      </c>
      <c r="K3389" t="n">
        <v>0</v>
      </c>
      <c r="L3389" t="n">
        <v>75960</v>
      </c>
      <c r="M3389" t="n">
        <v>129000</v>
      </c>
      <c r="N3389" t="n">
        <v>91</v>
      </c>
      <c r="O3389" t="n">
        <v>0.91</v>
      </c>
      <c r="P3389" t="n">
        <v>1</v>
      </c>
      <c r="Q3389" t="n">
        <v>0.02</v>
      </c>
      <c r="R3389" t="n">
        <v>1</v>
      </c>
      <c r="S3389" t="n">
        <v>8217.300000000001</v>
      </c>
      <c r="T3389" t="n">
        <v>13</v>
      </c>
      <c r="U3389" t="n">
        <v>14</v>
      </c>
      <c r="V3389" t="n">
        <v>30</v>
      </c>
      <c r="W3389" t="n">
        <v>2</v>
      </c>
      <c r="X3389" t="n">
        <v>47.09576138147566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11038</v>
      </c>
      <c r="AG3389" t="n">
        <v>33</v>
      </c>
      <c r="AH3389" t="inlineStr">
        <is>
          <t>PT. MENSA BINASUKSES - PPN (PDG)</t>
        </is>
      </c>
      <c r="AI3389" t="n">
        <v>98</v>
      </c>
      <c r="AJ3389" t="inlineStr">
        <is>
          <t>MAYBELLINE</t>
        </is>
      </c>
      <c r="AK3389" t="n">
        <v>21</v>
      </c>
      <c r="AL3389" t="inlineStr">
        <is>
          <t>Miss Glam Damar</t>
        </is>
      </c>
      <c r="AM3389" t="n">
        <v>3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MAYBELLINE</t>
        </is>
      </c>
      <c r="B3390" s="2">
        <f>"203002196957"</f>
        <v/>
      </c>
      <c r="C3390" t="inlineStr">
        <is>
          <t>MAYBELLINE Super Stay Matte Ink 505 Entertainer 5ml</t>
        </is>
      </c>
      <c r="D3390" t="inlineStr">
        <is>
          <t>Miss Glam Damar</t>
        </is>
      </c>
      <c r="E3390" t="n">
        <v>6</v>
      </c>
      <c r="F3390" t="n">
        <v>0.0182</v>
      </c>
      <c r="G3390" t="n">
        <v>0.91</v>
      </c>
      <c r="H3390" t="n">
        <v>3</v>
      </c>
      <c r="I3390" t="n">
        <v>14</v>
      </c>
      <c r="J3390" t="n">
        <v>1</v>
      </c>
      <c r="K3390" t="n">
        <v>0</v>
      </c>
      <c r="L3390" t="n">
        <v>79150</v>
      </c>
      <c r="M3390" t="n">
        <v>129000</v>
      </c>
      <c r="N3390" t="n">
        <v>91</v>
      </c>
      <c r="O3390" t="n">
        <v>0.91</v>
      </c>
      <c r="P3390" t="n">
        <v>1</v>
      </c>
      <c r="Q3390" t="n">
        <v>0.03</v>
      </c>
      <c r="R3390" t="n">
        <v>1</v>
      </c>
      <c r="S3390" t="n">
        <v>2347.8</v>
      </c>
      <c r="T3390" t="n">
        <v>13</v>
      </c>
      <c r="U3390" t="n">
        <v>14</v>
      </c>
      <c r="V3390" t="n">
        <v>30</v>
      </c>
      <c r="W3390" t="n">
        <v>1</v>
      </c>
      <c r="X3390" t="n">
        <v>329.6703296703296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11038</v>
      </c>
      <c r="AG3390" t="n">
        <v>33</v>
      </c>
      <c r="AH3390" t="inlineStr">
        <is>
          <t>PT. MENSA BINASUKSES - PPN (PDG)</t>
        </is>
      </c>
      <c r="AI3390" t="n">
        <v>98</v>
      </c>
      <c r="AJ3390" t="inlineStr">
        <is>
          <t>MAYBELLINE</t>
        </is>
      </c>
      <c r="AK3390" t="n">
        <v>21</v>
      </c>
      <c r="AL3390" t="inlineStr">
        <is>
          <t>Miss Glam Damar</t>
        </is>
      </c>
      <c r="AM3390" t="n">
        <v>3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MAYBELLINE</t>
        </is>
      </c>
      <c r="B3391" s="2">
        <f>"203002197017"</f>
        <v/>
      </c>
      <c r="C3391" t="inlineStr">
        <is>
          <t>MAYBELLINE Super Stay Matte Ink 515 Renegade 5ml</t>
        </is>
      </c>
      <c r="D3391" t="inlineStr">
        <is>
          <t>Miss Glam Damar</t>
        </is>
      </c>
      <c r="E3391" t="n">
        <v>6</v>
      </c>
      <c r="F3391" t="n">
        <v>0.0728</v>
      </c>
      <c r="G3391" t="n">
        <v>0.91</v>
      </c>
      <c r="H3391" t="n">
        <v>3</v>
      </c>
      <c r="I3391" t="n">
        <v>14</v>
      </c>
      <c r="J3391" t="n">
        <v>1</v>
      </c>
      <c r="K3391" t="n">
        <v>0</v>
      </c>
      <c r="L3391" t="n">
        <v>81831</v>
      </c>
      <c r="M3391" t="n">
        <v>129000</v>
      </c>
      <c r="N3391" t="n">
        <v>91</v>
      </c>
      <c r="O3391" t="n">
        <v>0.91</v>
      </c>
      <c r="P3391" t="n">
        <v>1</v>
      </c>
      <c r="Q3391" t="n">
        <v>0.03</v>
      </c>
      <c r="R3391" t="n">
        <v>2</v>
      </c>
      <c r="S3391" t="n">
        <v>9391.200000000001</v>
      </c>
      <c r="T3391" t="n">
        <v>13</v>
      </c>
      <c r="U3391" t="n">
        <v>14</v>
      </c>
      <c r="V3391" t="n">
        <v>30</v>
      </c>
      <c r="W3391" t="n">
        <v>3</v>
      </c>
      <c r="X3391" t="n">
        <v>82.41758241758241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11038</v>
      </c>
      <c r="AG3391" t="n">
        <v>33</v>
      </c>
      <c r="AH3391" t="inlineStr">
        <is>
          <t>PT. MENSA BINASUKSES - PPN (PDG)</t>
        </is>
      </c>
      <c r="AI3391" t="n">
        <v>98</v>
      </c>
      <c r="AJ3391" t="inlineStr">
        <is>
          <t>MAYBELLINE</t>
        </is>
      </c>
      <c r="AK3391" t="n">
        <v>21</v>
      </c>
      <c r="AL3391" t="inlineStr">
        <is>
          <t>Miss Glam Damar</t>
        </is>
      </c>
      <c r="AM3391" t="n">
        <v>3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MAYBELLINE</t>
        </is>
      </c>
      <c r="B3392" s="2">
        <f>"203002197136"</f>
        <v/>
      </c>
      <c r="C3392" t="inlineStr">
        <is>
          <t>MAYBELLINE Super Stay Matte Ink 530 Warrior 5ml</t>
        </is>
      </c>
      <c r="D3392" t="inlineStr">
        <is>
          <t>Miss Glam Damar</t>
        </is>
      </c>
      <c r="E3392" t="n">
        <v>5</v>
      </c>
      <c r="F3392" t="n">
        <v>0.04550000000000001</v>
      </c>
      <c r="G3392" t="n">
        <v>0.91</v>
      </c>
      <c r="H3392" t="n">
        <v>3</v>
      </c>
      <c r="I3392" t="n">
        <v>14</v>
      </c>
      <c r="J3392" t="n">
        <v>1</v>
      </c>
      <c r="K3392" t="n">
        <v>0</v>
      </c>
      <c r="L3392" t="n">
        <v>91914</v>
      </c>
      <c r="M3392" t="n">
        <v>129000</v>
      </c>
      <c r="N3392" t="n">
        <v>91</v>
      </c>
      <c r="O3392" t="n">
        <v>0.91</v>
      </c>
      <c r="P3392" t="n">
        <v>1</v>
      </c>
      <c r="Q3392" t="n">
        <v>0.07000000000000001</v>
      </c>
      <c r="R3392" t="n">
        <v>2</v>
      </c>
      <c r="S3392" t="n">
        <v>5869.500000000001</v>
      </c>
      <c r="T3392" t="n">
        <v>13</v>
      </c>
      <c r="U3392" t="n">
        <v>14</v>
      </c>
      <c r="V3392" t="n">
        <v>30</v>
      </c>
      <c r="W3392" t="n">
        <v>2</v>
      </c>
      <c r="X3392" t="n">
        <v>109.8901098901099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11038</v>
      </c>
      <c r="AG3392" t="n">
        <v>33</v>
      </c>
      <c r="AH3392" t="inlineStr">
        <is>
          <t>PT. MENSA BINASUKSES - PPN (PDG)</t>
        </is>
      </c>
      <c r="AI3392" t="n">
        <v>98</v>
      </c>
      <c r="AJ3392" t="inlineStr">
        <is>
          <t>MAYBELLINE</t>
        </is>
      </c>
      <c r="AK3392" t="n">
        <v>21</v>
      </c>
      <c r="AL3392" t="inlineStr">
        <is>
          <t>Miss Glam Damar</t>
        </is>
      </c>
      <c r="AM3392" t="n">
        <v>3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MAYBELLINE</t>
        </is>
      </c>
      <c r="B3393" s="2">
        <f>"203002197257"</f>
        <v/>
      </c>
      <c r="C3393" t="inlineStr">
        <is>
          <t>MAYBELLINE Super Stay Matte Ink 535 Wildcard 5ml</t>
        </is>
      </c>
      <c r="D3393" t="inlineStr">
        <is>
          <t>Miss Glam Damar</t>
        </is>
      </c>
      <c r="E3393" t="n">
        <v>7</v>
      </c>
      <c r="F3393" t="n">
        <v>0.0273</v>
      </c>
      <c r="G3393" t="n">
        <v>0.91</v>
      </c>
      <c r="H3393" t="n">
        <v>3</v>
      </c>
      <c r="I3393" t="n">
        <v>14</v>
      </c>
      <c r="J3393" t="n">
        <v>1</v>
      </c>
      <c r="K3393" t="n">
        <v>0</v>
      </c>
      <c r="L3393" t="n">
        <v>76740</v>
      </c>
      <c r="M3393" t="n">
        <v>129000</v>
      </c>
      <c r="N3393" t="n">
        <v>91</v>
      </c>
      <c r="O3393" t="n">
        <v>0.91</v>
      </c>
      <c r="P3393" t="n">
        <v>1</v>
      </c>
      <c r="Q3393" t="n">
        <v>0.02</v>
      </c>
      <c r="R3393" t="n">
        <v>1</v>
      </c>
      <c r="S3393" t="n">
        <v>3521.7</v>
      </c>
      <c r="T3393" t="n">
        <v>13</v>
      </c>
      <c r="U3393" t="n">
        <v>14</v>
      </c>
      <c r="V3393" t="n">
        <v>30</v>
      </c>
      <c r="W3393" t="n">
        <v>1</v>
      </c>
      <c r="X3393" t="n">
        <v>256.4102564102564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11038</v>
      </c>
      <c r="AG3393" t="n">
        <v>33</v>
      </c>
      <c r="AH3393" t="inlineStr">
        <is>
          <t>PT. MENSA BINASUKSES - PPN (PDG)</t>
        </is>
      </c>
      <c r="AI3393" t="n">
        <v>98</v>
      </c>
      <c r="AJ3393" t="inlineStr">
        <is>
          <t>MAYBELLINE</t>
        </is>
      </c>
      <c r="AK3393" t="n">
        <v>21</v>
      </c>
      <c r="AL3393" t="inlineStr">
        <is>
          <t>Miss Glam Damar</t>
        </is>
      </c>
      <c r="AM3393" t="n">
        <v>3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MAYBELLINE</t>
        </is>
      </c>
      <c r="B3394" s="2">
        <f>"203002197317"</f>
        <v/>
      </c>
      <c r="C3394" t="inlineStr">
        <is>
          <t>MAYBELLINE Super Stay Matte Ink 545 Disrupter 5ml</t>
        </is>
      </c>
      <c r="D3394" t="inlineStr">
        <is>
          <t>Miss Glam Damar</t>
        </is>
      </c>
      <c r="E3394" t="n">
        <v>2</v>
      </c>
      <c r="F3394" t="n">
        <v>0.06370000000000001</v>
      </c>
      <c r="G3394" t="n">
        <v>0.91</v>
      </c>
      <c r="H3394" t="n">
        <v>3</v>
      </c>
      <c r="I3394" t="n">
        <v>14</v>
      </c>
      <c r="J3394" t="n">
        <v>1</v>
      </c>
      <c r="K3394" t="n">
        <v>0</v>
      </c>
      <c r="L3394" t="n">
        <v>77520</v>
      </c>
      <c r="M3394" t="n">
        <v>129000</v>
      </c>
      <c r="N3394" t="n">
        <v>91</v>
      </c>
      <c r="O3394" t="n">
        <v>0.91</v>
      </c>
      <c r="P3394" t="n">
        <v>1</v>
      </c>
      <c r="Q3394" t="n">
        <v>0.02</v>
      </c>
      <c r="R3394" t="n">
        <v>1</v>
      </c>
      <c r="S3394" t="n">
        <v>8217.300000000001</v>
      </c>
      <c r="T3394" t="n">
        <v>13</v>
      </c>
      <c r="U3394" t="n">
        <v>14</v>
      </c>
      <c r="V3394" t="n">
        <v>30</v>
      </c>
      <c r="W3394" t="n">
        <v>2</v>
      </c>
      <c r="X3394" t="n">
        <v>31.39717425431711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11038</v>
      </c>
      <c r="AG3394" t="n">
        <v>33</v>
      </c>
      <c r="AH3394" t="inlineStr">
        <is>
          <t>PT. MENSA BINASUKSES - PPN (PDG)</t>
        </is>
      </c>
      <c r="AI3394" t="n">
        <v>98</v>
      </c>
      <c r="AJ3394" t="inlineStr">
        <is>
          <t>MAYBELLINE</t>
        </is>
      </c>
      <c r="AK3394" t="n">
        <v>21</v>
      </c>
      <c r="AL3394" t="inlineStr">
        <is>
          <t>Miss Glam Damar</t>
        </is>
      </c>
      <c r="AM3394" t="n">
        <v>3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MAYBELLINE</t>
        </is>
      </c>
      <c r="B3395" s="2">
        <f>"6902395832676"</f>
        <v/>
      </c>
      <c r="C3395" t="inlineStr">
        <is>
          <t>MAYBELLINE Super Stay Vinyl Ink 10 Lippy</t>
        </is>
      </c>
      <c r="D3395" t="inlineStr">
        <is>
          <t>Miss Glam Damar</t>
        </is>
      </c>
      <c r="E3395" t="n">
        <v>27</v>
      </c>
      <c r="F3395" t="n">
        <v>0.9737000000000001</v>
      </c>
      <c r="G3395" t="n">
        <v>3.64</v>
      </c>
      <c r="H3395" t="n">
        <v>3</v>
      </c>
      <c r="I3395" t="n">
        <v>14</v>
      </c>
      <c r="J3395" t="n">
        <v>3</v>
      </c>
      <c r="K3395" t="n">
        <v>0</v>
      </c>
      <c r="L3395" t="n">
        <v>99701</v>
      </c>
      <c r="M3395" t="n">
        <v>119000</v>
      </c>
      <c r="N3395" t="n">
        <v>91</v>
      </c>
      <c r="O3395" t="n">
        <v>0.91</v>
      </c>
      <c r="P3395" t="n">
        <v>1</v>
      </c>
      <c r="Q3395" t="n">
        <v>1.05</v>
      </c>
      <c r="R3395" t="n">
        <v>4</v>
      </c>
      <c r="S3395" t="n">
        <v>115870.3</v>
      </c>
      <c r="T3395" t="n">
        <v>49</v>
      </c>
      <c r="U3395" t="n">
        <v>52</v>
      </c>
      <c r="V3395" t="n">
        <v>30</v>
      </c>
      <c r="W3395" t="n">
        <v>30</v>
      </c>
      <c r="X3395" t="n">
        <v>27.72928006572866</v>
      </c>
      <c r="Y3395" t="n">
        <v>1</v>
      </c>
      <c r="Z3395" t="n">
        <v>3</v>
      </c>
      <c r="AA3395" t="n">
        <v>0</v>
      </c>
      <c r="AB3395" t="n">
        <v>3</v>
      </c>
      <c r="AC3395" t="n">
        <v>3</v>
      </c>
      <c r="AD3395" t="n">
        <v>0</v>
      </c>
      <c r="AE3395" t="n">
        <v>299103</v>
      </c>
      <c r="AF3395" t="n">
        <v>11038</v>
      </c>
      <c r="AG3395" t="n">
        <v>33</v>
      </c>
      <c r="AH3395" t="inlineStr">
        <is>
          <t>PT. MENSA BINASUKSES - PPN (PDG)</t>
        </is>
      </c>
      <c r="AI3395" t="n">
        <v>98</v>
      </c>
      <c r="AJ3395" t="inlineStr">
        <is>
          <t>MAYBELLINE</t>
        </is>
      </c>
      <c r="AK3395" t="n">
        <v>21</v>
      </c>
      <c r="AL3395" t="inlineStr">
        <is>
          <t>Miss Glam Damar</t>
        </is>
      </c>
      <c r="AM3395" t="n">
        <v>3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MAYBELLINE</t>
        </is>
      </c>
      <c r="B3396" s="2">
        <f>"6902395852773"</f>
        <v/>
      </c>
      <c r="C3396" t="inlineStr">
        <is>
          <t>MAYBELLINE Super Stay Vinyl Ink 105 Golden</t>
        </is>
      </c>
      <c r="D3396" t="inlineStr">
        <is>
          <t>Miss Glam Damar</t>
        </is>
      </c>
      <c r="E3396" t="n">
        <v>5</v>
      </c>
      <c r="F3396" t="n">
        <v>0.05</v>
      </c>
      <c r="G3396" t="n">
        <v>1</v>
      </c>
      <c r="H3396" t="n">
        <v>3</v>
      </c>
      <c r="I3396" t="n">
        <v>14</v>
      </c>
      <c r="J3396" t="n">
        <v>3</v>
      </c>
      <c r="K3396" t="n">
        <v>0</v>
      </c>
      <c r="L3396" t="n">
        <v>104774</v>
      </c>
      <c r="M3396" t="n">
        <v>119000</v>
      </c>
      <c r="N3396" t="n">
        <v>91</v>
      </c>
      <c r="O3396" t="n">
        <v>0.91</v>
      </c>
      <c r="P3396" t="n">
        <v>0</v>
      </c>
      <c r="Q3396" t="n">
        <v>0.05</v>
      </c>
      <c r="R3396" t="n">
        <v>1</v>
      </c>
      <c r="S3396" t="n">
        <v>5950</v>
      </c>
      <c r="T3396" t="n">
        <v>14</v>
      </c>
      <c r="U3396" t="n">
        <v>15</v>
      </c>
      <c r="V3396" t="n">
        <v>30</v>
      </c>
      <c r="W3396" t="n">
        <v>2</v>
      </c>
      <c r="X3396" t="n">
        <v>100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11038</v>
      </c>
      <c r="AG3396" t="n">
        <v>33</v>
      </c>
      <c r="AH3396" t="inlineStr">
        <is>
          <t>PT. MENSA BINASUKSES - PPN (PDG)</t>
        </is>
      </c>
      <c r="AI3396" t="n">
        <v>98</v>
      </c>
      <c r="AJ3396" t="inlineStr">
        <is>
          <t>MAYBELLINE</t>
        </is>
      </c>
      <c r="AK3396" t="n">
        <v>21</v>
      </c>
      <c r="AL3396" t="inlineStr">
        <is>
          <t>Miss Glam Damar</t>
        </is>
      </c>
      <c r="AM3396" t="n">
        <v>3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MAYBELLINE</t>
        </is>
      </c>
      <c r="B3397" s="2">
        <f>"6902395841548"</f>
        <v/>
      </c>
      <c r="C3397" t="inlineStr">
        <is>
          <t>MAYBELLINE Super Stay Vinyl Ink 125 Keen</t>
        </is>
      </c>
      <c r="D3397" t="inlineStr">
        <is>
          <t>Miss Glam Damar</t>
        </is>
      </c>
      <c r="E3397" t="n">
        <v>10</v>
      </c>
      <c r="F3397" t="n">
        <v>0.2275</v>
      </c>
      <c r="G3397" t="n">
        <v>2.73</v>
      </c>
      <c r="H3397" t="n">
        <v>3</v>
      </c>
      <c r="I3397" t="n">
        <v>14</v>
      </c>
      <c r="J3397" t="n">
        <v>3</v>
      </c>
      <c r="K3397" t="n">
        <v>0</v>
      </c>
      <c r="L3397" t="n">
        <v>99273</v>
      </c>
      <c r="M3397" t="n">
        <v>119000</v>
      </c>
      <c r="N3397" t="n">
        <v>91</v>
      </c>
      <c r="O3397" t="n">
        <v>0.91</v>
      </c>
      <c r="P3397" t="n">
        <v>1</v>
      </c>
      <c r="Q3397" t="n">
        <v>0.42</v>
      </c>
      <c r="R3397" t="n">
        <v>2</v>
      </c>
      <c r="S3397" t="n">
        <v>27072.5</v>
      </c>
      <c r="T3397" t="n">
        <v>38</v>
      </c>
      <c r="U3397" t="n">
        <v>39</v>
      </c>
      <c r="V3397" t="n">
        <v>30</v>
      </c>
      <c r="W3397" t="n">
        <v>7</v>
      </c>
      <c r="X3397" t="n">
        <v>43.95604395604396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11038</v>
      </c>
      <c r="AG3397" t="n">
        <v>33</v>
      </c>
      <c r="AH3397" t="inlineStr">
        <is>
          <t>PT. MENSA BINASUKSES - PPN (PDG)</t>
        </is>
      </c>
      <c r="AI3397" t="n">
        <v>98</v>
      </c>
      <c r="AJ3397" t="inlineStr">
        <is>
          <t>MAYBELLINE</t>
        </is>
      </c>
      <c r="AK3397" t="n">
        <v>21</v>
      </c>
      <c r="AL3397" t="inlineStr">
        <is>
          <t>Miss Glam Damar</t>
        </is>
      </c>
      <c r="AM3397" t="n">
        <v>3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MAYBELLINE</t>
        </is>
      </c>
      <c r="B3398" s="2">
        <f>"6902395841555"</f>
        <v/>
      </c>
      <c r="C3398" t="inlineStr">
        <is>
          <t>MAYBELLINE Super Stay Vinyl Ink 130 Ekstra</t>
        </is>
      </c>
      <c r="D3398" t="inlineStr">
        <is>
          <t>Miss Glam Damar</t>
        </is>
      </c>
      <c r="E3398" t="n">
        <v>19</v>
      </c>
      <c r="F3398" t="n">
        <v>0.5733</v>
      </c>
      <c r="G3398" t="n">
        <v>3.64</v>
      </c>
      <c r="H3398" t="n">
        <v>3</v>
      </c>
      <c r="I3398" t="n">
        <v>14</v>
      </c>
      <c r="J3398" t="n">
        <v>3</v>
      </c>
      <c r="K3398" t="n">
        <v>0</v>
      </c>
      <c r="L3398" t="n">
        <v>95658</v>
      </c>
      <c r="M3398" t="n">
        <v>119000</v>
      </c>
      <c r="N3398" t="n">
        <v>91</v>
      </c>
      <c r="O3398" t="n">
        <v>0.91</v>
      </c>
      <c r="P3398" t="n">
        <v>1</v>
      </c>
      <c r="Q3398" t="n">
        <v>0.46</v>
      </c>
      <c r="R3398" t="n">
        <v>2</v>
      </c>
      <c r="S3398" t="n">
        <v>68222.7</v>
      </c>
      <c r="T3398" t="n">
        <v>50</v>
      </c>
      <c r="U3398" t="n">
        <v>52</v>
      </c>
      <c r="V3398" t="n">
        <v>30</v>
      </c>
      <c r="W3398" t="n">
        <v>18</v>
      </c>
      <c r="X3398" t="n">
        <v>33.14146171289028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11038</v>
      </c>
      <c r="AG3398" t="n">
        <v>33</v>
      </c>
      <c r="AH3398" t="inlineStr">
        <is>
          <t>PT. MENSA BINASUKSES - PPN (PDG)</t>
        </is>
      </c>
      <c r="AI3398" t="n">
        <v>98</v>
      </c>
      <c r="AJ3398" t="inlineStr">
        <is>
          <t>MAYBELLINE</t>
        </is>
      </c>
      <c r="AK3398" t="n">
        <v>21</v>
      </c>
      <c r="AL3398" t="inlineStr">
        <is>
          <t>Miss Glam Damar</t>
        </is>
      </c>
      <c r="AM3398" t="n">
        <v>3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MAYBELLINE</t>
        </is>
      </c>
      <c r="B3399" s="2">
        <f>"6902395858928"</f>
        <v/>
      </c>
      <c r="C3399" t="inlineStr">
        <is>
          <t>MAYBELLINE Super Stay Vinyl Ink 145 Rouge 4,2ml</t>
        </is>
      </c>
      <c r="D3399" t="inlineStr">
        <is>
          <t>Miss Glam Damar</t>
        </is>
      </c>
      <c r="E3399" t="n">
        <v>15</v>
      </c>
      <c r="F3399" t="n">
        <v>0.3822</v>
      </c>
      <c r="G3399" t="n">
        <v>2.73</v>
      </c>
      <c r="H3399" t="n">
        <v>3</v>
      </c>
      <c r="I3399" t="n">
        <v>14</v>
      </c>
      <c r="J3399" t="n">
        <v>3</v>
      </c>
      <c r="K3399" t="n">
        <v>0</v>
      </c>
      <c r="L3399" t="n">
        <v>101341</v>
      </c>
      <c r="M3399" t="n">
        <v>119000</v>
      </c>
      <c r="N3399" t="n">
        <v>91</v>
      </c>
      <c r="O3399" t="n">
        <v>0.91</v>
      </c>
      <c r="P3399" t="n">
        <v>1</v>
      </c>
      <c r="Q3399" t="n">
        <v>0.63</v>
      </c>
      <c r="R3399" t="n">
        <v>2</v>
      </c>
      <c r="S3399" t="n">
        <v>45481.8</v>
      </c>
      <c r="T3399" t="n">
        <v>38</v>
      </c>
      <c r="U3399" t="n">
        <v>40</v>
      </c>
      <c r="V3399" t="n">
        <v>30</v>
      </c>
      <c r="W3399" t="n">
        <v>12</v>
      </c>
      <c r="X3399" t="n">
        <v>39.24646781789639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11038</v>
      </c>
      <c r="AG3399" t="n">
        <v>33</v>
      </c>
      <c r="AH3399" t="inlineStr">
        <is>
          <t>PT. MENSA BINASUKSES - PPN (PDG)</t>
        </is>
      </c>
      <c r="AI3399" t="n">
        <v>98</v>
      </c>
      <c r="AJ3399" t="inlineStr">
        <is>
          <t>MAYBELLINE</t>
        </is>
      </c>
      <c r="AK3399" t="n">
        <v>21</v>
      </c>
      <c r="AL3399" t="inlineStr">
        <is>
          <t>Miss Glam Damar</t>
        </is>
      </c>
      <c r="AM3399" t="n">
        <v>3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MAYBELLINE</t>
        </is>
      </c>
      <c r="B3400" s="2">
        <f>"6902395832690"</f>
        <v/>
      </c>
      <c r="C3400" t="inlineStr">
        <is>
          <t>MAYBELLINE Super Stay Vinyl Ink 15 Peachy</t>
        </is>
      </c>
      <c r="D3400" t="inlineStr">
        <is>
          <t>Miss Glam Damar</t>
        </is>
      </c>
      <c r="E3400" t="n">
        <v>17</v>
      </c>
      <c r="F3400" t="n">
        <v>0.3094</v>
      </c>
      <c r="G3400" t="n">
        <v>1.82</v>
      </c>
      <c r="H3400" t="n">
        <v>3</v>
      </c>
      <c r="I3400" t="n">
        <v>14</v>
      </c>
      <c r="J3400" t="n">
        <v>3</v>
      </c>
      <c r="K3400" t="n">
        <v>0</v>
      </c>
      <c r="L3400" t="n">
        <v>97014</v>
      </c>
      <c r="M3400" t="n">
        <v>119000</v>
      </c>
      <c r="N3400" t="n">
        <v>91</v>
      </c>
      <c r="O3400" t="n">
        <v>0.91</v>
      </c>
      <c r="P3400" t="n">
        <v>1</v>
      </c>
      <c r="Q3400" t="n">
        <v>0.58</v>
      </c>
      <c r="R3400" t="n">
        <v>2</v>
      </c>
      <c r="S3400" t="n">
        <v>36818.6</v>
      </c>
      <c r="T3400" t="n">
        <v>25</v>
      </c>
      <c r="U3400" t="n">
        <v>26</v>
      </c>
      <c r="V3400" t="n">
        <v>30</v>
      </c>
      <c r="W3400" t="n">
        <v>10</v>
      </c>
      <c r="X3400" t="n">
        <v>54.94505494505494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11038</v>
      </c>
      <c r="AG3400" t="n">
        <v>33</v>
      </c>
      <c r="AH3400" t="inlineStr">
        <is>
          <t>PT. MENSA BINASUKSES - PPN (PDG)</t>
        </is>
      </c>
      <c r="AI3400" t="n">
        <v>98</v>
      </c>
      <c r="AJ3400" t="inlineStr">
        <is>
          <t>MAYBELLINE</t>
        </is>
      </c>
      <c r="AK3400" t="n">
        <v>21</v>
      </c>
      <c r="AL3400" t="inlineStr">
        <is>
          <t>Miss Glam Damar</t>
        </is>
      </c>
      <c r="AM3400" t="n">
        <v>3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MAYBELLINE</t>
        </is>
      </c>
      <c r="B3401" s="2">
        <f>"203002184420"</f>
        <v/>
      </c>
      <c r="C3401" t="inlineStr">
        <is>
          <t>MAYBELLINE Super Stay Vinyl Ink 23 Rebellious  4,2ml</t>
        </is>
      </c>
      <c r="D3401" t="inlineStr">
        <is>
          <t>Miss Glam Damar</t>
        </is>
      </c>
      <c r="E3401" t="n">
        <v>3</v>
      </c>
      <c r="F3401" t="n">
        <v>0.1274</v>
      </c>
      <c r="G3401" t="n">
        <v>1.82</v>
      </c>
      <c r="H3401" t="n">
        <v>3</v>
      </c>
      <c r="I3401" t="n">
        <v>14</v>
      </c>
      <c r="J3401" t="n">
        <v>1</v>
      </c>
      <c r="K3401" t="n">
        <v>0</v>
      </c>
      <c r="L3401" t="n">
        <v>106290</v>
      </c>
      <c r="M3401" t="n">
        <v>119000</v>
      </c>
      <c r="N3401" t="n">
        <v>91</v>
      </c>
      <c r="O3401" t="n">
        <v>0.91</v>
      </c>
      <c r="P3401" t="n">
        <v>1</v>
      </c>
      <c r="Q3401" t="n">
        <v>0.12</v>
      </c>
      <c r="R3401" t="n">
        <v>1</v>
      </c>
      <c r="S3401" t="n">
        <v>15160.6</v>
      </c>
      <c r="T3401" t="n">
        <v>26</v>
      </c>
      <c r="U3401" t="n">
        <v>27</v>
      </c>
      <c r="V3401" t="n">
        <v>30</v>
      </c>
      <c r="W3401" t="n">
        <v>4</v>
      </c>
      <c r="X3401" t="n">
        <v>23.54788069073783</v>
      </c>
      <c r="Y3401" t="n">
        <v>1</v>
      </c>
      <c r="Z3401" t="n">
        <v>1</v>
      </c>
      <c r="AA3401" t="n">
        <v>0</v>
      </c>
      <c r="AB3401" t="n">
        <v>1</v>
      </c>
      <c r="AC3401" t="n">
        <v>1</v>
      </c>
      <c r="AD3401" t="n">
        <v>0</v>
      </c>
      <c r="AE3401" t="n">
        <v>106290</v>
      </c>
      <c r="AF3401" t="n">
        <v>11038</v>
      </c>
      <c r="AG3401" t="n">
        <v>33</v>
      </c>
      <c r="AH3401" t="inlineStr">
        <is>
          <t>PT. MENSA BINASUKSES - PPN (PDG)</t>
        </is>
      </c>
      <c r="AI3401" t="n">
        <v>98</v>
      </c>
      <c r="AJ3401" t="inlineStr">
        <is>
          <t>MAYBELLINE</t>
        </is>
      </c>
      <c r="AK3401" t="n">
        <v>21</v>
      </c>
      <c r="AL3401" t="inlineStr">
        <is>
          <t>Miss Glam Damar</t>
        </is>
      </c>
      <c r="AM3401" t="n">
        <v>3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MAYBELLINE</t>
        </is>
      </c>
      <c r="B3402" s="2">
        <f>"6902395832720"</f>
        <v/>
      </c>
      <c r="C3402" t="inlineStr">
        <is>
          <t>MAYBELLINE Super Stay Vinyl Ink 30</t>
        </is>
      </c>
      <c r="D3402" t="inlineStr">
        <is>
          <t>Miss Glam Damar</t>
        </is>
      </c>
      <c r="E3402" t="n">
        <v>8</v>
      </c>
      <c r="F3402" t="n">
        <v>0.0728</v>
      </c>
      <c r="G3402" t="n">
        <v>0.91</v>
      </c>
      <c r="H3402" t="n">
        <v>3</v>
      </c>
      <c r="I3402" t="n">
        <v>14</v>
      </c>
      <c r="J3402" t="n">
        <v>3</v>
      </c>
      <c r="K3402" t="n">
        <v>0</v>
      </c>
      <c r="L3402" t="n">
        <v>96657</v>
      </c>
      <c r="M3402" t="n">
        <v>119000</v>
      </c>
      <c r="N3402" t="n">
        <v>91</v>
      </c>
      <c r="O3402" t="n">
        <v>0.91</v>
      </c>
      <c r="P3402" t="n">
        <v>1</v>
      </c>
      <c r="Q3402" t="n">
        <v>0.27</v>
      </c>
      <c r="R3402" t="n">
        <v>3</v>
      </c>
      <c r="S3402" t="n">
        <v>8663.200000000001</v>
      </c>
      <c r="T3402" t="n">
        <v>13</v>
      </c>
      <c r="U3402" t="n">
        <v>14</v>
      </c>
      <c r="V3402" t="n">
        <v>30</v>
      </c>
      <c r="W3402" t="n">
        <v>3</v>
      </c>
      <c r="X3402" t="n">
        <v>109.8901098901099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11038</v>
      </c>
      <c r="AG3402" t="n">
        <v>33</v>
      </c>
      <c r="AH3402" t="inlineStr">
        <is>
          <t>PT. MENSA BINASUKSES - PPN (PDG)</t>
        </is>
      </c>
      <c r="AI3402" t="n">
        <v>98</v>
      </c>
      <c r="AJ3402" t="inlineStr">
        <is>
          <t>MAYBELLINE</t>
        </is>
      </c>
      <c r="AK3402" t="n">
        <v>21</v>
      </c>
      <c r="AL3402" t="inlineStr">
        <is>
          <t>Miss Glam Damar</t>
        </is>
      </c>
      <c r="AM3402" t="n">
        <v>3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MAYBELLINE</t>
        </is>
      </c>
      <c r="B3403" s="2">
        <f>"203002184210"</f>
        <v/>
      </c>
      <c r="C3403" t="inlineStr">
        <is>
          <t>MAYBELLINE Super Stay Vinyl Ink 37 Daring 4,2ml</t>
        </is>
      </c>
      <c r="D3403" t="inlineStr">
        <is>
          <t>Miss Glam Damar</t>
        </is>
      </c>
      <c r="E3403" t="n">
        <v>4</v>
      </c>
      <c r="F3403" t="n">
        <v>0.05</v>
      </c>
      <c r="G3403" t="n">
        <v>1</v>
      </c>
      <c r="H3403" t="n">
        <v>3</v>
      </c>
      <c r="I3403" t="n">
        <v>14</v>
      </c>
      <c r="J3403" t="n">
        <v>1</v>
      </c>
      <c r="K3403" t="n">
        <v>0</v>
      </c>
      <c r="L3403" t="n">
        <v>104402</v>
      </c>
      <c r="M3403" t="n">
        <v>119000</v>
      </c>
      <c r="N3403" t="n">
        <v>91</v>
      </c>
      <c r="O3403" t="n">
        <v>0.91</v>
      </c>
      <c r="P3403" t="n">
        <v>0</v>
      </c>
      <c r="Q3403" t="n">
        <v>0.05</v>
      </c>
      <c r="R3403" t="n">
        <v>1</v>
      </c>
      <c r="S3403" t="n">
        <v>5950</v>
      </c>
      <c r="T3403" t="n">
        <v>14</v>
      </c>
      <c r="U3403" t="n">
        <v>15</v>
      </c>
      <c r="V3403" t="n">
        <v>30</v>
      </c>
      <c r="W3403" t="n">
        <v>2</v>
      </c>
      <c r="X3403" t="n">
        <v>80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11038</v>
      </c>
      <c r="AG3403" t="n">
        <v>33</v>
      </c>
      <c r="AH3403" t="inlineStr">
        <is>
          <t>PT. MENSA BINASUKSES - PPN (PDG)</t>
        </is>
      </c>
      <c r="AI3403" t="n">
        <v>98</v>
      </c>
      <c r="AJ3403" t="inlineStr">
        <is>
          <t>MAYBELLINE</t>
        </is>
      </c>
      <c r="AK3403" t="n">
        <v>21</v>
      </c>
      <c r="AL3403" t="inlineStr">
        <is>
          <t>Miss Glam Damar</t>
        </is>
      </c>
      <c r="AM3403" t="n">
        <v>3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MAYBELLINE</t>
        </is>
      </c>
      <c r="B3404" s="2">
        <f>"6902395832737"</f>
        <v/>
      </c>
      <c r="C3404" t="inlineStr">
        <is>
          <t>MAYBELLINE Super Stay Vinyl Ink 50</t>
        </is>
      </c>
      <c r="D3404" t="inlineStr">
        <is>
          <t>Miss Glam Damar</t>
        </is>
      </c>
      <c r="E3404" t="n">
        <v>7</v>
      </c>
      <c r="F3404" t="n">
        <v>0.1274</v>
      </c>
      <c r="G3404" t="n">
        <v>1.82</v>
      </c>
      <c r="H3404" t="n">
        <v>3</v>
      </c>
      <c r="I3404" t="n">
        <v>14</v>
      </c>
      <c r="J3404" t="n">
        <v>3</v>
      </c>
      <c r="K3404" t="n">
        <v>0</v>
      </c>
      <c r="L3404" t="n">
        <v>104469</v>
      </c>
      <c r="M3404" t="n">
        <v>119000</v>
      </c>
      <c r="N3404" t="n">
        <v>91</v>
      </c>
      <c r="O3404" t="n">
        <v>0.91</v>
      </c>
      <c r="P3404" t="n">
        <v>1</v>
      </c>
      <c r="Q3404" t="n">
        <v>0.2</v>
      </c>
      <c r="R3404" t="n">
        <v>2</v>
      </c>
      <c r="S3404" t="n">
        <v>15160.6</v>
      </c>
      <c r="T3404" t="n">
        <v>26</v>
      </c>
      <c r="U3404" t="n">
        <v>27</v>
      </c>
      <c r="V3404" t="n">
        <v>30</v>
      </c>
      <c r="W3404" t="n">
        <v>4</v>
      </c>
      <c r="X3404" t="n">
        <v>54.94505494505494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11038</v>
      </c>
      <c r="AG3404" t="n">
        <v>33</v>
      </c>
      <c r="AH3404" t="inlineStr">
        <is>
          <t>PT. MENSA BINASUKSES - PPN (PDG)</t>
        </is>
      </c>
      <c r="AI3404" t="n">
        <v>98</v>
      </c>
      <c r="AJ3404" t="inlineStr">
        <is>
          <t>MAYBELLINE</t>
        </is>
      </c>
      <c r="AK3404" t="n">
        <v>21</v>
      </c>
      <c r="AL3404" t="inlineStr">
        <is>
          <t>Miss Glam Damar</t>
        </is>
      </c>
      <c r="AM3404" t="n">
        <v>3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MAYBELLINE</t>
        </is>
      </c>
      <c r="B3405" s="2">
        <f>"6902395832683"</f>
        <v/>
      </c>
      <c r="C3405" t="inlineStr">
        <is>
          <t>MAYBELLINE Super Stay Vinyl Ink 60 Michievous</t>
        </is>
      </c>
      <c r="D3405" t="inlineStr">
        <is>
          <t>Miss Glam Damar</t>
        </is>
      </c>
      <c r="E3405" t="n">
        <v>15</v>
      </c>
      <c r="F3405" t="n">
        <v>0.3094</v>
      </c>
      <c r="G3405" t="n">
        <v>1.82</v>
      </c>
      <c r="H3405" t="n">
        <v>3</v>
      </c>
      <c r="I3405" t="n">
        <v>14</v>
      </c>
      <c r="J3405" t="n">
        <v>3</v>
      </c>
      <c r="K3405" t="n">
        <v>0</v>
      </c>
      <c r="L3405" t="n">
        <v>97943</v>
      </c>
      <c r="M3405" t="n">
        <v>119000</v>
      </c>
      <c r="N3405" t="n">
        <v>91</v>
      </c>
      <c r="O3405" t="n">
        <v>0.91</v>
      </c>
      <c r="P3405" t="n">
        <v>1</v>
      </c>
      <c r="Q3405" t="n">
        <v>0.47</v>
      </c>
      <c r="R3405" t="n">
        <v>5</v>
      </c>
      <c r="S3405" t="n">
        <v>36818.6</v>
      </c>
      <c r="T3405" t="n">
        <v>25</v>
      </c>
      <c r="U3405" t="n">
        <v>26</v>
      </c>
      <c r="V3405" t="n">
        <v>30</v>
      </c>
      <c r="W3405" t="n">
        <v>10</v>
      </c>
      <c r="X3405" t="n">
        <v>48.48093083387201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11038</v>
      </c>
      <c r="AG3405" t="n">
        <v>33</v>
      </c>
      <c r="AH3405" t="inlineStr">
        <is>
          <t>PT. MENSA BINASUKSES - PPN (PDG)</t>
        </is>
      </c>
      <c r="AI3405" t="n">
        <v>98</v>
      </c>
      <c r="AJ3405" t="inlineStr">
        <is>
          <t>MAYBELLINE</t>
        </is>
      </c>
      <c r="AK3405" t="n">
        <v>21</v>
      </c>
      <c r="AL3405" t="inlineStr">
        <is>
          <t>Miss Glam Damar</t>
        </is>
      </c>
      <c r="AM3405" t="n">
        <v>3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MAYBELLINE</t>
        </is>
      </c>
      <c r="B3406" s="2">
        <f>"6902395841241"</f>
        <v/>
      </c>
      <c r="C3406" t="inlineStr">
        <is>
          <t>MAYBELLINE Super Stay Vinyl Ink 61 Risky</t>
        </is>
      </c>
      <c r="D3406" t="inlineStr">
        <is>
          <t>Miss Glam Damar</t>
        </is>
      </c>
      <c r="E3406" t="n">
        <v>8</v>
      </c>
      <c r="F3406" t="n">
        <v>0.3367</v>
      </c>
      <c r="G3406" t="n">
        <v>1.82</v>
      </c>
      <c r="H3406" t="n">
        <v>3</v>
      </c>
      <c r="I3406" t="n">
        <v>14</v>
      </c>
      <c r="J3406" t="n">
        <v>3</v>
      </c>
      <c r="K3406" t="n">
        <v>0</v>
      </c>
      <c r="L3406" t="n">
        <v>102291</v>
      </c>
      <c r="M3406" t="n">
        <v>119000</v>
      </c>
      <c r="N3406" t="n">
        <v>91</v>
      </c>
      <c r="O3406" t="n">
        <v>0.91</v>
      </c>
      <c r="P3406" t="n">
        <v>1</v>
      </c>
      <c r="Q3406" t="n">
        <v>0.24</v>
      </c>
      <c r="R3406" t="n">
        <v>1</v>
      </c>
      <c r="S3406" t="n">
        <v>40067.3</v>
      </c>
      <c r="T3406" t="n">
        <v>25</v>
      </c>
      <c r="U3406" t="n">
        <v>27</v>
      </c>
      <c r="V3406" t="n">
        <v>30</v>
      </c>
      <c r="W3406" t="n">
        <v>11</v>
      </c>
      <c r="X3406" t="n">
        <v>23.76002376002376</v>
      </c>
      <c r="Y3406" t="n">
        <v>1</v>
      </c>
      <c r="Z3406" t="n">
        <v>3</v>
      </c>
      <c r="AA3406" t="n">
        <v>0</v>
      </c>
      <c r="AB3406" t="n">
        <v>3</v>
      </c>
      <c r="AC3406" t="n">
        <v>3</v>
      </c>
      <c r="AD3406" t="n">
        <v>0</v>
      </c>
      <c r="AE3406" t="n">
        <v>306873</v>
      </c>
      <c r="AF3406" t="n">
        <v>11038</v>
      </c>
      <c r="AG3406" t="n">
        <v>33</v>
      </c>
      <c r="AH3406" t="inlineStr">
        <is>
          <t>PT. MENSA BINASUKSES - PPN (PDG)</t>
        </is>
      </c>
      <c r="AI3406" t="n">
        <v>98</v>
      </c>
      <c r="AJ3406" t="inlineStr">
        <is>
          <t>MAYBELLINE</t>
        </is>
      </c>
      <c r="AK3406" t="n">
        <v>21</v>
      </c>
      <c r="AL3406" t="inlineStr">
        <is>
          <t>Miss Glam Damar</t>
        </is>
      </c>
      <c r="AM3406" t="n">
        <v>3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MAYBELLINE</t>
        </is>
      </c>
      <c r="B3407" s="2">
        <f>"6902395841258"</f>
        <v/>
      </c>
      <c r="C3407" t="inlineStr">
        <is>
          <t>MAYBELLINE Super Stay Vinyl Ink 62 Irresistible</t>
        </is>
      </c>
      <c r="D3407" t="inlineStr">
        <is>
          <t>Miss Glam Damar</t>
        </is>
      </c>
      <c r="E3407" t="n">
        <v>6</v>
      </c>
      <c r="F3407" t="n">
        <v>0.29</v>
      </c>
      <c r="G3407" t="n">
        <v>2</v>
      </c>
      <c r="H3407" t="n">
        <v>3</v>
      </c>
      <c r="I3407" t="n">
        <v>14</v>
      </c>
      <c r="J3407" t="n">
        <v>3</v>
      </c>
      <c r="K3407" t="n">
        <v>0</v>
      </c>
      <c r="L3407" t="n">
        <v>95066</v>
      </c>
      <c r="M3407" t="n">
        <v>119000</v>
      </c>
      <c r="N3407" t="n">
        <v>91</v>
      </c>
      <c r="O3407" t="n">
        <v>0.91</v>
      </c>
      <c r="P3407" t="n">
        <v>0</v>
      </c>
      <c r="Q3407" t="n">
        <v>0.29</v>
      </c>
      <c r="R3407" t="n">
        <v>2</v>
      </c>
      <c r="S3407" t="n">
        <v>34510</v>
      </c>
      <c r="T3407" t="n">
        <v>28</v>
      </c>
      <c r="U3407" t="n">
        <v>29</v>
      </c>
      <c r="V3407" t="n">
        <v>30</v>
      </c>
      <c r="W3407" t="n">
        <v>9</v>
      </c>
      <c r="X3407" t="n">
        <v>20.68965517241379</v>
      </c>
      <c r="Y3407" t="n">
        <v>1</v>
      </c>
      <c r="Z3407" t="n">
        <v>3</v>
      </c>
      <c r="AA3407" t="n">
        <v>0</v>
      </c>
      <c r="AB3407" t="n">
        <v>3</v>
      </c>
      <c r="AC3407" t="n">
        <v>3</v>
      </c>
      <c r="AD3407" t="n">
        <v>0</v>
      </c>
      <c r="AE3407" t="n">
        <v>285198</v>
      </c>
      <c r="AF3407" t="n">
        <v>11038</v>
      </c>
      <c r="AG3407" t="n">
        <v>33</v>
      </c>
      <c r="AH3407" t="inlineStr">
        <is>
          <t>PT. MENSA BINASUKSES - PPN (PDG)</t>
        </is>
      </c>
      <c r="AI3407" t="n">
        <v>98</v>
      </c>
      <c r="AJ3407" t="inlineStr">
        <is>
          <t>MAYBELLINE</t>
        </is>
      </c>
      <c r="AK3407" t="n">
        <v>21</v>
      </c>
      <c r="AL3407" t="inlineStr">
        <is>
          <t>Miss Glam Damar</t>
        </is>
      </c>
      <c r="AM3407" t="n">
        <v>3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MAYBELLINE</t>
        </is>
      </c>
      <c r="B3408" s="2">
        <f>"6902395841265"</f>
        <v/>
      </c>
      <c r="C3408" t="inlineStr">
        <is>
          <t>MAYBELLINE Super Stay Vinyl Ink 63 Intriguing</t>
        </is>
      </c>
      <c r="D3408" t="inlineStr">
        <is>
          <t>Miss Glam Damar</t>
        </is>
      </c>
      <c r="E3408" t="n">
        <v>10</v>
      </c>
      <c r="F3408" t="n">
        <v>0.2275</v>
      </c>
      <c r="G3408" t="n">
        <v>1.82</v>
      </c>
      <c r="H3408" t="n">
        <v>3</v>
      </c>
      <c r="I3408" t="n">
        <v>14</v>
      </c>
      <c r="J3408" t="n">
        <v>3</v>
      </c>
      <c r="K3408" t="n">
        <v>0</v>
      </c>
      <c r="L3408" t="n">
        <v>97393</v>
      </c>
      <c r="M3408" t="n">
        <v>119000</v>
      </c>
      <c r="N3408" t="n">
        <v>91</v>
      </c>
      <c r="O3408" t="n">
        <v>0.91</v>
      </c>
      <c r="P3408" t="n">
        <v>1</v>
      </c>
      <c r="Q3408" t="n">
        <v>0.42</v>
      </c>
      <c r="R3408" t="n">
        <v>4</v>
      </c>
      <c r="S3408" t="n">
        <v>27072.5</v>
      </c>
      <c r="T3408" t="n">
        <v>25</v>
      </c>
      <c r="U3408" t="n">
        <v>26</v>
      </c>
      <c r="V3408" t="n">
        <v>30</v>
      </c>
      <c r="W3408" t="n">
        <v>7</v>
      </c>
      <c r="X3408" t="n">
        <v>43.95604395604396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11038</v>
      </c>
      <c r="AG3408" t="n">
        <v>33</v>
      </c>
      <c r="AH3408" t="inlineStr">
        <is>
          <t>PT. MENSA BINASUKSES - PPN (PDG)</t>
        </is>
      </c>
      <c r="AI3408" t="n">
        <v>98</v>
      </c>
      <c r="AJ3408" t="inlineStr">
        <is>
          <t>MAYBELLINE</t>
        </is>
      </c>
      <c r="AK3408" t="n">
        <v>21</v>
      </c>
      <c r="AL3408" t="inlineStr">
        <is>
          <t>Miss Glam Damar</t>
        </is>
      </c>
      <c r="AM3408" t="n">
        <v>3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MAYBELLINE</t>
        </is>
      </c>
      <c r="B3409" s="2">
        <f>"6902395832713"</f>
        <v/>
      </c>
      <c r="C3409" t="inlineStr">
        <is>
          <t>MAYBELLINE Super Stay Vinyl Ink 65</t>
        </is>
      </c>
      <c r="D3409" t="inlineStr">
        <is>
          <t>Miss Glam Damar</t>
        </is>
      </c>
      <c r="E3409" t="n">
        <v>10</v>
      </c>
      <c r="F3409" t="n">
        <v>0.2821</v>
      </c>
      <c r="G3409" t="n">
        <v>1.82</v>
      </c>
      <c r="H3409" t="n">
        <v>3</v>
      </c>
      <c r="I3409" t="n">
        <v>14</v>
      </c>
      <c r="J3409" t="n">
        <v>3</v>
      </c>
      <c r="K3409" t="n">
        <v>0</v>
      </c>
      <c r="L3409" t="n">
        <v>100082</v>
      </c>
      <c r="M3409" t="n">
        <v>119000</v>
      </c>
      <c r="N3409" t="n">
        <v>91</v>
      </c>
      <c r="O3409" t="n">
        <v>0.91</v>
      </c>
      <c r="P3409" t="n">
        <v>1</v>
      </c>
      <c r="Q3409" t="n">
        <v>0.42</v>
      </c>
      <c r="R3409" t="n">
        <v>3</v>
      </c>
      <c r="S3409" t="n">
        <v>33569.9</v>
      </c>
      <c r="T3409" t="n">
        <v>25</v>
      </c>
      <c r="U3409" t="n">
        <v>26</v>
      </c>
      <c r="V3409" t="n">
        <v>30</v>
      </c>
      <c r="W3409" t="n">
        <v>9</v>
      </c>
      <c r="X3409" t="n">
        <v>35.44842254519673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11038</v>
      </c>
      <c r="AG3409" t="n">
        <v>33</v>
      </c>
      <c r="AH3409" t="inlineStr">
        <is>
          <t>PT. MENSA BINASUKSES - PPN (PDG)</t>
        </is>
      </c>
      <c r="AI3409" t="n">
        <v>98</v>
      </c>
      <c r="AJ3409" t="inlineStr">
        <is>
          <t>MAYBELLINE</t>
        </is>
      </c>
      <c r="AK3409" t="n">
        <v>21</v>
      </c>
      <c r="AL3409" t="inlineStr">
        <is>
          <t>Miss Glam Damar</t>
        </is>
      </c>
      <c r="AM3409" t="n">
        <v>3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MAYBELLINE</t>
        </is>
      </c>
      <c r="B3410" s="2">
        <f>"203002184103"</f>
        <v/>
      </c>
      <c r="C3410" t="inlineStr">
        <is>
          <t>MAYBELLINE Super Stay Vinyl Ink 80 Eccentric 4,2ml</t>
        </is>
      </c>
      <c r="D3410" t="inlineStr">
        <is>
          <t>Miss Glam Damar</t>
        </is>
      </c>
      <c r="E3410" t="n">
        <v>7</v>
      </c>
      <c r="F3410" t="n">
        <v>0.1365</v>
      </c>
      <c r="G3410" t="n">
        <v>1.82</v>
      </c>
      <c r="H3410" t="n">
        <v>3</v>
      </c>
      <c r="I3410" t="n">
        <v>14</v>
      </c>
      <c r="J3410" t="n">
        <v>1</v>
      </c>
      <c r="K3410" t="n">
        <v>0</v>
      </c>
      <c r="L3410" t="n">
        <v>106416</v>
      </c>
      <c r="M3410" t="n">
        <v>119000</v>
      </c>
      <c r="N3410" t="n">
        <v>91</v>
      </c>
      <c r="O3410" t="n">
        <v>0.91</v>
      </c>
      <c r="P3410" t="n">
        <v>1</v>
      </c>
      <c r="Q3410" t="n">
        <v>0.32</v>
      </c>
      <c r="R3410" t="n">
        <v>2</v>
      </c>
      <c r="S3410" t="n">
        <v>16243.5</v>
      </c>
      <c r="T3410" t="n">
        <v>26</v>
      </c>
      <c r="U3410" t="n">
        <v>27</v>
      </c>
      <c r="V3410" t="n">
        <v>30</v>
      </c>
      <c r="W3410" t="n">
        <v>5</v>
      </c>
      <c r="X3410" t="n">
        <v>51.28205128205128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11038</v>
      </c>
      <c r="AG3410" t="n">
        <v>33</v>
      </c>
      <c r="AH3410" t="inlineStr">
        <is>
          <t>PT. MENSA BINASUKSES - PPN (PDG)</t>
        </is>
      </c>
      <c r="AI3410" t="n">
        <v>98</v>
      </c>
      <c r="AJ3410" t="inlineStr">
        <is>
          <t>MAYBELLINE</t>
        </is>
      </c>
      <c r="AK3410" t="n">
        <v>21</v>
      </c>
      <c r="AL3410" t="inlineStr">
        <is>
          <t>Miss Glam Damar</t>
        </is>
      </c>
      <c r="AM3410" t="n">
        <v>3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MAYBELLINE</t>
        </is>
      </c>
      <c r="B3411" s="2">
        <f>"041554080421"</f>
        <v/>
      </c>
      <c r="C3411" t="inlineStr">
        <is>
          <t>MAYBELLINE Super Stay Vinyl Ink 95 Captivated 4.2ml</t>
        </is>
      </c>
      <c r="D3411" t="inlineStr">
        <is>
          <t>Miss Glam Damar</t>
        </is>
      </c>
      <c r="E3411" t="n">
        <v>5</v>
      </c>
      <c r="F3411" t="n">
        <v>0.02</v>
      </c>
      <c r="G3411" t="n">
        <v>0</v>
      </c>
      <c r="H3411" t="n">
        <v>3</v>
      </c>
      <c r="I3411" t="n">
        <v>14</v>
      </c>
      <c r="J3411" t="n">
        <v>3</v>
      </c>
      <c r="K3411" t="n">
        <v>0</v>
      </c>
      <c r="L3411" t="n">
        <v>82932</v>
      </c>
      <c r="M3411" t="n">
        <v>119000</v>
      </c>
      <c r="N3411" t="n">
        <v>91</v>
      </c>
      <c r="O3411" t="n">
        <v>0.91</v>
      </c>
      <c r="P3411" t="n">
        <v>0</v>
      </c>
      <c r="Q3411" t="n">
        <v>0.02</v>
      </c>
      <c r="R3411" t="n">
        <v>0</v>
      </c>
      <c r="S3411" t="n">
        <v>2380</v>
      </c>
      <c r="T3411" t="n">
        <v>0</v>
      </c>
      <c r="U3411" t="n">
        <v>1</v>
      </c>
      <c r="V3411" t="n">
        <v>30</v>
      </c>
      <c r="W3411" t="n">
        <v>1</v>
      </c>
      <c r="X3411" t="n">
        <v>250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11038</v>
      </c>
      <c r="AG3411" t="n">
        <v>33</v>
      </c>
      <c r="AH3411" t="inlineStr">
        <is>
          <t>PT. MENSA BINASUKSES - PPN (PDG)</t>
        </is>
      </c>
      <c r="AI3411" t="n">
        <v>98</v>
      </c>
      <c r="AJ3411" t="inlineStr">
        <is>
          <t>MAYBELLINE</t>
        </is>
      </c>
      <c r="AK3411" t="n">
        <v>21</v>
      </c>
      <c r="AL3411" t="inlineStr">
        <is>
          <t>Miss Glam Damar</t>
        </is>
      </c>
      <c r="AM3411" t="n">
        <v>3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MAYBELLINE</t>
        </is>
      </c>
      <c r="B3412" s="2">
        <f>"20100576926"</f>
        <v/>
      </c>
      <c r="C3412" t="inlineStr">
        <is>
          <t>MAYBELLINE Superstay Flex Powder Foundation 110 9gr</t>
        </is>
      </c>
      <c r="D3412" t="inlineStr">
        <is>
          <t>Miss Glam Damar</t>
        </is>
      </c>
      <c r="E3412" t="n">
        <v>5</v>
      </c>
      <c r="F3412" t="n">
        <v>0.0273</v>
      </c>
      <c r="G3412" t="n">
        <v>0.91</v>
      </c>
      <c r="H3412" t="n">
        <v>3</v>
      </c>
      <c r="I3412" t="n">
        <v>14</v>
      </c>
      <c r="J3412" t="n">
        <v>1</v>
      </c>
      <c r="K3412" t="n">
        <v>0</v>
      </c>
      <c r="L3412" t="n">
        <v>119741</v>
      </c>
      <c r="M3412" t="n">
        <v>145000</v>
      </c>
      <c r="N3412" t="n">
        <v>91</v>
      </c>
      <c r="O3412" t="n">
        <v>0.91</v>
      </c>
      <c r="P3412" t="n">
        <v>1</v>
      </c>
      <c r="Q3412" t="n">
        <v>0.02</v>
      </c>
      <c r="R3412" t="n">
        <v>1</v>
      </c>
      <c r="S3412" t="n">
        <v>3958.5</v>
      </c>
      <c r="T3412" t="n">
        <v>13</v>
      </c>
      <c r="U3412" t="n">
        <v>14</v>
      </c>
      <c r="V3412" t="n">
        <v>30</v>
      </c>
      <c r="W3412" t="n">
        <v>1</v>
      </c>
      <c r="X3412" t="n">
        <v>183.1501831501832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11038</v>
      </c>
      <c r="AG3412" t="n">
        <v>33</v>
      </c>
      <c r="AH3412" t="inlineStr">
        <is>
          <t>PT. MENSA BINASUKSES - PPN (PDG)</t>
        </is>
      </c>
      <c r="AI3412" t="n">
        <v>98</v>
      </c>
      <c r="AJ3412" t="inlineStr">
        <is>
          <t>MAYBELLINE</t>
        </is>
      </c>
      <c r="AK3412" t="n">
        <v>21</v>
      </c>
      <c r="AL3412" t="inlineStr">
        <is>
          <t>Miss Glam Damar</t>
        </is>
      </c>
      <c r="AM3412" t="n">
        <v>3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MAYBELLINE</t>
        </is>
      </c>
      <c r="B3413" s="2">
        <f>"20100577010"</f>
        <v/>
      </c>
      <c r="C3413" t="inlineStr">
        <is>
          <t>MAYBELLINE Superstay Flex Powder Foundation 111 9gr</t>
        </is>
      </c>
      <c r="D3413" t="inlineStr">
        <is>
          <t>Miss Glam Damar</t>
        </is>
      </c>
      <c r="E3413" t="n">
        <v>8</v>
      </c>
      <c r="F3413" t="n">
        <v>0.04550000000000001</v>
      </c>
      <c r="G3413" t="n">
        <v>0.91</v>
      </c>
      <c r="H3413" t="n">
        <v>3</v>
      </c>
      <c r="I3413" t="n">
        <v>14</v>
      </c>
      <c r="J3413" t="n">
        <v>1</v>
      </c>
      <c r="K3413" t="n">
        <v>0</v>
      </c>
      <c r="L3413" t="n">
        <v>119502</v>
      </c>
      <c r="M3413" t="n">
        <v>145000</v>
      </c>
      <c r="N3413" t="n">
        <v>91</v>
      </c>
      <c r="O3413" t="n">
        <v>0.91</v>
      </c>
      <c r="P3413" t="n">
        <v>1</v>
      </c>
      <c r="Q3413" t="n">
        <v>0.02</v>
      </c>
      <c r="R3413" t="n">
        <v>1</v>
      </c>
      <c r="S3413" t="n">
        <v>6597.500000000001</v>
      </c>
      <c r="T3413" t="n">
        <v>13</v>
      </c>
      <c r="U3413" t="n">
        <v>14</v>
      </c>
      <c r="V3413" t="n">
        <v>30</v>
      </c>
      <c r="W3413" t="n">
        <v>2</v>
      </c>
      <c r="X3413" t="n">
        <v>175.8241758241758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11038</v>
      </c>
      <c r="AG3413" t="n">
        <v>33</v>
      </c>
      <c r="AH3413" t="inlineStr">
        <is>
          <t>PT. MENSA BINASUKSES - PPN (PDG)</t>
        </is>
      </c>
      <c r="AI3413" t="n">
        <v>98</v>
      </c>
      <c r="AJ3413" t="inlineStr">
        <is>
          <t>MAYBELLINE</t>
        </is>
      </c>
      <c r="AK3413" t="n">
        <v>21</v>
      </c>
      <c r="AL3413" t="inlineStr">
        <is>
          <t>Miss Glam Damar</t>
        </is>
      </c>
      <c r="AM3413" t="n">
        <v>3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MAYBELLINE</t>
        </is>
      </c>
      <c r="B3414" s="2">
        <f>"20100577148"</f>
        <v/>
      </c>
      <c r="C3414" t="inlineStr">
        <is>
          <t>MAYBELLINE Superstay Flex Powder Foundation 115 9gr</t>
        </is>
      </c>
      <c r="D3414" t="inlineStr">
        <is>
          <t>Miss Glam Damar</t>
        </is>
      </c>
      <c r="E3414" t="n">
        <v>7</v>
      </c>
      <c r="F3414" t="n">
        <v>0.0273</v>
      </c>
      <c r="G3414" t="n">
        <v>0.91</v>
      </c>
      <c r="H3414" t="n">
        <v>3</v>
      </c>
      <c r="I3414" t="n">
        <v>14</v>
      </c>
      <c r="J3414" t="n">
        <v>1</v>
      </c>
      <c r="K3414" t="n">
        <v>0</v>
      </c>
      <c r="L3414" t="n">
        <v>121655</v>
      </c>
      <c r="M3414" t="n">
        <v>145000</v>
      </c>
      <c r="N3414" t="n">
        <v>91</v>
      </c>
      <c r="O3414" t="n">
        <v>0.91</v>
      </c>
      <c r="P3414" t="n">
        <v>1</v>
      </c>
      <c r="Q3414" t="n">
        <v>0.03</v>
      </c>
      <c r="R3414" t="n">
        <v>1</v>
      </c>
      <c r="S3414" t="n">
        <v>3958.5</v>
      </c>
      <c r="T3414" t="n">
        <v>13</v>
      </c>
      <c r="U3414" t="n">
        <v>14</v>
      </c>
      <c r="V3414" t="n">
        <v>30</v>
      </c>
      <c r="W3414" t="n">
        <v>1</v>
      </c>
      <c r="X3414" t="n">
        <v>256.4102564102564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11038</v>
      </c>
      <c r="AG3414" t="n">
        <v>33</v>
      </c>
      <c r="AH3414" t="inlineStr">
        <is>
          <t>PT. MENSA BINASUKSES - PPN (PDG)</t>
        </is>
      </c>
      <c r="AI3414" t="n">
        <v>98</v>
      </c>
      <c r="AJ3414" t="inlineStr">
        <is>
          <t>MAYBELLINE</t>
        </is>
      </c>
      <c r="AK3414" t="n">
        <v>21</v>
      </c>
      <c r="AL3414" t="inlineStr">
        <is>
          <t>Miss Glam Damar</t>
        </is>
      </c>
      <c r="AM3414" t="n">
        <v>3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MAYBELLINE</t>
        </is>
      </c>
      <c r="B3415" s="2">
        <f>"20100577230"</f>
        <v/>
      </c>
      <c r="C3415" t="inlineStr">
        <is>
          <t>MAYBELLINE Superstay Flex Powder Foundation 120 9gr</t>
        </is>
      </c>
      <c r="D3415" t="inlineStr">
        <is>
          <t>Miss Glam Damar</t>
        </is>
      </c>
      <c r="E3415" t="n">
        <v>5</v>
      </c>
      <c r="F3415" t="n">
        <v>0.0273</v>
      </c>
      <c r="G3415" t="n">
        <v>0.91</v>
      </c>
      <c r="H3415" t="n">
        <v>3</v>
      </c>
      <c r="I3415" t="n">
        <v>14</v>
      </c>
      <c r="J3415" t="n">
        <v>1</v>
      </c>
      <c r="K3415" t="n">
        <v>0</v>
      </c>
      <c r="L3415" t="n">
        <v>130460</v>
      </c>
      <c r="M3415" t="n">
        <v>145000</v>
      </c>
      <c r="N3415" t="n">
        <v>91</v>
      </c>
      <c r="O3415" t="n">
        <v>0.91</v>
      </c>
      <c r="P3415" t="n">
        <v>1</v>
      </c>
      <c r="Q3415" t="n">
        <v>0.02</v>
      </c>
      <c r="R3415" t="n">
        <v>1</v>
      </c>
      <c r="S3415" t="n">
        <v>3958.5</v>
      </c>
      <c r="T3415" t="n">
        <v>13</v>
      </c>
      <c r="U3415" t="n">
        <v>14</v>
      </c>
      <c r="V3415" t="n">
        <v>30</v>
      </c>
      <c r="W3415" t="n">
        <v>1</v>
      </c>
      <c r="X3415" t="n">
        <v>183.1501831501832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11038</v>
      </c>
      <c r="AG3415" t="n">
        <v>33</v>
      </c>
      <c r="AH3415" t="inlineStr">
        <is>
          <t>PT. MENSA BINASUKSES - PPN (PDG)</t>
        </is>
      </c>
      <c r="AI3415" t="n">
        <v>98</v>
      </c>
      <c r="AJ3415" t="inlineStr">
        <is>
          <t>MAYBELLINE</t>
        </is>
      </c>
      <c r="AK3415" t="n">
        <v>21</v>
      </c>
      <c r="AL3415" t="inlineStr">
        <is>
          <t>Miss Glam Damar</t>
        </is>
      </c>
      <c r="AM3415" t="n">
        <v>3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MAYBELLINE</t>
        </is>
      </c>
      <c r="B3416" s="2">
        <f>"20100183727"</f>
        <v/>
      </c>
      <c r="C3416" t="inlineStr">
        <is>
          <t>MAYBELLINE Superstay Flex Powder Foundation 128 9gr</t>
        </is>
      </c>
      <c r="D3416" t="inlineStr">
        <is>
          <t>Miss Glam Damar</t>
        </is>
      </c>
      <c r="E3416" t="n">
        <v>5</v>
      </c>
      <c r="F3416" t="n">
        <v>0.0182</v>
      </c>
      <c r="G3416" t="n">
        <v>0.91</v>
      </c>
      <c r="H3416" t="n">
        <v>3</v>
      </c>
      <c r="I3416" t="n">
        <v>14</v>
      </c>
      <c r="J3416" t="n">
        <v>1</v>
      </c>
      <c r="K3416" t="n">
        <v>0</v>
      </c>
      <c r="L3416" t="n">
        <v>119741</v>
      </c>
      <c r="M3416" t="n">
        <v>145000</v>
      </c>
      <c r="N3416" t="n">
        <v>91</v>
      </c>
      <c r="O3416" t="n">
        <v>0.91</v>
      </c>
      <c r="P3416" t="n">
        <v>1</v>
      </c>
      <c r="Q3416" t="n">
        <v>0.02</v>
      </c>
      <c r="R3416" t="n">
        <v>1</v>
      </c>
      <c r="S3416" t="n">
        <v>2639</v>
      </c>
      <c r="T3416" t="n">
        <v>13</v>
      </c>
      <c r="U3416" t="n">
        <v>14</v>
      </c>
      <c r="V3416" t="n">
        <v>30</v>
      </c>
      <c r="W3416" t="n">
        <v>1</v>
      </c>
      <c r="X3416" t="n">
        <v>274.7252747252747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11038</v>
      </c>
      <c r="AG3416" t="n">
        <v>33</v>
      </c>
      <c r="AH3416" t="inlineStr">
        <is>
          <t>PT. MENSA BINASUKSES - PPN (PDG)</t>
        </is>
      </c>
      <c r="AI3416" t="n">
        <v>98</v>
      </c>
      <c r="AJ3416" t="inlineStr">
        <is>
          <t>MAYBELLINE</t>
        </is>
      </c>
      <c r="AK3416" t="n">
        <v>21</v>
      </c>
      <c r="AL3416" t="inlineStr">
        <is>
          <t>Miss Glam Damar</t>
        </is>
      </c>
      <c r="AM3416" t="n">
        <v>3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MAYBELLINE</t>
        </is>
      </c>
      <c r="B3417" s="2">
        <f>"20100183821"</f>
        <v/>
      </c>
      <c r="C3417" t="inlineStr">
        <is>
          <t>MAYBELLINE Superstay Lumi Matte Foundation (tube) 110 18ml</t>
        </is>
      </c>
      <c r="D3417" t="inlineStr">
        <is>
          <t>Miss Glam Damar</t>
        </is>
      </c>
      <c r="E3417" t="n">
        <v>6</v>
      </c>
      <c r="F3417" t="n">
        <v>0.0728</v>
      </c>
      <c r="G3417" t="n">
        <v>1.82</v>
      </c>
      <c r="H3417" t="n">
        <v>3</v>
      </c>
      <c r="I3417" t="n">
        <v>14</v>
      </c>
      <c r="J3417" t="n">
        <v>1</v>
      </c>
      <c r="K3417" t="n">
        <v>0</v>
      </c>
      <c r="L3417" t="n">
        <v>73257</v>
      </c>
      <c r="M3417" t="n">
        <v>90000</v>
      </c>
      <c r="N3417" t="n">
        <v>91</v>
      </c>
      <c r="O3417" t="n">
        <v>0.91</v>
      </c>
      <c r="P3417" t="n">
        <v>1</v>
      </c>
      <c r="Q3417" t="n">
        <v>0.05</v>
      </c>
      <c r="R3417" t="n">
        <v>1</v>
      </c>
      <c r="S3417" t="n">
        <v>6552</v>
      </c>
      <c r="T3417" t="n">
        <v>26</v>
      </c>
      <c r="U3417" t="n">
        <v>27</v>
      </c>
      <c r="V3417" t="n">
        <v>30</v>
      </c>
      <c r="W3417" t="n">
        <v>3</v>
      </c>
      <c r="X3417" t="n">
        <v>82.41758241758241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11038</v>
      </c>
      <c r="AG3417" t="n">
        <v>33</v>
      </c>
      <c r="AH3417" t="inlineStr">
        <is>
          <t>PT. MENSA BINASUKSES - PPN (PDG)</t>
        </is>
      </c>
      <c r="AI3417" t="n">
        <v>98</v>
      </c>
      <c r="AJ3417" t="inlineStr">
        <is>
          <t>MAYBELLINE</t>
        </is>
      </c>
      <c r="AK3417" t="n">
        <v>21</v>
      </c>
      <c r="AL3417" t="inlineStr">
        <is>
          <t>Miss Glam Damar</t>
        </is>
      </c>
      <c r="AM3417" t="n">
        <v>3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MAYBELLINE</t>
        </is>
      </c>
      <c r="B3418" s="2">
        <f>"20100183959"</f>
        <v/>
      </c>
      <c r="C3418" t="inlineStr">
        <is>
          <t>MAYBELLINE Superstay Lumi Matte Foundation (tube) 111 18ml</t>
        </is>
      </c>
      <c r="D3418" t="inlineStr">
        <is>
          <t>Miss Glam Damar</t>
        </is>
      </c>
      <c r="E3418" t="n">
        <v>7</v>
      </c>
      <c r="F3418" t="n">
        <v>0.0273</v>
      </c>
      <c r="G3418" t="n">
        <v>0.91</v>
      </c>
      <c r="H3418" t="n">
        <v>3</v>
      </c>
      <c r="I3418" t="n">
        <v>14</v>
      </c>
      <c r="J3418" t="n">
        <v>1</v>
      </c>
      <c r="K3418" t="n">
        <v>0</v>
      </c>
      <c r="L3418" t="n">
        <v>72106</v>
      </c>
      <c r="M3418" t="n">
        <v>90000</v>
      </c>
      <c r="N3418" t="n">
        <v>91</v>
      </c>
      <c r="O3418" t="n">
        <v>0.91</v>
      </c>
      <c r="P3418" t="n">
        <v>1</v>
      </c>
      <c r="Q3418" t="n">
        <v>0.03</v>
      </c>
      <c r="R3418" t="n">
        <v>1</v>
      </c>
      <c r="S3418" t="n">
        <v>2457</v>
      </c>
      <c r="T3418" t="n">
        <v>13</v>
      </c>
      <c r="U3418" t="n">
        <v>14</v>
      </c>
      <c r="V3418" t="n">
        <v>30</v>
      </c>
      <c r="W3418" t="n">
        <v>1</v>
      </c>
      <c r="X3418" t="n">
        <v>256.4102564102564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11038</v>
      </c>
      <c r="AG3418" t="n">
        <v>33</v>
      </c>
      <c r="AH3418" t="inlineStr">
        <is>
          <t>PT. MENSA BINASUKSES - PPN (PDG)</t>
        </is>
      </c>
      <c r="AI3418" t="n">
        <v>98</v>
      </c>
      <c r="AJ3418" t="inlineStr">
        <is>
          <t>MAYBELLINE</t>
        </is>
      </c>
      <c r="AK3418" t="n">
        <v>21</v>
      </c>
      <c r="AL3418" t="inlineStr">
        <is>
          <t>Miss Glam Damar</t>
        </is>
      </c>
      <c r="AM3418" t="n">
        <v>3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MAYBELLINE</t>
        </is>
      </c>
      <c r="B3419" s="2">
        <f>"20100184033"</f>
        <v/>
      </c>
      <c r="C3419" t="inlineStr">
        <is>
          <t>MAYBELLINE Superstay Lumi Matte Foundation (tube) 119 18ml</t>
        </is>
      </c>
      <c r="D3419" t="inlineStr">
        <is>
          <t>Miss Glam Damar</t>
        </is>
      </c>
      <c r="E3419" t="n">
        <v>8</v>
      </c>
      <c r="F3419" t="n">
        <v>0.02</v>
      </c>
      <c r="G3419" t="n">
        <v>1</v>
      </c>
      <c r="H3419" t="n">
        <v>3</v>
      </c>
      <c r="I3419" t="n">
        <v>14</v>
      </c>
      <c r="J3419" t="n">
        <v>1</v>
      </c>
      <c r="K3419" t="n">
        <v>0</v>
      </c>
      <c r="L3419" t="n">
        <v>73257</v>
      </c>
      <c r="M3419" t="n">
        <v>90000</v>
      </c>
      <c r="N3419" t="n">
        <v>91</v>
      </c>
      <c r="O3419" t="n">
        <v>0.91</v>
      </c>
      <c r="P3419" t="n">
        <v>0</v>
      </c>
      <c r="Q3419" t="n">
        <v>0.02</v>
      </c>
      <c r="R3419" t="n">
        <v>1</v>
      </c>
      <c r="S3419" t="n">
        <v>1800</v>
      </c>
      <c r="T3419" t="n">
        <v>14</v>
      </c>
      <c r="U3419" t="n">
        <v>15</v>
      </c>
      <c r="V3419" t="n">
        <v>30</v>
      </c>
      <c r="W3419" t="n">
        <v>1</v>
      </c>
      <c r="X3419" t="n">
        <v>400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11038</v>
      </c>
      <c r="AG3419" t="n">
        <v>33</v>
      </c>
      <c r="AH3419" t="inlineStr">
        <is>
          <t>PT. MENSA BINASUKSES - PPN (PDG)</t>
        </is>
      </c>
      <c r="AI3419" t="n">
        <v>98</v>
      </c>
      <c r="AJ3419" t="inlineStr">
        <is>
          <t>MAYBELLINE</t>
        </is>
      </c>
      <c r="AK3419" t="n">
        <v>21</v>
      </c>
      <c r="AL3419" t="inlineStr">
        <is>
          <t>Miss Glam Damar</t>
        </is>
      </c>
      <c r="AM3419" t="n">
        <v>3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MAYBELLINE</t>
        </is>
      </c>
      <c r="B3420" s="2">
        <f>"20100184115"</f>
        <v/>
      </c>
      <c r="C3420" t="inlineStr">
        <is>
          <t>MAYBELLINE Superstay Lumi Matte Foundation (tube) 120 18ml</t>
        </is>
      </c>
      <c r="D3420" t="inlineStr">
        <is>
          <t>Miss Glam Damar</t>
        </is>
      </c>
      <c r="E3420" t="n">
        <v>7</v>
      </c>
      <c r="F3420" t="n">
        <v>0.0182</v>
      </c>
      <c r="G3420" t="n">
        <v>0.91</v>
      </c>
      <c r="H3420" t="n">
        <v>3</v>
      </c>
      <c r="I3420" t="n">
        <v>14</v>
      </c>
      <c r="J3420" t="n">
        <v>1</v>
      </c>
      <c r="K3420" t="n">
        <v>0</v>
      </c>
      <c r="L3420" t="n">
        <v>73257</v>
      </c>
      <c r="M3420" t="n">
        <v>90000</v>
      </c>
      <c r="N3420" t="n">
        <v>91</v>
      </c>
      <c r="O3420" t="n">
        <v>0.91</v>
      </c>
      <c r="P3420" t="n">
        <v>1</v>
      </c>
      <c r="Q3420" t="n">
        <v>0.03</v>
      </c>
      <c r="R3420" t="n">
        <v>1</v>
      </c>
      <c r="S3420" t="n">
        <v>1638</v>
      </c>
      <c r="T3420" t="n">
        <v>13</v>
      </c>
      <c r="U3420" t="n">
        <v>14</v>
      </c>
      <c r="V3420" t="n">
        <v>30</v>
      </c>
      <c r="W3420" t="n">
        <v>1</v>
      </c>
      <c r="X3420" t="n">
        <v>384.6153846153846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11038</v>
      </c>
      <c r="AG3420" t="n">
        <v>33</v>
      </c>
      <c r="AH3420" t="inlineStr">
        <is>
          <t>PT. MENSA BINASUKSES - PPN (PDG)</t>
        </is>
      </c>
      <c r="AI3420" t="n">
        <v>98</v>
      </c>
      <c r="AJ3420" t="inlineStr">
        <is>
          <t>MAYBELLINE</t>
        </is>
      </c>
      <c r="AK3420" t="n">
        <v>21</v>
      </c>
      <c r="AL3420" t="inlineStr">
        <is>
          <t>Miss Glam Damar</t>
        </is>
      </c>
      <c r="AM3420" t="n">
        <v>3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MAYBELLINE</t>
        </is>
      </c>
      <c r="B3421" s="2">
        <f>"20100184258"</f>
        <v/>
      </c>
      <c r="C3421" t="inlineStr">
        <is>
          <t>MAYBELLINE Superstay Lumi Matte Foundation (tube) 128 18ml</t>
        </is>
      </c>
      <c r="D3421" t="inlineStr">
        <is>
          <t>Miss Glam Damar</t>
        </is>
      </c>
      <c r="E3421" t="n">
        <v>12</v>
      </c>
      <c r="F3421" t="n">
        <v>0.0273</v>
      </c>
      <c r="G3421" t="n">
        <v>0.91</v>
      </c>
      <c r="H3421" t="n">
        <v>3</v>
      </c>
      <c r="I3421" t="n">
        <v>14</v>
      </c>
      <c r="J3421" t="n">
        <v>1</v>
      </c>
      <c r="K3421" t="n">
        <v>0</v>
      </c>
      <c r="L3421" t="n">
        <v>72106</v>
      </c>
      <c r="M3421" t="n">
        <v>90000</v>
      </c>
      <c r="N3421" t="n">
        <v>91</v>
      </c>
      <c r="O3421" t="n">
        <v>0.91</v>
      </c>
      <c r="P3421" t="n">
        <v>1</v>
      </c>
      <c r="Q3421" t="n">
        <v>0.05</v>
      </c>
      <c r="R3421" t="n">
        <v>1</v>
      </c>
      <c r="S3421" t="n">
        <v>2457</v>
      </c>
      <c r="T3421" t="n">
        <v>13</v>
      </c>
      <c r="U3421" t="n">
        <v>14</v>
      </c>
      <c r="V3421" t="n">
        <v>30</v>
      </c>
      <c r="W3421" t="n">
        <v>1</v>
      </c>
      <c r="X3421" t="n">
        <v>439.5604395604395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11038</v>
      </c>
      <c r="AG3421" t="n">
        <v>33</v>
      </c>
      <c r="AH3421" t="inlineStr">
        <is>
          <t>PT. MENSA BINASUKSES - PPN (PDG)</t>
        </is>
      </c>
      <c r="AI3421" t="n">
        <v>98</v>
      </c>
      <c r="AJ3421" t="inlineStr">
        <is>
          <t>MAYBELLINE</t>
        </is>
      </c>
      <c r="AK3421" t="n">
        <v>21</v>
      </c>
      <c r="AL3421" t="inlineStr">
        <is>
          <t>Miss Glam Damar</t>
        </is>
      </c>
      <c r="AM3421" t="n">
        <v>3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MAYBELLINE</t>
        </is>
      </c>
      <c r="B3422" s="2">
        <f>"20100184335"</f>
        <v/>
      </c>
      <c r="C3422" t="inlineStr">
        <is>
          <t>MAYBELLINE Superstay Lumi Matte Foundation (tube) 220 18ml</t>
        </is>
      </c>
      <c r="D3422" t="inlineStr">
        <is>
          <t>Miss Glam Damar</t>
        </is>
      </c>
      <c r="E3422" t="n">
        <v>13</v>
      </c>
      <c r="F3422" t="n">
        <v>0.03</v>
      </c>
      <c r="G3422" t="n">
        <v>1</v>
      </c>
      <c r="H3422" t="n">
        <v>3</v>
      </c>
      <c r="I3422" t="n">
        <v>14</v>
      </c>
      <c r="J3422" t="n">
        <v>1</v>
      </c>
      <c r="K3422" t="n">
        <v>0</v>
      </c>
      <c r="L3422" t="n">
        <v>64656</v>
      </c>
      <c r="M3422" t="n">
        <v>90000</v>
      </c>
      <c r="N3422" t="n">
        <v>91</v>
      </c>
      <c r="O3422" t="n">
        <v>0.91</v>
      </c>
      <c r="P3422" t="n">
        <v>0</v>
      </c>
      <c r="Q3422" t="n">
        <v>0.03</v>
      </c>
      <c r="R3422" t="n">
        <v>1</v>
      </c>
      <c r="S3422" t="n">
        <v>2700</v>
      </c>
      <c r="T3422" t="n">
        <v>14</v>
      </c>
      <c r="U3422" t="n">
        <v>15</v>
      </c>
      <c r="V3422" t="n">
        <v>30</v>
      </c>
      <c r="W3422" t="n">
        <v>1</v>
      </c>
      <c r="X3422" t="n">
        <v>433.3333333333334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11038</v>
      </c>
      <c r="AG3422" t="n">
        <v>33</v>
      </c>
      <c r="AH3422" t="inlineStr">
        <is>
          <t>PT. MENSA BINASUKSES - PPN (PDG)</t>
        </is>
      </c>
      <c r="AI3422" t="n">
        <v>98</v>
      </c>
      <c r="AJ3422" t="inlineStr">
        <is>
          <t>MAYBELLINE</t>
        </is>
      </c>
      <c r="AK3422" t="n">
        <v>21</v>
      </c>
      <c r="AL3422" t="inlineStr">
        <is>
          <t>Miss Glam Damar</t>
        </is>
      </c>
      <c r="AM3422" t="n">
        <v>3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MAYBELLINE</t>
        </is>
      </c>
      <c r="B3423" s="2">
        <f>"6902395706311"</f>
        <v/>
      </c>
      <c r="C3423" t="inlineStr">
        <is>
          <t>MAYBELLINE Superstay Matte Ink 115 Founder 5ml</t>
        </is>
      </c>
      <c r="D3423" t="inlineStr">
        <is>
          <t>Miss Glam Damar</t>
        </is>
      </c>
      <c r="E3423" t="n">
        <v>7</v>
      </c>
      <c r="F3423" t="n">
        <v>0.1092</v>
      </c>
      <c r="G3423" t="n">
        <v>0.91</v>
      </c>
      <c r="H3423" t="n">
        <v>3</v>
      </c>
      <c r="I3423" t="n">
        <v>14</v>
      </c>
      <c r="J3423" t="n">
        <v>3</v>
      </c>
      <c r="K3423" t="n">
        <v>0</v>
      </c>
      <c r="L3423" t="n">
        <v>79739</v>
      </c>
      <c r="M3423" t="n">
        <v>129000</v>
      </c>
      <c r="N3423" t="n">
        <v>91</v>
      </c>
      <c r="O3423" t="n">
        <v>0.91</v>
      </c>
      <c r="P3423" t="n">
        <v>1</v>
      </c>
      <c r="Q3423" t="n">
        <v>0.15</v>
      </c>
      <c r="R3423" t="n">
        <v>2</v>
      </c>
      <c r="S3423" t="n">
        <v>14086.8</v>
      </c>
      <c r="T3423" t="n">
        <v>13</v>
      </c>
      <c r="U3423" t="n">
        <v>14</v>
      </c>
      <c r="V3423" t="n">
        <v>30</v>
      </c>
      <c r="W3423" t="n">
        <v>4</v>
      </c>
      <c r="X3423" t="n">
        <v>64.1025641025641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11038</v>
      </c>
      <c r="AG3423" t="n">
        <v>33</v>
      </c>
      <c r="AH3423" t="inlineStr">
        <is>
          <t>PT. MENSA BINASUKSES - PPN (PDG)</t>
        </is>
      </c>
      <c r="AI3423" t="n">
        <v>98</v>
      </c>
      <c r="AJ3423" t="inlineStr">
        <is>
          <t>MAYBELLINE</t>
        </is>
      </c>
      <c r="AK3423" t="n">
        <v>21</v>
      </c>
      <c r="AL3423" t="inlineStr">
        <is>
          <t>Miss Glam Damar</t>
        </is>
      </c>
      <c r="AM3423" t="n">
        <v>3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MAYBELLINE</t>
        </is>
      </c>
      <c r="B3424" s="2">
        <f>"6902395706410"</f>
        <v/>
      </c>
      <c r="C3424" t="inlineStr">
        <is>
          <t>MAYBELLINE Superstay Matte Ink 117 Groundbreaker 5ml</t>
        </is>
      </c>
      <c r="D3424" t="inlineStr">
        <is>
          <t>Miss Glam Damar</t>
        </is>
      </c>
      <c r="E3424" t="n">
        <v>11</v>
      </c>
      <c r="F3424" t="n">
        <v>0.2184</v>
      </c>
      <c r="G3424" t="n">
        <v>1.82</v>
      </c>
      <c r="H3424" t="n">
        <v>3</v>
      </c>
      <c r="I3424" t="n">
        <v>14</v>
      </c>
      <c r="J3424" t="n">
        <v>3</v>
      </c>
      <c r="K3424" t="n">
        <v>0</v>
      </c>
      <c r="L3424" t="n">
        <v>75957</v>
      </c>
      <c r="M3424" t="n">
        <v>129000</v>
      </c>
      <c r="N3424" t="n">
        <v>91</v>
      </c>
      <c r="O3424" t="n">
        <v>0.91</v>
      </c>
      <c r="P3424" t="n">
        <v>1</v>
      </c>
      <c r="Q3424" t="n">
        <v>0.02</v>
      </c>
      <c r="R3424" t="n">
        <v>1</v>
      </c>
      <c r="S3424" t="n">
        <v>28173.6</v>
      </c>
      <c r="T3424" t="n">
        <v>25</v>
      </c>
      <c r="U3424" t="n">
        <v>26</v>
      </c>
      <c r="V3424" t="n">
        <v>30</v>
      </c>
      <c r="W3424" t="n">
        <v>7</v>
      </c>
      <c r="X3424" t="n">
        <v>50.36630036630036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11038</v>
      </c>
      <c r="AG3424" t="n">
        <v>33</v>
      </c>
      <c r="AH3424" t="inlineStr">
        <is>
          <t>PT. MENSA BINASUKSES - PPN (PDG)</t>
        </is>
      </c>
      <c r="AI3424" t="n">
        <v>98</v>
      </c>
      <c r="AJ3424" t="inlineStr">
        <is>
          <t>MAYBELLINE</t>
        </is>
      </c>
      <c r="AK3424" t="n">
        <v>21</v>
      </c>
      <c r="AL3424" t="inlineStr">
        <is>
          <t>Miss Glam Damar</t>
        </is>
      </c>
      <c r="AM3424" t="n">
        <v>3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MAYBELLINE</t>
        </is>
      </c>
      <c r="B3425" s="2">
        <f>"6902395706212"</f>
        <v/>
      </c>
      <c r="C3425" t="inlineStr">
        <is>
          <t>MAYBELLINE Superstay Matte Ink 118 Dancer 5ml</t>
        </is>
      </c>
      <c r="D3425" t="inlineStr">
        <is>
          <t>Miss Glam Damar</t>
        </is>
      </c>
      <c r="E3425" t="n">
        <v>10</v>
      </c>
      <c r="F3425" t="n">
        <v>0.09100000000000001</v>
      </c>
      <c r="G3425" t="n">
        <v>0.91</v>
      </c>
      <c r="H3425" t="n">
        <v>3</v>
      </c>
      <c r="I3425" t="n">
        <v>14</v>
      </c>
      <c r="J3425" t="n">
        <v>3</v>
      </c>
      <c r="K3425" t="n">
        <v>0</v>
      </c>
      <c r="L3425" t="n">
        <v>81058</v>
      </c>
      <c r="M3425" t="n">
        <v>129000</v>
      </c>
      <c r="N3425" t="n">
        <v>91</v>
      </c>
      <c r="O3425" t="n">
        <v>0.91</v>
      </c>
      <c r="P3425" t="n">
        <v>1</v>
      </c>
      <c r="Q3425" t="n">
        <v>0.17</v>
      </c>
      <c r="R3425" t="n">
        <v>2</v>
      </c>
      <c r="S3425" t="n">
        <v>11739</v>
      </c>
      <c r="T3425" t="n">
        <v>13</v>
      </c>
      <c r="U3425" t="n">
        <v>14</v>
      </c>
      <c r="V3425" t="n">
        <v>30</v>
      </c>
      <c r="W3425" t="n">
        <v>3</v>
      </c>
      <c r="X3425" t="n">
        <v>109.8901098901099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11038</v>
      </c>
      <c r="AG3425" t="n">
        <v>33</v>
      </c>
      <c r="AH3425" t="inlineStr">
        <is>
          <t>PT. MENSA BINASUKSES - PPN (PDG)</t>
        </is>
      </c>
      <c r="AI3425" t="n">
        <v>98</v>
      </c>
      <c r="AJ3425" t="inlineStr">
        <is>
          <t>MAYBELLINE</t>
        </is>
      </c>
      <c r="AK3425" t="n">
        <v>21</v>
      </c>
      <c r="AL3425" t="inlineStr">
        <is>
          <t>Miss Glam Damar</t>
        </is>
      </c>
      <c r="AM3425" t="n">
        <v>3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MAYBELLINE</t>
        </is>
      </c>
      <c r="B3426" s="2">
        <f>"6902395706113"</f>
        <v/>
      </c>
      <c r="C3426" t="inlineStr">
        <is>
          <t>MAYBELLINE Superstay Matte Ink 120 Artist 5ml</t>
        </is>
      </c>
      <c r="D3426" t="inlineStr">
        <is>
          <t>Miss Glam Damar</t>
        </is>
      </c>
      <c r="E3426" t="n">
        <v>12</v>
      </c>
      <c r="F3426" t="n">
        <v>0.2184</v>
      </c>
      <c r="G3426" t="n">
        <v>1.82</v>
      </c>
      <c r="H3426" t="n">
        <v>3</v>
      </c>
      <c r="I3426" t="n">
        <v>14</v>
      </c>
      <c r="J3426" t="n">
        <v>3</v>
      </c>
      <c r="K3426" t="n">
        <v>0</v>
      </c>
      <c r="L3426" t="n">
        <v>82090</v>
      </c>
      <c r="M3426" t="n">
        <v>129000</v>
      </c>
      <c r="N3426" t="n">
        <v>91</v>
      </c>
      <c r="O3426" t="n">
        <v>0.91</v>
      </c>
      <c r="P3426" t="n">
        <v>1</v>
      </c>
      <c r="Q3426" t="n">
        <v>0.25</v>
      </c>
      <c r="R3426" t="n">
        <v>1</v>
      </c>
      <c r="S3426" t="n">
        <v>28173.6</v>
      </c>
      <c r="T3426" t="n">
        <v>25</v>
      </c>
      <c r="U3426" t="n">
        <v>26</v>
      </c>
      <c r="V3426" t="n">
        <v>30</v>
      </c>
      <c r="W3426" t="n">
        <v>7</v>
      </c>
      <c r="X3426" t="n">
        <v>54.94505494505494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11038</v>
      </c>
      <c r="AG3426" t="n">
        <v>33</v>
      </c>
      <c r="AH3426" t="inlineStr">
        <is>
          <t>PT. MENSA BINASUKSES - PPN (PDG)</t>
        </is>
      </c>
      <c r="AI3426" t="n">
        <v>98</v>
      </c>
      <c r="AJ3426" t="inlineStr">
        <is>
          <t>MAYBELLINE</t>
        </is>
      </c>
      <c r="AK3426" t="n">
        <v>21</v>
      </c>
      <c r="AL3426" t="inlineStr">
        <is>
          <t>Miss Glam Damar</t>
        </is>
      </c>
      <c r="AM3426" t="n">
        <v>3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MAYBELLINE</t>
        </is>
      </c>
      <c r="B3427" s="2">
        <f>"6902395706564"</f>
        <v/>
      </c>
      <c r="C3427" t="inlineStr">
        <is>
          <t>MAYBELLINE Superstay Matte Ink 130 Self Starter 5ml</t>
        </is>
      </c>
      <c r="D3427" t="inlineStr">
        <is>
          <t>Miss Glam Damar</t>
        </is>
      </c>
      <c r="E3427" t="n">
        <v>17</v>
      </c>
      <c r="F3427" t="n">
        <v>0.4186</v>
      </c>
      <c r="G3427" t="n">
        <v>1.82</v>
      </c>
      <c r="H3427" t="n">
        <v>3</v>
      </c>
      <c r="I3427" t="n">
        <v>14</v>
      </c>
      <c r="J3427" t="n">
        <v>3</v>
      </c>
      <c r="K3427" t="n">
        <v>0</v>
      </c>
      <c r="L3427" t="n">
        <v>80898</v>
      </c>
      <c r="M3427" t="n">
        <v>129000</v>
      </c>
      <c r="N3427" t="n">
        <v>91</v>
      </c>
      <c r="O3427" t="n">
        <v>0.91</v>
      </c>
      <c r="P3427" t="n">
        <v>1</v>
      </c>
      <c r="Q3427" t="n">
        <v>0.36</v>
      </c>
      <c r="R3427" t="n">
        <v>2</v>
      </c>
      <c r="S3427" t="n">
        <v>53999.4</v>
      </c>
      <c r="T3427" t="n">
        <v>25</v>
      </c>
      <c r="U3427" t="n">
        <v>27</v>
      </c>
      <c r="V3427" t="n">
        <v>30</v>
      </c>
      <c r="W3427" t="n">
        <v>13</v>
      </c>
      <c r="X3427" t="n">
        <v>40.61156235069279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11038</v>
      </c>
      <c r="AG3427" t="n">
        <v>33</v>
      </c>
      <c r="AH3427" t="inlineStr">
        <is>
          <t>PT. MENSA BINASUKSES - PPN (PDG)</t>
        </is>
      </c>
      <c r="AI3427" t="n">
        <v>98</v>
      </c>
      <c r="AJ3427" t="inlineStr">
        <is>
          <t>MAYBELLINE</t>
        </is>
      </c>
      <c r="AK3427" t="n">
        <v>21</v>
      </c>
      <c r="AL3427" t="inlineStr">
        <is>
          <t>Miss Glam Damar</t>
        </is>
      </c>
      <c r="AM3427" t="n">
        <v>3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MAYBELLINE</t>
        </is>
      </c>
      <c r="B3428" s="2">
        <f>"6902395706366"</f>
        <v/>
      </c>
      <c r="C3428" t="inlineStr">
        <is>
          <t>MAYBELLINE Superstay Matte Ink 135 Globetrotter 5ml</t>
        </is>
      </c>
      <c r="D3428" t="inlineStr">
        <is>
          <t>Miss Glam Damar</t>
        </is>
      </c>
      <c r="E3428" t="n">
        <v>14</v>
      </c>
      <c r="F3428" t="n">
        <v>0.1092</v>
      </c>
      <c r="G3428" t="n">
        <v>0.91</v>
      </c>
      <c r="H3428" t="n">
        <v>3</v>
      </c>
      <c r="I3428" t="n">
        <v>14</v>
      </c>
      <c r="J3428" t="n">
        <v>3</v>
      </c>
      <c r="K3428" t="n">
        <v>0</v>
      </c>
      <c r="L3428" t="n">
        <v>81979</v>
      </c>
      <c r="M3428" t="n">
        <v>129000</v>
      </c>
      <c r="N3428" t="n">
        <v>91</v>
      </c>
      <c r="O3428" t="n">
        <v>0.91</v>
      </c>
      <c r="P3428" t="n">
        <v>1</v>
      </c>
      <c r="Q3428" t="n">
        <v>0.17</v>
      </c>
      <c r="R3428" t="n">
        <v>1</v>
      </c>
      <c r="S3428" t="n">
        <v>14086.8</v>
      </c>
      <c r="T3428" t="n">
        <v>13</v>
      </c>
      <c r="U3428" t="n">
        <v>14</v>
      </c>
      <c r="V3428" t="n">
        <v>30</v>
      </c>
      <c r="W3428" t="n">
        <v>4</v>
      </c>
      <c r="X3428" t="n">
        <v>128.2051282051282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11038</v>
      </c>
      <c r="AG3428" t="n">
        <v>33</v>
      </c>
      <c r="AH3428" t="inlineStr">
        <is>
          <t>PT. MENSA BINASUKSES - PPN (PDG)</t>
        </is>
      </c>
      <c r="AI3428" t="n">
        <v>98</v>
      </c>
      <c r="AJ3428" t="inlineStr">
        <is>
          <t>MAYBELLINE</t>
        </is>
      </c>
      <c r="AK3428" t="n">
        <v>21</v>
      </c>
      <c r="AL3428" t="inlineStr">
        <is>
          <t>Miss Glam Damar</t>
        </is>
      </c>
      <c r="AM3428" t="n">
        <v>3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MAYBELLINE</t>
        </is>
      </c>
      <c r="B3429" s="2">
        <f>"6902395682950"</f>
        <v/>
      </c>
      <c r="C3429" t="inlineStr">
        <is>
          <t>MAYBELLINE Superstay Matte Ink 15 Lover 5ml</t>
        </is>
      </c>
      <c r="D3429" t="inlineStr">
        <is>
          <t>Miss Glam Damar</t>
        </is>
      </c>
      <c r="E3429" t="n">
        <v>4</v>
      </c>
      <c r="F3429" t="n">
        <v>0.0182</v>
      </c>
      <c r="G3429" t="n">
        <v>0.91</v>
      </c>
      <c r="H3429" t="n">
        <v>3</v>
      </c>
      <c r="I3429" t="n">
        <v>14</v>
      </c>
      <c r="J3429" t="n">
        <v>3</v>
      </c>
      <c r="K3429" t="n">
        <v>0</v>
      </c>
      <c r="L3429" t="n">
        <v>79272</v>
      </c>
      <c r="M3429" t="n">
        <v>129000</v>
      </c>
      <c r="N3429" t="n">
        <v>91</v>
      </c>
      <c r="O3429" t="n">
        <v>0.91</v>
      </c>
      <c r="P3429" t="n">
        <v>1</v>
      </c>
      <c r="Q3429" t="n">
        <v>0.02</v>
      </c>
      <c r="R3429" t="n">
        <v>1</v>
      </c>
      <c r="S3429" t="n">
        <v>2347.8</v>
      </c>
      <c r="T3429" t="n">
        <v>13</v>
      </c>
      <c r="U3429" t="n">
        <v>14</v>
      </c>
      <c r="V3429" t="n">
        <v>30</v>
      </c>
      <c r="W3429" t="n">
        <v>1</v>
      </c>
      <c r="X3429" t="n">
        <v>219.7802197802198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11038</v>
      </c>
      <c r="AG3429" t="n">
        <v>33</v>
      </c>
      <c r="AH3429" t="inlineStr">
        <is>
          <t>PT. MENSA BINASUKSES - PPN (PDG)</t>
        </is>
      </c>
      <c r="AI3429" t="n">
        <v>98</v>
      </c>
      <c r="AJ3429" t="inlineStr">
        <is>
          <t>MAYBELLINE</t>
        </is>
      </c>
      <c r="AK3429" t="n">
        <v>21</v>
      </c>
      <c r="AL3429" t="inlineStr">
        <is>
          <t>Miss Glam Damar</t>
        </is>
      </c>
      <c r="AM3429" t="n">
        <v>3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MAYBELLINE</t>
        </is>
      </c>
      <c r="B3430" s="2">
        <f>"6902395771685"</f>
        <v/>
      </c>
      <c r="C3430" t="inlineStr">
        <is>
          <t>MAYBELLINE Superstay Matte Ink 150 Savant 5ml</t>
        </is>
      </c>
      <c r="D3430" t="inlineStr">
        <is>
          <t>Miss Glam Damar</t>
        </is>
      </c>
      <c r="E3430" t="n">
        <v>13</v>
      </c>
      <c r="F3430" t="n">
        <v>0.182</v>
      </c>
      <c r="G3430" t="n">
        <v>2.73</v>
      </c>
      <c r="H3430" t="n">
        <v>3</v>
      </c>
      <c r="I3430" t="n">
        <v>14</v>
      </c>
      <c r="J3430" t="n">
        <v>3</v>
      </c>
      <c r="K3430" t="n">
        <v>0</v>
      </c>
      <c r="L3430" t="n">
        <v>82272</v>
      </c>
      <c r="M3430" t="n">
        <v>129000</v>
      </c>
      <c r="N3430" t="n">
        <v>91</v>
      </c>
      <c r="O3430" t="n">
        <v>0.91</v>
      </c>
      <c r="P3430" t="n">
        <v>1</v>
      </c>
      <c r="Q3430" t="n">
        <v>0.2</v>
      </c>
      <c r="R3430" t="n">
        <v>1</v>
      </c>
      <c r="S3430" t="n">
        <v>23478</v>
      </c>
      <c r="T3430" t="n">
        <v>38</v>
      </c>
      <c r="U3430" t="n">
        <v>39</v>
      </c>
      <c r="V3430" t="n">
        <v>30</v>
      </c>
      <c r="W3430" t="n">
        <v>6</v>
      </c>
      <c r="X3430" t="n">
        <v>71.42857142857142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11038</v>
      </c>
      <c r="AG3430" t="n">
        <v>33</v>
      </c>
      <c r="AH3430" t="inlineStr">
        <is>
          <t>PT. MENSA BINASUKSES - PPN (PDG)</t>
        </is>
      </c>
      <c r="AI3430" t="n">
        <v>98</v>
      </c>
      <c r="AJ3430" t="inlineStr">
        <is>
          <t>MAYBELLINE</t>
        </is>
      </c>
      <c r="AK3430" t="n">
        <v>21</v>
      </c>
      <c r="AL3430" t="inlineStr">
        <is>
          <t>Miss Glam Damar</t>
        </is>
      </c>
      <c r="AM3430" t="n">
        <v>3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MAYBELLINE</t>
        </is>
      </c>
      <c r="B3431" s="2">
        <f>"41554577822"</f>
        <v/>
      </c>
      <c r="C3431" t="inlineStr">
        <is>
          <t>MAYBELLINE Superstay Matte Ink 160 Mover 5ml</t>
        </is>
      </c>
      <c r="D3431" t="inlineStr">
        <is>
          <t>Miss Glam Damar</t>
        </is>
      </c>
      <c r="E3431" t="n">
        <v>2</v>
      </c>
      <c r="F3431" t="n">
        <v>0.06370000000000001</v>
      </c>
      <c r="G3431" t="n">
        <v>0.91</v>
      </c>
      <c r="H3431" t="n">
        <v>3</v>
      </c>
      <c r="I3431" t="n">
        <v>14</v>
      </c>
      <c r="J3431" t="n">
        <v>3</v>
      </c>
      <c r="K3431" t="n">
        <v>0</v>
      </c>
      <c r="L3431" t="n">
        <v>105112</v>
      </c>
      <c r="M3431" t="n">
        <v>129000</v>
      </c>
      <c r="N3431" t="n">
        <v>91</v>
      </c>
      <c r="O3431" t="n">
        <v>0.91</v>
      </c>
      <c r="P3431" t="n">
        <v>1</v>
      </c>
      <c r="Q3431" t="n">
        <v>0.02</v>
      </c>
      <c r="R3431" t="n">
        <v>1</v>
      </c>
      <c r="S3431" t="n">
        <v>8217.300000000001</v>
      </c>
      <c r="T3431" t="n">
        <v>13</v>
      </c>
      <c r="U3431" t="n">
        <v>14</v>
      </c>
      <c r="V3431" t="n">
        <v>30</v>
      </c>
      <c r="W3431" t="n">
        <v>2</v>
      </c>
      <c r="X3431" t="n">
        <v>31.39717425431711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11038</v>
      </c>
      <c r="AG3431" t="n">
        <v>33</v>
      </c>
      <c r="AH3431" t="inlineStr">
        <is>
          <t>PT. MENSA BINASUKSES - PPN (PDG)</t>
        </is>
      </c>
      <c r="AI3431" t="n">
        <v>98</v>
      </c>
      <c r="AJ3431" t="inlineStr">
        <is>
          <t>MAYBELLINE</t>
        </is>
      </c>
      <c r="AK3431" t="n">
        <v>21</v>
      </c>
      <c r="AL3431" t="inlineStr">
        <is>
          <t>Miss Glam Damar</t>
        </is>
      </c>
      <c r="AM3431" t="n">
        <v>3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MAYBELLINE</t>
        </is>
      </c>
      <c r="B3432" s="2">
        <f>"6902395771722"</f>
        <v/>
      </c>
      <c r="C3432" t="inlineStr">
        <is>
          <t>MAYBELLINE Superstay Matte Ink 170 Intiator 5ml</t>
        </is>
      </c>
      <c r="D3432" t="inlineStr">
        <is>
          <t>Miss Glam Damar</t>
        </is>
      </c>
      <c r="E3432" t="n">
        <v>14</v>
      </c>
      <c r="F3432" t="n">
        <v>0.3367</v>
      </c>
      <c r="G3432" t="n">
        <v>2.73</v>
      </c>
      <c r="H3432" t="n">
        <v>3</v>
      </c>
      <c r="I3432" t="n">
        <v>14</v>
      </c>
      <c r="J3432" t="n">
        <v>3</v>
      </c>
      <c r="K3432" t="n">
        <v>0</v>
      </c>
      <c r="L3432" t="n">
        <v>81595</v>
      </c>
      <c r="M3432" t="n">
        <v>129000</v>
      </c>
      <c r="N3432" t="n">
        <v>91</v>
      </c>
      <c r="O3432" t="n">
        <v>0.91</v>
      </c>
      <c r="P3432" t="n">
        <v>1</v>
      </c>
      <c r="Q3432" t="n">
        <v>0.41</v>
      </c>
      <c r="R3432" t="n">
        <v>3</v>
      </c>
      <c r="S3432" t="n">
        <v>43434.3</v>
      </c>
      <c r="T3432" t="n">
        <v>38</v>
      </c>
      <c r="U3432" t="n">
        <v>40</v>
      </c>
      <c r="V3432" t="n">
        <v>30</v>
      </c>
      <c r="W3432" t="n">
        <v>11</v>
      </c>
      <c r="X3432" t="n">
        <v>41.58004158004158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11038</v>
      </c>
      <c r="AG3432" t="n">
        <v>33</v>
      </c>
      <c r="AH3432" t="inlineStr">
        <is>
          <t>PT. MENSA BINASUKSES - PPN (PDG)</t>
        </is>
      </c>
      <c r="AI3432" t="n">
        <v>98</v>
      </c>
      <c r="AJ3432" t="inlineStr">
        <is>
          <t>MAYBELLINE</t>
        </is>
      </c>
      <c r="AK3432" t="n">
        <v>21</v>
      </c>
      <c r="AL3432" t="inlineStr">
        <is>
          <t>Miss Glam Damar</t>
        </is>
      </c>
      <c r="AM3432" t="n">
        <v>3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MAYBELLINE</t>
        </is>
      </c>
      <c r="B3433" s="2">
        <f>"6902395771739"</f>
        <v/>
      </c>
      <c r="C3433" t="inlineStr">
        <is>
          <t>MAYBELLINE Superstay Matte Ink 175 Ringleader 5ml</t>
        </is>
      </c>
      <c r="D3433" t="inlineStr">
        <is>
          <t>Miss Glam Damar</t>
        </is>
      </c>
      <c r="E3433" t="n">
        <v>9</v>
      </c>
      <c r="F3433" t="n">
        <v>0.3276</v>
      </c>
      <c r="G3433" t="n">
        <v>2.73</v>
      </c>
      <c r="H3433" t="n">
        <v>3</v>
      </c>
      <c r="I3433" t="n">
        <v>14</v>
      </c>
      <c r="J3433" t="n">
        <v>3</v>
      </c>
      <c r="K3433" t="n">
        <v>0</v>
      </c>
      <c r="L3433" t="n">
        <v>81958</v>
      </c>
      <c r="M3433" t="n">
        <v>129000</v>
      </c>
      <c r="N3433" t="n">
        <v>91</v>
      </c>
      <c r="O3433" t="n">
        <v>0.91</v>
      </c>
      <c r="P3433" t="n">
        <v>1</v>
      </c>
      <c r="Q3433" t="n">
        <v>0.29</v>
      </c>
      <c r="R3433" t="n">
        <v>2</v>
      </c>
      <c r="S3433" t="n">
        <v>42260.4</v>
      </c>
      <c r="T3433" t="n">
        <v>38</v>
      </c>
      <c r="U3433" t="n">
        <v>39</v>
      </c>
      <c r="V3433" t="n">
        <v>30</v>
      </c>
      <c r="W3433" t="n">
        <v>10</v>
      </c>
      <c r="X3433" t="n">
        <v>27.47252747252747</v>
      </c>
      <c r="Y3433" t="n">
        <v>1</v>
      </c>
      <c r="Z3433" t="n">
        <v>1</v>
      </c>
      <c r="AA3433" t="n">
        <v>0</v>
      </c>
      <c r="AB3433" t="n">
        <v>1</v>
      </c>
      <c r="AC3433" t="n">
        <v>3</v>
      </c>
      <c r="AD3433" t="n">
        <v>0</v>
      </c>
      <c r="AE3433" t="n">
        <v>245874</v>
      </c>
      <c r="AF3433" t="n">
        <v>11038</v>
      </c>
      <c r="AG3433" t="n">
        <v>33</v>
      </c>
      <c r="AH3433" t="inlineStr">
        <is>
          <t>PT. MENSA BINASUKSES - PPN (PDG)</t>
        </is>
      </c>
      <c r="AI3433" t="n">
        <v>98</v>
      </c>
      <c r="AJ3433" t="inlineStr">
        <is>
          <t>MAYBELLINE</t>
        </is>
      </c>
      <c r="AK3433" t="n">
        <v>21</v>
      </c>
      <c r="AL3433" t="inlineStr">
        <is>
          <t>Miss Glam Damar</t>
        </is>
      </c>
      <c r="AM3433" t="n">
        <v>3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MAYBELLINE</t>
        </is>
      </c>
      <c r="B3434" s="2">
        <f>"41554577846"</f>
        <v/>
      </c>
      <c r="C3434" t="inlineStr">
        <is>
          <t>MAYBELLINE Superstay Matte Ink 180 Revolutionary 5ml</t>
        </is>
      </c>
      <c r="D3434" t="inlineStr">
        <is>
          <t>Miss Glam Damar</t>
        </is>
      </c>
      <c r="E3434" t="n">
        <v>3</v>
      </c>
      <c r="F3434" t="n">
        <v>0.02</v>
      </c>
      <c r="G3434" t="n">
        <v>1</v>
      </c>
      <c r="H3434" t="n">
        <v>3</v>
      </c>
      <c r="I3434" t="n">
        <v>14</v>
      </c>
      <c r="J3434" t="n">
        <v>3</v>
      </c>
      <c r="K3434" t="n">
        <v>0</v>
      </c>
      <c r="L3434" t="n">
        <v>84984</v>
      </c>
      <c r="M3434" t="n">
        <v>129000</v>
      </c>
      <c r="N3434" t="n">
        <v>91</v>
      </c>
      <c r="O3434" t="n">
        <v>0.91</v>
      </c>
      <c r="P3434" t="n">
        <v>0</v>
      </c>
      <c r="Q3434" t="n">
        <v>0.02</v>
      </c>
      <c r="R3434" t="n">
        <v>1</v>
      </c>
      <c r="S3434" t="n">
        <v>2580</v>
      </c>
      <c r="T3434" t="n">
        <v>14</v>
      </c>
      <c r="U3434" t="n">
        <v>15</v>
      </c>
      <c r="V3434" t="n">
        <v>30</v>
      </c>
      <c r="W3434" t="n">
        <v>1</v>
      </c>
      <c r="X3434" t="n">
        <v>150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11038</v>
      </c>
      <c r="AG3434" t="n">
        <v>33</v>
      </c>
      <c r="AH3434" t="inlineStr">
        <is>
          <t>PT. MENSA BINASUKSES - PPN (PDG)</t>
        </is>
      </c>
      <c r="AI3434" t="n">
        <v>98</v>
      </c>
      <c r="AJ3434" t="inlineStr">
        <is>
          <t>MAYBELLINE</t>
        </is>
      </c>
      <c r="AK3434" t="n">
        <v>21</v>
      </c>
      <c r="AL3434" t="inlineStr">
        <is>
          <t>Miss Glam Damar</t>
        </is>
      </c>
      <c r="AM3434" t="n">
        <v>3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MAYBELLINE</t>
        </is>
      </c>
      <c r="B3435" s="2">
        <f>"6902395682974"</f>
        <v/>
      </c>
      <c r="C3435" t="inlineStr">
        <is>
          <t>MAYBELLINE Superstay Matte Ink 20 Pioner 5ml</t>
        </is>
      </c>
      <c r="D3435" t="inlineStr">
        <is>
          <t>Miss Glam Damar</t>
        </is>
      </c>
      <c r="E3435" t="n">
        <v>7</v>
      </c>
      <c r="F3435" t="n">
        <v>0.2821</v>
      </c>
      <c r="G3435" t="n">
        <v>1.82</v>
      </c>
      <c r="H3435" t="n">
        <v>3</v>
      </c>
      <c r="I3435" t="n">
        <v>14</v>
      </c>
      <c r="J3435" t="n">
        <v>3</v>
      </c>
      <c r="K3435" t="n">
        <v>0</v>
      </c>
      <c r="L3435" t="n">
        <v>82000</v>
      </c>
      <c r="M3435" t="n">
        <v>129000</v>
      </c>
      <c r="N3435" t="n">
        <v>91</v>
      </c>
      <c r="O3435" t="n">
        <v>0.91</v>
      </c>
      <c r="P3435" t="n">
        <v>1</v>
      </c>
      <c r="Q3435" t="n">
        <v>0.2</v>
      </c>
      <c r="R3435" t="n">
        <v>1</v>
      </c>
      <c r="S3435" t="n">
        <v>36390.9</v>
      </c>
      <c r="T3435" t="n">
        <v>25</v>
      </c>
      <c r="U3435" t="n">
        <v>26</v>
      </c>
      <c r="V3435" t="n">
        <v>30</v>
      </c>
      <c r="W3435" t="n">
        <v>9</v>
      </c>
      <c r="X3435" t="n">
        <v>24.81389578163772</v>
      </c>
      <c r="Y3435" t="n">
        <v>1</v>
      </c>
      <c r="Z3435" t="n">
        <v>2</v>
      </c>
      <c r="AA3435" t="n">
        <v>0</v>
      </c>
      <c r="AB3435" t="n">
        <v>2</v>
      </c>
      <c r="AC3435" t="n">
        <v>3</v>
      </c>
      <c r="AD3435" t="n">
        <v>0</v>
      </c>
      <c r="AE3435" t="n">
        <v>246000</v>
      </c>
      <c r="AF3435" t="n">
        <v>11038</v>
      </c>
      <c r="AG3435" t="n">
        <v>33</v>
      </c>
      <c r="AH3435" t="inlineStr">
        <is>
          <t>PT. MENSA BINASUKSES - PPN (PDG)</t>
        </is>
      </c>
      <c r="AI3435" t="n">
        <v>98</v>
      </c>
      <c r="AJ3435" t="inlineStr">
        <is>
          <t>MAYBELLINE</t>
        </is>
      </c>
      <c r="AK3435" t="n">
        <v>21</v>
      </c>
      <c r="AL3435" t="inlineStr">
        <is>
          <t>Miss Glam Damar</t>
        </is>
      </c>
      <c r="AM3435" t="n">
        <v>3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MAYBELLINE</t>
        </is>
      </c>
      <c r="B3436" s="2">
        <f>"6902395706663"</f>
        <v/>
      </c>
      <c r="C3436" t="inlineStr">
        <is>
          <t>MAYBELLINE Superstay Matte Ink 205 Assertive 5ml</t>
        </is>
      </c>
      <c r="D3436" t="inlineStr">
        <is>
          <t>Miss Glam Damar</t>
        </is>
      </c>
      <c r="E3436" t="n">
        <v>9</v>
      </c>
      <c r="F3436" t="n">
        <v>0.1729</v>
      </c>
      <c r="G3436" t="n">
        <v>0.91</v>
      </c>
      <c r="H3436" t="n">
        <v>3</v>
      </c>
      <c r="I3436" t="n">
        <v>14</v>
      </c>
      <c r="J3436" t="n">
        <v>3</v>
      </c>
      <c r="K3436" t="n">
        <v>0</v>
      </c>
      <c r="L3436" t="n">
        <v>80628</v>
      </c>
      <c r="M3436" t="n">
        <v>129000</v>
      </c>
      <c r="N3436" t="n">
        <v>91</v>
      </c>
      <c r="O3436" t="n">
        <v>0.91</v>
      </c>
      <c r="P3436" t="n">
        <v>1</v>
      </c>
      <c r="Q3436" t="n">
        <v>0.22</v>
      </c>
      <c r="R3436" t="n">
        <v>2</v>
      </c>
      <c r="S3436" t="n">
        <v>22304.1</v>
      </c>
      <c r="T3436" t="n">
        <v>13</v>
      </c>
      <c r="U3436" t="n">
        <v>14</v>
      </c>
      <c r="V3436" t="n">
        <v>30</v>
      </c>
      <c r="W3436" t="n">
        <v>6</v>
      </c>
      <c r="X3436" t="n">
        <v>52.05320994794679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11038</v>
      </c>
      <c r="AG3436" t="n">
        <v>33</v>
      </c>
      <c r="AH3436" t="inlineStr">
        <is>
          <t>PT. MENSA BINASUKSES - PPN (PDG)</t>
        </is>
      </c>
      <c r="AI3436" t="n">
        <v>98</v>
      </c>
      <c r="AJ3436" t="inlineStr">
        <is>
          <t>MAYBELLINE</t>
        </is>
      </c>
      <c r="AK3436" t="n">
        <v>21</v>
      </c>
      <c r="AL3436" t="inlineStr">
        <is>
          <t>Miss Glam Damar</t>
        </is>
      </c>
      <c r="AM3436" t="n">
        <v>3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MAYBELLINE</t>
        </is>
      </c>
      <c r="B3437" s="2">
        <f>"6902395707066"</f>
        <v/>
      </c>
      <c r="C3437" t="inlineStr">
        <is>
          <t>MAYBELLINE Superstay Matte Ink 210 Versatile 5ml</t>
        </is>
      </c>
      <c r="D3437" t="inlineStr">
        <is>
          <t>Miss Glam Damar</t>
        </is>
      </c>
      <c r="E3437" t="n">
        <v>18</v>
      </c>
      <c r="F3437" t="n">
        <v>0.6188</v>
      </c>
      <c r="G3437" t="n">
        <v>4.55</v>
      </c>
      <c r="H3437" t="n">
        <v>3</v>
      </c>
      <c r="I3437" t="n">
        <v>14</v>
      </c>
      <c r="J3437" t="n">
        <v>3</v>
      </c>
      <c r="K3437" t="n">
        <v>0</v>
      </c>
      <c r="L3437" t="n">
        <v>81161</v>
      </c>
      <c r="M3437" t="n">
        <v>129000</v>
      </c>
      <c r="N3437" t="n">
        <v>91</v>
      </c>
      <c r="O3437" t="n">
        <v>0.91</v>
      </c>
      <c r="P3437" t="n">
        <v>1</v>
      </c>
      <c r="Q3437" t="n">
        <v>0.63</v>
      </c>
      <c r="R3437" t="n">
        <v>4</v>
      </c>
      <c r="S3437" t="n">
        <v>79825.2</v>
      </c>
      <c r="T3437" t="n">
        <v>62</v>
      </c>
      <c r="U3437" t="n">
        <v>64</v>
      </c>
      <c r="V3437" t="n">
        <v>30</v>
      </c>
      <c r="W3437" t="n">
        <v>19</v>
      </c>
      <c r="X3437" t="n">
        <v>29.08855850032321</v>
      </c>
      <c r="Y3437" t="n">
        <v>1</v>
      </c>
      <c r="Z3437" t="n">
        <v>1</v>
      </c>
      <c r="AA3437" t="n">
        <v>0</v>
      </c>
      <c r="AB3437" t="n">
        <v>1</v>
      </c>
      <c r="AC3437" t="n">
        <v>3</v>
      </c>
      <c r="AD3437" t="n">
        <v>0</v>
      </c>
      <c r="AE3437" t="n">
        <v>243483</v>
      </c>
      <c r="AF3437" t="n">
        <v>11038</v>
      </c>
      <c r="AG3437" t="n">
        <v>33</v>
      </c>
      <c r="AH3437" t="inlineStr">
        <is>
          <t>PT. MENSA BINASUKSES - PPN (PDG)</t>
        </is>
      </c>
      <c r="AI3437" t="n">
        <v>98</v>
      </c>
      <c r="AJ3437" t="inlineStr">
        <is>
          <t>MAYBELLINE</t>
        </is>
      </c>
      <c r="AK3437" t="n">
        <v>21</v>
      </c>
      <c r="AL3437" t="inlineStr">
        <is>
          <t>Miss Glam Damar</t>
        </is>
      </c>
      <c r="AM3437" t="n">
        <v>3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MAYBELLINE</t>
        </is>
      </c>
      <c r="B3438" s="2">
        <f>"6902395706618"</f>
        <v/>
      </c>
      <c r="C3438" t="inlineStr">
        <is>
          <t>MAYBELLINE Superstay Matte Ink 220 Ambitious 5ml</t>
        </is>
      </c>
      <c r="D3438" t="inlineStr">
        <is>
          <t>Miss Glam Damar</t>
        </is>
      </c>
      <c r="E3438" t="n">
        <v>23</v>
      </c>
      <c r="F3438" t="n">
        <v>0.5824</v>
      </c>
      <c r="G3438" t="n">
        <v>2.73</v>
      </c>
      <c r="H3438" t="n">
        <v>3</v>
      </c>
      <c r="I3438" t="n">
        <v>14</v>
      </c>
      <c r="J3438" t="n">
        <v>3</v>
      </c>
      <c r="K3438" t="n">
        <v>0</v>
      </c>
      <c r="L3438" t="n">
        <v>81885</v>
      </c>
      <c r="M3438" t="n">
        <v>129000</v>
      </c>
      <c r="N3438" t="n">
        <v>91</v>
      </c>
      <c r="O3438" t="n">
        <v>0.91</v>
      </c>
      <c r="P3438" t="n">
        <v>1</v>
      </c>
      <c r="Q3438" t="n">
        <v>0.49</v>
      </c>
      <c r="R3438" t="n">
        <v>3</v>
      </c>
      <c r="S3438" t="n">
        <v>75129.60000000001</v>
      </c>
      <c r="T3438" t="n">
        <v>37</v>
      </c>
      <c r="U3438" t="n">
        <v>39</v>
      </c>
      <c r="V3438" t="n">
        <v>30</v>
      </c>
      <c r="W3438" t="n">
        <v>18</v>
      </c>
      <c r="X3438" t="n">
        <v>39.49175824175824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11038</v>
      </c>
      <c r="AG3438" t="n">
        <v>33</v>
      </c>
      <c r="AH3438" t="inlineStr">
        <is>
          <t>PT. MENSA BINASUKSES - PPN (PDG)</t>
        </is>
      </c>
      <c r="AI3438" t="n">
        <v>98</v>
      </c>
      <c r="AJ3438" t="inlineStr">
        <is>
          <t>MAYBELLINE</t>
        </is>
      </c>
      <c r="AK3438" t="n">
        <v>21</v>
      </c>
      <c r="AL3438" t="inlineStr">
        <is>
          <t>Miss Glam Damar</t>
        </is>
      </c>
      <c r="AM3438" t="n">
        <v>3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MAYBELLINE</t>
        </is>
      </c>
      <c r="B3439" s="2">
        <f>"6902395706717"</f>
        <v/>
      </c>
      <c r="C3439" t="inlineStr">
        <is>
          <t>MAYBELLINE Superstay Matte Ink 225 Delicate 5ml</t>
        </is>
      </c>
      <c r="D3439" t="inlineStr">
        <is>
          <t>Miss Glam Damar</t>
        </is>
      </c>
      <c r="E3439" t="n">
        <v>29</v>
      </c>
      <c r="F3439" t="n">
        <v>0.6643</v>
      </c>
      <c r="G3439" t="n">
        <v>2.73</v>
      </c>
      <c r="H3439" t="n">
        <v>3</v>
      </c>
      <c r="I3439" t="n">
        <v>14</v>
      </c>
      <c r="J3439" t="n">
        <v>3</v>
      </c>
      <c r="K3439" t="n">
        <v>0</v>
      </c>
      <c r="L3439" t="n">
        <v>82125</v>
      </c>
      <c r="M3439" t="n">
        <v>129000</v>
      </c>
      <c r="N3439" t="n">
        <v>91</v>
      </c>
      <c r="O3439" t="n">
        <v>0.91</v>
      </c>
      <c r="P3439" t="n">
        <v>1</v>
      </c>
      <c r="Q3439" t="n">
        <v>0.6899999999999999</v>
      </c>
      <c r="R3439" t="n">
        <v>3</v>
      </c>
      <c r="S3439" t="n">
        <v>85694.7</v>
      </c>
      <c r="T3439" t="n">
        <v>37</v>
      </c>
      <c r="U3439" t="n">
        <v>39</v>
      </c>
      <c r="V3439" t="n">
        <v>30</v>
      </c>
      <c r="W3439" t="n">
        <v>20</v>
      </c>
      <c r="X3439" t="n">
        <v>43.65497516182447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11038</v>
      </c>
      <c r="AG3439" t="n">
        <v>33</v>
      </c>
      <c r="AH3439" t="inlineStr">
        <is>
          <t>PT. MENSA BINASUKSES - PPN (PDG)</t>
        </is>
      </c>
      <c r="AI3439" t="n">
        <v>98</v>
      </c>
      <c r="AJ3439" t="inlineStr">
        <is>
          <t>MAYBELLINE</t>
        </is>
      </c>
      <c r="AK3439" t="n">
        <v>21</v>
      </c>
      <c r="AL3439" t="inlineStr">
        <is>
          <t>Miss Glam Damar</t>
        </is>
      </c>
      <c r="AM3439" t="n">
        <v>3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MAYBELLINE</t>
        </is>
      </c>
      <c r="B3440" s="2">
        <f>"6902395706465"</f>
        <v/>
      </c>
      <c r="C3440" t="inlineStr">
        <is>
          <t>MAYBELLINE Superstay Matte Ink 225 Inspirer 5ml</t>
        </is>
      </c>
      <c r="D3440" t="inlineStr">
        <is>
          <t>Miss Glam Damar</t>
        </is>
      </c>
      <c r="E3440" t="n">
        <v>11</v>
      </c>
      <c r="F3440" t="n">
        <v>0.2002</v>
      </c>
      <c r="G3440" t="n">
        <v>0.91</v>
      </c>
      <c r="H3440" t="n">
        <v>3</v>
      </c>
      <c r="I3440" t="n">
        <v>14</v>
      </c>
      <c r="J3440" t="n">
        <v>3</v>
      </c>
      <c r="K3440" t="n">
        <v>0</v>
      </c>
      <c r="L3440" t="n">
        <v>80507</v>
      </c>
      <c r="M3440" t="n">
        <v>129000</v>
      </c>
      <c r="N3440" t="n">
        <v>91</v>
      </c>
      <c r="O3440" t="n">
        <v>0.91</v>
      </c>
      <c r="P3440" t="n">
        <v>1</v>
      </c>
      <c r="Q3440" t="n">
        <v>0.32</v>
      </c>
      <c r="R3440" t="n">
        <v>2</v>
      </c>
      <c r="S3440" t="n">
        <v>25825.8</v>
      </c>
      <c r="T3440" t="n">
        <v>13</v>
      </c>
      <c r="U3440" t="n">
        <v>14</v>
      </c>
      <c r="V3440" t="n">
        <v>30</v>
      </c>
      <c r="W3440" t="n">
        <v>7</v>
      </c>
      <c r="X3440" t="n">
        <v>54.94505494505494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11038</v>
      </c>
      <c r="AG3440" t="n">
        <v>33</v>
      </c>
      <c r="AH3440" t="inlineStr">
        <is>
          <t>PT. MENSA BINASUKSES - PPN (PDG)</t>
        </is>
      </c>
      <c r="AI3440" t="n">
        <v>98</v>
      </c>
      <c r="AJ3440" t="inlineStr">
        <is>
          <t>MAYBELLINE</t>
        </is>
      </c>
      <c r="AK3440" t="n">
        <v>21</v>
      </c>
      <c r="AL3440" t="inlineStr">
        <is>
          <t>Miss Glam Damar</t>
        </is>
      </c>
      <c r="AM3440" t="n">
        <v>3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MAYBELLINE</t>
        </is>
      </c>
      <c r="B3441" s="2">
        <f>"6902395707011"</f>
        <v/>
      </c>
      <c r="C3441" t="inlineStr">
        <is>
          <t>MAYBELLINE Superstay Matte Ink 230 Transformer 5ml</t>
        </is>
      </c>
      <c r="D3441" t="inlineStr">
        <is>
          <t>Miss Glam Damar</t>
        </is>
      </c>
      <c r="E3441" t="n">
        <v>3</v>
      </c>
      <c r="F3441" t="n">
        <v>0.1274</v>
      </c>
      <c r="G3441" t="n">
        <v>1.82</v>
      </c>
      <c r="H3441" t="n">
        <v>3</v>
      </c>
      <c r="I3441" t="n">
        <v>14</v>
      </c>
      <c r="J3441" t="n">
        <v>3</v>
      </c>
      <c r="K3441" t="n">
        <v>0</v>
      </c>
      <c r="L3441" t="n">
        <v>81209</v>
      </c>
      <c r="M3441" t="n">
        <v>129000</v>
      </c>
      <c r="N3441" t="n">
        <v>91</v>
      </c>
      <c r="O3441" t="n">
        <v>0.91</v>
      </c>
      <c r="P3441" t="n">
        <v>1</v>
      </c>
      <c r="Q3441" t="n">
        <v>0.14</v>
      </c>
      <c r="R3441" t="n">
        <v>1</v>
      </c>
      <c r="S3441" t="n">
        <v>16434.6</v>
      </c>
      <c r="T3441" t="n">
        <v>26</v>
      </c>
      <c r="U3441" t="n">
        <v>27</v>
      </c>
      <c r="V3441" t="n">
        <v>30</v>
      </c>
      <c r="W3441" t="n">
        <v>4</v>
      </c>
      <c r="X3441" t="n">
        <v>23.54788069073783</v>
      </c>
      <c r="Y3441" t="n">
        <v>1</v>
      </c>
      <c r="Z3441" t="n">
        <v>1</v>
      </c>
      <c r="AA3441" t="n">
        <v>0</v>
      </c>
      <c r="AB3441" t="n">
        <v>1</v>
      </c>
      <c r="AC3441" t="n">
        <v>3</v>
      </c>
      <c r="AD3441" t="n">
        <v>0</v>
      </c>
      <c r="AE3441" t="n">
        <v>243627</v>
      </c>
      <c r="AF3441" t="n">
        <v>11038</v>
      </c>
      <c r="AG3441" t="n">
        <v>33</v>
      </c>
      <c r="AH3441" t="inlineStr">
        <is>
          <t>PT. MENSA BINASUKSES - PPN (PDG)</t>
        </is>
      </c>
      <c r="AI3441" t="n">
        <v>98</v>
      </c>
      <c r="AJ3441" t="inlineStr">
        <is>
          <t>MAYBELLINE</t>
        </is>
      </c>
      <c r="AK3441" t="n">
        <v>21</v>
      </c>
      <c r="AL3441" t="inlineStr">
        <is>
          <t>Miss Glam Damar</t>
        </is>
      </c>
      <c r="AM3441" t="n">
        <v>3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MAYBELLINE</t>
        </is>
      </c>
      <c r="B3442" s="2">
        <f>"6902395706861"</f>
        <v/>
      </c>
      <c r="C3442" t="inlineStr">
        <is>
          <t>MAYBELLINE Superstay Matte Ink 245 Seeker 5ml</t>
        </is>
      </c>
      <c r="D3442" t="inlineStr">
        <is>
          <t>Miss Glam Damar</t>
        </is>
      </c>
      <c r="E3442" t="n">
        <v>9</v>
      </c>
      <c r="F3442" t="n">
        <v>0.3822</v>
      </c>
      <c r="G3442" t="n">
        <v>2.73</v>
      </c>
      <c r="H3442" t="n">
        <v>3</v>
      </c>
      <c r="I3442" t="n">
        <v>14</v>
      </c>
      <c r="J3442" t="n">
        <v>3</v>
      </c>
      <c r="K3442" t="n">
        <v>0</v>
      </c>
      <c r="L3442" t="n">
        <v>87127</v>
      </c>
      <c r="M3442" t="n">
        <v>129000</v>
      </c>
      <c r="N3442" t="n">
        <v>91</v>
      </c>
      <c r="O3442" t="n">
        <v>0.91</v>
      </c>
      <c r="P3442" t="n">
        <v>1</v>
      </c>
      <c r="Q3442" t="n">
        <v>0.12</v>
      </c>
      <c r="R3442" t="n">
        <v>2</v>
      </c>
      <c r="S3442" t="n">
        <v>49303.8</v>
      </c>
      <c r="T3442" t="n">
        <v>38</v>
      </c>
      <c r="U3442" t="n">
        <v>40</v>
      </c>
      <c r="V3442" t="n">
        <v>30</v>
      </c>
      <c r="W3442" t="n">
        <v>12</v>
      </c>
      <c r="X3442" t="n">
        <v>23.54788069073783</v>
      </c>
      <c r="Y3442" t="n">
        <v>1</v>
      </c>
      <c r="Z3442" t="n">
        <v>3</v>
      </c>
      <c r="AA3442" t="n">
        <v>0</v>
      </c>
      <c r="AB3442" t="n">
        <v>3</v>
      </c>
      <c r="AC3442" t="n">
        <v>3</v>
      </c>
      <c r="AD3442" t="n">
        <v>0</v>
      </c>
      <c r="AE3442" t="n">
        <v>261381</v>
      </c>
      <c r="AF3442" t="n">
        <v>11038</v>
      </c>
      <c r="AG3442" t="n">
        <v>33</v>
      </c>
      <c r="AH3442" t="inlineStr">
        <is>
          <t>PT. MENSA BINASUKSES - PPN (PDG)</t>
        </is>
      </c>
      <c r="AI3442" t="n">
        <v>98</v>
      </c>
      <c r="AJ3442" t="inlineStr">
        <is>
          <t>MAYBELLINE</t>
        </is>
      </c>
      <c r="AK3442" t="n">
        <v>21</v>
      </c>
      <c r="AL3442" t="inlineStr">
        <is>
          <t>Miss Glam Damar</t>
        </is>
      </c>
      <c r="AM3442" t="n">
        <v>3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MAYBELLINE</t>
        </is>
      </c>
      <c r="B3443" s="2">
        <f>"6902395682943"</f>
        <v/>
      </c>
      <c r="C3443" t="inlineStr">
        <is>
          <t>MAYBELLINE Superstay Matte Ink 25 Heroine 5ml</t>
        </is>
      </c>
      <c r="D3443" t="inlineStr">
        <is>
          <t>Miss Glam Damar</t>
        </is>
      </c>
      <c r="E3443" t="n">
        <v>6</v>
      </c>
      <c r="F3443" t="n">
        <v>0.09100000000000001</v>
      </c>
      <c r="G3443" t="n">
        <v>1.82</v>
      </c>
      <c r="H3443" t="n">
        <v>3</v>
      </c>
      <c r="I3443" t="n">
        <v>14</v>
      </c>
      <c r="J3443" t="n">
        <v>3</v>
      </c>
      <c r="K3443" t="n">
        <v>0</v>
      </c>
      <c r="L3443" t="n">
        <v>80974</v>
      </c>
      <c r="M3443" t="n">
        <v>129000</v>
      </c>
      <c r="N3443" t="n">
        <v>91</v>
      </c>
      <c r="O3443" t="n">
        <v>0.91</v>
      </c>
      <c r="P3443" t="n">
        <v>1</v>
      </c>
      <c r="Q3443" t="n">
        <v>0.12</v>
      </c>
      <c r="R3443" t="n">
        <v>1</v>
      </c>
      <c r="S3443" t="n">
        <v>11739</v>
      </c>
      <c r="T3443" t="n">
        <v>26</v>
      </c>
      <c r="U3443" t="n">
        <v>27</v>
      </c>
      <c r="V3443" t="n">
        <v>30</v>
      </c>
      <c r="W3443" t="n">
        <v>3</v>
      </c>
      <c r="X3443" t="n">
        <v>65.93406593406593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11038</v>
      </c>
      <c r="AG3443" t="n">
        <v>33</v>
      </c>
      <c r="AH3443" t="inlineStr">
        <is>
          <t>PT. MENSA BINASUKSES - PPN (PDG)</t>
        </is>
      </c>
      <c r="AI3443" t="n">
        <v>98</v>
      </c>
      <c r="AJ3443" t="inlineStr">
        <is>
          <t>MAYBELLINE</t>
        </is>
      </c>
      <c r="AK3443" t="n">
        <v>21</v>
      </c>
      <c r="AL3443" t="inlineStr">
        <is>
          <t>Miss Glam Damar</t>
        </is>
      </c>
      <c r="AM3443" t="n">
        <v>3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MAYBELLINE</t>
        </is>
      </c>
      <c r="B3444" s="2">
        <f>"6902395788751"</f>
        <v/>
      </c>
      <c r="C3444" t="inlineStr">
        <is>
          <t>MAYBELLINE Superstay Matte Ink 285 Gritty 5ml</t>
        </is>
      </c>
      <c r="D3444" t="inlineStr">
        <is>
          <t>Miss Glam Damar</t>
        </is>
      </c>
      <c r="E3444" t="n">
        <v>17</v>
      </c>
      <c r="F3444" t="n">
        <v>0.1729</v>
      </c>
      <c r="G3444" t="n">
        <v>1.82</v>
      </c>
      <c r="H3444" t="n">
        <v>3</v>
      </c>
      <c r="I3444" t="n">
        <v>14</v>
      </c>
      <c r="J3444" t="n">
        <v>3</v>
      </c>
      <c r="K3444" t="n">
        <v>0</v>
      </c>
      <c r="L3444" t="n">
        <v>84361</v>
      </c>
      <c r="M3444" t="n">
        <v>129000</v>
      </c>
      <c r="N3444" t="n">
        <v>91</v>
      </c>
      <c r="O3444" t="n">
        <v>0.91</v>
      </c>
      <c r="P3444" t="n">
        <v>1</v>
      </c>
      <c r="Q3444" t="n">
        <v>0.31</v>
      </c>
      <c r="R3444" t="n">
        <v>2</v>
      </c>
      <c r="S3444" t="n">
        <v>22304.1</v>
      </c>
      <c r="T3444" t="n">
        <v>25</v>
      </c>
      <c r="U3444" t="n">
        <v>26</v>
      </c>
      <c r="V3444" t="n">
        <v>30</v>
      </c>
      <c r="W3444" t="n">
        <v>6</v>
      </c>
      <c r="X3444" t="n">
        <v>98.32272990167728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11038</v>
      </c>
      <c r="AG3444" t="n">
        <v>33</v>
      </c>
      <c r="AH3444" t="inlineStr">
        <is>
          <t>PT. MENSA BINASUKSES - PPN (PDG)</t>
        </is>
      </c>
      <c r="AI3444" t="n">
        <v>98</v>
      </c>
      <c r="AJ3444" t="inlineStr">
        <is>
          <t>MAYBELLINE</t>
        </is>
      </c>
      <c r="AK3444" t="n">
        <v>21</v>
      </c>
      <c r="AL3444" t="inlineStr">
        <is>
          <t>Miss Glam Damar</t>
        </is>
      </c>
      <c r="AM3444" t="n">
        <v>3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MAYBELLINE</t>
        </is>
      </c>
      <c r="B3445" s="2">
        <f>"6902395788799"</f>
        <v/>
      </c>
      <c r="C3445" t="inlineStr">
        <is>
          <t>MAYBELLINE Superstay Matte Ink 305 Unconventional 5ml</t>
        </is>
      </c>
      <c r="D3445" t="inlineStr">
        <is>
          <t>Miss Glam Damar</t>
        </is>
      </c>
      <c r="E3445" t="n">
        <v>10</v>
      </c>
      <c r="F3445" t="n">
        <v>0.1547</v>
      </c>
      <c r="G3445" t="n">
        <v>1.82</v>
      </c>
      <c r="H3445" t="n">
        <v>3</v>
      </c>
      <c r="I3445" t="n">
        <v>14</v>
      </c>
      <c r="J3445" t="n">
        <v>3</v>
      </c>
      <c r="K3445" t="n">
        <v>0</v>
      </c>
      <c r="L3445" t="n">
        <v>76735</v>
      </c>
      <c r="M3445" t="n">
        <v>129000</v>
      </c>
      <c r="N3445" t="n">
        <v>91</v>
      </c>
      <c r="O3445" t="n">
        <v>0.91</v>
      </c>
      <c r="P3445" t="n">
        <v>1</v>
      </c>
      <c r="Q3445" t="n">
        <v>0.15</v>
      </c>
      <c r="R3445" t="n">
        <v>2</v>
      </c>
      <c r="S3445" t="n">
        <v>19956.3</v>
      </c>
      <c r="T3445" t="n">
        <v>26</v>
      </c>
      <c r="U3445" t="n">
        <v>27</v>
      </c>
      <c r="V3445" t="n">
        <v>30</v>
      </c>
      <c r="W3445" t="n">
        <v>5</v>
      </c>
      <c r="X3445" t="n">
        <v>64.64124111182934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11038</v>
      </c>
      <c r="AG3445" t="n">
        <v>33</v>
      </c>
      <c r="AH3445" t="inlineStr">
        <is>
          <t>PT. MENSA BINASUKSES - PPN (PDG)</t>
        </is>
      </c>
      <c r="AI3445" t="n">
        <v>98</v>
      </c>
      <c r="AJ3445" t="inlineStr">
        <is>
          <t>MAYBELLINE</t>
        </is>
      </c>
      <c r="AK3445" t="n">
        <v>21</v>
      </c>
      <c r="AL3445" t="inlineStr">
        <is>
          <t>Miss Glam Damar</t>
        </is>
      </c>
      <c r="AM3445" t="n">
        <v>3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MAYBELLINE</t>
        </is>
      </c>
      <c r="B3446" s="2">
        <f>"6902395788812"</f>
        <v/>
      </c>
      <c r="C3446" t="inlineStr">
        <is>
          <t>MAYBELLINE Superstay Matte Ink 315 Extraordinary 5ml</t>
        </is>
      </c>
      <c r="D3446" t="inlineStr">
        <is>
          <t>Miss Glam Damar</t>
        </is>
      </c>
      <c r="E3446" t="n">
        <v>14</v>
      </c>
      <c r="F3446" t="n">
        <v>0.06370000000000001</v>
      </c>
      <c r="G3446" t="n">
        <v>0.91</v>
      </c>
      <c r="H3446" t="n">
        <v>3</v>
      </c>
      <c r="I3446" t="n">
        <v>14</v>
      </c>
      <c r="J3446" t="n">
        <v>3</v>
      </c>
      <c r="K3446" t="n">
        <v>0</v>
      </c>
      <c r="L3446" t="n">
        <v>79258</v>
      </c>
      <c r="M3446" t="n">
        <v>129000</v>
      </c>
      <c r="N3446" t="n">
        <v>91</v>
      </c>
      <c r="O3446" t="n">
        <v>0.91</v>
      </c>
      <c r="P3446" t="n">
        <v>1</v>
      </c>
      <c r="Q3446" t="n">
        <v>0.19</v>
      </c>
      <c r="R3446" t="n">
        <v>2</v>
      </c>
      <c r="S3446" t="n">
        <v>8217.300000000001</v>
      </c>
      <c r="T3446" t="n">
        <v>13</v>
      </c>
      <c r="U3446" t="n">
        <v>14</v>
      </c>
      <c r="V3446" t="n">
        <v>30</v>
      </c>
      <c r="W3446" t="n">
        <v>2</v>
      </c>
      <c r="X3446" t="n">
        <v>219.7802197802198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11038</v>
      </c>
      <c r="AG3446" t="n">
        <v>33</v>
      </c>
      <c r="AH3446" t="inlineStr">
        <is>
          <t>PT. MENSA BINASUKSES - PPN (PDG)</t>
        </is>
      </c>
      <c r="AI3446" t="n">
        <v>98</v>
      </c>
      <c r="AJ3446" t="inlineStr">
        <is>
          <t>MAYBELLINE</t>
        </is>
      </c>
      <c r="AK3446" t="n">
        <v>21</v>
      </c>
      <c r="AL3446" t="inlineStr">
        <is>
          <t>Miss Glam Damar</t>
        </is>
      </c>
      <c r="AM3446" t="n">
        <v>3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MAYBELLINE</t>
        </is>
      </c>
      <c r="B3447" s="2">
        <f>"41554589498"</f>
        <v/>
      </c>
      <c r="C3447" t="inlineStr">
        <is>
          <t>MAYBELLINE Superstay Matte Ink 325 Shot Caller 5ml</t>
        </is>
      </c>
      <c r="D3447" t="inlineStr">
        <is>
          <t>Miss Glam Damar</t>
        </is>
      </c>
      <c r="E3447" t="n">
        <v>8</v>
      </c>
      <c r="F3447" t="n">
        <v>0.15</v>
      </c>
      <c r="G3447" t="n">
        <v>1</v>
      </c>
      <c r="H3447" t="n">
        <v>3</v>
      </c>
      <c r="I3447" t="n">
        <v>14</v>
      </c>
      <c r="J3447" t="n">
        <v>3</v>
      </c>
      <c r="K3447" t="n">
        <v>0</v>
      </c>
      <c r="L3447" t="n">
        <v>82063</v>
      </c>
      <c r="M3447" t="n">
        <v>129000</v>
      </c>
      <c r="N3447" t="n">
        <v>91</v>
      </c>
      <c r="O3447" t="n">
        <v>0.91</v>
      </c>
      <c r="P3447" t="n">
        <v>0</v>
      </c>
      <c r="Q3447" t="n">
        <v>0.15</v>
      </c>
      <c r="R3447" t="n">
        <v>1</v>
      </c>
      <c r="S3447" t="n">
        <v>19350</v>
      </c>
      <c r="T3447" t="n">
        <v>14</v>
      </c>
      <c r="U3447" t="n">
        <v>15</v>
      </c>
      <c r="V3447" t="n">
        <v>30</v>
      </c>
      <c r="W3447" t="n">
        <v>5</v>
      </c>
      <c r="X3447" t="n">
        <v>53.33333333333334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11038</v>
      </c>
      <c r="AG3447" t="n">
        <v>33</v>
      </c>
      <c r="AH3447" t="inlineStr">
        <is>
          <t>PT. MENSA BINASUKSES - PPN (PDG)</t>
        </is>
      </c>
      <c r="AI3447" t="n">
        <v>98</v>
      </c>
      <c r="AJ3447" t="inlineStr">
        <is>
          <t>MAYBELLINE</t>
        </is>
      </c>
      <c r="AK3447" t="n">
        <v>21</v>
      </c>
      <c r="AL3447" t="inlineStr">
        <is>
          <t>Miss Glam Damar</t>
        </is>
      </c>
      <c r="AM3447" t="n">
        <v>3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MAYBELLINE</t>
        </is>
      </c>
      <c r="B3448" s="2">
        <f>"6902395800552"</f>
        <v/>
      </c>
      <c r="C3448" t="inlineStr">
        <is>
          <t>MAYBELLINE Superstay Matte Ink 335 Hustler 5ml</t>
        </is>
      </c>
      <c r="D3448" t="inlineStr">
        <is>
          <t>Miss Glam Damar</t>
        </is>
      </c>
      <c r="E3448" t="n">
        <v>7</v>
      </c>
      <c r="F3448" t="n">
        <v>0.3731</v>
      </c>
      <c r="G3448" t="n">
        <v>2.73</v>
      </c>
      <c r="H3448" t="n">
        <v>3</v>
      </c>
      <c r="I3448" t="n">
        <v>14</v>
      </c>
      <c r="J3448" t="n">
        <v>3</v>
      </c>
      <c r="K3448" t="n">
        <v>0</v>
      </c>
      <c r="L3448" t="n">
        <v>78411</v>
      </c>
      <c r="M3448" t="n">
        <v>129000</v>
      </c>
      <c r="N3448" t="n">
        <v>91</v>
      </c>
      <c r="O3448" t="n">
        <v>0.91</v>
      </c>
      <c r="P3448" t="n">
        <v>1</v>
      </c>
      <c r="Q3448" t="n">
        <v>0.05</v>
      </c>
      <c r="R3448" t="n">
        <v>2</v>
      </c>
      <c r="S3448" t="n">
        <v>48129.9</v>
      </c>
      <c r="T3448" t="n">
        <v>38</v>
      </c>
      <c r="U3448" t="n">
        <v>40</v>
      </c>
      <c r="V3448" t="n">
        <v>30</v>
      </c>
      <c r="W3448" t="n">
        <v>12</v>
      </c>
      <c r="X3448" t="n">
        <v>18.76172607879925</v>
      </c>
      <c r="Y3448" t="n">
        <v>1</v>
      </c>
      <c r="Z3448" t="n">
        <v>5</v>
      </c>
      <c r="AA3448" t="n">
        <v>0</v>
      </c>
      <c r="AB3448" t="n">
        <v>5</v>
      </c>
      <c r="AC3448" t="n">
        <v>5</v>
      </c>
      <c r="AD3448" t="n">
        <v>0</v>
      </c>
      <c r="AE3448" t="n">
        <v>392055</v>
      </c>
      <c r="AF3448" t="n">
        <v>11038</v>
      </c>
      <c r="AG3448" t="n">
        <v>33</v>
      </c>
      <c r="AH3448" t="inlineStr">
        <is>
          <t>PT. MENSA BINASUKSES - PPN (PDG)</t>
        </is>
      </c>
      <c r="AI3448" t="n">
        <v>98</v>
      </c>
      <c r="AJ3448" t="inlineStr">
        <is>
          <t>MAYBELLINE</t>
        </is>
      </c>
      <c r="AK3448" t="n">
        <v>21</v>
      </c>
      <c r="AL3448" t="inlineStr">
        <is>
          <t>Miss Glam Damar</t>
        </is>
      </c>
      <c r="AM3448" t="n">
        <v>3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MAYBELLINE</t>
        </is>
      </c>
      <c r="B3449" s="2">
        <f>"6902395800569"</f>
        <v/>
      </c>
      <c r="C3449" t="inlineStr">
        <is>
          <t>MAYBELLINE Superstay Matte Ink 350 Freethinker 5ml</t>
        </is>
      </c>
      <c r="D3449" t="inlineStr">
        <is>
          <t>Miss Glam Damar</t>
        </is>
      </c>
      <c r="E3449" t="n">
        <v>5</v>
      </c>
      <c r="F3449" t="n">
        <v>0.2002</v>
      </c>
      <c r="G3449" t="n">
        <v>1.82</v>
      </c>
      <c r="H3449" t="n">
        <v>3</v>
      </c>
      <c r="I3449" t="n">
        <v>14</v>
      </c>
      <c r="J3449" t="n">
        <v>3</v>
      </c>
      <c r="K3449" t="n">
        <v>0</v>
      </c>
      <c r="L3449" t="n">
        <v>81785</v>
      </c>
      <c r="M3449" t="n">
        <v>129000</v>
      </c>
      <c r="N3449" t="n">
        <v>91</v>
      </c>
      <c r="O3449" t="n">
        <v>0.91</v>
      </c>
      <c r="P3449" t="n">
        <v>1</v>
      </c>
      <c r="Q3449" t="n">
        <v>0.12</v>
      </c>
      <c r="R3449" t="n">
        <v>1</v>
      </c>
      <c r="S3449" t="n">
        <v>25825.8</v>
      </c>
      <c r="T3449" t="n">
        <v>25</v>
      </c>
      <c r="U3449" t="n">
        <v>26</v>
      </c>
      <c r="V3449" t="n">
        <v>30</v>
      </c>
      <c r="W3449" t="n">
        <v>7</v>
      </c>
      <c r="X3449" t="n">
        <v>24.97502497502497</v>
      </c>
      <c r="Y3449" t="n">
        <v>1</v>
      </c>
      <c r="Z3449" t="n">
        <v>2</v>
      </c>
      <c r="AA3449" t="n">
        <v>0</v>
      </c>
      <c r="AB3449" t="n">
        <v>2</v>
      </c>
      <c r="AC3449" t="n">
        <v>3</v>
      </c>
      <c r="AD3449" t="n">
        <v>0</v>
      </c>
      <c r="AE3449" t="n">
        <v>245355</v>
      </c>
      <c r="AF3449" t="n">
        <v>11038</v>
      </c>
      <c r="AG3449" t="n">
        <v>33</v>
      </c>
      <c r="AH3449" t="inlineStr">
        <is>
          <t>PT. MENSA BINASUKSES - PPN (PDG)</t>
        </is>
      </c>
      <c r="AI3449" t="n">
        <v>98</v>
      </c>
      <c r="AJ3449" t="inlineStr">
        <is>
          <t>MAYBELLINE</t>
        </is>
      </c>
      <c r="AK3449" t="n">
        <v>21</v>
      </c>
      <c r="AL3449" t="inlineStr">
        <is>
          <t>Miss Glam Damar</t>
        </is>
      </c>
      <c r="AM3449" t="n">
        <v>3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MAYBELLINE</t>
        </is>
      </c>
      <c r="B3450" s="2">
        <f>"6902395800576"</f>
        <v/>
      </c>
      <c r="C3450" t="inlineStr">
        <is>
          <t>MAYBELLINE Superstay Matte Ink 355 Shaker 5ml</t>
        </is>
      </c>
      <c r="D3450" t="inlineStr">
        <is>
          <t>Miss Glam Damar</t>
        </is>
      </c>
      <c r="E3450" t="n">
        <v>5</v>
      </c>
      <c r="F3450" t="n">
        <v>0.1547</v>
      </c>
      <c r="G3450" t="n">
        <v>1.82</v>
      </c>
      <c r="H3450" t="n">
        <v>3</v>
      </c>
      <c r="I3450" t="n">
        <v>14</v>
      </c>
      <c r="J3450" t="n">
        <v>3</v>
      </c>
      <c r="K3450" t="n">
        <v>0</v>
      </c>
      <c r="L3450" t="n">
        <v>79783</v>
      </c>
      <c r="M3450" t="n">
        <v>129000</v>
      </c>
      <c r="N3450" t="n">
        <v>91</v>
      </c>
      <c r="O3450" t="n">
        <v>0.91</v>
      </c>
      <c r="P3450" t="n">
        <v>1</v>
      </c>
      <c r="Q3450" t="n">
        <v>0.1</v>
      </c>
      <c r="R3450" t="n">
        <v>1</v>
      </c>
      <c r="S3450" t="n">
        <v>19956.3</v>
      </c>
      <c r="T3450" t="n">
        <v>26</v>
      </c>
      <c r="U3450" t="n">
        <v>27</v>
      </c>
      <c r="V3450" t="n">
        <v>30</v>
      </c>
      <c r="W3450" t="n">
        <v>5</v>
      </c>
      <c r="X3450" t="n">
        <v>32.32062055591467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11038</v>
      </c>
      <c r="AG3450" t="n">
        <v>33</v>
      </c>
      <c r="AH3450" t="inlineStr">
        <is>
          <t>PT. MENSA BINASUKSES - PPN (PDG)</t>
        </is>
      </c>
      <c r="AI3450" t="n">
        <v>98</v>
      </c>
      <c r="AJ3450" t="inlineStr">
        <is>
          <t>MAYBELLINE</t>
        </is>
      </c>
      <c r="AK3450" t="n">
        <v>21</v>
      </c>
      <c r="AL3450" t="inlineStr">
        <is>
          <t>Miss Glam Damar</t>
        </is>
      </c>
      <c r="AM3450" t="n">
        <v>3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MAYBELLINE</t>
        </is>
      </c>
      <c r="B3451" s="2">
        <f>"6902395800583"</f>
        <v/>
      </c>
      <c r="C3451" t="inlineStr">
        <is>
          <t>MAYBELLINE Superstay Matte Ink 360 Discoverer 5ml</t>
        </is>
      </c>
      <c r="D3451" t="inlineStr">
        <is>
          <t>Miss Glam Damar</t>
        </is>
      </c>
      <c r="E3451" t="n">
        <v>10</v>
      </c>
      <c r="F3451" t="n">
        <v>0.2275</v>
      </c>
      <c r="G3451" t="n">
        <v>4.55</v>
      </c>
      <c r="H3451" t="n">
        <v>3</v>
      </c>
      <c r="I3451" t="n">
        <v>14</v>
      </c>
      <c r="J3451" t="n">
        <v>3</v>
      </c>
      <c r="K3451" t="n">
        <v>0</v>
      </c>
      <c r="L3451" t="n">
        <v>81385</v>
      </c>
      <c r="M3451" t="n">
        <v>129000</v>
      </c>
      <c r="N3451" t="n">
        <v>91</v>
      </c>
      <c r="O3451" t="n">
        <v>0.91</v>
      </c>
      <c r="P3451" t="n">
        <v>1</v>
      </c>
      <c r="Q3451" t="n">
        <v>0.22</v>
      </c>
      <c r="R3451" t="n">
        <v>2</v>
      </c>
      <c r="S3451" t="n">
        <v>29347.5</v>
      </c>
      <c r="T3451" t="n">
        <v>64</v>
      </c>
      <c r="U3451" t="n">
        <v>65</v>
      </c>
      <c r="V3451" t="n">
        <v>30</v>
      </c>
      <c r="W3451" t="n">
        <v>7</v>
      </c>
      <c r="X3451" t="n">
        <v>43.95604395604396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11038</v>
      </c>
      <c r="AG3451" t="n">
        <v>33</v>
      </c>
      <c r="AH3451" t="inlineStr">
        <is>
          <t>PT. MENSA BINASUKSES - PPN (PDG)</t>
        </is>
      </c>
      <c r="AI3451" t="n">
        <v>98</v>
      </c>
      <c r="AJ3451" t="inlineStr">
        <is>
          <t>MAYBELLINE</t>
        </is>
      </c>
      <c r="AK3451" t="n">
        <v>21</v>
      </c>
      <c r="AL3451" t="inlineStr">
        <is>
          <t>Miss Glam Damar</t>
        </is>
      </c>
      <c r="AM3451" t="n">
        <v>3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MAYBELLINE</t>
        </is>
      </c>
      <c r="B3452" s="2">
        <f>"6902395808862"</f>
        <v/>
      </c>
      <c r="C3452" t="inlineStr">
        <is>
          <t>MAYBELLINE Superstay Matte Ink 365 Enthusiast 5ml</t>
        </is>
      </c>
      <c r="D3452" t="inlineStr">
        <is>
          <t>Miss Glam Damar</t>
        </is>
      </c>
      <c r="E3452" t="n">
        <v>6</v>
      </c>
      <c r="F3452" t="n">
        <v>0.3094</v>
      </c>
      <c r="G3452" t="n">
        <v>2.73</v>
      </c>
      <c r="H3452" t="n">
        <v>3</v>
      </c>
      <c r="I3452" t="n">
        <v>14</v>
      </c>
      <c r="J3452" t="n">
        <v>3</v>
      </c>
      <c r="K3452" t="n">
        <v>0</v>
      </c>
      <c r="L3452" t="n">
        <v>82085</v>
      </c>
      <c r="M3452" t="n">
        <v>129000</v>
      </c>
      <c r="N3452" t="n">
        <v>91</v>
      </c>
      <c r="O3452" t="n">
        <v>0.91</v>
      </c>
      <c r="P3452" t="n">
        <v>1</v>
      </c>
      <c r="Q3452" t="n">
        <v>0.17</v>
      </c>
      <c r="R3452" t="n">
        <v>2</v>
      </c>
      <c r="S3452" t="n">
        <v>39912.6</v>
      </c>
      <c r="T3452" t="n">
        <v>38</v>
      </c>
      <c r="U3452" t="n">
        <v>39</v>
      </c>
      <c r="V3452" t="n">
        <v>30</v>
      </c>
      <c r="W3452" t="n">
        <v>10</v>
      </c>
      <c r="X3452" t="n">
        <v>19.3923723335488</v>
      </c>
      <c r="Y3452" t="n">
        <v>1</v>
      </c>
      <c r="Z3452" t="n">
        <v>4</v>
      </c>
      <c r="AA3452" t="n">
        <v>0</v>
      </c>
      <c r="AB3452" t="n">
        <v>4</v>
      </c>
      <c r="AC3452" t="n">
        <v>4</v>
      </c>
      <c r="AD3452" t="n">
        <v>0</v>
      </c>
      <c r="AE3452" t="n">
        <v>328340</v>
      </c>
      <c r="AF3452" t="n">
        <v>11038</v>
      </c>
      <c r="AG3452" t="n">
        <v>33</v>
      </c>
      <c r="AH3452" t="inlineStr">
        <is>
          <t>PT. MENSA BINASUKSES - PPN (PDG)</t>
        </is>
      </c>
      <c r="AI3452" t="n">
        <v>98</v>
      </c>
      <c r="AJ3452" t="inlineStr">
        <is>
          <t>MAYBELLINE</t>
        </is>
      </c>
      <c r="AK3452" t="n">
        <v>21</v>
      </c>
      <c r="AL3452" t="inlineStr">
        <is>
          <t>Miss Glam Damar</t>
        </is>
      </c>
      <c r="AM3452" t="n">
        <v>3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MAYBELLINE</t>
        </is>
      </c>
      <c r="B3453" s="2">
        <f>"6902395808879"</f>
        <v/>
      </c>
      <c r="C3453" t="inlineStr">
        <is>
          <t>MAYBELLINE Superstay Matte Ink 370 Overseer 5ml</t>
        </is>
      </c>
      <c r="D3453" t="inlineStr">
        <is>
          <t>Miss Glam Damar</t>
        </is>
      </c>
      <c r="E3453" t="n">
        <v>13</v>
      </c>
      <c r="F3453" t="n">
        <v>0.2912</v>
      </c>
      <c r="G3453" t="n">
        <v>4.55</v>
      </c>
      <c r="H3453" t="n">
        <v>3</v>
      </c>
      <c r="I3453" t="n">
        <v>14</v>
      </c>
      <c r="J3453" t="n">
        <v>3</v>
      </c>
      <c r="K3453" t="n">
        <v>0</v>
      </c>
      <c r="L3453" t="n">
        <v>86160</v>
      </c>
      <c r="M3453" t="n">
        <v>129000</v>
      </c>
      <c r="N3453" t="n">
        <v>91</v>
      </c>
      <c r="O3453" t="n">
        <v>0.91</v>
      </c>
      <c r="P3453" t="n">
        <v>1</v>
      </c>
      <c r="Q3453" t="n">
        <v>0.31</v>
      </c>
      <c r="R3453" t="n">
        <v>2</v>
      </c>
      <c r="S3453" t="n">
        <v>37564.8</v>
      </c>
      <c r="T3453" t="n">
        <v>63</v>
      </c>
      <c r="U3453" t="n">
        <v>64</v>
      </c>
      <c r="V3453" t="n">
        <v>30</v>
      </c>
      <c r="W3453" t="n">
        <v>9</v>
      </c>
      <c r="X3453" t="n">
        <v>44.64285714285714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11038</v>
      </c>
      <c r="AG3453" t="n">
        <v>33</v>
      </c>
      <c r="AH3453" t="inlineStr">
        <is>
          <t>PT. MENSA BINASUKSES - PPN (PDG)</t>
        </is>
      </c>
      <c r="AI3453" t="n">
        <v>98</v>
      </c>
      <c r="AJ3453" t="inlineStr">
        <is>
          <t>MAYBELLINE</t>
        </is>
      </c>
      <c r="AK3453" t="n">
        <v>21</v>
      </c>
      <c r="AL3453" t="inlineStr">
        <is>
          <t>Miss Glam Damar</t>
        </is>
      </c>
      <c r="AM3453" t="n">
        <v>3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MAYBELLINE</t>
        </is>
      </c>
      <c r="B3454" s="2">
        <f>"6902395808886"</f>
        <v/>
      </c>
      <c r="C3454" t="inlineStr">
        <is>
          <t>MAYBELLINE Superstay Matte Ink 375 Peacekeeper 5ml</t>
        </is>
      </c>
      <c r="D3454" t="inlineStr">
        <is>
          <t>Miss Glam Damar</t>
        </is>
      </c>
      <c r="E3454" t="n">
        <v>18</v>
      </c>
      <c r="F3454" t="n">
        <v>0.5369</v>
      </c>
      <c r="G3454" t="n">
        <v>2.73</v>
      </c>
      <c r="H3454" t="n">
        <v>3</v>
      </c>
      <c r="I3454" t="n">
        <v>14</v>
      </c>
      <c r="J3454" t="n">
        <v>3</v>
      </c>
      <c r="K3454" t="n">
        <v>0</v>
      </c>
      <c r="L3454" t="n">
        <v>81459</v>
      </c>
      <c r="M3454" t="n">
        <v>129000</v>
      </c>
      <c r="N3454" t="n">
        <v>91</v>
      </c>
      <c r="O3454" t="n">
        <v>0.91</v>
      </c>
      <c r="P3454" t="n">
        <v>1</v>
      </c>
      <c r="Q3454" t="n">
        <v>0.49</v>
      </c>
      <c r="R3454" t="n">
        <v>4</v>
      </c>
      <c r="S3454" t="n">
        <v>69260.10000000001</v>
      </c>
      <c r="T3454" t="n">
        <v>37</v>
      </c>
      <c r="U3454" t="n">
        <v>39</v>
      </c>
      <c r="V3454" t="n">
        <v>30</v>
      </c>
      <c r="W3454" t="n">
        <v>17</v>
      </c>
      <c r="X3454" t="n">
        <v>33.52579623766064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11038</v>
      </c>
      <c r="AG3454" t="n">
        <v>33</v>
      </c>
      <c r="AH3454" t="inlineStr">
        <is>
          <t>PT. MENSA BINASUKSES - PPN (PDG)</t>
        </is>
      </c>
      <c r="AI3454" t="n">
        <v>98</v>
      </c>
      <c r="AJ3454" t="inlineStr">
        <is>
          <t>MAYBELLINE</t>
        </is>
      </c>
      <c r="AK3454" t="n">
        <v>21</v>
      </c>
      <c r="AL3454" t="inlineStr">
        <is>
          <t>Miss Glam Damar</t>
        </is>
      </c>
      <c r="AM3454" t="n">
        <v>3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MAYBELLINE</t>
        </is>
      </c>
      <c r="B3455" s="2">
        <f>"6902395808893"</f>
        <v/>
      </c>
      <c r="C3455" t="inlineStr">
        <is>
          <t>MAYBELLINE Superstay Matte Ink 380 Enchanter 5ml</t>
        </is>
      </c>
      <c r="D3455" t="inlineStr">
        <is>
          <t>Miss Glam Damar</t>
        </is>
      </c>
      <c r="E3455" t="n">
        <v>25</v>
      </c>
      <c r="F3455" t="n">
        <v>0.3276</v>
      </c>
      <c r="G3455" t="n">
        <v>1.82</v>
      </c>
      <c r="H3455" t="n">
        <v>3</v>
      </c>
      <c r="I3455" t="n">
        <v>14</v>
      </c>
      <c r="J3455" t="n">
        <v>3</v>
      </c>
      <c r="K3455" t="n">
        <v>0</v>
      </c>
      <c r="L3455" t="n">
        <v>82208</v>
      </c>
      <c r="M3455" t="n">
        <v>129000</v>
      </c>
      <c r="N3455" t="n">
        <v>91</v>
      </c>
      <c r="O3455" t="n">
        <v>0.91</v>
      </c>
      <c r="P3455" t="n">
        <v>1</v>
      </c>
      <c r="Q3455" t="n">
        <v>0.63</v>
      </c>
      <c r="R3455" t="n">
        <v>4</v>
      </c>
      <c r="S3455" t="n">
        <v>42260.4</v>
      </c>
      <c r="T3455" t="n">
        <v>25</v>
      </c>
      <c r="U3455" t="n">
        <v>26</v>
      </c>
      <c r="V3455" t="n">
        <v>30</v>
      </c>
      <c r="W3455" t="n">
        <v>10</v>
      </c>
      <c r="X3455" t="n">
        <v>76.31257631257631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11038</v>
      </c>
      <c r="AG3455" t="n">
        <v>33</v>
      </c>
      <c r="AH3455" t="inlineStr">
        <is>
          <t>PT. MENSA BINASUKSES - PPN (PDG)</t>
        </is>
      </c>
      <c r="AI3455" t="n">
        <v>98</v>
      </c>
      <c r="AJ3455" t="inlineStr">
        <is>
          <t>MAYBELLINE</t>
        </is>
      </c>
      <c r="AK3455" t="n">
        <v>21</v>
      </c>
      <c r="AL3455" t="inlineStr">
        <is>
          <t>Miss Glam Damar</t>
        </is>
      </c>
      <c r="AM3455" t="n">
        <v>3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MAYBELLINE</t>
        </is>
      </c>
      <c r="B3456" s="2">
        <f>"6902395808909"</f>
        <v/>
      </c>
      <c r="C3456" t="inlineStr">
        <is>
          <t>MAYBELLINE Superstay Matte Ink 385 Validator 5ml</t>
        </is>
      </c>
      <c r="D3456" t="inlineStr">
        <is>
          <t>Miss Glam Damar</t>
        </is>
      </c>
      <c r="E3456" t="n">
        <v>8</v>
      </c>
      <c r="F3456" t="n">
        <v>0.06370000000000001</v>
      </c>
      <c r="G3456" t="n">
        <v>0.91</v>
      </c>
      <c r="H3456" t="n">
        <v>3</v>
      </c>
      <c r="I3456" t="n">
        <v>14</v>
      </c>
      <c r="J3456" t="n">
        <v>3</v>
      </c>
      <c r="K3456" t="n">
        <v>0</v>
      </c>
      <c r="L3456" t="n">
        <v>89979</v>
      </c>
      <c r="M3456" t="n">
        <v>129000</v>
      </c>
      <c r="N3456" t="n">
        <v>91</v>
      </c>
      <c r="O3456" t="n">
        <v>0.91</v>
      </c>
      <c r="P3456" t="n">
        <v>1</v>
      </c>
      <c r="Q3456" t="n">
        <v>0.12</v>
      </c>
      <c r="R3456" t="n">
        <v>2</v>
      </c>
      <c r="S3456" t="n">
        <v>8217.300000000001</v>
      </c>
      <c r="T3456" t="n">
        <v>13</v>
      </c>
      <c r="U3456" t="n">
        <v>14</v>
      </c>
      <c r="V3456" t="n">
        <v>30</v>
      </c>
      <c r="W3456" t="n">
        <v>2</v>
      </c>
      <c r="X3456" t="n">
        <v>125.5886970172684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11038</v>
      </c>
      <c r="AG3456" t="n">
        <v>33</v>
      </c>
      <c r="AH3456" t="inlineStr">
        <is>
          <t>PT. MENSA BINASUKSES - PPN (PDG)</t>
        </is>
      </c>
      <c r="AI3456" t="n">
        <v>98</v>
      </c>
      <c r="AJ3456" t="inlineStr">
        <is>
          <t>MAYBELLINE</t>
        </is>
      </c>
      <c r="AK3456" t="n">
        <v>21</v>
      </c>
      <c r="AL3456" t="inlineStr">
        <is>
          <t>Miss Glam Damar</t>
        </is>
      </c>
      <c r="AM3456" t="n">
        <v>3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MAYBELLINE</t>
        </is>
      </c>
      <c r="B3457" s="2">
        <f>"6902395682998"</f>
        <v/>
      </c>
      <c r="C3457" t="inlineStr">
        <is>
          <t>MAYBELLINE Superstay Matte Ink 50 Voyager 5ml</t>
        </is>
      </c>
      <c r="D3457" t="inlineStr">
        <is>
          <t>Miss Glam Damar</t>
        </is>
      </c>
      <c r="E3457" t="n">
        <v>7</v>
      </c>
      <c r="F3457" t="n">
        <v>0.0728</v>
      </c>
      <c r="G3457" t="n">
        <v>1.82</v>
      </c>
      <c r="H3457" t="n">
        <v>3</v>
      </c>
      <c r="I3457" t="n">
        <v>14</v>
      </c>
      <c r="J3457" t="n">
        <v>3</v>
      </c>
      <c r="K3457" t="n">
        <v>0</v>
      </c>
      <c r="L3457" t="n">
        <v>77729</v>
      </c>
      <c r="M3457" t="n">
        <v>129000</v>
      </c>
      <c r="N3457" t="n">
        <v>91</v>
      </c>
      <c r="O3457" t="n">
        <v>0.91</v>
      </c>
      <c r="P3457" t="n">
        <v>1</v>
      </c>
      <c r="Q3457" t="n">
        <v>0.12</v>
      </c>
      <c r="R3457" t="n">
        <v>2</v>
      </c>
      <c r="S3457" t="n">
        <v>9391.200000000001</v>
      </c>
      <c r="T3457" t="n">
        <v>26</v>
      </c>
      <c r="U3457" t="n">
        <v>27</v>
      </c>
      <c r="V3457" t="n">
        <v>30</v>
      </c>
      <c r="W3457" t="n">
        <v>3</v>
      </c>
      <c r="X3457" t="n">
        <v>96.15384615384615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11038</v>
      </c>
      <c r="AG3457" t="n">
        <v>33</v>
      </c>
      <c r="AH3457" t="inlineStr">
        <is>
          <t>PT. MENSA BINASUKSES - PPN (PDG)</t>
        </is>
      </c>
      <c r="AI3457" t="n">
        <v>98</v>
      </c>
      <c r="AJ3457" t="inlineStr">
        <is>
          <t>MAYBELLINE</t>
        </is>
      </c>
      <c r="AK3457" t="n">
        <v>21</v>
      </c>
      <c r="AL3457" t="inlineStr">
        <is>
          <t>Miss Glam Damar</t>
        </is>
      </c>
      <c r="AM3457" t="n">
        <v>3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MAYBELLINE</t>
        </is>
      </c>
      <c r="B3458" s="2">
        <f>"6902395682882"</f>
        <v/>
      </c>
      <c r="C3458" t="inlineStr">
        <is>
          <t>MAYBELLINE Superstay Matte Ink 65 Seductress 5ml</t>
        </is>
      </c>
      <c r="D3458" t="inlineStr">
        <is>
          <t>Miss Glam Damar</t>
        </is>
      </c>
      <c r="E3458" t="n">
        <v>18</v>
      </c>
      <c r="F3458" t="n">
        <v>0.5277999999999999</v>
      </c>
      <c r="G3458" t="n">
        <v>3.64</v>
      </c>
      <c r="H3458" t="n">
        <v>3</v>
      </c>
      <c r="I3458" t="n">
        <v>14</v>
      </c>
      <c r="J3458" t="n">
        <v>3</v>
      </c>
      <c r="K3458" t="n">
        <v>0</v>
      </c>
      <c r="L3458" t="n">
        <v>81610</v>
      </c>
      <c r="M3458" t="n">
        <v>129000</v>
      </c>
      <c r="N3458" t="n">
        <v>91</v>
      </c>
      <c r="O3458" t="n">
        <v>0.91</v>
      </c>
      <c r="P3458" t="n">
        <v>1</v>
      </c>
      <c r="Q3458" t="n">
        <v>0.63</v>
      </c>
      <c r="R3458" t="n">
        <v>3</v>
      </c>
      <c r="S3458" t="n">
        <v>68086.2</v>
      </c>
      <c r="T3458" t="n">
        <v>50</v>
      </c>
      <c r="U3458" t="n">
        <v>52</v>
      </c>
      <c r="V3458" t="n">
        <v>30</v>
      </c>
      <c r="W3458" t="n">
        <v>16</v>
      </c>
      <c r="X3458" t="n">
        <v>34.10382720727549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11038</v>
      </c>
      <c r="AG3458" t="n">
        <v>33</v>
      </c>
      <c r="AH3458" t="inlineStr">
        <is>
          <t>PT. MENSA BINASUKSES - PPN (PDG)</t>
        </is>
      </c>
      <c r="AI3458" t="n">
        <v>98</v>
      </c>
      <c r="AJ3458" t="inlineStr">
        <is>
          <t>MAYBELLINE</t>
        </is>
      </c>
      <c r="AK3458" t="n">
        <v>21</v>
      </c>
      <c r="AL3458" t="inlineStr">
        <is>
          <t>Miss Glam Damar</t>
        </is>
      </c>
      <c r="AM3458" t="n">
        <v>3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MAYBELLINE</t>
        </is>
      </c>
      <c r="B3459" s="2">
        <f>"6902395682806"</f>
        <v/>
      </c>
      <c r="C3459" t="inlineStr">
        <is>
          <t>MAYBELLINE Superstay Matte Ink 70 Amazonian 5ml</t>
        </is>
      </c>
      <c r="D3459" t="inlineStr">
        <is>
          <t>Miss Glam Damar</t>
        </is>
      </c>
      <c r="E3459" t="n">
        <v>14</v>
      </c>
      <c r="F3459" t="n">
        <v>0.182</v>
      </c>
      <c r="G3459" t="n">
        <v>0.91</v>
      </c>
      <c r="H3459" t="n">
        <v>3</v>
      </c>
      <c r="I3459" t="n">
        <v>14</v>
      </c>
      <c r="J3459" t="n">
        <v>3</v>
      </c>
      <c r="K3459" t="n">
        <v>0</v>
      </c>
      <c r="L3459" t="n">
        <v>75882</v>
      </c>
      <c r="M3459" t="n">
        <v>129000</v>
      </c>
      <c r="N3459" t="n">
        <v>91</v>
      </c>
      <c r="O3459" t="n">
        <v>0.91</v>
      </c>
      <c r="P3459" t="n">
        <v>1</v>
      </c>
      <c r="Q3459" t="n">
        <v>0.19</v>
      </c>
      <c r="R3459" t="n">
        <v>1</v>
      </c>
      <c r="S3459" t="n">
        <v>23478</v>
      </c>
      <c r="T3459" t="n">
        <v>13</v>
      </c>
      <c r="U3459" t="n">
        <v>14</v>
      </c>
      <c r="V3459" t="n">
        <v>30</v>
      </c>
      <c r="W3459" t="n">
        <v>6</v>
      </c>
      <c r="X3459" t="n">
        <v>76.92307692307692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11038</v>
      </c>
      <c r="AG3459" t="n">
        <v>33</v>
      </c>
      <c r="AH3459" t="inlineStr">
        <is>
          <t>PT. MENSA BINASUKSES - PPN (PDG)</t>
        </is>
      </c>
      <c r="AI3459" t="n">
        <v>98</v>
      </c>
      <c r="AJ3459" t="inlineStr">
        <is>
          <t>MAYBELLINE</t>
        </is>
      </c>
      <c r="AK3459" t="n">
        <v>21</v>
      </c>
      <c r="AL3459" t="inlineStr">
        <is>
          <t>Miss Glam Damar</t>
        </is>
      </c>
      <c r="AM3459" t="n">
        <v>3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MAYBELLINE</t>
        </is>
      </c>
      <c r="B3460" s="2">
        <f>"6902395682820"</f>
        <v/>
      </c>
      <c r="C3460" t="inlineStr">
        <is>
          <t>MAYBELLINE Superstay Matte Ink 75 Fighter 5ml</t>
        </is>
      </c>
      <c r="D3460" t="inlineStr">
        <is>
          <t>Miss Glam Damar</t>
        </is>
      </c>
      <c r="E3460" t="n">
        <v>8</v>
      </c>
      <c r="F3460" t="n">
        <v>0.1274</v>
      </c>
      <c r="G3460" t="n">
        <v>0.91</v>
      </c>
      <c r="H3460" t="n">
        <v>3</v>
      </c>
      <c r="I3460" t="n">
        <v>14</v>
      </c>
      <c r="J3460" t="n">
        <v>3</v>
      </c>
      <c r="K3460" t="n">
        <v>0</v>
      </c>
      <c r="L3460" t="n">
        <v>75845</v>
      </c>
      <c r="M3460" t="n">
        <v>129000</v>
      </c>
      <c r="N3460" t="n">
        <v>91</v>
      </c>
      <c r="O3460" t="n">
        <v>0.91</v>
      </c>
      <c r="P3460" t="n">
        <v>1</v>
      </c>
      <c r="Q3460" t="n">
        <v>0.02</v>
      </c>
      <c r="R3460" t="n">
        <v>1</v>
      </c>
      <c r="S3460" t="n">
        <v>16434.6</v>
      </c>
      <c r="T3460" t="n">
        <v>13</v>
      </c>
      <c r="U3460" t="n">
        <v>14</v>
      </c>
      <c r="V3460" t="n">
        <v>30</v>
      </c>
      <c r="W3460" t="n">
        <v>4</v>
      </c>
      <c r="X3460" t="n">
        <v>62.79434850863422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11038</v>
      </c>
      <c r="AG3460" t="n">
        <v>33</v>
      </c>
      <c r="AH3460" t="inlineStr">
        <is>
          <t>PT. MENSA BINASUKSES - PPN (PDG)</t>
        </is>
      </c>
      <c r="AI3460" t="n">
        <v>98</v>
      </c>
      <c r="AJ3460" t="inlineStr">
        <is>
          <t>MAYBELLINE</t>
        </is>
      </c>
      <c r="AK3460" t="n">
        <v>21</v>
      </c>
      <c r="AL3460" t="inlineStr">
        <is>
          <t>Miss Glam Damar</t>
        </is>
      </c>
      <c r="AM3460" t="n">
        <v>3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MAYBELLINE</t>
        </is>
      </c>
      <c r="B3461" s="2">
        <f>"6902395682875"</f>
        <v/>
      </c>
      <c r="C3461" t="inlineStr">
        <is>
          <t>MAYBELLINE Superstay Matte Ink 80 Ruler 5ml</t>
        </is>
      </c>
      <c r="D3461" t="inlineStr">
        <is>
          <t>Miss Glam Damar</t>
        </is>
      </c>
      <c r="E3461" t="n">
        <v>16</v>
      </c>
      <c r="F3461" t="n">
        <v>0.4914000000000001</v>
      </c>
      <c r="G3461" t="n">
        <v>2.73</v>
      </c>
      <c r="H3461" t="n">
        <v>3</v>
      </c>
      <c r="I3461" t="n">
        <v>14</v>
      </c>
      <c r="J3461" t="n">
        <v>3</v>
      </c>
      <c r="K3461" t="n">
        <v>0</v>
      </c>
      <c r="L3461" t="n">
        <v>81914</v>
      </c>
      <c r="M3461" t="n">
        <v>129000</v>
      </c>
      <c r="N3461" t="n">
        <v>91</v>
      </c>
      <c r="O3461" t="n">
        <v>0.91</v>
      </c>
      <c r="P3461" t="n">
        <v>1</v>
      </c>
      <c r="Q3461" t="n">
        <v>0.31</v>
      </c>
      <c r="R3461" t="n">
        <v>3</v>
      </c>
      <c r="S3461" t="n">
        <v>63390.60000000001</v>
      </c>
      <c r="T3461" t="n">
        <v>37</v>
      </c>
      <c r="U3461" t="n">
        <v>39</v>
      </c>
      <c r="V3461" t="n">
        <v>30</v>
      </c>
      <c r="W3461" t="n">
        <v>15</v>
      </c>
      <c r="X3461" t="n">
        <v>32.56003256003255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11038</v>
      </c>
      <c r="AG3461" t="n">
        <v>33</v>
      </c>
      <c r="AH3461" t="inlineStr">
        <is>
          <t>PT. MENSA BINASUKSES - PPN (PDG)</t>
        </is>
      </c>
      <c r="AI3461" t="n">
        <v>98</v>
      </c>
      <c r="AJ3461" t="inlineStr">
        <is>
          <t>MAYBELLINE</t>
        </is>
      </c>
      <c r="AK3461" t="n">
        <v>21</v>
      </c>
      <c r="AL3461" t="inlineStr">
        <is>
          <t>Miss Glam Damar</t>
        </is>
      </c>
      <c r="AM3461" t="n">
        <v>3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MAYBELLINE</t>
        </is>
      </c>
      <c r="B3462" s="2">
        <f>"6902395972242"</f>
        <v/>
      </c>
      <c r="C3462" t="inlineStr">
        <is>
          <t>MAYBELLINE Superstay Teddy Tint 15 Skinnydip 5ml</t>
        </is>
      </c>
      <c r="D3462" t="inlineStr">
        <is>
          <t>Miss Glam Damar</t>
        </is>
      </c>
      <c r="E3462" t="n">
        <v>6</v>
      </c>
      <c r="F3462" t="n">
        <v>0.04550000000000001</v>
      </c>
      <c r="G3462" t="n">
        <v>0.91</v>
      </c>
      <c r="H3462" t="n">
        <v>3</v>
      </c>
      <c r="I3462" t="n">
        <v>14</v>
      </c>
      <c r="J3462" t="n">
        <v>3</v>
      </c>
      <c r="K3462" t="n">
        <v>0</v>
      </c>
      <c r="L3462" t="n">
        <v>100397</v>
      </c>
      <c r="M3462" t="n">
        <v>139000</v>
      </c>
      <c r="N3462" t="n">
        <v>91</v>
      </c>
      <c r="O3462" t="n">
        <v>0.91</v>
      </c>
      <c r="P3462" t="n">
        <v>1</v>
      </c>
      <c r="Q3462" t="n">
        <v>0.08</v>
      </c>
      <c r="R3462" t="n">
        <v>1</v>
      </c>
      <c r="S3462" t="n">
        <v>6324.500000000001</v>
      </c>
      <c r="T3462" t="n">
        <v>13</v>
      </c>
      <c r="U3462" t="n">
        <v>14</v>
      </c>
      <c r="V3462" t="n">
        <v>30</v>
      </c>
      <c r="W3462" t="n">
        <v>2</v>
      </c>
      <c r="X3462" t="n">
        <v>131.8681318681319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11038</v>
      </c>
      <c r="AG3462" t="n">
        <v>33</v>
      </c>
      <c r="AH3462" t="inlineStr">
        <is>
          <t>PT. MENSA BINASUKSES - PPN (PDG)</t>
        </is>
      </c>
      <c r="AI3462" t="n">
        <v>98</v>
      </c>
      <c r="AJ3462" t="inlineStr">
        <is>
          <t>MAYBELLINE</t>
        </is>
      </c>
      <c r="AK3462" t="n">
        <v>21</v>
      </c>
      <c r="AL3462" t="inlineStr">
        <is>
          <t>Miss Glam Damar</t>
        </is>
      </c>
      <c r="AM3462" t="n">
        <v>3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MAYBELLINE</t>
        </is>
      </c>
      <c r="B3463" s="2">
        <f>"6902395972150"</f>
        <v/>
      </c>
      <c r="C3463" t="inlineStr">
        <is>
          <t>MAYBELLINE Superstay Teddy Tint 25 Baby Tee 5ml</t>
        </is>
      </c>
      <c r="D3463" t="inlineStr">
        <is>
          <t>Miss Glam Damar</t>
        </is>
      </c>
      <c r="E3463" t="n">
        <v>2</v>
      </c>
      <c r="F3463" t="n">
        <v>0.0182</v>
      </c>
      <c r="G3463" t="n">
        <v>0.91</v>
      </c>
      <c r="H3463" t="n">
        <v>3</v>
      </c>
      <c r="I3463" t="n">
        <v>14</v>
      </c>
      <c r="J3463" t="n">
        <v>3</v>
      </c>
      <c r="K3463" t="n">
        <v>0</v>
      </c>
      <c r="L3463" t="n">
        <v>105044</v>
      </c>
      <c r="M3463" t="n">
        <v>139000</v>
      </c>
      <c r="N3463" t="n">
        <v>91</v>
      </c>
      <c r="O3463" t="n">
        <v>0.91</v>
      </c>
      <c r="P3463" t="n">
        <v>1</v>
      </c>
      <c r="Q3463" t="n">
        <v>0.02</v>
      </c>
      <c r="R3463" t="n">
        <v>1</v>
      </c>
      <c r="S3463" t="n">
        <v>2529.8</v>
      </c>
      <c r="T3463" t="n">
        <v>13</v>
      </c>
      <c r="U3463" t="n">
        <v>14</v>
      </c>
      <c r="V3463" t="n">
        <v>30</v>
      </c>
      <c r="W3463" t="n">
        <v>1</v>
      </c>
      <c r="X3463" t="n">
        <v>109.8901098901099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11038</v>
      </c>
      <c r="AG3463" t="n">
        <v>33</v>
      </c>
      <c r="AH3463" t="inlineStr">
        <is>
          <t>PT. MENSA BINASUKSES - PPN (PDG)</t>
        </is>
      </c>
      <c r="AI3463" t="n">
        <v>98</v>
      </c>
      <c r="AJ3463" t="inlineStr">
        <is>
          <t>MAYBELLINE</t>
        </is>
      </c>
      <c r="AK3463" t="n">
        <v>21</v>
      </c>
      <c r="AL3463" t="inlineStr">
        <is>
          <t>Miss Glam Damar</t>
        </is>
      </c>
      <c r="AM3463" t="n">
        <v>3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MAYBELLINE</t>
        </is>
      </c>
      <c r="B3464" s="2">
        <f>"6902395972181"</f>
        <v/>
      </c>
      <c r="C3464" t="inlineStr">
        <is>
          <t>MAYBELLINE Superstay Teddy Tint 30 Coquettish 5ml</t>
        </is>
      </c>
      <c r="D3464" t="inlineStr">
        <is>
          <t>Miss Glam Damar</t>
        </is>
      </c>
      <c r="E3464" t="n">
        <v>8</v>
      </c>
      <c r="F3464" t="n">
        <v>0.0273</v>
      </c>
      <c r="G3464" t="n">
        <v>0.91</v>
      </c>
      <c r="H3464" t="n">
        <v>3</v>
      </c>
      <c r="I3464" t="n">
        <v>14</v>
      </c>
      <c r="J3464" t="n">
        <v>3</v>
      </c>
      <c r="K3464" t="n">
        <v>0</v>
      </c>
      <c r="L3464" t="n">
        <v>106105</v>
      </c>
      <c r="M3464" t="n">
        <v>139000</v>
      </c>
      <c r="N3464" t="n">
        <v>91</v>
      </c>
      <c r="O3464" t="n">
        <v>0.91</v>
      </c>
      <c r="P3464" t="n">
        <v>1</v>
      </c>
      <c r="Q3464" t="n">
        <v>0.1</v>
      </c>
      <c r="R3464" t="n">
        <v>1</v>
      </c>
      <c r="S3464" t="n">
        <v>3794.7</v>
      </c>
      <c r="T3464" t="n">
        <v>13</v>
      </c>
      <c r="U3464" t="n">
        <v>14</v>
      </c>
      <c r="V3464" t="n">
        <v>30</v>
      </c>
      <c r="W3464" t="n">
        <v>1</v>
      </c>
      <c r="X3464" t="n">
        <v>293.040293040293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11038</v>
      </c>
      <c r="AG3464" t="n">
        <v>33</v>
      </c>
      <c r="AH3464" t="inlineStr">
        <is>
          <t>PT. MENSA BINASUKSES - PPN (PDG)</t>
        </is>
      </c>
      <c r="AI3464" t="n">
        <v>98</v>
      </c>
      <c r="AJ3464" t="inlineStr">
        <is>
          <t>MAYBELLINE</t>
        </is>
      </c>
      <c r="AK3464" t="n">
        <v>21</v>
      </c>
      <c r="AL3464" t="inlineStr">
        <is>
          <t>Miss Glam Damar</t>
        </is>
      </c>
      <c r="AM3464" t="n">
        <v>3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MAYBELLINE</t>
        </is>
      </c>
      <c r="B3465" s="2">
        <f>"6902395972198"</f>
        <v/>
      </c>
      <c r="C3465" t="inlineStr">
        <is>
          <t>MAYBELLINE Superstay Teddy Tint 35 July Forever 5ml</t>
        </is>
      </c>
      <c r="D3465" t="inlineStr">
        <is>
          <t>Miss Glam Damar</t>
        </is>
      </c>
      <c r="E3465" t="n">
        <v>6</v>
      </c>
      <c r="F3465" t="n">
        <v>0.0182</v>
      </c>
      <c r="G3465" t="n">
        <v>0.91</v>
      </c>
      <c r="H3465" t="n">
        <v>3</v>
      </c>
      <c r="I3465" t="n">
        <v>14</v>
      </c>
      <c r="J3465" t="n">
        <v>3</v>
      </c>
      <c r="K3465" t="n">
        <v>0</v>
      </c>
      <c r="L3465" t="n">
        <v>100187</v>
      </c>
      <c r="M3465" t="n">
        <v>139000</v>
      </c>
      <c r="N3465" t="n">
        <v>91</v>
      </c>
      <c r="O3465" t="n">
        <v>0.91</v>
      </c>
      <c r="P3465" t="n">
        <v>1</v>
      </c>
      <c r="Q3465" t="n">
        <v>0.1</v>
      </c>
      <c r="R3465" t="n">
        <v>1</v>
      </c>
      <c r="S3465" t="n">
        <v>2529.8</v>
      </c>
      <c r="T3465" t="n">
        <v>13</v>
      </c>
      <c r="U3465" t="n">
        <v>14</v>
      </c>
      <c r="V3465" t="n">
        <v>30</v>
      </c>
      <c r="W3465" t="n">
        <v>1</v>
      </c>
      <c r="X3465" t="n">
        <v>329.6703296703296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11038</v>
      </c>
      <c r="AG3465" t="n">
        <v>33</v>
      </c>
      <c r="AH3465" t="inlineStr">
        <is>
          <t>PT. MENSA BINASUKSES - PPN (PDG)</t>
        </is>
      </c>
      <c r="AI3465" t="n">
        <v>98</v>
      </c>
      <c r="AJ3465" t="inlineStr">
        <is>
          <t>MAYBELLINE</t>
        </is>
      </c>
      <c r="AK3465" t="n">
        <v>21</v>
      </c>
      <c r="AL3465" t="inlineStr">
        <is>
          <t>Miss Glam Damar</t>
        </is>
      </c>
      <c r="AM3465" t="n">
        <v>3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MAYBELLINE</t>
        </is>
      </c>
      <c r="B3466" s="2">
        <f>"6902395972174"</f>
        <v/>
      </c>
      <c r="C3466" t="inlineStr">
        <is>
          <t>MAYBELLINE Superstay Teddy Tint 60 Cool Grunge 5ml</t>
        </is>
      </c>
      <c r="D3466" t="inlineStr">
        <is>
          <t>Miss Glam Damar</t>
        </is>
      </c>
      <c r="E3466" t="n">
        <v>5</v>
      </c>
      <c r="F3466" t="n">
        <v>0.0273</v>
      </c>
      <c r="G3466" t="n">
        <v>0.91</v>
      </c>
      <c r="H3466" t="n">
        <v>3</v>
      </c>
      <c r="I3466" t="n">
        <v>14</v>
      </c>
      <c r="J3466" t="n">
        <v>3</v>
      </c>
      <c r="K3466" t="n">
        <v>0</v>
      </c>
      <c r="L3466" t="n">
        <v>98513</v>
      </c>
      <c r="M3466" t="n">
        <v>139000</v>
      </c>
      <c r="N3466" t="n">
        <v>91</v>
      </c>
      <c r="O3466" t="n">
        <v>0.91</v>
      </c>
      <c r="P3466" t="n">
        <v>1</v>
      </c>
      <c r="Q3466" t="n">
        <v>0.07000000000000001</v>
      </c>
      <c r="R3466" t="n">
        <v>1</v>
      </c>
      <c r="S3466" t="n">
        <v>3794.7</v>
      </c>
      <c r="T3466" t="n">
        <v>13</v>
      </c>
      <c r="U3466" t="n">
        <v>14</v>
      </c>
      <c r="V3466" t="n">
        <v>30</v>
      </c>
      <c r="W3466" t="n">
        <v>1</v>
      </c>
      <c r="X3466" t="n">
        <v>183.1501831501832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11038</v>
      </c>
      <c r="AG3466" t="n">
        <v>33</v>
      </c>
      <c r="AH3466" t="inlineStr">
        <is>
          <t>PT. MENSA BINASUKSES - PPN (PDG)</t>
        </is>
      </c>
      <c r="AI3466" t="n">
        <v>98</v>
      </c>
      <c r="AJ3466" t="inlineStr">
        <is>
          <t>MAYBELLINE</t>
        </is>
      </c>
      <c r="AK3466" t="n">
        <v>21</v>
      </c>
      <c r="AL3466" t="inlineStr">
        <is>
          <t>Miss Glam Damar</t>
        </is>
      </c>
      <c r="AM3466" t="n">
        <v>3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MAYBELLINE</t>
        </is>
      </c>
      <c r="B3467" s="2">
        <f>"6902395972204"</f>
        <v/>
      </c>
      <c r="C3467" t="inlineStr">
        <is>
          <t>MAYBELLINE Superstay Teddy Tint 65 Pinkie Bestie 5ml</t>
        </is>
      </c>
      <c r="D3467" t="inlineStr">
        <is>
          <t>Miss Glam Damar</t>
        </is>
      </c>
      <c r="E3467" t="n">
        <v>4</v>
      </c>
      <c r="F3467" t="n">
        <v>0.07000000000000001</v>
      </c>
      <c r="G3467" t="n">
        <v>1</v>
      </c>
      <c r="H3467" t="n">
        <v>3</v>
      </c>
      <c r="I3467" t="n">
        <v>14</v>
      </c>
      <c r="J3467" t="n">
        <v>3</v>
      </c>
      <c r="K3467" t="n">
        <v>0</v>
      </c>
      <c r="L3467" t="n">
        <v>105605</v>
      </c>
      <c r="M3467" t="n">
        <v>139000</v>
      </c>
      <c r="N3467" t="n">
        <v>91</v>
      </c>
      <c r="O3467" t="n">
        <v>0.91</v>
      </c>
      <c r="P3467" t="n">
        <v>0</v>
      </c>
      <c r="Q3467" t="n">
        <v>0.07000000000000001</v>
      </c>
      <c r="R3467" t="n">
        <v>1</v>
      </c>
      <c r="S3467" t="n">
        <v>9730.000000000002</v>
      </c>
      <c r="T3467" t="n">
        <v>14</v>
      </c>
      <c r="U3467" t="n">
        <v>15</v>
      </c>
      <c r="V3467" t="n">
        <v>30</v>
      </c>
      <c r="W3467" t="n">
        <v>3</v>
      </c>
      <c r="X3467" t="n">
        <v>57.14285714285714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11038</v>
      </c>
      <c r="AG3467" t="n">
        <v>33</v>
      </c>
      <c r="AH3467" t="inlineStr">
        <is>
          <t>PT. MENSA BINASUKSES - PPN (PDG)</t>
        </is>
      </c>
      <c r="AI3467" t="n">
        <v>98</v>
      </c>
      <c r="AJ3467" t="inlineStr">
        <is>
          <t>MAYBELLINE</t>
        </is>
      </c>
      <c r="AK3467" t="n">
        <v>21</v>
      </c>
      <c r="AL3467" t="inlineStr">
        <is>
          <t>Miss Glam Damar</t>
        </is>
      </c>
      <c r="AM3467" t="n">
        <v>3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MAYBELLINE</t>
        </is>
      </c>
      <c r="B3468" s="2">
        <f>"6902395972211"</f>
        <v/>
      </c>
      <c r="C3468" t="inlineStr">
        <is>
          <t>MAYBELLINE Superstay Teddy Tint 70 The A+ 5ml</t>
        </is>
      </c>
      <c r="D3468" t="inlineStr">
        <is>
          <t>Miss Glam Damar</t>
        </is>
      </c>
      <c r="E3468" t="n">
        <v>4</v>
      </c>
      <c r="F3468" t="n">
        <v>0.05</v>
      </c>
      <c r="G3468" t="n">
        <v>1</v>
      </c>
      <c r="H3468" t="n">
        <v>3</v>
      </c>
      <c r="I3468" t="n">
        <v>14</v>
      </c>
      <c r="J3468" t="n">
        <v>3</v>
      </c>
      <c r="K3468" t="n">
        <v>0</v>
      </c>
      <c r="L3468" t="n">
        <v>105605</v>
      </c>
      <c r="M3468" t="n">
        <v>139000</v>
      </c>
      <c r="N3468" t="n">
        <v>91</v>
      </c>
      <c r="O3468" t="n">
        <v>0.91</v>
      </c>
      <c r="P3468" t="n">
        <v>0</v>
      </c>
      <c r="Q3468" t="n">
        <v>0.05</v>
      </c>
      <c r="R3468" t="n">
        <v>1</v>
      </c>
      <c r="S3468" t="n">
        <v>6950</v>
      </c>
      <c r="T3468" t="n">
        <v>14</v>
      </c>
      <c r="U3468" t="n">
        <v>15</v>
      </c>
      <c r="V3468" t="n">
        <v>30</v>
      </c>
      <c r="W3468" t="n">
        <v>2</v>
      </c>
      <c r="X3468" t="n">
        <v>80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11038</v>
      </c>
      <c r="AG3468" t="n">
        <v>33</v>
      </c>
      <c r="AH3468" t="inlineStr">
        <is>
          <t>PT. MENSA BINASUKSES - PPN (PDG)</t>
        </is>
      </c>
      <c r="AI3468" t="n">
        <v>98</v>
      </c>
      <c r="AJ3468" t="inlineStr">
        <is>
          <t>MAYBELLINE</t>
        </is>
      </c>
      <c r="AK3468" t="n">
        <v>21</v>
      </c>
      <c r="AL3468" t="inlineStr">
        <is>
          <t>Miss Glam Damar</t>
        </is>
      </c>
      <c r="AM3468" t="n">
        <v>3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MAYBELLINE</t>
        </is>
      </c>
      <c r="B3469" s="2">
        <f>"6902395972228"</f>
        <v/>
      </c>
      <c r="C3469" t="inlineStr">
        <is>
          <t>MAYBELLINE Superstay Teddy Tint 75 Latte To Go 5ml</t>
        </is>
      </c>
      <c r="D3469" t="inlineStr">
        <is>
          <t>Miss Glam Damar</t>
        </is>
      </c>
      <c r="E3469" t="n">
        <v>2</v>
      </c>
      <c r="F3469" t="n">
        <v>0.0182</v>
      </c>
      <c r="G3469" t="n">
        <v>0.91</v>
      </c>
      <c r="H3469" t="n">
        <v>3</v>
      </c>
      <c r="I3469" t="n">
        <v>14</v>
      </c>
      <c r="J3469" t="n">
        <v>3</v>
      </c>
      <c r="K3469" t="n">
        <v>0</v>
      </c>
      <c r="L3469" t="n">
        <v>100260</v>
      </c>
      <c r="M3469" t="n">
        <v>139000</v>
      </c>
      <c r="N3469" t="n">
        <v>91</v>
      </c>
      <c r="O3469" t="n">
        <v>0.91</v>
      </c>
      <c r="P3469" t="n">
        <v>1</v>
      </c>
      <c r="Q3469" t="n">
        <v>0.02</v>
      </c>
      <c r="R3469" t="n">
        <v>1</v>
      </c>
      <c r="S3469" t="n">
        <v>2529.8</v>
      </c>
      <c r="T3469" t="n">
        <v>13</v>
      </c>
      <c r="U3469" t="n">
        <v>14</v>
      </c>
      <c r="V3469" t="n">
        <v>30</v>
      </c>
      <c r="W3469" t="n">
        <v>1</v>
      </c>
      <c r="X3469" t="n">
        <v>109.8901098901099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11038</v>
      </c>
      <c r="AG3469" t="n">
        <v>33</v>
      </c>
      <c r="AH3469" t="inlineStr">
        <is>
          <t>PT. MENSA BINASUKSES - PPN (PDG)</t>
        </is>
      </c>
      <c r="AI3469" t="n">
        <v>98</v>
      </c>
      <c r="AJ3469" t="inlineStr">
        <is>
          <t>MAYBELLINE</t>
        </is>
      </c>
      <c r="AK3469" t="n">
        <v>21</v>
      </c>
      <c r="AL3469" t="inlineStr">
        <is>
          <t>Miss Glam Damar</t>
        </is>
      </c>
      <c r="AM3469" t="n">
        <v>3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MAYBELLINE</t>
        </is>
      </c>
      <c r="B3470" s="2">
        <f>"6902395972235"</f>
        <v/>
      </c>
      <c r="C3470" t="inlineStr">
        <is>
          <t>MAYBELLINE Superstay Teddy Tint 80 Keep It Cozy 5ml</t>
        </is>
      </c>
      <c r="D3470" t="inlineStr">
        <is>
          <t>Miss Glam Damar</t>
        </is>
      </c>
      <c r="E3470" t="n">
        <v>3</v>
      </c>
      <c r="F3470" t="n">
        <v>0.0182</v>
      </c>
      <c r="G3470" t="n">
        <v>0.91</v>
      </c>
      <c r="H3470" t="n">
        <v>3</v>
      </c>
      <c r="I3470" t="n">
        <v>14</v>
      </c>
      <c r="J3470" t="n">
        <v>3</v>
      </c>
      <c r="K3470" t="n">
        <v>0</v>
      </c>
      <c r="L3470" t="n">
        <v>104482</v>
      </c>
      <c r="M3470" t="n">
        <v>139000</v>
      </c>
      <c r="N3470" t="n">
        <v>91</v>
      </c>
      <c r="O3470" t="n">
        <v>0.91</v>
      </c>
      <c r="P3470" t="n">
        <v>1</v>
      </c>
      <c r="Q3470" t="n">
        <v>0.02</v>
      </c>
      <c r="R3470" t="n">
        <v>1</v>
      </c>
      <c r="S3470" t="n">
        <v>2529.8</v>
      </c>
      <c r="T3470" t="n">
        <v>13</v>
      </c>
      <c r="U3470" t="n">
        <v>14</v>
      </c>
      <c r="V3470" t="n">
        <v>30</v>
      </c>
      <c r="W3470" t="n">
        <v>1</v>
      </c>
      <c r="X3470" t="n">
        <v>164.8351648351648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11038</v>
      </c>
      <c r="AG3470" t="n">
        <v>33</v>
      </c>
      <c r="AH3470" t="inlineStr">
        <is>
          <t>PT. MENSA BINASUKSES - PPN (PDG)</t>
        </is>
      </c>
      <c r="AI3470" t="n">
        <v>98</v>
      </c>
      <c r="AJ3470" t="inlineStr">
        <is>
          <t>MAYBELLINE</t>
        </is>
      </c>
      <c r="AK3470" t="n">
        <v>21</v>
      </c>
      <c r="AL3470" t="inlineStr">
        <is>
          <t>Miss Glam Damar</t>
        </is>
      </c>
      <c r="AM3470" t="n">
        <v>3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MAYBELLINE</t>
        </is>
      </c>
      <c r="B3471" s="2">
        <f>"6902395970095"</f>
        <v/>
      </c>
      <c r="C3471" t="inlineStr">
        <is>
          <t>MAYBELLINE Superstay Up To 30H Lumi-Matte Foundation 123 35ml</t>
        </is>
      </c>
      <c r="D3471" t="inlineStr">
        <is>
          <t>Miss Glam Damar</t>
        </is>
      </c>
      <c r="E3471" t="n">
        <v>3</v>
      </c>
      <c r="F3471" t="n">
        <v>0.02</v>
      </c>
      <c r="G3471" t="n">
        <v>1</v>
      </c>
      <c r="H3471" t="n">
        <v>3</v>
      </c>
      <c r="I3471" t="n">
        <v>14</v>
      </c>
      <c r="J3471" t="n">
        <v>3</v>
      </c>
      <c r="K3471" t="n">
        <v>0</v>
      </c>
      <c r="L3471" t="n">
        <v>105939</v>
      </c>
      <c r="M3471" t="n">
        <v>139000</v>
      </c>
      <c r="N3471" t="n">
        <v>91</v>
      </c>
      <c r="O3471" t="n">
        <v>0.91</v>
      </c>
      <c r="P3471" t="n">
        <v>0</v>
      </c>
      <c r="Q3471" t="n">
        <v>0.02</v>
      </c>
      <c r="R3471" t="n">
        <v>1</v>
      </c>
      <c r="S3471" t="n">
        <v>2780</v>
      </c>
      <c r="T3471" t="n">
        <v>14</v>
      </c>
      <c r="U3471" t="n">
        <v>15</v>
      </c>
      <c r="V3471" t="n">
        <v>30</v>
      </c>
      <c r="W3471" t="n">
        <v>1</v>
      </c>
      <c r="X3471" t="n">
        <v>150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11038</v>
      </c>
      <c r="AG3471" t="n">
        <v>33</v>
      </c>
      <c r="AH3471" t="inlineStr">
        <is>
          <t>PT. MENSA BINASUKSES - PPN (PDG)</t>
        </is>
      </c>
      <c r="AI3471" t="n">
        <v>98</v>
      </c>
      <c r="AJ3471" t="inlineStr">
        <is>
          <t>MAYBELLINE</t>
        </is>
      </c>
      <c r="AK3471" t="n">
        <v>21</v>
      </c>
      <c r="AL3471" t="inlineStr">
        <is>
          <t>Miss Glam Damar</t>
        </is>
      </c>
      <c r="AM3471" t="n">
        <v>3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MAYBELLINE</t>
        </is>
      </c>
      <c r="B3472" s="2">
        <f>"203002176852"</f>
        <v/>
      </c>
      <c r="C3472" t="inlineStr">
        <is>
          <t>MAYBELLINE Superstay Vinyl Ink Limited Edition Sauce 200 Salsa 4.2 ml</t>
        </is>
      </c>
      <c r="D3472" t="inlineStr">
        <is>
          <t>Miss Glam Damar</t>
        </is>
      </c>
      <c r="E3472" t="n">
        <v>1</v>
      </c>
      <c r="F3472" t="n">
        <v>0.0182</v>
      </c>
      <c r="G3472" t="n">
        <v>0.91</v>
      </c>
      <c r="H3472" t="n">
        <v>3</v>
      </c>
      <c r="I3472" t="n">
        <v>14</v>
      </c>
      <c r="J3472" t="n">
        <v>3</v>
      </c>
      <c r="K3472" t="n">
        <v>0</v>
      </c>
      <c r="L3472" t="n">
        <v>104747</v>
      </c>
      <c r="M3472" t="n">
        <v>119000</v>
      </c>
      <c r="N3472" t="n">
        <v>91</v>
      </c>
      <c r="O3472" t="n">
        <v>0.91</v>
      </c>
      <c r="P3472" t="n">
        <v>1</v>
      </c>
      <c r="Q3472" t="n">
        <v>0.03</v>
      </c>
      <c r="R3472" t="n">
        <v>1</v>
      </c>
      <c r="S3472" t="n">
        <v>2165.8</v>
      </c>
      <c r="T3472" t="n">
        <v>13</v>
      </c>
      <c r="U3472" t="n">
        <v>14</v>
      </c>
      <c r="V3472" t="n">
        <v>30</v>
      </c>
      <c r="W3472" t="n">
        <v>1</v>
      </c>
      <c r="X3472" t="n">
        <v>54.94505494505494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11038</v>
      </c>
      <c r="AG3472" t="n">
        <v>33</v>
      </c>
      <c r="AH3472" t="inlineStr">
        <is>
          <t>PT. MENSA BINASUKSES - PPN (PDG)</t>
        </is>
      </c>
      <c r="AI3472" t="n">
        <v>98</v>
      </c>
      <c r="AJ3472" t="inlineStr">
        <is>
          <t>MAYBELLINE</t>
        </is>
      </c>
      <c r="AK3472" t="n">
        <v>21</v>
      </c>
      <c r="AL3472" t="inlineStr">
        <is>
          <t>Miss Glam Damar</t>
        </is>
      </c>
      <c r="AM3472" t="n">
        <v>3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MAYBELLINE</t>
        </is>
      </c>
      <c r="B3473" s="2">
        <f>"6902395844914"</f>
        <v/>
      </c>
      <c r="C3473" t="inlineStr">
        <is>
          <t>MAYBELLINE Tatto Liner 48H Liquid pen</t>
        </is>
      </c>
      <c r="D3473" t="inlineStr">
        <is>
          <t>Miss Glam Damar</t>
        </is>
      </c>
      <c r="E3473" t="n">
        <v>24</v>
      </c>
      <c r="F3473" t="n">
        <v>0.1729</v>
      </c>
      <c r="G3473" t="n">
        <v>1.82</v>
      </c>
      <c r="H3473" t="n">
        <v>3</v>
      </c>
      <c r="I3473" t="n">
        <v>14</v>
      </c>
      <c r="J3473" t="n">
        <v>3</v>
      </c>
      <c r="K3473" t="n">
        <v>0</v>
      </c>
      <c r="L3473" t="n">
        <v>67111</v>
      </c>
      <c r="M3473" t="n">
        <v>93500</v>
      </c>
      <c r="N3473" t="n">
        <v>91</v>
      </c>
      <c r="O3473" t="n">
        <v>0.91</v>
      </c>
      <c r="P3473" t="n">
        <v>1</v>
      </c>
      <c r="Q3473" t="n">
        <v>0.64</v>
      </c>
      <c r="R3473" t="n">
        <v>2</v>
      </c>
      <c r="S3473" t="n">
        <v>16166.15</v>
      </c>
      <c r="T3473" t="n">
        <v>25</v>
      </c>
      <c r="U3473" t="n">
        <v>26</v>
      </c>
      <c r="V3473" t="n">
        <v>30</v>
      </c>
      <c r="W3473" t="n">
        <v>6</v>
      </c>
      <c r="X3473" t="n">
        <v>138.8085598611914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11038</v>
      </c>
      <c r="AG3473" t="n">
        <v>33</v>
      </c>
      <c r="AH3473" t="inlineStr">
        <is>
          <t>PT. MENSA BINASUKSES - PPN (PDG)</t>
        </is>
      </c>
      <c r="AI3473" t="n">
        <v>98</v>
      </c>
      <c r="AJ3473" t="inlineStr">
        <is>
          <t>MAYBELLINE</t>
        </is>
      </c>
      <c r="AK3473" t="n">
        <v>21</v>
      </c>
      <c r="AL3473" t="inlineStr">
        <is>
          <t>Miss Glam Damar</t>
        </is>
      </c>
      <c r="AM3473" t="n">
        <v>3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MAYBELLINE</t>
        </is>
      </c>
      <c r="B3474" s="2">
        <f>"6902395743750"</f>
        <v/>
      </c>
      <c r="C3474" t="inlineStr">
        <is>
          <t>MAYBELLINE The Colossal Waterproof Mascara 9.2ml</t>
        </is>
      </c>
      <c r="D3474" t="inlineStr">
        <is>
          <t>Miss Glam Damar</t>
        </is>
      </c>
      <c r="E3474" t="n">
        <v>28</v>
      </c>
      <c r="F3474" t="n">
        <v>0.6279</v>
      </c>
      <c r="G3474" t="n">
        <v>2.73</v>
      </c>
      <c r="H3474" t="n">
        <v>3</v>
      </c>
      <c r="I3474" t="n">
        <v>14</v>
      </c>
      <c r="J3474" t="n">
        <v>3</v>
      </c>
      <c r="K3474" t="n">
        <v>0</v>
      </c>
      <c r="L3474" t="n">
        <v>66198</v>
      </c>
      <c r="M3474" t="n">
        <v>94500</v>
      </c>
      <c r="N3474" t="n">
        <v>91</v>
      </c>
      <c r="O3474" t="n">
        <v>0.91</v>
      </c>
      <c r="P3474" t="n">
        <v>1</v>
      </c>
      <c r="Q3474" t="n">
        <v>0.59</v>
      </c>
      <c r="R3474" t="n">
        <v>5</v>
      </c>
      <c r="S3474" t="n">
        <v>59336.55</v>
      </c>
      <c r="T3474" t="n">
        <v>37</v>
      </c>
      <c r="U3474" t="n">
        <v>39</v>
      </c>
      <c r="V3474" t="n">
        <v>30</v>
      </c>
      <c r="W3474" t="n">
        <v>19</v>
      </c>
      <c r="X3474" t="n">
        <v>44.59308807134894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11038</v>
      </c>
      <c r="AG3474" t="n">
        <v>33</v>
      </c>
      <c r="AH3474" t="inlineStr">
        <is>
          <t>PT. MENSA BINASUKSES - PPN (PDG)</t>
        </is>
      </c>
      <c r="AI3474" t="n">
        <v>98</v>
      </c>
      <c r="AJ3474" t="inlineStr">
        <is>
          <t>MAYBELLINE</t>
        </is>
      </c>
      <c r="AK3474" t="n">
        <v>21</v>
      </c>
      <c r="AL3474" t="inlineStr">
        <is>
          <t>Miss Glam Damar</t>
        </is>
      </c>
      <c r="AM3474" t="n">
        <v>3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MAYBELLINE</t>
        </is>
      </c>
      <c r="B3475" s="2">
        <f>"6902395781660"</f>
        <v/>
      </c>
      <c r="C3475" t="inlineStr">
        <is>
          <t>MAYBELLINE The Falsies Lash Lift 8.6ml</t>
        </is>
      </c>
      <c r="D3475" t="inlineStr">
        <is>
          <t>Miss Glam Damar</t>
        </is>
      </c>
      <c r="E3475" t="n">
        <v>25</v>
      </c>
      <c r="F3475" t="n">
        <v>0.2821</v>
      </c>
      <c r="G3475" t="n">
        <v>1.82</v>
      </c>
      <c r="H3475" t="n">
        <v>3</v>
      </c>
      <c r="I3475" t="n">
        <v>14</v>
      </c>
      <c r="J3475" t="n">
        <v>3</v>
      </c>
      <c r="K3475" t="n">
        <v>0</v>
      </c>
      <c r="L3475" t="n">
        <v>122497</v>
      </c>
      <c r="M3475" t="n">
        <v>139900</v>
      </c>
      <c r="N3475" t="n">
        <v>91</v>
      </c>
      <c r="O3475" t="n">
        <v>0.91</v>
      </c>
      <c r="P3475" t="n">
        <v>1</v>
      </c>
      <c r="Q3475" t="n">
        <v>0.64</v>
      </c>
      <c r="R3475" t="n">
        <v>3</v>
      </c>
      <c r="S3475" t="n">
        <v>39465.79</v>
      </c>
      <c r="T3475" t="n">
        <v>25</v>
      </c>
      <c r="U3475" t="n">
        <v>26</v>
      </c>
      <c r="V3475" t="n">
        <v>30</v>
      </c>
      <c r="W3475" t="n">
        <v>9</v>
      </c>
      <c r="X3475" t="n">
        <v>88.62105636299184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11038</v>
      </c>
      <c r="AG3475" t="n">
        <v>33</v>
      </c>
      <c r="AH3475" t="inlineStr">
        <is>
          <t>PT. MENSA BINASUKSES - PPN (PDG)</t>
        </is>
      </c>
      <c r="AI3475" t="n">
        <v>98</v>
      </c>
      <c r="AJ3475" t="inlineStr">
        <is>
          <t>MAYBELLINE</t>
        </is>
      </c>
      <c r="AK3475" t="n">
        <v>21</v>
      </c>
      <c r="AL3475" t="inlineStr">
        <is>
          <t>Miss Glam Damar</t>
        </is>
      </c>
      <c r="AM3475" t="n">
        <v>3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MAYBELLINE</t>
        </is>
      </c>
      <c r="B3476" s="2">
        <f>"6923492584206"</f>
        <v/>
      </c>
      <c r="C3476" t="inlineStr">
        <is>
          <t>MAYBELLINE Volum Express Hypercurl Waterproof Mascara Make Up Black 9.2ml New</t>
        </is>
      </c>
      <c r="D3476" t="inlineStr">
        <is>
          <t>Miss Glam Damar</t>
        </is>
      </c>
      <c r="E3476" t="n">
        <v>46</v>
      </c>
      <c r="F3476" t="n">
        <v>1.638</v>
      </c>
      <c r="G3476" t="n">
        <v>7.28</v>
      </c>
      <c r="H3476" t="n">
        <v>3</v>
      </c>
      <c r="I3476" t="n">
        <v>14</v>
      </c>
      <c r="J3476" t="n">
        <v>3</v>
      </c>
      <c r="K3476" t="n">
        <v>0</v>
      </c>
      <c r="L3476" t="n">
        <v>60581</v>
      </c>
      <c r="M3476" t="n">
        <v>89900</v>
      </c>
      <c r="N3476" t="n">
        <v>91</v>
      </c>
      <c r="O3476" t="n">
        <v>0.91</v>
      </c>
      <c r="P3476" t="n">
        <v>1</v>
      </c>
      <c r="Q3476" t="n">
        <v>1.85</v>
      </c>
      <c r="R3476" t="n">
        <v>6</v>
      </c>
      <c r="S3476" t="n">
        <v>147256.2</v>
      </c>
      <c r="T3476" t="n">
        <v>98</v>
      </c>
      <c r="U3476" t="n">
        <v>103</v>
      </c>
      <c r="V3476" t="n">
        <v>30</v>
      </c>
      <c r="W3476" t="n">
        <v>50</v>
      </c>
      <c r="X3476" t="n">
        <v>28.08302808302808</v>
      </c>
      <c r="Y3476" t="n">
        <v>1</v>
      </c>
      <c r="Z3476" t="n">
        <v>4</v>
      </c>
      <c r="AA3476" t="n">
        <v>0</v>
      </c>
      <c r="AB3476" t="n">
        <v>4</v>
      </c>
      <c r="AC3476" t="n">
        <v>4</v>
      </c>
      <c r="AD3476" t="n">
        <v>0</v>
      </c>
      <c r="AE3476" t="n">
        <v>242324</v>
      </c>
      <c r="AF3476" t="n">
        <v>11038</v>
      </c>
      <c r="AG3476" t="n">
        <v>33</v>
      </c>
      <c r="AH3476" t="inlineStr">
        <is>
          <t>PT. MENSA BINASUKSES - PPN (PDG)</t>
        </is>
      </c>
      <c r="AI3476" t="n">
        <v>98</v>
      </c>
      <c r="AJ3476" t="inlineStr">
        <is>
          <t>MAYBELLINE</t>
        </is>
      </c>
      <c r="AK3476" t="n">
        <v>21</v>
      </c>
      <c r="AL3476" t="inlineStr">
        <is>
          <t>Miss Glam Damar</t>
        </is>
      </c>
      <c r="AM3476" t="n">
        <v>3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MBK</t>
        </is>
      </c>
      <c r="B3477" s="2">
        <f>"8991977659815"</f>
        <v/>
      </c>
      <c r="C3477" t="inlineStr">
        <is>
          <t>MBK Deodorant Black 40ml</t>
        </is>
      </c>
      <c r="D3477" t="inlineStr">
        <is>
          <t>Miss Glam Damar</t>
        </is>
      </c>
      <c r="E3477" t="n">
        <v>17</v>
      </c>
      <c r="F3477" t="n">
        <v>0.5096000000000001</v>
      </c>
      <c r="G3477" t="n">
        <v>2.73</v>
      </c>
      <c r="H3477" t="n">
        <v>4</v>
      </c>
      <c r="I3477" t="n">
        <v>21</v>
      </c>
      <c r="J3477" t="n">
        <v>3</v>
      </c>
      <c r="K3477" t="n">
        <v>6</v>
      </c>
      <c r="L3477" t="n">
        <v>10979</v>
      </c>
      <c r="M3477" t="n">
        <v>15000</v>
      </c>
      <c r="N3477" t="n">
        <v>91</v>
      </c>
      <c r="O3477" t="n">
        <v>0.91</v>
      </c>
      <c r="P3477" t="n">
        <v>1</v>
      </c>
      <c r="Q3477" t="n">
        <v>0.73</v>
      </c>
      <c r="R3477" t="n">
        <v>8</v>
      </c>
      <c r="S3477" t="n">
        <v>7644.000000000001</v>
      </c>
      <c r="T3477" t="n">
        <v>56</v>
      </c>
      <c r="U3477" t="n">
        <v>59</v>
      </c>
      <c r="V3477" t="n">
        <v>30</v>
      </c>
      <c r="W3477" t="n">
        <v>16</v>
      </c>
      <c r="X3477" t="n">
        <v>33.35949764521192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6619</v>
      </c>
      <c r="AG3477" t="n">
        <v>1</v>
      </c>
      <c r="AH3477" t="inlineStr">
        <is>
          <t>PT. BERSAMA DISTRIVERSA INDONESIA (DC CIPUTAT)</t>
        </is>
      </c>
      <c r="AI3477" t="n">
        <v>384</v>
      </c>
      <c r="AJ3477" t="inlineStr">
        <is>
          <t>MBK</t>
        </is>
      </c>
      <c r="AK3477" t="n">
        <v>21</v>
      </c>
      <c r="AL3477" t="inlineStr">
        <is>
          <t>Miss Glam Damar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MBK</t>
        </is>
      </c>
      <c r="B3478" s="2">
        <f>"8991977659808"</f>
        <v/>
      </c>
      <c r="C3478" t="inlineStr">
        <is>
          <t>MBK Deodorant Blue 40ml</t>
        </is>
      </c>
      <c r="D3478" t="inlineStr">
        <is>
          <t>Miss Glam Damar</t>
        </is>
      </c>
      <c r="E3478" t="n">
        <v>21</v>
      </c>
      <c r="F3478" t="n">
        <v>1.2467</v>
      </c>
      <c r="G3478" t="n">
        <v>5.46</v>
      </c>
      <c r="H3478" t="n">
        <v>4</v>
      </c>
      <c r="I3478" t="n">
        <v>21</v>
      </c>
      <c r="J3478" t="n">
        <v>3</v>
      </c>
      <c r="K3478" t="n">
        <v>0</v>
      </c>
      <c r="L3478" t="n">
        <v>10970</v>
      </c>
      <c r="M3478" t="n">
        <v>15000</v>
      </c>
      <c r="N3478" t="n">
        <v>91</v>
      </c>
      <c r="O3478" t="n">
        <v>0.91</v>
      </c>
      <c r="P3478" t="n">
        <v>1</v>
      </c>
      <c r="Q3478" t="n">
        <v>0.53</v>
      </c>
      <c r="R3478" t="n">
        <v>4</v>
      </c>
      <c r="S3478" t="n">
        <v>18700.5</v>
      </c>
      <c r="T3478" t="n">
        <v>110</v>
      </c>
      <c r="U3478" t="n">
        <v>115</v>
      </c>
      <c r="V3478" t="n">
        <v>30</v>
      </c>
      <c r="W3478" t="n">
        <v>38</v>
      </c>
      <c r="X3478" t="n">
        <v>16.84446939921392</v>
      </c>
      <c r="Y3478" t="n">
        <v>1</v>
      </c>
      <c r="Z3478" t="n">
        <v>17</v>
      </c>
      <c r="AA3478" t="n">
        <v>6</v>
      </c>
      <c r="AB3478" t="n">
        <v>11</v>
      </c>
      <c r="AC3478" t="n">
        <v>11</v>
      </c>
      <c r="AD3478" t="n">
        <v>65820</v>
      </c>
      <c r="AE3478" t="n">
        <v>120670</v>
      </c>
      <c r="AF3478" t="n">
        <v>6619</v>
      </c>
      <c r="AG3478" t="n">
        <v>1</v>
      </c>
      <c r="AH3478" t="inlineStr">
        <is>
          <t>PT. BERSAMA DISTRIVERSA INDONESIA (DC CIPUTAT)</t>
        </is>
      </c>
      <c r="AI3478" t="n">
        <v>384</v>
      </c>
      <c r="AJ3478" t="inlineStr">
        <is>
          <t>MBK</t>
        </is>
      </c>
      <c r="AK3478" t="n">
        <v>21</v>
      </c>
      <c r="AL3478" t="inlineStr">
        <is>
          <t>Miss Glam Damar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MBK</t>
        </is>
      </c>
      <c r="B3479" s="2">
        <f>"8991977659785"</f>
        <v/>
      </c>
      <c r="C3479" t="inlineStr">
        <is>
          <t>MBK Deodorant Roll On Pink 40ml</t>
        </is>
      </c>
      <c r="D3479" t="inlineStr">
        <is>
          <t>Miss Glam Damar</t>
        </is>
      </c>
      <c r="E3479" t="n">
        <v>20</v>
      </c>
      <c r="F3479" t="n">
        <v>3.3215</v>
      </c>
      <c r="G3479" t="n">
        <v>12.74</v>
      </c>
      <c r="H3479" t="n">
        <v>4</v>
      </c>
      <c r="I3479" t="n">
        <v>21</v>
      </c>
      <c r="J3479" t="n">
        <v>3</v>
      </c>
      <c r="K3479" t="n">
        <v>54</v>
      </c>
      <c r="L3479" t="n">
        <v>10983</v>
      </c>
      <c r="M3479" t="n">
        <v>15000</v>
      </c>
      <c r="N3479" t="n">
        <v>91</v>
      </c>
      <c r="O3479" t="n">
        <v>0.91</v>
      </c>
      <c r="P3479" t="n">
        <v>1</v>
      </c>
      <c r="Q3479" t="n">
        <v>2.69</v>
      </c>
      <c r="R3479" t="n">
        <v>9</v>
      </c>
      <c r="S3479" t="n">
        <v>49822.5</v>
      </c>
      <c r="T3479" t="n">
        <v>255</v>
      </c>
      <c r="U3479" t="n">
        <v>269</v>
      </c>
      <c r="V3479" t="n">
        <v>30</v>
      </c>
      <c r="W3479" t="n">
        <v>100</v>
      </c>
      <c r="X3479" t="n">
        <v>6.021375884389583</v>
      </c>
      <c r="Y3479" t="n">
        <v>1</v>
      </c>
      <c r="Z3479" t="n">
        <v>26</v>
      </c>
      <c r="AA3479" t="n">
        <v>49</v>
      </c>
      <c r="AB3479" t="n">
        <v>0</v>
      </c>
      <c r="AC3479" t="n">
        <v>0</v>
      </c>
      <c r="AD3479" t="n">
        <v>538167</v>
      </c>
      <c r="AE3479" t="n">
        <v>0</v>
      </c>
      <c r="AF3479" t="n">
        <v>6619</v>
      </c>
      <c r="AG3479" t="n">
        <v>1</v>
      </c>
      <c r="AH3479" t="inlineStr">
        <is>
          <t>PT. BERSAMA DISTRIVERSA INDONESIA (DC CIPUTAT)</t>
        </is>
      </c>
      <c r="AI3479" t="n">
        <v>384</v>
      </c>
      <c r="AJ3479" t="inlineStr">
        <is>
          <t>MBK</t>
        </is>
      </c>
      <c r="AK3479" t="n">
        <v>21</v>
      </c>
      <c r="AL3479" t="inlineStr">
        <is>
          <t>Miss Glam Damar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MBK</t>
        </is>
      </c>
      <c r="B3480" s="2">
        <f>"8991977659792"</f>
        <v/>
      </c>
      <c r="C3480" t="inlineStr">
        <is>
          <t>MBK Deodorant Roll On Ungu 40ml</t>
        </is>
      </c>
      <c r="D3480" t="inlineStr">
        <is>
          <t>Miss Glam Damar</t>
        </is>
      </c>
      <c r="E3480" t="n">
        <v>15</v>
      </c>
      <c r="F3480" t="n">
        <v>2.5571</v>
      </c>
      <c r="G3480" t="n">
        <v>10.01</v>
      </c>
      <c r="H3480" t="n">
        <v>4</v>
      </c>
      <c r="I3480" t="n">
        <v>21</v>
      </c>
      <c r="J3480" t="n">
        <v>3</v>
      </c>
      <c r="K3480" t="n">
        <v>12</v>
      </c>
      <c r="L3480" t="n">
        <v>10971</v>
      </c>
      <c r="M3480" t="n">
        <v>15000</v>
      </c>
      <c r="N3480" t="n">
        <v>91</v>
      </c>
      <c r="O3480" t="n">
        <v>0.91</v>
      </c>
      <c r="P3480" t="n">
        <v>1</v>
      </c>
      <c r="Q3480" t="n">
        <v>1.19</v>
      </c>
      <c r="R3480" t="n">
        <v>5</v>
      </c>
      <c r="S3480" t="n">
        <v>38356.5</v>
      </c>
      <c r="T3480" t="n">
        <v>200</v>
      </c>
      <c r="U3480" t="n">
        <v>211</v>
      </c>
      <c r="V3480" t="n">
        <v>30</v>
      </c>
      <c r="W3480" t="n">
        <v>77</v>
      </c>
      <c r="X3480" t="n">
        <v>5.866020100895545</v>
      </c>
      <c r="Y3480" t="n">
        <v>1</v>
      </c>
      <c r="Z3480" t="n">
        <v>50</v>
      </c>
      <c r="AA3480" t="n">
        <v>38</v>
      </c>
      <c r="AB3480" t="n">
        <v>12</v>
      </c>
      <c r="AC3480" t="n">
        <v>12</v>
      </c>
      <c r="AD3480" t="n">
        <v>416898</v>
      </c>
      <c r="AE3480" t="n">
        <v>131652</v>
      </c>
      <c r="AF3480" t="n">
        <v>6619</v>
      </c>
      <c r="AG3480" t="n">
        <v>1</v>
      </c>
      <c r="AH3480" t="inlineStr">
        <is>
          <t>PT. BERSAMA DISTRIVERSA INDONESIA (DC CIPUTAT)</t>
        </is>
      </c>
      <c r="AI3480" t="n">
        <v>384</v>
      </c>
      <c r="AJ3480" t="inlineStr">
        <is>
          <t>MBK</t>
        </is>
      </c>
      <c r="AK3480" t="n">
        <v>21</v>
      </c>
      <c r="AL3480" t="inlineStr">
        <is>
          <t>Miss Glam Damar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MEDIHEAL</t>
        </is>
      </c>
      <c r="B3481" s="2">
        <f>"8809261557092"</f>
        <v/>
      </c>
      <c r="C3481" t="inlineStr">
        <is>
          <t>MEDIHEAL Aloe Vera  Hydrogel 92% 300ml</t>
        </is>
      </c>
      <c r="D3481" t="inlineStr">
        <is>
          <t>Miss Glam Damar</t>
        </is>
      </c>
      <c r="E3481" t="n">
        <v>9</v>
      </c>
      <c r="F3481" t="n">
        <v>0.2912</v>
      </c>
      <c r="G3481" t="n">
        <v>2.73</v>
      </c>
      <c r="H3481" t="n">
        <v>2</v>
      </c>
      <c r="I3481" t="n">
        <v>11</v>
      </c>
      <c r="J3481" t="n">
        <v>3</v>
      </c>
      <c r="K3481" t="n">
        <v>0</v>
      </c>
      <c r="L3481" t="n">
        <v>62333</v>
      </c>
      <c r="M3481" t="n">
        <v>79000</v>
      </c>
      <c r="N3481" t="n">
        <v>91</v>
      </c>
      <c r="O3481" t="n">
        <v>0.91</v>
      </c>
      <c r="P3481" t="n">
        <v>1</v>
      </c>
      <c r="Q3481" t="n">
        <v>0.24</v>
      </c>
      <c r="R3481" t="n">
        <v>2</v>
      </c>
      <c r="S3481" t="n">
        <v>23004.8</v>
      </c>
      <c r="T3481" t="n">
        <v>30</v>
      </c>
      <c r="U3481" t="n">
        <v>31</v>
      </c>
      <c r="V3481" t="n">
        <v>30</v>
      </c>
      <c r="W3481" t="n">
        <v>9</v>
      </c>
      <c r="X3481" t="n">
        <v>30.90659340659341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12362</v>
      </c>
      <c r="AG3481" t="n">
        <v>92</v>
      </c>
      <c r="AH3481" t="inlineStr">
        <is>
          <t>PT. SAI (PDG)</t>
        </is>
      </c>
      <c r="AI3481" t="n">
        <v>375</v>
      </c>
      <c r="AJ3481" t="inlineStr">
        <is>
          <t>MEDIHEAL</t>
        </is>
      </c>
      <c r="AK3481" t="n">
        <v>21</v>
      </c>
      <c r="AL3481" t="inlineStr">
        <is>
          <t>Miss Glam Damar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MEDIHEAL</t>
        </is>
      </c>
      <c r="B3482" s="2">
        <f>"10500177402"</f>
        <v/>
      </c>
      <c r="C3482" t="inlineStr">
        <is>
          <t>MEDIHEAL Centella Niacin Ampoule Mask 27ml</t>
        </is>
      </c>
      <c r="D3482" t="inlineStr">
        <is>
          <t>Miss Glam Damar</t>
        </is>
      </c>
      <c r="E3482" t="n">
        <v>11</v>
      </c>
      <c r="F3482" t="n">
        <v>0.02</v>
      </c>
      <c r="G3482" t="n">
        <v>0</v>
      </c>
      <c r="H3482" t="n">
        <v>2</v>
      </c>
      <c r="I3482" t="n">
        <v>11</v>
      </c>
      <c r="J3482" t="n">
        <v>1</v>
      </c>
      <c r="K3482" t="n">
        <v>0</v>
      </c>
      <c r="L3482" t="n">
        <v>28000</v>
      </c>
      <c r="M3482" t="n">
        <v>35000</v>
      </c>
      <c r="N3482" t="n">
        <v>91</v>
      </c>
      <c r="O3482" t="n">
        <v>0.91</v>
      </c>
      <c r="P3482" t="n">
        <v>0</v>
      </c>
      <c r="Q3482" t="n">
        <v>0.02</v>
      </c>
      <c r="R3482" t="n">
        <v>0</v>
      </c>
      <c r="S3482" t="n">
        <v>700</v>
      </c>
      <c r="T3482" t="n">
        <v>0</v>
      </c>
      <c r="U3482" t="n">
        <v>1</v>
      </c>
      <c r="V3482" t="n">
        <v>30</v>
      </c>
      <c r="W3482" t="n">
        <v>1</v>
      </c>
      <c r="X3482" t="n">
        <v>550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12362</v>
      </c>
      <c r="AG3482" t="n">
        <v>92</v>
      </c>
      <c r="AH3482" t="inlineStr">
        <is>
          <t>PT. SAI (PDG)</t>
        </is>
      </c>
      <c r="AI3482" t="n">
        <v>375</v>
      </c>
      <c r="AJ3482" t="inlineStr">
        <is>
          <t>MEDIHEAL</t>
        </is>
      </c>
      <c r="AK3482" t="n">
        <v>21</v>
      </c>
      <c r="AL3482" t="inlineStr">
        <is>
          <t>Miss Glam Damar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MEDIHEAL</t>
        </is>
      </c>
      <c r="B3483" s="2">
        <f>"10500177622"</f>
        <v/>
      </c>
      <c r="C3483" t="inlineStr">
        <is>
          <t>MEDIHEAL Ceramide Moisture Barrier Essential Mask 27ml</t>
        </is>
      </c>
      <c r="D3483" t="inlineStr">
        <is>
          <t>Miss Glam Damar</t>
        </is>
      </c>
      <c r="E3483" t="n">
        <v>11</v>
      </c>
      <c r="F3483" t="n">
        <v>0.02</v>
      </c>
      <c r="G3483" t="n">
        <v>0</v>
      </c>
      <c r="H3483" t="n">
        <v>2</v>
      </c>
      <c r="I3483" t="n">
        <v>11</v>
      </c>
      <c r="J3483" t="n">
        <v>1</v>
      </c>
      <c r="K3483" t="n">
        <v>0</v>
      </c>
      <c r="L3483" t="n">
        <v>28000</v>
      </c>
      <c r="M3483" t="n">
        <v>35000</v>
      </c>
      <c r="N3483" t="n">
        <v>91</v>
      </c>
      <c r="O3483" t="n">
        <v>0.91</v>
      </c>
      <c r="P3483" t="n">
        <v>0</v>
      </c>
      <c r="Q3483" t="n">
        <v>0.02</v>
      </c>
      <c r="R3483" t="n">
        <v>0</v>
      </c>
      <c r="S3483" t="n">
        <v>700</v>
      </c>
      <c r="T3483" t="n">
        <v>0</v>
      </c>
      <c r="U3483" t="n">
        <v>1</v>
      </c>
      <c r="V3483" t="n">
        <v>30</v>
      </c>
      <c r="W3483" t="n">
        <v>1</v>
      </c>
      <c r="X3483" t="n">
        <v>550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12362</v>
      </c>
      <c r="AG3483" t="n">
        <v>92</v>
      </c>
      <c r="AH3483" t="inlineStr">
        <is>
          <t>PT. SAI (PDG)</t>
        </is>
      </c>
      <c r="AI3483" t="n">
        <v>375</v>
      </c>
      <c r="AJ3483" t="inlineStr">
        <is>
          <t>MEDIHEAL</t>
        </is>
      </c>
      <c r="AK3483" t="n">
        <v>21</v>
      </c>
      <c r="AL3483" t="inlineStr">
        <is>
          <t>Miss Glam Damar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MEDIHEAL</t>
        </is>
      </c>
      <c r="B3484" s="2">
        <f>"10500177247"</f>
        <v/>
      </c>
      <c r="C3484" t="inlineStr">
        <is>
          <t>MEDIHEAL E.G.T Derma Ampoule Mask 27ml</t>
        </is>
      </c>
      <c r="D3484" t="inlineStr">
        <is>
          <t>Miss Glam Damar</t>
        </is>
      </c>
      <c r="E3484" t="n">
        <v>9</v>
      </c>
      <c r="F3484" t="n">
        <v>0.04550000000000001</v>
      </c>
      <c r="G3484" t="n">
        <v>0</v>
      </c>
      <c r="H3484" t="n">
        <v>2</v>
      </c>
      <c r="I3484" t="n">
        <v>11</v>
      </c>
      <c r="J3484" t="n">
        <v>1</v>
      </c>
      <c r="K3484" t="n">
        <v>0</v>
      </c>
      <c r="L3484" t="n">
        <v>28000</v>
      </c>
      <c r="M3484" t="n">
        <v>35000</v>
      </c>
      <c r="N3484" t="n">
        <v>91</v>
      </c>
      <c r="O3484" t="n">
        <v>0.91</v>
      </c>
      <c r="P3484" t="n">
        <v>1</v>
      </c>
      <c r="Q3484" t="n">
        <v>0.05</v>
      </c>
      <c r="R3484" t="n">
        <v>0</v>
      </c>
      <c r="S3484" t="n">
        <v>1592.5</v>
      </c>
      <c r="T3484" t="n">
        <v>0</v>
      </c>
      <c r="U3484" t="n">
        <v>1</v>
      </c>
      <c r="V3484" t="n">
        <v>30</v>
      </c>
      <c r="W3484" t="n">
        <v>2</v>
      </c>
      <c r="X3484" t="n">
        <v>197.8021978021978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12362</v>
      </c>
      <c r="AG3484" t="n">
        <v>92</v>
      </c>
      <c r="AH3484" t="inlineStr">
        <is>
          <t>PT. SAI (PDG)</t>
        </is>
      </c>
      <c r="AI3484" t="n">
        <v>375</v>
      </c>
      <c r="AJ3484" t="inlineStr">
        <is>
          <t>MEDIHEAL</t>
        </is>
      </c>
      <c r="AK3484" t="n">
        <v>21</v>
      </c>
      <c r="AL3484" t="inlineStr">
        <is>
          <t>Miss Glam Damar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MEDIHEAL</t>
        </is>
      </c>
      <c r="B3485" s="2">
        <f>"10500177323"</f>
        <v/>
      </c>
      <c r="C3485" t="inlineStr">
        <is>
          <t>MEDIHEAL H.P.A Derma Ampoule Mask 27ml</t>
        </is>
      </c>
      <c r="D3485" t="inlineStr">
        <is>
          <t>Miss Glam Damar</t>
        </is>
      </c>
      <c r="E3485" t="n">
        <v>10</v>
      </c>
      <c r="F3485" t="n">
        <v>0.03</v>
      </c>
      <c r="G3485" t="n">
        <v>0</v>
      </c>
      <c r="H3485" t="n">
        <v>2</v>
      </c>
      <c r="I3485" t="n">
        <v>11</v>
      </c>
      <c r="J3485" t="n">
        <v>1</v>
      </c>
      <c r="K3485" t="n">
        <v>0</v>
      </c>
      <c r="L3485" t="n">
        <v>28000</v>
      </c>
      <c r="M3485" t="n">
        <v>35000</v>
      </c>
      <c r="N3485" t="n">
        <v>91</v>
      </c>
      <c r="O3485" t="n">
        <v>0.91</v>
      </c>
      <c r="P3485" t="n">
        <v>0</v>
      </c>
      <c r="Q3485" t="n">
        <v>0.03</v>
      </c>
      <c r="R3485" t="n">
        <v>0</v>
      </c>
      <c r="S3485" t="n">
        <v>1050</v>
      </c>
      <c r="T3485" t="n">
        <v>0</v>
      </c>
      <c r="U3485" t="n">
        <v>1</v>
      </c>
      <c r="V3485" t="n">
        <v>30</v>
      </c>
      <c r="W3485" t="n">
        <v>1</v>
      </c>
      <c r="X3485" t="n">
        <v>333.3333333333334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12362</v>
      </c>
      <c r="AG3485" t="n">
        <v>92</v>
      </c>
      <c r="AH3485" t="inlineStr">
        <is>
          <t>PT. SAI (PDG)</t>
        </is>
      </c>
      <c r="AI3485" t="n">
        <v>375</v>
      </c>
      <c r="AJ3485" t="inlineStr">
        <is>
          <t>MEDIHEAL</t>
        </is>
      </c>
      <c r="AK3485" t="n">
        <v>21</v>
      </c>
      <c r="AL3485" t="inlineStr">
        <is>
          <t>Miss Glam Damar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MEDIHEAL</t>
        </is>
      </c>
      <c r="B3486" s="2">
        <f>"10500176948"</f>
        <v/>
      </c>
      <c r="C3486" t="inlineStr">
        <is>
          <t>MEDIHEAL Hyaluronate Ultra Hydration Essential Mask 24ml</t>
        </is>
      </c>
      <c r="D3486" t="inlineStr">
        <is>
          <t>Miss Glam Damar</t>
        </is>
      </c>
      <c r="E3486" t="n">
        <v>10</v>
      </c>
      <c r="F3486" t="n">
        <v>0.03</v>
      </c>
      <c r="G3486" t="n">
        <v>0</v>
      </c>
      <c r="H3486" t="n">
        <v>2</v>
      </c>
      <c r="I3486" t="n">
        <v>11</v>
      </c>
      <c r="J3486" t="n">
        <v>1</v>
      </c>
      <c r="K3486" t="n">
        <v>0</v>
      </c>
      <c r="L3486" t="n">
        <v>28000</v>
      </c>
      <c r="M3486" t="n">
        <v>35000</v>
      </c>
      <c r="N3486" t="n">
        <v>91</v>
      </c>
      <c r="O3486" t="n">
        <v>0.91</v>
      </c>
      <c r="P3486" t="n">
        <v>0</v>
      </c>
      <c r="Q3486" t="n">
        <v>0.03</v>
      </c>
      <c r="R3486" t="n">
        <v>0</v>
      </c>
      <c r="S3486" t="n">
        <v>1050</v>
      </c>
      <c r="T3486" t="n">
        <v>0</v>
      </c>
      <c r="U3486" t="n">
        <v>1</v>
      </c>
      <c r="V3486" t="n">
        <v>30</v>
      </c>
      <c r="W3486" t="n">
        <v>1</v>
      </c>
      <c r="X3486" t="n">
        <v>333.3333333333334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12362</v>
      </c>
      <c r="AG3486" t="n">
        <v>92</v>
      </c>
      <c r="AH3486" t="inlineStr">
        <is>
          <t>PT. SAI (PDG)</t>
        </is>
      </c>
      <c r="AI3486" t="n">
        <v>375</v>
      </c>
      <c r="AJ3486" t="inlineStr">
        <is>
          <t>MEDIHEAL</t>
        </is>
      </c>
      <c r="AK3486" t="n">
        <v>21</v>
      </c>
      <c r="AL3486" t="inlineStr">
        <is>
          <t>Miss Glam Damar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MEDIHEAL</t>
        </is>
      </c>
      <c r="B3487" s="2">
        <f>"10500177108"</f>
        <v/>
      </c>
      <c r="C3487" t="inlineStr">
        <is>
          <t>MEDIHEAL I.P.I Derma Ampoule Mask 27ml</t>
        </is>
      </c>
      <c r="D3487" t="inlineStr">
        <is>
          <t>Miss Glam Damar</t>
        </is>
      </c>
      <c r="E3487" t="n">
        <v>11</v>
      </c>
      <c r="F3487" t="n">
        <v>0.02</v>
      </c>
      <c r="G3487" t="n">
        <v>0</v>
      </c>
      <c r="H3487" t="n">
        <v>2</v>
      </c>
      <c r="I3487" t="n">
        <v>11</v>
      </c>
      <c r="J3487" t="n">
        <v>1</v>
      </c>
      <c r="K3487" t="n">
        <v>0</v>
      </c>
      <c r="L3487" t="n">
        <v>28000</v>
      </c>
      <c r="M3487" t="n">
        <v>35000</v>
      </c>
      <c r="N3487" t="n">
        <v>91</v>
      </c>
      <c r="O3487" t="n">
        <v>0.91</v>
      </c>
      <c r="P3487" t="n">
        <v>0</v>
      </c>
      <c r="Q3487" t="n">
        <v>0.02</v>
      </c>
      <c r="R3487" t="n">
        <v>0</v>
      </c>
      <c r="S3487" t="n">
        <v>700</v>
      </c>
      <c r="T3487" t="n">
        <v>0</v>
      </c>
      <c r="U3487" t="n">
        <v>1</v>
      </c>
      <c r="V3487" t="n">
        <v>30</v>
      </c>
      <c r="W3487" t="n">
        <v>1</v>
      </c>
      <c r="X3487" t="n">
        <v>550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12362</v>
      </c>
      <c r="AG3487" t="n">
        <v>92</v>
      </c>
      <c r="AH3487" t="inlineStr">
        <is>
          <t>PT. SAI (PDG)</t>
        </is>
      </c>
      <c r="AI3487" t="n">
        <v>375</v>
      </c>
      <c r="AJ3487" t="inlineStr">
        <is>
          <t>MEDIHEAL</t>
        </is>
      </c>
      <c r="AK3487" t="n">
        <v>21</v>
      </c>
      <c r="AL3487" t="inlineStr">
        <is>
          <t>Miss Glam Damar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MEDIHEAL</t>
        </is>
      </c>
      <c r="B3488" s="2">
        <f>"8809335481063"</f>
        <v/>
      </c>
      <c r="C3488" t="inlineStr">
        <is>
          <t>MEDIHEAL Labocare Pantenolips Healessence 10ml</t>
        </is>
      </c>
      <c r="D3488" t="inlineStr">
        <is>
          <t>Miss Glam Damar</t>
        </is>
      </c>
      <c r="E3488" t="n">
        <v>6</v>
      </c>
      <c r="F3488" t="n">
        <v>0.3276</v>
      </c>
      <c r="G3488" t="n">
        <v>1.82</v>
      </c>
      <c r="H3488" t="n">
        <v>2</v>
      </c>
      <c r="I3488" t="n">
        <v>11</v>
      </c>
      <c r="J3488" t="n">
        <v>3</v>
      </c>
      <c r="K3488" t="n">
        <v>0</v>
      </c>
      <c r="L3488" t="n">
        <v>43920</v>
      </c>
      <c r="M3488" t="n">
        <v>55000</v>
      </c>
      <c r="N3488" t="n">
        <v>91</v>
      </c>
      <c r="O3488" t="n">
        <v>0.91</v>
      </c>
      <c r="P3488" t="n">
        <v>1</v>
      </c>
      <c r="Q3488" t="n">
        <v>0.31</v>
      </c>
      <c r="R3488" t="n">
        <v>3</v>
      </c>
      <c r="S3488" t="n">
        <v>18018</v>
      </c>
      <c r="T3488" t="n">
        <v>20</v>
      </c>
      <c r="U3488" t="n">
        <v>21</v>
      </c>
      <c r="V3488" t="n">
        <v>30</v>
      </c>
      <c r="W3488" t="n">
        <v>10</v>
      </c>
      <c r="X3488" t="n">
        <v>18.31501831501831</v>
      </c>
      <c r="Y3488" t="n">
        <v>1</v>
      </c>
      <c r="Z3488" t="n">
        <v>4</v>
      </c>
      <c r="AA3488" t="n">
        <v>0</v>
      </c>
      <c r="AB3488" t="n">
        <v>4</v>
      </c>
      <c r="AC3488" t="n">
        <v>4</v>
      </c>
      <c r="AD3488" t="n">
        <v>0</v>
      </c>
      <c r="AE3488" t="n">
        <v>175680</v>
      </c>
      <c r="AF3488" t="n">
        <v>12362</v>
      </c>
      <c r="AG3488" t="n">
        <v>92</v>
      </c>
      <c r="AH3488" t="inlineStr">
        <is>
          <t>PT. SAI (PDG)</t>
        </is>
      </c>
      <c r="AI3488" t="n">
        <v>375</v>
      </c>
      <c r="AJ3488" t="inlineStr">
        <is>
          <t>MEDIHEAL</t>
        </is>
      </c>
      <c r="AK3488" t="n">
        <v>21</v>
      </c>
      <c r="AL3488" t="inlineStr">
        <is>
          <t>Miss Glam Damar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MEDIHEAL</t>
        </is>
      </c>
      <c r="B3489" s="2">
        <f>"10500176809"</f>
        <v/>
      </c>
      <c r="C3489" t="inlineStr">
        <is>
          <t>MEDIHEAL Tea Tree Calming Moisture Essential Mask 24ml</t>
        </is>
      </c>
      <c r="D3489" t="inlineStr">
        <is>
          <t>Miss Glam Damar</t>
        </is>
      </c>
      <c r="E3489" t="n">
        <v>10</v>
      </c>
      <c r="F3489" t="n">
        <v>0.03</v>
      </c>
      <c r="G3489" t="n">
        <v>0</v>
      </c>
      <c r="H3489" t="n">
        <v>2</v>
      </c>
      <c r="I3489" t="n">
        <v>11</v>
      </c>
      <c r="J3489" t="n">
        <v>1</v>
      </c>
      <c r="K3489" t="n">
        <v>0</v>
      </c>
      <c r="L3489" t="n">
        <v>28000</v>
      </c>
      <c r="M3489" t="n">
        <v>35000</v>
      </c>
      <c r="N3489" t="n">
        <v>91</v>
      </c>
      <c r="O3489" t="n">
        <v>0.91</v>
      </c>
      <c r="P3489" t="n">
        <v>0</v>
      </c>
      <c r="Q3489" t="n">
        <v>0.03</v>
      </c>
      <c r="R3489" t="n">
        <v>0</v>
      </c>
      <c r="S3489" t="n">
        <v>1050</v>
      </c>
      <c r="T3489" t="n">
        <v>0</v>
      </c>
      <c r="U3489" t="n">
        <v>1</v>
      </c>
      <c r="V3489" t="n">
        <v>30</v>
      </c>
      <c r="W3489" t="n">
        <v>1</v>
      </c>
      <c r="X3489" t="n">
        <v>333.3333333333334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12362</v>
      </c>
      <c r="AG3489" t="n">
        <v>92</v>
      </c>
      <c r="AH3489" t="inlineStr">
        <is>
          <t>PT. SAI (PDG)</t>
        </is>
      </c>
      <c r="AI3489" t="n">
        <v>375</v>
      </c>
      <c r="AJ3489" t="inlineStr">
        <is>
          <t>MEDIHEAL</t>
        </is>
      </c>
      <c r="AK3489" t="n">
        <v>21</v>
      </c>
      <c r="AL3489" t="inlineStr">
        <is>
          <t>Miss Glam Damar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MEDIHEAL</t>
        </is>
      </c>
      <c r="B3490" s="2">
        <f>"10500177025"</f>
        <v/>
      </c>
      <c r="C3490" t="inlineStr">
        <is>
          <t>MEDIHEAL Vitamin C Clear Toning Essential Mask 24ml</t>
        </is>
      </c>
      <c r="D3490" t="inlineStr">
        <is>
          <t>Miss Glam Damar</t>
        </is>
      </c>
      <c r="E3490" t="n">
        <v>11</v>
      </c>
      <c r="F3490" t="n">
        <v>0.0182</v>
      </c>
      <c r="G3490" t="n">
        <v>0</v>
      </c>
      <c r="H3490" t="n">
        <v>2</v>
      </c>
      <c r="I3490" t="n">
        <v>11</v>
      </c>
      <c r="J3490" t="n">
        <v>1</v>
      </c>
      <c r="K3490" t="n">
        <v>0</v>
      </c>
      <c r="L3490" t="n">
        <v>28000</v>
      </c>
      <c r="M3490" t="n">
        <v>35000</v>
      </c>
      <c r="N3490" t="n">
        <v>91</v>
      </c>
      <c r="O3490" t="n">
        <v>0.91</v>
      </c>
      <c r="P3490" t="n">
        <v>1</v>
      </c>
      <c r="Q3490" t="n">
        <v>0.02</v>
      </c>
      <c r="R3490" t="n">
        <v>0</v>
      </c>
      <c r="S3490" t="n">
        <v>637</v>
      </c>
      <c r="T3490" t="n">
        <v>0</v>
      </c>
      <c r="U3490" t="n">
        <v>1</v>
      </c>
      <c r="V3490" t="n">
        <v>30</v>
      </c>
      <c r="W3490" t="n">
        <v>1</v>
      </c>
      <c r="X3490" t="n">
        <v>604.3956043956043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12362</v>
      </c>
      <c r="AG3490" t="n">
        <v>92</v>
      </c>
      <c r="AH3490" t="inlineStr">
        <is>
          <t>PT. SAI (PDG)</t>
        </is>
      </c>
      <c r="AI3490" t="n">
        <v>375</v>
      </c>
      <c r="AJ3490" t="inlineStr">
        <is>
          <t>MEDIHEAL</t>
        </is>
      </c>
      <c r="AK3490" t="n">
        <v>21</v>
      </c>
      <c r="AL3490" t="inlineStr">
        <is>
          <t>Miss Glam Damar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METOO</t>
        </is>
      </c>
      <c r="B3491" s="2">
        <f>"8992220650122"</f>
        <v/>
      </c>
      <c r="C3491" t="inlineStr">
        <is>
          <t>METOO Lemon Whitening Mouthwash 250ml</t>
        </is>
      </c>
      <c r="D3491" t="inlineStr">
        <is>
          <t>Miss Glam Damar</t>
        </is>
      </c>
      <c r="E3491" t="n">
        <v>0</v>
      </c>
      <c r="F3491" t="n">
        <v>0.1092</v>
      </c>
      <c r="G3491" t="n">
        <v>0.91</v>
      </c>
      <c r="H3491" t="n">
        <v>4</v>
      </c>
      <c r="I3491" t="n">
        <v>21</v>
      </c>
      <c r="J3491" t="n">
        <v>3</v>
      </c>
      <c r="K3491" t="n">
        <v>0</v>
      </c>
      <c r="L3491" t="n">
        <v>26291</v>
      </c>
      <c r="M3491" t="n">
        <v>31000</v>
      </c>
      <c r="N3491" t="n">
        <v>91</v>
      </c>
      <c r="O3491" t="n">
        <v>0.91</v>
      </c>
      <c r="P3491" t="n">
        <v>1</v>
      </c>
      <c r="Q3491" t="n">
        <v>0.13</v>
      </c>
      <c r="R3491" t="n">
        <v>4</v>
      </c>
      <c r="S3491" t="n">
        <v>3385.2</v>
      </c>
      <c r="T3491" t="n">
        <v>19</v>
      </c>
      <c r="U3491" t="n">
        <v>20</v>
      </c>
      <c r="V3491" t="n">
        <v>30</v>
      </c>
      <c r="W3491" t="n">
        <v>4</v>
      </c>
      <c r="X3491" t="n">
        <v>0</v>
      </c>
      <c r="Y3491" t="n">
        <v>1</v>
      </c>
      <c r="Z3491" t="n">
        <v>4</v>
      </c>
      <c r="AA3491" t="n">
        <v>3</v>
      </c>
      <c r="AB3491" t="n">
        <v>1</v>
      </c>
      <c r="AC3491" t="n">
        <v>3</v>
      </c>
      <c r="AD3491" t="n">
        <v>78873</v>
      </c>
      <c r="AE3491" t="n">
        <v>78873</v>
      </c>
      <c r="AF3491" t="n">
        <v>6652</v>
      </c>
      <c r="AG3491" t="n">
        <v>1</v>
      </c>
      <c r="AH3491" t="inlineStr">
        <is>
          <t>PT. BERSAMA DISTRIVERSA INDONESIA (DC CIPUTAT)</t>
        </is>
      </c>
      <c r="AI3491" t="n">
        <v>1376</v>
      </c>
      <c r="AJ3491" t="inlineStr">
        <is>
          <t>METOO</t>
        </is>
      </c>
      <c r="AK3491" t="n">
        <v>21</v>
      </c>
      <c r="AL3491" t="inlineStr">
        <is>
          <t>Miss Glam Damar</t>
        </is>
      </c>
      <c r="AM3491" t="n">
        <v>3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MILK RECIPE</t>
        </is>
      </c>
      <c r="B3492" s="2">
        <f>"6957148427302"</f>
        <v/>
      </c>
      <c r="C3492" t="inlineStr">
        <is>
          <t>MILK RECIPE 4in1 Hair Removal Cream 70gr</t>
        </is>
      </c>
      <c r="D3492" t="inlineStr">
        <is>
          <t>Miss Glam Damar</t>
        </is>
      </c>
      <c r="E3492" t="n">
        <v>0</v>
      </c>
      <c r="F3492" t="n">
        <v>1.1921</v>
      </c>
      <c r="G3492" t="n">
        <v>8.19</v>
      </c>
      <c r="H3492" t="n">
        <v>2</v>
      </c>
      <c r="I3492" t="n">
        <v>16</v>
      </c>
      <c r="J3492" t="n">
        <v>3</v>
      </c>
      <c r="K3492" t="n">
        <v>0</v>
      </c>
      <c r="L3492" t="n">
        <v>32301</v>
      </c>
      <c r="M3492" t="n">
        <v>38500</v>
      </c>
      <c r="N3492" t="n">
        <v>91</v>
      </c>
      <c r="O3492" t="n">
        <v>0.91</v>
      </c>
      <c r="P3492" t="n">
        <v>1</v>
      </c>
      <c r="Q3492" t="n">
        <v>1.1</v>
      </c>
      <c r="R3492" t="n">
        <v>7</v>
      </c>
      <c r="S3492" t="n">
        <v>45895.85000000001</v>
      </c>
      <c r="T3492" t="n">
        <v>129</v>
      </c>
      <c r="U3492" t="n">
        <v>132</v>
      </c>
      <c r="V3492" t="n">
        <v>30</v>
      </c>
      <c r="W3492" t="n">
        <v>36</v>
      </c>
      <c r="X3492" t="n">
        <v>0</v>
      </c>
      <c r="Y3492" t="n">
        <v>1</v>
      </c>
      <c r="Z3492" t="n">
        <v>36</v>
      </c>
      <c r="AA3492" t="n">
        <v>20</v>
      </c>
      <c r="AB3492" t="n">
        <v>16</v>
      </c>
      <c r="AC3492" t="n">
        <v>16</v>
      </c>
      <c r="AD3492" t="n">
        <v>646020</v>
      </c>
      <c r="AE3492" t="n">
        <v>516816</v>
      </c>
      <c r="AF3492" t="n">
        <v>599</v>
      </c>
      <c r="AG3492" t="n">
        <v>107</v>
      </c>
      <c r="AH3492" t="inlineStr">
        <is>
          <t xml:space="preserve">CV. DAHLIA - PPN (PDG) </t>
        </is>
      </c>
      <c r="AI3492" t="n">
        <v>1135</v>
      </c>
      <c r="AJ3492" t="inlineStr">
        <is>
          <t>MILK RECIPE</t>
        </is>
      </c>
      <c r="AK3492" t="n">
        <v>21</v>
      </c>
      <c r="AL3492" t="inlineStr">
        <is>
          <t>Miss Glam Damar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MILK RECIPE</t>
        </is>
      </c>
      <c r="B3493" s="2">
        <f>"30300111749"</f>
        <v/>
      </c>
      <c r="C3493" t="inlineStr">
        <is>
          <t>MILK RECIPE Hair Removal Cream 70gr</t>
        </is>
      </c>
      <c r="D3493" t="inlineStr">
        <is>
          <t>Miss Glam Damar</t>
        </is>
      </c>
      <c r="E3493" t="n">
        <v>2</v>
      </c>
      <c r="F3493" t="n">
        <v>2.1931</v>
      </c>
      <c r="G3493" t="n">
        <v>10.01</v>
      </c>
      <c r="H3493" t="n">
        <v>2</v>
      </c>
      <c r="I3493" t="n">
        <v>16</v>
      </c>
      <c r="J3493" t="n">
        <v>1</v>
      </c>
      <c r="K3493" t="n">
        <v>0</v>
      </c>
      <c r="L3493" t="n">
        <v>32300</v>
      </c>
      <c r="M3493" t="n">
        <v>38000</v>
      </c>
      <c r="N3493" t="n">
        <v>91</v>
      </c>
      <c r="O3493" t="n">
        <v>0.91</v>
      </c>
      <c r="P3493" t="n">
        <v>1</v>
      </c>
      <c r="Q3493" t="n">
        <v>0.37</v>
      </c>
      <c r="R3493" t="n">
        <v>5</v>
      </c>
      <c r="S3493" t="n">
        <v>83337.80000000002</v>
      </c>
      <c r="T3493" t="n">
        <v>156</v>
      </c>
      <c r="U3493" t="n">
        <v>161</v>
      </c>
      <c r="V3493" t="n">
        <v>30</v>
      </c>
      <c r="W3493" t="n">
        <v>66</v>
      </c>
      <c r="X3493" t="n">
        <v>0.911951119419999</v>
      </c>
      <c r="Y3493" t="n">
        <v>1</v>
      </c>
      <c r="Z3493" t="n">
        <v>64</v>
      </c>
      <c r="AA3493" t="n">
        <v>34</v>
      </c>
      <c r="AB3493" t="n">
        <v>30</v>
      </c>
      <c r="AC3493" t="n">
        <v>30</v>
      </c>
      <c r="AD3493" t="n">
        <v>1098200</v>
      </c>
      <c r="AE3493" t="n">
        <v>969000</v>
      </c>
      <c r="AF3493" t="n">
        <v>599</v>
      </c>
      <c r="AG3493" t="n">
        <v>107</v>
      </c>
      <c r="AH3493" t="inlineStr">
        <is>
          <t xml:space="preserve">CV. DAHLIA - PPN (PDG) </t>
        </is>
      </c>
      <c r="AI3493" t="n">
        <v>1135</v>
      </c>
      <c r="AJ3493" t="inlineStr">
        <is>
          <t>MILK RECIPE</t>
        </is>
      </c>
      <c r="AK3493" t="n">
        <v>21</v>
      </c>
      <c r="AL3493" t="inlineStr">
        <is>
          <t>Miss Glam Damar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MIMI WHITE</t>
        </is>
      </c>
      <c r="B3494" s="2">
        <f>"8993926880035"</f>
        <v/>
      </c>
      <c r="C3494" t="inlineStr">
        <is>
          <t>MIMI WHITE Aha White Body Lotion Niacinamide 100ml</t>
        </is>
      </c>
      <c r="D3494" t="inlineStr">
        <is>
          <t>Miss Glam Damar</t>
        </is>
      </c>
      <c r="E3494" t="n">
        <v>3</v>
      </c>
      <c r="F3494" t="n">
        <v>0.05</v>
      </c>
      <c r="G3494" t="n">
        <v>1</v>
      </c>
      <c r="H3494" t="n">
        <v>4</v>
      </c>
      <c r="I3494" t="n">
        <v>21</v>
      </c>
      <c r="J3494" t="n">
        <v>3</v>
      </c>
      <c r="K3494" t="n">
        <v>0</v>
      </c>
      <c r="L3494" t="n">
        <v>43191</v>
      </c>
      <c r="M3494" t="n">
        <v>60000</v>
      </c>
      <c r="N3494" t="n">
        <v>91</v>
      </c>
      <c r="O3494" t="n">
        <v>0.91</v>
      </c>
      <c r="P3494" t="n">
        <v>0</v>
      </c>
      <c r="Q3494" t="n">
        <v>0.05</v>
      </c>
      <c r="R3494" t="n">
        <v>1</v>
      </c>
      <c r="S3494" t="n">
        <v>3000</v>
      </c>
      <c r="T3494" t="n">
        <v>21</v>
      </c>
      <c r="U3494" t="n">
        <v>22</v>
      </c>
      <c r="V3494" t="n">
        <v>30</v>
      </c>
      <c r="W3494" t="n">
        <v>2</v>
      </c>
      <c r="X3494" t="n">
        <v>60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6685</v>
      </c>
      <c r="AG3494" t="n">
        <v>1</v>
      </c>
      <c r="AH3494" t="inlineStr">
        <is>
          <t>PT. BERSAMA DISTRIVERSA INDONESIA (DC CIPUTAT)</t>
        </is>
      </c>
      <c r="AI3494" t="n">
        <v>882</v>
      </c>
      <c r="AJ3494" t="inlineStr">
        <is>
          <t>MIMI WHITE</t>
        </is>
      </c>
      <c r="AK3494" t="n">
        <v>21</v>
      </c>
      <c r="AL3494" t="inlineStr">
        <is>
          <t>Miss Glam Damar</t>
        </is>
      </c>
      <c r="AM3494" t="n">
        <v>3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MIMI WHITE</t>
        </is>
      </c>
      <c r="B3495" s="2">
        <f>"30200403653"</f>
        <v/>
      </c>
      <c r="C3495" t="inlineStr">
        <is>
          <t>MIMI WHITE Aha White Body Serum Intensive aha 30ml</t>
        </is>
      </c>
      <c r="D3495" t="inlineStr">
        <is>
          <t>Miss Glam Damar</t>
        </is>
      </c>
      <c r="E3495" t="n">
        <v>3</v>
      </c>
      <c r="F3495" t="n">
        <v>0.1547</v>
      </c>
      <c r="G3495" t="n">
        <v>1.82</v>
      </c>
      <c r="H3495" t="n">
        <v>4</v>
      </c>
      <c r="I3495" t="n">
        <v>21</v>
      </c>
      <c r="J3495" t="n">
        <v>3</v>
      </c>
      <c r="K3495" t="n">
        <v>0</v>
      </c>
      <c r="L3495" t="n">
        <v>23129</v>
      </c>
      <c r="M3495" t="n">
        <v>35000</v>
      </c>
      <c r="N3495" t="n">
        <v>91</v>
      </c>
      <c r="O3495" t="n">
        <v>0.91</v>
      </c>
      <c r="P3495" t="n">
        <v>1</v>
      </c>
      <c r="Q3495" t="n">
        <v>0.36</v>
      </c>
      <c r="R3495" t="n">
        <v>2</v>
      </c>
      <c r="S3495" t="n">
        <v>5414.5</v>
      </c>
      <c r="T3495" t="n">
        <v>38</v>
      </c>
      <c r="U3495" t="n">
        <v>39</v>
      </c>
      <c r="V3495" t="n">
        <v>30</v>
      </c>
      <c r="W3495" t="n">
        <v>5</v>
      </c>
      <c r="X3495" t="n">
        <v>19.3923723335488</v>
      </c>
      <c r="Y3495" t="n">
        <v>1</v>
      </c>
      <c r="Z3495" t="n">
        <v>2</v>
      </c>
      <c r="AA3495" t="n">
        <v>1</v>
      </c>
      <c r="AB3495" t="n">
        <v>1</v>
      </c>
      <c r="AC3495" t="n">
        <v>3</v>
      </c>
      <c r="AD3495" t="n">
        <v>23129</v>
      </c>
      <c r="AE3495" t="n">
        <v>69387</v>
      </c>
      <c r="AF3495" t="n">
        <v>6685</v>
      </c>
      <c r="AG3495" t="n">
        <v>1</v>
      </c>
      <c r="AH3495" t="inlineStr">
        <is>
          <t>PT. BERSAMA DISTRIVERSA INDONESIA (DC CIPUTAT)</t>
        </is>
      </c>
      <c r="AI3495" t="n">
        <v>882</v>
      </c>
      <c r="AJ3495" t="inlineStr">
        <is>
          <t>MIMI WHITE</t>
        </is>
      </c>
      <c r="AK3495" t="n">
        <v>21</v>
      </c>
      <c r="AL3495" t="inlineStr">
        <is>
          <t>Miss Glam Damar</t>
        </is>
      </c>
      <c r="AM3495" t="n">
        <v>3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MINERAL BOTANICA</t>
        </is>
      </c>
      <c r="B3496" s="2">
        <f>"8997204820294"</f>
        <v/>
      </c>
      <c r="C3496" t="inlineStr">
        <is>
          <t>MINERAL BOTANICA Brightening First Defense Facial Foam 100gr</t>
        </is>
      </c>
      <c r="D3496" t="inlineStr">
        <is>
          <t>Miss Glam Damar</t>
        </is>
      </c>
      <c r="E3496" t="n">
        <v>0</v>
      </c>
      <c r="F3496" t="n">
        <v>0.7098000000000001</v>
      </c>
      <c r="G3496" t="n">
        <v>4.55</v>
      </c>
      <c r="H3496" t="n">
        <v>4</v>
      </c>
      <c r="I3496" t="n">
        <v>21</v>
      </c>
      <c r="J3496" t="n">
        <v>3</v>
      </c>
      <c r="K3496" t="n">
        <v>0</v>
      </c>
      <c r="L3496" t="n">
        <v>23258</v>
      </c>
      <c r="M3496" t="n">
        <v>29500</v>
      </c>
      <c r="N3496" t="n">
        <v>91</v>
      </c>
      <c r="O3496" t="n">
        <v>0.91</v>
      </c>
      <c r="P3496" t="n">
        <v>1</v>
      </c>
      <c r="Q3496" t="n">
        <v>0.09</v>
      </c>
      <c r="R3496" t="n">
        <v>1</v>
      </c>
      <c r="S3496" t="n">
        <v>20939.1</v>
      </c>
      <c r="T3496" t="n">
        <v>93</v>
      </c>
      <c r="U3496" t="n">
        <v>96</v>
      </c>
      <c r="V3496" t="n">
        <v>30</v>
      </c>
      <c r="W3496" t="n">
        <v>22</v>
      </c>
      <c r="X3496" t="n">
        <v>0</v>
      </c>
      <c r="Y3496" t="n">
        <v>1</v>
      </c>
      <c r="Z3496" t="n">
        <v>22</v>
      </c>
      <c r="AA3496" t="n">
        <v>15</v>
      </c>
      <c r="AB3496" t="n">
        <v>7</v>
      </c>
      <c r="AC3496" t="n">
        <v>7</v>
      </c>
      <c r="AD3496" t="n">
        <v>348870</v>
      </c>
      <c r="AE3496" t="n">
        <v>162806</v>
      </c>
      <c r="AF3496" t="n">
        <v>6718</v>
      </c>
      <c r="AG3496" t="n">
        <v>1</v>
      </c>
      <c r="AH3496" t="inlineStr">
        <is>
          <t>PT. BERSAMA DISTRIVERSA INDONESIA (DC CIPUTAT)</t>
        </is>
      </c>
      <c r="AI3496" t="n">
        <v>48</v>
      </c>
      <c r="AJ3496" t="inlineStr">
        <is>
          <t>MINERAL BOTANICA</t>
        </is>
      </c>
      <c r="AK3496" t="n">
        <v>21</v>
      </c>
      <c r="AL3496" t="inlineStr">
        <is>
          <t>Miss Glam Damar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MINERAL BOTANICA</t>
        </is>
      </c>
      <c r="B3497" s="2">
        <f>"8997204820355"</f>
        <v/>
      </c>
      <c r="C3497" t="inlineStr">
        <is>
          <t>MINERAL BOTANICA Perfect Purifying Facial Foam Acne 100ml</t>
        </is>
      </c>
      <c r="D3497" t="inlineStr">
        <is>
          <t>Miss Glam Damar</t>
        </is>
      </c>
      <c r="E3497" t="n">
        <v>10</v>
      </c>
      <c r="F3497" t="n">
        <v>0.6279</v>
      </c>
      <c r="G3497" t="n">
        <v>3.64</v>
      </c>
      <c r="H3497" t="n">
        <v>4</v>
      </c>
      <c r="I3497" t="n">
        <v>21</v>
      </c>
      <c r="J3497" t="n">
        <v>3</v>
      </c>
      <c r="K3497" t="n">
        <v>0</v>
      </c>
      <c r="L3497" t="n">
        <v>22567</v>
      </c>
      <c r="M3497" t="n">
        <v>29500</v>
      </c>
      <c r="N3497" t="n">
        <v>91</v>
      </c>
      <c r="O3497" t="n">
        <v>0.91</v>
      </c>
      <c r="P3497" t="n">
        <v>1</v>
      </c>
      <c r="Q3497" t="n">
        <v>0.75</v>
      </c>
      <c r="R3497" t="n">
        <v>4</v>
      </c>
      <c r="S3497" t="n">
        <v>18523.05</v>
      </c>
      <c r="T3497" t="n">
        <v>74</v>
      </c>
      <c r="U3497" t="n">
        <v>77</v>
      </c>
      <c r="V3497" t="n">
        <v>30</v>
      </c>
      <c r="W3497" t="n">
        <v>19</v>
      </c>
      <c r="X3497" t="n">
        <v>15.92610288262462</v>
      </c>
      <c r="Y3497" t="n">
        <v>1</v>
      </c>
      <c r="Z3497" t="n">
        <v>9</v>
      </c>
      <c r="AA3497" t="n">
        <v>4</v>
      </c>
      <c r="AB3497" t="n">
        <v>5</v>
      </c>
      <c r="AC3497" t="n">
        <v>5</v>
      </c>
      <c r="AD3497" t="n">
        <v>90268</v>
      </c>
      <c r="AE3497" t="n">
        <v>112835</v>
      </c>
      <c r="AF3497" t="n">
        <v>6718</v>
      </c>
      <c r="AG3497" t="n">
        <v>1</v>
      </c>
      <c r="AH3497" t="inlineStr">
        <is>
          <t>PT. BERSAMA DISTRIVERSA INDONESIA (DC CIPUTAT)</t>
        </is>
      </c>
      <c r="AI3497" t="n">
        <v>48</v>
      </c>
      <c r="AJ3497" t="inlineStr">
        <is>
          <t>MINERAL BOTANICA</t>
        </is>
      </c>
      <c r="AK3497" t="n">
        <v>21</v>
      </c>
      <c r="AL3497" t="inlineStr">
        <is>
          <t>Miss Glam Damar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MIRAEL</t>
        </is>
      </c>
      <c r="B3498" s="2">
        <f>"30300111140"</f>
        <v/>
      </c>
      <c r="C3498" t="inlineStr">
        <is>
          <t>MIRAEL Belgian Chocolate Sugar Wax 88gr</t>
        </is>
      </c>
      <c r="D3498" t="inlineStr">
        <is>
          <t>Miss Glam Damar</t>
        </is>
      </c>
      <c r="E3498" t="n">
        <v>8</v>
      </c>
      <c r="F3498" t="n">
        <v>0.1274</v>
      </c>
      <c r="G3498" t="n">
        <v>0.91</v>
      </c>
      <c r="H3498" t="n">
        <v>4</v>
      </c>
      <c r="I3498" t="n">
        <v>21</v>
      </c>
      <c r="J3498" t="n">
        <v>1</v>
      </c>
      <c r="K3498" t="n">
        <v>0</v>
      </c>
      <c r="L3498" t="n">
        <v>45235</v>
      </c>
      <c r="M3498" t="n">
        <v>59000</v>
      </c>
      <c r="N3498" t="n">
        <v>91</v>
      </c>
      <c r="O3498" t="n">
        <v>0.91</v>
      </c>
      <c r="P3498" t="n">
        <v>1</v>
      </c>
      <c r="Q3498" t="n">
        <v>0.08</v>
      </c>
      <c r="R3498" t="n">
        <v>2</v>
      </c>
      <c r="S3498" t="n">
        <v>7516.6</v>
      </c>
      <c r="T3498" t="n">
        <v>19</v>
      </c>
      <c r="U3498" t="n">
        <v>20</v>
      </c>
      <c r="V3498" t="n">
        <v>30</v>
      </c>
      <c r="W3498" t="n">
        <v>4</v>
      </c>
      <c r="X3498" t="n">
        <v>62.79434850863422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6751</v>
      </c>
      <c r="AG3498" t="n">
        <v>1</v>
      </c>
      <c r="AH3498" t="inlineStr">
        <is>
          <t>PT. BERSAMA DISTRIVERSA INDONESIA (DC CIPUTAT)</t>
        </is>
      </c>
      <c r="AI3498" t="n">
        <v>110</v>
      </c>
      <c r="AJ3498" t="inlineStr">
        <is>
          <t>MIRAEL</t>
        </is>
      </c>
      <c r="AK3498" t="n">
        <v>21</v>
      </c>
      <c r="AL3498" t="inlineStr">
        <is>
          <t>Miss Glam Damar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MIRAEL</t>
        </is>
      </c>
      <c r="B3499" s="2">
        <f>"30300111015"</f>
        <v/>
      </c>
      <c r="C3499" t="inlineStr">
        <is>
          <t>MIRAEL Brightening Strawberry Sugar Wax 88gr</t>
        </is>
      </c>
      <c r="D3499" t="inlineStr">
        <is>
          <t>Miss Glam Damar</t>
        </is>
      </c>
      <c r="E3499" t="n">
        <v>0</v>
      </c>
      <c r="F3499" t="n">
        <v>0.4823000000000001</v>
      </c>
      <c r="G3499" t="n">
        <v>2.73</v>
      </c>
      <c r="H3499" t="n">
        <v>4</v>
      </c>
      <c r="I3499" t="n">
        <v>21</v>
      </c>
      <c r="J3499" t="n">
        <v>1</v>
      </c>
      <c r="K3499" t="n">
        <v>14</v>
      </c>
      <c r="L3499" t="n">
        <v>45072</v>
      </c>
      <c r="M3499" t="n">
        <v>59000</v>
      </c>
      <c r="N3499" t="n">
        <v>91</v>
      </c>
      <c r="O3499" t="n">
        <v>0.91</v>
      </c>
      <c r="P3499" t="n">
        <v>1</v>
      </c>
      <c r="Q3499" t="n">
        <v>0.4</v>
      </c>
      <c r="R3499" t="n">
        <v>3</v>
      </c>
      <c r="S3499" t="n">
        <v>28455.7</v>
      </c>
      <c r="T3499" t="n">
        <v>56</v>
      </c>
      <c r="U3499" t="n">
        <v>58</v>
      </c>
      <c r="V3499" t="n">
        <v>30</v>
      </c>
      <c r="W3499" t="n">
        <v>15</v>
      </c>
      <c r="X3499" t="n">
        <v>0</v>
      </c>
      <c r="Y3499" t="n">
        <v>1</v>
      </c>
      <c r="Z3499" t="n">
        <v>1</v>
      </c>
      <c r="AA3499" t="n">
        <v>10</v>
      </c>
      <c r="AB3499" t="n">
        <v>0</v>
      </c>
      <c r="AC3499" t="n">
        <v>0</v>
      </c>
      <c r="AD3499" t="n">
        <v>450720</v>
      </c>
      <c r="AE3499" t="n">
        <v>0</v>
      </c>
      <c r="AF3499" t="n">
        <v>6751</v>
      </c>
      <c r="AG3499" t="n">
        <v>1</v>
      </c>
      <c r="AH3499" t="inlineStr">
        <is>
          <t>PT. BERSAMA DISTRIVERSA INDONESIA (DC CIPUTAT)</t>
        </is>
      </c>
      <c r="AI3499" t="n">
        <v>110</v>
      </c>
      <c r="AJ3499" t="inlineStr">
        <is>
          <t>MIRAEL</t>
        </is>
      </c>
      <c r="AK3499" t="n">
        <v>21</v>
      </c>
      <c r="AL3499" t="inlineStr">
        <is>
          <t>Miss Glam Damar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MIRAEL</t>
        </is>
      </c>
      <c r="B3500" s="2">
        <f>"30300111207"</f>
        <v/>
      </c>
      <c r="C3500" t="inlineStr">
        <is>
          <t>MIRAEL Moisturizing Honey Sugar Wax 88gr</t>
        </is>
      </c>
      <c r="D3500" t="inlineStr">
        <is>
          <t>Miss Glam Damar</t>
        </is>
      </c>
      <c r="E3500" t="n">
        <v>12</v>
      </c>
      <c r="F3500" t="n">
        <v>0.2002</v>
      </c>
      <c r="G3500" t="n">
        <v>1.82</v>
      </c>
      <c r="H3500" t="n">
        <v>4</v>
      </c>
      <c r="I3500" t="n">
        <v>21</v>
      </c>
      <c r="J3500" t="n">
        <v>1</v>
      </c>
      <c r="K3500" t="n">
        <v>0</v>
      </c>
      <c r="L3500" t="n">
        <v>45856</v>
      </c>
      <c r="M3500" t="n">
        <v>59000</v>
      </c>
      <c r="N3500" t="n">
        <v>91</v>
      </c>
      <c r="O3500" t="n">
        <v>0.91</v>
      </c>
      <c r="P3500" t="n">
        <v>1</v>
      </c>
      <c r="Q3500" t="n">
        <v>0.1</v>
      </c>
      <c r="R3500" t="n">
        <v>1</v>
      </c>
      <c r="S3500" t="n">
        <v>11811.8</v>
      </c>
      <c r="T3500" t="n">
        <v>38</v>
      </c>
      <c r="U3500" t="n">
        <v>39</v>
      </c>
      <c r="V3500" t="n">
        <v>30</v>
      </c>
      <c r="W3500" t="n">
        <v>7</v>
      </c>
      <c r="X3500" t="n">
        <v>59.94005994005993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6751</v>
      </c>
      <c r="AG3500" t="n">
        <v>1</v>
      </c>
      <c r="AH3500" t="inlineStr">
        <is>
          <t>PT. BERSAMA DISTRIVERSA INDONESIA (DC CIPUTAT)</t>
        </is>
      </c>
      <c r="AI3500" t="n">
        <v>110</v>
      </c>
      <c r="AJ3500" t="inlineStr">
        <is>
          <t>MIRAEL</t>
        </is>
      </c>
      <c r="AK3500" t="n">
        <v>21</v>
      </c>
      <c r="AL3500" t="inlineStr">
        <is>
          <t>Miss Glam Damar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MIRAEL</t>
        </is>
      </c>
      <c r="B3501" s="2">
        <f>"30400519131"</f>
        <v/>
      </c>
      <c r="C3501" t="inlineStr">
        <is>
          <t>MIRAEL Natural Deodorant Deo Tawas Roll 20ml</t>
        </is>
      </c>
      <c r="D3501" t="inlineStr">
        <is>
          <t>Miss Glam Damar</t>
        </is>
      </c>
      <c r="E3501" t="n">
        <v>6</v>
      </c>
      <c r="F3501" t="n">
        <v>0.0182</v>
      </c>
      <c r="G3501" t="n">
        <v>0.91</v>
      </c>
      <c r="H3501" t="n">
        <v>4</v>
      </c>
      <c r="I3501" t="n">
        <v>21</v>
      </c>
      <c r="J3501" t="n">
        <v>1</v>
      </c>
      <c r="K3501" t="n">
        <v>0</v>
      </c>
      <c r="L3501" t="n">
        <v>45072</v>
      </c>
      <c r="M3501" t="n">
        <v>59000</v>
      </c>
      <c r="N3501" t="n">
        <v>91</v>
      </c>
      <c r="O3501" t="n">
        <v>0.91</v>
      </c>
      <c r="P3501" t="n">
        <v>1</v>
      </c>
      <c r="Q3501" t="n">
        <v>0.12</v>
      </c>
      <c r="R3501" t="n">
        <v>1</v>
      </c>
      <c r="S3501" t="n">
        <v>1073.8</v>
      </c>
      <c r="T3501" t="n">
        <v>20</v>
      </c>
      <c r="U3501" t="n">
        <v>21</v>
      </c>
      <c r="V3501" t="n">
        <v>30</v>
      </c>
      <c r="W3501" t="n">
        <v>1</v>
      </c>
      <c r="X3501" t="n">
        <v>329.6703296703296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6751</v>
      </c>
      <c r="AG3501" t="n">
        <v>1</v>
      </c>
      <c r="AH3501" t="inlineStr">
        <is>
          <t>PT. BERSAMA DISTRIVERSA INDONESIA (DC CIPUTAT)</t>
        </is>
      </c>
      <c r="AI3501" t="n">
        <v>110</v>
      </c>
      <c r="AJ3501" t="inlineStr">
        <is>
          <t>MIRAEL</t>
        </is>
      </c>
      <c r="AK3501" t="n">
        <v>21</v>
      </c>
      <c r="AL3501" t="inlineStr">
        <is>
          <t>Miss Glam Damar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MIRAEL</t>
        </is>
      </c>
      <c r="B3502" s="2">
        <f>"661706058346"</f>
        <v/>
      </c>
      <c r="C3502" t="inlineStr">
        <is>
          <t>MIRAEL Powder Cooling Peppermint 50 gr</t>
        </is>
      </c>
      <c r="D3502" t="inlineStr">
        <is>
          <t>Miss Glam Damar</t>
        </is>
      </c>
      <c r="E3502" t="n">
        <v>3</v>
      </c>
      <c r="F3502" t="n">
        <v>0.02</v>
      </c>
      <c r="G3502" t="n">
        <v>1</v>
      </c>
      <c r="H3502" t="n">
        <v>4</v>
      </c>
      <c r="I3502" t="n">
        <v>21</v>
      </c>
      <c r="J3502" t="n">
        <v>3</v>
      </c>
      <c r="K3502" t="n">
        <v>0</v>
      </c>
      <c r="L3502" t="n">
        <v>21170</v>
      </c>
      <c r="M3502" t="n">
        <v>39000</v>
      </c>
      <c r="N3502" t="n">
        <v>91</v>
      </c>
      <c r="O3502" t="n">
        <v>0.91</v>
      </c>
      <c r="P3502" t="n">
        <v>0</v>
      </c>
      <c r="Q3502" t="n">
        <v>0.02</v>
      </c>
      <c r="R3502" t="n">
        <v>1</v>
      </c>
      <c r="S3502" t="n">
        <v>780</v>
      </c>
      <c r="T3502" t="n">
        <v>21</v>
      </c>
      <c r="U3502" t="n">
        <v>22</v>
      </c>
      <c r="V3502" t="n">
        <v>30</v>
      </c>
      <c r="W3502" t="n">
        <v>1</v>
      </c>
      <c r="X3502" t="n">
        <v>150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6751</v>
      </c>
      <c r="AG3502" t="n">
        <v>1</v>
      </c>
      <c r="AH3502" t="inlineStr">
        <is>
          <t>PT. BERSAMA DISTRIVERSA INDONESIA (DC CIPUTAT)</t>
        </is>
      </c>
      <c r="AI3502" t="n">
        <v>110</v>
      </c>
      <c r="AJ3502" t="inlineStr">
        <is>
          <t>MIRAEL</t>
        </is>
      </c>
      <c r="AK3502" t="n">
        <v>21</v>
      </c>
      <c r="AL3502" t="inlineStr">
        <is>
          <t>Miss Glam Damar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MIRAEL</t>
        </is>
      </c>
      <c r="B3503" s="2">
        <f>"661706058360"</f>
        <v/>
      </c>
      <c r="C3503" t="inlineStr">
        <is>
          <t>MIRAEL Premium Jeans Waxing Strips 5 Pcs/Pack</t>
        </is>
      </c>
      <c r="D3503" t="inlineStr">
        <is>
          <t>Miss Glam Damar</t>
        </is>
      </c>
      <c r="E3503" t="n">
        <v>5</v>
      </c>
      <c r="F3503" t="n">
        <v>0.04550000000000001</v>
      </c>
      <c r="G3503" t="n">
        <v>0.91</v>
      </c>
      <c r="H3503" t="n">
        <v>4</v>
      </c>
      <c r="I3503" t="n">
        <v>21</v>
      </c>
      <c r="J3503" t="n">
        <v>3</v>
      </c>
      <c r="K3503" t="n">
        <v>0</v>
      </c>
      <c r="L3503" t="n">
        <v>21805</v>
      </c>
      <c r="M3503" t="n">
        <v>28000</v>
      </c>
      <c r="N3503" t="n">
        <v>91</v>
      </c>
      <c r="O3503" t="n">
        <v>0.91</v>
      </c>
      <c r="P3503" t="n">
        <v>1</v>
      </c>
      <c r="Q3503" t="n">
        <v>0.07000000000000001</v>
      </c>
      <c r="R3503" t="n">
        <v>1</v>
      </c>
      <c r="S3503" t="n">
        <v>1274</v>
      </c>
      <c r="T3503" t="n">
        <v>19</v>
      </c>
      <c r="U3503" t="n">
        <v>20</v>
      </c>
      <c r="V3503" t="n">
        <v>30</v>
      </c>
      <c r="W3503" t="n">
        <v>2</v>
      </c>
      <c r="X3503" t="n">
        <v>109.8901098901099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6751</v>
      </c>
      <c r="AG3503" t="n">
        <v>1</v>
      </c>
      <c r="AH3503" t="inlineStr">
        <is>
          <t>PT. BERSAMA DISTRIVERSA INDONESIA (DC CIPUTAT)</t>
        </is>
      </c>
      <c r="AI3503" t="n">
        <v>110</v>
      </c>
      <c r="AJ3503" t="inlineStr">
        <is>
          <t>MIRAEL</t>
        </is>
      </c>
      <c r="AK3503" t="n">
        <v>21</v>
      </c>
      <c r="AL3503" t="inlineStr">
        <is>
          <t>Miss Glam Damar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MIRAEL</t>
        </is>
      </c>
      <c r="B3504" s="2">
        <f>"661706054133"</f>
        <v/>
      </c>
      <c r="C3504" t="inlineStr">
        <is>
          <t>MIRAEL Premium Waxing Strips 10pcs/Pack</t>
        </is>
      </c>
      <c r="D3504" t="inlineStr">
        <is>
          <t>Miss Glam Damar</t>
        </is>
      </c>
      <c r="E3504" t="n">
        <v>2</v>
      </c>
      <c r="F3504" t="n">
        <v>0.1729</v>
      </c>
      <c r="G3504" t="n">
        <v>1.82</v>
      </c>
      <c r="H3504" t="n">
        <v>4</v>
      </c>
      <c r="I3504" t="n">
        <v>21</v>
      </c>
      <c r="J3504" t="n">
        <v>3</v>
      </c>
      <c r="K3504" t="n">
        <v>0</v>
      </c>
      <c r="L3504" t="n">
        <v>11279</v>
      </c>
      <c r="M3504" t="n">
        <v>15000</v>
      </c>
      <c r="N3504" t="n">
        <v>91</v>
      </c>
      <c r="O3504" t="n">
        <v>0.91</v>
      </c>
      <c r="P3504" t="n">
        <v>1</v>
      </c>
      <c r="Q3504" t="n">
        <v>0.12</v>
      </c>
      <c r="R3504" t="n">
        <v>2</v>
      </c>
      <c r="S3504" t="n">
        <v>2593.5</v>
      </c>
      <c r="T3504" t="n">
        <v>38</v>
      </c>
      <c r="U3504" t="n">
        <v>39</v>
      </c>
      <c r="V3504" t="n">
        <v>30</v>
      </c>
      <c r="W3504" t="n">
        <v>6</v>
      </c>
      <c r="X3504" t="n">
        <v>11.56737998843262</v>
      </c>
      <c r="Y3504" t="n">
        <v>1</v>
      </c>
      <c r="Z3504" t="n">
        <v>4</v>
      </c>
      <c r="AA3504" t="n">
        <v>2</v>
      </c>
      <c r="AB3504" t="n">
        <v>2</v>
      </c>
      <c r="AC3504" t="n">
        <v>3</v>
      </c>
      <c r="AD3504" t="n">
        <v>22558</v>
      </c>
      <c r="AE3504" t="n">
        <v>33837</v>
      </c>
      <c r="AF3504" t="n">
        <v>6751</v>
      </c>
      <c r="AG3504" t="n">
        <v>1</v>
      </c>
      <c r="AH3504" t="inlineStr">
        <is>
          <t>PT. BERSAMA DISTRIVERSA INDONESIA (DC CIPUTAT)</t>
        </is>
      </c>
      <c r="AI3504" t="n">
        <v>110</v>
      </c>
      <c r="AJ3504" t="inlineStr">
        <is>
          <t>MIRAEL</t>
        </is>
      </c>
      <c r="AK3504" t="n">
        <v>21</v>
      </c>
      <c r="AL3504" t="inlineStr">
        <is>
          <t>Miss Glam Damar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MIRAEL</t>
        </is>
      </c>
      <c r="B3505" s="2">
        <f>"697478753035"</f>
        <v/>
      </c>
      <c r="C3505" t="inlineStr">
        <is>
          <t>MIRAEL Relaxing Green Tea Extract Centella Asiatica 210gr</t>
        </is>
      </c>
      <c r="D3505" t="inlineStr">
        <is>
          <t>Miss Glam Damar</t>
        </is>
      </c>
      <c r="E3505" t="n">
        <v>0</v>
      </c>
      <c r="F3505" t="n">
        <v>0.04550000000000001</v>
      </c>
      <c r="G3505" t="n">
        <v>0.91</v>
      </c>
      <c r="H3505" t="n">
        <v>4</v>
      </c>
      <c r="I3505" t="n">
        <v>21</v>
      </c>
      <c r="J3505" t="n">
        <v>3</v>
      </c>
      <c r="K3505" t="n">
        <v>3</v>
      </c>
      <c r="L3505" t="n">
        <v>76000</v>
      </c>
      <c r="M3505" t="n">
        <v>94000</v>
      </c>
      <c r="N3505" t="n">
        <v>91</v>
      </c>
      <c r="O3505" t="n">
        <v>0.91</v>
      </c>
      <c r="P3505" t="n">
        <v>1</v>
      </c>
      <c r="Q3505" t="n">
        <v>0.05</v>
      </c>
      <c r="R3505" t="n">
        <v>1</v>
      </c>
      <c r="S3505" t="n">
        <v>4277.000000000001</v>
      </c>
      <c r="T3505" t="n">
        <v>19</v>
      </c>
      <c r="U3505" t="n">
        <v>20</v>
      </c>
      <c r="V3505" t="n">
        <v>30</v>
      </c>
      <c r="W3505" t="n">
        <v>2</v>
      </c>
      <c r="X3505" t="n">
        <v>0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6751</v>
      </c>
      <c r="AG3505" t="n">
        <v>1</v>
      </c>
      <c r="AH3505" t="inlineStr">
        <is>
          <t>PT. BERSAMA DISTRIVERSA INDONESIA (DC CIPUTAT)</t>
        </is>
      </c>
      <c r="AI3505" t="n">
        <v>110</v>
      </c>
      <c r="AJ3505" t="inlineStr">
        <is>
          <t>MIRAEL</t>
        </is>
      </c>
      <c r="AK3505" t="n">
        <v>21</v>
      </c>
      <c r="AL3505" t="inlineStr">
        <is>
          <t>Miss Glam Damar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MIRAEL</t>
        </is>
      </c>
      <c r="B3506" s="2">
        <f>"30300111302"</f>
        <v/>
      </c>
      <c r="C3506" t="inlineStr">
        <is>
          <t>MIRAEL Relaxing Greentea Sugar Wax 88gr</t>
        </is>
      </c>
      <c r="D3506" t="inlineStr">
        <is>
          <t>Miss Glam Damar</t>
        </is>
      </c>
      <c r="E3506" t="n">
        <v>15</v>
      </c>
      <c r="F3506" t="n">
        <v>0.04550000000000001</v>
      </c>
      <c r="G3506" t="n">
        <v>0.91</v>
      </c>
      <c r="H3506" t="n">
        <v>4</v>
      </c>
      <c r="I3506" t="n">
        <v>21</v>
      </c>
      <c r="J3506" t="n">
        <v>1</v>
      </c>
      <c r="K3506" t="n">
        <v>0</v>
      </c>
      <c r="L3506" t="n">
        <v>45923</v>
      </c>
      <c r="M3506" t="n">
        <v>59000</v>
      </c>
      <c r="N3506" t="n">
        <v>91</v>
      </c>
      <c r="O3506" t="n">
        <v>0.91</v>
      </c>
      <c r="P3506" t="n">
        <v>1</v>
      </c>
      <c r="Q3506" t="n">
        <v>0.1</v>
      </c>
      <c r="R3506" t="n">
        <v>1</v>
      </c>
      <c r="S3506" t="n">
        <v>2684.5</v>
      </c>
      <c r="T3506" t="n">
        <v>19</v>
      </c>
      <c r="U3506" t="n">
        <v>20</v>
      </c>
      <c r="V3506" t="n">
        <v>30</v>
      </c>
      <c r="W3506" t="n">
        <v>2</v>
      </c>
      <c r="X3506" t="n">
        <v>329.6703296703296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6751</v>
      </c>
      <c r="AG3506" t="n">
        <v>1</v>
      </c>
      <c r="AH3506" t="inlineStr">
        <is>
          <t>PT. BERSAMA DISTRIVERSA INDONESIA (DC CIPUTAT)</t>
        </is>
      </c>
      <c r="AI3506" t="n">
        <v>110</v>
      </c>
      <c r="AJ3506" t="inlineStr">
        <is>
          <t>MIRAEL</t>
        </is>
      </c>
      <c r="AK3506" t="n">
        <v>21</v>
      </c>
      <c r="AL3506" t="inlineStr">
        <is>
          <t>Miss Glam Damar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MIRAEL</t>
        </is>
      </c>
      <c r="B3507" s="2">
        <f>"661706053839"</f>
        <v/>
      </c>
      <c r="C3507" t="inlineStr">
        <is>
          <t>MIRAEL Rice Milk Soothing Powder 50gr</t>
        </is>
      </c>
      <c r="D3507" t="inlineStr">
        <is>
          <t>Miss Glam Damar</t>
        </is>
      </c>
      <c r="E3507" t="n">
        <v>1</v>
      </c>
      <c r="F3507" t="n">
        <v>0.0273</v>
      </c>
      <c r="G3507" t="n">
        <v>0.91</v>
      </c>
      <c r="H3507" t="n">
        <v>4</v>
      </c>
      <c r="I3507" t="n">
        <v>21</v>
      </c>
      <c r="J3507" t="n">
        <v>3</v>
      </c>
      <c r="K3507" t="n">
        <v>0</v>
      </c>
      <c r="L3507" t="n">
        <v>25600</v>
      </c>
      <c r="M3507" t="n">
        <v>39000</v>
      </c>
      <c r="N3507" t="n">
        <v>91</v>
      </c>
      <c r="O3507" t="n">
        <v>0.91</v>
      </c>
      <c r="P3507" t="n">
        <v>1</v>
      </c>
      <c r="Q3507" t="n">
        <v>0.03</v>
      </c>
      <c r="R3507" t="n">
        <v>1</v>
      </c>
      <c r="S3507" t="n">
        <v>1064.7</v>
      </c>
      <c r="T3507" t="n">
        <v>20</v>
      </c>
      <c r="U3507" t="n">
        <v>21</v>
      </c>
      <c r="V3507" t="n">
        <v>30</v>
      </c>
      <c r="W3507" t="n">
        <v>1</v>
      </c>
      <c r="X3507" t="n">
        <v>36.63003663003663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6751</v>
      </c>
      <c r="AG3507" t="n">
        <v>1</v>
      </c>
      <c r="AH3507" t="inlineStr">
        <is>
          <t>PT. BERSAMA DISTRIVERSA INDONESIA (DC CIPUTAT)</t>
        </is>
      </c>
      <c r="AI3507" t="n">
        <v>110</v>
      </c>
      <c r="AJ3507" t="inlineStr">
        <is>
          <t>MIRAEL</t>
        </is>
      </c>
      <c r="AK3507" t="n">
        <v>21</v>
      </c>
      <c r="AL3507" t="inlineStr">
        <is>
          <t>Miss Glam Damar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MIRAEL</t>
        </is>
      </c>
      <c r="B3508" s="2">
        <f>"661706058339"</f>
        <v/>
      </c>
      <c r="C3508" t="inlineStr">
        <is>
          <t>MIRAEL Sugar Wax Belgian Chocolate 250gr</t>
        </is>
      </c>
      <c r="D3508" t="inlineStr">
        <is>
          <t>Miss Glam Damar</t>
        </is>
      </c>
      <c r="E3508" t="n">
        <v>6</v>
      </c>
      <c r="F3508" t="n">
        <v>0.05</v>
      </c>
      <c r="G3508" t="n">
        <v>1</v>
      </c>
      <c r="H3508" t="n">
        <v>4</v>
      </c>
      <c r="I3508" t="n">
        <v>21</v>
      </c>
      <c r="J3508" t="n">
        <v>3</v>
      </c>
      <c r="K3508" t="n">
        <v>0</v>
      </c>
      <c r="L3508" t="n">
        <v>71431</v>
      </c>
      <c r="M3508" t="n">
        <v>94000</v>
      </c>
      <c r="N3508" t="n">
        <v>91</v>
      </c>
      <c r="O3508" t="n">
        <v>0.91</v>
      </c>
      <c r="P3508" t="n">
        <v>0</v>
      </c>
      <c r="Q3508" t="n">
        <v>0.05</v>
      </c>
      <c r="R3508" t="n">
        <v>1</v>
      </c>
      <c r="S3508" t="n">
        <v>4700</v>
      </c>
      <c r="T3508" t="n">
        <v>21</v>
      </c>
      <c r="U3508" t="n">
        <v>22</v>
      </c>
      <c r="V3508" t="n">
        <v>30</v>
      </c>
      <c r="W3508" t="n">
        <v>2</v>
      </c>
      <c r="X3508" t="n">
        <v>120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6751</v>
      </c>
      <c r="AG3508" t="n">
        <v>1</v>
      </c>
      <c r="AH3508" t="inlineStr">
        <is>
          <t>PT. BERSAMA DISTRIVERSA INDONESIA (DC CIPUTAT)</t>
        </is>
      </c>
      <c r="AI3508" t="n">
        <v>110</v>
      </c>
      <c r="AJ3508" t="inlineStr">
        <is>
          <t>MIRAEL</t>
        </is>
      </c>
      <c r="AK3508" t="n">
        <v>21</v>
      </c>
      <c r="AL3508" t="inlineStr">
        <is>
          <t>Miss Glam Damar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MIRAEL</t>
        </is>
      </c>
      <c r="B3509" s="2">
        <f>"697478752984"</f>
        <v/>
      </c>
      <c r="C3509" t="inlineStr">
        <is>
          <t>MIRAEL Sugar Wax Brightening Strawberry 2% Niacinamide 250gr</t>
        </is>
      </c>
      <c r="D3509" t="inlineStr">
        <is>
          <t>Miss Glam Damar</t>
        </is>
      </c>
      <c r="E3509" t="n">
        <v>1</v>
      </c>
      <c r="F3509" t="n">
        <v>0.1274</v>
      </c>
      <c r="G3509" t="n">
        <v>1.82</v>
      </c>
      <c r="H3509" t="n">
        <v>4</v>
      </c>
      <c r="I3509" t="n">
        <v>21</v>
      </c>
      <c r="J3509" t="n">
        <v>3</v>
      </c>
      <c r="K3509" t="n">
        <v>0</v>
      </c>
      <c r="L3509" t="n">
        <v>71431</v>
      </c>
      <c r="M3509" t="n">
        <v>94000</v>
      </c>
      <c r="N3509" t="n">
        <v>91</v>
      </c>
      <c r="O3509" t="n">
        <v>0.91</v>
      </c>
      <c r="P3509" t="n">
        <v>1</v>
      </c>
      <c r="Q3509" t="n">
        <v>0.22</v>
      </c>
      <c r="R3509" t="n">
        <v>2</v>
      </c>
      <c r="S3509" t="n">
        <v>11975.6</v>
      </c>
      <c r="T3509" t="n">
        <v>38</v>
      </c>
      <c r="U3509" t="n">
        <v>39</v>
      </c>
      <c r="V3509" t="n">
        <v>30</v>
      </c>
      <c r="W3509" t="n">
        <v>4</v>
      </c>
      <c r="X3509" t="n">
        <v>7.849293563579277</v>
      </c>
      <c r="Y3509" t="n">
        <v>1</v>
      </c>
      <c r="Z3509" t="n">
        <v>3</v>
      </c>
      <c r="AA3509" t="n">
        <v>2</v>
      </c>
      <c r="AB3509" t="n">
        <v>1</v>
      </c>
      <c r="AC3509" t="n">
        <v>3</v>
      </c>
      <c r="AD3509" t="n">
        <v>142862</v>
      </c>
      <c r="AE3509" t="n">
        <v>214293</v>
      </c>
      <c r="AF3509" t="n">
        <v>6751</v>
      </c>
      <c r="AG3509" t="n">
        <v>1</v>
      </c>
      <c r="AH3509" t="inlineStr">
        <is>
          <t>PT. BERSAMA DISTRIVERSA INDONESIA (DC CIPUTAT)</t>
        </is>
      </c>
      <c r="AI3509" t="n">
        <v>110</v>
      </c>
      <c r="AJ3509" t="inlineStr">
        <is>
          <t>MIRAEL</t>
        </is>
      </c>
      <c r="AK3509" t="n">
        <v>21</v>
      </c>
      <c r="AL3509" t="inlineStr">
        <is>
          <t>Miss Glam Damar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MIRAEL</t>
        </is>
      </c>
      <c r="B3510" s="2">
        <f>"697478753028"</f>
        <v/>
      </c>
      <c r="C3510" t="inlineStr">
        <is>
          <t>MIRAEL Sugar Wax Mouisturizing Honey 250gr</t>
        </is>
      </c>
      <c r="D3510" t="inlineStr">
        <is>
          <t>Miss Glam Damar</t>
        </is>
      </c>
      <c r="E3510" t="n">
        <v>4</v>
      </c>
      <c r="F3510" t="n">
        <v>0.0728</v>
      </c>
      <c r="G3510" t="n">
        <v>0.91</v>
      </c>
      <c r="H3510" t="n">
        <v>4</v>
      </c>
      <c r="I3510" t="n">
        <v>21</v>
      </c>
      <c r="J3510" t="n">
        <v>3</v>
      </c>
      <c r="K3510" t="n">
        <v>0</v>
      </c>
      <c r="L3510" t="n">
        <v>71431</v>
      </c>
      <c r="M3510" t="n">
        <v>94000</v>
      </c>
      <c r="N3510" t="n">
        <v>91</v>
      </c>
      <c r="O3510" t="n">
        <v>0.91</v>
      </c>
      <c r="P3510" t="n">
        <v>1</v>
      </c>
      <c r="Q3510" t="n">
        <v>0.12</v>
      </c>
      <c r="R3510" t="n">
        <v>1</v>
      </c>
      <c r="S3510" t="n">
        <v>6843.200000000001</v>
      </c>
      <c r="T3510" t="n">
        <v>19</v>
      </c>
      <c r="U3510" t="n">
        <v>20</v>
      </c>
      <c r="V3510" t="n">
        <v>30</v>
      </c>
      <c r="W3510" t="n">
        <v>3</v>
      </c>
      <c r="X3510" t="n">
        <v>54.94505494505494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6751</v>
      </c>
      <c r="AG3510" t="n">
        <v>1</v>
      </c>
      <c r="AH3510" t="inlineStr">
        <is>
          <t>PT. BERSAMA DISTRIVERSA INDONESIA (DC CIPUTAT)</t>
        </is>
      </c>
      <c r="AI3510" t="n">
        <v>110</v>
      </c>
      <c r="AJ3510" t="inlineStr">
        <is>
          <t>MIRAEL</t>
        </is>
      </c>
      <c r="AK3510" t="n">
        <v>21</v>
      </c>
      <c r="AL3510" t="inlineStr">
        <is>
          <t>Miss Glam Damar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MIRANDA</t>
        </is>
      </c>
      <c r="B3511" s="2">
        <f>"8997016379102"</f>
        <v/>
      </c>
      <c r="C3511" t="inlineStr">
        <is>
          <t>MIRANDA 3x Vitamin E Shine Booster Hair Serum 6 capsule x 1ml</t>
        </is>
      </c>
      <c r="D3511" t="inlineStr">
        <is>
          <t>Miss Glam Damar</t>
        </is>
      </c>
      <c r="E3511" t="n">
        <v>4</v>
      </c>
      <c r="F3511" t="n">
        <v>0.3367</v>
      </c>
      <c r="G3511" t="n">
        <v>1.82</v>
      </c>
      <c r="H3511" t="n">
        <v>3</v>
      </c>
      <c r="I3511" t="n">
        <v>11</v>
      </c>
      <c r="J3511" t="n">
        <v>3</v>
      </c>
      <c r="K3511" t="n">
        <v>0</v>
      </c>
      <c r="L3511" t="n">
        <v>9920</v>
      </c>
      <c r="M3511" t="n">
        <v>13000</v>
      </c>
      <c r="N3511" t="n">
        <v>91</v>
      </c>
      <c r="O3511" t="n">
        <v>0.91</v>
      </c>
      <c r="P3511" t="n">
        <v>1</v>
      </c>
      <c r="Q3511" t="n">
        <v>0.2</v>
      </c>
      <c r="R3511" t="n">
        <v>2</v>
      </c>
      <c r="S3511" t="n">
        <v>4377.1</v>
      </c>
      <c r="T3511" t="n">
        <v>20</v>
      </c>
      <c r="U3511" t="n">
        <v>22</v>
      </c>
      <c r="V3511" t="n">
        <v>30</v>
      </c>
      <c r="W3511" t="n">
        <v>11</v>
      </c>
      <c r="X3511" t="n">
        <v>11.88001188001188</v>
      </c>
      <c r="Y3511" t="n">
        <v>1</v>
      </c>
      <c r="Z3511" t="n">
        <v>7</v>
      </c>
      <c r="AA3511" t="n">
        <v>0</v>
      </c>
      <c r="AB3511" t="n">
        <v>7</v>
      </c>
      <c r="AC3511" t="n">
        <v>7</v>
      </c>
      <c r="AD3511" t="n">
        <v>0</v>
      </c>
      <c r="AE3511" t="n">
        <v>69440</v>
      </c>
      <c r="AF3511" t="n">
        <v>10127</v>
      </c>
      <c r="AG3511" t="n">
        <v>78</v>
      </c>
      <c r="AH3511" t="inlineStr">
        <is>
          <t>PT. GLORIENTA P.H - PPN (PDG)</t>
        </is>
      </c>
      <c r="AI3511" t="n">
        <v>377</v>
      </c>
      <c r="AJ3511" t="inlineStr">
        <is>
          <t>MIRANDA</t>
        </is>
      </c>
      <c r="AK3511" t="n">
        <v>21</v>
      </c>
      <c r="AL3511" t="inlineStr">
        <is>
          <t>Miss Glam Damar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MIRANDA</t>
        </is>
      </c>
      <c r="B3512" s="2">
        <f>"8997016370208"</f>
        <v/>
      </c>
      <c r="C3512" t="inlineStr">
        <is>
          <t>MIRANDA 3x Vitamin E Smooth &amp; Radiant Hair Serum 6 capsule x 1ml</t>
        </is>
      </c>
      <c r="D3512" t="inlineStr">
        <is>
          <t>Miss Glam Damar</t>
        </is>
      </c>
      <c r="E3512" t="n">
        <v>10</v>
      </c>
      <c r="F3512" t="n">
        <v>0.4277</v>
      </c>
      <c r="G3512" t="n">
        <v>2.73</v>
      </c>
      <c r="H3512" t="n">
        <v>3</v>
      </c>
      <c r="I3512" t="n">
        <v>11</v>
      </c>
      <c r="J3512" t="n">
        <v>3</v>
      </c>
      <c r="K3512" t="n">
        <v>0</v>
      </c>
      <c r="L3512" t="n">
        <v>9920</v>
      </c>
      <c r="M3512" t="n">
        <v>13000</v>
      </c>
      <c r="N3512" t="n">
        <v>91</v>
      </c>
      <c r="O3512" t="n">
        <v>0.91</v>
      </c>
      <c r="P3512" t="n">
        <v>1</v>
      </c>
      <c r="Q3512" t="n">
        <v>0.12</v>
      </c>
      <c r="R3512" t="n">
        <v>2</v>
      </c>
      <c r="S3512" t="n">
        <v>5560.099999999999</v>
      </c>
      <c r="T3512" t="n">
        <v>29</v>
      </c>
      <c r="U3512" t="n">
        <v>31</v>
      </c>
      <c r="V3512" t="n">
        <v>30</v>
      </c>
      <c r="W3512" t="n">
        <v>13</v>
      </c>
      <c r="X3512" t="n">
        <v>23.38087444470423</v>
      </c>
      <c r="Y3512" t="n">
        <v>1</v>
      </c>
      <c r="Z3512" t="n">
        <v>3</v>
      </c>
      <c r="AA3512" t="n">
        <v>0</v>
      </c>
      <c r="AB3512" t="n">
        <v>3</v>
      </c>
      <c r="AC3512" t="n">
        <v>3</v>
      </c>
      <c r="AD3512" t="n">
        <v>0</v>
      </c>
      <c r="AE3512" t="n">
        <v>29760</v>
      </c>
      <c r="AF3512" t="n">
        <v>10127</v>
      </c>
      <c r="AG3512" t="n">
        <v>78</v>
      </c>
      <c r="AH3512" t="inlineStr">
        <is>
          <t>PT. GLORIENTA P.H - PPN (PDG)</t>
        </is>
      </c>
      <c r="AI3512" t="n">
        <v>377</v>
      </c>
      <c r="AJ3512" t="inlineStr">
        <is>
          <t>MIRANDA</t>
        </is>
      </c>
      <c r="AK3512" t="n">
        <v>21</v>
      </c>
      <c r="AL3512" t="inlineStr">
        <is>
          <t>Miss Glam Damar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MIRANDA</t>
        </is>
      </c>
      <c r="B3513" s="2">
        <f>"8997016370192"</f>
        <v/>
      </c>
      <c r="C3513" t="inlineStr">
        <is>
          <t>MIRANDA 3x Vitamin E Strong &amp; Energizing Hair Serum 6 capsule x 1ml</t>
        </is>
      </c>
      <c r="D3513" t="inlineStr">
        <is>
          <t>Miss Glam Damar</t>
        </is>
      </c>
      <c r="E3513" t="n">
        <v>12</v>
      </c>
      <c r="F3513" t="n">
        <v>0.3276</v>
      </c>
      <c r="G3513" t="n">
        <v>2.73</v>
      </c>
      <c r="H3513" t="n">
        <v>3</v>
      </c>
      <c r="I3513" t="n">
        <v>11</v>
      </c>
      <c r="J3513" t="n">
        <v>3</v>
      </c>
      <c r="K3513" t="n">
        <v>0</v>
      </c>
      <c r="L3513" t="n">
        <v>9920</v>
      </c>
      <c r="M3513" t="n">
        <v>12500</v>
      </c>
      <c r="N3513" t="n">
        <v>91</v>
      </c>
      <c r="O3513" t="n">
        <v>0.91</v>
      </c>
      <c r="P3513" t="n">
        <v>1</v>
      </c>
      <c r="Q3513" t="n">
        <v>0.22</v>
      </c>
      <c r="R3513" t="n">
        <v>2</v>
      </c>
      <c r="S3513" t="n">
        <v>4095</v>
      </c>
      <c r="T3513" t="n">
        <v>30</v>
      </c>
      <c r="U3513" t="n">
        <v>31</v>
      </c>
      <c r="V3513" t="n">
        <v>30</v>
      </c>
      <c r="W3513" t="n">
        <v>10</v>
      </c>
      <c r="X3513" t="n">
        <v>36.63003663003663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10127</v>
      </c>
      <c r="AG3513" t="n">
        <v>78</v>
      </c>
      <c r="AH3513" t="inlineStr">
        <is>
          <t>PT. GLORIENTA P.H - PPN (PDG)</t>
        </is>
      </c>
      <c r="AI3513" t="n">
        <v>377</v>
      </c>
      <c r="AJ3513" t="inlineStr">
        <is>
          <t>MIRANDA</t>
        </is>
      </c>
      <c r="AK3513" t="n">
        <v>21</v>
      </c>
      <c r="AL3513" t="inlineStr">
        <is>
          <t>Miss Glam Damar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MIRANDA</t>
        </is>
      </c>
      <c r="B3514" s="2">
        <f>"8997016373810"</f>
        <v/>
      </c>
      <c r="C3514" t="inlineStr">
        <is>
          <t>MIRANDA Hair Color Mc 15</t>
        </is>
      </c>
      <c r="D3514" t="inlineStr">
        <is>
          <t>Miss Glam Damar</t>
        </is>
      </c>
      <c r="E3514" t="n">
        <v>4</v>
      </c>
      <c r="F3514" t="n">
        <v>0.09100000000000001</v>
      </c>
      <c r="G3514" t="n">
        <v>1.82</v>
      </c>
      <c r="H3514" t="n">
        <v>3</v>
      </c>
      <c r="I3514" t="n">
        <v>11</v>
      </c>
      <c r="J3514" t="n">
        <v>3</v>
      </c>
      <c r="K3514" t="n">
        <v>0</v>
      </c>
      <c r="L3514" t="n">
        <v>12187</v>
      </c>
      <c r="M3514" t="n">
        <v>15000</v>
      </c>
      <c r="N3514" t="n">
        <v>91</v>
      </c>
      <c r="O3514" t="n">
        <v>0.91</v>
      </c>
      <c r="P3514" t="n">
        <v>1</v>
      </c>
      <c r="Q3514" t="n">
        <v>0.12</v>
      </c>
      <c r="R3514" t="n">
        <v>2</v>
      </c>
      <c r="S3514" t="n">
        <v>1365</v>
      </c>
      <c r="T3514" t="n">
        <v>20</v>
      </c>
      <c r="U3514" t="n">
        <v>21</v>
      </c>
      <c r="V3514" t="n">
        <v>30</v>
      </c>
      <c r="W3514" t="n">
        <v>3</v>
      </c>
      <c r="X3514" t="n">
        <v>43.95604395604395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10127</v>
      </c>
      <c r="AG3514" t="n">
        <v>78</v>
      </c>
      <c r="AH3514" t="inlineStr">
        <is>
          <t>PT. GLORIENTA P.H - PPN (PDG)</t>
        </is>
      </c>
      <c r="AI3514" t="n">
        <v>377</v>
      </c>
      <c r="AJ3514" t="inlineStr">
        <is>
          <t>MIRANDA</t>
        </is>
      </c>
      <c r="AK3514" t="n">
        <v>21</v>
      </c>
      <c r="AL3514" t="inlineStr">
        <is>
          <t>Miss Glam Damar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MIRANDA</t>
        </is>
      </c>
      <c r="B3515" s="2">
        <f>"8997016379362"</f>
        <v/>
      </c>
      <c r="C3515" t="inlineStr">
        <is>
          <t>MIRANDA Hair Color Mc 17</t>
        </is>
      </c>
      <c r="D3515" t="inlineStr">
        <is>
          <t>Miss Glam Damar</t>
        </is>
      </c>
      <c r="E3515" t="n">
        <v>28</v>
      </c>
      <c r="F3515" t="n">
        <v>0.32</v>
      </c>
      <c r="G3515" t="n">
        <v>3</v>
      </c>
      <c r="H3515" t="n">
        <v>3</v>
      </c>
      <c r="I3515" t="n">
        <v>11</v>
      </c>
      <c r="J3515" t="n">
        <v>3</v>
      </c>
      <c r="K3515" t="n">
        <v>0</v>
      </c>
      <c r="L3515" t="n">
        <v>12187</v>
      </c>
      <c r="M3515" t="n">
        <v>14800</v>
      </c>
      <c r="N3515" t="n">
        <v>91</v>
      </c>
      <c r="O3515" t="n">
        <v>0.91</v>
      </c>
      <c r="P3515" t="n">
        <v>0</v>
      </c>
      <c r="Q3515" t="n">
        <v>0.32</v>
      </c>
      <c r="R3515" t="n">
        <v>3</v>
      </c>
      <c r="S3515" t="n">
        <v>4736</v>
      </c>
      <c r="T3515" t="n">
        <v>33</v>
      </c>
      <c r="U3515" t="n">
        <v>34</v>
      </c>
      <c r="V3515" t="n">
        <v>30</v>
      </c>
      <c r="W3515" t="n">
        <v>10</v>
      </c>
      <c r="X3515" t="n">
        <v>87.5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10127</v>
      </c>
      <c r="AG3515" t="n">
        <v>78</v>
      </c>
      <c r="AH3515" t="inlineStr">
        <is>
          <t>PT. GLORIENTA P.H - PPN (PDG)</t>
        </is>
      </c>
      <c r="AI3515" t="n">
        <v>377</v>
      </c>
      <c r="AJ3515" t="inlineStr">
        <is>
          <t>MIRANDA</t>
        </is>
      </c>
      <c r="AK3515" t="n">
        <v>21</v>
      </c>
      <c r="AL3515" t="inlineStr">
        <is>
          <t>Miss Glam Damar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MIRANDA</t>
        </is>
      </c>
      <c r="B3516" s="2">
        <f>"8997016379379"</f>
        <v/>
      </c>
      <c r="C3516" t="inlineStr">
        <is>
          <t>MIRANDA Hair Color Mc 18</t>
        </is>
      </c>
      <c r="D3516" t="inlineStr">
        <is>
          <t>Miss Glam Damar</t>
        </is>
      </c>
      <c r="E3516" t="n">
        <v>4</v>
      </c>
      <c r="F3516" t="n">
        <v>0.3549</v>
      </c>
      <c r="G3516" t="n">
        <v>2.73</v>
      </c>
      <c r="H3516" t="n">
        <v>3</v>
      </c>
      <c r="I3516" t="n">
        <v>11</v>
      </c>
      <c r="J3516" t="n">
        <v>3</v>
      </c>
      <c r="K3516" t="n">
        <v>0</v>
      </c>
      <c r="L3516" t="n">
        <v>12187</v>
      </c>
      <c r="M3516" t="n">
        <v>15000</v>
      </c>
      <c r="N3516" t="n">
        <v>91</v>
      </c>
      <c r="O3516" t="n">
        <v>0.91</v>
      </c>
      <c r="P3516" t="n">
        <v>1</v>
      </c>
      <c r="Q3516" t="n">
        <v>0.12</v>
      </c>
      <c r="R3516" t="n">
        <v>2</v>
      </c>
      <c r="S3516" t="n">
        <v>5323.500000000001</v>
      </c>
      <c r="T3516" t="n">
        <v>29</v>
      </c>
      <c r="U3516" t="n">
        <v>31</v>
      </c>
      <c r="V3516" t="n">
        <v>30</v>
      </c>
      <c r="W3516" t="n">
        <v>11</v>
      </c>
      <c r="X3516" t="n">
        <v>11.27078050154973</v>
      </c>
      <c r="Y3516" t="n">
        <v>1</v>
      </c>
      <c r="Z3516" t="n">
        <v>7</v>
      </c>
      <c r="AA3516" t="n">
        <v>0</v>
      </c>
      <c r="AB3516" t="n">
        <v>7</v>
      </c>
      <c r="AC3516" t="n">
        <v>7</v>
      </c>
      <c r="AD3516" t="n">
        <v>0</v>
      </c>
      <c r="AE3516" t="n">
        <v>85309</v>
      </c>
      <c r="AF3516" t="n">
        <v>10127</v>
      </c>
      <c r="AG3516" t="n">
        <v>78</v>
      </c>
      <c r="AH3516" t="inlineStr">
        <is>
          <t>PT. GLORIENTA P.H - PPN (PDG)</t>
        </is>
      </c>
      <c r="AI3516" t="n">
        <v>377</v>
      </c>
      <c r="AJ3516" t="inlineStr">
        <is>
          <t>MIRANDA</t>
        </is>
      </c>
      <c r="AK3516" t="n">
        <v>21</v>
      </c>
      <c r="AL3516" t="inlineStr">
        <is>
          <t>Miss Glam Damar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MIRANDA</t>
        </is>
      </c>
      <c r="B3517" s="2">
        <f>"8997016370321"</f>
        <v/>
      </c>
      <c r="C3517" t="inlineStr">
        <is>
          <t>MIRANDA Hair Color Mc 2</t>
        </is>
      </c>
      <c r="D3517" t="inlineStr">
        <is>
          <t>Miss Glam Damar</t>
        </is>
      </c>
      <c r="E3517" t="n">
        <v>4</v>
      </c>
      <c r="F3517" t="n">
        <v>0.4004</v>
      </c>
      <c r="G3517" t="n">
        <v>3.64</v>
      </c>
      <c r="H3517" t="n">
        <v>3</v>
      </c>
      <c r="I3517" t="n">
        <v>11</v>
      </c>
      <c r="J3517" t="n">
        <v>3</v>
      </c>
      <c r="K3517" t="n">
        <v>0</v>
      </c>
      <c r="L3517" t="n">
        <v>12187</v>
      </c>
      <c r="M3517" t="n">
        <v>15000</v>
      </c>
      <c r="N3517" t="n">
        <v>91</v>
      </c>
      <c r="O3517" t="n">
        <v>0.91</v>
      </c>
      <c r="P3517" t="n">
        <v>1</v>
      </c>
      <c r="Q3517" t="n">
        <v>0.2</v>
      </c>
      <c r="R3517" t="n">
        <v>3</v>
      </c>
      <c r="S3517" t="n">
        <v>6006.000000000001</v>
      </c>
      <c r="T3517" t="n">
        <v>39</v>
      </c>
      <c r="U3517" t="n">
        <v>41</v>
      </c>
      <c r="V3517" t="n">
        <v>30</v>
      </c>
      <c r="W3517" t="n">
        <v>13</v>
      </c>
      <c r="X3517" t="n">
        <v>9.990009990009989</v>
      </c>
      <c r="Y3517" t="n">
        <v>1</v>
      </c>
      <c r="Z3517" t="n">
        <v>9</v>
      </c>
      <c r="AA3517" t="n">
        <v>1</v>
      </c>
      <c r="AB3517" t="n">
        <v>8</v>
      </c>
      <c r="AC3517" t="n">
        <v>8</v>
      </c>
      <c r="AD3517" t="n">
        <v>12187</v>
      </c>
      <c r="AE3517" t="n">
        <v>97496</v>
      </c>
      <c r="AF3517" t="n">
        <v>10127</v>
      </c>
      <c r="AG3517" t="n">
        <v>78</v>
      </c>
      <c r="AH3517" t="inlineStr">
        <is>
          <t>PT. GLORIENTA P.H - PPN (PDG)</t>
        </is>
      </c>
      <c r="AI3517" t="n">
        <v>377</v>
      </c>
      <c r="AJ3517" t="inlineStr">
        <is>
          <t>MIRANDA</t>
        </is>
      </c>
      <c r="AK3517" t="n">
        <v>21</v>
      </c>
      <c r="AL3517" t="inlineStr">
        <is>
          <t>Miss Glam Damar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MIRANDA</t>
        </is>
      </c>
      <c r="B3518" s="2">
        <f>"8997016370345"</f>
        <v/>
      </c>
      <c r="C3518" t="inlineStr">
        <is>
          <t>MIRANDA Hair Color Mc 4</t>
        </is>
      </c>
      <c r="D3518" t="inlineStr">
        <is>
          <t>Miss Glam Damar</t>
        </is>
      </c>
      <c r="E3518" t="n">
        <v>3</v>
      </c>
      <c r="F3518" t="n">
        <v>0.1365</v>
      </c>
      <c r="G3518" t="n">
        <v>2.73</v>
      </c>
      <c r="H3518" t="n">
        <v>3</v>
      </c>
      <c r="I3518" t="n">
        <v>11</v>
      </c>
      <c r="J3518" t="n">
        <v>3</v>
      </c>
      <c r="K3518" t="n">
        <v>0</v>
      </c>
      <c r="L3518" t="n">
        <v>12187</v>
      </c>
      <c r="M3518" t="n">
        <v>15000</v>
      </c>
      <c r="N3518" t="n">
        <v>91</v>
      </c>
      <c r="O3518" t="n">
        <v>0.91</v>
      </c>
      <c r="P3518" t="n">
        <v>1</v>
      </c>
      <c r="Q3518" t="n">
        <v>0.08</v>
      </c>
      <c r="R3518" t="n">
        <v>1</v>
      </c>
      <c r="S3518" t="n">
        <v>2047.5</v>
      </c>
      <c r="T3518" t="n">
        <v>30</v>
      </c>
      <c r="U3518" t="n">
        <v>31</v>
      </c>
      <c r="V3518" t="n">
        <v>30</v>
      </c>
      <c r="W3518" t="n">
        <v>5</v>
      </c>
      <c r="X3518" t="n">
        <v>21.97802197802198</v>
      </c>
      <c r="Y3518" t="n">
        <v>1</v>
      </c>
      <c r="Z3518" t="n">
        <v>2</v>
      </c>
      <c r="AA3518" t="n">
        <v>0</v>
      </c>
      <c r="AB3518" t="n">
        <v>2</v>
      </c>
      <c r="AC3518" t="n">
        <v>3</v>
      </c>
      <c r="AD3518" t="n">
        <v>0</v>
      </c>
      <c r="AE3518" t="n">
        <v>36561</v>
      </c>
      <c r="AF3518" t="n">
        <v>10127</v>
      </c>
      <c r="AG3518" t="n">
        <v>78</v>
      </c>
      <c r="AH3518" t="inlineStr">
        <is>
          <t>PT. GLORIENTA P.H - PPN (PDG)</t>
        </is>
      </c>
      <c r="AI3518" t="n">
        <v>377</v>
      </c>
      <c r="AJ3518" t="inlineStr">
        <is>
          <t>MIRANDA</t>
        </is>
      </c>
      <c r="AK3518" t="n">
        <v>21</v>
      </c>
      <c r="AL3518" t="inlineStr">
        <is>
          <t>Miss Glam Damar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MIRANDA</t>
        </is>
      </c>
      <c r="B3519" s="2">
        <f>"8997016370390"</f>
        <v/>
      </c>
      <c r="C3519" t="inlineStr">
        <is>
          <t>MIRANDA Hair Color Mc 9</t>
        </is>
      </c>
      <c r="D3519" t="inlineStr">
        <is>
          <t>Miss Glam Damar</t>
        </is>
      </c>
      <c r="E3519" t="n">
        <v>24</v>
      </c>
      <c r="F3519" t="n">
        <v>0.4004</v>
      </c>
      <c r="G3519" t="n">
        <v>4.55</v>
      </c>
      <c r="H3519" t="n">
        <v>3</v>
      </c>
      <c r="I3519" t="n">
        <v>11</v>
      </c>
      <c r="J3519" t="n">
        <v>3</v>
      </c>
      <c r="K3519" t="n">
        <v>0</v>
      </c>
      <c r="L3519" t="n">
        <v>12187</v>
      </c>
      <c r="M3519" t="n">
        <v>15000</v>
      </c>
      <c r="N3519" t="n">
        <v>91</v>
      </c>
      <c r="O3519" t="n">
        <v>0.91</v>
      </c>
      <c r="P3519" t="n">
        <v>1</v>
      </c>
      <c r="Q3519" t="n">
        <v>0.29</v>
      </c>
      <c r="R3519" t="n">
        <v>4</v>
      </c>
      <c r="S3519" t="n">
        <v>6006.000000000001</v>
      </c>
      <c r="T3519" t="n">
        <v>49</v>
      </c>
      <c r="U3519" t="n">
        <v>51</v>
      </c>
      <c r="V3519" t="n">
        <v>30</v>
      </c>
      <c r="W3519" t="n">
        <v>13</v>
      </c>
      <c r="X3519" t="n">
        <v>59.94005994005993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10127</v>
      </c>
      <c r="AG3519" t="n">
        <v>78</v>
      </c>
      <c r="AH3519" t="inlineStr">
        <is>
          <t>PT. GLORIENTA P.H - PPN (PDG)</t>
        </is>
      </c>
      <c r="AI3519" t="n">
        <v>377</v>
      </c>
      <c r="AJ3519" t="inlineStr">
        <is>
          <t>MIRANDA</t>
        </is>
      </c>
      <c r="AK3519" t="n">
        <v>21</v>
      </c>
      <c r="AL3519" t="inlineStr">
        <is>
          <t>Miss Glam Damar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MIRANDA</t>
        </is>
      </c>
      <c r="B3520" s="2">
        <f>"8997016374817"</f>
        <v/>
      </c>
      <c r="C3520" t="inlineStr">
        <is>
          <t>MIRANDA Hair Color Mc 9 60ml</t>
        </is>
      </c>
      <c r="D3520" t="inlineStr">
        <is>
          <t>Miss Glam Damar</t>
        </is>
      </c>
      <c r="E3520" t="n">
        <v>0</v>
      </c>
      <c r="F3520" t="n">
        <v>0.1274</v>
      </c>
      <c r="G3520" t="n">
        <v>1.82</v>
      </c>
      <c r="H3520" t="n">
        <v>3</v>
      </c>
      <c r="I3520" t="n">
        <v>11</v>
      </c>
      <c r="J3520" t="n">
        <v>3</v>
      </c>
      <c r="K3520" t="n">
        <v>0</v>
      </c>
      <c r="L3520" t="n">
        <v>23200</v>
      </c>
      <c r="M3520" t="n">
        <v>27500</v>
      </c>
      <c r="N3520" t="n">
        <v>91</v>
      </c>
      <c r="O3520" t="n">
        <v>0.91</v>
      </c>
      <c r="P3520" t="n">
        <v>1</v>
      </c>
      <c r="Q3520" t="n">
        <v>0.08</v>
      </c>
      <c r="R3520" t="n">
        <v>1</v>
      </c>
      <c r="S3520" t="n">
        <v>3503.5</v>
      </c>
      <c r="T3520" t="n">
        <v>20</v>
      </c>
      <c r="U3520" t="n">
        <v>21</v>
      </c>
      <c r="V3520" t="n">
        <v>30</v>
      </c>
      <c r="W3520" t="n">
        <v>4</v>
      </c>
      <c r="X3520" t="n">
        <v>0</v>
      </c>
      <c r="Y3520" t="n">
        <v>1</v>
      </c>
      <c r="Z3520" t="n">
        <v>4</v>
      </c>
      <c r="AA3520" t="n">
        <v>2</v>
      </c>
      <c r="AB3520" t="n">
        <v>2</v>
      </c>
      <c r="AC3520" t="n">
        <v>3</v>
      </c>
      <c r="AD3520" t="n">
        <v>46400</v>
      </c>
      <c r="AE3520" t="n">
        <v>69600</v>
      </c>
      <c r="AF3520" t="n">
        <v>10127</v>
      </c>
      <c r="AG3520" t="n">
        <v>78</v>
      </c>
      <c r="AH3520" t="inlineStr">
        <is>
          <t>PT. GLORIENTA P.H - PPN (PDG)</t>
        </is>
      </c>
      <c r="AI3520" t="n">
        <v>377</v>
      </c>
      <c r="AJ3520" t="inlineStr">
        <is>
          <t>MIRANDA</t>
        </is>
      </c>
      <c r="AK3520" t="n">
        <v>21</v>
      </c>
      <c r="AL3520" t="inlineStr">
        <is>
          <t>Miss Glam Damar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MIRANDA</t>
        </is>
      </c>
      <c r="B3521" s="2">
        <f>"8997016370314"</f>
        <v/>
      </c>
      <c r="C3521" t="inlineStr">
        <is>
          <t>MIRANDA Hair Color MC-1 Natural Black 30ml</t>
        </is>
      </c>
      <c r="D3521" t="inlineStr">
        <is>
          <t>Miss Glam Damar</t>
        </is>
      </c>
      <c r="E3521" t="n">
        <v>7</v>
      </c>
      <c r="F3521" t="n">
        <v>0.3276</v>
      </c>
      <c r="G3521" t="n">
        <v>2.73</v>
      </c>
      <c r="H3521" t="n">
        <v>3</v>
      </c>
      <c r="I3521" t="n">
        <v>11</v>
      </c>
      <c r="J3521" t="n">
        <v>3</v>
      </c>
      <c r="K3521" t="n">
        <v>0</v>
      </c>
      <c r="L3521" t="n">
        <v>12187</v>
      </c>
      <c r="M3521" t="n">
        <v>15000</v>
      </c>
      <c r="N3521" t="n">
        <v>91</v>
      </c>
      <c r="O3521" t="n">
        <v>0.91</v>
      </c>
      <c r="P3521" t="n">
        <v>1</v>
      </c>
      <c r="Q3521" t="n">
        <v>0.25</v>
      </c>
      <c r="R3521" t="n">
        <v>2</v>
      </c>
      <c r="S3521" t="n">
        <v>4914</v>
      </c>
      <c r="T3521" t="n">
        <v>30</v>
      </c>
      <c r="U3521" t="n">
        <v>31</v>
      </c>
      <c r="V3521" t="n">
        <v>30</v>
      </c>
      <c r="W3521" t="n">
        <v>10</v>
      </c>
      <c r="X3521" t="n">
        <v>21.36752136752137</v>
      </c>
      <c r="Y3521" t="n">
        <v>1</v>
      </c>
      <c r="Z3521" t="n">
        <v>3</v>
      </c>
      <c r="AA3521" t="n">
        <v>0</v>
      </c>
      <c r="AB3521" t="n">
        <v>3</v>
      </c>
      <c r="AC3521" t="n">
        <v>3</v>
      </c>
      <c r="AD3521" t="n">
        <v>0</v>
      </c>
      <c r="AE3521" t="n">
        <v>36561</v>
      </c>
      <c r="AF3521" t="n">
        <v>10127</v>
      </c>
      <c r="AG3521" t="n">
        <v>78</v>
      </c>
      <c r="AH3521" t="inlineStr">
        <is>
          <t>PT. GLORIENTA P.H - PPN (PDG)</t>
        </is>
      </c>
      <c r="AI3521" t="n">
        <v>377</v>
      </c>
      <c r="AJ3521" t="inlineStr">
        <is>
          <t>MIRANDA</t>
        </is>
      </c>
      <c r="AK3521" t="n">
        <v>21</v>
      </c>
      <c r="AL3521" t="inlineStr">
        <is>
          <t>Miss Glam Damar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MIRANDA</t>
        </is>
      </c>
      <c r="B3522" s="2">
        <f>"8997016370161"</f>
        <v/>
      </c>
      <c r="C3522" t="inlineStr">
        <is>
          <t>MIRANDA Hair Color MC-14 Golden Brown 30ml</t>
        </is>
      </c>
      <c r="D3522" t="inlineStr">
        <is>
          <t>Miss Glam Damar</t>
        </is>
      </c>
      <c r="E3522" t="n">
        <v>0</v>
      </c>
      <c r="F3522" t="n">
        <v>0.5551</v>
      </c>
      <c r="G3522" t="n">
        <v>7.28</v>
      </c>
      <c r="H3522" t="n">
        <v>3</v>
      </c>
      <c r="I3522" t="n">
        <v>11</v>
      </c>
      <c r="J3522" t="n">
        <v>3</v>
      </c>
      <c r="K3522" t="n">
        <v>0</v>
      </c>
      <c r="L3522" t="n">
        <v>12187</v>
      </c>
      <c r="M3522" t="n">
        <v>15000</v>
      </c>
      <c r="N3522" t="n">
        <v>91</v>
      </c>
      <c r="O3522" t="n">
        <v>0.91</v>
      </c>
      <c r="P3522" t="n">
        <v>1</v>
      </c>
      <c r="Q3522" t="n">
        <v>0.32</v>
      </c>
      <c r="R3522" t="n">
        <v>3</v>
      </c>
      <c r="S3522" t="n">
        <v>8326.5</v>
      </c>
      <c r="T3522" t="n">
        <v>79</v>
      </c>
      <c r="U3522" t="n">
        <v>81</v>
      </c>
      <c r="V3522" t="n">
        <v>30</v>
      </c>
      <c r="W3522" t="n">
        <v>17</v>
      </c>
      <c r="X3522" t="n">
        <v>0</v>
      </c>
      <c r="Y3522" t="n">
        <v>1</v>
      </c>
      <c r="Z3522" t="n">
        <v>17</v>
      </c>
      <c r="AA3522" t="n">
        <v>7</v>
      </c>
      <c r="AB3522" t="n">
        <v>10</v>
      </c>
      <c r="AC3522" t="n">
        <v>10</v>
      </c>
      <c r="AD3522" t="n">
        <v>85309</v>
      </c>
      <c r="AE3522" t="n">
        <v>121870</v>
      </c>
      <c r="AF3522" t="n">
        <v>10127</v>
      </c>
      <c r="AG3522" t="n">
        <v>78</v>
      </c>
      <c r="AH3522" t="inlineStr">
        <is>
          <t>PT. GLORIENTA P.H - PPN (PDG)</t>
        </is>
      </c>
      <c r="AI3522" t="n">
        <v>377</v>
      </c>
      <c r="AJ3522" t="inlineStr">
        <is>
          <t>MIRANDA</t>
        </is>
      </c>
      <c r="AK3522" t="n">
        <v>21</v>
      </c>
      <c r="AL3522" t="inlineStr">
        <is>
          <t>Miss Glam Damar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MIRANDA</t>
        </is>
      </c>
      <c r="B3523" s="2">
        <f>"8997016377757"</f>
        <v/>
      </c>
      <c r="C3523" t="inlineStr">
        <is>
          <t>MIRANDA Hair Color MC-16 Ash Blonde 30ml</t>
        </is>
      </c>
      <c r="D3523" t="inlineStr">
        <is>
          <t>Miss Glam Damar</t>
        </is>
      </c>
      <c r="E3523" t="n">
        <v>19</v>
      </c>
      <c r="F3523" t="n">
        <v>1.0192</v>
      </c>
      <c r="G3523" t="n">
        <v>8.19</v>
      </c>
      <c r="H3523" t="n">
        <v>3</v>
      </c>
      <c r="I3523" t="n">
        <v>11</v>
      </c>
      <c r="J3523" t="n">
        <v>3</v>
      </c>
      <c r="K3523" t="n">
        <v>0</v>
      </c>
      <c r="L3523" t="n">
        <v>12187</v>
      </c>
      <c r="M3523" t="n">
        <v>15000</v>
      </c>
      <c r="N3523" t="n">
        <v>91</v>
      </c>
      <c r="O3523" t="n">
        <v>0.91</v>
      </c>
      <c r="P3523" t="n">
        <v>1</v>
      </c>
      <c r="Q3523" t="n">
        <v>0.64</v>
      </c>
      <c r="R3523" t="n">
        <v>4</v>
      </c>
      <c r="S3523" t="n">
        <v>15288</v>
      </c>
      <c r="T3523" t="n">
        <v>88</v>
      </c>
      <c r="U3523" t="n">
        <v>92</v>
      </c>
      <c r="V3523" t="n">
        <v>30</v>
      </c>
      <c r="W3523" t="n">
        <v>31</v>
      </c>
      <c r="X3523" t="n">
        <v>18.64207221350078</v>
      </c>
      <c r="Y3523" t="n">
        <v>1</v>
      </c>
      <c r="Z3523" t="n">
        <v>12</v>
      </c>
      <c r="AA3523" t="n">
        <v>0</v>
      </c>
      <c r="AB3523" t="n">
        <v>12</v>
      </c>
      <c r="AC3523" t="n">
        <v>12</v>
      </c>
      <c r="AD3523" t="n">
        <v>0</v>
      </c>
      <c r="AE3523" t="n">
        <v>146244</v>
      </c>
      <c r="AF3523" t="n">
        <v>10127</v>
      </c>
      <c r="AG3523" t="n">
        <v>78</v>
      </c>
      <c r="AH3523" t="inlineStr">
        <is>
          <t>PT. GLORIENTA P.H - PPN (PDG)</t>
        </is>
      </c>
      <c r="AI3523" t="n">
        <v>377</v>
      </c>
      <c r="AJ3523" t="inlineStr">
        <is>
          <t>MIRANDA</t>
        </is>
      </c>
      <c r="AK3523" t="n">
        <v>21</v>
      </c>
      <c r="AL3523" t="inlineStr">
        <is>
          <t>Miss Glam Damar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MIRANDA</t>
        </is>
      </c>
      <c r="B3524" s="2">
        <f>"8997226227965"</f>
        <v/>
      </c>
      <c r="C3524" t="inlineStr">
        <is>
          <t>MIRANDA Hair Color MC-20 Milk Tea 30ml</t>
        </is>
      </c>
      <c r="D3524" t="inlineStr">
        <is>
          <t>Miss Glam Damar</t>
        </is>
      </c>
      <c r="E3524" t="n">
        <v>18</v>
      </c>
      <c r="F3524" t="n">
        <v>0.9737000000000001</v>
      </c>
      <c r="G3524" t="n">
        <v>7.28</v>
      </c>
      <c r="H3524" t="n">
        <v>3</v>
      </c>
      <c r="I3524" t="n">
        <v>11</v>
      </c>
      <c r="J3524" t="n">
        <v>6</v>
      </c>
      <c r="K3524" t="n">
        <v>0</v>
      </c>
      <c r="L3524" t="n">
        <v>12187</v>
      </c>
      <c r="M3524" t="n">
        <v>15000</v>
      </c>
      <c r="N3524" t="n">
        <v>91</v>
      </c>
      <c r="O3524" t="n">
        <v>0.91</v>
      </c>
      <c r="P3524" t="n">
        <v>1</v>
      </c>
      <c r="Q3524" t="n">
        <v>0.51</v>
      </c>
      <c r="R3524" t="n">
        <v>5</v>
      </c>
      <c r="S3524" t="n">
        <v>14605.5</v>
      </c>
      <c r="T3524" t="n">
        <v>78</v>
      </c>
      <c r="U3524" t="n">
        <v>81</v>
      </c>
      <c r="V3524" t="n">
        <v>30</v>
      </c>
      <c r="W3524" t="n">
        <v>30</v>
      </c>
      <c r="X3524" t="n">
        <v>18.48618671048578</v>
      </c>
      <c r="Y3524" t="n">
        <v>1</v>
      </c>
      <c r="Z3524" t="n">
        <v>12</v>
      </c>
      <c r="AA3524" t="n">
        <v>0</v>
      </c>
      <c r="AB3524" t="n">
        <v>12</v>
      </c>
      <c r="AC3524" t="n">
        <v>12</v>
      </c>
      <c r="AD3524" t="n">
        <v>0</v>
      </c>
      <c r="AE3524" t="n">
        <v>146244</v>
      </c>
      <c r="AF3524" t="n">
        <v>10127</v>
      </c>
      <c r="AG3524" t="n">
        <v>78</v>
      </c>
      <c r="AH3524" t="inlineStr">
        <is>
          <t>PT. GLORIENTA P.H - PPN (PDG)</t>
        </is>
      </c>
      <c r="AI3524" t="n">
        <v>377</v>
      </c>
      <c r="AJ3524" t="inlineStr">
        <is>
          <t>MIRANDA</t>
        </is>
      </c>
      <c r="AK3524" t="n">
        <v>21</v>
      </c>
      <c r="AL3524" t="inlineStr">
        <is>
          <t>Miss Glam Damar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MIRANDA</t>
        </is>
      </c>
      <c r="B3525" s="2">
        <f>"8997016374800"</f>
        <v/>
      </c>
      <c r="C3525" t="inlineStr">
        <is>
          <t>MIRANDA Hair Color MC-6 60ml</t>
        </is>
      </c>
      <c r="D3525" t="inlineStr">
        <is>
          <t>Miss Glam Damar</t>
        </is>
      </c>
      <c r="E3525" t="n">
        <v>2</v>
      </c>
      <c r="F3525" t="n">
        <v>0.1365</v>
      </c>
      <c r="G3525" t="n">
        <v>2.73</v>
      </c>
      <c r="H3525" t="n">
        <v>3</v>
      </c>
      <c r="I3525" t="n">
        <v>11</v>
      </c>
      <c r="J3525" t="n">
        <v>3</v>
      </c>
      <c r="K3525" t="n">
        <v>0</v>
      </c>
      <c r="L3525" t="n">
        <v>23200</v>
      </c>
      <c r="M3525" t="n">
        <v>28500</v>
      </c>
      <c r="N3525" t="n">
        <v>91</v>
      </c>
      <c r="O3525" t="n">
        <v>0.91</v>
      </c>
      <c r="P3525" t="n">
        <v>1</v>
      </c>
      <c r="Q3525" t="n">
        <v>0.15</v>
      </c>
      <c r="R3525" t="n">
        <v>2</v>
      </c>
      <c r="S3525" t="n">
        <v>3890.25</v>
      </c>
      <c r="T3525" t="n">
        <v>30</v>
      </c>
      <c r="U3525" t="n">
        <v>31</v>
      </c>
      <c r="V3525" t="n">
        <v>30</v>
      </c>
      <c r="W3525" t="n">
        <v>5</v>
      </c>
      <c r="X3525" t="n">
        <v>14.65201465201465</v>
      </c>
      <c r="Y3525" t="n">
        <v>1</v>
      </c>
      <c r="Z3525" t="n">
        <v>3</v>
      </c>
      <c r="AA3525" t="n">
        <v>0</v>
      </c>
      <c r="AB3525" t="n">
        <v>3</v>
      </c>
      <c r="AC3525" t="n">
        <v>3</v>
      </c>
      <c r="AD3525" t="n">
        <v>0</v>
      </c>
      <c r="AE3525" t="n">
        <v>69600</v>
      </c>
      <c r="AF3525" t="n">
        <v>10127</v>
      </c>
      <c r="AG3525" t="n">
        <v>78</v>
      </c>
      <c r="AH3525" t="inlineStr">
        <is>
          <t>PT. GLORIENTA P.H - PPN (PDG)</t>
        </is>
      </c>
      <c r="AI3525" t="n">
        <v>377</v>
      </c>
      <c r="AJ3525" t="inlineStr">
        <is>
          <t>MIRANDA</t>
        </is>
      </c>
      <c r="AK3525" t="n">
        <v>21</v>
      </c>
      <c r="AL3525" t="inlineStr">
        <is>
          <t>Miss Glam Damar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MIRANDA</t>
        </is>
      </c>
      <c r="B3526" s="2">
        <f>"8997016370369"</f>
        <v/>
      </c>
      <c r="C3526" t="inlineStr">
        <is>
          <t>MIRANDA Hair Color MC-6 Bleaching 30ml</t>
        </is>
      </c>
      <c r="D3526" t="inlineStr">
        <is>
          <t>Miss Glam Damar</t>
        </is>
      </c>
      <c r="E3526" t="n">
        <v>25</v>
      </c>
      <c r="F3526" t="n">
        <v>0.7280000000000001</v>
      </c>
      <c r="G3526" t="n">
        <v>5.46</v>
      </c>
      <c r="H3526" t="n">
        <v>3</v>
      </c>
      <c r="I3526" t="n">
        <v>11</v>
      </c>
      <c r="J3526" t="n">
        <v>3</v>
      </c>
      <c r="K3526" t="n">
        <v>0</v>
      </c>
      <c r="L3526" t="n">
        <v>12187</v>
      </c>
      <c r="M3526" t="n">
        <v>15000</v>
      </c>
      <c r="N3526" t="n">
        <v>91</v>
      </c>
      <c r="O3526" t="n">
        <v>0.91</v>
      </c>
      <c r="P3526" t="n">
        <v>1</v>
      </c>
      <c r="Q3526" t="n">
        <v>0.31</v>
      </c>
      <c r="R3526" t="n">
        <v>3</v>
      </c>
      <c r="S3526" t="n">
        <v>10920</v>
      </c>
      <c r="T3526" t="n">
        <v>58</v>
      </c>
      <c r="U3526" t="n">
        <v>61</v>
      </c>
      <c r="V3526" t="n">
        <v>30</v>
      </c>
      <c r="W3526" t="n">
        <v>22</v>
      </c>
      <c r="X3526" t="n">
        <v>34.34065934065934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10127</v>
      </c>
      <c r="AG3526" t="n">
        <v>78</v>
      </c>
      <c r="AH3526" t="inlineStr">
        <is>
          <t>PT. GLORIENTA P.H - PPN (PDG)</t>
        </is>
      </c>
      <c r="AI3526" t="n">
        <v>377</v>
      </c>
      <c r="AJ3526" t="inlineStr">
        <is>
          <t>MIRANDA</t>
        </is>
      </c>
      <c r="AK3526" t="n">
        <v>21</v>
      </c>
      <c r="AL3526" t="inlineStr">
        <is>
          <t>Miss Glam Damar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MIRANDA</t>
        </is>
      </c>
      <c r="B3527" s="2">
        <f>"8997016370383"</f>
        <v/>
      </c>
      <c r="C3527" t="inlineStr">
        <is>
          <t>MIRANDA Hair Color MC-8 Violet Red 30ml</t>
        </is>
      </c>
      <c r="D3527" t="inlineStr">
        <is>
          <t>Miss Glam Damar</t>
        </is>
      </c>
      <c r="E3527" t="n">
        <v>20</v>
      </c>
      <c r="F3527" t="n">
        <v>0.4914000000000001</v>
      </c>
      <c r="G3527" t="n">
        <v>2.73</v>
      </c>
      <c r="H3527" t="n">
        <v>3</v>
      </c>
      <c r="I3527" t="n">
        <v>11</v>
      </c>
      <c r="J3527" t="n">
        <v>3</v>
      </c>
      <c r="K3527" t="n">
        <v>0</v>
      </c>
      <c r="L3527" t="n">
        <v>12187</v>
      </c>
      <c r="M3527" t="n">
        <v>15000</v>
      </c>
      <c r="N3527" t="n">
        <v>91</v>
      </c>
      <c r="O3527" t="n">
        <v>0.91</v>
      </c>
      <c r="P3527" t="n">
        <v>1</v>
      </c>
      <c r="Q3527" t="n">
        <v>0.61</v>
      </c>
      <c r="R3527" t="n">
        <v>5</v>
      </c>
      <c r="S3527" t="n">
        <v>7371.000000000001</v>
      </c>
      <c r="T3527" t="n">
        <v>29</v>
      </c>
      <c r="U3527" t="n">
        <v>31</v>
      </c>
      <c r="V3527" t="n">
        <v>30</v>
      </c>
      <c r="W3527" t="n">
        <v>15</v>
      </c>
      <c r="X3527" t="n">
        <v>40.7000407000407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10127</v>
      </c>
      <c r="AG3527" t="n">
        <v>78</v>
      </c>
      <c r="AH3527" t="inlineStr">
        <is>
          <t>PT. GLORIENTA P.H - PPN (PDG)</t>
        </is>
      </c>
      <c r="AI3527" t="n">
        <v>377</v>
      </c>
      <c r="AJ3527" t="inlineStr">
        <is>
          <t>MIRANDA</t>
        </is>
      </c>
      <c r="AK3527" t="n">
        <v>21</v>
      </c>
      <c r="AL3527" t="inlineStr">
        <is>
          <t>Miss Glam Damar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MIRANDA</t>
        </is>
      </c>
      <c r="B3528" s="2">
        <f>"8997016374787"</f>
        <v/>
      </c>
      <c r="C3528" t="inlineStr">
        <is>
          <t>MIRANDA Hair Color MC1 60ml</t>
        </is>
      </c>
      <c r="D3528" t="inlineStr">
        <is>
          <t>Miss Glam Damar</t>
        </is>
      </c>
      <c r="E3528" t="n">
        <v>5</v>
      </c>
      <c r="F3528" t="n">
        <v>0.04550000000000001</v>
      </c>
      <c r="G3528" t="n">
        <v>0.91</v>
      </c>
      <c r="H3528" t="n">
        <v>3</v>
      </c>
      <c r="I3528" t="n">
        <v>11</v>
      </c>
      <c r="J3528" t="n">
        <v>3</v>
      </c>
      <c r="K3528" t="n">
        <v>0</v>
      </c>
      <c r="L3528" t="n">
        <v>23200</v>
      </c>
      <c r="M3528" t="n">
        <v>27500</v>
      </c>
      <c r="N3528" t="n">
        <v>91</v>
      </c>
      <c r="O3528" t="n">
        <v>0.91</v>
      </c>
      <c r="P3528" t="n">
        <v>1</v>
      </c>
      <c r="Q3528" t="n">
        <v>0.1</v>
      </c>
      <c r="R3528" t="n">
        <v>1</v>
      </c>
      <c r="S3528" t="n">
        <v>1251.25</v>
      </c>
      <c r="T3528" t="n">
        <v>10</v>
      </c>
      <c r="U3528" t="n">
        <v>11</v>
      </c>
      <c r="V3528" t="n">
        <v>30</v>
      </c>
      <c r="W3528" t="n">
        <v>2</v>
      </c>
      <c r="X3528" t="n">
        <v>109.8901098901099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10127</v>
      </c>
      <c r="AG3528" t="n">
        <v>78</v>
      </c>
      <c r="AH3528" t="inlineStr">
        <is>
          <t>PT. GLORIENTA P.H - PPN (PDG)</t>
        </is>
      </c>
      <c r="AI3528" t="n">
        <v>377</v>
      </c>
      <c r="AJ3528" t="inlineStr">
        <is>
          <t>MIRANDA</t>
        </is>
      </c>
      <c r="AK3528" t="n">
        <v>21</v>
      </c>
      <c r="AL3528" t="inlineStr">
        <is>
          <t>Miss Glam Damar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MIRANDA</t>
        </is>
      </c>
      <c r="B3529" s="2">
        <f>"8997016370406"</f>
        <v/>
      </c>
      <c r="C3529" t="inlineStr">
        <is>
          <t>MIRANDA Hair Color Mc10</t>
        </is>
      </c>
      <c r="D3529" t="inlineStr">
        <is>
          <t>Miss Glam Damar</t>
        </is>
      </c>
      <c r="E3529" t="n">
        <v>0</v>
      </c>
      <c r="F3529" t="n">
        <v>0.4641</v>
      </c>
      <c r="G3529" t="n">
        <v>2.73</v>
      </c>
      <c r="H3529" t="n">
        <v>3</v>
      </c>
      <c r="I3529" t="n">
        <v>11</v>
      </c>
      <c r="J3529" t="n">
        <v>3</v>
      </c>
      <c r="K3529" t="n">
        <v>0</v>
      </c>
      <c r="L3529" t="n">
        <v>12187</v>
      </c>
      <c r="M3529" t="n">
        <v>15000</v>
      </c>
      <c r="N3529" t="n">
        <v>91</v>
      </c>
      <c r="O3529" t="n">
        <v>0.91</v>
      </c>
      <c r="P3529" t="n">
        <v>1</v>
      </c>
      <c r="Q3529" t="n">
        <v>0.13</v>
      </c>
      <c r="R3529" t="n">
        <v>3</v>
      </c>
      <c r="S3529" t="n">
        <v>6961.5</v>
      </c>
      <c r="T3529" t="n">
        <v>29</v>
      </c>
      <c r="U3529" t="n">
        <v>31</v>
      </c>
      <c r="V3529" t="n">
        <v>30</v>
      </c>
      <c r="W3529" t="n">
        <v>14</v>
      </c>
      <c r="X3529" t="n">
        <v>0</v>
      </c>
      <c r="Y3529" t="n">
        <v>1</v>
      </c>
      <c r="Z3529" t="n">
        <v>14</v>
      </c>
      <c r="AA3529" t="n">
        <v>6</v>
      </c>
      <c r="AB3529" t="n">
        <v>8</v>
      </c>
      <c r="AC3529" t="n">
        <v>8</v>
      </c>
      <c r="AD3529" t="n">
        <v>73122</v>
      </c>
      <c r="AE3529" t="n">
        <v>97496</v>
      </c>
      <c r="AF3529" t="n">
        <v>10127</v>
      </c>
      <c r="AG3529" t="n">
        <v>78</v>
      </c>
      <c r="AH3529" t="inlineStr">
        <is>
          <t>PT. GLORIENTA P.H - PPN (PDG)</t>
        </is>
      </c>
      <c r="AI3529" t="n">
        <v>377</v>
      </c>
      <c r="AJ3529" t="inlineStr">
        <is>
          <t>MIRANDA</t>
        </is>
      </c>
      <c r="AK3529" t="n">
        <v>21</v>
      </c>
      <c r="AL3529" t="inlineStr">
        <is>
          <t>Miss Glam Damar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MIRANDA</t>
        </is>
      </c>
      <c r="B3530" s="2">
        <f>"8997016374831"</f>
        <v/>
      </c>
      <c r="C3530" t="inlineStr">
        <is>
          <t>MIRANDA Hair Color Mc14 60 ml</t>
        </is>
      </c>
      <c r="D3530" t="inlineStr">
        <is>
          <t>Miss Glam Damar</t>
        </is>
      </c>
      <c r="E3530" t="n">
        <v>6</v>
      </c>
      <c r="F3530" t="n">
        <v>0.1547</v>
      </c>
      <c r="G3530" t="n">
        <v>1.82</v>
      </c>
      <c r="H3530" t="n">
        <v>3</v>
      </c>
      <c r="I3530" t="n">
        <v>11</v>
      </c>
      <c r="J3530" t="n">
        <v>3</v>
      </c>
      <c r="K3530" t="n">
        <v>0</v>
      </c>
      <c r="L3530" t="n">
        <v>23200</v>
      </c>
      <c r="M3530" t="n">
        <v>27500</v>
      </c>
      <c r="N3530" t="n">
        <v>91</v>
      </c>
      <c r="O3530" t="n">
        <v>0.91</v>
      </c>
      <c r="P3530" t="n">
        <v>1</v>
      </c>
      <c r="Q3530" t="n">
        <v>0.12</v>
      </c>
      <c r="R3530" t="n">
        <v>2</v>
      </c>
      <c r="S3530" t="n">
        <v>4254.25</v>
      </c>
      <c r="T3530" t="n">
        <v>20</v>
      </c>
      <c r="U3530" t="n">
        <v>21</v>
      </c>
      <c r="V3530" t="n">
        <v>30</v>
      </c>
      <c r="W3530" t="n">
        <v>5</v>
      </c>
      <c r="X3530" t="n">
        <v>38.78474466709761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10127</v>
      </c>
      <c r="AG3530" t="n">
        <v>78</v>
      </c>
      <c r="AH3530" t="inlineStr">
        <is>
          <t>PT. GLORIENTA P.H - PPN (PDG)</t>
        </is>
      </c>
      <c r="AI3530" t="n">
        <v>377</v>
      </c>
      <c r="AJ3530" t="inlineStr">
        <is>
          <t>MIRANDA</t>
        </is>
      </c>
      <c r="AK3530" t="n">
        <v>21</v>
      </c>
      <c r="AL3530" t="inlineStr">
        <is>
          <t>Miss Glam Damar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MIRANDA</t>
        </is>
      </c>
      <c r="B3531" s="2">
        <f>"8997016370376"</f>
        <v/>
      </c>
      <c r="C3531" t="inlineStr">
        <is>
          <t>MIRANDA Hair Color Mc7</t>
        </is>
      </c>
      <c r="D3531" t="inlineStr">
        <is>
          <t>Miss Glam Damar</t>
        </is>
      </c>
      <c r="E3531" t="n">
        <v>30</v>
      </c>
      <c r="F3531" t="n">
        <v>0.0728</v>
      </c>
      <c r="G3531" t="n">
        <v>1.82</v>
      </c>
      <c r="H3531" t="n">
        <v>3</v>
      </c>
      <c r="I3531" t="n">
        <v>11</v>
      </c>
      <c r="J3531" t="n">
        <v>3</v>
      </c>
      <c r="K3531" t="n">
        <v>0</v>
      </c>
      <c r="L3531" t="n">
        <v>12187</v>
      </c>
      <c r="M3531" t="n">
        <v>15000</v>
      </c>
      <c r="N3531" t="n">
        <v>91</v>
      </c>
      <c r="O3531" t="n">
        <v>0.91</v>
      </c>
      <c r="P3531" t="n">
        <v>1</v>
      </c>
      <c r="Q3531" t="n">
        <v>0.27</v>
      </c>
      <c r="R3531" t="n">
        <v>4</v>
      </c>
      <c r="S3531" t="n">
        <v>1092</v>
      </c>
      <c r="T3531" t="n">
        <v>20</v>
      </c>
      <c r="U3531" t="n">
        <v>21</v>
      </c>
      <c r="V3531" t="n">
        <v>30</v>
      </c>
      <c r="W3531" t="n">
        <v>3</v>
      </c>
      <c r="X3531" t="n">
        <v>412.0879120879121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10127</v>
      </c>
      <c r="AG3531" t="n">
        <v>78</v>
      </c>
      <c r="AH3531" t="inlineStr">
        <is>
          <t>PT. GLORIENTA P.H - PPN (PDG)</t>
        </is>
      </c>
      <c r="AI3531" t="n">
        <v>377</v>
      </c>
      <c r="AJ3531" t="inlineStr">
        <is>
          <t>MIRANDA</t>
        </is>
      </c>
      <c r="AK3531" t="n">
        <v>21</v>
      </c>
      <c r="AL3531" t="inlineStr">
        <is>
          <t>Miss Glam Damar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MIRANDA</t>
        </is>
      </c>
      <c r="B3532" s="2">
        <f>"40100150805"</f>
        <v/>
      </c>
      <c r="C3532" t="inlineStr">
        <is>
          <t>MIRANDA Hair Growth Formula Shampoo Collagen &amp; Biotin 200ml</t>
        </is>
      </c>
      <c r="D3532" t="inlineStr">
        <is>
          <t>Miss Glam Damar</t>
        </is>
      </c>
      <c r="E3532" t="n">
        <v>1</v>
      </c>
      <c r="F3532" t="n">
        <v>0.0182</v>
      </c>
      <c r="G3532" t="n">
        <v>0.91</v>
      </c>
      <c r="H3532" t="n">
        <v>3</v>
      </c>
      <c r="I3532" t="n">
        <v>11</v>
      </c>
      <c r="J3532" t="n">
        <v>1</v>
      </c>
      <c r="K3532" t="n">
        <v>0</v>
      </c>
      <c r="L3532" t="n">
        <v>28502</v>
      </c>
      <c r="M3532" t="n">
        <v>34500</v>
      </c>
      <c r="N3532" t="n">
        <v>91</v>
      </c>
      <c r="O3532" t="n">
        <v>0.91</v>
      </c>
      <c r="P3532" t="n">
        <v>1</v>
      </c>
      <c r="Q3532" t="n">
        <v>0.12</v>
      </c>
      <c r="R3532" t="n">
        <v>2</v>
      </c>
      <c r="S3532" t="n">
        <v>627.9</v>
      </c>
      <c r="T3532" t="n">
        <v>10</v>
      </c>
      <c r="U3532" t="n">
        <v>11</v>
      </c>
      <c r="V3532" t="n">
        <v>30</v>
      </c>
      <c r="W3532" t="n">
        <v>1</v>
      </c>
      <c r="X3532" t="n">
        <v>54.94505494505494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10127</v>
      </c>
      <c r="AG3532" t="n">
        <v>78</v>
      </c>
      <c r="AH3532" t="inlineStr">
        <is>
          <t>PT. GLORIENTA P.H - PPN (PDG)</t>
        </is>
      </c>
      <c r="AI3532" t="n">
        <v>377</v>
      </c>
      <c r="AJ3532" t="inlineStr">
        <is>
          <t>MIRANDA</t>
        </is>
      </c>
      <c r="AK3532" t="n">
        <v>21</v>
      </c>
      <c r="AL3532" t="inlineStr">
        <is>
          <t>Miss Glam Damar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MIRANDA</t>
        </is>
      </c>
      <c r="B3533" s="2">
        <f>"8997016375067"</f>
        <v/>
      </c>
      <c r="C3533" t="inlineStr">
        <is>
          <t>MIRANDA Hair Serum Jojoba Oil</t>
        </is>
      </c>
      <c r="D3533" t="inlineStr">
        <is>
          <t>Miss Glam Damar</t>
        </is>
      </c>
      <c r="E3533" t="n">
        <v>0</v>
      </c>
      <c r="F3533" t="n">
        <v>0.0273</v>
      </c>
      <c r="G3533" t="n">
        <v>0.91</v>
      </c>
      <c r="H3533" t="n">
        <v>3</v>
      </c>
      <c r="I3533" t="n">
        <v>11</v>
      </c>
      <c r="J3533" t="n">
        <v>3</v>
      </c>
      <c r="K3533" t="n">
        <v>0</v>
      </c>
      <c r="L3533" t="n">
        <v>53045</v>
      </c>
      <c r="M3533" t="n">
        <v>63000</v>
      </c>
      <c r="N3533" t="n">
        <v>91</v>
      </c>
      <c r="O3533" t="n">
        <v>0.91</v>
      </c>
      <c r="P3533" t="n">
        <v>1</v>
      </c>
      <c r="Q3533" t="n">
        <v>0.16</v>
      </c>
      <c r="R3533" t="n">
        <v>2</v>
      </c>
      <c r="S3533" t="n">
        <v>1719.9</v>
      </c>
      <c r="T3533" t="n">
        <v>10</v>
      </c>
      <c r="U3533" t="n">
        <v>11</v>
      </c>
      <c r="V3533" t="n">
        <v>30</v>
      </c>
      <c r="W3533" t="n">
        <v>1</v>
      </c>
      <c r="X3533" t="n">
        <v>0</v>
      </c>
      <c r="Y3533" t="n">
        <v>1</v>
      </c>
      <c r="Z3533" t="n">
        <v>1</v>
      </c>
      <c r="AA3533" t="n">
        <v>1</v>
      </c>
      <c r="AB3533" t="n">
        <v>0</v>
      </c>
      <c r="AC3533" t="n">
        <v>0</v>
      </c>
      <c r="AD3533" t="n">
        <v>53045</v>
      </c>
      <c r="AE3533" t="n">
        <v>0</v>
      </c>
      <c r="AF3533" t="n">
        <v>10127</v>
      </c>
      <c r="AG3533" t="n">
        <v>78</v>
      </c>
      <c r="AH3533" t="inlineStr">
        <is>
          <t>PT. GLORIENTA P.H - PPN (PDG)</t>
        </is>
      </c>
      <c r="AI3533" t="n">
        <v>377</v>
      </c>
      <c r="AJ3533" t="inlineStr">
        <is>
          <t>MIRANDA</t>
        </is>
      </c>
      <c r="AK3533" t="n">
        <v>21</v>
      </c>
      <c r="AL3533" t="inlineStr">
        <is>
          <t>Miss Glam Damar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MIRANDA</t>
        </is>
      </c>
      <c r="B3534" s="2">
        <f>"8997226221789"</f>
        <v/>
      </c>
      <c r="C3534" t="inlineStr">
        <is>
          <t>MIRANDA Hc Super Blue Bleacing 30ml</t>
        </is>
      </c>
      <c r="D3534" t="inlineStr">
        <is>
          <t>Miss Glam Damar</t>
        </is>
      </c>
      <c r="E3534" t="n">
        <v>12</v>
      </c>
      <c r="F3534" t="n">
        <v>0.7280000000000001</v>
      </c>
      <c r="G3534" t="n">
        <v>3.64</v>
      </c>
      <c r="H3534" t="n">
        <v>3</v>
      </c>
      <c r="I3534" t="n">
        <v>11</v>
      </c>
      <c r="J3534" t="n">
        <v>3</v>
      </c>
      <c r="K3534" t="n">
        <v>0</v>
      </c>
      <c r="L3534" t="n">
        <v>12187</v>
      </c>
      <c r="M3534" t="n">
        <v>15000</v>
      </c>
      <c r="N3534" t="n">
        <v>91</v>
      </c>
      <c r="O3534" t="n">
        <v>0.91</v>
      </c>
      <c r="P3534" t="n">
        <v>1</v>
      </c>
      <c r="Q3534" t="n">
        <v>0.46</v>
      </c>
      <c r="R3534" t="n">
        <v>6</v>
      </c>
      <c r="S3534" t="n">
        <v>10920</v>
      </c>
      <c r="T3534" t="n">
        <v>38</v>
      </c>
      <c r="U3534" t="n">
        <v>41</v>
      </c>
      <c r="V3534" t="n">
        <v>30</v>
      </c>
      <c r="W3534" t="n">
        <v>22</v>
      </c>
      <c r="X3534" t="n">
        <v>16.48351648351648</v>
      </c>
      <c r="Y3534" t="n">
        <v>1</v>
      </c>
      <c r="Z3534" t="n">
        <v>10</v>
      </c>
      <c r="AA3534" t="n">
        <v>0</v>
      </c>
      <c r="AB3534" t="n">
        <v>10</v>
      </c>
      <c r="AC3534" t="n">
        <v>10</v>
      </c>
      <c r="AD3534" t="n">
        <v>0</v>
      </c>
      <c r="AE3534" t="n">
        <v>121870</v>
      </c>
      <c r="AF3534" t="n">
        <v>10127</v>
      </c>
      <c r="AG3534" t="n">
        <v>78</v>
      </c>
      <c r="AH3534" t="inlineStr">
        <is>
          <t>PT. GLORIENTA P.H - PPN (PDG)</t>
        </is>
      </c>
      <c r="AI3534" t="n">
        <v>377</v>
      </c>
      <c r="AJ3534" t="inlineStr">
        <is>
          <t>MIRANDA</t>
        </is>
      </c>
      <c r="AK3534" t="n">
        <v>21</v>
      </c>
      <c r="AL3534" t="inlineStr">
        <is>
          <t>Miss Glam Damar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MIRANDA</t>
        </is>
      </c>
      <c r="B3535" s="2">
        <f>"8997226226432"</f>
        <v/>
      </c>
      <c r="C3535" t="inlineStr">
        <is>
          <t>MIRANDA Keratin Protein Conditioner Smooting &amp; Anti Frizz 200ml</t>
        </is>
      </c>
      <c r="D3535" t="inlineStr">
        <is>
          <t>Miss Glam Damar</t>
        </is>
      </c>
      <c r="E3535" t="n">
        <v>0</v>
      </c>
      <c r="F3535" t="n">
        <v>0.0182</v>
      </c>
      <c r="G3535" t="n">
        <v>0.91</v>
      </c>
      <c r="H3535" t="n">
        <v>3</v>
      </c>
      <c r="I3535" t="n">
        <v>11</v>
      </c>
      <c r="J3535" t="n">
        <v>3</v>
      </c>
      <c r="K3535" t="n">
        <v>0</v>
      </c>
      <c r="L3535" t="n">
        <v>26120</v>
      </c>
      <c r="M3535" t="n">
        <v>40000</v>
      </c>
      <c r="N3535" t="n">
        <v>91</v>
      </c>
      <c r="O3535" t="n">
        <v>0.91</v>
      </c>
      <c r="P3535" t="n">
        <v>1</v>
      </c>
      <c r="Q3535" t="n">
        <v>0.11</v>
      </c>
      <c r="R3535" t="n">
        <v>1</v>
      </c>
      <c r="S3535" t="n">
        <v>728</v>
      </c>
      <c r="T3535" t="n">
        <v>10</v>
      </c>
      <c r="U3535" t="n">
        <v>11</v>
      </c>
      <c r="V3535" t="n">
        <v>30</v>
      </c>
      <c r="W3535" t="n">
        <v>1</v>
      </c>
      <c r="X3535" t="n">
        <v>0</v>
      </c>
      <c r="Y3535" t="n">
        <v>1</v>
      </c>
      <c r="Z3535" t="n">
        <v>1</v>
      </c>
      <c r="AA3535" t="n">
        <v>1</v>
      </c>
      <c r="AB3535" t="n">
        <v>0</v>
      </c>
      <c r="AC3535" t="n">
        <v>0</v>
      </c>
      <c r="AD3535" t="n">
        <v>26120</v>
      </c>
      <c r="AE3535" t="n">
        <v>0</v>
      </c>
      <c r="AF3535" t="n">
        <v>10127</v>
      </c>
      <c r="AG3535" t="n">
        <v>78</v>
      </c>
      <c r="AH3535" t="inlineStr">
        <is>
          <t>PT. GLORIENTA P.H - PPN (PDG)</t>
        </is>
      </c>
      <c r="AI3535" t="n">
        <v>377</v>
      </c>
      <c r="AJ3535" t="inlineStr">
        <is>
          <t>MIRANDA</t>
        </is>
      </c>
      <c r="AK3535" t="n">
        <v>21</v>
      </c>
      <c r="AL3535" t="inlineStr">
        <is>
          <t>Miss Glam Damar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MIRANDA</t>
        </is>
      </c>
      <c r="B3536" s="2">
        <f>"8997226226456"</f>
        <v/>
      </c>
      <c r="C3536" t="inlineStr">
        <is>
          <t>MIRANDA Keratin Protein Hair Smoothing Spray Smoothing &amp; Anti Frizz 100ml</t>
        </is>
      </c>
      <c r="D3536" t="inlineStr">
        <is>
          <t>Miss Glam Damar</t>
        </is>
      </c>
      <c r="E3536" t="n">
        <v>11</v>
      </c>
      <c r="F3536" t="n">
        <v>0.3094</v>
      </c>
      <c r="G3536" t="n">
        <v>1.82</v>
      </c>
      <c r="H3536" t="n">
        <v>3</v>
      </c>
      <c r="I3536" t="n">
        <v>11</v>
      </c>
      <c r="J3536" t="n">
        <v>3</v>
      </c>
      <c r="K3536" t="n">
        <v>0</v>
      </c>
      <c r="L3536" t="n">
        <v>22320</v>
      </c>
      <c r="M3536" t="n">
        <v>35000</v>
      </c>
      <c r="N3536" t="n">
        <v>91</v>
      </c>
      <c r="O3536" t="n">
        <v>0.91</v>
      </c>
      <c r="P3536" t="n">
        <v>1</v>
      </c>
      <c r="Q3536" t="n">
        <v>0.25</v>
      </c>
      <c r="R3536" t="n">
        <v>2</v>
      </c>
      <c r="S3536" t="n">
        <v>10829</v>
      </c>
      <c r="T3536" t="n">
        <v>20</v>
      </c>
      <c r="U3536" t="n">
        <v>21</v>
      </c>
      <c r="V3536" t="n">
        <v>30</v>
      </c>
      <c r="W3536" t="n">
        <v>10</v>
      </c>
      <c r="X3536" t="n">
        <v>35.55268261150614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10127</v>
      </c>
      <c r="AG3536" t="n">
        <v>78</v>
      </c>
      <c r="AH3536" t="inlineStr">
        <is>
          <t>PT. GLORIENTA P.H - PPN (PDG)</t>
        </is>
      </c>
      <c r="AI3536" t="n">
        <v>377</v>
      </c>
      <c r="AJ3536" t="inlineStr">
        <is>
          <t>MIRANDA</t>
        </is>
      </c>
      <c r="AK3536" t="n">
        <v>21</v>
      </c>
      <c r="AL3536" t="inlineStr">
        <is>
          <t>Miss Glam Damar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MIRANDA</t>
        </is>
      </c>
      <c r="B3537" s="2">
        <f>"8997226226425"</f>
        <v/>
      </c>
      <c r="C3537" t="inlineStr">
        <is>
          <t>MIRANDA Keratin Protein Shampoo Smoothing &amp; Anti Frizz 200ml</t>
        </is>
      </c>
      <c r="D3537" t="inlineStr">
        <is>
          <t>Miss Glam Damar</t>
        </is>
      </c>
      <c r="E3537" t="n">
        <v>2</v>
      </c>
      <c r="F3537" t="n">
        <v>0.04550000000000001</v>
      </c>
      <c r="G3537" t="n">
        <v>1.82</v>
      </c>
      <c r="H3537" t="n">
        <v>3</v>
      </c>
      <c r="I3537" t="n">
        <v>11</v>
      </c>
      <c r="J3537" t="n">
        <v>3</v>
      </c>
      <c r="K3537" t="n">
        <v>0</v>
      </c>
      <c r="L3537" t="n">
        <v>27834</v>
      </c>
      <c r="M3537" t="n">
        <v>40000</v>
      </c>
      <c r="N3537" t="n">
        <v>91</v>
      </c>
      <c r="O3537" t="n">
        <v>0.91</v>
      </c>
      <c r="P3537" t="n">
        <v>1</v>
      </c>
      <c r="Q3537" t="n">
        <v>0.07000000000000001</v>
      </c>
      <c r="R3537" t="n">
        <v>1</v>
      </c>
      <c r="S3537" t="n">
        <v>1820</v>
      </c>
      <c r="T3537" t="n">
        <v>20</v>
      </c>
      <c r="U3537" t="n">
        <v>21</v>
      </c>
      <c r="V3537" t="n">
        <v>30</v>
      </c>
      <c r="W3537" t="n">
        <v>2</v>
      </c>
      <c r="X3537" t="n">
        <v>43.95604395604395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10127</v>
      </c>
      <c r="AG3537" t="n">
        <v>78</v>
      </c>
      <c r="AH3537" t="inlineStr">
        <is>
          <t>PT. GLORIENTA P.H - PPN (PDG)</t>
        </is>
      </c>
      <c r="AI3537" t="n">
        <v>377</v>
      </c>
      <c r="AJ3537" t="inlineStr">
        <is>
          <t>MIRANDA</t>
        </is>
      </c>
      <c r="AK3537" t="n">
        <v>21</v>
      </c>
      <c r="AL3537" t="inlineStr">
        <is>
          <t>Miss Glam Damar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MISSDAISY</t>
        </is>
      </c>
      <c r="B3538" s="2">
        <f>"4713157835772"</f>
        <v/>
      </c>
      <c r="C3538" t="inlineStr">
        <is>
          <t>MISSDAISY Perfume Blackcurrant &amp; Vanilla Sugar Shampoo 500ml</t>
        </is>
      </c>
      <c r="D3538" t="inlineStr">
        <is>
          <t>Miss Glam Damar</t>
        </is>
      </c>
      <c r="E3538" t="n">
        <v>0</v>
      </c>
      <c r="F3538" t="n">
        <v>0.03</v>
      </c>
      <c r="G3538" t="n">
        <v>1</v>
      </c>
      <c r="H3538" t="n">
        <v>4</v>
      </c>
      <c r="I3538" t="n">
        <v>21</v>
      </c>
      <c r="J3538" t="n">
        <v>3</v>
      </c>
      <c r="K3538" t="n">
        <v>0</v>
      </c>
      <c r="L3538" t="n">
        <v>295200</v>
      </c>
      <c r="M3538" t="n">
        <v>347500</v>
      </c>
      <c r="N3538" t="n">
        <v>91</v>
      </c>
      <c r="O3538" t="n">
        <v>0.91</v>
      </c>
      <c r="P3538" t="n">
        <v>0</v>
      </c>
      <c r="Q3538" t="n">
        <v>0.03</v>
      </c>
      <c r="R3538" t="n">
        <v>1</v>
      </c>
      <c r="S3538" t="n">
        <v>10425</v>
      </c>
      <c r="T3538" t="n">
        <v>21</v>
      </c>
      <c r="U3538" t="n">
        <v>22</v>
      </c>
      <c r="V3538" t="n">
        <v>30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n">
        <v>0</v>
      </c>
      <c r="AC3538" t="n">
        <v>0</v>
      </c>
      <c r="AD3538" t="n">
        <v>295200</v>
      </c>
      <c r="AE3538" t="n">
        <v>0</v>
      </c>
      <c r="AF3538" t="n">
        <v>6786</v>
      </c>
      <c r="AG3538" t="n">
        <v>1</v>
      </c>
      <c r="AH3538" t="inlineStr">
        <is>
          <t>PT. BERSAMA DISTRIVERSA INDONESIA (DC CIPUTAT)</t>
        </is>
      </c>
      <c r="AI3538" t="n">
        <v>1444</v>
      </c>
      <c r="AJ3538" t="inlineStr">
        <is>
          <t>MISSDAISY</t>
        </is>
      </c>
      <c r="AK3538" t="n">
        <v>21</v>
      </c>
      <c r="AL3538" t="inlineStr">
        <is>
          <t>Miss Glam Damar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MISSDAISY</t>
        </is>
      </c>
      <c r="B3539" s="2">
        <f>"4713157835888"</f>
        <v/>
      </c>
      <c r="C3539" t="inlineStr">
        <is>
          <t>MISSDAISY Perfume Peony &amp; Amber Shampoo 500ml</t>
        </is>
      </c>
      <c r="D3539" t="inlineStr">
        <is>
          <t>Miss Glam Damar</t>
        </is>
      </c>
      <c r="E3539" t="n">
        <v>0</v>
      </c>
      <c r="F3539" t="n">
        <v>0.04550000000000001</v>
      </c>
      <c r="G3539" t="n">
        <v>0.91</v>
      </c>
      <c r="H3539" t="n">
        <v>4</v>
      </c>
      <c r="I3539" t="n">
        <v>21</v>
      </c>
      <c r="J3539" t="n">
        <v>3</v>
      </c>
      <c r="K3539" t="n">
        <v>3</v>
      </c>
      <c r="L3539" t="n">
        <v>297975</v>
      </c>
      <c r="M3539" t="n">
        <v>351000</v>
      </c>
      <c r="N3539" t="n">
        <v>91</v>
      </c>
      <c r="O3539" t="n">
        <v>0.91</v>
      </c>
      <c r="P3539" t="n">
        <v>1</v>
      </c>
      <c r="Q3539" t="n">
        <v>0.13</v>
      </c>
      <c r="R3539" t="n">
        <v>1</v>
      </c>
      <c r="S3539" t="n">
        <v>15970.5</v>
      </c>
      <c r="T3539" t="n">
        <v>19</v>
      </c>
      <c r="U3539" t="n">
        <v>20</v>
      </c>
      <c r="V3539" t="n">
        <v>30</v>
      </c>
      <c r="W3539" t="n">
        <v>2</v>
      </c>
      <c r="X3539" t="n">
        <v>0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6786</v>
      </c>
      <c r="AG3539" t="n">
        <v>1</v>
      </c>
      <c r="AH3539" t="inlineStr">
        <is>
          <t>PT. BERSAMA DISTRIVERSA INDONESIA (DC CIPUTAT)</t>
        </is>
      </c>
      <c r="AI3539" t="n">
        <v>1444</v>
      </c>
      <c r="AJ3539" t="inlineStr">
        <is>
          <t>MISSDAISY</t>
        </is>
      </c>
      <c r="AK3539" t="n">
        <v>21</v>
      </c>
      <c r="AL3539" t="inlineStr">
        <is>
          <t>Miss Glam Damar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MISSDAISY</t>
        </is>
      </c>
      <c r="B3540" s="2">
        <f>"4713157835949"</f>
        <v/>
      </c>
      <c r="C3540" t="inlineStr">
        <is>
          <t>MISSDAISY Perfume Peony &amp; Amber Shampoo 50ml</t>
        </is>
      </c>
      <c r="D3540" t="inlineStr">
        <is>
          <t>Miss Glam Damar</t>
        </is>
      </c>
      <c r="E3540" t="n">
        <v>2</v>
      </c>
      <c r="F3540" t="n">
        <v>0.0182</v>
      </c>
      <c r="G3540" t="n">
        <v>0.91</v>
      </c>
      <c r="H3540" t="n">
        <v>4</v>
      </c>
      <c r="I3540" t="n">
        <v>21</v>
      </c>
      <c r="J3540" t="n">
        <v>3</v>
      </c>
      <c r="K3540" t="n">
        <v>0</v>
      </c>
      <c r="L3540" t="n">
        <v>112220</v>
      </c>
      <c r="M3540" t="n">
        <v>139000</v>
      </c>
      <c r="N3540" t="n">
        <v>91</v>
      </c>
      <c r="O3540" t="n">
        <v>0.91</v>
      </c>
      <c r="P3540" t="n">
        <v>1</v>
      </c>
      <c r="Q3540" t="n">
        <v>0.02</v>
      </c>
      <c r="R3540" t="n">
        <v>1</v>
      </c>
      <c r="S3540" t="n">
        <v>2529.8</v>
      </c>
      <c r="T3540" t="n">
        <v>20</v>
      </c>
      <c r="U3540" t="n">
        <v>21</v>
      </c>
      <c r="V3540" t="n">
        <v>30</v>
      </c>
      <c r="W3540" t="n">
        <v>1</v>
      </c>
      <c r="X3540" t="n">
        <v>109.8901098901099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6786</v>
      </c>
      <c r="AG3540" t="n">
        <v>1</v>
      </c>
      <c r="AH3540" t="inlineStr">
        <is>
          <t>PT. BERSAMA DISTRIVERSA INDONESIA (DC CIPUTAT)</t>
        </is>
      </c>
      <c r="AI3540" t="n">
        <v>1444</v>
      </c>
      <c r="AJ3540" t="inlineStr">
        <is>
          <t>MISSDAISY</t>
        </is>
      </c>
      <c r="AK3540" t="n">
        <v>21</v>
      </c>
      <c r="AL3540" t="inlineStr">
        <is>
          <t>Miss Glam Damar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MISSDAISY</t>
        </is>
      </c>
      <c r="B3541" s="2">
        <f>"4713157835963"</f>
        <v/>
      </c>
      <c r="C3541" t="inlineStr">
        <is>
          <t>MISSDAISY Perfume Rose &amp; Oud 50ml</t>
        </is>
      </c>
      <c r="D3541" t="inlineStr">
        <is>
          <t>Miss Glam Damar</t>
        </is>
      </c>
      <c r="E3541" t="n">
        <v>1</v>
      </c>
      <c r="F3541" t="n">
        <v>0.06370000000000001</v>
      </c>
      <c r="G3541" t="n">
        <v>0.91</v>
      </c>
      <c r="H3541" t="n">
        <v>4</v>
      </c>
      <c r="I3541" t="n">
        <v>21</v>
      </c>
      <c r="J3541" t="n">
        <v>3</v>
      </c>
      <c r="K3541" t="n">
        <v>0</v>
      </c>
      <c r="L3541" t="n">
        <v>117978</v>
      </c>
      <c r="M3541" t="n">
        <v>142000</v>
      </c>
      <c r="N3541" t="n">
        <v>91</v>
      </c>
      <c r="O3541" t="n">
        <v>0.91</v>
      </c>
      <c r="P3541" t="n">
        <v>1</v>
      </c>
      <c r="Q3541" t="n">
        <v>0.03</v>
      </c>
      <c r="R3541" t="n">
        <v>1</v>
      </c>
      <c r="S3541" t="n">
        <v>9045.400000000001</v>
      </c>
      <c r="T3541" t="n">
        <v>19</v>
      </c>
      <c r="U3541" t="n">
        <v>20</v>
      </c>
      <c r="V3541" t="n">
        <v>30</v>
      </c>
      <c r="W3541" t="n">
        <v>2</v>
      </c>
      <c r="X3541" t="n">
        <v>15.69858712715855</v>
      </c>
      <c r="Y3541" t="n">
        <v>1</v>
      </c>
      <c r="Z3541" t="n">
        <v>1</v>
      </c>
      <c r="AA3541" t="n">
        <v>1</v>
      </c>
      <c r="AB3541" t="n">
        <v>0</v>
      </c>
      <c r="AC3541" t="n">
        <v>0</v>
      </c>
      <c r="AD3541" t="n">
        <v>117978</v>
      </c>
      <c r="AE3541" t="n">
        <v>0</v>
      </c>
      <c r="AF3541" t="n">
        <v>6786</v>
      </c>
      <c r="AG3541" t="n">
        <v>1</v>
      </c>
      <c r="AH3541" t="inlineStr">
        <is>
          <t>PT. BERSAMA DISTRIVERSA INDONESIA (DC CIPUTAT)</t>
        </is>
      </c>
      <c r="AI3541" t="n">
        <v>1444</v>
      </c>
      <c r="AJ3541" t="inlineStr">
        <is>
          <t>MISSDAISY</t>
        </is>
      </c>
      <c r="AK3541" t="n">
        <v>21</v>
      </c>
      <c r="AL3541" t="inlineStr">
        <is>
          <t>Miss Glam Damar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MISSDAISY</t>
        </is>
      </c>
      <c r="B3542" s="2">
        <f>"4713157835901"</f>
        <v/>
      </c>
      <c r="C3542" t="inlineStr">
        <is>
          <t>MISSDAISY Perfume Rose &amp; Oud Shampoo 500ml</t>
        </is>
      </c>
      <c r="D3542" t="inlineStr">
        <is>
          <t>Miss Glam Damar</t>
        </is>
      </c>
      <c r="E3542" t="n">
        <v>1</v>
      </c>
      <c r="F3542" t="n">
        <v>0.0182</v>
      </c>
      <c r="G3542" t="n">
        <v>0.91</v>
      </c>
      <c r="H3542" t="n">
        <v>4</v>
      </c>
      <c r="I3542" t="n">
        <v>21</v>
      </c>
      <c r="J3542" t="n">
        <v>3</v>
      </c>
      <c r="K3542" t="n">
        <v>0</v>
      </c>
      <c r="L3542" t="n">
        <v>295200</v>
      </c>
      <c r="M3542" t="n">
        <v>351000</v>
      </c>
      <c r="N3542" t="n">
        <v>91</v>
      </c>
      <c r="O3542" t="n">
        <v>0.91</v>
      </c>
      <c r="P3542" t="n">
        <v>1</v>
      </c>
      <c r="Q3542" t="n">
        <v>0.05</v>
      </c>
      <c r="R3542" t="n">
        <v>1</v>
      </c>
      <c r="S3542" t="n">
        <v>6388.200000000001</v>
      </c>
      <c r="T3542" t="n">
        <v>20</v>
      </c>
      <c r="U3542" t="n">
        <v>21</v>
      </c>
      <c r="V3542" t="n">
        <v>30</v>
      </c>
      <c r="W3542" t="n">
        <v>1</v>
      </c>
      <c r="X3542" t="n">
        <v>54.94505494505494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6786</v>
      </c>
      <c r="AG3542" t="n">
        <v>1</v>
      </c>
      <c r="AH3542" t="inlineStr">
        <is>
          <t>PT. BERSAMA DISTRIVERSA INDONESIA (DC CIPUTAT)</t>
        </is>
      </c>
      <c r="AI3542" t="n">
        <v>1444</v>
      </c>
      <c r="AJ3542" t="inlineStr">
        <is>
          <t>MISSDAISY</t>
        </is>
      </c>
      <c r="AK3542" t="n">
        <v>21</v>
      </c>
      <c r="AL3542" t="inlineStr">
        <is>
          <t>Miss Glam Damar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MODIS</t>
        </is>
      </c>
      <c r="B3543" s="2">
        <f>"8991038776130"</f>
        <v/>
      </c>
      <c r="C3543" t="inlineStr">
        <is>
          <t>MODIS Cotton Bad 180</t>
        </is>
      </c>
      <c r="D3543" t="inlineStr">
        <is>
          <t>Miss Glam Damar</t>
        </is>
      </c>
      <c r="E3543" t="n">
        <v>4</v>
      </c>
      <c r="F3543" t="n">
        <v>0.3549</v>
      </c>
      <c r="G3543" t="n">
        <v>1.82</v>
      </c>
      <c r="H3543" t="n">
        <v>1</v>
      </c>
      <c r="I3543" t="n">
        <v>2</v>
      </c>
      <c r="J3543" t="n">
        <v>12</v>
      </c>
      <c r="K3543" t="n">
        <v>0</v>
      </c>
      <c r="L3543" t="n">
        <v>8594</v>
      </c>
      <c r="M3543" t="n">
        <v>11000</v>
      </c>
      <c r="N3543" t="n">
        <v>91</v>
      </c>
      <c r="O3543" t="n">
        <v>0.91</v>
      </c>
      <c r="P3543" t="n">
        <v>1</v>
      </c>
      <c r="Q3543" t="n">
        <v>0.34</v>
      </c>
      <c r="R3543" t="n">
        <v>3</v>
      </c>
      <c r="S3543" t="n">
        <v>3903.900000000001</v>
      </c>
      <c r="T3543" t="n">
        <v>4</v>
      </c>
      <c r="U3543" t="n">
        <v>5</v>
      </c>
      <c r="V3543" t="n">
        <v>30</v>
      </c>
      <c r="W3543" t="n">
        <v>11</v>
      </c>
      <c r="X3543" t="n">
        <v>11.27078050154973</v>
      </c>
      <c r="Y3543" t="n">
        <v>1</v>
      </c>
      <c r="Z3543" t="n">
        <v>7</v>
      </c>
      <c r="AA3543" t="n">
        <v>0</v>
      </c>
      <c r="AB3543" t="n">
        <v>7</v>
      </c>
      <c r="AC3543" t="n">
        <v>12</v>
      </c>
      <c r="AD3543" t="n">
        <v>0</v>
      </c>
      <c r="AE3543" t="n">
        <v>103128</v>
      </c>
      <c r="AF3543" t="n">
        <v>13492</v>
      </c>
      <c r="AG3543" t="n">
        <v>142</v>
      </c>
      <c r="AH3543" t="inlineStr">
        <is>
          <t>SUMASCO CV - PPN (PDG)</t>
        </is>
      </c>
      <c r="AI3543" t="n">
        <v>1660</v>
      </c>
      <c r="AJ3543" t="inlineStr">
        <is>
          <t>MODIS</t>
        </is>
      </c>
      <c r="AK3543" t="n">
        <v>21</v>
      </c>
      <c r="AL3543" t="inlineStr">
        <is>
          <t>Miss Glam Damar</t>
        </is>
      </c>
      <c r="AM3543" t="n">
        <v>4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MODIS</t>
        </is>
      </c>
      <c r="B3544" s="2">
        <f>"8991038773344"</f>
        <v/>
      </c>
      <c r="C3544" t="inlineStr">
        <is>
          <t>MODIS Facial Cotton 35gr</t>
        </is>
      </c>
      <c r="D3544" t="inlineStr">
        <is>
          <t>Miss Glam Damar</t>
        </is>
      </c>
      <c r="E3544" t="n">
        <v>104</v>
      </c>
      <c r="F3544" t="n">
        <v>3.0394</v>
      </c>
      <c r="G3544" t="n">
        <v>10.01</v>
      </c>
      <c r="H3544" t="n">
        <v>1</v>
      </c>
      <c r="I3544" t="n">
        <v>2</v>
      </c>
      <c r="J3544" t="n">
        <v>96</v>
      </c>
      <c r="K3544" t="n">
        <v>0</v>
      </c>
      <c r="L3544" t="n">
        <v>4613</v>
      </c>
      <c r="M3544" t="n">
        <v>6000</v>
      </c>
      <c r="N3544" t="n">
        <v>91</v>
      </c>
      <c r="O3544" t="n">
        <v>0.91</v>
      </c>
      <c r="P3544" t="n">
        <v>1</v>
      </c>
      <c r="Q3544" t="n">
        <v>1.69</v>
      </c>
      <c r="R3544" t="n">
        <v>8</v>
      </c>
      <c r="S3544" t="n">
        <v>18236.4</v>
      </c>
      <c r="T3544" t="n">
        <v>17</v>
      </c>
      <c r="U3544" t="n">
        <v>21</v>
      </c>
      <c r="V3544" t="n">
        <v>30</v>
      </c>
      <c r="W3544" t="n">
        <v>92</v>
      </c>
      <c r="X3544" t="n">
        <v>34.21727972626176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13492</v>
      </c>
      <c r="AG3544" t="n">
        <v>142</v>
      </c>
      <c r="AH3544" t="inlineStr">
        <is>
          <t>SUMASCO CV - PPN (PDG)</t>
        </is>
      </c>
      <c r="AI3544" t="n">
        <v>1660</v>
      </c>
      <c r="AJ3544" t="inlineStr">
        <is>
          <t>MODIS</t>
        </is>
      </c>
      <c r="AK3544" t="n">
        <v>21</v>
      </c>
      <c r="AL3544" t="inlineStr">
        <is>
          <t>Miss Glam Damar</t>
        </is>
      </c>
      <c r="AM3544" t="n">
        <v>4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MODIS</t>
        </is>
      </c>
      <c r="B3545" s="2">
        <f>"8991038773351"</f>
        <v/>
      </c>
      <c r="C3545" t="inlineStr">
        <is>
          <t>MODIS Facial Cotton 50 gr</t>
        </is>
      </c>
      <c r="D3545" t="inlineStr">
        <is>
          <t>Miss Glam Damar</t>
        </is>
      </c>
      <c r="E3545" t="n">
        <v>61</v>
      </c>
      <c r="F3545" t="n">
        <v>0.3822</v>
      </c>
      <c r="G3545" t="n">
        <v>1.82</v>
      </c>
      <c r="H3545" t="n">
        <v>1</v>
      </c>
      <c r="I3545" t="n">
        <v>2</v>
      </c>
      <c r="J3545" t="n">
        <v>96</v>
      </c>
      <c r="K3545" t="n">
        <v>0</v>
      </c>
      <c r="L3545" t="n">
        <v>6423</v>
      </c>
      <c r="M3545" t="n">
        <v>8500</v>
      </c>
      <c r="N3545" t="n">
        <v>91</v>
      </c>
      <c r="O3545" t="n">
        <v>0.91</v>
      </c>
      <c r="P3545" t="n">
        <v>1</v>
      </c>
      <c r="Q3545" t="n">
        <v>1.34</v>
      </c>
      <c r="R3545" t="n">
        <v>7</v>
      </c>
      <c r="S3545" t="n">
        <v>3248.7</v>
      </c>
      <c r="T3545" t="n">
        <v>4</v>
      </c>
      <c r="U3545" t="n">
        <v>5</v>
      </c>
      <c r="V3545" t="n">
        <v>30</v>
      </c>
      <c r="W3545" t="n">
        <v>12</v>
      </c>
      <c r="X3545" t="n">
        <v>159.6023024594453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13492</v>
      </c>
      <c r="AG3545" t="n">
        <v>142</v>
      </c>
      <c r="AH3545" t="inlineStr">
        <is>
          <t>SUMASCO CV - PPN (PDG)</t>
        </is>
      </c>
      <c r="AI3545" t="n">
        <v>1660</v>
      </c>
      <c r="AJ3545" t="inlineStr">
        <is>
          <t>MODIS</t>
        </is>
      </c>
      <c r="AK3545" t="n">
        <v>21</v>
      </c>
      <c r="AL3545" t="inlineStr">
        <is>
          <t>Miss Glam Damar</t>
        </is>
      </c>
      <c r="AM3545" t="n">
        <v>4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MODIS</t>
        </is>
      </c>
      <c r="B3546" s="2">
        <f>"8991038773573"</f>
        <v/>
      </c>
      <c r="C3546" t="inlineStr">
        <is>
          <t>MODIS Facial Cotton 80gr</t>
        </is>
      </c>
      <c r="D3546" t="inlineStr">
        <is>
          <t>Miss Glam Damar</t>
        </is>
      </c>
      <c r="E3546" t="n">
        <v>72</v>
      </c>
      <c r="F3546" t="n">
        <v>3.1304</v>
      </c>
      <c r="G3546" t="n">
        <v>7.28</v>
      </c>
      <c r="H3546" t="n">
        <v>1</v>
      </c>
      <c r="I3546" t="n">
        <v>2</v>
      </c>
      <c r="J3546" t="n">
        <v>72</v>
      </c>
      <c r="K3546" t="n">
        <v>0</v>
      </c>
      <c r="L3546" t="n">
        <v>9905</v>
      </c>
      <c r="M3546" t="n">
        <v>12500</v>
      </c>
      <c r="N3546" t="n">
        <v>91</v>
      </c>
      <c r="O3546" t="n">
        <v>0.91</v>
      </c>
      <c r="P3546" t="n">
        <v>1</v>
      </c>
      <c r="Q3546" t="n">
        <v>3.17</v>
      </c>
      <c r="R3546" t="n">
        <v>7</v>
      </c>
      <c r="S3546" t="n">
        <v>39130</v>
      </c>
      <c r="T3546" t="n">
        <v>12</v>
      </c>
      <c r="U3546" t="n">
        <v>16</v>
      </c>
      <c r="V3546" t="n">
        <v>30</v>
      </c>
      <c r="W3546" t="n">
        <v>94</v>
      </c>
      <c r="X3546" t="n">
        <v>23.00025555839509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13492</v>
      </c>
      <c r="AG3546" t="n">
        <v>142</v>
      </c>
      <c r="AH3546" t="inlineStr">
        <is>
          <t>SUMASCO CV - PPN (PDG)</t>
        </is>
      </c>
      <c r="AI3546" t="n">
        <v>1660</v>
      </c>
      <c r="AJ3546" t="inlineStr">
        <is>
          <t>MODIS</t>
        </is>
      </c>
      <c r="AK3546" t="n">
        <v>21</v>
      </c>
      <c r="AL3546" t="inlineStr">
        <is>
          <t>Miss Glam Damar</t>
        </is>
      </c>
      <c r="AM3546" t="n">
        <v>4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MOICARE</t>
        </is>
      </c>
      <c r="B3547" s="2">
        <f>"30200425644"</f>
        <v/>
      </c>
      <c r="C3547" t="inlineStr">
        <is>
          <t>MOICARE Brightening Body Lotion 250ml</t>
        </is>
      </c>
      <c r="D3547" t="inlineStr">
        <is>
          <t>Miss Glam Damar</t>
        </is>
      </c>
      <c r="E3547" t="n">
        <v>4</v>
      </c>
      <c r="F3547" t="n">
        <v>0.1547</v>
      </c>
      <c r="G3547" t="n">
        <v>1.82</v>
      </c>
      <c r="H3547" t="n">
        <v>4</v>
      </c>
      <c r="I3547" t="n">
        <v>21</v>
      </c>
      <c r="J3547" t="n">
        <v>1</v>
      </c>
      <c r="K3547" t="n">
        <v>0</v>
      </c>
      <c r="L3547" t="n">
        <v>35020</v>
      </c>
      <c r="M3547" t="n">
        <v>45000</v>
      </c>
      <c r="N3547" t="n">
        <v>91</v>
      </c>
      <c r="O3547" t="n">
        <v>0.91</v>
      </c>
      <c r="P3547" t="n">
        <v>1</v>
      </c>
      <c r="Q3547" t="n">
        <v>0.05</v>
      </c>
      <c r="R3547" t="n">
        <v>1</v>
      </c>
      <c r="S3547" t="n">
        <v>6961.5</v>
      </c>
      <c r="T3547" t="n">
        <v>38</v>
      </c>
      <c r="U3547" t="n">
        <v>39</v>
      </c>
      <c r="V3547" t="n">
        <v>30</v>
      </c>
      <c r="W3547" t="n">
        <v>5</v>
      </c>
      <c r="X3547" t="n">
        <v>25.85649644473174</v>
      </c>
      <c r="Y3547" t="n">
        <v>1</v>
      </c>
      <c r="Z3547" t="n">
        <v>1</v>
      </c>
      <c r="AA3547" t="n">
        <v>0</v>
      </c>
      <c r="AB3547" t="n">
        <v>1</v>
      </c>
      <c r="AC3547" t="n">
        <v>1</v>
      </c>
      <c r="AD3547" t="n">
        <v>0</v>
      </c>
      <c r="AE3547" t="n">
        <v>35020</v>
      </c>
      <c r="AF3547" t="n">
        <v>6819</v>
      </c>
      <c r="AG3547" t="n">
        <v>1</v>
      </c>
      <c r="AH3547" t="inlineStr">
        <is>
          <t>PT. BERSAMA DISTRIVERSA INDONESIA (DC CIPUTAT)</t>
        </is>
      </c>
      <c r="AI3547" t="n">
        <v>2314</v>
      </c>
      <c r="AJ3547" t="inlineStr">
        <is>
          <t>MOICARE</t>
        </is>
      </c>
      <c r="AK3547" t="n">
        <v>21</v>
      </c>
      <c r="AL3547" t="inlineStr">
        <is>
          <t>Miss Glam Damar</t>
        </is>
      </c>
      <c r="AM3547" t="n">
        <v>4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MOICARE</t>
        </is>
      </c>
      <c r="B3548" s="2">
        <f>"40200119254"</f>
        <v/>
      </c>
      <c r="C3548" t="inlineStr">
        <is>
          <t>MOICARE Hair Serum 20ml</t>
        </is>
      </c>
      <c r="D3548" t="inlineStr">
        <is>
          <t>Miss Glam Damar</t>
        </is>
      </c>
      <c r="E3548" t="n">
        <v>9</v>
      </c>
      <c r="F3548" t="n">
        <v>0.06370000000000001</v>
      </c>
      <c r="G3548" t="n">
        <v>0.91</v>
      </c>
      <c r="H3548" t="n">
        <v>4</v>
      </c>
      <c r="I3548" t="n">
        <v>21</v>
      </c>
      <c r="J3548" t="n">
        <v>1</v>
      </c>
      <c r="K3548" t="n">
        <v>0</v>
      </c>
      <c r="L3548" t="n">
        <v>28840</v>
      </c>
      <c r="M3548" t="n">
        <v>36000</v>
      </c>
      <c r="N3548" t="n">
        <v>91</v>
      </c>
      <c r="O3548" t="n">
        <v>0.91</v>
      </c>
      <c r="P3548" t="n">
        <v>1</v>
      </c>
      <c r="Q3548" t="n">
        <v>0.03</v>
      </c>
      <c r="R3548" t="n">
        <v>1</v>
      </c>
      <c r="S3548" t="n">
        <v>2293.2</v>
      </c>
      <c r="T3548" t="n">
        <v>19</v>
      </c>
      <c r="U3548" t="n">
        <v>20</v>
      </c>
      <c r="V3548" t="n">
        <v>30</v>
      </c>
      <c r="W3548" t="n">
        <v>2</v>
      </c>
      <c r="X3548" t="n">
        <v>141.287284144427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6819</v>
      </c>
      <c r="AG3548" t="n">
        <v>1</v>
      </c>
      <c r="AH3548" t="inlineStr">
        <is>
          <t>PT. BERSAMA DISTRIVERSA INDONESIA (DC CIPUTAT)</t>
        </is>
      </c>
      <c r="AI3548" t="n">
        <v>2314</v>
      </c>
      <c r="AJ3548" t="inlineStr">
        <is>
          <t>MOICARE</t>
        </is>
      </c>
      <c r="AK3548" t="n">
        <v>21</v>
      </c>
      <c r="AL3548" t="inlineStr">
        <is>
          <t>Miss Glam Damar</t>
        </is>
      </c>
      <c r="AM3548" t="n">
        <v>4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MOICARE</t>
        </is>
      </c>
      <c r="B3549" s="2">
        <f>"10800505626"</f>
        <v/>
      </c>
      <c r="C3549" t="inlineStr">
        <is>
          <t>MOICARE Lash &amp; Brow Growth Serum 5ml</t>
        </is>
      </c>
      <c r="D3549" t="inlineStr">
        <is>
          <t>Miss Glam Damar</t>
        </is>
      </c>
      <c r="E3549" t="n">
        <v>9</v>
      </c>
      <c r="F3549" t="n">
        <v>0.0728</v>
      </c>
      <c r="G3549" t="n">
        <v>0.91</v>
      </c>
      <c r="H3549" t="n">
        <v>4</v>
      </c>
      <c r="I3549" t="n">
        <v>21</v>
      </c>
      <c r="J3549" t="n">
        <v>1</v>
      </c>
      <c r="K3549" t="n">
        <v>0</v>
      </c>
      <c r="L3549" t="n">
        <v>25235</v>
      </c>
      <c r="M3549" t="n">
        <v>35000</v>
      </c>
      <c r="N3549" t="n">
        <v>91</v>
      </c>
      <c r="O3549" t="n">
        <v>0.91</v>
      </c>
      <c r="P3549" t="n">
        <v>1</v>
      </c>
      <c r="Q3549" t="n">
        <v>0.14</v>
      </c>
      <c r="R3549" t="n">
        <v>2</v>
      </c>
      <c r="S3549" t="n">
        <v>2548</v>
      </c>
      <c r="T3549" t="n">
        <v>19</v>
      </c>
      <c r="U3549" t="n">
        <v>20</v>
      </c>
      <c r="V3549" t="n">
        <v>30</v>
      </c>
      <c r="W3549" t="n">
        <v>3</v>
      </c>
      <c r="X3549" t="n">
        <v>123.6263736263736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6819</v>
      </c>
      <c r="AG3549" t="n">
        <v>1</v>
      </c>
      <c r="AH3549" t="inlineStr">
        <is>
          <t>PT. BERSAMA DISTRIVERSA INDONESIA (DC CIPUTAT)</t>
        </is>
      </c>
      <c r="AI3549" t="n">
        <v>2314</v>
      </c>
      <c r="AJ3549" t="inlineStr">
        <is>
          <t>MOICARE</t>
        </is>
      </c>
      <c r="AK3549" t="n">
        <v>21</v>
      </c>
      <c r="AL3549" t="inlineStr">
        <is>
          <t>Miss Glam Damar</t>
        </is>
      </c>
      <c r="AM3549" t="n">
        <v>4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MOIST DIANE</t>
        </is>
      </c>
      <c r="B3550" s="2">
        <f>"4560119224613"</f>
        <v/>
      </c>
      <c r="C3550" t="inlineStr">
        <is>
          <t>MOIST DIANE Bonheur Shampoo 500ml</t>
        </is>
      </c>
      <c r="D3550" t="inlineStr">
        <is>
          <t>Miss Glam Damar</t>
        </is>
      </c>
      <c r="E3550" t="n">
        <v>0</v>
      </c>
      <c r="F3550" t="n">
        <v>0.0182</v>
      </c>
      <c r="G3550" t="n">
        <v>0.91</v>
      </c>
      <c r="H3550" t="n">
        <v>4</v>
      </c>
      <c r="I3550" t="n">
        <v>7</v>
      </c>
      <c r="J3550" t="n">
        <v>3</v>
      </c>
      <c r="K3550" t="n">
        <v>0</v>
      </c>
      <c r="L3550" t="n">
        <v>142500</v>
      </c>
      <c r="M3550" t="n">
        <v>220000</v>
      </c>
      <c r="N3550" t="n">
        <v>91</v>
      </c>
      <c r="O3550" t="n">
        <v>0.91</v>
      </c>
      <c r="P3550" t="n">
        <v>1</v>
      </c>
      <c r="Q3550" t="n">
        <v>0.07000000000000001</v>
      </c>
      <c r="R3550" t="n">
        <v>1</v>
      </c>
      <c r="S3550" t="n">
        <v>4004</v>
      </c>
      <c r="T3550" t="n">
        <v>7</v>
      </c>
      <c r="U3550" t="n">
        <v>8</v>
      </c>
      <c r="V3550" t="n">
        <v>30</v>
      </c>
      <c r="W3550" t="n">
        <v>1</v>
      </c>
      <c r="X3550" t="n">
        <v>0</v>
      </c>
      <c r="Y3550" t="n">
        <v>1</v>
      </c>
      <c r="Z3550" t="n">
        <v>1</v>
      </c>
      <c r="AA3550" t="n">
        <v>1</v>
      </c>
      <c r="AB3550" t="n">
        <v>0</v>
      </c>
      <c r="AC3550" t="n">
        <v>0</v>
      </c>
      <c r="AD3550" t="n">
        <v>142500</v>
      </c>
      <c r="AE3550" t="n">
        <v>0</v>
      </c>
      <c r="AF3550" t="n">
        <v>1296</v>
      </c>
      <c r="AG3550" t="n">
        <v>3449</v>
      </c>
      <c r="AH3550" t="inlineStr">
        <is>
          <t>CV. PRIMA PERKASA SEJAHTERA - PPN (PDG)</t>
        </is>
      </c>
      <c r="AI3550" t="n">
        <v>318</v>
      </c>
      <c r="AJ3550" t="inlineStr">
        <is>
          <t>MOIST DIANE</t>
        </is>
      </c>
      <c r="AK3550" t="n">
        <v>21</v>
      </c>
      <c r="AL3550" t="inlineStr">
        <is>
          <t>Miss Glam Damar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MOIST DIANE</t>
        </is>
      </c>
      <c r="B3551" s="2">
        <f>"4560119224903"</f>
        <v/>
      </c>
      <c r="C3551" t="inlineStr">
        <is>
          <t>MOIST DIANE Damage Repair Organic Argan Oil &amp; Amino Keratin Shampoo 450ml</t>
        </is>
      </c>
      <c r="D3551" t="inlineStr">
        <is>
          <t>Miss Glam Damar</t>
        </is>
      </c>
      <c r="E3551" t="n">
        <v>0</v>
      </c>
      <c r="F3551" t="n">
        <v>0.09</v>
      </c>
      <c r="G3551" t="n">
        <v>1</v>
      </c>
      <c r="H3551" t="n">
        <v>4</v>
      </c>
      <c r="I3551" t="n">
        <v>7</v>
      </c>
      <c r="J3551" t="n">
        <v>3</v>
      </c>
      <c r="K3551" t="n">
        <v>0</v>
      </c>
      <c r="L3551" t="n">
        <v>107559</v>
      </c>
      <c r="M3551" t="n">
        <v>140000</v>
      </c>
      <c r="N3551" t="n">
        <v>91</v>
      </c>
      <c r="O3551" t="n">
        <v>0.91</v>
      </c>
      <c r="P3551" t="n">
        <v>0</v>
      </c>
      <c r="Q3551" t="n">
        <v>0.09</v>
      </c>
      <c r="R3551" t="n">
        <v>1</v>
      </c>
      <c r="S3551" t="n">
        <v>12600</v>
      </c>
      <c r="T3551" t="n">
        <v>7</v>
      </c>
      <c r="U3551" t="n">
        <v>8</v>
      </c>
      <c r="V3551" t="n">
        <v>30</v>
      </c>
      <c r="W3551" t="n">
        <v>3</v>
      </c>
      <c r="X3551" t="n">
        <v>0</v>
      </c>
      <c r="Y3551" t="n">
        <v>1</v>
      </c>
      <c r="Z3551" t="n">
        <v>3</v>
      </c>
      <c r="AA3551" t="n">
        <v>1</v>
      </c>
      <c r="AB3551" t="n">
        <v>2</v>
      </c>
      <c r="AC3551" t="n">
        <v>3</v>
      </c>
      <c r="AD3551" t="n">
        <v>107559</v>
      </c>
      <c r="AE3551" t="n">
        <v>322677</v>
      </c>
      <c r="AF3551" t="n">
        <v>1296</v>
      </c>
      <c r="AG3551" t="n">
        <v>3449</v>
      </c>
      <c r="AH3551" t="inlineStr">
        <is>
          <t>CV. PRIMA PERKASA SEJAHTERA - PPN (PDG)</t>
        </is>
      </c>
      <c r="AI3551" t="n">
        <v>318</v>
      </c>
      <c r="AJ3551" t="inlineStr">
        <is>
          <t>MOIST DIANE</t>
        </is>
      </c>
      <c r="AK3551" t="n">
        <v>21</v>
      </c>
      <c r="AL3551" t="inlineStr">
        <is>
          <t>Miss Glam Damar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MOIST DIANE</t>
        </is>
      </c>
      <c r="B3552" s="2">
        <f>"4560119224743"</f>
        <v/>
      </c>
      <c r="C3552" t="inlineStr">
        <is>
          <t>MOIST DIANE Extra Fresh &amp; Hydrate Organic Argan Oil &amp; Feather Keratin Treatment 450ml</t>
        </is>
      </c>
      <c r="D3552" t="inlineStr">
        <is>
          <t>Miss Glam Damar</t>
        </is>
      </c>
      <c r="E3552" t="n">
        <v>2</v>
      </c>
      <c r="F3552" t="n">
        <v>0.03</v>
      </c>
      <c r="G3552" t="n">
        <v>1</v>
      </c>
      <c r="H3552" t="n">
        <v>4</v>
      </c>
      <c r="I3552" t="n">
        <v>7</v>
      </c>
      <c r="J3552" t="n">
        <v>3</v>
      </c>
      <c r="K3552" t="n">
        <v>0</v>
      </c>
      <c r="L3552" t="n">
        <v>102000</v>
      </c>
      <c r="M3552" t="n">
        <v>123000</v>
      </c>
      <c r="N3552" t="n">
        <v>91</v>
      </c>
      <c r="O3552" t="n">
        <v>0.91</v>
      </c>
      <c r="P3552" t="n">
        <v>0</v>
      </c>
      <c r="Q3552" t="n">
        <v>0.03</v>
      </c>
      <c r="R3552" t="n">
        <v>1</v>
      </c>
      <c r="S3552" t="n">
        <v>3690</v>
      </c>
      <c r="T3552" t="n">
        <v>7</v>
      </c>
      <c r="U3552" t="n">
        <v>8</v>
      </c>
      <c r="V3552" t="n">
        <v>30</v>
      </c>
      <c r="W3552" t="n">
        <v>1</v>
      </c>
      <c r="X3552" t="n">
        <v>66.66666666666667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1296</v>
      </c>
      <c r="AG3552" t="n">
        <v>3449</v>
      </c>
      <c r="AH3552" t="inlineStr">
        <is>
          <t>CV. PRIMA PERKASA SEJAHTERA - PPN (PDG)</t>
        </is>
      </c>
      <c r="AI3552" t="n">
        <v>318</v>
      </c>
      <c r="AJ3552" t="inlineStr">
        <is>
          <t>MOIST DIANE</t>
        </is>
      </c>
      <c r="AK3552" t="n">
        <v>21</v>
      </c>
      <c r="AL3552" t="inlineStr">
        <is>
          <t>Miss Glam Damar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MOIST DIANE</t>
        </is>
      </c>
      <c r="B3553" s="2">
        <f>"4560119221407"</f>
        <v/>
      </c>
      <c r="C3553" t="inlineStr">
        <is>
          <t>MOIST DIANE Natural &amp; Organic Blue Jasmin Shampoo 500ml</t>
        </is>
      </c>
      <c r="D3553" t="inlineStr">
        <is>
          <t>Miss Glam Damar</t>
        </is>
      </c>
      <c r="E3553" t="n">
        <v>3</v>
      </c>
      <c r="F3553" t="n">
        <v>0.03</v>
      </c>
      <c r="G3553" t="n">
        <v>1</v>
      </c>
      <c r="H3553" t="n">
        <v>4</v>
      </c>
      <c r="I3553" t="n">
        <v>7</v>
      </c>
      <c r="J3553" t="n">
        <v>3</v>
      </c>
      <c r="K3553" t="n">
        <v>0</v>
      </c>
      <c r="L3553" t="n">
        <v>142500</v>
      </c>
      <c r="M3553" t="n">
        <v>220000</v>
      </c>
      <c r="N3553" t="n">
        <v>91</v>
      </c>
      <c r="O3553" t="n">
        <v>0.91</v>
      </c>
      <c r="P3553" t="n">
        <v>0</v>
      </c>
      <c r="Q3553" t="n">
        <v>0.03</v>
      </c>
      <c r="R3553" t="n">
        <v>1</v>
      </c>
      <c r="S3553" t="n">
        <v>6600</v>
      </c>
      <c r="T3553" t="n">
        <v>7</v>
      </c>
      <c r="U3553" t="n">
        <v>8</v>
      </c>
      <c r="V3553" t="n">
        <v>30</v>
      </c>
      <c r="W3553" t="n">
        <v>1</v>
      </c>
      <c r="X3553" t="n">
        <v>100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1296</v>
      </c>
      <c r="AG3553" t="n">
        <v>3449</v>
      </c>
      <c r="AH3553" t="inlineStr">
        <is>
          <t>CV. PRIMA PERKASA SEJAHTERA - PPN (PDG)</t>
        </is>
      </c>
      <c r="AI3553" t="n">
        <v>318</v>
      </c>
      <c r="AJ3553" t="inlineStr">
        <is>
          <t>MOIST DIANE</t>
        </is>
      </c>
      <c r="AK3553" t="n">
        <v>21</v>
      </c>
      <c r="AL3553" t="inlineStr">
        <is>
          <t>Miss Glam Damar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MOIST DIANE</t>
        </is>
      </c>
      <c r="B3554" s="2">
        <f>"4560119224880"</f>
        <v/>
      </c>
      <c r="C3554" t="inlineStr">
        <is>
          <t>MOIST DIANE Shampoo Smooth &amp; Straight 450ml</t>
        </is>
      </c>
      <c r="D3554" t="inlineStr">
        <is>
          <t>Miss Glam Damar</t>
        </is>
      </c>
      <c r="E3554" t="n">
        <v>2</v>
      </c>
      <c r="F3554" t="n">
        <v>0.0182</v>
      </c>
      <c r="G3554" t="n">
        <v>0.91</v>
      </c>
      <c r="H3554" t="n">
        <v>4</v>
      </c>
      <c r="I3554" t="n">
        <v>7</v>
      </c>
      <c r="J3554" t="n">
        <v>3</v>
      </c>
      <c r="K3554" t="n">
        <v>0</v>
      </c>
      <c r="L3554" t="n">
        <v>102000</v>
      </c>
      <c r="M3554" t="n">
        <v>123000</v>
      </c>
      <c r="N3554" t="n">
        <v>91</v>
      </c>
      <c r="O3554" t="n">
        <v>0.91</v>
      </c>
      <c r="P3554" t="n">
        <v>1</v>
      </c>
      <c r="Q3554" t="n">
        <v>0.05</v>
      </c>
      <c r="R3554" t="n">
        <v>1</v>
      </c>
      <c r="S3554" t="n">
        <v>2238.6</v>
      </c>
      <c r="T3554" t="n">
        <v>7</v>
      </c>
      <c r="U3554" t="n">
        <v>8</v>
      </c>
      <c r="V3554" t="n">
        <v>30</v>
      </c>
      <c r="W3554" t="n">
        <v>1</v>
      </c>
      <c r="X3554" t="n">
        <v>109.8901098901099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1296</v>
      </c>
      <c r="AG3554" t="n">
        <v>3449</v>
      </c>
      <c r="AH3554" t="inlineStr">
        <is>
          <t>CV. PRIMA PERKASA SEJAHTERA - PPN (PDG)</t>
        </is>
      </c>
      <c r="AI3554" t="n">
        <v>318</v>
      </c>
      <c r="AJ3554" t="inlineStr">
        <is>
          <t>MOIST DIANE</t>
        </is>
      </c>
      <c r="AK3554" t="n">
        <v>21</v>
      </c>
      <c r="AL3554" t="inlineStr">
        <is>
          <t>Miss Glam Damar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MOIST DIANE</t>
        </is>
      </c>
      <c r="B3555" s="2">
        <f>"4560119224910"</f>
        <v/>
      </c>
      <c r="C3555" t="inlineStr">
        <is>
          <t>MOIST DIANE Treatment Damage Repair 450ml</t>
        </is>
      </c>
      <c r="D3555" t="inlineStr">
        <is>
          <t>Miss Glam Damar</t>
        </is>
      </c>
      <c r="E3555" t="n">
        <v>6</v>
      </c>
      <c r="F3555" t="n">
        <v>0.07000000000000001</v>
      </c>
      <c r="G3555" t="n">
        <v>1</v>
      </c>
      <c r="H3555" t="n">
        <v>4</v>
      </c>
      <c r="I3555" t="n">
        <v>7</v>
      </c>
      <c r="J3555" t="n">
        <v>3</v>
      </c>
      <c r="K3555" t="n">
        <v>0</v>
      </c>
      <c r="L3555" t="n">
        <v>102000</v>
      </c>
      <c r="M3555" t="n">
        <v>139500</v>
      </c>
      <c r="N3555" t="n">
        <v>91</v>
      </c>
      <c r="O3555" t="n">
        <v>0.91</v>
      </c>
      <c r="P3555" t="n">
        <v>0</v>
      </c>
      <c r="Q3555" t="n">
        <v>0.07000000000000001</v>
      </c>
      <c r="R3555" t="n">
        <v>1</v>
      </c>
      <c r="S3555" t="n">
        <v>9765.000000000002</v>
      </c>
      <c r="T3555" t="n">
        <v>7</v>
      </c>
      <c r="U3555" t="n">
        <v>8</v>
      </c>
      <c r="V3555" t="n">
        <v>30</v>
      </c>
      <c r="W3555" t="n">
        <v>3</v>
      </c>
      <c r="X3555" t="n">
        <v>85.71428571428571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1296</v>
      </c>
      <c r="AG3555" t="n">
        <v>3449</v>
      </c>
      <c r="AH3555" t="inlineStr">
        <is>
          <t>CV. PRIMA PERKASA SEJAHTERA - PPN (PDG)</t>
        </is>
      </c>
      <c r="AI3555" t="n">
        <v>318</v>
      </c>
      <c r="AJ3555" t="inlineStr">
        <is>
          <t>MOIST DIANE</t>
        </is>
      </c>
      <c r="AK3555" t="n">
        <v>21</v>
      </c>
      <c r="AL3555" t="inlineStr">
        <is>
          <t>Miss Glam Damar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MOIST DIANE</t>
        </is>
      </c>
      <c r="B3556" s="2">
        <f>"4560119224897"</f>
        <v/>
      </c>
      <c r="C3556" t="inlineStr">
        <is>
          <t>MOIST DIANE Treatment Extra Smooth &amp; Straight 450ml</t>
        </is>
      </c>
      <c r="D3556" t="inlineStr">
        <is>
          <t>Miss Glam Damar</t>
        </is>
      </c>
      <c r="E3556" t="n">
        <v>2</v>
      </c>
      <c r="F3556" t="n">
        <v>0.02</v>
      </c>
      <c r="G3556" t="n">
        <v>1</v>
      </c>
      <c r="H3556" t="n">
        <v>4</v>
      </c>
      <c r="I3556" t="n">
        <v>7</v>
      </c>
      <c r="J3556" t="n">
        <v>3</v>
      </c>
      <c r="K3556" t="n">
        <v>0</v>
      </c>
      <c r="L3556" t="n">
        <v>102000</v>
      </c>
      <c r="M3556" t="n">
        <v>123000</v>
      </c>
      <c r="N3556" t="n">
        <v>91</v>
      </c>
      <c r="O3556" t="n">
        <v>0.91</v>
      </c>
      <c r="P3556" t="n">
        <v>0</v>
      </c>
      <c r="Q3556" t="n">
        <v>0.02</v>
      </c>
      <c r="R3556" t="n">
        <v>1</v>
      </c>
      <c r="S3556" t="n">
        <v>2460</v>
      </c>
      <c r="T3556" t="n">
        <v>7</v>
      </c>
      <c r="U3556" t="n">
        <v>8</v>
      </c>
      <c r="V3556" t="n">
        <v>30</v>
      </c>
      <c r="W3556" t="n">
        <v>1</v>
      </c>
      <c r="X3556" t="n">
        <v>100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1296</v>
      </c>
      <c r="AG3556" t="n">
        <v>3449</v>
      </c>
      <c r="AH3556" t="inlineStr">
        <is>
          <t>CV. PRIMA PERKASA SEJAHTERA - PPN (PDG)</t>
        </is>
      </c>
      <c r="AI3556" t="n">
        <v>318</v>
      </c>
      <c r="AJ3556" t="inlineStr">
        <is>
          <t>MOIST DIANE</t>
        </is>
      </c>
      <c r="AK3556" t="n">
        <v>21</v>
      </c>
      <c r="AL3556" t="inlineStr">
        <is>
          <t>Miss Glam Damar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MOIST DIANE</t>
        </is>
      </c>
      <c r="B3557" s="2">
        <f>"4560119224828"</f>
        <v/>
      </c>
      <c r="C3557" t="inlineStr">
        <is>
          <t>MOIST DIANE Treatment Extra Volume &amp; Scalp 450ml</t>
        </is>
      </c>
      <c r="D3557" t="inlineStr">
        <is>
          <t>Miss Glam Damar</t>
        </is>
      </c>
      <c r="E3557" t="n">
        <v>1</v>
      </c>
      <c r="F3557" t="n">
        <v>0.1</v>
      </c>
      <c r="G3557" t="n">
        <v>1</v>
      </c>
      <c r="H3557" t="n">
        <v>4</v>
      </c>
      <c r="I3557" t="n">
        <v>7</v>
      </c>
      <c r="J3557" t="n">
        <v>3</v>
      </c>
      <c r="K3557" t="n">
        <v>0</v>
      </c>
      <c r="L3557" t="n">
        <v>102000</v>
      </c>
      <c r="M3557" t="n">
        <v>140000</v>
      </c>
      <c r="N3557" t="n">
        <v>91</v>
      </c>
      <c r="O3557" t="n">
        <v>0.91</v>
      </c>
      <c r="P3557" t="n">
        <v>0</v>
      </c>
      <c r="Q3557" t="n">
        <v>0.1</v>
      </c>
      <c r="R3557" t="n">
        <v>1</v>
      </c>
      <c r="S3557" t="n">
        <v>14000</v>
      </c>
      <c r="T3557" t="n">
        <v>7</v>
      </c>
      <c r="U3557" t="n">
        <v>8</v>
      </c>
      <c r="V3557" t="n">
        <v>30</v>
      </c>
      <c r="W3557" t="n">
        <v>3</v>
      </c>
      <c r="X3557" t="n">
        <v>10</v>
      </c>
      <c r="Y3557" t="n">
        <v>1</v>
      </c>
      <c r="Z3557" t="n">
        <v>2</v>
      </c>
      <c r="AA3557" t="n">
        <v>0</v>
      </c>
      <c r="AB3557" t="n">
        <v>2</v>
      </c>
      <c r="AC3557" t="n">
        <v>3</v>
      </c>
      <c r="AD3557" t="n">
        <v>0</v>
      </c>
      <c r="AE3557" t="n">
        <v>306000</v>
      </c>
      <c r="AF3557" t="n">
        <v>1296</v>
      </c>
      <c r="AG3557" t="n">
        <v>3449</v>
      </c>
      <c r="AH3557" t="inlineStr">
        <is>
          <t>CV. PRIMA PERKASA SEJAHTERA - PPN (PDG)</t>
        </is>
      </c>
      <c r="AI3557" t="n">
        <v>318</v>
      </c>
      <c r="AJ3557" t="inlineStr">
        <is>
          <t>MOIST DIANE</t>
        </is>
      </c>
      <c r="AK3557" t="n">
        <v>21</v>
      </c>
      <c r="AL3557" t="inlineStr">
        <is>
          <t>Miss Glam Damar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MOOI</t>
        </is>
      </c>
      <c r="B3558" s="2">
        <f>"30200179040"</f>
        <v/>
      </c>
      <c r="C3558" t="inlineStr">
        <is>
          <t>MOOI Pure Glow Tone Up Booster 120gr</t>
        </is>
      </c>
      <c r="D3558" t="inlineStr">
        <is>
          <t>Miss Glam Damar</t>
        </is>
      </c>
      <c r="E3558" t="n">
        <v>14</v>
      </c>
      <c r="F3558" t="n">
        <v>0.1365</v>
      </c>
      <c r="G3558" t="n">
        <v>2.73</v>
      </c>
      <c r="H3558" t="n">
        <v>4</v>
      </c>
      <c r="I3558" t="n">
        <v>21</v>
      </c>
      <c r="J3558" t="n">
        <v>3</v>
      </c>
      <c r="K3558" t="n">
        <v>0</v>
      </c>
      <c r="L3558" t="n">
        <v>37069</v>
      </c>
      <c r="M3558" t="n">
        <v>67500</v>
      </c>
      <c r="N3558" t="n">
        <v>91</v>
      </c>
      <c r="O3558" t="n">
        <v>0.91</v>
      </c>
      <c r="P3558" t="n">
        <v>1</v>
      </c>
      <c r="Q3558" t="n">
        <v>0.14</v>
      </c>
      <c r="R3558" t="n">
        <v>3</v>
      </c>
      <c r="S3558" t="n">
        <v>9213.75</v>
      </c>
      <c r="T3558" t="n">
        <v>57</v>
      </c>
      <c r="U3558" t="n">
        <v>58</v>
      </c>
      <c r="V3558" t="n">
        <v>30</v>
      </c>
      <c r="W3558" t="n">
        <v>5</v>
      </c>
      <c r="X3558" t="n">
        <v>102.5641025641026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6852</v>
      </c>
      <c r="AG3558" t="n">
        <v>1</v>
      </c>
      <c r="AH3558" t="inlineStr">
        <is>
          <t>PT. BERSAMA DISTRIVERSA INDONESIA (DC CIPUTAT)</t>
        </is>
      </c>
      <c r="AI3558" t="n">
        <v>922</v>
      </c>
      <c r="AJ3558" t="inlineStr">
        <is>
          <t>MOOI</t>
        </is>
      </c>
      <c r="AK3558" t="n">
        <v>21</v>
      </c>
      <c r="AL3558" t="inlineStr">
        <is>
          <t>Miss Glam Damar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MORLAB</t>
        </is>
      </c>
      <c r="B3559" s="2">
        <f>"10300721859"</f>
        <v/>
      </c>
      <c r="C3559" t="inlineStr">
        <is>
          <t>MORLAB V10 Vitamin Tone Up Cream With Idebenone 50ml</t>
        </is>
      </c>
      <c r="D3559" t="inlineStr">
        <is>
          <t>Miss Glam Damar</t>
        </is>
      </c>
      <c r="E3559" t="n">
        <v>20</v>
      </c>
      <c r="F3559" t="n">
        <v>0.04550000000000001</v>
      </c>
      <c r="G3559" t="n">
        <v>1.82</v>
      </c>
      <c r="H3559" t="n">
        <v>4</v>
      </c>
      <c r="I3559" t="n">
        <v>21</v>
      </c>
      <c r="J3559" t="n">
        <v>1</v>
      </c>
      <c r="K3559" t="n">
        <v>0</v>
      </c>
      <c r="L3559" t="n">
        <v>125000</v>
      </c>
      <c r="M3559" t="n">
        <v>159000</v>
      </c>
      <c r="N3559" t="n">
        <v>91</v>
      </c>
      <c r="O3559" t="n">
        <v>0.91</v>
      </c>
      <c r="P3559" t="n">
        <v>1</v>
      </c>
      <c r="Q3559" t="n">
        <v>0.07000000000000001</v>
      </c>
      <c r="R3559" t="n">
        <v>1</v>
      </c>
      <c r="S3559" t="n">
        <v>7234.500000000001</v>
      </c>
      <c r="T3559" t="n">
        <v>39</v>
      </c>
      <c r="U3559" t="n">
        <v>40</v>
      </c>
      <c r="V3559" t="n">
        <v>30</v>
      </c>
      <c r="W3559" t="n">
        <v>2</v>
      </c>
      <c r="X3559" t="n">
        <v>439.5604395604395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6885</v>
      </c>
      <c r="AG3559" t="n">
        <v>1</v>
      </c>
      <c r="AH3559" t="inlineStr">
        <is>
          <t>PT. BERSAMA DISTRIVERSA INDONESIA (DC CIPUTAT)</t>
        </is>
      </c>
      <c r="AI3559" t="n">
        <v>2275</v>
      </c>
      <c r="AJ3559" t="inlineStr">
        <is>
          <t>MORLAB</t>
        </is>
      </c>
      <c r="AK3559" t="n">
        <v>21</v>
      </c>
      <c r="AL3559" t="inlineStr">
        <is>
          <t>Miss Glam Damar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MORRIS</t>
        </is>
      </c>
      <c r="B3560" s="2">
        <f>"8997016221517"</f>
        <v/>
      </c>
      <c r="C3560" t="inlineStr">
        <is>
          <t>MORRIS  Eau De Parfum Tropical Floral 110ml</t>
        </is>
      </c>
      <c r="D3560" t="inlineStr">
        <is>
          <t>Miss Glam Damar</t>
        </is>
      </c>
      <c r="E3560" t="n">
        <v>5</v>
      </c>
      <c r="F3560" t="n">
        <v>0.1547</v>
      </c>
      <c r="G3560" t="n">
        <v>1.82</v>
      </c>
      <c r="H3560" t="n">
        <v>1</v>
      </c>
      <c r="I3560" t="n">
        <v>3</v>
      </c>
      <c r="J3560" t="n">
        <v>3</v>
      </c>
      <c r="K3560" t="n">
        <v>0</v>
      </c>
      <c r="L3560" t="n">
        <v>28544</v>
      </c>
      <c r="M3560" t="n">
        <v>38500</v>
      </c>
      <c r="N3560" t="n">
        <v>91</v>
      </c>
      <c r="O3560" t="n">
        <v>0.91</v>
      </c>
      <c r="P3560" t="n">
        <v>1</v>
      </c>
      <c r="Q3560" t="n">
        <v>0.05</v>
      </c>
      <c r="R3560" t="n">
        <v>1</v>
      </c>
      <c r="S3560" t="n">
        <v>5955.95</v>
      </c>
      <c r="T3560" t="n">
        <v>6</v>
      </c>
      <c r="U3560" t="n">
        <v>7</v>
      </c>
      <c r="V3560" t="n">
        <v>30</v>
      </c>
      <c r="W3560" t="n">
        <v>5</v>
      </c>
      <c r="X3560" t="n">
        <v>32.32062055591467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9703</v>
      </c>
      <c r="AG3560" t="n">
        <v>2308</v>
      </c>
      <c r="AH3560" t="inlineStr">
        <is>
          <t>PT. CITRA MUTIARA LESTARINDO - PPN (PDG)</t>
        </is>
      </c>
      <c r="AI3560" t="n">
        <v>834</v>
      </c>
      <c r="AJ3560" t="inlineStr">
        <is>
          <t>MORRIS</t>
        </is>
      </c>
      <c r="AK3560" t="n">
        <v>21</v>
      </c>
      <c r="AL3560" t="inlineStr">
        <is>
          <t>Miss Glam Damar</t>
        </is>
      </c>
      <c r="AM3560" t="n">
        <v>3</v>
      </c>
      <c r="AN3560" t="n">
        <v>350000</v>
      </c>
      <c r="AO3560" t="n">
        <v>0</v>
      </c>
      <c r="AP3560" t="inlineStr"/>
      <c r="AQ3560" t="inlineStr"/>
    </row>
    <row r="3561">
      <c r="A3561" t="inlineStr">
        <is>
          <t>MORRIS</t>
        </is>
      </c>
      <c r="B3561" s="2">
        <f>"8997016221524"</f>
        <v/>
      </c>
      <c r="C3561" t="inlineStr">
        <is>
          <t>MORRIS  Eau De Parfum Tropical Nature 110ml</t>
        </is>
      </c>
      <c r="D3561" t="inlineStr">
        <is>
          <t>Miss Glam Damar</t>
        </is>
      </c>
      <c r="E3561" t="n">
        <v>8</v>
      </c>
      <c r="F3561" t="n">
        <v>0.0182</v>
      </c>
      <c r="G3561" t="n">
        <v>0.91</v>
      </c>
      <c r="H3561" t="n">
        <v>1</v>
      </c>
      <c r="I3561" t="n">
        <v>3</v>
      </c>
      <c r="J3561" t="n">
        <v>3</v>
      </c>
      <c r="K3561" t="n">
        <v>0</v>
      </c>
      <c r="L3561" t="n">
        <v>28544</v>
      </c>
      <c r="M3561" t="n">
        <v>38500</v>
      </c>
      <c r="N3561" t="n">
        <v>91</v>
      </c>
      <c r="O3561" t="n">
        <v>0.91</v>
      </c>
      <c r="P3561" t="n">
        <v>1</v>
      </c>
      <c r="Q3561" t="n">
        <v>0.07000000000000001</v>
      </c>
      <c r="R3561" t="n">
        <v>3</v>
      </c>
      <c r="S3561" t="n">
        <v>700.7</v>
      </c>
      <c r="T3561" t="n">
        <v>3</v>
      </c>
      <c r="U3561" t="n">
        <v>4</v>
      </c>
      <c r="V3561" t="n">
        <v>30</v>
      </c>
      <c r="W3561" t="n">
        <v>1</v>
      </c>
      <c r="X3561" t="n">
        <v>439.5604395604395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9703</v>
      </c>
      <c r="AG3561" t="n">
        <v>2308</v>
      </c>
      <c r="AH3561" t="inlineStr">
        <is>
          <t>PT. CITRA MUTIARA LESTARINDO - PPN (PDG)</t>
        </is>
      </c>
      <c r="AI3561" t="n">
        <v>834</v>
      </c>
      <c r="AJ3561" t="inlineStr">
        <is>
          <t>MORRIS</t>
        </is>
      </c>
      <c r="AK3561" t="n">
        <v>21</v>
      </c>
      <c r="AL3561" t="inlineStr">
        <is>
          <t>Miss Glam Damar</t>
        </is>
      </c>
      <c r="AM3561" t="n">
        <v>3</v>
      </c>
      <c r="AN3561" t="n">
        <v>350000</v>
      </c>
      <c r="AO3561" t="n">
        <v>0</v>
      </c>
      <c r="AP3561" t="inlineStr"/>
      <c r="AQ3561" t="inlineStr"/>
    </row>
    <row r="3562">
      <c r="A3562" t="inlineStr">
        <is>
          <t>MORRIS</t>
        </is>
      </c>
      <c r="B3562" s="2">
        <f>"8997016221562"</f>
        <v/>
      </c>
      <c r="C3562" t="inlineStr">
        <is>
          <t>MORRIS  Eau De Parfum Tropical Paradise 110ml</t>
        </is>
      </c>
      <c r="D3562" t="inlineStr">
        <is>
          <t>Miss Glam Damar</t>
        </is>
      </c>
      <c r="E3562" t="n">
        <v>4</v>
      </c>
      <c r="F3562" t="n">
        <v>0.0273</v>
      </c>
      <c r="G3562" t="n">
        <v>0.91</v>
      </c>
      <c r="H3562" t="n">
        <v>1</v>
      </c>
      <c r="I3562" t="n">
        <v>3</v>
      </c>
      <c r="J3562" t="n">
        <v>3</v>
      </c>
      <c r="K3562" t="n">
        <v>0</v>
      </c>
      <c r="L3562" t="n">
        <v>28767</v>
      </c>
      <c r="M3562" t="n">
        <v>38500</v>
      </c>
      <c r="N3562" t="n">
        <v>91</v>
      </c>
      <c r="O3562" t="n">
        <v>0.91</v>
      </c>
      <c r="P3562" t="n">
        <v>1</v>
      </c>
      <c r="Q3562" t="n">
        <v>0.05</v>
      </c>
      <c r="R3562" t="n">
        <v>1</v>
      </c>
      <c r="S3562" t="n">
        <v>1051.05</v>
      </c>
      <c r="T3562" t="n">
        <v>3</v>
      </c>
      <c r="U3562" t="n">
        <v>4</v>
      </c>
      <c r="V3562" t="n">
        <v>30</v>
      </c>
      <c r="W3562" t="n">
        <v>1</v>
      </c>
      <c r="X3562" t="n">
        <v>146.5201465201465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9703</v>
      </c>
      <c r="AG3562" t="n">
        <v>2308</v>
      </c>
      <c r="AH3562" t="inlineStr">
        <is>
          <t>PT. CITRA MUTIARA LESTARINDO - PPN (PDG)</t>
        </is>
      </c>
      <c r="AI3562" t="n">
        <v>834</v>
      </c>
      <c r="AJ3562" t="inlineStr">
        <is>
          <t>MORRIS</t>
        </is>
      </c>
      <c r="AK3562" t="n">
        <v>21</v>
      </c>
      <c r="AL3562" t="inlineStr">
        <is>
          <t>Miss Glam Damar</t>
        </is>
      </c>
      <c r="AM3562" t="n">
        <v>3</v>
      </c>
      <c r="AN3562" t="n">
        <v>350000</v>
      </c>
      <c r="AO3562" t="n">
        <v>0</v>
      </c>
      <c r="AP3562" t="inlineStr"/>
      <c r="AQ3562" t="inlineStr"/>
    </row>
    <row r="3563">
      <c r="A3563" t="inlineStr">
        <is>
          <t>MORRIS</t>
        </is>
      </c>
      <c r="B3563" s="2">
        <f>"8997016221555"</f>
        <v/>
      </c>
      <c r="C3563" t="inlineStr">
        <is>
          <t>MORRIS  Eau De Parfum Tropical Romance 110ml</t>
        </is>
      </c>
      <c r="D3563" t="inlineStr">
        <is>
          <t>Miss Glam Damar</t>
        </is>
      </c>
      <c r="E3563" t="n">
        <v>10</v>
      </c>
      <c r="F3563" t="n">
        <v>0.2275</v>
      </c>
      <c r="G3563" t="n">
        <v>2.73</v>
      </c>
      <c r="H3563" t="n">
        <v>1</v>
      </c>
      <c r="I3563" t="n">
        <v>3</v>
      </c>
      <c r="J3563" t="n">
        <v>3</v>
      </c>
      <c r="K3563" t="n">
        <v>0</v>
      </c>
      <c r="L3563" t="n">
        <v>28544</v>
      </c>
      <c r="M3563" t="n">
        <v>43000</v>
      </c>
      <c r="N3563" t="n">
        <v>91</v>
      </c>
      <c r="O3563" t="n">
        <v>0.91</v>
      </c>
      <c r="P3563" t="n">
        <v>1</v>
      </c>
      <c r="Q3563" t="n">
        <v>0.22</v>
      </c>
      <c r="R3563" t="n">
        <v>2</v>
      </c>
      <c r="S3563" t="n">
        <v>9782.5</v>
      </c>
      <c r="T3563" t="n">
        <v>8</v>
      </c>
      <c r="U3563" t="n">
        <v>9</v>
      </c>
      <c r="V3563" t="n">
        <v>30</v>
      </c>
      <c r="W3563" t="n">
        <v>7</v>
      </c>
      <c r="X3563" t="n">
        <v>43.95604395604396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9703</v>
      </c>
      <c r="AG3563" t="n">
        <v>2308</v>
      </c>
      <c r="AH3563" t="inlineStr">
        <is>
          <t>PT. CITRA MUTIARA LESTARINDO - PPN (PDG)</t>
        </is>
      </c>
      <c r="AI3563" t="n">
        <v>834</v>
      </c>
      <c r="AJ3563" t="inlineStr">
        <is>
          <t>MORRIS</t>
        </is>
      </c>
      <c r="AK3563" t="n">
        <v>21</v>
      </c>
      <c r="AL3563" t="inlineStr">
        <is>
          <t>Miss Glam Damar</t>
        </is>
      </c>
      <c r="AM3563" t="n">
        <v>3</v>
      </c>
      <c r="AN3563" t="n">
        <v>350000</v>
      </c>
      <c r="AO3563" t="n">
        <v>0</v>
      </c>
      <c r="AP3563" t="inlineStr"/>
      <c r="AQ3563" t="inlineStr"/>
    </row>
    <row r="3564">
      <c r="A3564" t="inlineStr">
        <is>
          <t>MORRIS</t>
        </is>
      </c>
      <c r="B3564" s="2">
        <f>"8997016223306"</f>
        <v/>
      </c>
      <c r="C3564" t="inlineStr">
        <is>
          <t>MORRIS Eau De Parfum Be Yourself 110ml</t>
        </is>
      </c>
      <c r="D3564" t="inlineStr">
        <is>
          <t>Miss Glam Damar</t>
        </is>
      </c>
      <c r="E3564" t="n">
        <v>3</v>
      </c>
      <c r="F3564" t="n">
        <v>0.0728</v>
      </c>
      <c r="G3564" t="n">
        <v>2.73</v>
      </c>
      <c r="H3564" t="n">
        <v>1</v>
      </c>
      <c r="I3564" t="n">
        <v>3</v>
      </c>
      <c r="J3564" t="n">
        <v>3</v>
      </c>
      <c r="K3564" t="n">
        <v>0</v>
      </c>
      <c r="L3564" t="n">
        <v>28544</v>
      </c>
      <c r="M3564" t="n">
        <v>38500</v>
      </c>
      <c r="N3564" t="n">
        <v>91</v>
      </c>
      <c r="O3564" t="n">
        <v>0.91</v>
      </c>
      <c r="P3564" t="n">
        <v>1</v>
      </c>
      <c r="Q3564" t="n">
        <v>0.08</v>
      </c>
      <c r="R3564" t="n">
        <v>2</v>
      </c>
      <c r="S3564" t="n">
        <v>2802.8</v>
      </c>
      <c r="T3564" t="n">
        <v>9</v>
      </c>
      <c r="U3564" t="n">
        <v>10</v>
      </c>
      <c r="V3564" t="n">
        <v>30</v>
      </c>
      <c r="W3564" t="n">
        <v>3</v>
      </c>
      <c r="X3564" t="n">
        <v>41.2087912087912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9703</v>
      </c>
      <c r="AG3564" t="n">
        <v>2308</v>
      </c>
      <c r="AH3564" t="inlineStr">
        <is>
          <t>PT. CITRA MUTIARA LESTARINDO - PPN (PDG)</t>
        </is>
      </c>
      <c r="AI3564" t="n">
        <v>834</v>
      </c>
      <c r="AJ3564" t="inlineStr">
        <is>
          <t>MORRIS</t>
        </is>
      </c>
      <c r="AK3564" t="n">
        <v>21</v>
      </c>
      <c r="AL3564" t="inlineStr">
        <is>
          <t>Miss Glam Damar</t>
        </is>
      </c>
      <c r="AM3564" t="n">
        <v>3</v>
      </c>
      <c r="AN3564" t="n">
        <v>350000</v>
      </c>
      <c r="AO3564" t="n">
        <v>0</v>
      </c>
      <c r="AP3564" t="inlineStr"/>
      <c r="AQ3564" t="inlineStr"/>
    </row>
    <row r="3565">
      <c r="A3565" t="inlineStr">
        <is>
          <t>MORRIS</t>
        </is>
      </c>
      <c r="B3565" s="2">
        <f>"8997016223320"</f>
        <v/>
      </c>
      <c r="C3565" t="inlineStr">
        <is>
          <t>MORRIS Eau De Parfum Beauty Inside 110ml</t>
        </is>
      </c>
      <c r="D3565" t="inlineStr">
        <is>
          <t>Miss Glam Damar</t>
        </is>
      </c>
      <c r="E3565" t="n">
        <v>1</v>
      </c>
      <c r="F3565" t="n">
        <v>0.04550000000000001</v>
      </c>
      <c r="G3565" t="n">
        <v>0.91</v>
      </c>
      <c r="H3565" t="n">
        <v>1</v>
      </c>
      <c r="I3565" t="n">
        <v>3</v>
      </c>
      <c r="J3565" t="n">
        <v>3</v>
      </c>
      <c r="K3565" t="n">
        <v>0</v>
      </c>
      <c r="L3565" t="n">
        <v>28544</v>
      </c>
      <c r="M3565" t="n">
        <v>38500</v>
      </c>
      <c r="N3565" t="n">
        <v>91</v>
      </c>
      <c r="O3565" t="n">
        <v>0.91</v>
      </c>
      <c r="P3565" t="n">
        <v>1</v>
      </c>
      <c r="Q3565" t="n">
        <v>0.12</v>
      </c>
      <c r="R3565" t="n">
        <v>1</v>
      </c>
      <c r="S3565" t="n">
        <v>1751.75</v>
      </c>
      <c r="T3565" t="n">
        <v>3</v>
      </c>
      <c r="U3565" t="n">
        <v>4</v>
      </c>
      <c r="V3565" t="n">
        <v>30</v>
      </c>
      <c r="W3565" t="n">
        <v>2</v>
      </c>
      <c r="X3565" t="n">
        <v>21.97802197802197</v>
      </c>
      <c r="Y3565" t="n">
        <v>1</v>
      </c>
      <c r="Z3565" t="n">
        <v>1</v>
      </c>
      <c r="AA3565" t="n">
        <v>0</v>
      </c>
      <c r="AB3565" t="n">
        <v>1</v>
      </c>
      <c r="AC3565" t="n">
        <v>3</v>
      </c>
      <c r="AD3565" t="n">
        <v>0</v>
      </c>
      <c r="AE3565" t="n">
        <v>85632</v>
      </c>
      <c r="AF3565" t="n">
        <v>9703</v>
      </c>
      <c r="AG3565" t="n">
        <v>2308</v>
      </c>
      <c r="AH3565" t="inlineStr">
        <is>
          <t>PT. CITRA MUTIARA LESTARINDO - PPN (PDG)</t>
        </is>
      </c>
      <c r="AI3565" t="n">
        <v>834</v>
      </c>
      <c r="AJ3565" t="inlineStr">
        <is>
          <t>MORRIS</t>
        </is>
      </c>
      <c r="AK3565" t="n">
        <v>21</v>
      </c>
      <c r="AL3565" t="inlineStr">
        <is>
          <t>Miss Glam Damar</t>
        </is>
      </c>
      <c r="AM3565" t="n">
        <v>3</v>
      </c>
      <c r="AN3565" t="n">
        <v>350000</v>
      </c>
      <c r="AO3565" t="n">
        <v>0</v>
      </c>
      <c r="AP3565" t="inlineStr"/>
      <c r="AQ3565" t="inlineStr"/>
    </row>
    <row r="3566">
      <c r="A3566" t="inlineStr">
        <is>
          <t>MORRIS</t>
        </is>
      </c>
      <c r="B3566" s="2">
        <f>"8997016223696"</f>
        <v/>
      </c>
      <c r="C3566" t="inlineStr">
        <is>
          <t>MORRIS Eau De Parfum Black Edition Amber 100ml</t>
        </is>
      </c>
      <c r="D3566" t="inlineStr">
        <is>
          <t>Miss Glam Damar</t>
        </is>
      </c>
      <c r="E3566" t="n">
        <v>3</v>
      </c>
      <c r="F3566" t="n">
        <v>0.1547</v>
      </c>
      <c r="G3566" t="n">
        <v>1.82</v>
      </c>
      <c r="H3566" t="n">
        <v>1</v>
      </c>
      <c r="I3566" t="n">
        <v>3</v>
      </c>
      <c r="J3566" t="n">
        <v>3</v>
      </c>
      <c r="K3566" t="n">
        <v>0</v>
      </c>
      <c r="L3566" t="n">
        <v>32360</v>
      </c>
      <c r="M3566" t="n">
        <v>37500</v>
      </c>
      <c r="N3566" t="n">
        <v>91</v>
      </c>
      <c r="O3566" t="n">
        <v>0.91</v>
      </c>
      <c r="P3566" t="n">
        <v>1</v>
      </c>
      <c r="Q3566" t="n">
        <v>0.07000000000000001</v>
      </c>
      <c r="R3566" t="n">
        <v>2</v>
      </c>
      <c r="S3566" t="n">
        <v>5801.25</v>
      </c>
      <c r="T3566" t="n">
        <v>6</v>
      </c>
      <c r="U3566" t="n">
        <v>7</v>
      </c>
      <c r="V3566" t="n">
        <v>30</v>
      </c>
      <c r="W3566" t="n">
        <v>5</v>
      </c>
      <c r="X3566" t="n">
        <v>19.3923723335488</v>
      </c>
      <c r="Y3566" t="n">
        <v>1</v>
      </c>
      <c r="Z3566" t="n">
        <v>2</v>
      </c>
      <c r="AA3566" t="n">
        <v>0</v>
      </c>
      <c r="AB3566" t="n">
        <v>2</v>
      </c>
      <c r="AC3566" t="n">
        <v>3</v>
      </c>
      <c r="AD3566" t="n">
        <v>0</v>
      </c>
      <c r="AE3566" t="n">
        <v>97080</v>
      </c>
      <c r="AF3566" t="n">
        <v>9703</v>
      </c>
      <c r="AG3566" t="n">
        <v>2308</v>
      </c>
      <c r="AH3566" t="inlineStr">
        <is>
          <t>PT. CITRA MUTIARA LESTARINDO - PPN (PDG)</t>
        </is>
      </c>
      <c r="AI3566" t="n">
        <v>834</v>
      </c>
      <c r="AJ3566" t="inlineStr">
        <is>
          <t>MORRIS</t>
        </is>
      </c>
      <c r="AK3566" t="n">
        <v>21</v>
      </c>
      <c r="AL3566" t="inlineStr">
        <is>
          <t>Miss Glam Damar</t>
        </is>
      </c>
      <c r="AM3566" t="n">
        <v>3</v>
      </c>
      <c r="AN3566" t="n">
        <v>350000</v>
      </c>
      <c r="AO3566" t="n">
        <v>0</v>
      </c>
      <c r="AP3566" t="inlineStr"/>
      <c r="AQ3566" t="inlineStr"/>
    </row>
    <row r="3567">
      <c r="A3567" t="inlineStr">
        <is>
          <t>MORRIS</t>
        </is>
      </c>
      <c r="B3567" s="2">
        <f>"8997016223702"</f>
        <v/>
      </c>
      <c r="C3567" t="inlineStr">
        <is>
          <t>MORRIS Eau De Parfum Black Edition Aquatic 100ml</t>
        </is>
      </c>
      <c r="D3567" t="inlineStr">
        <is>
          <t>Miss Glam Damar</t>
        </is>
      </c>
      <c r="E3567" t="n">
        <v>1</v>
      </c>
      <c r="F3567" t="n">
        <v>0.1092</v>
      </c>
      <c r="G3567" t="n">
        <v>1.82</v>
      </c>
      <c r="H3567" t="n">
        <v>1</v>
      </c>
      <c r="I3567" t="n">
        <v>3</v>
      </c>
      <c r="J3567" t="n">
        <v>3</v>
      </c>
      <c r="K3567" t="n">
        <v>0</v>
      </c>
      <c r="L3567" t="n">
        <v>32360</v>
      </c>
      <c r="M3567" t="n">
        <v>37500</v>
      </c>
      <c r="N3567" t="n">
        <v>91</v>
      </c>
      <c r="O3567" t="n">
        <v>0.91</v>
      </c>
      <c r="P3567" t="n">
        <v>1</v>
      </c>
      <c r="Q3567" t="n">
        <v>0.05</v>
      </c>
      <c r="R3567" t="n">
        <v>1</v>
      </c>
      <c r="S3567" t="n">
        <v>4095</v>
      </c>
      <c r="T3567" t="n">
        <v>6</v>
      </c>
      <c r="U3567" t="n">
        <v>7</v>
      </c>
      <c r="V3567" t="n">
        <v>30</v>
      </c>
      <c r="W3567" t="n">
        <v>4</v>
      </c>
      <c r="X3567" t="n">
        <v>9.157509157509157</v>
      </c>
      <c r="Y3567" t="n">
        <v>1</v>
      </c>
      <c r="Z3567" t="n">
        <v>3</v>
      </c>
      <c r="AA3567" t="n">
        <v>0</v>
      </c>
      <c r="AB3567" t="n">
        <v>3</v>
      </c>
      <c r="AC3567" t="n">
        <v>3</v>
      </c>
      <c r="AD3567" t="n">
        <v>0</v>
      </c>
      <c r="AE3567" t="n">
        <v>97080</v>
      </c>
      <c r="AF3567" t="n">
        <v>9703</v>
      </c>
      <c r="AG3567" t="n">
        <v>2308</v>
      </c>
      <c r="AH3567" t="inlineStr">
        <is>
          <t>PT. CITRA MUTIARA LESTARINDO - PPN (PDG)</t>
        </is>
      </c>
      <c r="AI3567" t="n">
        <v>834</v>
      </c>
      <c r="AJ3567" t="inlineStr">
        <is>
          <t>MORRIS</t>
        </is>
      </c>
      <c r="AK3567" t="n">
        <v>21</v>
      </c>
      <c r="AL3567" t="inlineStr">
        <is>
          <t>Miss Glam Damar</t>
        </is>
      </c>
      <c r="AM3567" t="n">
        <v>3</v>
      </c>
      <c r="AN3567" t="n">
        <v>350000</v>
      </c>
      <c r="AO3567" t="n">
        <v>0</v>
      </c>
      <c r="AP3567" t="inlineStr"/>
      <c r="AQ3567" t="inlineStr"/>
    </row>
    <row r="3568">
      <c r="A3568" t="inlineStr">
        <is>
          <t>MORRIS</t>
        </is>
      </c>
      <c r="B3568" s="2">
        <f>"8997016223863"</f>
        <v/>
      </c>
      <c r="C3568" t="inlineStr">
        <is>
          <t>MORRIS Eau De Parfum Black Edition Aromatic 100 ml</t>
        </is>
      </c>
      <c r="D3568" t="inlineStr">
        <is>
          <t>Miss Glam Damar</t>
        </is>
      </c>
      <c r="E3568" t="n">
        <v>5</v>
      </c>
      <c r="F3568" t="n">
        <v>0.09100000000000001</v>
      </c>
      <c r="G3568" t="n">
        <v>0.91</v>
      </c>
      <c r="H3568" t="n">
        <v>1</v>
      </c>
      <c r="I3568" t="n">
        <v>3</v>
      </c>
      <c r="J3568" t="n">
        <v>3</v>
      </c>
      <c r="K3568" t="n">
        <v>0</v>
      </c>
      <c r="L3568" t="n">
        <v>32360</v>
      </c>
      <c r="M3568" t="n">
        <v>37500</v>
      </c>
      <c r="N3568" t="n">
        <v>91</v>
      </c>
      <c r="O3568" t="n">
        <v>0.91</v>
      </c>
      <c r="P3568" t="n">
        <v>1</v>
      </c>
      <c r="Q3568" t="n">
        <v>0.1</v>
      </c>
      <c r="R3568" t="n">
        <v>1</v>
      </c>
      <c r="S3568" t="n">
        <v>3412.5</v>
      </c>
      <c r="T3568" t="n">
        <v>3</v>
      </c>
      <c r="U3568" t="n">
        <v>4</v>
      </c>
      <c r="V3568" t="n">
        <v>30</v>
      </c>
      <c r="W3568" t="n">
        <v>3</v>
      </c>
      <c r="X3568" t="n">
        <v>54.94505494505494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9703</v>
      </c>
      <c r="AG3568" t="n">
        <v>2308</v>
      </c>
      <c r="AH3568" t="inlineStr">
        <is>
          <t>PT. CITRA MUTIARA LESTARINDO - PPN (PDG)</t>
        </is>
      </c>
      <c r="AI3568" t="n">
        <v>834</v>
      </c>
      <c r="AJ3568" t="inlineStr">
        <is>
          <t>MORRIS</t>
        </is>
      </c>
      <c r="AK3568" t="n">
        <v>21</v>
      </c>
      <c r="AL3568" t="inlineStr">
        <is>
          <t>Miss Glam Damar</t>
        </is>
      </c>
      <c r="AM3568" t="n">
        <v>3</v>
      </c>
      <c r="AN3568" t="n">
        <v>350000</v>
      </c>
      <c r="AO3568" t="n">
        <v>0</v>
      </c>
      <c r="AP3568" t="inlineStr"/>
      <c r="AQ3568" t="inlineStr"/>
    </row>
    <row r="3569">
      <c r="A3569" t="inlineStr">
        <is>
          <t>MORRIS</t>
        </is>
      </c>
      <c r="B3569" s="2">
        <f>"8997016223856"</f>
        <v/>
      </c>
      <c r="C3569" t="inlineStr">
        <is>
          <t>MORRIS Eau De Parfum Black Edition Musky 100ml</t>
        </is>
      </c>
      <c r="D3569" t="inlineStr">
        <is>
          <t>Miss Glam Damar</t>
        </is>
      </c>
      <c r="E3569" t="n">
        <v>7</v>
      </c>
      <c r="F3569" t="n">
        <v>0.1729</v>
      </c>
      <c r="G3569" t="n">
        <v>1.82</v>
      </c>
      <c r="H3569" t="n">
        <v>1</v>
      </c>
      <c r="I3569" t="n">
        <v>3</v>
      </c>
      <c r="J3569" t="n">
        <v>3</v>
      </c>
      <c r="K3569" t="n">
        <v>0</v>
      </c>
      <c r="L3569" t="n">
        <v>32360</v>
      </c>
      <c r="M3569" t="n">
        <v>37500</v>
      </c>
      <c r="N3569" t="n">
        <v>91</v>
      </c>
      <c r="O3569" t="n">
        <v>0.91</v>
      </c>
      <c r="P3569" t="n">
        <v>1</v>
      </c>
      <c r="Q3569" t="n">
        <v>0.12</v>
      </c>
      <c r="R3569" t="n">
        <v>1</v>
      </c>
      <c r="S3569" t="n">
        <v>6483.75</v>
      </c>
      <c r="T3569" t="n">
        <v>6</v>
      </c>
      <c r="U3569" t="n">
        <v>7</v>
      </c>
      <c r="V3569" t="n">
        <v>30</v>
      </c>
      <c r="W3569" t="n">
        <v>6</v>
      </c>
      <c r="X3569" t="n">
        <v>40.48582995951417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9703</v>
      </c>
      <c r="AG3569" t="n">
        <v>2308</v>
      </c>
      <c r="AH3569" t="inlineStr">
        <is>
          <t>PT. CITRA MUTIARA LESTARINDO - PPN (PDG)</t>
        </is>
      </c>
      <c r="AI3569" t="n">
        <v>834</v>
      </c>
      <c r="AJ3569" t="inlineStr">
        <is>
          <t>MORRIS</t>
        </is>
      </c>
      <c r="AK3569" t="n">
        <v>21</v>
      </c>
      <c r="AL3569" t="inlineStr">
        <is>
          <t>Miss Glam Damar</t>
        </is>
      </c>
      <c r="AM3569" t="n">
        <v>3</v>
      </c>
      <c r="AN3569" t="n">
        <v>350000</v>
      </c>
      <c r="AO3569" t="n">
        <v>0</v>
      </c>
      <c r="AP3569" t="inlineStr"/>
      <c r="AQ3569" t="inlineStr"/>
    </row>
    <row r="3570">
      <c r="A3570" t="inlineStr">
        <is>
          <t>MORRIS</t>
        </is>
      </c>
      <c r="B3570" s="2">
        <f>"8997016223719"</f>
        <v/>
      </c>
      <c r="C3570" t="inlineStr">
        <is>
          <t>MORRIS Eau De Parfum Black Edition Woody 100ml</t>
        </is>
      </c>
      <c r="D3570" t="inlineStr">
        <is>
          <t>Miss Glam Damar</t>
        </is>
      </c>
      <c r="E3570" t="n">
        <v>8</v>
      </c>
      <c r="F3570" t="n">
        <v>0.1729</v>
      </c>
      <c r="G3570" t="n">
        <v>1.82</v>
      </c>
      <c r="H3570" t="n">
        <v>1</v>
      </c>
      <c r="I3570" t="n">
        <v>3</v>
      </c>
      <c r="J3570" t="n">
        <v>3</v>
      </c>
      <c r="K3570" t="n">
        <v>0</v>
      </c>
      <c r="L3570" t="n">
        <v>32376</v>
      </c>
      <c r="M3570" t="n">
        <v>37500</v>
      </c>
      <c r="N3570" t="n">
        <v>91</v>
      </c>
      <c r="O3570" t="n">
        <v>0.91</v>
      </c>
      <c r="P3570" t="n">
        <v>1</v>
      </c>
      <c r="Q3570" t="n">
        <v>0.1</v>
      </c>
      <c r="R3570" t="n">
        <v>1</v>
      </c>
      <c r="S3570" t="n">
        <v>6483.75</v>
      </c>
      <c r="T3570" t="n">
        <v>6</v>
      </c>
      <c r="U3570" t="n">
        <v>7</v>
      </c>
      <c r="V3570" t="n">
        <v>30</v>
      </c>
      <c r="W3570" t="n">
        <v>6</v>
      </c>
      <c r="X3570" t="n">
        <v>46.26951995373048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9703</v>
      </c>
      <c r="AG3570" t="n">
        <v>2308</v>
      </c>
      <c r="AH3570" t="inlineStr">
        <is>
          <t>PT. CITRA MUTIARA LESTARINDO - PPN (PDG)</t>
        </is>
      </c>
      <c r="AI3570" t="n">
        <v>834</v>
      </c>
      <c r="AJ3570" t="inlineStr">
        <is>
          <t>MORRIS</t>
        </is>
      </c>
      <c r="AK3570" t="n">
        <v>21</v>
      </c>
      <c r="AL3570" t="inlineStr">
        <is>
          <t>Miss Glam Damar</t>
        </is>
      </c>
      <c r="AM3570" t="n">
        <v>3</v>
      </c>
      <c r="AN3570" t="n">
        <v>350000</v>
      </c>
      <c r="AO3570" t="n">
        <v>0</v>
      </c>
      <c r="AP3570" t="inlineStr"/>
      <c r="AQ3570" t="inlineStr"/>
    </row>
    <row r="3571">
      <c r="A3571" t="inlineStr">
        <is>
          <t>MORRIS</t>
        </is>
      </c>
      <c r="B3571" s="2">
        <f>"8997016223290"</f>
        <v/>
      </c>
      <c r="C3571" t="inlineStr">
        <is>
          <t>MORRIS Eau De Parfum Cozy Life 110ml</t>
        </is>
      </c>
      <c r="D3571" t="inlineStr">
        <is>
          <t>Miss Glam Damar</t>
        </is>
      </c>
      <c r="E3571" t="n">
        <v>1</v>
      </c>
      <c r="F3571" t="n">
        <v>0.04550000000000001</v>
      </c>
      <c r="G3571" t="n">
        <v>0.91</v>
      </c>
      <c r="H3571" t="n">
        <v>1</v>
      </c>
      <c r="I3571" t="n">
        <v>3</v>
      </c>
      <c r="J3571" t="n">
        <v>3</v>
      </c>
      <c r="K3571" t="n">
        <v>0</v>
      </c>
      <c r="L3571" t="n">
        <v>28544</v>
      </c>
      <c r="M3571" t="n">
        <v>38500</v>
      </c>
      <c r="N3571" t="n">
        <v>91</v>
      </c>
      <c r="O3571" t="n">
        <v>0.91</v>
      </c>
      <c r="P3571" t="n">
        <v>1</v>
      </c>
      <c r="Q3571" t="n">
        <v>0.05</v>
      </c>
      <c r="R3571" t="n">
        <v>1</v>
      </c>
      <c r="S3571" t="n">
        <v>1751.75</v>
      </c>
      <c r="T3571" t="n">
        <v>3</v>
      </c>
      <c r="U3571" t="n">
        <v>4</v>
      </c>
      <c r="V3571" t="n">
        <v>30</v>
      </c>
      <c r="W3571" t="n">
        <v>2</v>
      </c>
      <c r="X3571" t="n">
        <v>21.97802197802197</v>
      </c>
      <c r="Y3571" t="n">
        <v>1</v>
      </c>
      <c r="Z3571" t="n">
        <v>1</v>
      </c>
      <c r="AA3571" t="n">
        <v>0</v>
      </c>
      <c r="AB3571" t="n">
        <v>1</v>
      </c>
      <c r="AC3571" t="n">
        <v>3</v>
      </c>
      <c r="AD3571" t="n">
        <v>0</v>
      </c>
      <c r="AE3571" t="n">
        <v>85632</v>
      </c>
      <c r="AF3571" t="n">
        <v>9703</v>
      </c>
      <c r="AG3571" t="n">
        <v>2308</v>
      </c>
      <c r="AH3571" t="inlineStr">
        <is>
          <t>PT. CITRA MUTIARA LESTARINDO - PPN (PDG)</t>
        </is>
      </c>
      <c r="AI3571" t="n">
        <v>834</v>
      </c>
      <c r="AJ3571" t="inlineStr">
        <is>
          <t>MORRIS</t>
        </is>
      </c>
      <c r="AK3571" t="n">
        <v>21</v>
      </c>
      <c r="AL3571" t="inlineStr">
        <is>
          <t>Miss Glam Damar</t>
        </is>
      </c>
      <c r="AM3571" t="n">
        <v>3</v>
      </c>
      <c r="AN3571" t="n">
        <v>350000</v>
      </c>
      <c r="AO3571" t="n">
        <v>0</v>
      </c>
      <c r="AP3571" t="inlineStr"/>
      <c r="AQ3571" t="inlineStr"/>
    </row>
    <row r="3572">
      <c r="A3572" t="inlineStr">
        <is>
          <t>MORRIS</t>
        </is>
      </c>
      <c r="B3572" s="2">
        <f>"8997016223887"</f>
        <v/>
      </c>
      <c r="C3572" t="inlineStr">
        <is>
          <t>MORRIS Eau De Parfum Eternal Glacier Frosted Edition 100ml</t>
        </is>
      </c>
      <c r="D3572" t="inlineStr">
        <is>
          <t>Miss Glam Damar</t>
        </is>
      </c>
      <c r="E3572" t="n">
        <v>5</v>
      </c>
      <c r="F3572" t="n">
        <v>0.1</v>
      </c>
      <c r="G3572" t="n">
        <v>2</v>
      </c>
      <c r="H3572" t="n">
        <v>1</v>
      </c>
      <c r="I3572" t="n">
        <v>3</v>
      </c>
      <c r="J3572" t="n">
        <v>3</v>
      </c>
      <c r="K3572" t="n">
        <v>0</v>
      </c>
      <c r="L3572" t="n">
        <v>32360</v>
      </c>
      <c r="M3572" t="n">
        <v>37500</v>
      </c>
      <c r="N3572" t="n">
        <v>91</v>
      </c>
      <c r="O3572" t="n">
        <v>0.91</v>
      </c>
      <c r="P3572" t="n">
        <v>0</v>
      </c>
      <c r="Q3572" t="n">
        <v>0.1</v>
      </c>
      <c r="R3572" t="n">
        <v>2</v>
      </c>
      <c r="S3572" t="n">
        <v>3750</v>
      </c>
      <c r="T3572" t="n">
        <v>6</v>
      </c>
      <c r="U3572" t="n">
        <v>7</v>
      </c>
      <c r="V3572" t="n">
        <v>30</v>
      </c>
      <c r="W3572" t="n">
        <v>3</v>
      </c>
      <c r="X3572" t="n">
        <v>50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9703</v>
      </c>
      <c r="AG3572" t="n">
        <v>2308</v>
      </c>
      <c r="AH3572" t="inlineStr">
        <is>
          <t>PT. CITRA MUTIARA LESTARINDO - PPN (PDG)</t>
        </is>
      </c>
      <c r="AI3572" t="n">
        <v>834</v>
      </c>
      <c r="AJ3572" t="inlineStr">
        <is>
          <t>MORRIS</t>
        </is>
      </c>
      <c r="AK3572" t="n">
        <v>21</v>
      </c>
      <c r="AL3572" t="inlineStr">
        <is>
          <t>Miss Glam Damar</t>
        </is>
      </c>
      <c r="AM3572" t="n">
        <v>3</v>
      </c>
      <c r="AN3572" t="n">
        <v>350000</v>
      </c>
      <c r="AO3572" t="n">
        <v>0</v>
      </c>
      <c r="AP3572" t="inlineStr"/>
      <c r="AQ3572" t="inlineStr"/>
    </row>
    <row r="3573">
      <c r="A3573" t="inlineStr">
        <is>
          <t>MORRIS</t>
        </is>
      </c>
      <c r="B3573" s="2">
        <f>"8997016223368"</f>
        <v/>
      </c>
      <c r="C3573" t="inlineStr">
        <is>
          <t>MORRIS Eau De Parfum Famous Glam Edition 100ml</t>
        </is>
      </c>
      <c r="D3573" t="inlineStr">
        <is>
          <t>Miss Glam Damar</t>
        </is>
      </c>
      <c r="E3573" t="n">
        <v>10</v>
      </c>
      <c r="F3573" t="n">
        <v>0.1092</v>
      </c>
      <c r="G3573" t="n">
        <v>1.82</v>
      </c>
      <c r="H3573" t="n">
        <v>1</v>
      </c>
      <c r="I3573" t="n">
        <v>3</v>
      </c>
      <c r="J3573" t="n">
        <v>3</v>
      </c>
      <c r="K3573" t="n">
        <v>0</v>
      </c>
      <c r="L3573" t="n">
        <v>30448</v>
      </c>
      <c r="M3573" t="n">
        <v>35500</v>
      </c>
      <c r="N3573" t="n">
        <v>91</v>
      </c>
      <c r="O3573" t="n">
        <v>0.91</v>
      </c>
      <c r="P3573" t="n">
        <v>1</v>
      </c>
      <c r="Q3573" t="n">
        <v>0.15</v>
      </c>
      <c r="R3573" t="n">
        <v>3</v>
      </c>
      <c r="S3573" t="n">
        <v>3876.6</v>
      </c>
      <c r="T3573" t="n">
        <v>6</v>
      </c>
      <c r="U3573" t="n">
        <v>7</v>
      </c>
      <c r="V3573" t="n">
        <v>30</v>
      </c>
      <c r="W3573" t="n">
        <v>4</v>
      </c>
      <c r="X3573" t="n">
        <v>91.57509157509158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9703</v>
      </c>
      <c r="AG3573" t="n">
        <v>2308</v>
      </c>
      <c r="AH3573" t="inlineStr">
        <is>
          <t>PT. CITRA MUTIARA LESTARINDO - PPN (PDG)</t>
        </is>
      </c>
      <c r="AI3573" t="n">
        <v>834</v>
      </c>
      <c r="AJ3573" t="inlineStr">
        <is>
          <t>MORRIS</t>
        </is>
      </c>
      <c r="AK3573" t="n">
        <v>21</v>
      </c>
      <c r="AL3573" t="inlineStr">
        <is>
          <t>Miss Glam Damar</t>
        </is>
      </c>
      <c r="AM3573" t="n">
        <v>3</v>
      </c>
      <c r="AN3573" t="n">
        <v>350000</v>
      </c>
      <c r="AO3573" t="n">
        <v>0</v>
      </c>
      <c r="AP3573" t="inlineStr"/>
      <c r="AQ3573" t="inlineStr"/>
    </row>
    <row r="3574">
      <c r="A3574" t="inlineStr">
        <is>
          <t>MORRIS</t>
        </is>
      </c>
      <c r="B3574" s="2">
        <f>"8997016223337"</f>
        <v/>
      </c>
      <c r="C3574" t="inlineStr">
        <is>
          <t>MORRIS Eau De Parfum Feel Free 110ml</t>
        </is>
      </c>
      <c r="D3574" t="inlineStr">
        <is>
          <t>Miss Glam Damar</t>
        </is>
      </c>
      <c r="E3574" t="n">
        <v>11</v>
      </c>
      <c r="F3574" t="n">
        <v>0.04550000000000001</v>
      </c>
      <c r="G3574" t="n">
        <v>0.91</v>
      </c>
      <c r="H3574" t="n">
        <v>1</v>
      </c>
      <c r="I3574" t="n">
        <v>3</v>
      </c>
      <c r="J3574" t="n">
        <v>3</v>
      </c>
      <c r="K3574" t="n">
        <v>0</v>
      </c>
      <c r="L3574" t="n">
        <v>28544</v>
      </c>
      <c r="M3574" t="n">
        <v>38500</v>
      </c>
      <c r="N3574" t="n">
        <v>91</v>
      </c>
      <c r="O3574" t="n">
        <v>0.91</v>
      </c>
      <c r="P3574" t="n">
        <v>1</v>
      </c>
      <c r="Q3574" t="n">
        <v>0.2</v>
      </c>
      <c r="R3574" t="n">
        <v>3</v>
      </c>
      <c r="S3574" t="n">
        <v>1751.75</v>
      </c>
      <c r="T3574" t="n">
        <v>3</v>
      </c>
      <c r="U3574" t="n">
        <v>4</v>
      </c>
      <c r="V3574" t="n">
        <v>30</v>
      </c>
      <c r="W3574" t="n">
        <v>2</v>
      </c>
      <c r="X3574" t="n">
        <v>241.7582417582417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9703</v>
      </c>
      <c r="AG3574" t="n">
        <v>2308</v>
      </c>
      <c r="AH3574" t="inlineStr">
        <is>
          <t>PT. CITRA MUTIARA LESTARINDO - PPN (PDG)</t>
        </is>
      </c>
      <c r="AI3574" t="n">
        <v>834</v>
      </c>
      <c r="AJ3574" t="inlineStr">
        <is>
          <t>MORRIS</t>
        </is>
      </c>
      <c r="AK3574" t="n">
        <v>21</v>
      </c>
      <c r="AL3574" t="inlineStr">
        <is>
          <t>Miss Glam Damar</t>
        </is>
      </c>
      <c r="AM3574" t="n">
        <v>3</v>
      </c>
      <c r="AN3574" t="n">
        <v>350000</v>
      </c>
      <c r="AO3574" t="n">
        <v>0</v>
      </c>
      <c r="AP3574" t="inlineStr"/>
      <c r="AQ3574" t="inlineStr"/>
    </row>
    <row r="3575">
      <c r="A3575" t="inlineStr">
        <is>
          <t>MORRIS</t>
        </is>
      </c>
      <c r="B3575" s="2">
        <f>"8997016222712"</f>
        <v/>
      </c>
      <c r="C3575" t="inlineStr">
        <is>
          <t>MORRIS Eau De Parfum Fruity 50ml</t>
        </is>
      </c>
      <c r="D3575" t="inlineStr">
        <is>
          <t>Miss Glam Damar</t>
        </is>
      </c>
      <c r="E3575" t="n">
        <v>3</v>
      </c>
      <c r="F3575" t="n">
        <v>0.15</v>
      </c>
      <c r="G3575" t="n">
        <v>2</v>
      </c>
      <c r="H3575" t="n">
        <v>1</v>
      </c>
      <c r="I3575" t="n">
        <v>3</v>
      </c>
      <c r="J3575" t="n">
        <v>3</v>
      </c>
      <c r="K3575" t="n">
        <v>0</v>
      </c>
      <c r="L3575" t="n">
        <v>19800</v>
      </c>
      <c r="M3575" t="n">
        <v>40000</v>
      </c>
      <c r="N3575" t="n">
        <v>91</v>
      </c>
      <c r="O3575" t="n">
        <v>0.91</v>
      </c>
      <c r="P3575" t="n">
        <v>0</v>
      </c>
      <c r="Q3575" t="n">
        <v>0.15</v>
      </c>
      <c r="R3575" t="n">
        <v>2</v>
      </c>
      <c r="S3575" t="n">
        <v>6000</v>
      </c>
      <c r="T3575" t="n">
        <v>6</v>
      </c>
      <c r="U3575" t="n">
        <v>7</v>
      </c>
      <c r="V3575" t="n">
        <v>30</v>
      </c>
      <c r="W3575" t="n">
        <v>5</v>
      </c>
      <c r="X3575" t="n">
        <v>20</v>
      </c>
      <c r="Y3575" t="n">
        <v>1</v>
      </c>
      <c r="Z3575" t="n">
        <v>2</v>
      </c>
      <c r="AA3575" t="n">
        <v>0</v>
      </c>
      <c r="AB3575" t="n">
        <v>2</v>
      </c>
      <c r="AC3575" t="n">
        <v>3</v>
      </c>
      <c r="AD3575" t="n">
        <v>0</v>
      </c>
      <c r="AE3575" t="n">
        <v>59400</v>
      </c>
      <c r="AF3575" t="n">
        <v>9703</v>
      </c>
      <c r="AG3575" t="n">
        <v>2308</v>
      </c>
      <c r="AH3575" t="inlineStr">
        <is>
          <t>PT. CITRA MUTIARA LESTARINDO - PPN (PDG)</t>
        </is>
      </c>
      <c r="AI3575" t="n">
        <v>834</v>
      </c>
      <c r="AJ3575" t="inlineStr">
        <is>
          <t>MORRIS</t>
        </is>
      </c>
      <c r="AK3575" t="n">
        <v>21</v>
      </c>
      <c r="AL3575" t="inlineStr">
        <is>
          <t>Miss Glam Damar</t>
        </is>
      </c>
      <c r="AM3575" t="n">
        <v>3</v>
      </c>
      <c r="AN3575" t="n">
        <v>350000</v>
      </c>
      <c r="AO3575" t="n">
        <v>0</v>
      </c>
      <c r="AP3575" t="inlineStr"/>
      <c r="AQ3575" t="inlineStr"/>
    </row>
    <row r="3576">
      <c r="A3576" t="inlineStr">
        <is>
          <t>MORRIS</t>
        </is>
      </c>
      <c r="B3576" s="2">
        <f>"8997016223399"</f>
        <v/>
      </c>
      <c r="C3576" t="inlineStr">
        <is>
          <t>MORRIS Eau De Parfum Gorgeous Glam Edition 100ml</t>
        </is>
      </c>
      <c r="D3576" t="inlineStr">
        <is>
          <t>Miss Glam Damar</t>
        </is>
      </c>
      <c r="E3576" t="n">
        <v>11</v>
      </c>
      <c r="F3576" t="n">
        <v>0.182</v>
      </c>
      <c r="G3576" t="n">
        <v>1.82</v>
      </c>
      <c r="H3576" t="n">
        <v>1</v>
      </c>
      <c r="I3576" t="n">
        <v>3</v>
      </c>
      <c r="J3576" t="n">
        <v>3</v>
      </c>
      <c r="K3576" t="n">
        <v>0</v>
      </c>
      <c r="L3576" t="n">
        <v>30448</v>
      </c>
      <c r="M3576" t="n">
        <v>35500</v>
      </c>
      <c r="N3576" t="n">
        <v>91</v>
      </c>
      <c r="O3576" t="n">
        <v>0.91</v>
      </c>
      <c r="P3576" t="n">
        <v>1</v>
      </c>
      <c r="Q3576" t="n">
        <v>0.32</v>
      </c>
      <c r="R3576" t="n">
        <v>2</v>
      </c>
      <c r="S3576" t="n">
        <v>6461.000000000001</v>
      </c>
      <c r="T3576" t="n">
        <v>6</v>
      </c>
      <c r="U3576" t="n">
        <v>7</v>
      </c>
      <c r="V3576" t="n">
        <v>30</v>
      </c>
      <c r="W3576" t="n">
        <v>6</v>
      </c>
      <c r="X3576" t="n">
        <v>60.43956043956043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9703</v>
      </c>
      <c r="AG3576" t="n">
        <v>2308</v>
      </c>
      <c r="AH3576" t="inlineStr">
        <is>
          <t>PT. CITRA MUTIARA LESTARINDO - PPN (PDG)</t>
        </is>
      </c>
      <c r="AI3576" t="n">
        <v>834</v>
      </c>
      <c r="AJ3576" t="inlineStr">
        <is>
          <t>MORRIS</t>
        </is>
      </c>
      <c r="AK3576" t="n">
        <v>21</v>
      </c>
      <c r="AL3576" t="inlineStr">
        <is>
          <t>Miss Glam Damar</t>
        </is>
      </c>
      <c r="AM3576" t="n">
        <v>3</v>
      </c>
      <c r="AN3576" t="n">
        <v>350000</v>
      </c>
      <c r="AO3576" t="n">
        <v>0</v>
      </c>
      <c r="AP3576" t="inlineStr"/>
      <c r="AQ3576" t="inlineStr"/>
    </row>
    <row r="3577">
      <c r="A3577" t="inlineStr">
        <is>
          <t>MORRIS</t>
        </is>
      </c>
      <c r="B3577" s="2">
        <f>"8997016222668"</f>
        <v/>
      </c>
      <c r="C3577" t="inlineStr">
        <is>
          <t>MORRIS Eau De Parfum Hijab Edition Safa 110ml</t>
        </is>
      </c>
      <c r="D3577" t="inlineStr">
        <is>
          <t>Miss Glam Damar</t>
        </is>
      </c>
      <c r="E3577" t="n">
        <v>4</v>
      </c>
      <c r="F3577" t="n">
        <v>0.1729</v>
      </c>
      <c r="G3577" t="n">
        <v>1.82</v>
      </c>
      <c r="H3577" t="n">
        <v>1</v>
      </c>
      <c r="I3577" t="n">
        <v>3</v>
      </c>
      <c r="J3577" t="n">
        <v>3</v>
      </c>
      <c r="K3577" t="n">
        <v>0</v>
      </c>
      <c r="L3577" t="n">
        <v>28544</v>
      </c>
      <c r="M3577" t="n">
        <v>38500</v>
      </c>
      <c r="N3577" t="n">
        <v>91</v>
      </c>
      <c r="O3577" t="n">
        <v>0.91</v>
      </c>
      <c r="P3577" t="n">
        <v>1</v>
      </c>
      <c r="Q3577" t="n">
        <v>0.12</v>
      </c>
      <c r="R3577" t="n">
        <v>1</v>
      </c>
      <c r="S3577" t="n">
        <v>6656.65</v>
      </c>
      <c r="T3577" t="n">
        <v>6</v>
      </c>
      <c r="U3577" t="n">
        <v>7</v>
      </c>
      <c r="V3577" t="n">
        <v>30</v>
      </c>
      <c r="W3577" t="n">
        <v>6</v>
      </c>
      <c r="X3577" t="n">
        <v>23.13475997686524</v>
      </c>
      <c r="Y3577" t="n">
        <v>1</v>
      </c>
      <c r="Z3577" t="n">
        <v>2</v>
      </c>
      <c r="AA3577" t="n">
        <v>0</v>
      </c>
      <c r="AB3577" t="n">
        <v>2</v>
      </c>
      <c r="AC3577" t="n">
        <v>3</v>
      </c>
      <c r="AD3577" t="n">
        <v>0</v>
      </c>
      <c r="AE3577" t="n">
        <v>85632</v>
      </c>
      <c r="AF3577" t="n">
        <v>9703</v>
      </c>
      <c r="AG3577" t="n">
        <v>2308</v>
      </c>
      <c r="AH3577" t="inlineStr">
        <is>
          <t>PT. CITRA MUTIARA LESTARINDO - PPN (PDG)</t>
        </is>
      </c>
      <c r="AI3577" t="n">
        <v>834</v>
      </c>
      <c r="AJ3577" t="inlineStr">
        <is>
          <t>MORRIS</t>
        </is>
      </c>
      <c r="AK3577" t="n">
        <v>21</v>
      </c>
      <c r="AL3577" t="inlineStr">
        <is>
          <t>Miss Glam Damar</t>
        </is>
      </c>
      <c r="AM3577" t="n">
        <v>3</v>
      </c>
      <c r="AN3577" t="n">
        <v>350000</v>
      </c>
      <c r="AO3577" t="n">
        <v>0</v>
      </c>
      <c r="AP3577" t="inlineStr"/>
      <c r="AQ3577" t="inlineStr"/>
    </row>
    <row r="3578">
      <c r="A3578" t="inlineStr">
        <is>
          <t>MORRIS</t>
        </is>
      </c>
      <c r="B3578" s="2">
        <f>"8997016223870"</f>
        <v/>
      </c>
      <c r="C3578" t="inlineStr">
        <is>
          <t>MORRIS Eau De Parfum Love Elixir Frosted Edition 100ml</t>
        </is>
      </c>
      <c r="D3578" t="inlineStr">
        <is>
          <t>Miss Glam Damar</t>
        </is>
      </c>
      <c r="E3578" t="n">
        <v>1</v>
      </c>
      <c r="F3578" t="n">
        <v>0.06370000000000001</v>
      </c>
      <c r="G3578" t="n">
        <v>0.91</v>
      </c>
      <c r="H3578" t="n">
        <v>1</v>
      </c>
      <c r="I3578" t="n">
        <v>3</v>
      </c>
      <c r="J3578" t="n">
        <v>3</v>
      </c>
      <c r="K3578" t="n">
        <v>0</v>
      </c>
      <c r="L3578" t="n">
        <v>32360</v>
      </c>
      <c r="M3578" t="n">
        <v>37500</v>
      </c>
      <c r="N3578" t="n">
        <v>91</v>
      </c>
      <c r="O3578" t="n">
        <v>0.91</v>
      </c>
      <c r="P3578" t="n">
        <v>1</v>
      </c>
      <c r="Q3578" t="n">
        <v>0.19</v>
      </c>
      <c r="R3578" t="n">
        <v>2</v>
      </c>
      <c r="S3578" t="n">
        <v>2388.75</v>
      </c>
      <c r="T3578" t="n">
        <v>3</v>
      </c>
      <c r="U3578" t="n">
        <v>4</v>
      </c>
      <c r="V3578" t="n">
        <v>30</v>
      </c>
      <c r="W3578" t="n">
        <v>2</v>
      </c>
      <c r="X3578" t="n">
        <v>15.69858712715855</v>
      </c>
      <c r="Y3578" t="n">
        <v>1</v>
      </c>
      <c r="Z3578" t="n">
        <v>1</v>
      </c>
      <c r="AA3578" t="n">
        <v>0</v>
      </c>
      <c r="AB3578" t="n">
        <v>1</v>
      </c>
      <c r="AC3578" t="n">
        <v>3</v>
      </c>
      <c r="AD3578" t="n">
        <v>0</v>
      </c>
      <c r="AE3578" t="n">
        <v>97080</v>
      </c>
      <c r="AF3578" t="n">
        <v>9703</v>
      </c>
      <c r="AG3578" t="n">
        <v>2308</v>
      </c>
      <c r="AH3578" t="inlineStr">
        <is>
          <t>PT. CITRA MUTIARA LESTARINDO - PPN (PDG)</t>
        </is>
      </c>
      <c r="AI3578" t="n">
        <v>834</v>
      </c>
      <c r="AJ3578" t="inlineStr">
        <is>
          <t>MORRIS</t>
        </is>
      </c>
      <c r="AK3578" t="n">
        <v>21</v>
      </c>
      <c r="AL3578" t="inlineStr">
        <is>
          <t>Miss Glam Damar</t>
        </is>
      </c>
      <c r="AM3578" t="n">
        <v>3</v>
      </c>
      <c r="AN3578" t="n">
        <v>350000</v>
      </c>
      <c r="AO3578" t="n">
        <v>0</v>
      </c>
      <c r="AP3578" t="inlineStr"/>
      <c r="AQ3578" t="inlineStr"/>
    </row>
    <row r="3579">
      <c r="A3579" t="inlineStr">
        <is>
          <t>MORRIS</t>
        </is>
      </c>
      <c r="B3579" s="2">
        <f>"8997016223375"</f>
        <v/>
      </c>
      <c r="C3579" t="inlineStr">
        <is>
          <t>MORRIS Eau De Parfum Luxury Star Glam Edition 100ml</t>
        </is>
      </c>
      <c r="D3579" t="inlineStr">
        <is>
          <t>Miss Glam Damar</t>
        </is>
      </c>
      <c r="E3579" t="n">
        <v>10</v>
      </c>
      <c r="F3579" t="n">
        <v>0.1274</v>
      </c>
      <c r="G3579" t="n">
        <v>1.82</v>
      </c>
      <c r="H3579" t="n">
        <v>1</v>
      </c>
      <c r="I3579" t="n">
        <v>3</v>
      </c>
      <c r="J3579" t="n">
        <v>3</v>
      </c>
      <c r="K3579" t="n">
        <v>0</v>
      </c>
      <c r="L3579" t="n">
        <v>30448</v>
      </c>
      <c r="M3579" t="n">
        <v>35500</v>
      </c>
      <c r="N3579" t="n">
        <v>91</v>
      </c>
      <c r="O3579" t="n">
        <v>0.91</v>
      </c>
      <c r="P3579" t="n">
        <v>1</v>
      </c>
      <c r="Q3579" t="n">
        <v>0.24</v>
      </c>
      <c r="R3579" t="n">
        <v>2</v>
      </c>
      <c r="S3579" t="n">
        <v>4522.700000000001</v>
      </c>
      <c r="T3579" t="n">
        <v>6</v>
      </c>
      <c r="U3579" t="n">
        <v>7</v>
      </c>
      <c r="V3579" t="n">
        <v>30</v>
      </c>
      <c r="W3579" t="n">
        <v>4</v>
      </c>
      <c r="X3579" t="n">
        <v>78.49293563579278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9703</v>
      </c>
      <c r="AG3579" t="n">
        <v>2308</v>
      </c>
      <c r="AH3579" t="inlineStr">
        <is>
          <t>PT. CITRA MUTIARA LESTARINDO - PPN (PDG)</t>
        </is>
      </c>
      <c r="AI3579" t="n">
        <v>834</v>
      </c>
      <c r="AJ3579" t="inlineStr">
        <is>
          <t>MORRIS</t>
        </is>
      </c>
      <c r="AK3579" t="n">
        <v>21</v>
      </c>
      <c r="AL3579" t="inlineStr">
        <is>
          <t>Miss Glam Damar</t>
        </is>
      </c>
      <c r="AM3579" t="n">
        <v>3</v>
      </c>
      <c r="AN3579" t="n">
        <v>350000</v>
      </c>
      <c r="AO3579" t="n">
        <v>0</v>
      </c>
      <c r="AP3579" t="inlineStr"/>
      <c r="AQ3579" t="inlineStr"/>
    </row>
    <row r="3580">
      <c r="A3580" t="inlineStr">
        <is>
          <t>MORRIS</t>
        </is>
      </c>
      <c r="B3580" s="2">
        <f>"8997016222729"</f>
        <v/>
      </c>
      <c r="C3580" t="inlineStr">
        <is>
          <t>MORRIS Eau De Parfum Marine 50ml</t>
        </is>
      </c>
      <c r="D3580" t="inlineStr">
        <is>
          <t>Miss Glam Damar</t>
        </is>
      </c>
      <c r="E3580" t="n">
        <v>9</v>
      </c>
      <c r="F3580" t="n">
        <v>0.1547</v>
      </c>
      <c r="G3580" t="n">
        <v>2.73</v>
      </c>
      <c r="H3580" t="n">
        <v>1</v>
      </c>
      <c r="I3580" t="n">
        <v>3</v>
      </c>
      <c r="J3580" t="n">
        <v>3</v>
      </c>
      <c r="K3580" t="n">
        <v>0</v>
      </c>
      <c r="L3580" t="n">
        <v>19800</v>
      </c>
      <c r="M3580" t="n">
        <v>30000</v>
      </c>
      <c r="N3580" t="n">
        <v>91</v>
      </c>
      <c r="O3580" t="n">
        <v>0.91</v>
      </c>
      <c r="P3580" t="n">
        <v>1</v>
      </c>
      <c r="Q3580" t="n">
        <v>0.17</v>
      </c>
      <c r="R3580" t="n">
        <v>2</v>
      </c>
      <c r="S3580" t="n">
        <v>4641</v>
      </c>
      <c r="T3580" t="n">
        <v>9</v>
      </c>
      <c r="U3580" t="n">
        <v>10</v>
      </c>
      <c r="V3580" t="n">
        <v>30</v>
      </c>
      <c r="W3580" t="n">
        <v>5</v>
      </c>
      <c r="X3580" t="n">
        <v>58.17711700064641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9703</v>
      </c>
      <c r="AG3580" t="n">
        <v>2308</v>
      </c>
      <c r="AH3580" t="inlineStr">
        <is>
          <t>PT. CITRA MUTIARA LESTARINDO - PPN (PDG)</t>
        </is>
      </c>
      <c r="AI3580" t="n">
        <v>834</v>
      </c>
      <c r="AJ3580" t="inlineStr">
        <is>
          <t>MORRIS</t>
        </is>
      </c>
      <c r="AK3580" t="n">
        <v>21</v>
      </c>
      <c r="AL3580" t="inlineStr">
        <is>
          <t>Miss Glam Damar</t>
        </is>
      </c>
      <c r="AM3580" t="n">
        <v>3</v>
      </c>
      <c r="AN3580" t="n">
        <v>350000</v>
      </c>
      <c r="AO3580" t="n">
        <v>0</v>
      </c>
      <c r="AP3580" t="inlineStr"/>
      <c r="AQ3580" t="inlineStr"/>
    </row>
    <row r="3581">
      <c r="A3581" t="inlineStr">
        <is>
          <t>MORRIS</t>
        </is>
      </c>
      <c r="B3581" s="2">
        <f>"8997016223405"</f>
        <v/>
      </c>
      <c r="C3581" t="inlineStr">
        <is>
          <t>MORRIS Eau De Parfum Midnight Love Glam Edition 100ml</t>
        </is>
      </c>
      <c r="D3581" t="inlineStr">
        <is>
          <t>Miss Glam Damar</t>
        </is>
      </c>
      <c r="E3581" t="n">
        <v>20</v>
      </c>
      <c r="F3581" t="n">
        <v>0.2457</v>
      </c>
      <c r="G3581" t="n">
        <v>1.82</v>
      </c>
      <c r="H3581" t="n">
        <v>1</v>
      </c>
      <c r="I3581" t="n">
        <v>3</v>
      </c>
      <c r="J3581" t="n">
        <v>3</v>
      </c>
      <c r="K3581" t="n">
        <v>0</v>
      </c>
      <c r="L3581" t="n">
        <v>30452</v>
      </c>
      <c r="M3581" t="n">
        <v>37500</v>
      </c>
      <c r="N3581" t="n">
        <v>91</v>
      </c>
      <c r="O3581" t="n">
        <v>0.91</v>
      </c>
      <c r="P3581" t="n">
        <v>1</v>
      </c>
      <c r="Q3581" t="n">
        <v>0.37</v>
      </c>
      <c r="R3581" t="n">
        <v>3</v>
      </c>
      <c r="S3581" t="n">
        <v>9213.750000000002</v>
      </c>
      <c r="T3581" t="n">
        <v>6</v>
      </c>
      <c r="U3581" t="n">
        <v>7</v>
      </c>
      <c r="V3581" t="n">
        <v>30</v>
      </c>
      <c r="W3581" t="n">
        <v>8</v>
      </c>
      <c r="X3581" t="n">
        <v>81.40008140008139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9703</v>
      </c>
      <c r="AG3581" t="n">
        <v>2308</v>
      </c>
      <c r="AH3581" t="inlineStr">
        <is>
          <t>PT. CITRA MUTIARA LESTARINDO - PPN (PDG)</t>
        </is>
      </c>
      <c r="AI3581" t="n">
        <v>834</v>
      </c>
      <c r="AJ3581" t="inlineStr">
        <is>
          <t>MORRIS</t>
        </is>
      </c>
      <c r="AK3581" t="n">
        <v>21</v>
      </c>
      <c r="AL3581" t="inlineStr">
        <is>
          <t>Miss Glam Damar</t>
        </is>
      </c>
      <c r="AM3581" t="n">
        <v>3</v>
      </c>
      <c r="AN3581" t="n">
        <v>350000</v>
      </c>
      <c r="AO3581" t="n">
        <v>0</v>
      </c>
      <c r="AP3581" t="inlineStr"/>
      <c r="AQ3581" t="inlineStr"/>
    </row>
    <row r="3582">
      <c r="A3582" t="inlineStr">
        <is>
          <t>MORRIS</t>
        </is>
      </c>
      <c r="B3582" s="2">
        <f>"8997016223351"</f>
        <v/>
      </c>
      <c r="C3582" t="inlineStr">
        <is>
          <t>MORRIS Eau De Parfum Pure Romantic Glam Edition 100ml</t>
        </is>
      </c>
      <c r="D3582" t="inlineStr">
        <is>
          <t>Miss Glam Damar</t>
        </is>
      </c>
      <c r="E3582" t="n">
        <v>6</v>
      </c>
      <c r="F3582" t="n">
        <v>0.4004</v>
      </c>
      <c r="G3582" t="n">
        <v>1.82</v>
      </c>
      <c r="H3582" t="n">
        <v>1</v>
      </c>
      <c r="I3582" t="n">
        <v>3</v>
      </c>
      <c r="J3582" t="n">
        <v>3</v>
      </c>
      <c r="K3582" t="n">
        <v>0</v>
      </c>
      <c r="L3582" t="n">
        <v>30448</v>
      </c>
      <c r="M3582" t="n">
        <v>35500</v>
      </c>
      <c r="N3582" t="n">
        <v>91</v>
      </c>
      <c r="O3582" t="n">
        <v>0.91</v>
      </c>
      <c r="P3582" t="n">
        <v>1</v>
      </c>
      <c r="Q3582" t="n">
        <v>0.41</v>
      </c>
      <c r="R3582" t="n">
        <v>2</v>
      </c>
      <c r="S3582" t="n">
        <v>14214.2</v>
      </c>
      <c r="T3582" t="n">
        <v>6</v>
      </c>
      <c r="U3582" t="n">
        <v>7</v>
      </c>
      <c r="V3582" t="n">
        <v>30</v>
      </c>
      <c r="W3582" t="n">
        <v>13</v>
      </c>
      <c r="X3582" t="n">
        <v>14.98501498501498</v>
      </c>
      <c r="Y3582" t="n">
        <v>1</v>
      </c>
      <c r="Z3582" t="n">
        <v>7</v>
      </c>
      <c r="AA3582" t="n">
        <v>0</v>
      </c>
      <c r="AB3582" t="n">
        <v>7</v>
      </c>
      <c r="AC3582" t="n">
        <v>7</v>
      </c>
      <c r="AD3582" t="n">
        <v>0</v>
      </c>
      <c r="AE3582" t="n">
        <v>213136</v>
      </c>
      <c r="AF3582" t="n">
        <v>9703</v>
      </c>
      <c r="AG3582" t="n">
        <v>2308</v>
      </c>
      <c r="AH3582" t="inlineStr">
        <is>
          <t>PT. CITRA MUTIARA LESTARINDO - PPN (PDG)</t>
        </is>
      </c>
      <c r="AI3582" t="n">
        <v>834</v>
      </c>
      <c r="AJ3582" t="inlineStr">
        <is>
          <t>MORRIS</t>
        </is>
      </c>
      <c r="AK3582" t="n">
        <v>21</v>
      </c>
      <c r="AL3582" t="inlineStr">
        <is>
          <t>Miss Glam Damar</t>
        </is>
      </c>
      <c r="AM3582" t="n">
        <v>3</v>
      </c>
      <c r="AN3582" t="n">
        <v>350000</v>
      </c>
      <c r="AO3582" t="n">
        <v>0</v>
      </c>
      <c r="AP3582" t="inlineStr"/>
      <c r="AQ3582" t="inlineStr"/>
    </row>
    <row r="3583">
      <c r="A3583" t="inlineStr">
        <is>
          <t>MORRIS</t>
        </is>
      </c>
      <c r="B3583" s="2">
        <f>"8997016222736"</f>
        <v/>
      </c>
      <c r="C3583" t="inlineStr">
        <is>
          <t>MORRIS Eau De Parfum Romance 50ml</t>
        </is>
      </c>
      <c r="D3583" t="inlineStr">
        <is>
          <t>Miss Glam Damar</t>
        </is>
      </c>
      <c r="E3583" t="n">
        <v>10</v>
      </c>
      <c r="F3583" t="n">
        <v>0.9282</v>
      </c>
      <c r="G3583" t="n">
        <v>5.46</v>
      </c>
      <c r="H3583" t="n">
        <v>1</v>
      </c>
      <c r="I3583" t="n">
        <v>3</v>
      </c>
      <c r="J3583" t="n">
        <v>3</v>
      </c>
      <c r="K3583" t="n">
        <v>0</v>
      </c>
      <c r="L3583" t="n">
        <v>19800</v>
      </c>
      <c r="M3583" t="n">
        <v>25000</v>
      </c>
      <c r="N3583" t="n">
        <v>91</v>
      </c>
      <c r="O3583" t="n">
        <v>0.91</v>
      </c>
      <c r="P3583" t="n">
        <v>1</v>
      </c>
      <c r="Q3583" t="n">
        <v>0.29</v>
      </c>
      <c r="R3583" t="n">
        <v>2</v>
      </c>
      <c r="S3583" t="n">
        <v>23205</v>
      </c>
      <c r="T3583" t="n">
        <v>16</v>
      </c>
      <c r="U3583" t="n">
        <v>17</v>
      </c>
      <c r="V3583" t="n">
        <v>30</v>
      </c>
      <c r="W3583" t="n">
        <v>28</v>
      </c>
      <c r="X3583" t="n">
        <v>10.77354018530489</v>
      </c>
      <c r="Y3583" t="n">
        <v>1</v>
      </c>
      <c r="Z3583" t="n">
        <v>18</v>
      </c>
      <c r="AA3583" t="n">
        <v>0</v>
      </c>
      <c r="AB3583" t="n">
        <v>18</v>
      </c>
      <c r="AC3583" t="n">
        <v>18</v>
      </c>
      <c r="AD3583" t="n">
        <v>0</v>
      </c>
      <c r="AE3583" t="n">
        <v>356400</v>
      </c>
      <c r="AF3583" t="n">
        <v>9703</v>
      </c>
      <c r="AG3583" t="n">
        <v>2308</v>
      </c>
      <c r="AH3583" t="inlineStr">
        <is>
          <t>PT. CITRA MUTIARA LESTARINDO - PPN (PDG)</t>
        </is>
      </c>
      <c r="AI3583" t="n">
        <v>834</v>
      </c>
      <c r="AJ3583" t="inlineStr">
        <is>
          <t>MORRIS</t>
        </is>
      </c>
      <c r="AK3583" t="n">
        <v>21</v>
      </c>
      <c r="AL3583" t="inlineStr">
        <is>
          <t>Miss Glam Damar</t>
        </is>
      </c>
      <c r="AM3583" t="n">
        <v>3</v>
      </c>
      <c r="AN3583" t="n">
        <v>350000</v>
      </c>
      <c r="AO3583" t="n">
        <v>0</v>
      </c>
      <c r="AP3583" t="inlineStr"/>
      <c r="AQ3583" t="inlineStr"/>
    </row>
    <row r="3584">
      <c r="A3584" t="inlineStr">
        <is>
          <t>MORRIS</t>
        </is>
      </c>
      <c r="B3584" s="2">
        <f>"8997016223900"</f>
        <v/>
      </c>
      <c r="C3584" t="inlineStr">
        <is>
          <t>MORRIS Eau De Parfum Rose Vanilla Frosted Edition 100ml</t>
        </is>
      </c>
      <c r="D3584" t="inlineStr">
        <is>
          <t>Miss Glam Damar</t>
        </is>
      </c>
      <c r="E3584" t="n">
        <v>13</v>
      </c>
      <c r="F3584" t="n">
        <v>0.5096000000000001</v>
      </c>
      <c r="G3584" t="n">
        <v>2.73</v>
      </c>
      <c r="H3584" t="n">
        <v>1</v>
      </c>
      <c r="I3584" t="n">
        <v>3</v>
      </c>
      <c r="J3584" t="n">
        <v>3</v>
      </c>
      <c r="K3584" t="n">
        <v>0</v>
      </c>
      <c r="L3584" t="n">
        <v>32360</v>
      </c>
      <c r="M3584" t="n">
        <v>37500</v>
      </c>
      <c r="N3584" t="n">
        <v>91</v>
      </c>
      <c r="O3584" t="n">
        <v>0.91</v>
      </c>
      <c r="P3584" t="n">
        <v>1</v>
      </c>
      <c r="Q3584" t="n">
        <v>0.47</v>
      </c>
      <c r="R3584" t="n">
        <v>3</v>
      </c>
      <c r="S3584" t="n">
        <v>19110</v>
      </c>
      <c r="T3584" t="n">
        <v>8</v>
      </c>
      <c r="U3584" t="n">
        <v>9</v>
      </c>
      <c r="V3584" t="n">
        <v>30</v>
      </c>
      <c r="W3584" t="n">
        <v>16</v>
      </c>
      <c r="X3584" t="n">
        <v>25.51020408163265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9703</v>
      </c>
      <c r="AG3584" t="n">
        <v>2308</v>
      </c>
      <c r="AH3584" t="inlineStr">
        <is>
          <t>PT. CITRA MUTIARA LESTARINDO - PPN (PDG)</t>
        </is>
      </c>
      <c r="AI3584" t="n">
        <v>834</v>
      </c>
      <c r="AJ3584" t="inlineStr">
        <is>
          <t>MORRIS</t>
        </is>
      </c>
      <c r="AK3584" t="n">
        <v>21</v>
      </c>
      <c r="AL3584" t="inlineStr">
        <is>
          <t>Miss Glam Damar</t>
        </is>
      </c>
      <c r="AM3584" t="n">
        <v>3</v>
      </c>
      <c r="AN3584" t="n">
        <v>350000</v>
      </c>
      <c r="AO3584" t="n">
        <v>0</v>
      </c>
      <c r="AP3584" t="inlineStr"/>
      <c r="AQ3584" t="inlineStr"/>
    </row>
    <row r="3585">
      <c r="A3585" t="inlineStr">
        <is>
          <t>MORRIS</t>
        </is>
      </c>
      <c r="B3585" s="2">
        <f>"8997016223894"</f>
        <v/>
      </c>
      <c r="C3585" t="inlineStr">
        <is>
          <t>MORRIS Eau De Parfum Sky Garden Frosted Edition 100ml</t>
        </is>
      </c>
      <c r="D3585" t="inlineStr">
        <is>
          <t>Miss Glam Damar</t>
        </is>
      </c>
      <c r="E3585" t="n">
        <v>7</v>
      </c>
      <c r="F3585" t="n">
        <v>0.09100000000000001</v>
      </c>
      <c r="G3585" t="n">
        <v>0.91</v>
      </c>
      <c r="H3585" t="n">
        <v>1</v>
      </c>
      <c r="I3585" t="n">
        <v>3</v>
      </c>
      <c r="J3585" t="n">
        <v>3</v>
      </c>
      <c r="K3585" t="n">
        <v>0</v>
      </c>
      <c r="L3585" t="n">
        <v>32360</v>
      </c>
      <c r="M3585" t="n">
        <v>37500</v>
      </c>
      <c r="N3585" t="n">
        <v>91</v>
      </c>
      <c r="O3585" t="n">
        <v>0.91</v>
      </c>
      <c r="P3585" t="n">
        <v>1</v>
      </c>
      <c r="Q3585" t="n">
        <v>0.2</v>
      </c>
      <c r="R3585" t="n">
        <v>1</v>
      </c>
      <c r="S3585" t="n">
        <v>3412.5</v>
      </c>
      <c r="T3585" t="n">
        <v>3</v>
      </c>
      <c r="U3585" t="n">
        <v>4</v>
      </c>
      <c r="V3585" t="n">
        <v>30</v>
      </c>
      <c r="W3585" t="n">
        <v>3</v>
      </c>
      <c r="X3585" t="n">
        <v>76.92307692307692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9703</v>
      </c>
      <c r="AG3585" t="n">
        <v>2308</v>
      </c>
      <c r="AH3585" t="inlineStr">
        <is>
          <t>PT. CITRA MUTIARA LESTARINDO - PPN (PDG)</t>
        </is>
      </c>
      <c r="AI3585" t="n">
        <v>834</v>
      </c>
      <c r="AJ3585" t="inlineStr">
        <is>
          <t>MORRIS</t>
        </is>
      </c>
      <c r="AK3585" t="n">
        <v>21</v>
      </c>
      <c r="AL3585" t="inlineStr">
        <is>
          <t>Miss Glam Damar</t>
        </is>
      </c>
      <c r="AM3585" t="n">
        <v>3</v>
      </c>
      <c r="AN3585" t="n">
        <v>350000</v>
      </c>
      <c r="AO3585" t="n">
        <v>0</v>
      </c>
      <c r="AP3585" t="inlineStr"/>
      <c r="AQ3585" t="inlineStr"/>
    </row>
    <row r="3586">
      <c r="A3586" t="inlineStr">
        <is>
          <t>MORRIS</t>
        </is>
      </c>
      <c r="B3586" s="2">
        <f>"8997016223382"</f>
        <v/>
      </c>
      <c r="C3586" t="inlineStr">
        <is>
          <t>MORRIS Eau De Parfum So Pretty Glam Edition 100ml</t>
        </is>
      </c>
      <c r="D3586" t="inlineStr">
        <is>
          <t>Miss Glam Damar</t>
        </is>
      </c>
      <c r="E3586" t="n">
        <v>8</v>
      </c>
      <c r="F3586" t="n">
        <v>0.182</v>
      </c>
      <c r="G3586" t="n">
        <v>1.82</v>
      </c>
      <c r="H3586" t="n">
        <v>1</v>
      </c>
      <c r="I3586" t="n">
        <v>3</v>
      </c>
      <c r="J3586" t="n">
        <v>3</v>
      </c>
      <c r="K3586" t="n">
        <v>0</v>
      </c>
      <c r="L3586" t="n">
        <v>30448</v>
      </c>
      <c r="M3586" t="n">
        <v>35500</v>
      </c>
      <c r="N3586" t="n">
        <v>91</v>
      </c>
      <c r="O3586" t="n">
        <v>0.91</v>
      </c>
      <c r="P3586" t="n">
        <v>1</v>
      </c>
      <c r="Q3586" t="n">
        <v>0.15</v>
      </c>
      <c r="R3586" t="n">
        <v>1</v>
      </c>
      <c r="S3586" t="n">
        <v>6461.000000000001</v>
      </c>
      <c r="T3586" t="n">
        <v>6</v>
      </c>
      <c r="U3586" t="n">
        <v>7</v>
      </c>
      <c r="V3586" t="n">
        <v>30</v>
      </c>
      <c r="W3586" t="n">
        <v>6</v>
      </c>
      <c r="X3586" t="n">
        <v>43.95604395604395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9703</v>
      </c>
      <c r="AG3586" t="n">
        <v>2308</v>
      </c>
      <c r="AH3586" t="inlineStr">
        <is>
          <t>PT. CITRA MUTIARA LESTARINDO - PPN (PDG)</t>
        </is>
      </c>
      <c r="AI3586" t="n">
        <v>834</v>
      </c>
      <c r="AJ3586" t="inlineStr">
        <is>
          <t>MORRIS</t>
        </is>
      </c>
      <c r="AK3586" t="n">
        <v>21</v>
      </c>
      <c r="AL3586" t="inlineStr">
        <is>
          <t>Miss Glam Damar</t>
        </is>
      </c>
      <c r="AM3586" t="n">
        <v>3</v>
      </c>
      <c r="AN3586" t="n">
        <v>350000</v>
      </c>
      <c r="AO3586" t="n">
        <v>0</v>
      </c>
      <c r="AP3586" t="inlineStr"/>
      <c r="AQ3586" t="inlineStr"/>
    </row>
    <row r="3587">
      <c r="A3587" t="inlineStr">
        <is>
          <t>MORRIS</t>
        </is>
      </c>
      <c r="B3587" s="2">
        <f>"8997016223153"</f>
        <v/>
      </c>
      <c r="C3587" t="inlineStr">
        <is>
          <t>MORRIS Eau De Parfum Special Iron Man 100ml</t>
        </is>
      </c>
      <c r="D3587" t="inlineStr">
        <is>
          <t>Miss Glam Damar</t>
        </is>
      </c>
      <c r="E3587" t="n">
        <v>2</v>
      </c>
      <c r="F3587" t="n">
        <v>0.0273</v>
      </c>
      <c r="G3587" t="n">
        <v>0.91</v>
      </c>
      <c r="H3587" t="n">
        <v>1</v>
      </c>
      <c r="I3587" t="n">
        <v>3</v>
      </c>
      <c r="J3587" t="n">
        <v>3</v>
      </c>
      <c r="K3587" t="n">
        <v>0</v>
      </c>
      <c r="L3587" t="n">
        <v>28544</v>
      </c>
      <c r="M3587" t="n">
        <v>36000</v>
      </c>
      <c r="N3587" t="n">
        <v>91</v>
      </c>
      <c r="O3587" t="n">
        <v>0.91</v>
      </c>
      <c r="P3587" t="n">
        <v>1</v>
      </c>
      <c r="Q3587" t="n">
        <v>0.02</v>
      </c>
      <c r="R3587" t="n">
        <v>1</v>
      </c>
      <c r="S3587" t="n">
        <v>982.8000000000001</v>
      </c>
      <c r="T3587" t="n">
        <v>3</v>
      </c>
      <c r="U3587" t="n">
        <v>4</v>
      </c>
      <c r="V3587" t="n">
        <v>30</v>
      </c>
      <c r="W3587" t="n">
        <v>1</v>
      </c>
      <c r="X3587" t="n">
        <v>73.26007326007326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9703</v>
      </c>
      <c r="AG3587" t="n">
        <v>2308</v>
      </c>
      <c r="AH3587" t="inlineStr">
        <is>
          <t>PT. CITRA MUTIARA LESTARINDO - PPN (PDG)</t>
        </is>
      </c>
      <c r="AI3587" t="n">
        <v>834</v>
      </c>
      <c r="AJ3587" t="inlineStr">
        <is>
          <t>MORRIS</t>
        </is>
      </c>
      <c r="AK3587" t="n">
        <v>21</v>
      </c>
      <c r="AL3587" t="inlineStr">
        <is>
          <t>Miss Glam Damar</t>
        </is>
      </c>
      <c r="AM3587" t="n">
        <v>3</v>
      </c>
      <c r="AN3587" t="n">
        <v>350000</v>
      </c>
      <c r="AO3587" t="n">
        <v>0</v>
      </c>
      <c r="AP3587" t="inlineStr"/>
      <c r="AQ3587" t="inlineStr"/>
    </row>
    <row r="3588">
      <c r="A3588" t="inlineStr">
        <is>
          <t>MORRIS</t>
        </is>
      </c>
      <c r="B3588" s="2">
        <f>"8997016223313"</f>
        <v/>
      </c>
      <c r="C3588" t="inlineStr">
        <is>
          <t>MORRIS Eau De Parfum Surprise Me 110ml</t>
        </is>
      </c>
      <c r="D3588" t="inlineStr">
        <is>
          <t>Miss Glam Damar</t>
        </is>
      </c>
      <c r="E3588" t="n">
        <v>7</v>
      </c>
      <c r="F3588" t="n">
        <v>0.0728</v>
      </c>
      <c r="G3588" t="n">
        <v>1.82</v>
      </c>
      <c r="H3588" t="n">
        <v>1</v>
      </c>
      <c r="I3588" t="n">
        <v>3</v>
      </c>
      <c r="J3588" t="n">
        <v>3</v>
      </c>
      <c r="K3588" t="n">
        <v>0</v>
      </c>
      <c r="L3588" t="n">
        <v>28544</v>
      </c>
      <c r="M3588" t="n">
        <v>38500</v>
      </c>
      <c r="N3588" t="n">
        <v>91</v>
      </c>
      <c r="O3588" t="n">
        <v>0.91</v>
      </c>
      <c r="P3588" t="n">
        <v>1</v>
      </c>
      <c r="Q3588" t="n">
        <v>0.17</v>
      </c>
      <c r="R3588" t="n">
        <v>2</v>
      </c>
      <c r="S3588" t="n">
        <v>2802.8</v>
      </c>
      <c r="T3588" t="n">
        <v>6</v>
      </c>
      <c r="U3588" t="n">
        <v>7</v>
      </c>
      <c r="V3588" t="n">
        <v>30</v>
      </c>
      <c r="W3588" t="n">
        <v>3</v>
      </c>
      <c r="X3588" t="n">
        <v>96.15384615384615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9703</v>
      </c>
      <c r="AG3588" t="n">
        <v>2308</v>
      </c>
      <c r="AH3588" t="inlineStr">
        <is>
          <t>PT. CITRA MUTIARA LESTARINDO - PPN (PDG)</t>
        </is>
      </c>
      <c r="AI3588" t="n">
        <v>834</v>
      </c>
      <c r="AJ3588" t="inlineStr">
        <is>
          <t>MORRIS</t>
        </is>
      </c>
      <c r="AK3588" t="n">
        <v>21</v>
      </c>
      <c r="AL3588" t="inlineStr">
        <is>
          <t>Miss Glam Damar</t>
        </is>
      </c>
      <c r="AM3588" t="n">
        <v>3</v>
      </c>
      <c r="AN3588" t="n">
        <v>350000</v>
      </c>
      <c r="AO3588" t="n">
        <v>0</v>
      </c>
      <c r="AP3588" t="inlineStr"/>
      <c r="AQ3588" t="inlineStr"/>
    </row>
    <row r="3589">
      <c r="A3589" t="inlineStr">
        <is>
          <t>MORRIS</t>
        </is>
      </c>
      <c r="B3589" s="2">
        <f>"8997016222781"</f>
        <v/>
      </c>
      <c r="C3589" t="inlineStr">
        <is>
          <t>MORRIS Eau De Parfum Travel Edition Bali 100ml</t>
        </is>
      </c>
      <c r="D3589" t="inlineStr">
        <is>
          <t>Miss Glam Damar</t>
        </is>
      </c>
      <c r="E3589" t="n">
        <v>2</v>
      </c>
      <c r="F3589" t="n">
        <v>0.05</v>
      </c>
      <c r="G3589" t="n">
        <v>2</v>
      </c>
      <c r="H3589" t="n">
        <v>1</v>
      </c>
      <c r="I3589" t="n">
        <v>3</v>
      </c>
      <c r="J3589" t="n">
        <v>3</v>
      </c>
      <c r="K3589" t="n">
        <v>0</v>
      </c>
      <c r="L3589" t="n">
        <v>28544</v>
      </c>
      <c r="M3589" t="n">
        <v>36000</v>
      </c>
      <c r="N3589" t="n">
        <v>91</v>
      </c>
      <c r="O3589" t="n">
        <v>0.91</v>
      </c>
      <c r="P3589" t="n">
        <v>0</v>
      </c>
      <c r="Q3589" t="n">
        <v>0.05</v>
      </c>
      <c r="R3589" t="n">
        <v>2</v>
      </c>
      <c r="S3589" t="n">
        <v>1800</v>
      </c>
      <c r="T3589" t="n">
        <v>6</v>
      </c>
      <c r="U3589" t="n">
        <v>7</v>
      </c>
      <c r="V3589" t="n">
        <v>30</v>
      </c>
      <c r="W3589" t="n">
        <v>2</v>
      </c>
      <c r="X3589" t="n">
        <v>40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9703</v>
      </c>
      <c r="AG3589" t="n">
        <v>2308</v>
      </c>
      <c r="AH3589" t="inlineStr">
        <is>
          <t>PT. CITRA MUTIARA LESTARINDO - PPN (PDG)</t>
        </is>
      </c>
      <c r="AI3589" t="n">
        <v>834</v>
      </c>
      <c r="AJ3589" t="inlineStr">
        <is>
          <t>MORRIS</t>
        </is>
      </c>
      <c r="AK3589" t="n">
        <v>21</v>
      </c>
      <c r="AL3589" t="inlineStr">
        <is>
          <t>Miss Glam Damar</t>
        </is>
      </c>
      <c r="AM3589" t="n">
        <v>3</v>
      </c>
      <c r="AN3589" t="n">
        <v>350000</v>
      </c>
      <c r="AO3589" t="n">
        <v>0</v>
      </c>
      <c r="AP3589" t="inlineStr"/>
      <c r="AQ3589" t="inlineStr"/>
    </row>
    <row r="3590">
      <c r="A3590" t="inlineStr">
        <is>
          <t>MORRIS</t>
        </is>
      </c>
      <c r="B3590" s="2">
        <f>"8997016222750"</f>
        <v/>
      </c>
      <c r="C3590" t="inlineStr">
        <is>
          <t>MORRIS Eau De Parfum Travel Edition Cappadocia 100ml</t>
        </is>
      </c>
      <c r="D3590" t="inlineStr">
        <is>
          <t>Miss Glam Damar</t>
        </is>
      </c>
      <c r="E3590" t="n">
        <v>1</v>
      </c>
      <c r="F3590" t="n">
        <v>0.0728</v>
      </c>
      <c r="G3590" t="n">
        <v>0.91</v>
      </c>
      <c r="H3590" t="n">
        <v>1</v>
      </c>
      <c r="I3590" t="n">
        <v>3</v>
      </c>
      <c r="J3590" t="n">
        <v>3</v>
      </c>
      <c r="K3590" t="n">
        <v>0</v>
      </c>
      <c r="L3590" t="n">
        <v>28544</v>
      </c>
      <c r="M3590" t="n">
        <v>36000</v>
      </c>
      <c r="N3590" t="n">
        <v>91</v>
      </c>
      <c r="O3590" t="n">
        <v>0.91</v>
      </c>
      <c r="P3590" t="n">
        <v>1</v>
      </c>
      <c r="Q3590" t="n">
        <v>0.1</v>
      </c>
      <c r="R3590" t="n">
        <v>1</v>
      </c>
      <c r="S3590" t="n">
        <v>2620.8</v>
      </c>
      <c r="T3590" t="n">
        <v>3</v>
      </c>
      <c r="U3590" t="n">
        <v>4</v>
      </c>
      <c r="V3590" t="n">
        <v>30</v>
      </c>
      <c r="W3590" t="n">
        <v>3</v>
      </c>
      <c r="X3590" t="n">
        <v>13.73626373626374</v>
      </c>
      <c r="Y3590" t="n">
        <v>1</v>
      </c>
      <c r="Z3590" t="n">
        <v>2</v>
      </c>
      <c r="AA3590" t="n">
        <v>0</v>
      </c>
      <c r="AB3590" t="n">
        <v>2</v>
      </c>
      <c r="AC3590" t="n">
        <v>3</v>
      </c>
      <c r="AD3590" t="n">
        <v>0</v>
      </c>
      <c r="AE3590" t="n">
        <v>85632</v>
      </c>
      <c r="AF3590" t="n">
        <v>9703</v>
      </c>
      <c r="AG3590" t="n">
        <v>2308</v>
      </c>
      <c r="AH3590" t="inlineStr">
        <is>
          <t>PT. CITRA MUTIARA LESTARINDO - PPN (PDG)</t>
        </is>
      </c>
      <c r="AI3590" t="n">
        <v>834</v>
      </c>
      <c r="AJ3590" t="inlineStr">
        <is>
          <t>MORRIS</t>
        </is>
      </c>
      <c r="AK3590" t="n">
        <v>21</v>
      </c>
      <c r="AL3590" t="inlineStr">
        <is>
          <t>Miss Glam Damar</t>
        </is>
      </c>
      <c r="AM3590" t="n">
        <v>3</v>
      </c>
      <c r="AN3590" t="n">
        <v>350000</v>
      </c>
      <c r="AO3590" t="n">
        <v>0</v>
      </c>
      <c r="AP3590" t="inlineStr"/>
      <c r="AQ3590" t="inlineStr"/>
    </row>
    <row r="3591">
      <c r="A3591" t="inlineStr">
        <is>
          <t>MORRIS</t>
        </is>
      </c>
      <c r="B3591" s="2">
        <f>"8997016222804"</f>
        <v/>
      </c>
      <c r="C3591" t="inlineStr">
        <is>
          <t>MORRIS Eau De Parfum Travel Edition Hokkaido 100ml</t>
        </is>
      </c>
      <c r="D3591" t="inlineStr">
        <is>
          <t>Miss Glam Damar</t>
        </is>
      </c>
      <c r="E3591" t="n">
        <v>0</v>
      </c>
      <c r="F3591" t="n">
        <v>0.1547</v>
      </c>
      <c r="G3591" t="n">
        <v>0.91</v>
      </c>
      <c r="H3591" t="n">
        <v>1</v>
      </c>
      <c r="I3591" t="n">
        <v>3</v>
      </c>
      <c r="J3591" t="n">
        <v>3</v>
      </c>
      <c r="K3591" t="n">
        <v>0</v>
      </c>
      <c r="L3591" t="n">
        <v>28544</v>
      </c>
      <c r="M3591" t="n">
        <v>36000</v>
      </c>
      <c r="N3591" t="n">
        <v>91</v>
      </c>
      <c r="O3591" t="n">
        <v>0.91</v>
      </c>
      <c r="P3591" t="n">
        <v>1</v>
      </c>
      <c r="Q3591" t="n">
        <v>0.09</v>
      </c>
      <c r="R3591" t="n">
        <v>2</v>
      </c>
      <c r="S3591" t="n">
        <v>5569.2</v>
      </c>
      <c r="T3591" t="n">
        <v>3</v>
      </c>
      <c r="U3591" t="n">
        <v>4</v>
      </c>
      <c r="V3591" t="n">
        <v>30</v>
      </c>
      <c r="W3591" t="n">
        <v>5</v>
      </c>
      <c r="X3591" t="n">
        <v>0</v>
      </c>
      <c r="Y3591" t="n">
        <v>1</v>
      </c>
      <c r="Z3591" t="n">
        <v>5</v>
      </c>
      <c r="AA3591" t="n">
        <v>1</v>
      </c>
      <c r="AB3591" t="n">
        <v>4</v>
      </c>
      <c r="AC3591" t="n">
        <v>4</v>
      </c>
      <c r="AD3591" t="n">
        <v>28544</v>
      </c>
      <c r="AE3591" t="n">
        <v>114176</v>
      </c>
      <c r="AF3591" t="n">
        <v>9703</v>
      </c>
      <c r="AG3591" t="n">
        <v>2308</v>
      </c>
      <c r="AH3591" t="inlineStr">
        <is>
          <t>PT. CITRA MUTIARA LESTARINDO - PPN (PDG)</t>
        </is>
      </c>
      <c r="AI3591" t="n">
        <v>834</v>
      </c>
      <c r="AJ3591" t="inlineStr">
        <is>
          <t>MORRIS</t>
        </is>
      </c>
      <c r="AK3591" t="n">
        <v>21</v>
      </c>
      <c r="AL3591" t="inlineStr">
        <is>
          <t>Miss Glam Damar</t>
        </is>
      </c>
      <c r="AM3591" t="n">
        <v>3</v>
      </c>
      <c r="AN3591" t="n">
        <v>350000</v>
      </c>
      <c r="AO3591" t="n">
        <v>0</v>
      </c>
      <c r="AP3591" t="inlineStr"/>
      <c r="AQ3591" t="inlineStr"/>
    </row>
    <row r="3592">
      <c r="A3592" t="inlineStr">
        <is>
          <t>MORRIS</t>
        </is>
      </c>
      <c r="B3592" s="2">
        <f>"8997016222767"</f>
        <v/>
      </c>
      <c r="C3592" t="inlineStr">
        <is>
          <t>MORRIS Eau De Parfum Travel Edition Paris 100ml</t>
        </is>
      </c>
      <c r="D3592" t="inlineStr">
        <is>
          <t>Miss Glam Damar</t>
        </is>
      </c>
      <c r="E3592" t="n">
        <v>2</v>
      </c>
      <c r="F3592" t="n">
        <v>0.0728</v>
      </c>
      <c r="G3592" t="n">
        <v>0.91</v>
      </c>
      <c r="H3592" t="n">
        <v>1</v>
      </c>
      <c r="I3592" t="n">
        <v>3</v>
      </c>
      <c r="J3592" t="n">
        <v>3</v>
      </c>
      <c r="K3592" t="n">
        <v>0</v>
      </c>
      <c r="L3592" t="n">
        <v>28544</v>
      </c>
      <c r="M3592" t="n">
        <v>45000</v>
      </c>
      <c r="N3592" t="n">
        <v>91</v>
      </c>
      <c r="O3592" t="n">
        <v>0.91</v>
      </c>
      <c r="P3592" t="n">
        <v>1</v>
      </c>
      <c r="Q3592" t="n">
        <v>0.03</v>
      </c>
      <c r="R3592" t="n">
        <v>1</v>
      </c>
      <c r="S3592" t="n">
        <v>3276</v>
      </c>
      <c r="T3592" t="n">
        <v>3</v>
      </c>
      <c r="U3592" t="n">
        <v>4</v>
      </c>
      <c r="V3592" t="n">
        <v>30</v>
      </c>
      <c r="W3592" t="n">
        <v>3</v>
      </c>
      <c r="X3592" t="n">
        <v>27.47252747252747</v>
      </c>
      <c r="Y3592" t="n">
        <v>1</v>
      </c>
      <c r="Z3592" t="n">
        <v>1</v>
      </c>
      <c r="AA3592" t="n">
        <v>0</v>
      </c>
      <c r="AB3592" t="n">
        <v>1</v>
      </c>
      <c r="AC3592" t="n">
        <v>3</v>
      </c>
      <c r="AD3592" t="n">
        <v>0</v>
      </c>
      <c r="AE3592" t="n">
        <v>85632</v>
      </c>
      <c r="AF3592" t="n">
        <v>9703</v>
      </c>
      <c r="AG3592" t="n">
        <v>2308</v>
      </c>
      <c r="AH3592" t="inlineStr">
        <is>
          <t>PT. CITRA MUTIARA LESTARINDO - PPN (PDG)</t>
        </is>
      </c>
      <c r="AI3592" t="n">
        <v>834</v>
      </c>
      <c r="AJ3592" t="inlineStr">
        <is>
          <t>MORRIS</t>
        </is>
      </c>
      <c r="AK3592" t="n">
        <v>21</v>
      </c>
      <c r="AL3592" t="inlineStr">
        <is>
          <t>Miss Glam Damar</t>
        </is>
      </c>
      <c r="AM3592" t="n">
        <v>3</v>
      </c>
      <c r="AN3592" t="n">
        <v>350000</v>
      </c>
      <c r="AO3592" t="n">
        <v>0</v>
      </c>
      <c r="AP3592" t="inlineStr"/>
      <c r="AQ3592" t="inlineStr"/>
    </row>
    <row r="3593">
      <c r="A3593" t="inlineStr">
        <is>
          <t>MORRIS</t>
        </is>
      </c>
      <c r="B3593" s="2">
        <f>"8997016222774"</f>
        <v/>
      </c>
      <c r="C3593" t="inlineStr">
        <is>
          <t>MORRIS Eau De Parfum Travel Edition Venice 100ml</t>
        </is>
      </c>
      <c r="D3593" t="inlineStr">
        <is>
          <t>Miss Glam Damar</t>
        </is>
      </c>
      <c r="E3593" t="n">
        <v>1</v>
      </c>
      <c r="F3593" t="n">
        <v>0.09100000000000001</v>
      </c>
      <c r="G3593" t="n">
        <v>0.91</v>
      </c>
      <c r="H3593" t="n">
        <v>1</v>
      </c>
      <c r="I3593" t="n">
        <v>3</v>
      </c>
      <c r="J3593" t="n">
        <v>3</v>
      </c>
      <c r="K3593" t="n">
        <v>0</v>
      </c>
      <c r="L3593" t="n">
        <v>28544</v>
      </c>
      <c r="M3593" t="n">
        <v>36000</v>
      </c>
      <c r="N3593" t="n">
        <v>91</v>
      </c>
      <c r="O3593" t="n">
        <v>0.91</v>
      </c>
      <c r="P3593" t="n">
        <v>1</v>
      </c>
      <c r="Q3593" t="n">
        <v>0.19</v>
      </c>
      <c r="R3593" t="n">
        <v>2</v>
      </c>
      <c r="S3593" t="n">
        <v>3276</v>
      </c>
      <c r="T3593" t="n">
        <v>3</v>
      </c>
      <c r="U3593" t="n">
        <v>4</v>
      </c>
      <c r="V3593" t="n">
        <v>30</v>
      </c>
      <c r="W3593" t="n">
        <v>3</v>
      </c>
      <c r="X3593" t="n">
        <v>10.98901098901099</v>
      </c>
      <c r="Y3593" t="n">
        <v>1</v>
      </c>
      <c r="Z3593" t="n">
        <v>2</v>
      </c>
      <c r="AA3593" t="n">
        <v>0</v>
      </c>
      <c r="AB3593" t="n">
        <v>2</v>
      </c>
      <c r="AC3593" t="n">
        <v>3</v>
      </c>
      <c r="AD3593" t="n">
        <v>0</v>
      </c>
      <c r="AE3593" t="n">
        <v>85632</v>
      </c>
      <c r="AF3593" t="n">
        <v>9703</v>
      </c>
      <c r="AG3593" t="n">
        <v>2308</v>
      </c>
      <c r="AH3593" t="inlineStr">
        <is>
          <t>PT. CITRA MUTIARA LESTARINDO - PPN (PDG)</t>
        </is>
      </c>
      <c r="AI3593" t="n">
        <v>834</v>
      </c>
      <c r="AJ3593" t="inlineStr">
        <is>
          <t>MORRIS</t>
        </is>
      </c>
      <c r="AK3593" t="n">
        <v>21</v>
      </c>
      <c r="AL3593" t="inlineStr">
        <is>
          <t>Miss Glam Damar</t>
        </is>
      </c>
      <c r="AM3593" t="n">
        <v>3</v>
      </c>
      <c r="AN3593" t="n">
        <v>350000</v>
      </c>
      <c r="AO3593" t="n">
        <v>0</v>
      </c>
      <c r="AP3593" t="inlineStr"/>
      <c r="AQ3593" t="inlineStr"/>
    </row>
    <row r="3594">
      <c r="A3594" t="inlineStr">
        <is>
          <t>MORRIS</t>
        </is>
      </c>
      <c r="B3594" s="2">
        <f>"8997016223146"</f>
        <v/>
      </c>
      <c r="C3594" t="inlineStr">
        <is>
          <t>MORRIS Eau De Parfume Captain America 100ml</t>
        </is>
      </c>
      <c r="D3594" t="inlineStr">
        <is>
          <t>Miss Glam Damar</t>
        </is>
      </c>
      <c r="E3594" t="n">
        <v>9</v>
      </c>
      <c r="F3594" t="n">
        <v>0.04550000000000001</v>
      </c>
      <c r="G3594" t="n">
        <v>0.91</v>
      </c>
      <c r="H3594" t="n">
        <v>1</v>
      </c>
      <c r="I3594" t="n">
        <v>3</v>
      </c>
      <c r="J3594" t="n">
        <v>3</v>
      </c>
      <c r="K3594" t="n">
        <v>0</v>
      </c>
      <c r="L3594" t="n">
        <v>28544</v>
      </c>
      <c r="M3594" t="n">
        <v>36000</v>
      </c>
      <c r="N3594" t="n">
        <v>91</v>
      </c>
      <c r="O3594" t="n">
        <v>0.91</v>
      </c>
      <c r="P3594" t="n">
        <v>1</v>
      </c>
      <c r="Q3594" t="n">
        <v>0.07000000000000001</v>
      </c>
      <c r="R3594" t="n">
        <v>2</v>
      </c>
      <c r="S3594" t="n">
        <v>1638</v>
      </c>
      <c r="T3594" t="n">
        <v>3</v>
      </c>
      <c r="U3594" t="n">
        <v>4</v>
      </c>
      <c r="V3594" t="n">
        <v>30</v>
      </c>
      <c r="W3594" t="n">
        <v>2</v>
      </c>
      <c r="X3594" t="n">
        <v>197.8021978021978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9703</v>
      </c>
      <c r="AG3594" t="n">
        <v>2308</v>
      </c>
      <c r="AH3594" t="inlineStr">
        <is>
          <t>PT. CITRA MUTIARA LESTARINDO - PPN (PDG)</t>
        </is>
      </c>
      <c r="AI3594" t="n">
        <v>834</v>
      </c>
      <c r="AJ3594" t="inlineStr">
        <is>
          <t>MORRIS</t>
        </is>
      </c>
      <c r="AK3594" t="n">
        <v>21</v>
      </c>
      <c r="AL3594" t="inlineStr">
        <is>
          <t>Miss Glam Damar</t>
        </is>
      </c>
      <c r="AM3594" t="n">
        <v>3</v>
      </c>
      <c r="AN3594" t="n">
        <v>350000</v>
      </c>
      <c r="AO3594" t="n">
        <v>0</v>
      </c>
      <c r="AP3594" t="inlineStr"/>
      <c r="AQ3594" t="inlineStr"/>
    </row>
    <row r="3595">
      <c r="A3595" t="inlineStr">
        <is>
          <t>MORRIS</t>
        </is>
      </c>
      <c r="B3595" s="2">
        <f>"8997016222682"</f>
        <v/>
      </c>
      <c r="C3595" t="inlineStr">
        <is>
          <t>MORRIS Eau De Parfume Hijab Edition Madinah 110ml</t>
        </is>
      </c>
      <c r="D3595" t="inlineStr">
        <is>
          <t>Miss Glam Damar</t>
        </is>
      </c>
      <c r="E3595" t="n">
        <v>6</v>
      </c>
      <c r="F3595" t="n">
        <v>0.1729</v>
      </c>
      <c r="G3595" t="n">
        <v>2.73</v>
      </c>
      <c r="H3595" t="n">
        <v>1</v>
      </c>
      <c r="I3595" t="n">
        <v>3</v>
      </c>
      <c r="J3595" t="n">
        <v>3</v>
      </c>
      <c r="K3595" t="n">
        <v>0</v>
      </c>
      <c r="L3595" t="n">
        <v>28544</v>
      </c>
      <c r="M3595" t="n">
        <v>35000</v>
      </c>
      <c r="N3595" t="n">
        <v>91</v>
      </c>
      <c r="O3595" t="n">
        <v>0.91</v>
      </c>
      <c r="P3595" t="n">
        <v>1</v>
      </c>
      <c r="Q3595" t="n">
        <v>0.1</v>
      </c>
      <c r="R3595" t="n">
        <v>1</v>
      </c>
      <c r="S3595" t="n">
        <v>6051.5</v>
      </c>
      <c r="T3595" t="n">
        <v>9</v>
      </c>
      <c r="U3595" t="n">
        <v>10</v>
      </c>
      <c r="V3595" t="n">
        <v>30</v>
      </c>
      <c r="W3595" t="n">
        <v>6</v>
      </c>
      <c r="X3595" t="n">
        <v>34.70213996529786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9703</v>
      </c>
      <c r="AG3595" t="n">
        <v>2308</v>
      </c>
      <c r="AH3595" t="inlineStr">
        <is>
          <t>PT. CITRA MUTIARA LESTARINDO - PPN (PDG)</t>
        </is>
      </c>
      <c r="AI3595" t="n">
        <v>834</v>
      </c>
      <c r="AJ3595" t="inlineStr">
        <is>
          <t>MORRIS</t>
        </is>
      </c>
      <c r="AK3595" t="n">
        <v>21</v>
      </c>
      <c r="AL3595" t="inlineStr">
        <is>
          <t>Miss Glam Damar</t>
        </is>
      </c>
      <c r="AM3595" t="n">
        <v>3</v>
      </c>
      <c r="AN3595" t="n">
        <v>350000</v>
      </c>
      <c r="AO3595" t="n">
        <v>0</v>
      </c>
      <c r="AP3595" t="inlineStr"/>
      <c r="AQ3595" t="inlineStr"/>
    </row>
    <row r="3596">
      <c r="A3596" t="inlineStr">
        <is>
          <t>MORRIS</t>
        </is>
      </c>
      <c r="B3596" s="2">
        <f>"8997016223160"</f>
        <v/>
      </c>
      <c r="C3596" t="inlineStr">
        <is>
          <t>MORRIS Eau De Parfume Spiderman 100ml</t>
        </is>
      </c>
      <c r="D3596" t="inlineStr">
        <is>
          <t>Miss Glam Damar</t>
        </is>
      </c>
      <c r="E3596" t="n">
        <v>4</v>
      </c>
      <c r="F3596" t="n">
        <v>0.0273</v>
      </c>
      <c r="G3596" t="n">
        <v>0.91</v>
      </c>
      <c r="H3596" t="n">
        <v>1</v>
      </c>
      <c r="I3596" t="n">
        <v>3</v>
      </c>
      <c r="J3596" t="n">
        <v>3</v>
      </c>
      <c r="K3596" t="n">
        <v>0</v>
      </c>
      <c r="L3596" t="n">
        <v>28544</v>
      </c>
      <c r="M3596" t="n">
        <v>36000</v>
      </c>
      <c r="N3596" t="n">
        <v>91</v>
      </c>
      <c r="O3596" t="n">
        <v>0.91</v>
      </c>
      <c r="P3596" t="n">
        <v>1</v>
      </c>
      <c r="Q3596" t="n">
        <v>0.05</v>
      </c>
      <c r="R3596" t="n">
        <v>1</v>
      </c>
      <c r="S3596" t="n">
        <v>982.8000000000001</v>
      </c>
      <c r="T3596" t="n">
        <v>3</v>
      </c>
      <c r="U3596" t="n">
        <v>4</v>
      </c>
      <c r="V3596" t="n">
        <v>30</v>
      </c>
      <c r="W3596" t="n">
        <v>1</v>
      </c>
      <c r="X3596" t="n">
        <v>146.5201465201465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9703</v>
      </c>
      <c r="AG3596" t="n">
        <v>2308</v>
      </c>
      <c r="AH3596" t="inlineStr">
        <is>
          <t>PT. CITRA MUTIARA LESTARINDO - PPN (PDG)</t>
        </is>
      </c>
      <c r="AI3596" t="n">
        <v>834</v>
      </c>
      <c r="AJ3596" t="inlineStr">
        <is>
          <t>MORRIS</t>
        </is>
      </c>
      <c r="AK3596" t="n">
        <v>21</v>
      </c>
      <c r="AL3596" t="inlineStr">
        <is>
          <t>Miss Glam Damar</t>
        </is>
      </c>
      <c r="AM3596" t="n">
        <v>3</v>
      </c>
      <c r="AN3596" t="n">
        <v>350000</v>
      </c>
      <c r="AO3596" t="n">
        <v>0</v>
      </c>
      <c r="AP3596" t="inlineStr"/>
      <c r="AQ3596" t="inlineStr"/>
    </row>
    <row r="3597">
      <c r="A3597" t="inlineStr">
        <is>
          <t>MORRIS</t>
        </is>
      </c>
      <c r="B3597" s="2">
        <f>"8997016223788"</f>
        <v/>
      </c>
      <c r="C3597" t="inlineStr">
        <is>
          <t>MORRIS Fine Fragrance Mist Special Edition Mickey Mousse 100ml</t>
        </is>
      </c>
      <c r="D3597" t="inlineStr">
        <is>
          <t>Miss Glam Damar</t>
        </is>
      </c>
      <c r="E3597" t="n">
        <v>2</v>
      </c>
      <c r="F3597" t="n">
        <v>0.0182</v>
      </c>
      <c r="G3597" t="n">
        <v>0.91</v>
      </c>
      <c r="H3597" t="n">
        <v>1</v>
      </c>
      <c r="I3597" t="n">
        <v>3</v>
      </c>
      <c r="J3597" t="n">
        <v>3</v>
      </c>
      <c r="K3597" t="n">
        <v>0</v>
      </c>
      <c r="L3597" t="n">
        <v>13320</v>
      </c>
      <c r="M3597" t="n">
        <v>20000</v>
      </c>
      <c r="N3597" t="n">
        <v>91</v>
      </c>
      <c r="O3597" t="n">
        <v>0.91</v>
      </c>
      <c r="P3597" t="n">
        <v>1</v>
      </c>
      <c r="Q3597" t="n">
        <v>0.12</v>
      </c>
      <c r="R3597" t="n">
        <v>1</v>
      </c>
      <c r="S3597" t="n">
        <v>364</v>
      </c>
      <c r="T3597" t="n">
        <v>3</v>
      </c>
      <c r="U3597" t="n">
        <v>4</v>
      </c>
      <c r="V3597" t="n">
        <v>30</v>
      </c>
      <c r="W3597" t="n">
        <v>1</v>
      </c>
      <c r="X3597" t="n">
        <v>109.8901098901099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9703</v>
      </c>
      <c r="AG3597" t="n">
        <v>2308</v>
      </c>
      <c r="AH3597" t="inlineStr">
        <is>
          <t>PT. CITRA MUTIARA LESTARINDO - PPN (PDG)</t>
        </is>
      </c>
      <c r="AI3597" t="n">
        <v>834</v>
      </c>
      <c r="AJ3597" t="inlineStr">
        <is>
          <t>MORRIS</t>
        </is>
      </c>
      <c r="AK3597" t="n">
        <v>21</v>
      </c>
      <c r="AL3597" t="inlineStr">
        <is>
          <t>Miss Glam Damar</t>
        </is>
      </c>
      <c r="AM3597" t="n">
        <v>3</v>
      </c>
      <c r="AN3597" t="n">
        <v>350000</v>
      </c>
      <c r="AO3597" t="n">
        <v>0</v>
      </c>
      <c r="AP3597" t="inlineStr"/>
      <c r="AQ3597" t="inlineStr"/>
    </row>
    <row r="3598">
      <c r="A3598" t="inlineStr">
        <is>
          <t>MORRIS</t>
        </is>
      </c>
      <c r="B3598" s="2">
        <f>"8997016223795"</f>
        <v/>
      </c>
      <c r="C3598" t="inlineStr">
        <is>
          <t>MORRIS Fine Fragrance Mist Special Edition Minnie Mouse 100ml</t>
        </is>
      </c>
      <c r="D3598" t="inlineStr">
        <is>
          <t>Miss Glam Damar</t>
        </is>
      </c>
      <c r="E3598" t="n">
        <v>1</v>
      </c>
      <c r="F3598" t="n">
        <v>0.0273</v>
      </c>
      <c r="G3598" t="n">
        <v>0.91</v>
      </c>
      <c r="H3598" t="n">
        <v>1</v>
      </c>
      <c r="I3598" t="n">
        <v>3</v>
      </c>
      <c r="J3598" t="n">
        <v>3</v>
      </c>
      <c r="K3598" t="n">
        <v>0</v>
      </c>
      <c r="L3598" t="n">
        <v>13320</v>
      </c>
      <c r="M3598" t="n">
        <v>17000</v>
      </c>
      <c r="N3598" t="n">
        <v>91</v>
      </c>
      <c r="O3598" t="n">
        <v>0.91</v>
      </c>
      <c r="P3598" t="n">
        <v>1</v>
      </c>
      <c r="Q3598" t="n">
        <v>0.07000000000000001</v>
      </c>
      <c r="R3598" t="n">
        <v>2</v>
      </c>
      <c r="S3598" t="n">
        <v>464.1</v>
      </c>
      <c r="T3598" t="n">
        <v>3</v>
      </c>
      <c r="U3598" t="n">
        <v>4</v>
      </c>
      <c r="V3598" t="n">
        <v>30</v>
      </c>
      <c r="W3598" t="n">
        <v>1</v>
      </c>
      <c r="X3598" t="n">
        <v>36.63003663003663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9703</v>
      </c>
      <c r="AG3598" t="n">
        <v>2308</v>
      </c>
      <c r="AH3598" t="inlineStr">
        <is>
          <t>PT. CITRA MUTIARA LESTARINDO - PPN (PDG)</t>
        </is>
      </c>
      <c r="AI3598" t="n">
        <v>834</v>
      </c>
      <c r="AJ3598" t="inlineStr">
        <is>
          <t>MORRIS</t>
        </is>
      </c>
      <c r="AK3598" t="n">
        <v>21</v>
      </c>
      <c r="AL3598" t="inlineStr">
        <is>
          <t>Miss Glam Damar</t>
        </is>
      </c>
      <c r="AM3598" t="n">
        <v>3</v>
      </c>
      <c r="AN3598" t="n">
        <v>350000</v>
      </c>
      <c r="AO3598" t="n">
        <v>0</v>
      </c>
      <c r="AP3598" t="inlineStr"/>
      <c r="AQ3598" t="inlineStr"/>
    </row>
    <row r="3599">
      <c r="A3599" t="inlineStr">
        <is>
          <t>MORRIS</t>
        </is>
      </c>
      <c r="B3599" s="2">
        <f>"8997016222910"</f>
        <v/>
      </c>
      <c r="C3599" t="inlineStr">
        <is>
          <t>MORRIS Hair Clay Matte Finish Firm Hold Hair Performance Booster 80gr</t>
        </is>
      </c>
      <c r="D3599" t="inlineStr">
        <is>
          <t>Miss Glam Damar</t>
        </is>
      </c>
      <c r="E3599" t="n">
        <v>4</v>
      </c>
      <c r="F3599" t="n">
        <v>0.22</v>
      </c>
      <c r="G3599" t="n">
        <v>1</v>
      </c>
      <c r="H3599" t="n">
        <v>1</v>
      </c>
      <c r="I3599" t="n">
        <v>3</v>
      </c>
      <c r="J3599" t="n">
        <v>3</v>
      </c>
      <c r="K3599" t="n">
        <v>0</v>
      </c>
      <c r="L3599" t="n">
        <v>28544</v>
      </c>
      <c r="M3599" t="n">
        <v>54000</v>
      </c>
      <c r="N3599" t="n">
        <v>91</v>
      </c>
      <c r="O3599" t="n">
        <v>0.91</v>
      </c>
      <c r="P3599" t="n">
        <v>0</v>
      </c>
      <c r="Q3599" t="n">
        <v>0.22</v>
      </c>
      <c r="R3599" t="n">
        <v>1</v>
      </c>
      <c r="S3599" t="n">
        <v>11880</v>
      </c>
      <c r="T3599" t="n">
        <v>3</v>
      </c>
      <c r="U3599" t="n">
        <v>4</v>
      </c>
      <c r="V3599" t="n">
        <v>30</v>
      </c>
      <c r="W3599" t="n">
        <v>7</v>
      </c>
      <c r="X3599" t="n">
        <v>18.18181818181818</v>
      </c>
      <c r="Y3599" t="n">
        <v>1</v>
      </c>
      <c r="Z3599" t="n">
        <v>3</v>
      </c>
      <c r="AA3599" t="n">
        <v>0</v>
      </c>
      <c r="AB3599" t="n">
        <v>3</v>
      </c>
      <c r="AC3599" t="n">
        <v>3</v>
      </c>
      <c r="AD3599" t="n">
        <v>0</v>
      </c>
      <c r="AE3599" t="n">
        <v>85632</v>
      </c>
      <c r="AF3599" t="n">
        <v>9703</v>
      </c>
      <c r="AG3599" t="n">
        <v>2308</v>
      </c>
      <c r="AH3599" t="inlineStr">
        <is>
          <t>PT. CITRA MUTIARA LESTARINDO - PPN (PDG)</t>
        </is>
      </c>
      <c r="AI3599" t="n">
        <v>834</v>
      </c>
      <c r="AJ3599" t="inlineStr">
        <is>
          <t>MORRIS</t>
        </is>
      </c>
      <c r="AK3599" t="n">
        <v>21</v>
      </c>
      <c r="AL3599" t="inlineStr">
        <is>
          <t>Miss Glam Damar</t>
        </is>
      </c>
      <c r="AM3599" t="n">
        <v>3</v>
      </c>
      <c r="AN3599" t="n">
        <v>350000</v>
      </c>
      <c r="AO3599" t="n">
        <v>0</v>
      </c>
      <c r="AP3599" t="inlineStr"/>
      <c r="AQ3599" t="inlineStr"/>
    </row>
    <row r="3600">
      <c r="A3600" t="inlineStr">
        <is>
          <t>MORRIS</t>
        </is>
      </c>
      <c r="B3600" s="2">
        <f>"8997016221807"</f>
        <v/>
      </c>
      <c r="C3600" t="inlineStr">
        <is>
          <t>MORRIS Life Style Edition Perfume Adventure</t>
        </is>
      </c>
      <c r="D3600" t="inlineStr">
        <is>
          <t>Miss Glam Damar</t>
        </is>
      </c>
      <c r="E3600" t="n">
        <v>1</v>
      </c>
      <c r="F3600" t="n">
        <v>0.0182</v>
      </c>
      <c r="G3600" t="n">
        <v>0.91</v>
      </c>
      <c r="H3600" t="n">
        <v>1</v>
      </c>
      <c r="I3600" t="n">
        <v>3</v>
      </c>
      <c r="J3600" t="n">
        <v>3</v>
      </c>
      <c r="K3600" t="n">
        <v>0</v>
      </c>
      <c r="L3600" t="n">
        <v>28544</v>
      </c>
      <c r="M3600" t="n">
        <v>34000</v>
      </c>
      <c r="N3600" t="n">
        <v>91</v>
      </c>
      <c r="O3600" t="n">
        <v>0.91</v>
      </c>
      <c r="P3600" t="n">
        <v>1</v>
      </c>
      <c r="Q3600" t="n">
        <v>0.05</v>
      </c>
      <c r="R3600" t="n">
        <v>1</v>
      </c>
      <c r="S3600" t="n">
        <v>618.8000000000001</v>
      </c>
      <c r="T3600" t="n">
        <v>3</v>
      </c>
      <c r="U3600" t="n">
        <v>4</v>
      </c>
      <c r="V3600" t="n">
        <v>30</v>
      </c>
      <c r="W3600" t="n">
        <v>1</v>
      </c>
      <c r="X3600" t="n">
        <v>54.94505494505494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9703</v>
      </c>
      <c r="AG3600" t="n">
        <v>2308</v>
      </c>
      <c r="AH3600" t="inlineStr">
        <is>
          <t>PT. CITRA MUTIARA LESTARINDO - PPN (PDG)</t>
        </is>
      </c>
      <c r="AI3600" t="n">
        <v>834</v>
      </c>
      <c r="AJ3600" t="inlineStr">
        <is>
          <t>MORRIS</t>
        </is>
      </c>
      <c r="AK3600" t="n">
        <v>21</v>
      </c>
      <c r="AL3600" t="inlineStr">
        <is>
          <t>Miss Glam Damar</t>
        </is>
      </c>
      <c r="AM3600" t="n">
        <v>3</v>
      </c>
      <c r="AN3600" t="n">
        <v>350000</v>
      </c>
      <c r="AO3600" t="n">
        <v>0</v>
      </c>
      <c r="AP3600" t="inlineStr"/>
      <c r="AQ3600" t="inlineStr"/>
    </row>
    <row r="3601">
      <c r="A3601" t="inlineStr">
        <is>
          <t>MORRIS</t>
        </is>
      </c>
      <c r="B3601" s="2">
        <f>"8997016221777"</f>
        <v/>
      </c>
      <c r="C3601" t="inlineStr">
        <is>
          <t>MORRIS Life Style Edition Perfume Creative</t>
        </is>
      </c>
      <c r="D3601" t="inlineStr">
        <is>
          <t>Miss Glam Damar</t>
        </is>
      </c>
      <c r="E3601" t="n">
        <v>5</v>
      </c>
      <c r="F3601" t="n">
        <v>0.04550000000000001</v>
      </c>
      <c r="G3601" t="n">
        <v>0.91</v>
      </c>
      <c r="H3601" t="n">
        <v>1</v>
      </c>
      <c r="I3601" t="n">
        <v>3</v>
      </c>
      <c r="J3601" t="n">
        <v>3</v>
      </c>
      <c r="K3601" t="n">
        <v>0</v>
      </c>
      <c r="L3601" t="n">
        <v>28544</v>
      </c>
      <c r="M3601" t="n">
        <v>34000</v>
      </c>
      <c r="N3601" t="n">
        <v>91</v>
      </c>
      <c r="O3601" t="n">
        <v>0.91</v>
      </c>
      <c r="P3601" t="n">
        <v>1</v>
      </c>
      <c r="Q3601" t="n">
        <v>0.07000000000000001</v>
      </c>
      <c r="R3601" t="n">
        <v>1</v>
      </c>
      <c r="S3601" t="n">
        <v>1547</v>
      </c>
      <c r="T3601" t="n">
        <v>3</v>
      </c>
      <c r="U3601" t="n">
        <v>4</v>
      </c>
      <c r="V3601" t="n">
        <v>30</v>
      </c>
      <c r="W3601" t="n">
        <v>2</v>
      </c>
      <c r="X3601" t="n">
        <v>109.8901098901099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9703</v>
      </c>
      <c r="AG3601" t="n">
        <v>2308</v>
      </c>
      <c r="AH3601" t="inlineStr">
        <is>
          <t>PT. CITRA MUTIARA LESTARINDO - PPN (PDG)</t>
        </is>
      </c>
      <c r="AI3601" t="n">
        <v>834</v>
      </c>
      <c r="AJ3601" t="inlineStr">
        <is>
          <t>MORRIS</t>
        </is>
      </c>
      <c r="AK3601" t="n">
        <v>21</v>
      </c>
      <c r="AL3601" t="inlineStr">
        <is>
          <t>Miss Glam Damar</t>
        </is>
      </c>
      <c r="AM3601" t="n">
        <v>3</v>
      </c>
      <c r="AN3601" t="n">
        <v>350000</v>
      </c>
      <c r="AO3601" t="n">
        <v>0</v>
      </c>
      <c r="AP3601" t="inlineStr"/>
      <c r="AQ3601" t="inlineStr"/>
    </row>
    <row r="3602">
      <c r="A3602" t="inlineStr">
        <is>
          <t>MORRIS</t>
        </is>
      </c>
      <c r="B3602" s="2">
        <f>"30400255112"</f>
        <v/>
      </c>
      <c r="C3602" t="inlineStr">
        <is>
          <t>MORRIS Life Style Edition Perfume Independent 100ml</t>
        </is>
      </c>
      <c r="D3602" t="inlineStr">
        <is>
          <t>Miss Glam Damar</t>
        </is>
      </c>
      <c r="E3602" t="n">
        <v>0</v>
      </c>
      <c r="F3602" t="n">
        <v>0.04550000000000001</v>
      </c>
      <c r="G3602" t="n">
        <v>0.91</v>
      </c>
      <c r="H3602" t="n">
        <v>1</v>
      </c>
      <c r="I3602" t="n">
        <v>3</v>
      </c>
      <c r="J3602" t="n">
        <v>1</v>
      </c>
      <c r="K3602" t="n">
        <v>0</v>
      </c>
      <c r="L3602" t="n">
        <v>28544</v>
      </c>
      <c r="M3602" t="n">
        <v>34000</v>
      </c>
      <c r="N3602" t="n">
        <v>91</v>
      </c>
      <c r="O3602" t="n">
        <v>0.91</v>
      </c>
      <c r="P3602" t="n">
        <v>1</v>
      </c>
      <c r="Q3602" t="n">
        <v>0.07000000000000001</v>
      </c>
      <c r="R3602" t="n">
        <v>1</v>
      </c>
      <c r="S3602" t="n">
        <v>1547</v>
      </c>
      <c r="T3602" t="n">
        <v>3</v>
      </c>
      <c r="U3602" t="n">
        <v>4</v>
      </c>
      <c r="V3602" t="n">
        <v>30</v>
      </c>
      <c r="W3602" t="n">
        <v>2</v>
      </c>
      <c r="X3602" t="n">
        <v>0</v>
      </c>
      <c r="Y3602" t="n">
        <v>1</v>
      </c>
      <c r="Z3602" t="n">
        <v>2</v>
      </c>
      <c r="AA3602" t="n">
        <v>1</v>
      </c>
      <c r="AB3602" t="n">
        <v>1</v>
      </c>
      <c r="AC3602" t="n">
        <v>1</v>
      </c>
      <c r="AD3602" t="n">
        <v>28544</v>
      </c>
      <c r="AE3602" t="n">
        <v>28544</v>
      </c>
      <c r="AF3602" t="n">
        <v>9703</v>
      </c>
      <c r="AG3602" t="n">
        <v>2308</v>
      </c>
      <c r="AH3602" t="inlineStr">
        <is>
          <t>PT. CITRA MUTIARA LESTARINDO - PPN (PDG)</t>
        </is>
      </c>
      <c r="AI3602" t="n">
        <v>834</v>
      </c>
      <c r="AJ3602" t="inlineStr">
        <is>
          <t>MORRIS</t>
        </is>
      </c>
      <c r="AK3602" t="n">
        <v>21</v>
      </c>
      <c r="AL3602" t="inlineStr">
        <is>
          <t>Miss Glam Damar</t>
        </is>
      </c>
      <c r="AM3602" t="n">
        <v>3</v>
      </c>
      <c r="AN3602" t="n">
        <v>350000</v>
      </c>
      <c r="AO3602" t="n">
        <v>0</v>
      </c>
      <c r="AP3602" t="inlineStr"/>
      <c r="AQ3602" t="inlineStr"/>
    </row>
    <row r="3603">
      <c r="A3603" t="inlineStr">
        <is>
          <t>MORRIS</t>
        </is>
      </c>
      <c r="B3603" s="2">
        <f>"8997016221784"</f>
        <v/>
      </c>
      <c r="C3603" t="inlineStr">
        <is>
          <t>MORRIS Life Style Edition Perfume Metropolis</t>
        </is>
      </c>
      <c r="D3603" t="inlineStr">
        <is>
          <t>Miss Glam Damar</t>
        </is>
      </c>
      <c r="E3603" t="n">
        <v>2</v>
      </c>
      <c r="F3603" t="n">
        <v>0.24</v>
      </c>
      <c r="G3603" t="n">
        <v>2</v>
      </c>
      <c r="H3603" t="n">
        <v>1</v>
      </c>
      <c r="I3603" t="n">
        <v>3</v>
      </c>
      <c r="J3603" t="n">
        <v>3</v>
      </c>
      <c r="K3603" t="n">
        <v>0</v>
      </c>
      <c r="L3603" t="n">
        <v>28544</v>
      </c>
      <c r="M3603" t="n">
        <v>34000</v>
      </c>
      <c r="N3603" t="n">
        <v>91</v>
      </c>
      <c r="O3603" t="n">
        <v>0.91</v>
      </c>
      <c r="P3603" t="n">
        <v>0</v>
      </c>
      <c r="Q3603" t="n">
        <v>0.24</v>
      </c>
      <c r="R3603" t="n">
        <v>2</v>
      </c>
      <c r="S3603" t="n">
        <v>8160</v>
      </c>
      <c r="T3603" t="n">
        <v>6</v>
      </c>
      <c r="U3603" t="n">
        <v>7</v>
      </c>
      <c r="V3603" t="n">
        <v>30</v>
      </c>
      <c r="W3603" t="n">
        <v>8</v>
      </c>
      <c r="X3603" t="n">
        <v>8.333333333333334</v>
      </c>
      <c r="Y3603" t="n">
        <v>1</v>
      </c>
      <c r="Z3603" t="n">
        <v>6</v>
      </c>
      <c r="AA3603" t="n">
        <v>0</v>
      </c>
      <c r="AB3603" t="n">
        <v>6</v>
      </c>
      <c r="AC3603" t="n">
        <v>6</v>
      </c>
      <c r="AD3603" t="n">
        <v>0</v>
      </c>
      <c r="AE3603" t="n">
        <v>171264</v>
      </c>
      <c r="AF3603" t="n">
        <v>9703</v>
      </c>
      <c r="AG3603" t="n">
        <v>2308</v>
      </c>
      <c r="AH3603" t="inlineStr">
        <is>
          <t>PT. CITRA MUTIARA LESTARINDO - PPN (PDG)</t>
        </is>
      </c>
      <c r="AI3603" t="n">
        <v>834</v>
      </c>
      <c r="AJ3603" t="inlineStr">
        <is>
          <t>MORRIS</t>
        </is>
      </c>
      <c r="AK3603" t="n">
        <v>21</v>
      </c>
      <c r="AL3603" t="inlineStr">
        <is>
          <t>Miss Glam Damar</t>
        </is>
      </c>
      <c r="AM3603" t="n">
        <v>3</v>
      </c>
      <c r="AN3603" t="n">
        <v>350000</v>
      </c>
      <c r="AO3603" t="n">
        <v>0</v>
      </c>
      <c r="AP3603" t="inlineStr"/>
      <c r="AQ3603" t="inlineStr"/>
    </row>
    <row r="3604">
      <c r="A3604" t="inlineStr">
        <is>
          <t>MORRIS</t>
        </is>
      </c>
      <c r="B3604" s="2">
        <f>"30400255206"</f>
        <v/>
      </c>
      <c r="C3604" t="inlineStr">
        <is>
          <t>MORRIS Life Style Edition Perfume Vintage 100ml</t>
        </is>
      </c>
      <c r="D3604" t="inlineStr">
        <is>
          <t>Miss Glam Damar</t>
        </is>
      </c>
      <c r="E3604" t="n">
        <v>2</v>
      </c>
      <c r="F3604" t="n">
        <v>0.0273</v>
      </c>
      <c r="G3604" t="n">
        <v>0.91</v>
      </c>
      <c r="H3604" t="n">
        <v>1</v>
      </c>
      <c r="I3604" t="n">
        <v>3</v>
      </c>
      <c r="J3604" t="n">
        <v>1</v>
      </c>
      <c r="K3604" t="n">
        <v>0</v>
      </c>
      <c r="L3604" t="n">
        <v>28544</v>
      </c>
      <c r="M3604" t="n">
        <v>34000</v>
      </c>
      <c r="N3604" t="n">
        <v>91</v>
      </c>
      <c r="O3604" t="n">
        <v>0.91</v>
      </c>
      <c r="P3604" t="n">
        <v>1</v>
      </c>
      <c r="Q3604" t="n">
        <v>0.08</v>
      </c>
      <c r="R3604" t="n">
        <v>1</v>
      </c>
      <c r="S3604" t="n">
        <v>928.2</v>
      </c>
      <c r="T3604" t="n">
        <v>3</v>
      </c>
      <c r="U3604" t="n">
        <v>4</v>
      </c>
      <c r="V3604" t="n">
        <v>30</v>
      </c>
      <c r="W3604" t="n">
        <v>1</v>
      </c>
      <c r="X3604" t="n">
        <v>73.26007326007326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9703</v>
      </c>
      <c r="AG3604" t="n">
        <v>2308</v>
      </c>
      <c r="AH3604" t="inlineStr">
        <is>
          <t>PT. CITRA MUTIARA LESTARINDO - PPN (PDG)</t>
        </is>
      </c>
      <c r="AI3604" t="n">
        <v>834</v>
      </c>
      <c r="AJ3604" t="inlineStr">
        <is>
          <t>MORRIS</t>
        </is>
      </c>
      <c r="AK3604" t="n">
        <v>21</v>
      </c>
      <c r="AL3604" t="inlineStr">
        <is>
          <t>Miss Glam Damar</t>
        </is>
      </c>
      <c r="AM3604" t="n">
        <v>3</v>
      </c>
      <c r="AN3604" t="n">
        <v>350000</v>
      </c>
      <c r="AO3604" t="n">
        <v>0</v>
      </c>
      <c r="AP3604" t="inlineStr"/>
      <c r="AQ3604" t="inlineStr"/>
    </row>
    <row r="3605">
      <c r="A3605" t="inlineStr">
        <is>
          <t>MORRIS</t>
        </is>
      </c>
      <c r="B3605" s="2">
        <f>"8997016222989"</f>
        <v/>
      </c>
      <c r="C3605" t="inlineStr">
        <is>
          <t>MORRIS Premium Hair Pomade Shiny Look-Luxury Scent Hair Vitamin Booster 80gr</t>
        </is>
      </c>
      <c r="D3605" t="inlineStr">
        <is>
          <t>Miss Glam Damar</t>
        </is>
      </c>
      <c r="E3605" t="n">
        <v>2</v>
      </c>
      <c r="F3605" t="n">
        <v>0.1</v>
      </c>
      <c r="G3605" t="n">
        <v>1</v>
      </c>
      <c r="H3605" t="n">
        <v>1</v>
      </c>
      <c r="I3605" t="n">
        <v>3</v>
      </c>
      <c r="J3605" t="n">
        <v>3</v>
      </c>
      <c r="K3605" t="n">
        <v>0</v>
      </c>
      <c r="L3605" t="n">
        <v>28544</v>
      </c>
      <c r="M3605" t="n">
        <v>54000</v>
      </c>
      <c r="N3605" t="n">
        <v>91</v>
      </c>
      <c r="O3605" t="n">
        <v>0.91</v>
      </c>
      <c r="P3605" t="n">
        <v>0</v>
      </c>
      <c r="Q3605" t="n">
        <v>0.1</v>
      </c>
      <c r="R3605" t="n">
        <v>1</v>
      </c>
      <c r="S3605" t="n">
        <v>5400</v>
      </c>
      <c r="T3605" t="n">
        <v>3</v>
      </c>
      <c r="U3605" t="n">
        <v>4</v>
      </c>
      <c r="V3605" t="n">
        <v>30</v>
      </c>
      <c r="W3605" t="n">
        <v>3</v>
      </c>
      <c r="X3605" t="n">
        <v>20</v>
      </c>
      <c r="Y3605" t="n">
        <v>1</v>
      </c>
      <c r="Z3605" t="n">
        <v>1</v>
      </c>
      <c r="AA3605" t="n">
        <v>0</v>
      </c>
      <c r="AB3605" t="n">
        <v>1</v>
      </c>
      <c r="AC3605" t="n">
        <v>3</v>
      </c>
      <c r="AD3605" t="n">
        <v>0</v>
      </c>
      <c r="AE3605" t="n">
        <v>85632</v>
      </c>
      <c r="AF3605" t="n">
        <v>9703</v>
      </c>
      <c r="AG3605" t="n">
        <v>2308</v>
      </c>
      <c r="AH3605" t="inlineStr">
        <is>
          <t>PT. CITRA MUTIARA LESTARINDO - PPN (PDG)</t>
        </is>
      </c>
      <c r="AI3605" t="n">
        <v>834</v>
      </c>
      <c r="AJ3605" t="inlineStr">
        <is>
          <t>MORRIS</t>
        </is>
      </c>
      <c r="AK3605" t="n">
        <v>21</v>
      </c>
      <c r="AL3605" t="inlineStr">
        <is>
          <t>Miss Glam Damar</t>
        </is>
      </c>
      <c r="AM3605" t="n">
        <v>3</v>
      </c>
      <c r="AN3605" t="n">
        <v>350000</v>
      </c>
      <c r="AO3605" t="n">
        <v>0</v>
      </c>
      <c r="AP3605" t="inlineStr"/>
      <c r="AQ3605" t="inlineStr"/>
    </row>
    <row r="3606">
      <c r="A3606" t="inlineStr">
        <is>
          <t>MOSSERU</t>
        </is>
      </c>
      <c r="B3606" s="2">
        <f>"10200298635"</f>
        <v/>
      </c>
      <c r="C3606" t="inlineStr">
        <is>
          <t>MOSSERU 2% Salicylic Acne Solution Serum 20ml</t>
        </is>
      </c>
      <c r="D3606" t="inlineStr">
        <is>
          <t>Miss Glam Damar</t>
        </is>
      </c>
      <c r="E3606" t="n">
        <v>15</v>
      </c>
      <c r="F3606" t="n">
        <v>0.03</v>
      </c>
      <c r="G3606" t="n">
        <v>1</v>
      </c>
      <c r="H3606" t="n">
        <v>4</v>
      </c>
      <c r="I3606" t="n">
        <v>21</v>
      </c>
      <c r="J3606" t="n">
        <v>3</v>
      </c>
      <c r="K3606" t="n">
        <v>0</v>
      </c>
      <c r="L3606" t="n">
        <v>86250</v>
      </c>
      <c r="M3606" t="n">
        <v>115000</v>
      </c>
      <c r="N3606" t="n">
        <v>91</v>
      </c>
      <c r="O3606" t="n">
        <v>0.91</v>
      </c>
      <c r="P3606" t="n">
        <v>0</v>
      </c>
      <c r="Q3606" t="n">
        <v>0.03</v>
      </c>
      <c r="R3606" t="n">
        <v>1</v>
      </c>
      <c r="S3606" t="n">
        <v>3450</v>
      </c>
      <c r="T3606" t="n">
        <v>21</v>
      </c>
      <c r="U3606" t="n">
        <v>22</v>
      </c>
      <c r="V3606" t="n">
        <v>30</v>
      </c>
      <c r="W3606" t="n">
        <v>1</v>
      </c>
      <c r="X3606" t="n">
        <v>500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6918</v>
      </c>
      <c r="AG3606" t="n">
        <v>1</v>
      </c>
      <c r="AH3606" t="inlineStr">
        <is>
          <t>PT. BERSAMA DISTRIVERSA INDONESIA (DC CIPUTAT)</t>
        </is>
      </c>
      <c r="AI3606" t="n">
        <v>1975</v>
      </c>
      <c r="AJ3606" t="inlineStr">
        <is>
          <t>MOSSERU</t>
        </is>
      </c>
      <c r="AK3606" t="n">
        <v>21</v>
      </c>
      <c r="AL3606" t="inlineStr">
        <is>
          <t>Miss Glam Damar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MOTHER OF PEARL</t>
        </is>
      </c>
      <c r="B3607" s="2">
        <f>"8993883900982"</f>
        <v/>
      </c>
      <c r="C3607" t="inlineStr">
        <is>
          <t>MOTHER OF PEARL Bulletproof Matte 50ml</t>
        </is>
      </c>
      <c r="D3607" t="inlineStr">
        <is>
          <t>Miss Glam Damar</t>
        </is>
      </c>
      <c r="E3607" t="n">
        <v>6</v>
      </c>
      <c r="F3607" t="n">
        <v>0.0182</v>
      </c>
      <c r="G3607" t="n">
        <v>0.91</v>
      </c>
      <c r="H3607" t="n">
        <v>4</v>
      </c>
      <c r="I3607" t="n">
        <v>21</v>
      </c>
      <c r="J3607" t="n">
        <v>3</v>
      </c>
      <c r="K3607" t="n">
        <v>0</v>
      </c>
      <c r="L3607" t="n">
        <v>64775</v>
      </c>
      <c r="M3607" t="n">
        <v>129000</v>
      </c>
      <c r="N3607" t="n">
        <v>91</v>
      </c>
      <c r="O3607" t="n">
        <v>0.91</v>
      </c>
      <c r="P3607" t="n">
        <v>1</v>
      </c>
      <c r="Q3607" t="n">
        <v>0.02</v>
      </c>
      <c r="R3607" t="n">
        <v>1</v>
      </c>
      <c r="S3607" t="n">
        <v>2347.8</v>
      </c>
      <c r="T3607" t="n">
        <v>20</v>
      </c>
      <c r="U3607" t="n">
        <v>21</v>
      </c>
      <c r="V3607" t="n">
        <v>30</v>
      </c>
      <c r="W3607" t="n">
        <v>1</v>
      </c>
      <c r="X3607" t="n">
        <v>329.6703296703296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6951</v>
      </c>
      <c r="AG3607" t="n">
        <v>1</v>
      </c>
      <c r="AH3607" t="inlineStr">
        <is>
          <t>PT. BERSAMA DISTRIVERSA INDONESIA (DC CIPUTAT)</t>
        </is>
      </c>
      <c r="AI3607" t="n">
        <v>1469</v>
      </c>
      <c r="AJ3607" t="inlineStr">
        <is>
          <t>MOTHER OF PEARL</t>
        </is>
      </c>
      <c r="AK3607" t="n">
        <v>21</v>
      </c>
      <c r="AL3607" t="inlineStr">
        <is>
          <t>Miss Glam Damar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MOTHER OF PEARL</t>
        </is>
      </c>
      <c r="B3608" s="2">
        <f>"8993883900975"</f>
        <v/>
      </c>
      <c r="C3608" t="inlineStr">
        <is>
          <t>MOTHER OF PEARL Bulletproof Satin 50ml</t>
        </is>
      </c>
      <c r="D3608" t="inlineStr">
        <is>
          <t>Miss Glam Damar</t>
        </is>
      </c>
      <c r="E3608" t="n">
        <v>1</v>
      </c>
      <c r="F3608" t="n">
        <v>0.0728</v>
      </c>
      <c r="G3608" t="n">
        <v>0.91</v>
      </c>
      <c r="H3608" t="n">
        <v>4</v>
      </c>
      <c r="I3608" t="n">
        <v>21</v>
      </c>
      <c r="J3608" t="n">
        <v>3</v>
      </c>
      <c r="K3608" t="n">
        <v>3</v>
      </c>
      <c r="L3608" t="n">
        <v>62887</v>
      </c>
      <c r="M3608" t="n">
        <v>129000</v>
      </c>
      <c r="N3608" t="n">
        <v>91</v>
      </c>
      <c r="O3608" t="n">
        <v>0.91</v>
      </c>
      <c r="P3608" t="n">
        <v>1</v>
      </c>
      <c r="Q3608" t="n">
        <v>0.12</v>
      </c>
      <c r="R3608" t="n">
        <v>2</v>
      </c>
      <c r="S3608" t="n">
        <v>9391.200000000001</v>
      </c>
      <c r="T3608" t="n">
        <v>19</v>
      </c>
      <c r="U3608" t="n">
        <v>20</v>
      </c>
      <c r="V3608" t="n">
        <v>30</v>
      </c>
      <c r="W3608" t="n">
        <v>3</v>
      </c>
      <c r="X3608" t="n">
        <v>13.73626373626374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6951</v>
      </c>
      <c r="AG3608" t="n">
        <v>1</v>
      </c>
      <c r="AH3608" t="inlineStr">
        <is>
          <t>PT. BERSAMA DISTRIVERSA INDONESIA (DC CIPUTAT)</t>
        </is>
      </c>
      <c r="AI3608" t="n">
        <v>1469</v>
      </c>
      <c r="AJ3608" t="inlineStr">
        <is>
          <t>MOTHER OF PEARL</t>
        </is>
      </c>
      <c r="AK3608" t="n">
        <v>21</v>
      </c>
      <c r="AL3608" t="inlineStr">
        <is>
          <t>Miss Glam Damar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MOTHER OF PEARL</t>
        </is>
      </c>
      <c r="B3609" s="2">
        <f>"8993883900289"</f>
        <v/>
      </c>
      <c r="C3609" t="inlineStr">
        <is>
          <t>MOTHER OF PEARL G.W.S Plump Gloss 03 Berryphoria 4ml</t>
        </is>
      </c>
      <c r="D3609" t="inlineStr">
        <is>
          <t>Miss Glam Damar</t>
        </is>
      </c>
      <c r="E3609" t="n">
        <v>2</v>
      </c>
      <c r="F3609" t="n">
        <v>0.1365</v>
      </c>
      <c r="G3609" t="n">
        <v>2.73</v>
      </c>
      <c r="H3609" t="n">
        <v>4</v>
      </c>
      <c r="I3609" t="n">
        <v>21</v>
      </c>
      <c r="J3609" t="n">
        <v>3</v>
      </c>
      <c r="K3609" t="n">
        <v>0</v>
      </c>
      <c r="L3609" t="n">
        <v>67300</v>
      </c>
      <c r="M3609" t="n">
        <v>94000</v>
      </c>
      <c r="N3609" t="n">
        <v>91</v>
      </c>
      <c r="O3609" t="n">
        <v>0.91</v>
      </c>
      <c r="P3609" t="n">
        <v>1</v>
      </c>
      <c r="Q3609" t="n">
        <v>0.07000000000000001</v>
      </c>
      <c r="R3609" t="n">
        <v>2</v>
      </c>
      <c r="S3609" t="n">
        <v>12831</v>
      </c>
      <c r="T3609" t="n">
        <v>57</v>
      </c>
      <c r="U3609" t="n">
        <v>58</v>
      </c>
      <c r="V3609" t="n">
        <v>30</v>
      </c>
      <c r="W3609" t="n">
        <v>5</v>
      </c>
      <c r="X3609" t="n">
        <v>14.65201465201465</v>
      </c>
      <c r="Y3609" t="n">
        <v>1</v>
      </c>
      <c r="Z3609" t="n">
        <v>3</v>
      </c>
      <c r="AA3609" t="n">
        <v>1</v>
      </c>
      <c r="AB3609" t="n">
        <v>2</v>
      </c>
      <c r="AC3609" t="n">
        <v>3</v>
      </c>
      <c r="AD3609" t="n">
        <v>67300</v>
      </c>
      <c r="AE3609" t="n">
        <v>201900</v>
      </c>
      <c r="AF3609" t="n">
        <v>6951</v>
      </c>
      <c r="AG3609" t="n">
        <v>1</v>
      </c>
      <c r="AH3609" t="inlineStr">
        <is>
          <t>PT. BERSAMA DISTRIVERSA INDONESIA (DC CIPUTAT)</t>
        </is>
      </c>
      <c r="AI3609" t="n">
        <v>1469</v>
      </c>
      <c r="AJ3609" t="inlineStr">
        <is>
          <t>MOTHER OF PEARL</t>
        </is>
      </c>
      <c r="AK3609" t="n">
        <v>21</v>
      </c>
      <c r="AL3609" t="inlineStr">
        <is>
          <t>Miss Glam Damar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MOTHER OF PEARL</t>
        </is>
      </c>
      <c r="B3610" s="2">
        <f>"8993883901170"</f>
        <v/>
      </c>
      <c r="C3610" t="inlineStr">
        <is>
          <t>MOTHER OF PEARL G.W.S Plump Gloss 06 Rosy Posy 4ml</t>
        </is>
      </c>
      <c r="D3610" t="inlineStr">
        <is>
          <t>Miss Glam Damar</t>
        </is>
      </c>
      <c r="E3610" t="n">
        <v>3</v>
      </c>
      <c r="F3610" t="n">
        <v>0.0728</v>
      </c>
      <c r="G3610" t="n">
        <v>1.82</v>
      </c>
      <c r="H3610" t="n">
        <v>4</v>
      </c>
      <c r="I3610" t="n">
        <v>21</v>
      </c>
      <c r="J3610" t="n">
        <v>1</v>
      </c>
      <c r="K3610" t="n">
        <v>0</v>
      </c>
      <c r="L3610" t="n">
        <v>67300</v>
      </c>
      <c r="M3610" t="n">
        <v>99000</v>
      </c>
      <c r="N3610" t="n">
        <v>91</v>
      </c>
      <c r="O3610" t="n">
        <v>0.91</v>
      </c>
      <c r="P3610" t="n">
        <v>1</v>
      </c>
      <c r="Q3610" t="n">
        <v>0.07000000000000001</v>
      </c>
      <c r="R3610" t="n">
        <v>1</v>
      </c>
      <c r="S3610" t="n">
        <v>7207.200000000001</v>
      </c>
      <c r="T3610" t="n">
        <v>38</v>
      </c>
      <c r="U3610" t="n">
        <v>39</v>
      </c>
      <c r="V3610" t="n">
        <v>30</v>
      </c>
      <c r="W3610" t="n">
        <v>3</v>
      </c>
      <c r="X3610" t="n">
        <v>41.2087912087912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6951</v>
      </c>
      <c r="AG3610" t="n">
        <v>1</v>
      </c>
      <c r="AH3610" t="inlineStr">
        <is>
          <t>PT. BERSAMA DISTRIVERSA INDONESIA (DC CIPUTAT)</t>
        </is>
      </c>
      <c r="AI3610" t="n">
        <v>1469</v>
      </c>
      <c r="AJ3610" t="inlineStr">
        <is>
          <t>MOTHER OF PEARL</t>
        </is>
      </c>
      <c r="AK3610" t="n">
        <v>21</v>
      </c>
      <c r="AL3610" t="inlineStr">
        <is>
          <t>Miss Glam Damar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MOTHER OF PEARL</t>
        </is>
      </c>
      <c r="B3611" s="2">
        <f>"20300447652"</f>
        <v/>
      </c>
      <c r="C3611" t="inlineStr">
        <is>
          <t>MOTHER OF PEARL G.W.S X-TRA! Plump Gloss Fiery Peach 4ml</t>
        </is>
      </c>
      <c r="D3611" t="inlineStr">
        <is>
          <t>Miss Glam Damar</t>
        </is>
      </c>
      <c r="E3611" t="n">
        <v>2</v>
      </c>
      <c r="F3611" t="n">
        <v>0.05</v>
      </c>
      <c r="G3611" t="n">
        <v>1</v>
      </c>
      <c r="H3611" t="n">
        <v>4</v>
      </c>
      <c r="I3611" t="n">
        <v>21</v>
      </c>
      <c r="J3611" t="n">
        <v>1</v>
      </c>
      <c r="K3611" t="n">
        <v>0</v>
      </c>
      <c r="L3611" t="n">
        <v>65875</v>
      </c>
      <c r="M3611" t="n">
        <v>99000</v>
      </c>
      <c r="N3611" t="n">
        <v>91</v>
      </c>
      <c r="O3611" t="n">
        <v>0.91</v>
      </c>
      <c r="P3611" t="n">
        <v>0</v>
      </c>
      <c r="Q3611" t="n">
        <v>0.05</v>
      </c>
      <c r="R3611" t="n">
        <v>1</v>
      </c>
      <c r="S3611" t="n">
        <v>4950</v>
      </c>
      <c r="T3611" t="n">
        <v>21</v>
      </c>
      <c r="U3611" t="n">
        <v>22</v>
      </c>
      <c r="V3611" t="n">
        <v>30</v>
      </c>
      <c r="W3611" t="n">
        <v>2</v>
      </c>
      <c r="X3611" t="n">
        <v>40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6951</v>
      </c>
      <c r="AG3611" t="n">
        <v>1</v>
      </c>
      <c r="AH3611" t="inlineStr">
        <is>
          <t>PT. BERSAMA DISTRIVERSA INDONESIA (DC CIPUTAT)</t>
        </is>
      </c>
      <c r="AI3611" t="n">
        <v>1469</v>
      </c>
      <c r="AJ3611" t="inlineStr">
        <is>
          <t>MOTHER OF PEARL</t>
        </is>
      </c>
      <c r="AK3611" t="n">
        <v>21</v>
      </c>
      <c r="AL3611" t="inlineStr">
        <is>
          <t>Miss Glam Damar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MOTHER OF PEARL</t>
        </is>
      </c>
      <c r="B3612" s="2">
        <f>"8997228730326"</f>
        <v/>
      </c>
      <c r="C3612" t="inlineStr">
        <is>
          <t>MOTHER OF PEARL Lock &amp; Smooth Gripping Primer 30ml</t>
        </is>
      </c>
      <c r="D3612" t="inlineStr">
        <is>
          <t>Miss Glam Damar</t>
        </is>
      </c>
      <c r="E3612" t="n">
        <v>12</v>
      </c>
      <c r="F3612" t="n">
        <v>0.1</v>
      </c>
      <c r="G3612" t="n">
        <v>1</v>
      </c>
      <c r="H3612" t="n">
        <v>4</v>
      </c>
      <c r="I3612" t="n">
        <v>21</v>
      </c>
      <c r="J3612" t="n">
        <v>3</v>
      </c>
      <c r="K3612" t="n">
        <v>0</v>
      </c>
      <c r="L3612" t="n">
        <v>118919</v>
      </c>
      <c r="M3612" t="n">
        <v>179000</v>
      </c>
      <c r="N3612" t="n">
        <v>91</v>
      </c>
      <c r="O3612" t="n">
        <v>0.91</v>
      </c>
      <c r="P3612" t="n">
        <v>0</v>
      </c>
      <c r="Q3612" t="n">
        <v>0.1</v>
      </c>
      <c r="R3612" t="n">
        <v>1</v>
      </c>
      <c r="S3612" t="n">
        <v>17900</v>
      </c>
      <c r="T3612" t="n">
        <v>21</v>
      </c>
      <c r="U3612" t="n">
        <v>22</v>
      </c>
      <c r="V3612" t="n">
        <v>30</v>
      </c>
      <c r="W3612" t="n">
        <v>3</v>
      </c>
      <c r="X3612" t="n">
        <v>120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6951</v>
      </c>
      <c r="AG3612" t="n">
        <v>1</v>
      </c>
      <c r="AH3612" t="inlineStr">
        <is>
          <t>PT. BERSAMA DISTRIVERSA INDONESIA (DC CIPUTAT)</t>
        </is>
      </c>
      <c r="AI3612" t="n">
        <v>1469</v>
      </c>
      <c r="AJ3612" t="inlineStr">
        <is>
          <t>MOTHER OF PEARL</t>
        </is>
      </c>
      <c r="AK3612" t="n">
        <v>21</v>
      </c>
      <c r="AL3612" t="inlineStr">
        <is>
          <t>Miss Glam Damar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MOTHER OF PEARL</t>
        </is>
      </c>
      <c r="B3613" s="2">
        <f>"20200220605"</f>
        <v/>
      </c>
      <c r="C3613" t="inlineStr">
        <is>
          <t>MOTHER OF PEARL Maxcara Volumizing and Lengthening Mascara 7gr</t>
        </is>
      </c>
      <c r="D3613" t="inlineStr">
        <is>
          <t>Miss Glam Damar</t>
        </is>
      </c>
      <c r="E3613" t="n">
        <v>6</v>
      </c>
      <c r="F3613" t="n">
        <v>0.1</v>
      </c>
      <c r="G3613" t="n">
        <v>1</v>
      </c>
      <c r="H3613" t="n">
        <v>4</v>
      </c>
      <c r="I3613" t="n">
        <v>21</v>
      </c>
      <c r="J3613" t="n">
        <v>1</v>
      </c>
      <c r="K3613" t="n">
        <v>0</v>
      </c>
      <c r="L3613" t="n">
        <v>83209</v>
      </c>
      <c r="M3613" t="n">
        <v>149000</v>
      </c>
      <c r="N3613" t="n">
        <v>91</v>
      </c>
      <c r="O3613" t="n">
        <v>0.91</v>
      </c>
      <c r="P3613" t="n">
        <v>0</v>
      </c>
      <c r="Q3613" t="n">
        <v>0.1</v>
      </c>
      <c r="R3613" t="n">
        <v>1</v>
      </c>
      <c r="S3613" t="n">
        <v>14900</v>
      </c>
      <c r="T3613" t="n">
        <v>21</v>
      </c>
      <c r="U3613" t="n">
        <v>22</v>
      </c>
      <c r="V3613" t="n">
        <v>30</v>
      </c>
      <c r="W3613" t="n">
        <v>3</v>
      </c>
      <c r="X3613" t="n">
        <v>60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6951</v>
      </c>
      <c r="AG3613" t="n">
        <v>1</v>
      </c>
      <c r="AH3613" t="inlineStr">
        <is>
          <t>PT. BERSAMA DISTRIVERSA INDONESIA (DC CIPUTAT)</t>
        </is>
      </c>
      <c r="AI3613" t="n">
        <v>1469</v>
      </c>
      <c r="AJ3613" t="inlineStr">
        <is>
          <t>MOTHER OF PEARL</t>
        </is>
      </c>
      <c r="AK3613" t="n">
        <v>21</v>
      </c>
      <c r="AL3613" t="inlineStr">
        <is>
          <t>Miss Glam Damar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MOTHER OF PEARL</t>
        </is>
      </c>
      <c r="B3614" s="2">
        <f>"8997228730333"</f>
        <v/>
      </c>
      <c r="C3614" t="inlineStr">
        <is>
          <t>MOTHER OF PEARL Translucent Loose Powder 8.5gr</t>
        </is>
      </c>
      <c r="D3614" t="inlineStr">
        <is>
          <t>Miss Glam Damar</t>
        </is>
      </c>
      <c r="E3614" t="n">
        <v>5</v>
      </c>
      <c r="F3614" t="n">
        <v>0.0182</v>
      </c>
      <c r="G3614" t="n">
        <v>0.91</v>
      </c>
      <c r="H3614" t="n">
        <v>4</v>
      </c>
      <c r="I3614" t="n">
        <v>21</v>
      </c>
      <c r="J3614" t="n">
        <v>3</v>
      </c>
      <c r="K3614" t="n">
        <v>0</v>
      </c>
      <c r="L3614" t="n">
        <v>98262</v>
      </c>
      <c r="M3614" t="n">
        <v>159000</v>
      </c>
      <c r="N3614" t="n">
        <v>91</v>
      </c>
      <c r="O3614" t="n">
        <v>0.91</v>
      </c>
      <c r="P3614" t="n">
        <v>1</v>
      </c>
      <c r="Q3614" t="n">
        <v>0.05</v>
      </c>
      <c r="R3614" t="n">
        <v>1</v>
      </c>
      <c r="S3614" t="n">
        <v>2893.8</v>
      </c>
      <c r="T3614" t="n">
        <v>20</v>
      </c>
      <c r="U3614" t="n">
        <v>21</v>
      </c>
      <c r="V3614" t="n">
        <v>30</v>
      </c>
      <c r="W3614" t="n">
        <v>1</v>
      </c>
      <c r="X3614" t="n">
        <v>274.7252747252747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6951</v>
      </c>
      <c r="AG3614" t="n">
        <v>1</v>
      </c>
      <c r="AH3614" t="inlineStr">
        <is>
          <t>PT. BERSAMA DISTRIVERSA INDONESIA (DC CIPUTAT)</t>
        </is>
      </c>
      <c r="AI3614" t="n">
        <v>1469</v>
      </c>
      <c r="AJ3614" t="inlineStr">
        <is>
          <t>MOTHER OF PEARL</t>
        </is>
      </c>
      <c r="AK3614" t="n">
        <v>21</v>
      </c>
      <c r="AL3614" t="inlineStr">
        <is>
          <t>Miss Glam Damar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MS GLOW</t>
        </is>
      </c>
      <c r="B3615" s="2">
        <f>"10300211223"</f>
        <v/>
      </c>
      <c r="C3615" t="inlineStr">
        <is>
          <t>MS GLOW Acne Night Cream 12gr</t>
        </is>
      </c>
      <c r="D3615" t="inlineStr">
        <is>
          <t>Miss Glam Damar</t>
        </is>
      </c>
      <c r="E3615" t="n">
        <v>7</v>
      </c>
      <c r="F3615" t="n">
        <v>0.1092</v>
      </c>
      <c r="G3615" t="n">
        <v>0.91</v>
      </c>
      <c r="H3615" t="n">
        <v>4</v>
      </c>
      <c r="I3615" t="n">
        <v>21</v>
      </c>
      <c r="J3615" t="n">
        <v>3</v>
      </c>
      <c r="K3615" t="n">
        <v>0</v>
      </c>
      <c r="L3615" t="n">
        <v>55105</v>
      </c>
      <c r="M3615" t="n">
        <v>85000</v>
      </c>
      <c r="N3615" t="n">
        <v>91</v>
      </c>
      <c r="O3615" t="n">
        <v>0.91</v>
      </c>
      <c r="P3615" t="n">
        <v>1</v>
      </c>
      <c r="Q3615" t="n">
        <v>0.08</v>
      </c>
      <c r="R3615" t="n">
        <v>1</v>
      </c>
      <c r="S3615" t="n">
        <v>9282</v>
      </c>
      <c r="T3615" t="n">
        <v>19</v>
      </c>
      <c r="U3615" t="n">
        <v>20</v>
      </c>
      <c r="V3615" t="n">
        <v>30</v>
      </c>
      <c r="W3615" t="n">
        <v>4</v>
      </c>
      <c r="X3615" t="n">
        <v>64.1025641025641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6984</v>
      </c>
      <c r="AG3615" t="n">
        <v>1</v>
      </c>
      <c r="AH3615" t="inlineStr">
        <is>
          <t>PT. BERSAMA DISTRIVERSA INDONESIA (DC CIPUTAT)</t>
        </is>
      </c>
      <c r="AI3615" t="n">
        <v>951</v>
      </c>
      <c r="AJ3615" t="inlineStr">
        <is>
          <t>MS GLOW</t>
        </is>
      </c>
      <c r="AK3615" t="n">
        <v>21</v>
      </c>
      <c r="AL3615" t="inlineStr">
        <is>
          <t>Miss Glam Damar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MS GLOW</t>
        </is>
      </c>
      <c r="B3616" s="2">
        <f>"50505900620"</f>
        <v/>
      </c>
      <c r="C3616" t="inlineStr">
        <is>
          <t>MS GLOW Acne Serum Fight Acne &amp; Blemishes 15ml</t>
        </is>
      </c>
      <c r="D3616" t="inlineStr">
        <is>
          <t>Miss Glam Damar</t>
        </is>
      </c>
      <c r="E3616" t="n">
        <v>0</v>
      </c>
      <c r="F3616" t="n">
        <v>0.05</v>
      </c>
      <c r="G3616" t="n">
        <v>1</v>
      </c>
      <c r="H3616" t="n">
        <v>4</v>
      </c>
      <c r="I3616" t="n">
        <v>21</v>
      </c>
      <c r="J3616" t="n">
        <v>3</v>
      </c>
      <c r="K3616" t="n">
        <v>0</v>
      </c>
      <c r="L3616" t="n">
        <v>94283</v>
      </c>
      <c r="M3616" t="n">
        <v>150000</v>
      </c>
      <c r="N3616" t="n">
        <v>91</v>
      </c>
      <c r="O3616" t="n">
        <v>0.91</v>
      </c>
      <c r="P3616" t="n">
        <v>0</v>
      </c>
      <c r="Q3616" t="n">
        <v>0.05</v>
      </c>
      <c r="R3616" t="n">
        <v>1</v>
      </c>
      <c r="S3616" t="n">
        <v>7500</v>
      </c>
      <c r="T3616" t="n">
        <v>21</v>
      </c>
      <c r="U3616" t="n">
        <v>22</v>
      </c>
      <c r="V3616" t="n">
        <v>30</v>
      </c>
      <c r="W3616" t="n">
        <v>2</v>
      </c>
      <c r="X3616" t="n">
        <v>0</v>
      </c>
      <c r="Y3616" t="n">
        <v>1</v>
      </c>
      <c r="Z3616" t="n">
        <v>2</v>
      </c>
      <c r="AA3616" t="n">
        <v>2</v>
      </c>
      <c r="AB3616" t="n">
        <v>0</v>
      </c>
      <c r="AC3616" t="n">
        <v>0</v>
      </c>
      <c r="AD3616" t="n">
        <v>188566</v>
      </c>
      <c r="AE3616" t="n">
        <v>0</v>
      </c>
      <c r="AF3616" t="n">
        <v>6984</v>
      </c>
      <c r="AG3616" t="n">
        <v>1</v>
      </c>
      <c r="AH3616" t="inlineStr">
        <is>
          <t>PT. BERSAMA DISTRIVERSA INDONESIA (DC CIPUTAT)</t>
        </is>
      </c>
      <c r="AI3616" t="n">
        <v>951</v>
      </c>
      <c r="AJ3616" t="inlineStr">
        <is>
          <t>MS GLOW</t>
        </is>
      </c>
      <c r="AK3616" t="n">
        <v>21</v>
      </c>
      <c r="AL3616" t="inlineStr">
        <is>
          <t>Miss Glam Damar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MS GLOW</t>
        </is>
      </c>
      <c r="B3617" s="2">
        <f>"101001107531"</f>
        <v/>
      </c>
      <c r="C3617" t="inlineStr">
        <is>
          <t>MS GLOW Blemishes Calm Cleanser 100ml</t>
        </is>
      </c>
      <c r="D3617" t="inlineStr">
        <is>
          <t>Miss Glam Damar</t>
        </is>
      </c>
      <c r="E3617" t="n">
        <v>16</v>
      </c>
      <c r="F3617" t="n">
        <v>0.4641</v>
      </c>
      <c r="G3617" t="n">
        <v>3.64</v>
      </c>
      <c r="H3617" t="n">
        <v>4</v>
      </c>
      <c r="I3617" t="n">
        <v>21</v>
      </c>
      <c r="J3617" t="n">
        <v>1</v>
      </c>
      <c r="K3617" t="n">
        <v>0</v>
      </c>
      <c r="L3617" t="n">
        <v>44263</v>
      </c>
      <c r="M3617" t="n">
        <v>60000</v>
      </c>
      <c r="N3617" t="n">
        <v>91</v>
      </c>
      <c r="O3617" t="n">
        <v>0.91</v>
      </c>
      <c r="P3617" t="n">
        <v>1</v>
      </c>
      <c r="Q3617" t="n">
        <v>0.44</v>
      </c>
      <c r="R3617" t="n">
        <v>2</v>
      </c>
      <c r="S3617" t="n">
        <v>27846</v>
      </c>
      <c r="T3617" t="n">
        <v>75</v>
      </c>
      <c r="U3617" t="n">
        <v>77</v>
      </c>
      <c r="V3617" t="n">
        <v>30</v>
      </c>
      <c r="W3617" t="n">
        <v>14</v>
      </c>
      <c r="X3617" t="n">
        <v>34.47532859297565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6984</v>
      </c>
      <c r="AG3617" t="n">
        <v>1</v>
      </c>
      <c r="AH3617" t="inlineStr">
        <is>
          <t>PT. BERSAMA DISTRIVERSA INDONESIA (DC CIPUTAT)</t>
        </is>
      </c>
      <c r="AI3617" t="n">
        <v>951</v>
      </c>
      <c r="AJ3617" t="inlineStr">
        <is>
          <t>MS GLOW</t>
        </is>
      </c>
      <c r="AK3617" t="n">
        <v>21</v>
      </c>
      <c r="AL3617" t="inlineStr">
        <is>
          <t>Miss Glam Damar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MS GLOW</t>
        </is>
      </c>
      <c r="B3618" s="2">
        <f>"101001107634"</f>
        <v/>
      </c>
      <c r="C3618" t="inlineStr">
        <is>
          <t>MS GLOW Cell DNA Cleanser 100ml</t>
        </is>
      </c>
      <c r="D3618" t="inlineStr">
        <is>
          <t>Miss Glam Damar</t>
        </is>
      </c>
      <c r="E3618" t="n">
        <v>9</v>
      </c>
      <c r="F3618" t="n">
        <v>0.2002</v>
      </c>
      <c r="G3618" t="n">
        <v>1.82</v>
      </c>
      <c r="H3618" t="n">
        <v>4</v>
      </c>
      <c r="I3618" t="n">
        <v>21</v>
      </c>
      <c r="J3618" t="n">
        <v>1</v>
      </c>
      <c r="K3618" t="n">
        <v>0</v>
      </c>
      <c r="L3618" t="n">
        <v>44290</v>
      </c>
      <c r="M3618" t="n">
        <v>70000</v>
      </c>
      <c r="N3618" t="n">
        <v>91</v>
      </c>
      <c r="O3618" t="n">
        <v>0.91</v>
      </c>
      <c r="P3618" t="n">
        <v>1</v>
      </c>
      <c r="Q3618" t="n">
        <v>0.15</v>
      </c>
      <c r="R3618" t="n">
        <v>2</v>
      </c>
      <c r="S3618" t="n">
        <v>14014</v>
      </c>
      <c r="T3618" t="n">
        <v>38</v>
      </c>
      <c r="U3618" t="n">
        <v>39</v>
      </c>
      <c r="V3618" t="n">
        <v>30</v>
      </c>
      <c r="W3618" t="n">
        <v>7</v>
      </c>
      <c r="X3618" t="n">
        <v>44.95504495504495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6984</v>
      </c>
      <c r="AG3618" t="n">
        <v>1</v>
      </c>
      <c r="AH3618" t="inlineStr">
        <is>
          <t>PT. BERSAMA DISTRIVERSA INDONESIA (DC CIPUTAT)</t>
        </is>
      </c>
      <c r="AI3618" t="n">
        <v>951</v>
      </c>
      <c r="AJ3618" t="inlineStr">
        <is>
          <t>MS GLOW</t>
        </is>
      </c>
      <c r="AK3618" t="n">
        <v>21</v>
      </c>
      <c r="AL3618" t="inlineStr">
        <is>
          <t>Miss Glam Damar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MS GLOW</t>
        </is>
      </c>
      <c r="B3619" s="2">
        <f>"11200432128"</f>
        <v/>
      </c>
      <c r="C3619" t="inlineStr">
        <is>
          <t>MS GLOW Deep Tratment Essence Centella Asiatica 30ml</t>
        </is>
      </c>
      <c r="D3619" t="inlineStr">
        <is>
          <t>Miss Glam Damar</t>
        </is>
      </c>
      <c r="E3619" t="n">
        <v>0</v>
      </c>
      <c r="F3619" t="n">
        <v>0.11</v>
      </c>
      <c r="G3619" t="n">
        <v>2</v>
      </c>
      <c r="H3619" t="n">
        <v>4</v>
      </c>
      <c r="I3619" t="n">
        <v>21</v>
      </c>
      <c r="J3619" t="n">
        <v>1</v>
      </c>
      <c r="K3619" t="n">
        <v>3</v>
      </c>
      <c r="L3619" t="n">
        <v>28076</v>
      </c>
      <c r="M3619" t="n">
        <v>45000</v>
      </c>
      <c r="N3619" t="n">
        <v>91</v>
      </c>
      <c r="O3619" t="n">
        <v>0.91</v>
      </c>
      <c r="P3619" t="n">
        <v>0</v>
      </c>
      <c r="Q3619" t="n">
        <v>0.11</v>
      </c>
      <c r="R3619" t="n">
        <v>2</v>
      </c>
      <c r="S3619" t="n">
        <v>4950</v>
      </c>
      <c r="T3619" t="n">
        <v>42</v>
      </c>
      <c r="U3619" t="n">
        <v>43</v>
      </c>
      <c r="V3619" t="n">
        <v>30</v>
      </c>
      <c r="W3619" t="n">
        <v>4</v>
      </c>
      <c r="X3619" t="n">
        <v>0</v>
      </c>
      <c r="Y3619" t="n">
        <v>1</v>
      </c>
      <c r="Z3619" t="n">
        <v>1</v>
      </c>
      <c r="AA3619" t="n">
        <v>2</v>
      </c>
      <c r="AB3619" t="n">
        <v>0</v>
      </c>
      <c r="AC3619" t="n">
        <v>0</v>
      </c>
      <c r="AD3619" t="n">
        <v>56152</v>
      </c>
      <c r="AE3619" t="n">
        <v>0</v>
      </c>
      <c r="AF3619" t="n">
        <v>6984</v>
      </c>
      <c r="AG3619" t="n">
        <v>1</v>
      </c>
      <c r="AH3619" t="inlineStr">
        <is>
          <t>PT. BERSAMA DISTRIVERSA INDONESIA (DC CIPUTAT)</t>
        </is>
      </c>
      <c r="AI3619" t="n">
        <v>951</v>
      </c>
      <c r="AJ3619" t="inlineStr">
        <is>
          <t>MS GLOW</t>
        </is>
      </c>
      <c r="AK3619" t="n">
        <v>21</v>
      </c>
      <c r="AL3619" t="inlineStr">
        <is>
          <t>Miss Glam Damar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MS GLOW</t>
        </is>
      </c>
      <c r="B3620" s="2">
        <f>"35087126"</f>
        <v/>
      </c>
      <c r="C3620" t="inlineStr">
        <is>
          <t>MS GLOW Facial Wash Super Clean 100ml</t>
        </is>
      </c>
      <c r="D3620" t="inlineStr">
        <is>
          <t>Miss Glam Damar</t>
        </is>
      </c>
      <c r="E3620" t="n">
        <v>12</v>
      </c>
      <c r="F3620" t="n">
        <v>0.6188</v>
      </c>
      <c r="G3620" t="n">
        <v>3.64</v>
      </c>
      <c r="H3620" t="n">
        <v>4</v>
      </c>
      <c r="I3620" t="n">
        <v>21</v>
      </c>
      <c r="J3620" t="n">
        <v>3</v>
      </c>
      <c r="K3620" t="n">
        <v>0</v>
      </c>
      <c r="L3620" t="n">
        <v>44290</v>
      </c>
      <c r="M3620" t="n">
        <v>60000</v>
      </c>
      <c r="N3620" t="n">
        <v>91</v>
      </c>
      <c r="O3620" t="n">
        <v>0.91</v>
      </c>
      <c r="P3620" t="n">
        <v>1</v>
      </c>
      <c r="Q3620" t="n">
        <v>0.17</v>
      </c>
      <c r="R3620" t="n">
        <v>2</v>
      </c>
      <c r="S3620" t="n">
        <v>37128</v>
      </c>
      <c r="T3620" t="n">
        <v>74</v>
      </c>
      <c r="U3620" t="n">
        <v>77</v>
      </c>
      <c r="V3620" t="n">
        <v>30</v>
      </c>
      <c r="W3620" t="n">
        <v>19</v>
      </c>
      <c r="X3620" t="n">
        <v>19.3923723335488</v>
      </c>
      <c r="Y3620" t="n">
        <v>1</v>
      </c>
      <c r="Z3620" t="n">
        <v>7</v>
      </c>
      <c r="AA3620" t="n">
        <v>1</v>
      </c>
      <c r="AB3620" t="n">
        <v>6</v>
      </c>
      <c r="AC3620" t="n">
        <v>6</v>
      </c>
      <c r="AD3620" t="n">
        <v>44290</v>
      </c>
      <c r="AE3620" t="n">
        <v>265740</v>
      </c>
      <c r="AF3620" t="n">
        <v>6984</v>
      </c>
      <c r="AG3620" t="n">
        <v>1</v>
      </c>
      <c r="AH3620" t="inlineStr">
        <is>
          <t>PT. BERSAMA DISTRIVERSA INDONESIA (DC CIPUTAT)</t>
        </is>
      </c>
      <c r="AI3620" t="n">
        <v>951</v>
      </c>
      <c r="AJ3620" t="inlineStr">
        <is>
          <t>MS GLOW</t>
        </is>
      </c>
      <c r="AK3620" t="n">
        <v>21</v>
      </c>
      <c r="AL3620" t="inlineStr">
        <is>
          <t>Miss Glam Damar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MS GLOW</t>
        </is>
      </c>
      <c r="B3621" s="2">
        <f>"10200159619"</f>
        <v/>
      </c>
      <c r="C3621" t="inlineStr">
        <is>
          <t>MS GLOW Hydra Milk Toner 50ml</t>
        </is>
      </c>
      <c r="D3621" t="inlineStr">
        <is>
          <t>Miss Glam Damar</t>
        </is>
      </c>
      <c r="E3621" t="n">
        <v>3</v>
      </c>
      <c r="F3621" t="n">
        <v>0.07000000000000001</v>
      </c>
      <c r="G3621" t="n">
        <v>1</v>
      </c>
      <c r="H3621" t="n">
        <v>4</v>
      </c>
      <c r="I3621" t="n">
        <v>21</v>
      </c>
      <c r="J3621" t="n">
        <v>1</v>
      </c>
      <c r="K3621" t="n">
        <v>2</v>
      </c>
      <c r="L3621" t="n">
        <v>47380</v>
      </c>
      <c r="M3621" t="n">
        <v>70000</v>
      </c>
      <c r="N3621" t="n">
        <v>91</v>
      </c>
      <c r="O3621" t="n">
        <v>0.91</v>
      </c>
      <c r="P3621" t="n">
        <v>0</v>
      </c>
      <c r="Q3621" t="n">
        <v>0.07000000000000001</v>
      </c>
      <c r="R3621" t="n">
        <v>1</v>
      </c>
      <c r="S3621" t="n">
        <v>4900.000000000001</v>
      </c>
      <c r="T3621" t="n">
        <v>21</v>
      </c>
      <c r="U3621" t="n">
        <v>22</v>
      </c>
      <c r="V3621" t="n">
        <v>30</v>
      </c>
      <c r="W3621" t="n">
        <v>3</v>
      </c>
      <c r="X3621" t="n">
        <v>42.85714285714285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6984</v>
      </c>
      <c r="AG3621" t="n">
        <v>1</v>
      </c>
      <c r="AH3621" t="inlineStr">
        <is>
          <t>PT. BERSAMA DISTRIVERSA INDONESIA (DC CIPUTAT)</t>
        </is>
      </c>
      <c r="AI3621" t="n">
        <v>951</v>
      </c>
      <c r="AJ3621" t="inlineStr">
        <is>
          <t>MS GLOW</t>
        </is>
      </c>
      <c r="AK3621" t="n">
        <v>21</v>
      </c>
      <c r="AL3621" t="inlineStr">
        <is>
          <t>Miss Glam Damar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MS GLOW</t>
        </is>
      </c>
      <c r="B3622" s="2">
        <f>"10300211307"</f>
        <v/>
      </c>
      <c r="C3622" t="inlineStr">
        <is>
          <t>MS GLOW Luminous Whitening Night Cream 12gr</t>
        </is>
      </c>
      <c r="D3622" t="inlineStr">
        <is>
          <t>Miss Glam Damar</t>
        </is>
      </c>
      <c r="E3622" t="n">
        <v>7</v>
      </c>
      <c r="F3622" t="n">
        <v>0.182</v>
      </c>
      <c r="G3622" t="n">
        <v>1.82</v>
      </c>
      <c r="H3622" t="n">
        <v>4</v>
      </c>
      <c r="I3622" t="n">
        <v>21</v>
      </c>
      <c r="J3622" t="n">
        <v>3</v>
      </c>
      <c r="K3622" t="n">
        <v>0</v>
      </c>
      <c r="L3622" t="n">
        <v>55105</v>
      </c>
      <c r="M3622" t="n">
        <v>85000</v>
      </c>
      <c r="N3622" t="n">
        <v>91</v>
      </c>
      <c r="O3622" t="n">
        <v>0.91</v>
      </c>
      <c r="P3622" t="n">
        <v>1</v>
      </c>
      <c r="Q3622" t="n">
        <v>0.03</v>
      </c>
      <c r="R3622" t="n">
        <v>1</v>
      </c>
      <c r="S3622" t="n">
        <v>15470</v>
      </c>
      <c r="T3622" t="n">
        <v>38</v>
      </c>
      <c r="U3622" t="n">
        <v>39</v>
      </c>
      <c r="V3622" t="n">
        <v>30</v>
      </c>
      <c r="W3622" t="n">
        <v>6</v>
      </c>
      <c r="X3622" t="n">
        <v>38.46153846153846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6984</v>
      </c>
      <c r="AG3622" t="n">
        <v>1</v>
      </c>
      <c r="AH3622" t="inlineStr">
        <is>
          <t>PT. BERSAMA DISTRIVERSA INDONESIA (DC CIPUTAT)</t>
        </is>
      </c>
      <c r="AI3622" t="n">
        <v>951</v>
      </c>
      <c r="AJ3622" t="inlineStr">
        <is>
          <t>MS GLOW</t>
        </is>
      </c>
      <c r="AK3622" t="n">
        <v>21</v>
      </c>
      <c r="AL3622" t="inlineStr">
        <is>
          <t>Miss Glam Damar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MS GLOW</t>
        </is>
      </c>
      <c r="B3623" s="2">
        <f>"10300725321"</f>
        <v/>
      </c>
      <c r="C3623" t="inlineStr">
        <is>
          <t>MS GLOW Moisturizer Symwhite 377 30gr</t>
        </is>
      </c>
      <c r="D3623" t="inlineStr">
        <is>
          <t>Miss Glam Damar</t>
        </is>
      </c>
      <c r="E3623" t="n">
        <v>0</v>
      </c>
      <c r="F3623" t="n">
        <v>0.02</v>
      </c>
      <c r="G3623" t="n">
        <v>1</v>
      </c>
      <c r="H3623" t="n">
        <v>4</v>
      </c>
      <c r="I3623" t="n">
        <v>21</v>
      </c>
      <c r="J3623" t="n">
        <v>1</v>
      </c>
      <c r="K3623" t="n">
        <v>1</v>
      </c>
      <c r="L3623" t="n">
        <v>80322</v>
      </c>
      <c r="M3623" t="n">
        <v>115000</v>
      </c>
      <c r="N3623" t="n">
        <v>91</v>
      </c>
      <c r="O3623" t="n">
        <v>0.91</v>
      </c>
      <c r="P3623" t="n">
        <v>0</v>
      </c>
      <c r="Q3623" t="n">
        <v>0.02</v>
      </c>
      <c r="R3623" t="n">
        <v>1</v>
      </c>
      <c r="S3623" t="n">
        <v>2300</v>
      </c>
      <c r="T3623" t="n">
        <v>21</v>
      </c>
      <c r="U3623" t="n">
        <v>22</v>
      </c>
      <c r="V3623" t="n">
        <v>30</v>
      </c>
      <c r="W3623" t="n">
        <v>1</v>
      </c>
      <c r="X3623" t="n">
        <v>0</v>
      </c>
      <c r="Y3623" t="n">
        <v>1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6984</v>
      </c>
      <c r="AG3623" t="n">
        <v>1</v>
      </c>
      <c r="AH3623" t="inlineStr">
        <is>
          <t>PT. BERSAMA DISTRIVERSA INDONESIA (DC CIPUTAT)</t>
        </is>
      </c>
      <c r="AI3623" t="n">
        <v>951</v>
      </c>
      <c r="AJ3623" t="inlineStr">
        <is>
          <t>MS GLOW</t>
        </is>
      </c>
      <c r="AK3623" t="n">
        <v>21</v>
      </c>
      <c r="AL3623" t="inlineStr">
        <is>
          <t>Miss Glam Damar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MS GLOW</t>
        </is>
      </c>
      <c r="B3624" s="2">
        <f>"10400611020"</f>
        <v/>
      </c>
      <c r="C3624" t="inlineStr">
        <is>
          <t>MS GLOW Sun White SPF 50 PA+ 13.8gr</t>
        </is>
      </c>
      <c r="D3624" t="inlineStr">
        <is>
          <t>Miss Glam Damar</t>
        </is>
      </c>
      <c r="E3624" t="n">
        <v>2</v>
      </c>
      <c r="F3624" t="n">
        <v>0.1547</v>
      </c>
      <c r="G3624" t="n">
        <v>1.82</v>
      </c>
      <c r="H3624" t="n">
        <v>4</v>
      </c>
      <c r="I3624" t="n">
        <v>21</v>
      </c>
      <c r="J3624" t="n">
        <v>3</v>
      </c>
      <c r="K3624" t="n">
        <v>0</v>
      </c>
      <c r="L3624" t="n">
        <v>55105</v>
      </c>
      <c r="M3624" t="n">
        <v>70000</v>
      </c>
      <c r="N3624" t="n">
        <v>91</v>
      </c>
      <c r="O3624" t="n">
        <v>0.91</v>
      </c>
      <c r="P3624" t="n">
        <v>1</v>
      </c>
      <c r="Q3624" t="n">
        <v>0.08</v>
      </c>
      <c r="R3624" t="n">
        <v>1</v>
      </c>
      <c r="S3624" t="n">
        <v>10829</v>
      </c>
      <c r="T3624" t="n">
        <v>38</v>
      </c>
      <c r="U3624" t="n">
        <v>39</v>
      </c>
      <c r="V3624" t="n">
        <v>30</v>
      </c>
      <c r="W3624" t="n">
        <v>5</v>
      </c>
      <c r="X3624" t="n">
        <v>12.92824822236587</v>
      </c>
      <c r="Y3624" t="n">
        <v>1</v>
      </c>
      <c r="Z3624" t="n">
        <v>3</v>
      </c>
      <c r="AA3624" t="n">
        <v>2</v>
      </c>
      <c r="AB3624" t="n">
        <v>1</v>
      </c>
      <c r="AC3624" t="n">
        <v>3</v>
      </c>
      <c r="AD3624" t="n">
        <v>110210</v>
      </c>
      <c r="AE3624" t="n">
        <v>165315</v>
      </c>
      <c r="AF3624" t="n">
        <v>6984</v>
      </c>
      <c r="AG3624" t="n">
        <v>1</v>
      </c>
      <c r="AH3624" t="inlineStr">
        <is>
          <t>PT. BERSAMA DISTRIVERSA INDONESIA (DC CIPUTAT)</t>
        </is>
      </c>
      <c r="AI3624" t="n">
        <v>951</v>
      </c>
      <c r="AJ3624" t="inlineStr">
        <is>
          <t>MS GLOW</t>
        </is>
      </c>
      <c r="AK3624" t="n">
        <v>21</v>
      </c>
      <c r="AL3624" t="inlineStr">
        <is>
          <t>Miss Glam Damar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MS GLOW</t>
        </is>
      </c>
      <c r="B3625" s="2">
        <f>"10200130709"</f>
        <v/>
      </c>
      <c r="C3625" t="inlineStr">
        <is>
          <t>MS GLOW Toner Glowing 60ml</t>
        </is>
      </c>
      <c r="D3625" t="inlineStr">
        <is>
          <t>Miss Glam Damar</t>
        </is>
      </c>
      <c r="E3625" t="n">
        <v>0</v>
      </c>
      <c r="F3625" t="n">
        <v>0.02</v>
      </c>
      <c r="G3625" t="n">
        <v>1</v>
      </c>
      <c r="H3625" t="n">
        <v>4</v>
      </c>
      <c r="I3625" t="n">
        <v>21</v>
      </c>
      <c r="J3625" t="n">
        <v>3</v>
      </c>
      <c r="K3625" t="n">
        <v>0</v>
      </c>
      <c r="L3625" t="n">
        <v>48665</v>
      </c>
      <c r="M3625" t="n">
        <v>70000</v>
      </c>
      <c r="N3625" t="n">
        <v>91</v>
      </c>
      <c r="O3625" t="n">
        <v>0.91</v>
      </c>
      <c r="P3625" t="n">
        <v>0</v>
      </c>
      <c r="Q3625" t="n">
        <v>0.02</v>
      </c>
      <c r="R3625" t="n">
        <v>1</v>
      </c>
      <c r="S3625" t="n">
        <v>1400</v>
      </c>
      <c r="T3625" t="n">
        <v>21</v>
      </c>
      <c r="U3625" t="n">
        <v>22</v>
      </c>
      <c r="V3625" t="n">
        <v>30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n">
        <v>0</v>
      </c>
      <c r="AC3625" t="n">
        <v>0</v>
      </c>
      <c r="AD3625" t="n">
        <v>48665</v>
      </c>
      <c r="AE3625" t="n">
        <v>0</v>
      </c>
      <c r="AF3625" t="n">
        <v>6984</v>
      </c>
      <c r="AG3625" t="n">
        <v>1</v>
      </c>
      <c r="AH3625" t="inlineStr">
        <is>
          <t>PT. BERSAMA DISTRIVERSA INDONESIA (DC CIPUTAT)</t>
        </is>
      </c>
      <c r="AI3625" t="n">
        <v>951</v>
      </c>
      <c r="AJ3625" t="inlineStr">
        <is>
          <t>MS GLOW</t>
        </is>
      </c>
      <c r="AK3625" t="n">
        <v>21</v>
      </c>
      <c r="AL3625" t="inlineStr">
        <is>
          <t>Miss Glam Damar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MS GLOW</t>
        </is>
      </c>
      <c r="B3626" s="2">
        <f>"10300211451"</f>
        <v/>
      </c>
      <c r="C3626" t="inlineStr">
        <is>
          <t>MS GLOW Ultimate Night Cream 13.8gr</t>
        </is>
      </c>
      <c r="D3626" t="inlineStr">
        <is>
          <t>Miss Glam Damar</t>
        </is>
      </c>
      <c r="E3626" t="n">
        <v>4</v>
      </c>
      <c r="F3626" t="n">
        <v>0.09100000000000001</v>
      </c>
      <c r="G3626" t="n">
        <v>1.82</v>
      </c>
      <c r="H3626" t="n">
        <v>4</v>
      </c>
      <c r="I3626" t="n">
        <v>21</v>
      </c>
      <c r="J3626" t="n">
        <v>3</v>
      </c>
      <c r="K3626" t="n">
        <v>0</v>
      </c>
      <c r="L3626" t="n">
        <v>55105</v>
      </c>
      <c r="M3626" t="n">
        <v>85000</v>
      </c>
      <c r="N3626" t="n">
        <v>91</v>
      </c>
      <c r="O3626" t="n">
        <v>0.91</v>
      </c>
      <c r="P3626" t="n">
        <v>1</v>
      </c>
      <c r="Q3626" t="n">
        <v>0.1</v>
      </c>
      <c r="R3626" t="n">
        <v>1</v>
      </c>
      <c r="S3626" t="n">
        <v>7735.000000000001</v>
      </c>
      <c r="T3626" t="n">
        <v>38</v>
      </c>
      <c r="U3626" t="n">
        <v>39</v>
      </c>
      <c r="V3626" t="n">
        <v>30</v>
      </c>
      <c r="W3626" t="n">
        <v>3</v>
      </c>
      <c r="X3626" t="n">
        <v>43.95604395604395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6984</v>
      </c>
      <c r="AG3626" t="n">
        <v>1</v>
      </c>
      <c r="AH3626" t="inlineStr">
        <is>
          <t>PT. BERSAMA DISTRIVERSA INDONESIA (DC CIPUTAT)</t>
        </is>
      </c>
      <c r="AI3626" t="n">
        <v>951</v>
      </c>
      <c r="AJ3626" t="inlineStr">
        <is>
          <t>MS GLOW</t>
        </is>
      </c>
      <c r="AK3626" t="n">
        <v>21</v>
      </c>
      <c r="AL3626" t="inlineStr">
        <is>
          <t>Miss Glam Damar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MS GLOW</t>
        </is>
      </c>
      <c r="B3627" s="2">
        <f>"10200159406"</f>
        <v/>
      </c>
      <c r="C3627" t="inlineStr">
        <is>
          <t>MS GLOW White Caviar Toner 50ml</t>
        </is>
      </c>
      <c r="D3627" t="inlineStr">
        <is>
          <t>Miss Glam Damar</t>
        </is>
      </c>
      <c r="E3627" t="n">
        <v>1</v>
      </c>
      <c r="F3627" t="n">
        <v>0.09100000000000001</v>
      </c>
      <c r="G3627" t="n">
        <v>0.91</v>
      </c>
      <c r="H3627" t="n">
        <v>4</v>
      </c>
      <c r="I3627" t="n">
        <v>21</v>
      </c>
      <c r="J3627" t="n">
        <v>1</v>
      </c>
      <c r="K3627" t="n">
        <v>3</v>
      </c>
      <c r="L3627" t="n">
        <v>47380</v>
      </c>
      <c r="M3627" t="n">
        <v>70000</v>
      </c>
      <c r="N3627" t="n">
        <v>91</v>
      </c>
      <c r="O3627" t="n">
        <v>0.91</v>
      </c>
      <c r="P3627" t="n">
        <v>1</v>
      </c>
      <c r="Q3627" t="n">
        <v>0.1</v>
      </c>
      <c r="R3627" t="n">
        <v>1</v>
      </c>
      <c r="S3627" t="n">
        <v>6370.000000000001</v>
      </c>
      <c r="T3627" t="n">
        <v>19</v>
      </c>
      <c r="U3627" t="n">
        <v>20</v>
      </c>
      <c r="V3627" t="n">
        <v>30</v>
      </c>
      <c r="W3627" t="n">
        <v>3</v>
      </c>
      <c r="X3627" t="n">
        <v>10.98901098901099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6984</v>
      </c>
      <c r="AG3627" t="n">
        <v>1</v>
      </c>
      <c r="AH3627" t="inlineStr">
        <is>
          <t>PT. BERSAMA DISTRIVERSA INDONESIA (DC CIPUTAT)</t>
        </is>
      </c>
      <c r="AI3627" t="n">
        <v>951</v>
      </c>
      <c r="AJ3627" t="inlineStr">
        <is>
          <t>MS GLOW</t>
        </is>
      </c>
      <c r="AK3627" t="n">
        <v>21</v>
      </c>
      <c r="AL3627" t="inlineStr">
        <is>
          <t>Miss Glam Damar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MS GLOW</t>
        </is>
      </c>
      <c r="B3628" s="2">
        <f>"10300213124"</f>
        <v/>
      </c>
      <c r="C3628" t="inlineStr">
        <is>
          <t>MS GLOW White Cell Dna Night Cream 12g</t>
        </is>
      </c>
      <c r="D3628" t="inlineStr">
        <is>
          <t>Miss Glam Damar</t>
        </is>
      </c>
      <c r="E3628" t="n">
        <v>8</v>
      </c>
      <c r="F3628" t="n">
        <v>0.04550000000000001</v>
      </c>
      <c r="G3628" t="n">
        <v>0.91</v>
      </c>
      <c r="H3628" t="n">
        <v>4</v>
      </c>
      <c r="I3628" t="n">
        <v>21</v>
      </c>
      <c r="J3628" t="n">
        <v>3</v>
      </c>
      <c r="K3628" t="n">
        <v>0</v>
      </c>
      <c r="L3628" t="n">
        <v>55105</v>
      </c>
      <c r="M3628" t="n">
        <v>85000</v>
      </c>
      <c r="N3628" t="n">
        <v>91</v>
      </c>
      <c r="O3628" t="n">
        <v>0.91</v>
      </c>
      <c r="P3628" t="n">
        <v>1</v>
      </c>
      <c r="Q3628" t="n">
        <v>0.12</v>
      </c>
      <c r="R3628" t="n">
        <v>1</v>
      </c>
      <c r="S3628" t="n">
        <v>3867.5</v>
      </c>
      <c r="T3628" t="n">
        <v>19</v>
      </c>
      <c r="U3628" t="n">
        <v>20</v>
      </c>
      <c r="V3628" t="n">
        <v>30</v>
      </c>
      <c r="W3628" t="n">
        <v>2</v>
      </c>
      <c r="X3628" t="n">
        <v>175.8241758241758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6984</v>
      </c>
      <c r="AG3628" t="n">
        <v>1</v>
      </c>
      <c r="AH3628" t="inlineStr">
        <is>
          <t>PT. BERSAMA DISTRIVERSA INDONESIA (DC CIPUTAT)</t>
        </is>
      </c>
      <c r="AI3628" t="n">
        <v>951</v>
      </c>
      <c r="AJ3628" t="inlineStr">
        <is>
          <t>MS GLOW</t>
        </is>
      </c>
      <c r="AK3628" t="n">
        <v>21</v>
      </c>
      <c r="AL3628" t="inlineStr">
        <is>
          <t>Miss Glam Damar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MS GLOW</t>
        </is>
      </c>
      <c r="B3629" s="2">
        <f>"10200270154"</f>
        <v/>
      </c>
      <c r="C3629" t="inlineStr">
        <is>
          <t>MS GLOW White Cell DNA Serum 15ml</t>
        </is>
      </c>
      <c r="D3629" t="inlineStr">
        <is>
          <t>Miss Glam Damar</t>
        </is>
      </c>
      <c r="E3629" t="n">
        <v>1</v>
      </c>
      <c r="F3629" t="n">
        <v>0.1</v>
      </c>
      <c r="G3629" t="n">
        <v>2</v>
      </c>
      <c r="H3629" t="n">
        <v>4</v>
      </c>
      <c r="I3629" t="n">
        <v>21</v>
      </c>
      <c r="J3629" t="n">
        <v>3</v>
      </c>
      <c r="K3629" t="n">
        <v>0</v>
      </c>
      <c r="L3629" t="n">
        <v>112270</v>
      </c>
      <c r="M3629" t="n">
        <v>175000</v>
      </c>
      <c r="N3629" t="n">
        <v>91</v>
      </c>
      <c r="O3629" t="n">
        <v>0.91</v>
      </c>
      <c r="P3629" t="n">
        <v>0</v>
      </c>
      <c r="Q3629" t="n">
        <v>0.1</v>
      </c>
      <c r="R3629" t="n">
        <v>2</v>
      </c>
      <c r="S3629" t="n">
        <v>17500</v>
      </c>
      <c r="T3629" t="n">
        <v>42</v>
      </c>
      <c r="U3629" t="n">
        <v>43</v>
      </c>
      <c r="V3629" t="n">
        <v>30</v>
      </c>
      <c r="W3629" t="n">
        <v>3</v>
      </c>
      <c r="X3629" t="n">
        <v>10</v>
      </c>
      <c r="Y3629" t="n">
        <v>1</v>
      </c>
      <c r="Z3629" t="n">
        <v>2</v>
      </c>
      <c r="AA3629" t="n">
        <v>2</v>
      </c>
      <c r="AB3629" t="n">
        <v>0</v>
      </c>
      <c r="AC3629" t="n">
        <v>0</v>
      </c>
      <c r="AD3629" t="n">
        <v>224540</v>
      </c>
      <c r="AE3629" t="n">
        <v>0</v>
      </c>
      <c r="AF3629" t="n">
        <v>6984</v>
      </c>
      <c r="AG3629" t="n">
        <v>1</v>
      </c>
      <c r="AH3629" t="inlineStr">
        <is>
          <t>PT. BERSAMA DISTRIVERSA INDONESIA (DC CIPUTAT)</t>
        </is>
      </c>
      <c r="AI3629" t="n">
        <v>951</v>
      </c>
      <c r="AJ3629" t="inlineStr">
        <is>
          <t>MS GLOW</t>
        </is>
      </c>
      <c r="AK3629" t="n">
        <v>21</v>
      </c>
      <c r="AL3629" t="inlineStr">
        <is>
          <t>Miss Glam Damar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MS GLOW</t>
        </is>
      </c>
      <c r="B3630" s="2">
        <f>"10200159551"</f>
        <v/>
      </c>
      <c r="C3630" t="inlineStr">
        <is>
          <t>MS GLOW White Cell DNA Toner 50ml</t>
        </is>
      </c>
      <c r="D3630" t="inlineStr">
        <is>
          <t>Miss Glam Damar</t>
        </is>
      </c>
      <c r="E3630" t="n">
        <v>0</v>
      </c>
      <c r="F3630" t="n">
        <v>0.06370000000000001</v>
      </c>
      <c r="G3630" t="n">
        <v>0.91</v>
      </c>
      <c r="H3630" t="n">
        <v>4</v>
      </c>
      <c r="I3630" t="n">
        <v>21</v>
      </c>
      <c r="J3630" t="n">
        <v>1</v>
      </c>
      <c r="K3630" t="n">
        <v>4</v>
      </c>
      <c r="L3630" t="n">
        <v>47380</v>
      </c>
      <c r="M3630" t="n">
        <v>70000</v>
      </c>
      <c r="N3630" t="n">
        <v>91</v>
      </c>
      <c r="O3630" t="n">
        <v>0.91</v>
      </c>
      <c r="P3630" t="n">
        <v>1</v>
      </c>
      <c r="Q3630" t="n">
        <v>0.13</v>
      </c>
      <c r="R3630" t="n">
        <v>2</v>
      </c>
      <c r="S3630" t="n">
        <v>4459.000000000001</v>
      </c>
      <c r="T3630" t="n">
        <v>19</v>
      </c>
      <c r="U3630" t="n">
        <v>20</v>
      </c>
      <c r="V3630" t="n">
        <v>30</v>
      </c>
      <c r="W3630" t="n">
        <v>2</v>
      </c>
      <c r="X3630" t="n">
        <v>0</v>
      </c>
      <c r="Y3630" t="n">
        <v>1</v>
      </c>
      <c r="Z3630" t="n">
        <v>0</v>
      </c>
      <c r="AA3630" t="n">
        <v>1</v>
      </c>
      <c r="AB3630" t="n">
        <v>0</v>
      </c>
      <c r="AC3630" t="n">
        <v>0</v>
      </c>
      <c r="AD3630" t="n">
        <v>47380</v>
      </c>
      <c r="AE3630" t="n">
        <v>0</v>
      </c>
      <c r="AF3630" t="n">
        <v>6984</v>
      </c>
      <c r="AG3630" t="n">
        <v>1</v>
      </c>
      <c r="AH3630" t="inlineStr">
        <is>
          <t>PT. BERSAMA DISTRIVERSA INDONESIA (DC CIPUTAT)</t>
        </is>
      </c>
      <c r="AI3630" t="n">
        <v>951</v>
      </c>
      <c r="AJ3630" t="inlineStr">
        <is>
          <t>MS GLOW</t>
        </is>
      </c>
      <c r="AK3630" t="n">
        <v>21</v>
      </c>
      <c r="AL3630" t="inlineStr">
        <is>
          <t>Miss Glam Damar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MS GLOW</t>
        </is>
      </c>
      <c r="B3631" s="2">
        <f>"50504900630"</f>
        <v/>
      </c>
      <c r="C3631" t="inlineStr">
        <is>
          <t>MS GLOW Whitening Day Cream 12g</t>
        </is>
      </c>
      <c r="D3631" t="inlineStr">
        <is>
          <t>Miss Glam Damar</t>
        </is>
      </c>
      <c r="E3631" t="n">
        <v>26</v>
      </c>
      <c r="F3631" t="n">
        <v>0.37</v>
      </c>
      <c r="G3631" t="n">
        <v>2</v>
      </c>
      <c r="H3631" t="n">
        <v>4</v>
      </c>
      <c r="I3631" t="n">
        <v>21</v>
      </c>
      <c r="J3631" t="n">
        <v>3</v>
      </c>
      <c r="K3631" t="n">
        <v>0</v>
      </c>
      <c r="L3631" t="n">
        <v>55105</v>
      </c>
      <c r="M3631" t="n">
        <v>85000</v>
      </c>
      <c r="N3631" t="n">
        <v>91</v>
      </c>
      <c r="O3631" t="n">
        <v>0.91</v>
      </c>
      <c r="P3631" t="n">
        <v>0</v>
      </c>
      <c r="Q3631" t="n">
        <v>0.37</v>
      </c>
      <c r="R3631" t="n">
        <v>2</v>
      </c>
      <c r="S3631" t="n">
        <v>31450</v>
      </c>
      <c r="T3631" t="n">
        <v>41</v>
      </c>
      <c r="U3631" t="n">
        <v>43</v>
      </c>
      <c r="V3631" t="n">
        <v>30</v>
      </c>
      <c r="W3631" t="n">
        <v>12</v>
      </c>
      <c r="X3631" t="n">
        <v>70.27027027027027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6984</v>
      </c>
      <c r="AG3631" t="n">
        <v>1</v>
      </c>
      <c r="AH3631" t="inlineStr">
        <is>
          <t>PT. BERSAMA DISTRIVERSA INDONESIA (DC CIPUTAT)</t>
        </is>
      </c>
      <c r="AI3631" t="n">
        <v>951</v>
      </c>
      <c r="AJ3631" t="inlineStr">
        <is>
          <t>MS GLOW</t>
        </is>
      </c>
      <c r="AK3631" t="n">
        <v>21</v>
      </c>
      <c r="AL3631" t="inlineStr">
        <is>
          <t>Miss Glam Damar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MS GLOW</t>
        </is>
      </c>
      <c r="B3632" s="2">
        <f>"10200242149"</f>
        <v/>
      </c>
      <c r="C3632" t="inlineStr">
        <is>
          <t>MS GLOW Whitening Gold Serum 15ml</t>
        </is>
      </c>
      <c r="D3632" t="inlineStr">
        <is>
          <t>Miss Glam Damar</t>
        </is>
      </c>
      <c r="E3632" t="n">
        <v>5</v>
      </c>
      <c r="F3632" t="n">
        <v>0.0273</v>
      </c>
      <c r="G3632" t="n">
        <v>0.91</v>
      </c>
      <c r="H3632" t="n">
        <v>4</v>
      </c>
      <c r="I3632" t="n">
        <v>21</v>
      </c>
      <c r="J3632" t="n">
        <v>3</v>
      </c>
      <c r="K3632" t="n">
        <v>0</v>
      </c>
      <c r="L3632" t="n">
        <v>112270</v>
      </c>
      <c r="M3632" t="n">
        <v>175000</v>
      </c>
      <c r="N3632" t="n">
        <v>91</v>
      </c>
      <c r="O3632" t="n">
        <v>0.91</v>
      </c>
      <c r="P3632" t="n">
        <v>1</v>
      </c>
      <c r="Q3632" t="n">
        <v>0.03</v>
      </c>
      <c r="R3632" t="n">
        <v>1</v>
      </c>
      <c r="S3632" t="n">
        <v>4777.5</v>
      </c>
      <c r="T3632" t="n">
        <v>20</v>
      </c>
      <c r="U3632" t="n">
        <v>21</v>
      </c>
      <c r="V3632" t="n">
        <v>30</v>
      </c>
      <c r="W3632" t="n">
        <v>1</v>
      </c>
      <c r="X3632" t="n">
        <v>183.1501831501832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6984</v>
      </c>
      <c r="AG3632" t="n">
        <v>1</v>
      </c>
      <c r="AH3632" t="inlineStr">
        <is>
          <t>PT. BERSAMA DISTRIVERSA INDONESIA (DC CIPUTAT)</t>
        </is>
      </c>
      <c r="AI3632" t="n">
        <v>951</v>
      </c>
      <c r="AJ3632" t="inlineStr">
        <is>
          <t>MS GLOW</t>
        </is>
      </c>
      <c r="AK3632" t="n">
        <v>21</v>
      </c>
      <c r="AL3632" t="inlineStr">
        <is>
          <t>Miss Glam Damar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MS GLOW</t>
        </is>
      </c>
      <c r="B3633" s="2">
        <f>"10300218242"</f>
        <v/>
      </c>
      <c r="C3633" t="inlineStr">
        <is>
          <t>MS GLOW Whitening Night Cream 13,8gr</t>
        </is>
      </c>
      <c r="D3633" t="inlineStr">
        <is>
          <t>Miss Glam Damar</t>
        </is>
      </c>
      <c r="E3633" t="n">
        <v>7</v>
      </c>
      <c r="F3633" t="n">
        <v>0.2912</v>
      </c>
      <c r="G3633" t="n">
        <v>3.64</v>
      </c>
      <c r="H3633" t="n">
        <v>4</v>
      </c>
      <c r="I3633" t="n">
        <v>21</v>
      </c>
      <c r="J3633" t="n">
        <v>3</v>
      </c>
      <c r="K3633" t="n">
        <v>0</v>
      </c>
      <c r="L3633" t="n">
        <v>55105</v>
      </c>
      <c r="M3633" t="n">
        <v>70000</v>
      </c>
      <c r="N3633" t="n">
        <v>91</v>
      </c>
      <c r="O3633" t="n">
        <v>0.91</v>
      </c>
      <c r="P3633" t="n">
        <v>1</v>
      </c>
      <c r="Q3633" t="n">
        <v>0.12</v>
      </c>
      <c r="R3633" t="n">
        <v>1</v>
      </c>
      <c r="S3633" t="n">
        <v>20384</v>
      </c>
      <c r="T3633" t="n">
        <v>76</v>
      </c>
      <c r="U3633" t="n">
        <v>78</v>
      </c>
      <c r="V3633" t="n">
        <v>30</v>
      </c>
      <c r="W3633" t="n">
        <v>9</v>
      </c>
      <c r="X3633" t="n">
        <v>24.03846153846154</v>
      </c>
      <c r="Y3633" t="n">
        <v>1</v>
      </c>
      <c r="Z3633" t="n">
        <v>2</v>
      </c>
      <c r="AA3633" t="n">
        <v>0</v>
      </c>
      <c r="AB3633" t="n">
        <v>2</v>
      </c>
      <c r="AC3633" t="n">
        <v>3</v>
      </c>
      <c r="AD3633" t="n">
        <v>0</v>
      </c>
      <c r="AE3633" t="n">
        <v>165315</v>
      </c>
      <c r="AF3633" t="n">
        <v>6984</v>
      </c>
      <c r="AG3633" t="n">
        <v>1</v>
      </c>
      <c r="AH3633" t="inlineStr">
        <is>
          <t>PT. BERSAMA DISTRIVERSA INDONESIA (DC CIPUTAT)</t>
        </is>
      </c>
      <c r="AI3633" t="n">
        <v>951</v>
      </c>
      <c r="AJ3633" t="inlineStr">
        <is>
          <t>MS GLOW</t>
        </is>
      </c>
      <c r="AK3633" t="n">
        <v>21</v>
      </c>
      <c r="AL3633" t="inlineStr">
        <is>
          <t>Miss Glam Damar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MS GLOW MEN</t>
        </is>
      </c>
      <c r="B3634" s="2">
        <f>"101001107738"</f>
        <v/>
      </c>
      <c r="C3634" t="inlineStr">
        <is>
          <t>MS GLOW Men Acnotion Facial Wash 100ml</t>
        </is>
      </c>
      <c r="D3634" t="inlineStr">
        <is>
          <t>Miss Glam Damar</t>
        </is>
      </c>
      <c r="E3634" t="n">
        <v>21</v>
      </c>
      <c r="F3634" t="n">
        <v>0.09100000000000001</v>
      </c>
      <c r="G3634" t="n">
        <v>1.82</v>
      </c>
      <c r="H3634" t="n">
        <v>4</v>
      </c>
      <c r="I3634" t="n">
        <v>21</v>
      </c>
      <c r="J3634" t="n">
        <v>1</v>
      </c>
      <c r="K3634" t="n">
        <v>0</v>
      </c>
      <c r="L3634" t="n">
        <v>38110</v>
      </c>
      <c r="M3634" t="n">
        <v>60000</v>
      </c>
      <c r="N3634" t="n">
        <v>91</v>
      </c>
      <c r="O3634" t="n">
        <v>0.91</v>
      </c>
      <c r="P3634" t="n">
        <v>1</v>
      </c>
      <c r="Q3634" t="n">
        <v>0.05</v>
      </c>
      <c r="R3634" t="n">
        <v>1</v>
      </c>
      <c r="S3634" t="n">
        <v>5460.000000000001</v>
      </c>
      <c r="T3634" t="n">
        <v>38</v>
      </c>
      <c r="U3634" t="n">
        <v>39</v>
      </c>
      <c r="V3634" t="n">
        <v>30</v>
      </c>
      <c r="W3634" t="n">
        <v>3</v>
      </c>
      <c r="X3634" t="n">
        <v>230.7692307692307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7017</v>
      </c>
      <c r="AG3634" t="n">
        <v>1</v>
      </c>
      <c r="AH3634" t="inlineStr">
        <is>
          <t>PT. BERSAMA DISTRIVERSA INDONESIA (DC CIPUTAT)</t>
        </is>
      </c>
      <c r="AI3634" t="n">
        <v>2280</v>
      </c>
      <c r="AJ3634" t="inlineStr">
        <is>
          <t>MS GLOW MEN</t>
        </is>
      </c>
      <c r="AK3634" t="n">
        <v>21</v>
      </c>
      <c r="AL3634" t="inlineStr">
        <is>
          <t>Miss Glam Damar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MS GLOW MEN</t>
        </is>
      </c>
      <c r="B3635" s="2">
        <f>"11000700022"</f>
        <v/>
      </c>
      <c r="C3635" t="inlineStr">
        <is>
          <t>MS GLOW Men Calm Acne Serum 20ml</t>
        </is>
      </c>
      <c r="D3635" t="inlineStr">
        <is>
          <t>Miss Glam Damar</t>
        </is>
      </c>
      <c r="E3635" t="n">
        <v>6</v>
      </c>
      <c r="F3635" t="n">
        <v>0.0273</v>
      </c>
      <c r="G3635" t="n">
        <v>0.91</v>
      </c>
      <c r="H3635" t="n">
        <v>4</v>
      </c>
      <c r="I3635" t="n">
        <v>21</v>
      </c>
      <c r="J3635" t="n">
        <v>1</v>
      </c>
      <c r="K3635" t="n">
        <v>0</v>
      </c>
      <c r="L3635" t="n">
        <v>46350</v>
      </c>
      <c r="M3635" t="n">
        <v>103000</v>
      </c>
      <c r="N3635" t="n">
        <v>91</v>
      </c>
      <c r="O3635" t="n">
        <v>0.91</v>
      </c>
      <c r="P3635" t="n">
        <v>1</v>
      </c>
      <c r="Q3635" t="n">
        <v>0.02</v>
      </c>
      <c r="R3635" t="n">
        <v>1</v>
      </c>
      <c r="S3635" t="n">
        <v>2811.9</v>
      </c>
      <c r="T3635" t="n">
        <v>20</v>
      </c>
      <c r="U3635" t="n">
        <v>21</v>
      </c>
      <c r="V3635" t="n">
        <v>30</v>
      </c>
      <c r="W3635" t="n">
        <v>1</v>
      </c>
      <c r="X3635" t="n">
        <v>219.7802197802198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7017</v>
      </c>
      <c r="AG3635" t="n">
        <v>1</v>
      </c>
      <c r="AH3635" t="inlineStr">
        <is>
          <t>PT. BERSAMA DISTRIVERSA INDONESIA (DC CIPUTAT)</t>
        </is>
      </c>
      <c r="AI3635" t="n">
        <v>2280</v>
      </c>
      <c r="AJ3635" t="inlineStr">
        <is>
          <t>MS GLOW MEN</t>
        </is>
      </c>
      <c r="AK3635" t="n">
        <v>21</v>
      </c>
      <c r="AL3635" t="inlineStr">
        <is>
          <t>Miss Glam Damar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MS GLOW MEN</t>
        </is>
      </c>
      <c r="B3636" s="2">
        <f>"11000800030"</f>
        <v/>
      </c>
      <c r="C3636" t="inlineStr">
        <is>
          <t>MS GLOW Men Dual Cream 30gr</t>
        </is>
      </c>
      <c r="D3636" t="inlineStr">
        <is>
          <t>Miss Glam Damar</t>
        </is>
      </c>
      <c r="E3636" t="n">
        <v>0</v>
      </c>
      <c r="F3636" t="n">
        <v>0.1274</v>
      </c>
      <c r="G3636" t="n">
        <v>0.91</v>
      </c>
      <c r="H3636" t="n">
        <v>4</v>
      </c>
      <c r="I3636" t="n">
        <v>21</v>
      </c>
      <c r="J3636" t="n">
        <v>1</v>
      </c>
      <c r="K3636" t="n">
        <v>0</v>
      </c>
      <c r="L3636" t="n">
        <v>47428</v>
      </c>
      <c r="M3636" t="n">
        <v>60000</v>
      </c>
      <c r="N3636" t="n">
        <v>91</v>
      </c>
      <c r="O3636" t="n">
        <v>0.91</v>
      </c>
      <c r="P3636" t="n">
        <v>1</v>
      </c>
      <c r="Q3636" t="n">
        <v>0.17</v>
      </c>
      <c r="R3636" t="n">
        <v>1</v>
      </c>
      <c r="S3636" t="n">
        <v>7644.000000000001</v>
      </c>
      <c r="T3636" t="n">
        <v>19</v>
      </c>
      <c r="U3636" t="n">
        <v>20</v>
      </c>
      <c r="V3636" t="n">
        <v>30</v>
      </c>
      <c r="W3636" t="n">
        <v>4</v>
      </c>
      <c r="X3636" t="n">
        <v>0</v>
      </c>
      <c r="Y3636" t="n">
        <v>1</v>
      </c>
      <c r="Z3636" t="n">
        <v>4</v>
      </c>
      <c r="AA3636" t="n">
        <v>3</v>
      </c>
      <c r="AB3636" t="n">
        <v>1</v>
      </c>
      <c r="AC3636" t="n">
        <v>1</v>
      </c>
      <c r="AD3636" t="n">
        <v>142284</v>
      </c>
      <c r="AE3636" t="n">
        <v>47428</v>
      </c>
      <c r="AF3636" t="n">
        <v>7017</v>
      </c>
      <c r="AG3636" t="n">
        <v>1</v>
      </c>
      <c r="AH3636" t="inlineStr">
        <is>
          <t>PT. BERSAMA DISTRIVERSA INDONESIA (DC CIPUTAT)</t>
        </is>
      </c>
      <c r="AI3636" t="n">
        <v>2280</v>
      </c>
      <c r="AJ3636" t="inlineStr">
        <is>
          <t>MS GLOW MEN</t>
        </is>
      </c>
      <c r="AK3636" t="n">
        <v>21</v>
      </c>
      <c r="AL3636" t="inlineStr">
        <is>
          <t>Miss Glam Damar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MS GLOW MEN</t>
        </is>
      </c>
      <c r="B3637" s="2">
        <f>"101001107911"</f>
        <v/>
      </c>
      <c r="C3637" t="inlineStr">
        <is>
          <t>MS GLOW Men Hydra Boost Facial Wash 100ml</t>
        </is>
      </c>
      <c r="D3637" t="inlineStr">
        <is>
          <t>Miss Glam Damar</t>
        </is>
      </c>
      <c r="E3637" t="n">
        <v>12</v>
      </c>
      <c r="F3637" t="n">
        <v>0.0728</v>
      </c>
      <c r="G3637" t="n">
        <v>0.91</v>
      </c>
      <c r="H3637" t="n">
        <v>4</v>
      </c>
      <c r="I3637" t="n">
        <v>21</v>
      </c>
      <c r="J3637" t="n">
        <v>1</v>
      </c>
      <c r="K3637" t="n">
        <v>0</v>
      </c>
      <c r="L3637" t="n">
        <v>37621</v>
      </c>
      <c r="M3637" t="n">
        <v>60000</v>
      </c>
      <c r="N3637" t="n">
        <v>91</v>
      </c>
      <c r="O3637" t="n">
        <v>0.91</v>
      </c>
      <c r="P3637" t="n">
        <v>1</v>
      </c>
      <c r="Q3637" t="n">
        <v>0.03</v>
      </c>
      <c r="R3637" t="n">
        <v>1</v>
      </c>
      <c r="S3637" t="n">
        <v>4368</v>
      </c>
      <c r="T3637" t="n">
        <v>19</v>
      </c>
      <c r="U3637" t="n">
        <v>20</v>
      </c>
      <c r="V3637" t="n">
        <v>30</v>
      </c>
      <c r="W3637" t="n">
        <v>3</v>
      </c>
      <c r="X3637" t="n">
        <v>164.8351648351648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7017</v>
      </c>
      <c r="AG3637" t="n">
        <v>1</v>
      </c>
      <c r="AH3637" t="inlineStr">
        <is>
          <t>PT. BERSAMA DISTRIVERSA INDONESIA (DC CIPUTAT)</t>
        </is>
      </c>
      <c r="AI3637" t="n">
        <v>2280</v>
      </c>
      <c r="AJ3637" t="inlineStr">
        <is>
          <t>MS GLOW MEN</t>
        </is>
      </c>
      <c r="AK3637" t="n">
        <v>21</v>
      </c>
      <c r="AL3637" t="inlineStr">
        <is>
          <t>Miss Glam Damar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MS GLOW MEN</t>
        </is>
      </c>
      <c r="B3638" s="2">
        <f>"11000700115"</f>
        <v/>
      </c>
      <c r="C3638" t="inlineStr">
        <is>
          <t>MS GLOW Men Hydra Expert Serum 20ml</t>
        </is>
      </c>
      <c r="D3638" t="inlineStr">
        <is>
          <t>Miss Glam Damar</t>
        </is>
      </c>
      <c r="E3638" t="n">
        <v>7</v>
      </c>
      <c r="F3638" t="n">
        <v>0.0273</v>
      </c>
      <c r="G3638" t="n">
        <v>0.91</v>
      </c>
      <c r="H3638" t="n">
        <v>4</v>
      </c>
      <c r="I3638" t="n">
        <v>21</v>
      </c>
      <c r="J3638" t="n">
        <v>1</v>
      </c>
      <c r="K3638" t="n">
        <v>0</v>
      </c>
      <c r="L3638" t="n">
        <v>46203</v>
      </c>
      <c r="M3638" t="n">
        <v>55000</v>
      </c>
      <c r="N3638" t="n">
        <v>91</v>
      </c>
      <c r="O3638" t="n">
        <v>0.91</v>
      </c>
      <c r="P3638" t="n">
        <v>1</v>
      </c>
      <c r="Q3638" t="n">
        <v>0.02</v>
      </c>
      <c r="R3638" t="n">
        <v>1</v>
      </c>
      <c r="S3638" t="n">
        <v>1501.5</v>
      </c>
      <c r="T3638" t="n">
        <v>20</v>
      </c>
      <c r="U3638" t="n">
        <v>21</v>
      </c>
      <c r="V3638" t="n">
        <v>30</v>
      </c>
      <c r="W3638" t="n">
        <v>1</v>
      </c>
      <c r="X3638" t="n">
        <v>256.4102564102564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7017</v>
      </c>
      <c r="AG3638" t="n">
        <v>1</v>
      </c>
      <c r="AH3638" t="inlineStr">
        <is>
          <t>PT. BERSAMA DISTRIVERSA INDONESIA (DC CIPUTAT)</t>
        </is>
      </c>
      <c r="AI3638" t="n">
        <v>2280</v>
      </c>
      <c r="AJ3638" t="inlineStr">
        <is>
          <t>MS GLOW MEN</t>
        </is>
      </c>
      <c r="AK3638" t="n">
        <v>21</v>
      </c>
      <c r="AL3638" t="inlineStr">
        <is>
          <t>Miss Glam Damar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MS GLOW MEN</t>
        </is>
      </c>
      <c r="B3639" s="2">
        <f>"101001107801"</f>
        <v/>
      </c>
      <c r="C3639" t="inlineStr">
        <is>
          <t>MS GLOW Men Ultra Bright Facial Wash 100ml</t>
        </is>
      </c>
      <c r="D3639" t="inlineStr">
        <is>
          <t>Miss Glam Damar</t>
        </is>
      </c>
      <c r="E3639" t="n">
        <v>5</v>
      </c>
      <c r="F3639" t="n">
        <v>0.2002</v>
      </c>
      <c r="G3639" t="n">
        <v>1.82</v>
      </c>
      <c r="H3639" t="n">
        <v>4</v>
      </c>
      <c r="I3639" t="n">
        <v>21</v>
      </c>
      <c r="J3639" t="n">
        <v>1</v>
      </c>
      <c r="K3639" t="n">
        <v>0</v>
      </c>
      <c r="L3639" t="n">
        <v>38110</v>
      </c>
      <c r="M3639" t="n">
        <v>60000</v>
      </c>
      <c r="N3639" t="n">
        <v>91</v>
      </c>
      <c r="O3639" t="n">
        <v>0.91</v>
      </c>
      <c r="P3639" t="n">
        <v>1</v>
      </c>
      <c r="Q3639" t="n">
        <v>0.07000000000000001</v>
      </c>
      <c r="R3639" t="n">
        <v>1</v>
      </c>
      <c r="S3639" t="n">
        <v>12012</v>
      </c>
      <c r="T3639" t="n">
        <v>38</v>
      </c>
      <c r="U3639" t="n">
        <v>39</v>
      </c>
      <c r="V3639" t="n">
        <v>30</v>
      </c>
      <c r="W3639" t="n">
        <v>7</v>
      </c>
      <c r="X3639" t="n">
        <v>24.97502497502497</v>
      </c>
      <c r="Y3639" t="n">
        <v>1</v>
      </c>
      <c r="Z3639" t="n">
        <v>2</v>
      </c>
      <c r="AA3639" t="n">
        <v>0</v>
      </c>
      <c r="AB3639" t="n">
        <v>2</v>
      </c>
      <c r="AC3639" t="n">
        <v>2</v>
      </c>
      <c r="AD3639" t="n">
        <v>0</v>
      </c>
      <c r="AE3639" t="n">
        <v>76220</v>
      </c>
      <c r="AF3639" t="n">
        <v>7017</v>
      </c>
      <c r="AG3639" t="n">
        <v>1</v>
      </c>
      <c r="AH3639" t="inlineStr">
        <is>
          <t>PT. BERSAMA DISTRIVERSA INDONESIA (DC CIPUTAT)</t>
        </is>
      </c>
      <c r="AI3639" t="n">
        <v>2280</v>
      </c>
      <c r="AJ3639" t="inlineStr">
        <is>
          <t>MS GLOW MEN</t>
        </is>
      </c>
      <c r="AK3639" t="n">
        <v>21</v>
      </c>
      <c r="AL3639" t="inlineStr">
        <is>
          <t>Miss Glam Damar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MU TOUCH</t>
        </is>
      </c>
      <c r="B3640" s="2">
        <f>"8885012970280"</f>
        <v/>
      </c>
      <c r="C3640" t="inlineStr">
        <is>
          <t>MU TOUCH Body Lotion Habbatus Sauda Moisturizing And Nourishing 400ml</t>
        </is>
      </c>
      <c r="D3640" t="inlineStr">
        <is>
          <t>Miss Glam Damar</t>
        </is>
      </c>
      <c r="E3640" t="n">
        <v>2</v>
      </c>
      <c r="F3640" t="n">
        <v>0.0182</v>
      </c>
      <c r="G3640" t="n">
        <v>0.91</v>
      </c>
      <c r="H3640" t="n">
        <v>4</v>
      </c>
      <c r="I3640" t="n">
        <v>7</v>
      </c>
      <c r="J3640" t="n">
        <v>3</v>
      </c>
      <c r="K3640" t="n">
        <v>0</v>
      </c>
      <c r="L3640" t="n">
        <v>48951</v>
      </c>
      <c r="M3640" t="n">
        <v>58000</v>
      </c>
      <c r="N3640" t="n">
        <v>91</v>
      </c>
      <c r="O3640" t="n">
        <v>0.91</v>
      </c>
      <c r="P3640" t="n">
        <v>1</v>
      </c>
      <c r="Q3640" t="n">
        <v>0.1</v>
      </c>
      <c r="R3640" t="n">
        <v>2</v>
      </c>
      <c r="S3640" t="n">
        <v>1055.6</v>
      </c>
      <c r="T3640" t="n">
        <v>7</v>
      </c>
      <c r="U3640" t="n">
        <v>8</v>
      </c>
      <c r="V3640" t="n">
        <v>30</v>
      </c>
      <c r="W3640" t="n">
        <v>1</v>
      </c>
      <c r="X3640" t="n">
        <v>109.8901098901099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1304</v>
      </c>
      <c r="AG3640" t="n">
        <v>3449</v>
      </c>
      <c r="AH3640" t="inlineStr">
        <is>
          <t>CV. PRIMA PERKASA SEJAHTERA - PPN (PDG)</t>
        </is>
      </c>
      <c r="AI3640" t="n">
        <v>400</v>
      </c>
      <c r="AJ3640" t="inlineStr">
        <is>
          <t>MU TOUCH</t>
        </is>
      </c>
      <c r="AK3640" t="n">
        <v>21</v>
      </c>
      <c r="AL3640" t="inlineStr">
        <is>
          <t>Miss Glam Damar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MU TOUCH</t>
        </is>
      </c>
      <c r="B3641" s="2">
        <f>"8885012970198"</f>
        <v/>
      </c>
      <c r="C3641" t="inlineStr">
        <is>
          <t>MU TOUCH Shower Cream Green Tea Mouisturing 450ml</t>
        </is>
      </c>
      <c r="D3641" t="inlineStr">
        <is>
          <t>Miss Glam Damar</t>
        </is>
      </c>
      <c r="E3641" t="n">
        <v>1</v>
      </c>
      <c r="F3641" t="n">
        <v>0.06370000000000001</v>
      </c>
      <c r="G3641" t="n">
        <v>0.91</v>
      </c>
      <c r="H3641" t="n">
        <v>4</v>
      </c>
      <c r="I3641" t="n">
        <v>7</v>
      </c>
      <c r="J3641" t="n">
        <v>3</v>
      </c>
      <c r="K3641" t="n">
        <v>0</v>
      </c>
      <c r="L3641" t="n">
        <v>30745</v>
      </c>
      <c r="M3641" t="n">
        <v>36500</v>
      </c>
      <c r="N3641" t="n">
        <v>91</v>
      </c>
      <c r="O3641" t="n">
        <v>0.91</v>
      </c>
      <c r="P3641" t="n">
        <v>1</v>
      </c>
      <c r="Q3641" t="n">
        <v>0.1</v>
      </c>
      <c r="R3641" t="n">
        <v>1</v>
      </c>
      <c r="S3641" t="n">
        <v>2325.05</v>
      </c>
      <c r="T3641" t="n">
        <v>7</v>
      </c>
      <c r="U3641" t="n">
        <v>8</v>
      </c>
      <c r="V3641" t="n">
        <v>30</v>
      </c>
      <c r="W3641" t="n">
        <v>2</v>
      </c>
      <c r="X3641" t="n">
        <v>15.69858712715855</v>
      </c>
      <c r="Y3641" t="n">
        <v>1</v>
      </c>
      <c r="Z3641" t="n">
        <v>1</v>
      </c>
      <c r="AA3641" t="n">
        <v>0</v>
      </c>
      <c r="AB3641" t="n">
        <v>1</v>
      </c>
      <c r="AC3641" t="n">
        <v>3</v>
      </c>
      <c r="AD3641" t="n">
        <v>0</v>
      </c>
      <c r="AE3641" t="n">
        <v>92235</v>
      </c>
      <c r="AF3641" t="n">
        <v>1304</v>
      </c>
      <c r="AG3641" t="n">
        <v>3449</v>
      </c>
      <c r="AH3641" t="inlineStr">
        <is>
          <t>CV. PRIMA PERKASA SEJAHTERA - PPN (PDG)</t>
        </is>
      </c>
      <c r="AI3641" t="n">
        <v>400</v>
      </c>
      <c r="AJ3641" t="inlineStr">
        <is>
          <t>MU TOUCH</t>
        </is>
      </c>
      <c r="AK3641" t="n">
        <v>21</v>
      </c>
      <c r="AL3641" t="inlineStr">
        <is>
          <t>Miss Glam Damar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MU TOUCH</t>
        </is>
      </c>
      <c r="B3642" s="2">
        <f>"8885012970358"</f>
        <v/>
      </c>
      <c r="C3642" t="inlineStr">
        <is>
          <t>MU TOUCH White Body Lotion Brightening And Moisturizing 400ml</t>
        </is>
      </c>
      <c r="D3642" t="inlineStr">
        <is>
          <t>Miss Glam Damar</t>
        </is>
      </c>
      <c r="E3642" t="n">
        <v>1</v>
      </c>
      <c r="F3642" t="n">
        <v>0.0273</v>
      </c>
      <c r="G3642" t="n">
        <v>0.91</v>
      </c>
      <c r="H3642" t="n">
        <v>4</v>
      </c>
      <c r="I3642" t="n">
        <v>7</v>
      </c>
      <c r="J3642" t="n">
        <v>3</v>
      </c>
      <c r="K3642" t="n">
        <v>0</v>
      </c>
      <c r="L3642" t="n">
        <v>62166</v>
      </c>
      <c r="M3642" t="n">
        <v>73500</v>
      </c>
      <c r="N3642" t="n">
        <v>91</v>
      </c>
      <c r="O3642" t="n">
        <v>0.91</v>
      </c>
      <c r="P3642" t="n">
        <v>1</v>
      </c>
      <c r="Q3642" t="n">
        <v>0.07000000000000001</v>
      </c>
      <c r="R3642" t="n">
        <v>1</v>
      </c>
      <c r="S3642" t="n">
        <v>2006.55</v>
      </c>
      <c r="T3642" t="n">
        <v>7</v>
      </c>
      <c r="U3642" t="n">
        <v>8</v>
      </c>
      <c r="V3642" t="n">
        <v>30</v>
      </c>
      <c r="W3642" t="n">
        <v>1</v>
      </c>
      <c r="X3642" t="n">
        <v>36.63003663003663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1304</v>
      </c>
      <c r="AG3642" t="n">
        <v>3449</v>
      </c>
      <c r="AH3642" t="inlineStr">
        <is>
          <t>CV. PRIMA PERKASA SEJAHTERA - PPN (PDG)</t>
        </is>
      </c>
      <c r="AI3642" t="n">
        <v>400</v>
      </c>
      <c r="AJ3642" t="inlineStr">
        <is>
          <t>MU TOUCH</t>
        </is>
      </c>
      <c r="AK3642" t="n">
        <v>21</v>
      </c>
      <c r="AL3642" t="inlineStr">
        <is>
          <t>Miss Glam Damar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MU TOUCH</t>
        </is>
      </c>
      <c r="B3643" s="2">
        <f>"9555436903711"</f>
        <v/>
      </c>
      <c r="C3643" t="inlineStr">
        <is>
          <t>MUTOUCH Shower Cream With  Mulberry and Pearl 1000ml</t>
        </is>
      </c>
      <c r="D3643" t="inlineStr">
        <is>
          <t>Miss Glam Damar</t>
        </is>
      </c>
      <c r="E3643" t="n">
        <v>2</v>
      </c>
      <c r="F3643" t="n">
        <v>0.06370000000000001</v>
      </c>
      <c r="G3643" t="n">
        <v>0.91</v>
      </c>
      <c r="H3643" t="n">
        <v>4</v>
      </c>
      <c r="I3643" t="n">
        <v>7</v>
      </c>
      <c r="J3643" t="n">
        <v>3</v>
      </c>
      <c r="K3643" t="n">
        <v>0</v>
      </c>
      <c r="L3643" t="n">
        <v>62160</v>
      </c>
      <c r="M3643" t="n">
        <v>73500</v>
      </c>
      <c r="N3643" t="n">
        <v>91</v>
      </c>
      <c r="O3643" t="n">
        <v>0.91</v>
      </c>
      <c r="P3643" t="n">
        <v>1</v>
      </c>
      <c r="Q3643" t="n">
        <v>0.02</v>
      </c>
      <c r="R3643" t="n">
        <v>1</v>
      </c>
      <c r="S3643" t="n">
        <v>4681.950000000001</v>
      </c>
      <c r="T3643" t="n">
        <v>7</v>
      </c>
      <c r="U3643" t="n">
        <v>8</v>
      </c>
      <c r="V3643" t="n">
        <v>30</v>
      </c>
      <c r="W3643" t="n">
        <v>2</v>
      </c>
      <c r="X3643" t="n">
        <v>31.39717425431711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1304</v>
      </c>
      <c r="AG3643" t="n">
        <v>3449</v>
      </c>
      <c r="AH3643" t="inlineStr">
        <is>
          <t>CV. PRIMA PERKASA SEJAHTERA - PPN (PDG)</t>
        </is>
      </c>
      <c r="AI3643" t="n">
        <v>400</v>
      </c>
      <c r="AJ3643" t="inlineStr">
        <is>
          <t>MU TOUCH</t>
        </is>
      </c>
      <c r="AK3643" t="n">
        <v>21</v>
      </c>
      <c r="AL3643" t="inlineStr">
        <is>
          <t>Miss Glam Damar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MU TOUCH</t>
        </is>
      </c>
      <c r="B3644" s="2">
        <f>"9555436903469"</f>
        <v/>
      </c>
      <c r="C3644" t="inlineStr">
        <is>
          <t>MUTOUCH Shower Cream With English Lavender and Rosemary 1000ml</t>
        </is>
      </c>
      <c r="D3644" t="inlineStr">
        <is>
          <t>Miss Glam Damar</t>
        </is>
      </c>
      <c r="E3644" t="n">
        <v>3</v>
      </c>
      <c r="F3644" t="n">
        <v>0.05</v>
      </c>
      <c r="G3644" t="n">
        <v>1</v>
      </c>
      <c r="H3644" t="n">
        <v>4</v>
      </c>
      <c r="I3644" t="n">
        <v>7</v>
      </c>
      <c r="J3644" t="n">
        <v>3</v>
      </c>
      <c r="K3644" t="n">
        <v>0</v>
      </c>
      <c r="L3644" t="n">
        <v>62160</v>
      </c>
      <c r="M3644" t="n">
        <v>73500</v>
      </c>
      <c r="N3644" t="n">
        <v>91</v>
      </c>
      <c r="O3644" t="n">
        <v>0.91</v>
      </c>
      <c r="P3644" t="n">
        <v>0</v>
      </c>
      <c r="Q3644" t="n">
        <v>0.05</v>
      </c>
      <c r="R3644" t="n">
        <v>1</v>
      </c>
      <c r="S3644" t="n">
        <v>3675</v>
      </c>
      <c r="T3644" t="n">
        <v>7</v>
      </c>
      <c r="U3644" t="n">
        <v>8</v>
      </c>
      <c r="V3644" t="n">
        <v>30</v>
      </c>
      <c r="W3644" t="n">
        <v>2</v>
      </c>
      <c r="X3644" t="n">
        <v>60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1304</v>
      </c>
      <c r="AG3644" t="n">
        <v>3449</v>
      </c>
      <c r="AH3644" t="inlineStr">
        <is>
          <t>CV. PRIMA PERKASA SEJAHTERA - PPN (PDG)</t>
        </is>
      </c>
      <c r="AI3644" t="n">
        <v>400</v>
      </c>
      <c r="AJ3644" t="inlineStr">
        <is>
          <t>MU TOUCH</t>
        </is>
      </c>
      <c r="AK3644" t="n">
        <v>21</v>
      </c>
      <c r="AL3644" t="inlineStr">
        <is>
          <t>Miss Glam Damar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MU TOUCH</t>
        </is>
      </c>
      <c r="B3645" s="2">
        <f>"9555436903704"</f>
        <v/>
      </c>
      <c r="C3645" t="inlineStr">
        <is>
          <t>MUTOUCH Shower Cream With Green Tea 1000ml</t>
        </is>
      </c>
      <c r="D3645" t="inlineStr">
        <is>
          <t>Miss Glam Damar</t>
        </is>
      </c>
      <c r="E3645" t="n">
        <v>4</v>
      </c>
      <c r="F3645" t="n">
        <v>0.0273</v>
      </c>
      <c r="G3645" t="n">
        <v>0.91</v>
      </c>
      <c r="H3645" t="n">
        <v>4</v>
      </c>
      <c r="I3645" t="n">
        <v>7</v>
      </c>
      <c r="J3645" t="n">
        <v>3</v>
      </c>
      <c r="K3645" t="n">
        <v>0</v>
      </c>
      <c r="L3645" t="n">
        <v>62160</v>
      </c>
      <c r="M3645" t="n">
        <v>73500</v>
      </c>
      <c r="N3645" t="n">
        <v>91</v>
      </c>
      <c r="O3645" t="n">
        <v>0.91</v>
      </c>
      <c r="P3645" t="n">
        <v>1</v>
      </c>
      <c r="Q3645" t="n">
        <v>0.02</v>
      </c>
      <c r="R3645" t="n">
        <v>1</v>
      </c>
      <c r="S3645" t="n">
        <v>2006.55</v>
      </c>
      <c r="T3645" t="n">
        <v>7</v>
      </c>
      <c r="U3645" t="n">
        <v>8</v>
      </c>
      <c r="V3645" t="n">
        <v>30</v>
      </c>
      <c r="W3645" t="n">
        <v>1</v>
      </c>
      <c r="X3645" t="n">
        <v>146.5201465201465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1304</v>
      </c>
      <c r="AG3645" t="n">
        <v>3449</v>
      </c>
      <c r="AH3645" t="inlineStr">
        <is>
          <t>CV. PRIMA PERKASA SEJAHTERA - PPN (PDG)</t>
        </is>
      </c>
      <c r="AI3645" t="n">
        <v>400</v>
      </c>
      <c r="AJ3645" t="inlineStr">
        <is>
          <t>MU TOUCH</t>
        </is>
      </c>
      <c r="AK3645" t="n">
        <v>21</v>
      </c>
      <c r="AL3645" t="inlineStr">
        <is>
          <t>Miss Glam Damar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MU TOUCH</t>
        </is>
      </c>
      <c r="B3646" s="2">
        <f>"9555436903728"</f>
        <v/>
      </c>
      <c r="C3646" t="inlineStr">
        <is>
          <t>MUTOUCH Shower Cream With Honey &amp; Royal Jelly 1000ml</t>
        </is>
      </c>
      <c r="D3646" t="inlineStr">
        <is>
          <t>Miss Glam Damar</t>
        </is>
      </c>
      <c r="E3646" t="n">
        <v>7</v>
      </c>
      <c r="F3646" t="n">
        <v>0.1274</v>
      </c>
      <c r="G3646" t="n">
        <v>0.91</v>
      </c>
      <c r="H3646" t="n">
        <v>4</v>
      </c>
      <c r="I3646" t="n">
        <v>7</v>
      </c>
      <c r="J3646" t="n">
        <v>3</v>
      </c>
      <c r="K3646" t="n">
        <v>0</v>
      </c>
      <c r="L3646" t="n">
        <v>62160</v>
      </c>
      <c r="M3646" t="n">
        <v>73500</v>
      </c>
      <c r="N3646" t="n">
        <v>91</v>
      </c>
      <c r="O3646" t="n">
        <v>0.91</v>
      </c>
      <c r="P3646" t="n">
        <v>1</v>
      </c>
      <c r="Q3646" t="n">
        <v>0.15</v>
      </c>
      <c r="R3646" t="n">
        <v>2</v>
      </c>
      <c r="S3646" t="n">
        <v>9363.900000000001</v>
      </c>
      <c r="T3646" t="n">
        <v>6</v>
      </c>
      <c r="U3646" t="n">
        <v>7</v>
      </c>
      <c r="V3646" t="n">
        <v>30</v>
      </c>
      <c r="W3646" t="n">
        <v>4</v>
      </c>
      <c r="X3646" t="n">
        <v>54.94505494505494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1304</v>
      </c>
      <c r="AG3646" t="n">
        <v>3449</v>
      </c>
      <c r="AH3646" t="inlineStr">
        <is>
          <t>CV. PRIMA PERKASA SEJAHTERA - PPN (PDG)</t>
        </is>
      </c>
      <c r="AI3646" t="n">
        <v>400</v>
      </c>
      <c r="AJ3646" t="inlineStr">
        <is>
          <t>MU TOUCH</t>
        </is>
      </c>
      <c r="AK3646" t="n">
        <v>21</v>
      </c>
      <c r="AL3646" t="inlineStr">
        <is>
          <t>Miss Glam Damar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MUSTIKA RATU</t>
        </is>
      </c>
      <c r="B3647" s="2">
        <f>"8995151121419"</f>
        <v/>
      </c>
      <c r="C3647" t="inlineStr">
        <is>
          <t>MUSTIKA RATU Body Lotion Zaitun 200gr</t>
        </is>
      </c>
      <c r="D3647" t="inlineStr">
        <is>
          <t>Miss Glam Damar</t>
        </is>
      </c>
      <c r="E3647" t="n">
        <v>2</v>
      </c>
      <c r="F3647" t="n">
        <v>0.02</v>
      </c>
      <c r="G3647" t="n">
        <v>0</v>
      </c>
      <c r="H3647" t="n">
        <v>7</v>
      </c>
      <c r="I3647" t="n">
        <v>21</v>
      </c>
      <c r="J3647" t="n">
        <v>3</v>
      </c>
      <c r="K3647" t="n">
        <v>0</v>
      </c>
      <c r="L3647" t="n">
        <v>31350</v>
      </c>
      <c r="M3647" t="n">
        <v>37000</v>
      </c>
      <c r="N3647" t="n">
        <v>91</v>
      </c>
      <c r="O3647" t="n">
        <v>0.91</v>
      </c>
      <c r="P3647" t="n">
        <v>0</v>
      </c>
      <c r="Q3647" t="n">
        <v>0.02</v>
      </c>
      <c r="R3647" t="n">
        <v>0</v>
      </c>
      <c r="S3647" t="n">
        <v>740</v>
      </c>
      <c r="T3647" t="n">
        <v>0</v>
      </c>
      <c r="U3647" t="n">
        <v>1</v>
      </c>
      <c r="V3647" t="n">
        <v>30</v>
      </c>
      <c r="W3647" t="n">
        <v>1</v>
      </c>
      <c r="X3647" t="n">
        <v>100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12051</v>
      </c>
      <c r="AG3647" t="n">
        <v>3565</v>
      </c>
      <c r="AH3647" t="inlineStr">
        <is>
          <t>PT. PUTRA KEMBAR BINJAI - PPN (PDG)</t>
        </is>
      </c>
      <c r="AI3647" t="n">
        <v>111</v>
      </c>
      <c r="AJ3647" t="inlineStr">
        <is>
          <t>MUSTIKA RATU</t>
        </is>
      </c>
      <c r="AK3647" t="n">
        <v>21</v>
      </c>
      <c r="AL3647" t="inlineStr">
        <is>
          <t>Miss Glam Damar</t>
        </is>
      </c>
      <c r="AM3647" t="n">
        <v>4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MUSTIKA RATU</t>
        </is>
      </c>
      <c r="B3648" s="2">
        <f>"8995151120535"</f>
        <v/>
      </c>
      <c r="C3648" t="inlineStr">
        <is>
          <t>MUSTIKA RATU Body Scrub 200g</t>
        </is>
      </c>
      <c r="D3648" t="inlineStr">
        <is>
          <t>Miss Glam Damar</t>
        </is>
      </c>
      <c r="E3648" t="n">
        <v>1</v>
      </c>
      <c r="F3648" t="n">
        <v>0.0182</v>
      </c>
      <c r="G3648" t="n">
        <v>0.91</v>
      </c>
      <c r="H3648" t="n">
        <v>7</v>
      </c>
      <c r="I3648" t="n">
        <v>21</v>
      </c>
      <c r="J3648" t="n">
        <v>3</v>
      </c>
      <c r="K3648" t="n">
        <v>0</v>
      </c>
      <c r="L3648" t="n">
        <v>44001</v>
      </c>
      <c r="M3648" t="n">
        <v>52200</v>
      </c>
      <c r="N3648" t="n">
        <v>91</v>
      </c>
      <c r="O3648" t="n">
        <v>0.91</v>
      </c>
      <c r="P3648" t="n">
        <v>1</v>
      </c>
      <c r="Q3648" t="n">
        <v>0.03</v>
      </c>
      <c r="R3648" t="n">
        <v>1</v>
      </c>
      <c r="S3648" t="n">
        <v>950.0400000000001</v>
      </c>
      <c r="T3648" t="n">
        <v>19</v>
      </c>
      <c r="U3648" t="n">
        <v>20</v>
      </c>
      <c r="V3648" t="n">
        <v>30</v>
      </c>
      <c r="W3648" t="n">
        <v>1</v>
      </c>
      <c r="X3648" t="n">
        <v>54.94505494505494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12051</v>
      </c>
      <c r="AG3648" t="n">
        <v>3565</v>
      </c>
      <c r="AH3648" t="inlineStr">
        <is>
          <t>PT. PUTRA KEMBAR BINJAI - PPN (PDG)</t>
        </is>
      </c>
      <c r="AI3648" t="n">
        <v>111</v>
      </c>
      <c r="AJ3648" t="inlineStr">
        <is>
          <t>MUSTIKA RATU</t>
        </is>
      </c>
      <c r="AK3648" t="n">
        <v>21</v>
      </c>
      <c r="AL3648" t="inlineStr">
        <is>
          <t>Miss Glam Damar</t>
        </is>
      </c>
      <c r="AM3648" t="n">
        <v>4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MUSTIKA RATU</t>
        </is>
      </c>
      <c r="B3649" s="2">
        <f>"8995151130688"</f>
        <v/>
      </c>
      <c r="C3649" t="inlineStr">
        <is>
          <t>MUSTIKA RATU Hair Oil Ceman 75ml</t>
        </is>
      </c>
      <c r="D3649" t="inlineStr">
        <is>
          <t>Miss Glam Damar</t>
        </is>
      </c>
      <c r="E3649" t="n">
        <v>30</v>
      </c>
      <c r="F3649" t="n">
        <v>0.2457</v>
      </c>
      <c r="G3649" t="n">
        <v>2.73</v>
      </c>
      <c r="H3649" t="n">
        <v>7</v>
      </c>
      <c r="I3649" t="n">
        <v>21</v>
      </c>
      <c r="J3649" t="n">
        <v>3</v>
      </c>
      <c r="K3649" t="n">
        <v>0</v>
      </c>
      <c r="L3649" t="n">
        <v>21565</v>
      </c>
      <c r="M3649" t="n">
        <v>25500</v>
      </c>
      <c r="N3649" t="n">
        <v>91</v>
      </c>
      <c r="O3649" t="n">
        <v>0.91</v>
      </c>
      <c r="P3649" t="n">
        <v>1</v>
      </c>
      <c r="Q3649" t="n">
        <v>0.19</v>
      </c>
      <c r="R3649" t="n">
        <v>2</v>
      </c>
      <c r="S3649" t="n">
        <v>6265.35</v>
      </c>
      <c r="T3649" t="n">
        <v>56</v>
      </c>
      <c r="U3649" t="n">
        <v>58</v>
      </c>
      <c r="V3649" t="n">
        <v>30</v>
      </c>
      <c r="W3649" t="n">
        <v>8</v>
      </c>
      <c r="X3649" t="n">
        <v>122.1001221001221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12051</v>
      </c>
      <c r="AG3649" t="n">
        <v>3565</v>
      </c>
      <c r="AH3649" t="inlineStr">
        <is>
          <t>PT. PUTRA KEMBAR BINJAI - PPN (PDG)</t>
        </is>
      </c>
      <c r="AI3649" t="n">
        <v>111</v>
      </c>
      <c r="AJ3649" t="inlineStr">
        <is>
          <t>MUSTIKA RATU</t>
        </is>
      </c>
      <c r="AK3649" t="n">
        <v>21</v>
      </c>
      <c r="AL3649" t="inlineStr">
        <is>
          <t>Miss Glam Damar</t>
        </is>
      </c>
      <c r="AM3649" t="n">
        <v>4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MUSTIKA RATU</t>
        </is>
      </c>
      <c r="B3650" s="2">
        <f>"8995151130138"</f>
        <v/>
      </c>
      <c r="C3650" t="inlineStr">
        <is>
          <t>MUSTIKA RATU Hair Tonic Penyubur Rambut 175ml</t>
        </is>
      </c>
      <c r="D3650" t="inlineStr">
        <is>
          <t>Miss Glam Damar</t>
        </is>
      </c>
      <c r="E3650" t="n">
        <v>3</v>
      </c>
      <c r="F3650" t="n">
        <v>0.2184</v>
      </c>
      <c r="G3650" t="n">
        <v>1.82</v>
      </c>
      <c r="H3650" t="n">
        <v>7</v>
      </c>
      <c r="I3650" t="n">
        <v>21</v>
      </c>
      <c r="J3650" t="n">
        <v>3</v>
      </c>
      <c r="K3650" t="n">
        <v>0</v>
      </c>
      <c r="L3650" t="n">
        <v>31740</v>
      </c>
      <c r="M3650" t="n">
        <v>37500</v>
      </c>
      <c r="N3650" t="n">
        <v>91</v>
      </c>
      <c r="O3650" t="n">
        <v>0.91</v>
      </c>
      <c r="P3650" t="n">
        <v>1</v>
      </c>
      <c r="Q3650" t="n">
        <v>0.15</v>
      </c>
      <c r="R3650" t="n">
        <v>2</v>
      </c>
      <c r="S3650" t="n">
        <v>8190</v>
      </c>
      <c r="T3650" t="n">
        <v>37</v>
      </c>
      <c r="U3650" t="n">
        <v>39</v>
      </c>
      <c r="V3650" t="n">
        <v>30</v>
      </c>
      <c r="W3650" t="n">
        <v>7</v>
      </c>
      <c r="X3650" t="n">
        <v>13.73626373626374</v>
      </c>
      <c r="Y3650" t="n">
        <v>1</v>
      </c>
      <c r="Z3650" t="n">
        <v>4</v>
      </c>
      <c r="AA3650" t="n">
        <v>2</v>
      </c>
      <c r="AB3650" t="n">
        <v>2</v>
      </c>
      <c r="AC3650" t="n">
        <v>3</v>
      </c>
      <c r="AD3650" t="n">
        <v>63480</v>
      </c>
      <c r="AE3650" t="n">
        <v>95220</v>
      </c>
      <c r="AF3650" t="n">
        <v>12051</v>
      </c>
      <c r="AG3650" t="n">
        <v>3565</v>
      </c>
      <c r="AH3650" t="inlineStr">
        <is>
          <t>PT. PUTRA KEMBAR BINJAI - PPN (PDG)</t>
        </is>
      </c>
      <c r="AI3650" t="n">
        <v>111</v>
      </c>
      <c r="AJ3650" t="inlineStr">
        <is>
          <t>MUSTIKA RATU</t>
        </is>
      </c>
      <c r="AK3650" t="n">
        <v>21</v>
      </c>
      <c r="AL3650" t="inlineStr">
        <is>
          <t>Miss Glam Damar</t>
        </is>
      </c>
      <c r="AM3650" t="n">
        <v>4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MUSTIKA RATU</t>
        </is>
      </c>
      <c r="B3651" s="2">
        <f>"8995151120115"</f>
        <v/>
      </c>
      <c r="C3651" t="inlineStr">
        <is>
          <t>MUSTIKA RATU Minyak Zaitun 175ml</t>
        </is>
      </c>
      <c r="D3651" t="inlineStr">
        <is>
          <t>Miss Glam Damar</t>
        </is>
      </c>
      <c r="E3651" t="n">
        <v>3</v>
      </c>
      <c r="F3651" t="n">
        <v>0.182</v>
      </c>
      <c r="G3651" t="n">
        <v>1.82</v>
      </c>
      <c r="H3651" t="n">
        <v>7</v>
      </c>
      <c r="I3651" t="n">
        <v>21</v>
      </c>
      <c r="J3651" t="n">
        <v>3</v>
      </c>
      <c r="K3651" t="n">
        <v>0</v>
      </c>
      <c r="L3651" t="n">
        <v>33807</v>
      </c>
      <c r="M3651" t="n">
        <v>40000</v>
      </c>
      <c r="N3651" t="n">
        <v>91</v>
      </c>
      <c r="O3651" t="n">
        <v>0.91</v>
      </c>
      <c r="P3651" t="n">
        <v>1</v>
      </c>
      <c r="Q3651" t="n">
        <v>0.15</v>
      </c>
      <c r="R3651" t="n">
        <v>2</v>
      </c>
      <c r="S3651" t="n">
        <v>7280.000000000001</v>
      </c>
      <c r="T3651" t="n">
        <v>37</v>
      </c>
      <c r="U3651" t="n">
        <v>39</v>
      </c>
      <c r="V3651" t="n">
        <v>30</v>
      </c>
      <c r="W3651" t="n">
        <v>6</v>
      </c>
      <c r="X3651" t="n">
        <v>16.48351648351648</v>
      </c>
      <c r="Y3651" t="n">
        <v>1</v>
      </c>
      <c r="Z3651" t="n">
        <v>3</v>
      </c>
      <c r="AA3651" t="n">
        <v>1</v>
      </c>
      <c r="AB3651" t="n">
        <v>2</v>
      </c>
      <c r="AC3651" t="n">
        <v>3</v>
      </c>
      <c r="AD3651" t="n">
        <v>33807</v>
      </c>
      <c r="AE3651" t="n">
        <v>101421</v>
      </c>
      <c r="AF3651" t="n">
        <v>12051</v>
      </c>
      <c r="AG3651" t="n">
        <v>3565</v>
      </c>
      <c r="AH3651" t="inlineStr">
        <is>
          <t>PT. PUTRA KEMBAR BINJAI - PPN (PDG)</t>
        </is>
      </c>
      <c r="AI3651" t="n">
        <v>111</v>
      </c>
      <c r="AJ3651" t="inlineStr">
        <is>
          <t>MUSTIKA RATU</t>
        </is>
      </c>
      <c r="AK3651" t="n">
        <v>21</v>
      </c>
      <c r="AL3651" t="inlineStr">
        <is>
          <t>Miss Glam Damar</t>
        </is>
      </c>
      <c r="AM3651" t="n">
        <v>4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MUSTIKA RATU</t>
        </is>
      </c>
      <c r="B3652" s="2">
        <f>"30200205209"</f>
        <v/>
      </c>
      <c r="C3652" t="inlineStr">
        <is>
          <t>MUSTIKA RATU Minyak Zaitun Calming &amp; Soothing 75ml</t>
        </is>
      </c>
      <c r="D3652" t="inlineStr">
        <is>
          <t>Miss Glam Damar</t>
        </is>
      </c>
      <c r="E3652" t="n">
        <v>5</v>
      </c>
      <c r="F3652" t="n">
        <v>0.0728</v>
      </c>
      <c r="G3652" t="n">
        <v>0.91</v>
      </c>
      <c r="H3652" t="n">
        <v>7</v>
      </c>
      <c r="I3652" t="n">
        <v>21</v>
      </c>
      <c r="J3652" t="n">
        <v>1</v>
      </c>
      <c r="K3652" t="n">
        <v>0</v>
      </c>
      <c r="L3652" t="n">
        <v>16150</v>
      </c>
      <c r="M3652" t="n">
        <v>19000</v>
      </c>
      <c r="N3652" t="n">
        <v>91</v>
      </c>
      <c r="O3652" t="n">
        <v>0.91</v>
      </c>
      <c r="P3652" t="n">
        <v>1</v>
      </c>
      <c r="Q3652" t="n">
        <v>0.07000000000000001</v>
      </c>
      <c r="R3652" t="n">
        <v>1</v>
      </c>
      <c r="S3652" t="n">
        <v>1383.2</v>
      </c>
      <c r="T3652" t="n">
        <v>19</v>
      </c>
      <c r="U3652" t="n">
        <v>20</v>
      </c>
      <c r="V3652" t="n">
        <v>30</v>
      </c>
      <c r="W3652" t="n">
        <v>3</v>
      </c>
      <c r="X3652" t="n">
        <v>68.68131868131867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12051</v>
      </c>
      <c r="AG3652" t="n">
        <v>3565</v>
      </c>
      <c r="AH3652" t="inlineStr">
        <is>
          <t>PT. PUTRA KEMBAR BINJAI - PPN (PDG)</t>
        </is>
      </c>
      <c r="AI3652" t="n">
        <v>111</v>
      </c>
      <c r="AJ3652" t="inlineStr">
        <is>
          <t>MUSTIKA RATU</t>
        </is>
      </c>
      <c r="AK3652" t="n">
        <v>21</v>
      </c>
      <c r="AL3652" t="inlineStr">
        <is>
          <t>Miss Glam Damar</t>
        </is>
      </c>
      <c r="AM3652" t="n">
        <v>4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MUSTIKA RATU</t>
        </is>
      </c>
      <c r="B3653" s="2">
        <f>"30200205356"</f>
        <v/>
      </c>
      <c r="C3653" t="inlineStr">
        <is>
          <t>MUSTIKA RATU Minyak Zaitun Restful Night 75ml</t>
        </is>
      </c>
      <c r="D3653" t="inlineStr">
        <is>
          <t>Miss Glam Damar</t>
        </is>
      </c>
      <c r="E3653" t="n">
        <v>7</v>
      </c>
      <c r="F3653" t="n">
        <v>0.06370000000000001</v>
      </c>
      <c r="G3653" t="n">
        <v>0.91</v>
      </c>
      <c r="H3653" t="n">
        <v>7</v>
      </c>
      <c r="I3653" t="n">
        <v>21</v>
      </c>
      <c r="J3653" t="n">
        <v>1</v>
      </c>
      <c r="K3653" t="n">
        <v>0</v>
      </c>
      <c r="L3653" t="n">
        <v>16150</v>
      </c>
      <c r="M3653" t="n">
        <v>22500</v>
      </c>
      <c r="N3653" t="n">
        <v>91</v>
      </c>
      <c r="O3653" t="n">
        <v>0.91</v>
      </c>
      <c r="P3653" t="n">
        <v>1</v>
      </c>
      <c r="Q3653" t="n">
        <v>0.27</v>
      </c>
      <c r="R3653" t="n">
        <v>3</v>
      </c>
      <c r="S3653" t="n">
        <v>1433.25</v>
      </c>
      <c r="T3653" t="n">
        <v>19</v>
      </c>
      <c r="U3653" t="n">
        <v>20</v>
      </c>
      <c r="V3653" t="n">
        <v>30</v>
      </c>
      <c r="W3653" t="n">
        <v>2</v>
      </c>
      <c r="X3653" t="n">
        <v>109.8901098901099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12051</v>
      </c>
      <c r="AG3653" t="n">
        <v>3565</v>
      </c>
      <c r="AH3653" t="inlineStr">
        <is>
          <t>PT. PUTRA KEMBAR BINJAI - PPN (PDG)</t>
        </is>
      </c>
      <c r="AI3653" t="n">
        <v>111</v>
      </c>
      <c r="AJ3653" t="inlineStr">
        <is>
          <t>MUSTIKA RATU</t>
        </is>
      </c>
      <c r="AK3653" t="n">
        <v>21</v>
      </c>
      <c r="AL3653" t="inlineStr">
        <is>
          <t>Miss Glam Damar</t>
        </is>
      </c>
      <c r="AM3653" t="n">
        <v>4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MUSTIKA RATU</t>
        </is>
      </c>
      <c r="B3654" s="2">
        <f>"30200205405"</f>
        <v/>
      </c>
      <c r="C3654" t="inlineStr">
        <is>
          <t>MUSTIKA RATU Minyak Zaitun Skin F. Nutrition 75ml</t>
        </is>
      </c>
      <c r="D3654" t="inlineStr">
        <is>
          <t>Miss Glam Damar</t>
        </is>
      </c>
      <c r="E3654" t="n">
        <v>7</v>
      </c>
      <c r="F3654" t="n">
        <v>0.1274</v>
      </c>
      <c r="G3654" t="n">
        <v>0.91</v>
      </c>
      <c r="H3654" t="n">
        <v>7</v>
      </c>
      <c r="I3654" t="n">
        <v>21</v>
      </c>
      <c r="J3654" t="n">
        <v>1</v>
      </c>
      <c r="K3654" t="n">
        <v>0</v>
      </c>
      <c r="L3654" t="n">
        <v>16150</v>
      </c>
      <c r="M3654" t="n">
        <v>20500</v>
      </c>
      <c r="N3654" t="n">
        <v>91</v>
      </c>
      <c r="O3654" t="n">
        <v>0.91</v>
      </c>
      <c r="P3654" t="n">
        <v>1</v>
      </c>
      <c r="Q3654" t="n">
        <v>0.22</v>
      </c>
      <c r="R3654" t="n">
        <v>2</v>
      </c>
      <c r="S3654" t="n">
        <v>2611.7</v>
      </c>
      <c r="T3654" t="n">
        <v>19</v>
      </c>
      <c r="U3654" t="n">
        <v>20</v>
      </c>
      <c r="V3654" t="n">
        <v>30</v>
      </c>
      <c r="W3654" t="n">
        <v>4</v>
      </c>
      <c r="X3654" t="n">
        <v>54.94505494505494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12051</v>
      </c>
      <c r="AG3654" t="n">
        <v>3565</v>
      </c>
      <c r="AH3654" t="inlineStr">
        <is>
          <t>PT. PUTRA KEMBAR BINJAI - PPN (PDG)</t>
        </is>
      </c>
      <c r="AI3654" t="n">
        <v>111</v>
      </c>
      <c r="AJ3654" t="inlineStr">
        <is>
          <t>MUSTIKA RATU</t>
        </is>
      </c>
      <c r="AK3654" t="n">
        <v>21</v>
      </c>
      <c r="AL3654" t="inlineStr">
        <is>
          <t>Miss Glam Damar</t>
        </is>
      </c>
      <c r="AM3654" t="n">
        <v>4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MYSTIC EYES</t>
        </is>
      </c>
      <c r="B3655" s="2">
        <f>"50900202529"</f>
        <v/>
      </c>
      <c r="C3655" t="inlineStr">
        <is>
          <t>MYSTIC EYES Eye Drops Dry Eye 10ml</t>
        </is>
      </c>
      <c r="D3655" t="inlineStr">
        <is>
          <t>Miss Glam Damar</t>
        </is>
      </c>
      <c r="E3655" t="n">
        <v>95</v>
      </c>
      <c r="F3655" t="n">
        <v>7.698600000000001</v>
      </c>
      <c r="G3655" t="n">
        <v>30.94</v>
      </c>
      <c r="H3655" t="n">
        <v>2</v>
      </c>
      <c r="I3655" t="n">
        <v>11</v>
      </c>
      <c r="J3655" t="n">
        <v>3</v>
      </c>
      <c r="K3655" t="n">
        <v>0</v>
      </c>
      <c r="L3655" t="n">
        <v>9600</v>
      </c>
      <c r="M3655" t="n">
        <v>12000</v>
      </c>
      <c r="N3655" t="n">
        <v>91</v>
      </c>
      <c r="O3655" t="n">
        <v>0.91</v>
      </c>
      <c r="P3655" t="n">
        <v>1</v>
      </c>
      <c r="Q3655" t="n">
        <v>4.66</v>
      </c>
      <c r="R3655" t="n">
        <v>13</v>
      </c>
      <c r="S3655" t="n">
        <v>92383.20000000001</v>
      </c>
      <c r="T3655" t="n">
        <v>325</v>
      </c>
      <c r="U3655" t="n">
        <v>341</v>
      </c>
      <c r="V3655" t="n">
        <v>30</v>
      </c>
      <c r="W3655" t="n">
        <v>231</v>
      </c>
      <c r="X3655" t="n">
        <v>12.33990595692723</v>
      </c>
      <c r="Y3655" t="n">
        <v>1</v>
      </c>
      <c r="Z3655" t="n">
        <v>136</v>
      </c>
      <c r="AA3655" t="n">
        <v>0</v>
      </c>
      <c r="AB3655" t="n">
        <v>136</v>
      </c>
      <c r="AC3655" t="n">
        <v>136</v>
      </c>
      <c r="AD3655" t="n">
        <v>0</v>
      </c>
      <c r="AE3655" t="n">
        <v>1305600</v>
      </c>
      <c r="AF3655" t="n">
        <v>12369</v>
      </c>
      <c r="AG3655" t="n">
        <v>92</v>
      </c>
      <c r="AH3655" t="inlineStr">
        <is>
          <t>PT. SAI (PDG)</t>
        </is>
      </c>
      <c r="AI3655" t="n">
        <v>1726</v>
      </c>
      <c r="AJ3655" t="inlineStr">
        <is>
          <t>MYSTIC EYES</t>
        </is>
      </c>
      <c r="AK3655" t="n">
        <v>21</v>
      </c>
      <c r="AL3655" t="inlineStr">
        <is>
          <t>Miss Glam Damar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MYSTIC EYES</t>
        </is>
      </c>
      <c r="B3656" s="2">
        <f>"6921054680014"</f>
        <v/>
      </c>
      <c r="C3656" t="inlineStr">
        <is>
          <t>MYSTIC EYES Multi Purpose Solution 120ml</t>
        </is>
      </c>
      <c r="D3656" t="inlineStr">
        <is>
          <t>Miss Glam Damar</t>
        </is>
      </c>
      <c r="E3656" t="n">
        <v>61</v>
      </c>
      <c r="F3656" t="n">
        <v>3.0576</v>
      </c>
      <c r="G3656" t="n">
        <v>10.01</v>
      </c>
      <c r="H3656" t="n">
        <v>2</v>
      </c>
      <c r="I3656" t="n">
        <v>11</v>
      </c>
      <c r="J3656" t="n">
        <v>3</v>
      </c>
      <c r="K3656" t="n">
        <v>0</v>
      </c>
      <c r="L3656" t="n">
        <v>14320</v>
      </c>
      <c r="M3656" t="n">
        <v>18000</v>
      </c>
      <c r="N3656" t="n">
        <v>91</v>
      </c>
      <c r="O3656" t="n">
        <v>0.91</v>
      </c>
      <c r="P3656" t="n">
        <v>1</v>
      </c>
      <c r="Q3656" t="n">
        <v>2.63</v>
      </c>
      <c r="R3656" t="n">
        <v>8</v>
      </c>
      <c r="S3656" t="n">
        <v>55036.8</v>
      </c>
      <c r="T3656" t="n">
        <v>104</v>
      </c>
      <c r="U3656" t="n">
        <v>111</v>
      </c>
      <c r="V3656" t="n">
        <v>30</v>
      </c>
      <c r="W3656" t="n">
        <v>92</v>
      </c>
      <c r="X3656" t="n">
        <v>19.95028780743067</v>
      </c>
      <c r="Y3656" t="n">
        <v>1</v>
      </c>
      <c r="Z3656" t="n">
        <v>31</v>
      </c>
      <c r="AA3656" t="n">
        <v>0</v>
      </c>
      <c r="AB3656" t="n">
        <v>31</v>
      </c>
      <c r="AC3656" t="n">
        <v>31</v>
      </c>
      <c r="AD3656" t="n">
        <v>0</v>
      </c>
      <c r="AE3656" t="n">
        <v>443920</v>
      </c>
      <c r="AF3656" t="n">
        <v>12369</v>
      </c>
      <c r="AG3656" t="n">
        <v>92</v>
      </c>
      <c r="AH3656" t="inlineStr">
        <is>
          <t>PT. SAI (PDG)</t>
        </is>
      </c>
      <c r="AI3656" t="n">
        <v>1726</v>
      </c>
      <c r="AJ3656" t="inlineStr">
        <is>
          <t>MYSTIC EYES</t>
        </is>
      </c>
      <c r="AK3656" t="n">
        <v>21</v>
      </c>
      <c r="AL3656" t="inlineStr">
        <is>
          <t>Miss Glam Damar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MYSTIC EYES</t>
        </is>
      </c>
      <c r="B3657" s="2">
        <f>"6921054680021"</f>
        <v/>
      </c>
      <c r="C3657" t="inlineStr">
        <is>
          <t>MYSTIC EYES Multi Purpose Solution 60ml</t>
        </is>
      </c>
      <c r="D3657" t="inlineStr">
        <is>
          <t>Miss Glam Damar</t>
        </is>
      </c>
      <c r="E3657" t="n">
        <v>36</v>
      </c>
      <c r="F3657" t="n">
        <v>5.7876</v>
      </c>
      <c r="G3657" t="n">
        <v>18.2</v>
      </c>
      <c r="H3657" t="n">
        <v>2</v>
      </c>
      <c r="I3657" t="n">
        <v>11</v>
      </c>
      <c r="J3657" t="n">
        <v>3</v>
      </c>
      <c r="K3657" t="n">
        <v>0</v>
      </c>
      <c r="L3657" t="n">
        <v>8000</v>
      </c>
      <c r="M3657" t="n">
        <v>10000</v>
      </c>
      <c r="N3657" t="n">
        <v>91</v>
      </c>
      <c r="O3657" t="n">
        <v>0.91</v>
      </c>
      <c r="P3657" t="n">
        <v>1</v>
      </c>
      <c r="Q3657" t="n">
        <v>3.22</v>
      </c>
      <c r="R3657" t="n">
        <v>9</v>
      </c>
      <c r="S3657" t="n">
        <v>57876</v>
      </c>
      <c r="T3657" t="n">
        <v>189</v>
      </c>
      <c r="U3657" t="n">
        <v>201</v>
      </c>
      <c r="V3657" t="n">
        <v>30</v>
      </c>
      <c r="W3657" t="n">
        <v>174</v>
      </c>
      <c r="X3657" t="n">
        <v>6.220194899440182</v>
      </c>
      <c r="Y3657" t="n">
        <v>1</v>
      </c>
      <c r="Z3657" t="n">
        <v>138</v>
      </c>
      <c r="AA3657" t="n">
        <v>28</v>
      </c>
      <c r="AB3657" t="n">
        <v>110</v>
      </c>
      <c r="AC3657" t="n">
        <v>110</v>
      </c>
      <c r="AD3657" t="n">
        <v>224000</v>
      </c>
      <c r="AE3657" t="n">
        <v>880000</v>
      </c>
      <c r="AF3657" t="n">
        <v>12369</v>
      </c>
      <c r="AG3657" t="n">
        <v>92</v>
      </c>
      <c r="AH3657" t="inlineStr">
        <is>
          <t>PT. SAI (PDG)</t>
        </is>
      </c>
      <c r="AI3657" t="n">
        <v>1726</v>
      </c>
      <c r="AJ3657" t="inlineStr">
        <is>
          <t>MYSTIC EYES</t>
        </is>
      </c>
      <c r="AK3657" t="n">
        <v>21</v>
      </c>
      <c r="AL3657" t="inlineStr">
        <is>
          <t>Miss Glam Damar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MYSTIC EYES</t>
        </is>
      </c>
      <c r="B3658" s="2">
        <f>"50900191747"</f>
        <v/>
      </c>
      <c r="C3658" t="inlineStr">
        <is>
          <t>MYSTIC EYES Softlens C10 Twilight Wolf Grey</t>
        </is>
      </c>
      <c r="D3658" t="inlineStr">
        <is>
          <t>Miss Glam Damar</t>
        </is>
      </c>
      <c r="E3658" t="n">
        <v>8</v>
      </c>
      <c r="F3658" t="n">
        <v>0.17</v>
      </c>
      <c r="G3658" t="n">
        <v>2</v>
      </c>
      <c r="H3658" t="n">
        <v>2</v>
      </c>
      <c r="I3658" t="n">
        <v>11</v>
      </c>
      <c r="J3658" t="n">
        <v>3</v>
      </c>
      <c r="K3658" t="n">
        <v>0</v>
      </c>
      <c r="L3658" t="n">
        <v>20000</v>
      </c>
      <c r="M3658" t="n">
        <v>29000</v>
      </c>
      <c r="N3658" t="n">
        <v>91</v>
      </c>
      <c r="O3658" t="n">
        <v>0.91</v>
      </c>
      <c r="P3658" t="n">
        <v>0</v>
      </c>
      <c r="Q3658" t="n">
        <v>0.17</v>
      </c>
      <c r="R3658" t="n">
        <v>2</v>
      </c>
      <c r="S3658" t="n">
        <v>4930</v>
      </c>
      <c r="T3658" t="n">
        <v>22</v>
      </c>
      <c r="U3658" t="n">
        <v>23</v>
      </c>
      <c r="V3658" t="n">
        <v>30</v>
      </c>
      <c r="W3658" t="n">
        <v>6</v>
      </c>
      <c r="X3658" t="n">
        <v>47.05882352941176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12369</v>
      </c>
      <c r="AG3658" t="n">
        <v>92</v>
      </c>
      <c r="AH3658" t="inlineStr">
        <is>
          <t>PT. SAI (PDG)</t>
        </is>
      </c>
      <c r="AI3658" t="n">
        <v>1726</v>
      </c>
      <c r="AJ3658" t="inlineStr">
        <is>
          <t>MYSTIC EYES</t>
        </is>
      </c>
      <c r="AK3658" t="n">
        <v>21</v>
      </c>
      <c r="AL3658" t="inlineStr">
        <is>
          <t>Miss Glam Damar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MYSTIC EYES</t>
        </is>
      </c>
      <c r="B3659" s="2">
        <f>"50900191352"</f>
        <v/>
      </c>
      <c r="C3659" t="inlineStr">
        <is>
          <t>MYSTIC EYES Softlens K20 Magic Gray</t>
        </is>
      </c>
      <c r="D3659" t="inlineStr">
        <is>
          <t>Miss Glam Damar</t>
        </is>
      </c>
      <c r="E3659" t="n">
        <v>4</v>
      </c>
      <c r="F3659" t="n">
        <v>0.3731</v>
      </c>
      <c r="G3659" t="n">
        <v>3.64</v>
      </c>
      <c r="H3659" t="n">
        <v>2</v>
      </c>
      <c r="I3659" t="n">
        <v>11</v>
      </c>
      <c r="J3659" t="n">
        <v>3</v>
      </c>
      <c r="K3659" t="n">
        <v>0</v>
      </c>
      <c r="L3659" t="n">
        <v>20000</v>
      </c>
      <c r="M3659" t="n">
        <v>29000</v>
      </c>
      <c r="N3659" t="n">
        <v>91</v>
      </c>
      <c r="O3659" t="n">
        <v>0.91</v>
      </c>
      <c r="P3659" t="n">
        <v>1</v>
      </c>
      <c r="Q3659" t="n">
        <v>0.15</v>
      </c>
      <c r="R3659" t="n">
        <v>2</v>
      </c>
      <c r="S3659" t="n">
        <v>10819.9</v>
      </c>
      <c r="T3659" t="n">
        <v>40</v>
      </c>
      <c r="U3659" t="n">
        <v>41</v>
      </c>
      <c r="V3659" t="n">
        <v>30</v>
      </c>
      <c r="W3659" t="n">
        <v>12</v>
      </c>
      <c r="X3659" t="n">
        <v>10.72098633074243</v>
      </c>
      <c r="Y3659" t="n">
        <v>1</v>
      </c>
      <c r="Z3659" t="n">
        <v>8</v>
      </c>
      <c r="AA3659" t="n">
        <v>1</v>
      </c>
      <c r="AB3659" t="n">
        <v>7</v>
      </c>
      <c r="AC3659" t="n">
        <v>7</v>
      </c>
      <c r="AD3659" t="n">
        <v>20000</v>
      </c>
      <c r="AE3659" t="n">
        <v>140000</v>
      </c>
      <c r="AF3659" t="n">
        <v>12369</v>
      </c>
      <c r="AG3659" t="n">
        <v>92</v>
      </c>
      <c r="AH3659" t="inlineStr">
        <is>
          <t>PT. SAI (PDG)</t>
        </is>
      </c>
      <c r="AI3659" t="n">
        <v>1726</v>
      </c>
      <c r="AJ3659" t="inlineStr">
        <is>
          <t>MYSTIC EYES</t>
        </is>
      </c>
      <c r="AK3659" t="n">
        <v>21</v>
      </c>
      <c r="AL3659" t="inlineStr">
        <is>
          <t>Miss Glam Damar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MYSTIC EYES</t>
        </is>
      </c>
      <c r="B3660" s="2">
        <f>"50900166944"</f>
        <v/>
      </c>
      <c r="C3660" t="inlineStr">
        <is>
          <t>MYSTIC EYES Softlens K31 Magic Jewellery</t>
        </is>
      </c>
      <c r="D3660" t="inlineStr">
        <is>
          <t>Miss Glam Damar</t>
        </is>
      </c>
      <c r="E3660" t="n">
        <v>10</v>
      </c>
      <c r="F3660" t="n">
        <v>0.2184</v>
      </c>
      <c r="G3660" t="n">
        <v>1.82</v>
      </c>
      <c r="H3660" t="n">
        <v>2</v>
      </c>
      <c r="I3660" t="n">
        <v>11</v>
      </c>
      <c r="J3660" t="n">
        <v>3</v>
      </c>
      <c r="K3660" t="n">
        <v>0</v>
      </c>
      <c r="L3660" t="n">
        <v>20000</v>
      </c>
      <c r="M3660" t="n">
        <v>29000</v>
      </c>
      <c r="N3660" t="n">
        <v>91</v>
      </c>
      <c r="O3660" t="n">
        <v>0.91</v>
      </c>
      <c r="P3660" t="n">
        <v>1</v>
      </c>
      <c r="Q3660" t="n">
        <v>0.03</v>
      </c>
      <c r="R3660" t="n">
        <v>1</v>
      </c>
      <c r="S3660" t="n">
        <v>6333.6</v>
      </c>
      <c r="T3660" t="n">
        <v>20</v>
      </c>
      <c r="U3660" t="n">
        <v>21</v>
      </c>
      <c r="V3660" t="n">
        <v>30</v>
      </c>
      <c r="W3660" t="n">
        <v>7</v>
      </c>
      <c r="X3660" t="n">
        <v>45.78754578754579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12369</v>
      </c>
      <c r="AG3660" t="n">
        <v>92</v>
      </c>
      <c r="AH3660" t="inlineStr">
        <is>
          <t>PT. SAI (PDG)</t>
        </is>
      </c>
      <c r="AI3660" t="n">
        <v>1726</v>
      </c>
      <c r="AJ3660" t="inlineStr">
        <is>
          <t>MYSTIC EYES</t>
        </is>
      </c>
      <c r="AK3660" t="n">
        <v>21</v>
      </c>
      <c r="AL3660" t="inlineStr">
        <is>
          <t>Miss Glam Damar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MYSTIC EYES</t>
        </is>
      </c>
      <c r="B3661" s="2">
        <f>"50900167144"</f>
        <v/>
      </c>
      <c r="C3661" t="inlineStr">
        <is>
          <t>MYSTIC EYES Softlens K48 Magic Dream Moonlight</t>
        </is>
      </c>
      <c r="D3661" t="inlineStr">
        <is>
          <t>Miss Glam Damar</t>
        </is>
      </c>
      <c r="E3661" t="n">
        <v>4</v>
      </c>
      <c r="F3661" t="n">
        <v>0.07000000000000001</v>
      </c>
      <c r="G3661" t="n">
        <v>1</v>
      </c>
      <c r="H3661" t="n">
        <v>2</v>
      </c>
      <c r="I3661" t="n">
        <v>11</v>
      </c>
      <c r="J3661" t="n">
        <v>3</v>
      </c>
      <c r="K3661" t="n">
        <v>0</v>
      </c>
      <c r="L3661" t="n">
        <v>20000</v>
      </c>
      <c r="M3661" t="n">
        <v>29000</v>
      </c>
      <c r="N3661" t="n">
        <v>91</v>
      </c>
      <c r="O3661" t="n">
        <v>0.91</v>
      </c>
      <c r="P3661" t="n">
        <v>0</v>
      </c>
      <c r="Q3661" t="n">
        <v>0.07000000000000001</v>
      </c>
      <c r="R3661" t="n">
        <v>1</v>
      </c>
      <c r="S3661" t="n">
        <v>2030</v>
      </c>
      <c r="T3661" t="n">
        <v>11</v>
      </c>
      <c r="U3661" t="n">
        <v>12</v>
      </c>
      <c r="V3661" t="n">
        <v>30</v>
      </c>
      <c r="W3661" t="n">
        <v>3</v>
      </c>
      <c r="X3661" t="n">
        <v>57.14285714285714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12369</v>
      </c>
      <c r="AG3661" t="n">
        <v>92</v>
      </c>
      <c r="AH3661" t="inlineStr">
        <is>
          <t>PT. SAI (PDG)</t>
        </is>
      </c>
      <c r="AI3661" t="n">
        <v>1726</v>
      </c>
      <c r="AJ3661" t="inlineStr">
        <is>
          <t>MYSTIC EYES</t>
        </is>
      </c>
      <c r="AK3661" t="n">
        <v>21</v>
      </c>
      <c r="AL3661" t="inlineStr">
        <is>
          <t>Miss Glam Damar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MYSTIC EYES</t>
        </is>
      </c>
      <c r="B3662" s="2">
        <f>"50900171711"</f>
        <v/>
      </c>
      <c r="C3662" t="inlineStr">
        <is>
          <t>MYSTIC EYES Softlens ME63 Sorayama Brown</t>
        </is>
      </c>
      <c r="D3662" t="inlineStr">
        <is>
          <t>Miss Glam Damar</t>
        </is>
      </c>
      <c r="E3662" t="n">
        <v>4</v>
      </c>
      <c r="F3662" t="n">
        <v>0.39</v>
      </c>
      <c r="G3662" t="n">
        <v>2</v>
      </c>
      <c r="H3662" t="n">
        <v>2</v>
      </c>
      <c r="I3662" t="n">
        <v>11</v>
      </c>
      <c r="J3662" t="n">
        <v>3</v>
      </c>
      <c r="K3662" t="n">
        <v>0</v>
      </c>
      <c r="L3662" t="n">
        <v>20000</v>
      </c>
      <c r="M3662" t="n">
        <v>29000</v>
      </c>
      <c r="N3662" t="n">
        <v>91</v>
      </c>
      <c r="O3662" t="n">
        <v>0.91</v>
      </c>
      <c r="P3662" t="n">
        <v>0</v>
      </c>
      <c r="Q3662" t="n">
        <v>0.39</v>
      </c>
      <c r="R3662" t="n">
        <v>2</v>
      </c>
      <c r="S3662" t="n">
        <v>11310</v>
      </c>
      <c r="T3662" t="n">
        <v>22</v>
      </c>
      <c r="U3662" t="n">
        <v>23</v>
      </c>
      <c r="V3662" t="n">
        <v>30</v>
      </c>
      <c r="W3662" t="n">
        <v>12</v>
      </c>
      <c r="X3662" t="n">
        <v>10.25641025641026</v>
      </c>
      <c r="Y3662" t="n">
        <v>1</v>
      </c>
      <c r="Z3662" t="n">
        <v>8</v>
      </c>
      <c r="AA3662" t="n">
        <v>1</v>
      </c>
      <c r="AB3662" t="n">
        <v>7</v>
      </c>
      <c r="AC3662" t="n">
        <v>7</v>
      </c>
      <c r="AD3662" t="n">
        <v>20000</v>
      </c>
      <c r="AE3662" t="n">
        <v>140000</v>
      </c>
      <c r="AF3662" t="n">
        <v>12369</v>
      </c>
      <c r="AG3662" t="n">
        <v>92</v>
      </c>
      <c r="AH3662" t="inlineStr">
        <is>
          <t>PT. SAI (PDG)</t>
        </is>
      </c>
      <c r="AI3662" t="n">
        <v>1726</v>
      </c>
      <c r="AJ3662" t="inlineStr">
        <is>
          <t>MYSTIC EYES</t>
        </is>
      </c>
      <c r="AK3662" t="n">
        <v>21</v>
      </c>
      <c r="AL3662" t="inlineStr">
        <is>
          <t>Miss Glam Damar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MYSTIC EYES</t>
        </is>
      </c>
      <c r="B3663" s="2">
        <f>"50900191144"</f>
        <v/>
      </c>
      <c r="C3663" t="inlineStr">
        <is>
          <t>MYSTIC EYES Softlens NS6 Beeswax Pony Gray</t>
        </is>
      </c>
      <c r="D3663" t="inlineStr">
        <is>
          <t>Miss Glam Damar</t>
        </is>
      </c>
      <c r="E3663" t="n">
        <v>3</v>
      </c>
      <c r="F3663" t="n">
        <v>0.12</v>
      </c>
      <c r="G3663" t="n">
        <v>1</v>
      </c>
      <c r="H3663" t="n">
        <v>2</v>
      </c>
      <c r="I3663" t="n">
        <v>11</v>
      </c>
      <c r="J3663" t="n">
        <v>3</v>
      </c>
      <c r="K3663" t="n">
        <v>0</v>
      </c>
      <c r="L3663" t="n">
        <v>20000</v>
      </c>
      <c r="M3663" t="n">
        <v>29000</v>
      </c>
      <c r="N3663" t="n">
        <v>91</v>
      </c>
      <c r="O3663" t="n">
        <v>0.91</v>
      </c>
      <c r="P3663" t="n">
        <v>0</v>
      </c>
      <c r="Q3663" t="n">
        <v>0.12</v>
      </c>
      <c r="R3663" t="n">
        <v>1</v>
      </c>
      <c r="S3663" t="n">
        <v>3480</v>
      </c>
      <c r="T3663" t="n">
        <v>11</v>
      </c>
      <c r="U3663" t="n">
        <v>12</v>
      </c>
      <c r="V3663" t="n">
        <v>30</v>
      </c>
      <c r="W3663" t="n">
        <v>4</v>
      </c>
      <c r="X3663" t="n">
        <v>25</v>
      </c>
      <c r="Y3663" t="n">
        <v>1</v>
      </c>
      <c r="Z3663" t="n">
        <v>1</v>
      </c>
      <c r="AA3663" t="n">
        <v>0</v>
      </c>
      <c r="AB3663" t="n">
        <v>1</v>
      </c>
      <c r="AC3663" t="n">
        <v>3</v>
      </c>
      <c r="AD3663" t="n">
        <v>0</v>
      </c>
      <c r="AE3663" t="n">
        <v>60000</v>
      </c>
      <c r="AF3663" t="n">
        <v>12369</v>
      </c>
      <c r="AG3663" t="n">
        <v>92</v>
      </c>
      <c r="AH3663" t="inlineStr">
        <is>
          <t>PT. SAI (PDG)</t>
        </is>
      </c>
      <c r="AI3663" t="n">
        <v>1726</v>
      </c>
      <c r="AJ3663" t="inlineStr">
        <is>
          <t>MYSTIC EYES</t>
        </is>
      </c>
      <c r="AK3663" t="n">
        <v>21</v>
      </c>
      <c r="AL3663" t="inlineStr">
        <is>
          <t>Miss Glam Damar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MYSTIC EYES</t>
        </is>
      </c>
      <c r="B3664" s="2">
        <f>"50900191012"</f>
        <v/>
      </c>
      <c r="C3664" t="inlineStr">
        <is>
          <t>MYSTIC EYES Softlens NS8 Beeswax Sky Gray</t>
        </is>
      </c>
      <c r="D3664" t="inlineStr">
        <is>
          <t>Miss Glam Damar</t>
        </is>
      </c>
      <c r="E3664" t="n">
        <v>3</v>
      </c>
      <c r="F3664" t="n">
        <v>0.1092</v>
      </c>
      <c r="G3664" t="n">
        <v>1.82</v>
      </c>
      <c r="H3664" t="n">
        <v>2</v>
      </c>
      <c r="I3664" t="n">
        <v>11</v>
      </c>
      <c r="J3664" t="n">
        <v>3</v>
      </c>
      <c r="K3664" t="n">
        <v>0</v>
      </c>
      <c r="L3664" t="n">
        <v>20000</v>
      </c>
      <c r="M3664" t="n">
        <v>29000</v>
      </c>
      <c r="N3664" t="n">
        <v>91</v>
      </c>
      <c r="O3664" t="n">
        <v>0.91</v>
      </c>
      <c r="P3664" t="n">
        <v>1</v>
      </c>
      <c r="Q3664" t="n">
        <v>0.14</v>
      </c>
      <c r="R3664" t="n">
        <v>2</v>
      </c>
      <c r="S3664" t="n">
        <v>3166.8</v>
      </c>
      <c r="T3664" t="n">
        <v>20</v>
      </c>
      <c r="U3664" t="n">
        <v>21</v>
      </c>
      <c r="V3664" t="n">
        <v>30</v>
      </c>
      <c r="W3664" t="n">
        <v>4</v>
      </c>
      <c r="X3664" t="n">
        <v>27.47252747252747</v>
      </c>
      <c r="Y3664" t="n">
        <v>1</v>
      </c>
      <c r="Z3664" t="n">
        <v>1</v>
      </c>
      <c r="AA3664" t="n">
        <v>0</v>
      </c>
      <c r="AB3664" t="n">
        <v>1</v>
      </c>
      <c r="AC3664" t="n">
        <v>3</v>
      </c>
      <c r="AD3664" t="n">
        <v>0</v>
      </c>
      <c r="AE3664" t="n">
        <v>60000</v>
      </c>
      <c r="AF3664" t="n">
        <v>12369</v>
      </c>
      <c r="AG3664" t="n">
        <v>92</v>
      </c>
      <c r="AH3664" t="inlineStr">
        <is>
          <t>PT. SAI (PDG)</t>
        </is>
      </c>
      <c r="AI3664" t="n">
        <v>1726</v>
      </c>
      <c r="AJ3664" t="inlineStr">
        <is>
          <t>MYSTIC EYES</t>
        </is>
      </c>
      <c r="AK3664" t="n">
        <v>21</v>
      </c>
      <c r="AL3664" t="inlineStr">
        <is>
          <t>Miss Glam Damar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MYSTIC EYES</t>
        </is>
      </c>
      <c r="B3665" s="2">
        <f>"509001103915"</f>
        <v/>
      </c>
      <c r="C3665" t="inlineStr">
        <is>
          <t>MYSTIC EYES Softlens Premium MA09 Essence Brown</t>
        </is>
      </c>
      <c r="D3665" t="inlineStr">
        <is>
          <t>Miss Glam Damar</t>
        </is>
      </c>
      <c r="E3665" t="n">
        <v>21</v>
      </c>
      <c r="F3665" t="n">
        <v>1.0829</v>
      </c>
      <c r="G3665" t="n">
        <v>4.55</v>
      </c>
      <c r="H3665" t="n">
        <v>2</v>
      </c>
      <c r="I3665" t="n">
        <v>11</v>
      </c>
      <c r="J3665" t="n">
        <v>3</v>
      </c>
      <c r="K3665" t="n">
        <v>0</v>
      </c>
      <c r="L3665" t="n">
        <v>21999</v>
      </c>
      <c r="M3665" t="n">
        <v>31500</v>
      </c>
      <c r="N3665" t="n">
        <v>91</v>
      </c>
      <c r="O3665" t="n">
        <v>0.91</v>
      </c>
      <c r="P3665" t="n">
        <v>1</v>
      </c>
      <c r="Q3665" t="n">
        <v>0.61</v>
      </c>
      <c r="R3665" t="n">
        <v>3</v>
      </c>
      <c r="S3665" t="n">
        <v>34111.35</v>
      </c>
      <c r="T3665" t="n">
        <v>48</v>
      </c>
      <c r="U3665" t="n">
        <v>51</v>
      </c>
      <c r="V3665" t="n">
        <v>30</v>
      </c>
      <c r="W3665" t="n">
        <v>33</v>
      </c>
      <c r="X3665" t="n">
        <v>19.39237233354881</v>
      </c>
      <c r="Y3665" t="n">
        <v>1</v>
      </c>
      <c r="Z3665" t="n">
        <v>12</v>
      </c>
      <c r="AA3665" t="n">
        <v>0</v>
      </c>
      <c r="AB3665" t="n">
        <v>12</v>
      </c>
      <c r="AC3665" t="n">
        <v>12</v>
      </c>
      <c r="AD3665" t="n">
        <v>0</v>
      </c>
      <c r="AE3665" t="n">
        <v>263988</v>
      </c>
      <c r="AF3665" t="n">
        <v>12369</v>
      </c>
      <c r="AG3665" t="n">
        <v>92</v>
      </c>
      <c r="AH3665" t="inlineStr">
        <is>
          <t>PT. SAI (PDG)</t>
        </is>
      </c>
      <c r="AI3665" t="n">
        <v>1726</v>
      </c>
      <c r="AJ3665" t="inlineStr">
        <is>
          <t>MYSTIC EYES</t>
        </is>
      </c>
      <c r="AK3665" t="n">
        <v>21</v>
      </c>
      <c r="AL3665" t="inlineStr">
        <is>
          <t>Miss Glam Damar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MYSTIC EYES</t>
        </is>
      </c>
      <c r="B3666" s="2">
        <f>"509001104039"</f>
        <v/>
      </c>
      <c r="C3666" t="inlineStr">
        <is>
          <t>MYSTIC EYES Softlens Premium MA12 Essence Grey</t>
        </is>
      </c>
      <c r="D3666" t="inlineStr">
        <is>
          <t>Miss Glam Damar</t>
        </is>
      </c>
      <c r="E3666" t="n">
        <v>107</v>
      </c>
      <c r="F3666" t="n">
        <v>1.7927</v>
      </c>
      <c r="G3666" t="n">
        <v>5.46</v>
      </c>
      <c r="H3666" t="n">
        <v>2</v>
      </c>
      <c r="I3666" t="n">
        <v>11</v>
      </c>
      <c r="J3666" t="n">
        <v>3</v>
      </c>
      <c r="K3666" t="n">
        <v>0</v>
      </c>
      <c r="L3666" t="n">
        <v>21999</v>
      </c>
      <c r="M3666" t="n">
        <v>31500</v>
      </c>
      <c r="N3666" t="n">
        <v>91</v>
      </c>
      <c r="O3666" t="n">
        <v>0.91</v>
      </c>
      <c r="P3666" t="n">
        <v>1</v>
      </c>
      <c r="Q3666" t="n">
        <v>2.31</v>
      </c>
      <c r="R3666" t="n">
        <v>8</v>
      </c>
      <c r="S3666" t="n">
        <v>56470.05</v>
      </c>
      <c r="T3666" t="n">
        <v>57</v>
      </c>
      <c r="U3666" t="n">
        <v>61</v>
      </c>
      <c r="V3666" t="n">
        <v>30</v>
      </c>
      <c r="W3666" t="n">
        <v>54</v>
      </c>
      <c r="X3666" t="n">
        <v>59.686506387014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12369</v>
      </c>
      <c r="AG3666" t="n">
        <v>92</v>
      </c>
      <c r="AH3666" t="inlineStr">
        <is>
          <t>PT. SAI (PDG)</t>
        </is>
      </c>
      <c r="AI3666" t="n">
        <v>1726</v>
      </c>
      <c r="AJ3666" t="inlineStr">
        <is>
          <t>MYSTIC EYES</t>
        </is>
      </c>
      <c r="AK3666" t="n">
        <v>21</v>
      </c>
      <c r="AL3666" t="inlineStr">
        <is>
          <t>Miss Glam Damar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MYSTIC EYES</t>
        </is>
      </c>
      <c r="B3667" s="2">
        <f>"509001104433"</f>
        <v/>
      </c>
      <c r="C3667" t="inlineStr">
        <is>
          <t>MYSTIC EYES Softlens Premium MB10 Big Eyes Coffee</t>
        </is>
      </c>
      <c r="D3667" t="inlineStr">
        <is>
          <t>Miss Glam Damar</t>
        </is>
      </c>
      <c r="E3667" t="n">
        <v>4</v>
      </c>
      <c r="F3667" t="n">
        <v>0.3276</v>
      </c>
      <c r="G3667" t="n">
        <v>3.64</v>
      </c>
      <c r="H3667" t="n">
        <v>2</v>
      </c>
      <c r="I3667" t="n">
        <v>11</v>
      </c>
      <c r="J3667" t="n">
        <v>3</v>
      </c>
      <c r="K3667" t="n">
        <v>0</v>
      </c>
      <c r="L3667" t="n">
        <v>21999</v>
      </c>
      <c r="M3667" t="n">
        <v>31500</v>
      </c>
      <c r="N3667" t="n">
        <v>91</v>
      </c>
      <c r="O3667" t="n">
        <v>0.91</v>
      </c>
      <c r="P3667" t="n">
        <v>1</v>
      </c>
      <c r="Q3667" t="n">
        <v>0.41</v>
      </c>
      <c r="R3667" t="n">
        <v>2</v>
      </c>
      <c r="S3667" t="n">
        <v>10319.4</v>
      </c>
      <c r="T3667" t="n">
        <v>40</v>
      </c>
      <c r="U3667" t="n">
        <v>41</v>
      </c>
      <c r="V3667" t="n">
        <v>30</v>
      </c>
      <c r="W3667" t="n">
        <v>10</v>
      </c>
      <c r="X3667" t="n">
        <v>12.21001221001221</v>
      </c>
      <c r="Y3667" t="n">
        <v>1</v>
      </c>
      <c r="Z3667" t="n">
        <v>6</v>
      </c>
      <c r="AA3667" t="n">
        <v>0</v>
      </c>
      <c r="AB3667" t="n">
        <v>6</v>
      </c>
      <c r="AC3667" t="n">
        <v>6</v>
      </c>
      <c r="AD3667" t="n">
        <v>0</v>
      </c>
      <c r="AE3667" t="n">
        <v>131994</v>
      </c>
      <c r="AF3667" t="n">
        <v>12369</v>
      </c>
      <c r="AG3667" t="n">
        <v>92</v>
      </c>
      <c r="AH3667" t="inlineStr">
        <is>
          <t>PT. SAI (PDG)</t>
        </is>
      </c>
      <c r="AI3667" t="n">
        <v>1726</v>
      </c>
      <c r="AJ3667" t="inlineStr">
        <is>
          <t>MYSTIC EYES</t>
        </is>
      </c>
      <c r="AK3667" t="n">
        <v>21</v>
      </c>
      <c r="AL3667" t="inlineStr">
        <is>
          <t>Miss Glam Damar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MYSTIC EYES</t>
        </is>
      </c>
      <c r="B3668" s="2">
        <f>"509001104647"</f>
        <v/>
      </c>
      <c r="C3668" t="inlineStr">
        <is>
          <t>MYSTIC EYES Softlens Premium MC05 Dewy Brown</t>
        </is>
      </c>
      <c r="D3668" t="inlineStr">
        <is>
          <t>Miss Glam Damar</t>
        </is>
      </c>
      <c r="E3668" t="n">
        <v>24</v>
      </c>
      <c r="F3668" t="n">
        <v>1.1102</v>
      </c>
      <c r="G3668" t="n">
        <v>4.55</v>
      </c>
      <c r="H3668" t="n">
        <v>2</v>
      </c>
      <c r="I3668" t="n">
        <v>11</v>
      </c>
      <c r="J3668" t="n">
        <v>3</v>
      </c>
      <c r="K3668" t="n">
        <v>0</v>
      </c>
      <c r="L3668" t="n">
        <v>21999</v>
      </c>
      <c r="M3668" t="n">
        <v>31500</v>
      </c>
      <c r="N3668" t="n">
        <v>91</v>
      </c>
      <c r="O3668" t="n">
        <v>0.91</v>
      </c>
      <c r="P3668" t="n">
        <v>1</v>
      </c>
      <c r="Q3668" t="n">
        <v>0.47</v>
      </c>
      <c r="R3668" t="n">
        <v>2</v>
      </c>
      <c r="S3668" t="n">
        <v>34971.3</v>
      </c>
      <c r="T3668" t="n">
        <v>48</v>
      </c>
      <c r="U3668" t="n">
        <v>51</v>
      </c>
      <c r="V3668" t="n">
        <v>30</v>
      </c>
      <c r="W3668" t="n">
        <v>34</v>
      </c>
      <c r="X3668" t="n">
        <v>21.61772653575932</v>
      </c>
      <c r="Y3668" t="n">
        <v>1</v>
      </c>
      <c r="Z3668" t="n">
        <v>10</v>
      </c>
      <c r="AA3668" t="n">
        <v>0</v>
      </c>
      <c r="AB3668" t="n">
        <v>10</v>
      </c>
      <c r="AC3668" t="n">
        <v>10</v>
      </c>
      <c r="AD3668" t="n">
        <v>0</v>
      </c>
      <c r="AE3668" t="n">
        <v>219990</v>
      </c>
      <c r="AF3668" t="n">
        <v>12369</v>
      </c>
      <c r="AG3668" t="n">
        <v>92</v>
      </c>
      <c r="AH3668" t="inlineStr">
        <is>
          <t>PT. SAI (PDG)</t>
        </is>
      </c>
      <c r="AI3668" t="n">
        <v>1726</v>
      </c>
      <c r="AJ3668" t="inlineStr">
        <is>
          <t>MYSTIC EYES</t>
        </is>
      </c>
      <c r="AK3668" t="n">
        <v>21</v>
      </c>
      <c r="AL3668" t="inlineStr">
        <is>
          <t>Miss Glam Damar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MYSTIC EYES</t>
        </is>
      </c>
      <c r="B3669" s="2">
        <f>"509001104715"</f>
        <v/>
      </c>
      <c r="C3669" t="inlineStr">
        <is>
          <t>MYSTIC EYES Softlens Premium MC06 Dewy Grey</t>
        </is>
      </c>
      <c r="D3669" t="inlineStr">
        <is>
          <t>Miss Glam Damar</t>
        </is>
      </c>
      <c r="E3669" t="n">
        <v>3</v>
      </c>
      <c r="F3669" t="n">
        <v>0.3731</v>
      </c>
      <c r="G3669" t="n">
        <v>2.73</v>
      </c>
      <c r="H3669" t="n">
        <v>2</v>
      </c>
      <c r="I3669" t="n">
        <v>11</v>
      </c>
      <c r="J3669" t="n">
        <v>3</v>
      </c>
      <c r="K3669" t="n">
        <v>0</v>
      </c>
      <c r="L3669" t="n">
        <v>21999</v>
      </c>
      <c r="M3669" t="n">
        <v>31500</v>
      </c>
      <c r="N3669" t="n">
        <v>91</v>
      </c>
      <c r="O3669" t="n">
        <v>0.91</v>
      </c>
      <c r="P3669" t="n">
        <v>1</v>
      </c>
      <c r="Q3669" t="n">
        <v>0.36</v>
      </c>
      <c r="R3669" t="n">
        <v>3</v>
      </c>
      <c r="S3669" t="n">
        <v>11752.65</v>
      </c>
      <c r="T3669" t="n">
        <v>30</v>
      </c>
      <c r="U3669" t="n">
        <v>31</v>
      </c>
      <c r="V3669" t="n">
        <v>30</v>
      </c>
      <c r="W3669" t="n">
        <v>12</v>
      </c>
      <c r="X3669" t="n">
        <v>8.040739748056822</v>
      </c>
      <c r="Y3669" t="n">
        <v>1</v>
      </c>
      <c r="Z3669" t="n">
        <v>9</v>
      </c>
      <c r="AA3669" t="n">
        <v>2</v>
      </c>
      <c r="AB3669" t="n">
        <v>7</v>
      </c>
      <c r="AC3669" t="n">
        <v>7</v>
      </c>
      <c r="AD3669" t="n">
        <v>43998</v>
      </c>
      <c r="AE3669" t="n">
        <v>153993</v>
      </c>
      <c r="AF3669" t="n">
        <v>12369</v>
      </c>
      <c r="AG3669" t="n">
        <v>92</v>
      </c>
      <c r="AH3669" t="inlineStr">
        <is>
          <t>PT. SAI (PDG)</t>
        </is>
      </c>
      <c r="AI3669" t="n">
        <v>1726</v>
      </c>
      <c r="AJ3669" t="inlineStr">
        <is>
          <t>MYSTIC EYES</t>
        </is>
      </c>
      <c r="AK3669" t="n">
        <v>21</v>
      </c>
      <c r="AL3669" t="inlineStr">
        <is>
          <t>Miss Glam Damar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MYSTIC EYES</t>
        </is>
      </c>
      <c r="B3670" s="2">
        <f>"509001104104"</f>
        <v/>
      </c>
      <c r="C3670" t="inlineStr">
        <is>
          <t>MYSTIC EYES Softlens Premium MC07 Lumina Brown</t>
        </is>
      </c>
      <c r="D3670" t="inlineStr">
        <is>
          <t>Miss Glam Damar</t>
        </is>
      </c>
      <c r="E3670" t="n">
        <v>23</v>
      </c>
      <c r="F3670" t="n">
        <v>1.2831</v>
      </c>
      <c r="G3670" t="n">
        <v>5.46</v>
      </c>
      <c r="H3670" t="n">
        <v>2</v>
      </c>
      <c r="I3670" t="n">
        <v>11</v>
      </c>
      <c r="J3670" t="n">
        <v>3</v>
      </c>
      <c r="K3670" t="n">
        <v>0</v>
      </c>
      <c r="L3670" t="n">
        <v>21999</v>
      </c>
      <c r="M3670" t="n">
        <v>31500</v>
      </c>
      <c r="N3670" t="n">
        <v>91</v>
      </c>
      <c r="O3670" t="n">
        <v>0.91</v>
      </c>
      <c r="P3670" t="n">
        <v>1</v>
      </c>
      <c r="Q3670" t="n">
        <v>1.07</v>
      </c>
      <c r="R3670" t="n">
        <v>5</v>
      </c>
      <c r="S3670" t="n">
        <v>40417.64999999999</v>
      </c>
      <c r="T3670" t="n">
        <v>58</v>
      </c>
      <c r="U3670" t="n">
        <v>61</v>
      </c>
      <c r="V3670" t="n">
        <v>30</v>
      </c>
      <c r="W3670" t="n">
        <v>39</v>
      </c>
      <c r="X3670" t="n">
        <v>17.92533707427324</v>
      </c>
      <c r="Y3670" t="n">
        <v>1</v>
      </c>
      <c r="Z3670" t="n">
        <v>16</v>
      </c>
      <c r="AA3670" t="n">
        <v>0</v>
      </c>
      <c r="AB3670" t="n">
        <v>16</v>
      </c>
      <c r="AC3670" t="n">
        <v>16</v>
      </c>
      <c r="AD3670" t="n">
        <v>0</v>
      </c>
      <c r="AE3670" t="n">
        <v>351984</v>
      </c>
      <c r="AF3670" t="n">
        <v>12369</v>
      </c>
      <c r="AG3670" t="n">
        <v>92</v>
      </c>
      <c r="AH3670" t="inlineStr">
        <is>
          <t>PT. SAI (PDG)</t>
        </is>
      </c>
      <c r="AI3670" t="n">
        <v>1726</v>
      </c>
      <c r="AJ3670" t="inlineStr">
        <is>
          <t>MYSTIC EYES</t>
        </is>
      </c>
      <c r="AK3670" t="n">
        <v>21</v>
      </c>
      <c r="AL3670" t="inlineStr">
        <is>
          <t>Miss Glam Damar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MYSTIC EYES</t>
        </is>
      </c>
      <c r="B3671" s="2">
        <f>"509001105023"</f>
        <v/>
      </c>
      <c r="C3671" t="inlineStr">
        <is>
          <t>MYSTIC EYES Softlens Premium MD03 Vogue Golden Hazel</t>
        </is>
      </c>
      <c r="D3671" t="inlineStr">
        <is>
          <t>Miss Glam Damar</t>
        </is>
      </c>
      <c r="E3671" t="n">
        <v>9</v>
      </c>
      <c r="F3671" t="n">
        <v>0.75</v>
      </c>
      <c r="G3671" t="n">
        <v>3</v>
      </c>
      <c r="H3671" t="n">
        <v>2</v>
      </c>
      <c r="I3671" t="n">
        <v>11</v>
      </c>
      <c r="J3671" t="n">
        <v>3</v>
      </c>
      <c r="K3671" t="n">
        <v>0</v>
      </c>
      <c r="L3671" t="n">
        <v>21999</v>
      </c>
      <c r="M3671" t="n">
        <v>31500</v>
      </c>
      <c r="N3671" t="n">
        <v>91</v>
      </c>
      <c r="O3671" t="n">
        <v>0.91</v>
      </c>
      <c r="P3671" t="n">
        <v>0</v>
      </c>
      <c r="Q3671" t="n">
        <v>0.75</v>
      </c>
      <c r="R3671" t="n">
        <v>3</v>
      </c>
      <c r="S3671" t="n">
        <v>23625</v>
      </c>
      <c r="T3671" t="n">
        <v>32</v>
      </c>
      <c r="U3671" t="n">
        <v>34</v>
      </c>
      <c r="V3671" t="n">
        <v>30</v>
      </c>
      <c r="W3671" t="n">
        <v>23</v>
      </c>
      <c r="X3671" t="n">
        <v>12</v>
      </c>
      <c r="Y3671" t="n">
        <v>1</v>
      </c>
      <c r="Z3671" t="n">
        <v>14</v>
      </c>
      <c r="AA3671" t="n">
        <v>0</v>
      </c>
      <c r="AB3671" t="n">
        <v>14</v>
      </c>
      <c r="AC3671" t="n">
        <v>14</v>
      </c>
      <c r="AD3671" t="n">
        <v>0</v>
      </c>
      <c r="AE3671" t="n">
        <v>307986</v>
      </c>
      <c r="AF3671" t="n">
        <v>12369</v>
      </c>
      <c r="AG3671" t="n">
        <v>92</v>
      </c>
      <c r="AH3671" t="inlineStr">
        <is>
          <t>PT. SAI (PDG)</t>
        </is>
      </c>
      <c r="AI3671" t="n">
        <v>1726</v>
      </c>
      <c r="AJ3671" t="inlineStr">
        <is>
          <t>MYSTIC EYES</t>
        </is>
      </c>
      <c r="AK3671" t="n">
        <v>21</v>
      </c>
      <c r="AL3671" t="inlineStr">
        <is>
          <t>Miss Glam Damar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MYSTIC EYES</t>
        </is>
      </c>
      <c r="B3672" s="2">
        <f>"509001105146"</f>
        <v/>
      </c>
      <c r="C3672" t="inlineStr">
        <is>
          <t>MYSTIC EYES Softlens Premium MD04 Wolf Grey</t>
        </is>
      </c>
      <c r="D3672" t="inlineStr">
        <is>
          <t>Miss Glam Damar</t>
        </is>
      </c>
      <c r="E3672" t="n">
        <v>11</v>
      </c>
      <c r="F3672" t="n">
        <v>1.8473</v>
      </c>
      <c r="G3672" t="n">
        <v>8.19</v>
      </c>
      <c r="H3672" t="n">
        <v>2</v>
      </c>
      <c r="I3672" t="n">
        <v>11</v>
      </c>
      <c r="J3672" t="n">
        <v>3</v>
      </c>
      <c r="K3672" t="n">
        <v>0</v>
      </c>
      <c r="L3672" t="n">
        <v>21999</v>
      </c>
      <c r="M3672" t="n">
        <v>31500</v>
      </c>
      <c r="N3672" t="n">
        <v>91</v>
      </c>
      <c r="O3672" t="n">
        <v>0.91</v>
      </c>
      <c r="P3672" t="n">
        <v>1</v>
      </c>
      <c r="Q3672" t="n">
        <v>1</v>
      </c>
      <c r="R3672" t="n">
        <v>5</v>
      </c>
      <c r="S3672" t="n">
        <v>58189.95</v>
      </c>
      <c r="T3672" t="n">
        <v>87</v>
      </c>
      <c r="U3672" t="n">
        <v>91</v>
      </c>
      <c r="V3672" t="n">
        <v>30</v>
      </c>
      <c r="W3672" t="n">
        <v>56</v>
      </c>
      <c r="X3672" t="n">
        <v>5.954636496508418</v>
      </c>
      <c r="Y3672" t="n">
        <v>1</v>
      </c>
      <c r="Z3672" t="n">
        <v>45</v>
      </c>
      <c r="AA3672" t="n">
        <v>10</v>
      </c>
      <c r="AB3672" t="n">
        <v>35</v>
      </c>
      <c r="AC3672" t="n">
        <v>35</v>
      </c>
      <c r="AD3672" t="n">
        <v>219990</v>
      </c>
      <c r="AE3672" t="n">
        <v>769965</v>
      </c>
      <c r="AF3672" t="n">
        <v>12369</v>
      </c>
      <c r="AG3672" t="n">
        <v>92</v>
      </c>
      <c r="AH3672" t="inlineStr">
        <is>
          <t>PT. SAI (PDG)</t>
        </is>
      </c>
      <c r="AI3672" t="n">
        <v>1726</v>
      </c>
      <c r="AJ3672" t="inlineStr">
        <is>
          <t>MYSTIC EYES</t>
        </is>
      </c>
      <c r="AK3672" t="n">
        <v>21</v>
      </c>
      <c r="AL3672" t="inlineStr">
        <is>
          <t>Miss Glam Damar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MYSTIC EYES</t>
        </is>
      </c>
      <c r="B3673" s="2">
        <f>"509001105207"</f>
        <v/>
      </c>
      <c r="C3673" t="inlineStr">
        <is>
          <t>MYSTIC EYES Softlens Premium MD05 Vivi Brown</t>
        </is>
      </c>
      <c r="D3673" t="inlineStr">
        <is>
          <t>Miss Glam Damar</t>
        </is>
      </c>
      <c r="E3673" t="n">
        <v>14</v>
      </c>
      <c r="F3673" t="n">
        <v>0.97</v>
      </c>
      <c r="G3673" t="n">
        <v>5</v>
      </c>
      <c r="H3673" t="n">
        <v>2</v>
      </c>
      <c r="I3673" t="n">
        <v>11</v>
      </c>
      <c r="J3673" t="n">
        <v>3</v>
      </c>
      <c r="K3673" t="n">
        <v>0</v>
      </c>
      <c r="L3673" t="n">
        <v>21999</v>
      </c>
      <c r="M3673" t="n">
        <v>31500</v>
      </c>
      <c r="N3673" t="n">
        <v>91</v>
      </c>
      <c r="O3673" t="n">
        <v>0.91</v>
      </c>
      <c r="P3673" t="n">
        <v>0</v>
      </c>
      <c r="Q3673" t="n">
        <v>0.97</v>
      </c>
      <c r="R3673" t="n">
        <v>5</v>
      </c>
      <c r="S3673" t="n">
        <v>30555</v>
      </c>
      <c r="T3673" t="n">
        <v>54</v>
      </c>
      <c r="U3673" t="n">
        <v>56</v>
      </c>
      <c r="V3673" t="n">
        <v>30</v>
      </c>
      <c r="W3673" t="n">
        <v>30</v>
      </c>
      <c r="X3673" t="n">
        <v>14.43298969072165</v>
      </c>
      <c r="Y3673" t="n">
        <v>1</v>
      </c>
      <c r="Z3673" t="n">
        <v>16</v>
      </c>
      <c r="AA3673" t="n">
        <v>0</v>
      </c>
      <c r="AB3673" t="n">
        <v>16</v>
      </c>
      <c r="AC3673" t="n">
        <v>16</v>
      </c>
      <c r="AD3673" t="n">
        <v>0</v>
      </c>
      <c r="AE3673" t="n">
        <v>351984</v>
      </c>
      <c r="AF3673" t="n">
        <v>12369</v>
      </c>
      <c r="AG3673" t="n">
        <v>92</v>
      </c>
      <c r="AH3673" t="inlineStr">
        <is>
          <t>PT. SAI (PDG)</t>
        </is>
      </c>
      <c r="AI3673" t="n">
        <v>1726</v>
      </c>
      <c r="AJ3673" t="inlineStr">
        <is>
          <t>MYSTIC EYES</t>
        </is>
      </c>
      <c r="AK3673" t="n">
        <v>21</v>
      </c>
      <c r="AL3673" t="inlineStr">
        <is>
          <t>Miss Glam Damar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MYSTIC EYES</t>
        </is>
      </c>
      <c r="B3674" s="2">
        <f>"509001105329"</f>
        <v/>
      </c>
      <c r="C3674" t="inlineStr">
        <is>
          <t>MYSTIC EYES Softlens Premium MD06 Vivi Grey</t>
        </is>
      </c>
      <c r="D3674" t="inlineStr">
        <is>
          <t>Miss Glam Damar</t>
        </is>
      </c>
      <c r="E3674" t="n">
        <v>1</v>
      </c>
      <c r="F3674" t="n">
        <v>0.24</v>
      </c>
      <c r="G3674" t="n">
        <v>2</v>
      </c>
      <c r="H3674" t="n">
        <v>2</v>
      </c>
      <c r="I3674" t="n">
        <v>11</v>
      </c>
      <c r="J3674" t="n">
        <v>3</v>
      </c>
      <c r="K3674" t="n">
        <v>0</v>
      </c>
      <c r="L3674" t="n">
        <v>21999</v>
      </c>
      <c r="M3674" t="n">
        <v>31500</v>
      </c>
      <c r="N3674" t="n">
        <v>91</v>
      </c>
      <c r="O3674" t="n">
        <v>0.91</v>
      </c>
      <c r="P3674" t="n">
        <v>0</v>
      </c>
      <c r="Q3674" t="n">
        <v>0.24</v>
      </c>
      <c r="R3674" t="n">
        <v>2</v>
      </c>
      <c r="S3674" t="n">
        <v>7560</v>
      </c>
      <c r="T3674" t="n">
        <v>22</v>
      </c>
      <c r="U3674" t="n">
        <v>23</v>
      </c>
      <c r="V3674" t="n">
        <v>30</v>
      </c>
      <c r="W3674" t="n">
        <v>8</v>
      </c>
      <c r="X3674" t="n">
        <v>4.166666666666667</v>
      </c>
      <c r="Y3674" t="n">
        <v>1</v>
      </c>
      <c r="Z3674" t="n">
        <v>7</v>
      </c>
      <c r="AA3674" t="n">
        <v>2</v>
      </c>
      <c r="AB3674" t="n">
        <v>5</v>
      </c>
      <c r="AC3674" t="n">
        <v>5</v>
      </c>
      <c r="AD3674" t="n">
        <v>43998</v>
      </c>
      <c r="AE3674" t="n">
        <v>109995</v>
      </c>
      <c r="AF3674" t="n">
        <v>12369</v>
      </c>
      <c r="AG3674" t="n">
        <v>92</v>
      </c>
      <c r="AH3674" t="inlineStr">
        <is>
          <t>PT. SAI (PDG)</t>
        </is>
      </c>
      <c r="AI3674" t="n">
        <v>1726</v>
      </c>
      <c r="AJ3674" t="inlineStr">
        <is>
          <t>MYSTIC EYES</t>
        </is>
      </c>
      <c r="AK3674" t="n">
        <v>21</v>
      </c>
      <c r="AL3674" t="inlineStr">
        <is>
          <t>Miss Glam Damar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MYSTIC EYES</t>
        </is>
      </c>
      <c r="B3675" s="2">
        <f>"509001104836"</f>
        <v/>
      </c>
      <c r="C3675" t="inlineStr">
        <is>
          <t>MYSTIC EYES Softlens Premium MD07 Dazzle Brown</t>
        </is>
      </c>
      <c r="D3675" t="inlineStr">
        <is>
          <t>Miss Glam Damar</t>
        </is>
      </c>
      <c r="E3675" t="n">
        <v>4</v>
      </c>
      <c r="F3675" t="n">
        <v>1.5379</v>
      </c>
      <c r="G3675" t="n">
        <v>6.37</v>
      </c>
      <c r="H3675" t="n">
        <v>2</v>
      </c>
      <c r="I3675" t="n">
        <v>11</v>
      </c>
      <c r="J3675" t="n">
        <v>3</v>
      </c>
      <c r="K3675" t="n">
        <v>0</v>
      </c>
      <c r="L3675" t="n">
        <v>21999</v>
      </c>
      <c r="M3675" t="n">
        <v>31500</v>
      </c>
      <c r="N3675" t="n">
        <v>91</v>
      </c>
      <c r="O3675" t="n">
        <v>0.91</v>
      </c>
      <c r="P3675" t="n">
        <v>1</v>
      </c>
      <c r="Q3675" t="n">
        <v>0.85</v>
      </c>
      <c r="R3675" t="n">
        <v>3</v>
      </c>
      <c r="S3675" t="n">
        <v>48443.85</v>
      </c>
      <c r="T3675" t="n">
        <v>67</v>
      </c>
      <c r="U3675" t="n">
        <v>71</v>
      </c>
      <c r="V3675" t="n">
        <v>30</v>
      </c>
      <c r="W3675" t="n">
        <v>47</v>
      </c>
      <c r="X3675" t="n">
        <v>2.600949346511477</v>
      </c>
      <c r="Y3675" t="n">
        <v>1</v>
      </c>
      <c r="Z3675" t="n">
        <v>43</v>
      </c>
      <c r="AA3675" t="n">
        <v>13</v>
      </c>
      <c r="AB3675" t="n">
        <v>30</v>
      </c>
      <c r="AC3675" t="n">
        <v>30</v>
      </c>
      <c r="AD3675" t="n">
        <v>285987</v>
      </c>
      <c r="AE3675" t="n">
        <v>659970</v>
      </c>
      <c r="AF3675" t="n">
        <v>12369</v>
      </c>
      <c r="AG3675" t="n">
        <v>92</v>
      </c>
      <c r="AH3675" t="inlineStr">
        <is>
          <t>PT. SAI (PDG)</t>
        </is>
      </c>
      <c r="AI3675" t="n">
        <v>1726</v>
      </c>
      <c r="AJ3675" t="inlineStr">
        <is>
          <t>MYSTIC EYES</t>
        </is>
      </c>
      <c r="AK3675" t="n">
        <v>21</v>
      </c>
      <c r="AL3675" t="inlineStr">
        <is>
          <t>Miss Glam Damar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MYSTIC EYES</t>
        </is>
      </c>
      <c r="B3676" s="2">
        <f>"509001104960"</f>
        <v/>
      </c>
      <c r="C3676" t="inlineStr">
        <is>
          <t>MYSTIC EYES Softlens Premium MD08 Dazzle Grey</t>
        </is>
      </c>
      <c r="D3676" t="inlineStr">
        <is>
          <t>Miss Glam Damar</t>
        </is>
      </c>
      <c r="E3676" t="n">
        <v>24</v>
      </c>
      <c r="F3676" t="n">
        <v>1.2467</v>
      </c>
      <c r="G3676" t="n">
        <v>3.64</v>
      </c>
      <c r="H3676" t="n">
        <v>2</v>
      </c>
      <c r="I3676" t="n">
        <v>11</v>
      </c>
      <c r="J3676" t="n">
        <v>3</v>
      </c>
      <c r="K3676" t="n">
        <v>0</v>
      </c>
      <c r="L3676" t="n">
        <v>21999</v>
      </c>
      <c r="M3676" t="n">
        <v>31500</v>
      </c>
      <c r="N3676" t="n">
        <v>91</v>
      </c>
      <c r="O3676" t="n">
        <v>0.91</v>
      </c>
      <c r="P3676" t="n">
        <v>1</v>
      </c>
      <c r="Q3676" t="n">
        <v>0.83</v>
      </c>
      <c r="R3676" t="n">
        <v>3</v>
      </c>
      <c r="S3676" t="n">
        <v>39271.05</v>
      </c>
      <c r="T3676" t="n">
        <v>38</v>
      </c>
      <c r="U3676" t="n">
        <v>41</v>
      </c>
      <c r="V3676" t="n">
        <v>30</v>
      </c>
      <c r="W3676" t="n">
        <v>38</v>
      </c>
      <c r="X3676" t="n">
        <v>19.2508221705302</v>
      </c>
      <c r="Y3676" t="n">
        <v>1</v>
      </c>
      <c r="Z3676" t="n">
        <v>14</v>
      </c>
      <c r="AA3676" t="n">
        <v>0</v>
      </c>
      <c r="AB3676" t="n">
        <v>14</v>
      </c>
      <c r="AC3676" t="n">
        <v>14</v>
      </c>
      <c r="AD3676" t="n">
        <v>0</v>
      </c>
      <c r="AE3676" t="n">
        <v>307986</v>
      </c>
      <c r="AF3676" t="n">
        <v>12369</v>
      </c>
      <c r="AG3676" t="n">
        <v>92</v>
      </c>
      <c r="AH3676" t="inlineStr">
        <is>
          <t>PT. SAI (PDG)</t>
        </is>
      </c>
      <c r="AI3676" t="n">
        <v>1726</v>
      </c>
      <c r="AJ3676" t="inlineStr">
        <is>
          <t>MYSTIC EYES</t>
        </is>
      </c>
      <c r="AK3676" t="n">
        <v>21</v>
      </c>
      <c r="AL3676" t="inlineStr">
        <is>
          <t>Miss Glam Damar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N.CO</t>
        </is>
      </c>
      <c r="B3677" s="2">
        <f>"8998824555153"</f>
        <v/>
      </c>
      <c r="C3677" t="inlineStr">
        <is>
          <t>N.CO Parfume Amethyst 100ml</t>
        </is>
      </c>
      <c r="D3677" t="inlineStr">
        <is>
          <t>Miss Glam Damar</t>
        </is>
      </c>
      <c r="E3677" t="n">
        <v>4</v>
      </c>
      <c r="F3677" t="n">
        <v>0.7280000000000001</v>
      </c>
      <c r="G3677" t="n">
        <v>5.46</v>
      </c>
      <c r="H3677" t="n">
        <v>3</v>
      </c>
      <c r="I3677" t="n">
        <v>11</v>
      </c>
      <c r="J3677" t="n">
        <v>3</v>
      </c>
      <c r="K3677" t="n">
        <v>0</v>
      </c>
      <c r="L3677" t="n">
        <v>28050</v>
      </c>
      <c r="M3677" t="n">
        <v>33000</v>
      </c>
      <c r="N3677" t="n">
        <v>91</v>
      </c>
      <c r="O3677" t="n">
        <v>0.91</v>
      </c>
      <c r="P3677" t="n">
        <v>1</v>
      </c>
      <c r="Q3677" t="n">
        <v>0.27</v>
      </c>
      <c r="R3677" t="n">
        <v>2</v>
      </c>
      <c r="S3677" t="n">
        <v>24024</v>
      </c>
      <c r="T3677" t="n">
        <v>58</v>
      </c>
      <c r="U3677" t="n">
        <v>61</v>
      </c>
      <c r="V3677" t="n">
        <v>30</v>
      </c>
      <c r="W3677" t="n">
        <v>22</v>
      </c>
      <c r="X3677" t="n">
        <v>5.494505494505494</v>
      </c>
      <c r="Y3677" t="n">
        <v>1</v>
      </c>
      <c r="Z3677" t="n">
        <v>18</v>
      </c>
      <c r="AA3677" t="n">
        <v>5</v>
      </c>
      <c r="AB3677" t="n">
        <v>13</v>
      </c>
      <c r="AC3677" t="n">
        <v>13</v>
      </c>
      <c r="AD3677" t="n">
        <v>140250</v>
      </c>
      <c r="AE3677" t="n">
        <v>364650</v>
      </c>
      <c r="AF3677" t="n">
        <v>12865</v>
      </c>
      <c r="AG3677" t="n">
        <v>2122</v>
      </c>
      <c r="AH3677" t="inlineStr">
        <is>
          <t>PT. SINAR PADANG LESTARI - PPN (PDG)</t>
        </is>
      </c>
      <c r="AI3677" t="n">
        <v>2397</v>
      </c>
      <c r="AJ3677" t="inlineStr">
        <is>
          <t>N.CO</t>
        </is>
      </c>
      <c r="AK3677" t="n">
        <v>21</v>
      </c>
      <c r="AL3677" t="inlineStr">
        <is>
          <t>Miss Glam Damar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N.CO</t>
        </is>
      </c>
      <c r="B3678" s="2">
        <f>"8998824554989"</f>
        <v/>
      </c>
      <c r="C3678" t="inlineStr">
        <is>
          <t>N.CO Parfume Bloomique 100ml</t>
        </is>
      </c>
      <c r="D3678" t="inlineStr">
        <is>
          <t>Miss Glam Damar</t>
        </is>
      </c>
      <c r="E3678" t="n">
        <v>26</v>
      </c>
      <c r="F3678" t="n">
        <v>0.9828000000000001</v>
      </c>
      <c r="G3678" t="n">
        <v>5.46</v>
      </c>
      <c r="H3678" t="n">
        <v>3</v>
      </c>
      <c r="I3678" t="n">
        <v>11</v>
      </c>
      <c r="J3678" t="n">
        <v>3</v>
      </c>
      <c r="K3678" t="n">
        <v>0</v>
      </c>
      <c r="L3678" t="n">
        <v>28050</v>
      </c>
      <c r="M3678" t="n">
        <v>33000</v>
      </c>
      <c r="N3678" t="n">
        <v>91</v>
      </c>
      <c r="O3678" t="n">
        <v>0.91</v>
      </c>
      <c r="P3678" t="n">
        <v>1</v>
      </c>
      <c r="Q3678" t="n">
        <v>0.49</v>
      </c>
      <c r="R3678" t="n">
        <v>5</v>
      </c>
      <c r="S3678" t="n">
        <v>32432.40000000001</v>
      </c>
      <c r="T3678" t="n">
        <v>58</v>
      </c>
      <c r="U3678" t="n">
        <v>61</v>
      </c>
      <c r="V3678" t="n">
        <v>30</v>
      </c>
      <c r="W3678" t="n">
        <v>30</v>
      </c>
      <c r="X3678" t="n">
        <v>26.45502645502645</v>
      </c>
      <c r="Y3678" t="n">
        <v>1</v>
      </c>
      <c r="Z3678" t="n">
        <v>4</v>
      </c>
      <c r="AA3678" t="n">
        <v>0</v>
      </c>
      <c r="AB3678" t="n">
        <v>4</v>
      </c>
      <c r="AC3678" t="n">
        <v>4</v>
      </c>
      <c r="AD3678" t="n">
        <v>0</v>
      </c>
      <c r="AE3678" t="n">
        <v>112200</v>
      </c>
      <c r="AF3678" t="n">
        <v>12865</v>
      </c>
      <c r="AG3678" t="n">
        <v>2122</v>
      </c>
      <c r="AH3678" t="inlineStr">
        <is>
          <t>PT. SINAR PADANG LESTARI - PPN (PDG)</t>
        </is>
      </c>
      <c r="AI3678" t="n">
        <v>2397</v>
      </c>
      <c r="AJ3678" t="inlineStr">
        <is>
          <t>N.CO</t>
        </is>
      </c>
      <c r="AK3678" t="n">
        <v>21</v>
      </c>
      <c r="AL3678" t="inlineStr">
        <is>
          <t>Miss Glam Damar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N.CO</t>
        </is>
      </c>
      <c r="B3679" s="2">
        <f>"8998824555184"</f>
        <v/>
      </c>
      <c r="C3679" t="inlineStr">
        <is>
          <t>N.CO Parfume Glacier 100ml</t>
        </is>
      </c>
      <c r="D3679" t="inlineStr">
        <is>
          <t>Miss Glam Damar</t>
        </is>
      </c>
      <c r="E3679" t="n">
        <v>7</v>
      </c>
      <c r="F3679" t="n">
        <v>0.6188</v>
      </c>
      <c r="G3679" t="n">
        <v>4.55</v>
      </c>
      <c r="H3679" t="n">
        <v>3</v>
      </c>
      <c r="I3679" t="n">
        <v>11</v>
      </c>
      <c r="J3679" t="n">
        <v>3</v>
      </c>
      <c r="K3679" t="n">
        <v>0</v>
      </c>
      <c r="L3679" t="n">
        <v>28050</v>
      </c>
      <c r="M3679" t="n">
        <v>33000</v>
      </c>
      <c r="N3679" t="n">
        <v>91</v>
      </c>
      <c r="O3679" t="n">
        <v>0.91</v>
      </c>
      <c r="P3679" t="n">
        <v>1</v>
      </c>
      <c r="Q3679" t="n">
        <v>0.39</v>
      </c>
      <c r="R3679" t="n">
        <v>3</v>
      </c>
      <c r="S3679" t="n">
        <v>20420.4</v>
      </c>
      <c r="T3679" t="n">
        <v>49</v>
      </c>
      <c r="U3679" t="n">
        <v>51</v>
      </c>
      <c r="V3679" t="n">
        <v>30</v>
      </c>
      <c r="W3679" t="n">
        <v>19</v>
      </c>
      <c r="X3679" t="n">
        <v>11.31221719457013</v>
      </c>
      <c r="Y3679" t="n">
        <v>1</v>
      </c>
      <c r="Z3679" t="n">
        <v>12</v>
      </c>
      <c r="AA3679" t="n">
        <v>0</v>
      </c>
      <c r="AB3679" t="n">
        <v>12</v>
      </c>
      <c r="AC3679" t="n">
        <v>12</v>
      </c>
      <c r="AD3679" t="n">
        <v>0</v>
      </c>
      <c r="AE3679" t="n">
        <v>336600</v>
      </c>
      <c r="AF3679" t="n">
        <v>12865</v>
      </c>
      <c r="AG3679" t="n">
        <v>2122</v>
      </c>
      <c r="AH3679" t="inlineStr">
        <is>
          <t>PT. SINAR PADANG LESTARI - PPN (PDG)</t>
        </is>
      </c>
      <c r="AI3679" t="n">
        <v>2397</v>
      </c>
      <c r="AJ3679" t="inlineStr">
        <is>
          <t>N.CO</t>
        </is>
      </c>
      <c r="AK3679" t="n">
        <v>21</v>
      </c>
      <c r="AL3679" t="inlineStr">
        <is>
          <t>Miss Glam Damar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N.CO</t>
        </is>
      </c>
      <c r="B3680" s="2">
        <f>"8998824555177"</f>
        <v/>
      </c>
      <c r="C3680" t="inlineStr">
        <is>
          <t>N.CO Parfume Onyx 100ml</t>
        </is>
      </c>
      <c r="D3680" t="inlineStr">
        <is>
          <t>Miss Glam Damar</t>
        </is>
      </c>
      <c r="E3680" t="n">
        <v>6</v>
      </c>
      <c r="F3680" t="n">
        <v>0.3731</v>
      </c>
      <c r="G3680" t="n">
        <v>2.73</v>
      </c>
      <c r="H3680" t="n">
        <v>3</v>
      </c>
      <c r="I3680" t="n">
        <v>11</v>
      </c>
      <c r="J3680" t="n">
        <v>3</v>
      </c>
      <c r="K3680" t="n">
        <v>0</v>
      </c>
      <c r="L3680" t="n">
        <v>28050</v>
      </c>
      <c r="M3680" t="n">
        <v>33000</v>
      </c>
      <c r="N3680" t="n">
        <v>91</v>
      </c>
      <c r="O3680" t="n">
        <v>0.91</v>
      </c>
      <c r="P3680" t="n">
        <v>1</v>
      </c>
      <c r="Q3680" t="n">
        <v>0.1</v>
      </c>
      <c r="R3680" t="n">
        <v>2</v>
      </c>
      <c r="S3680" t="n">
        <v>12312.3</v>
      </c>
      <c r="T3680" t="n">
        <v>29</v>
      </c>
      <c r="U3680" t="n">
        <v>31</v>
      </c>
      <c r="V3680" t="n">
        <v>30</v>
      </c>
      <c r="W3680" t="n">
        <v>12</v>
      </c>
      <c r="X3680" t="n">
        <v>16.08147949611364</v>
      </c>
      <c r="Y3680" t="n">
        <v>1</v>
      </c>
      <c r="Z3680" t="n">
        <v>6</v>
      </c>
      <c r="AA3680" t="n">
        <v>0</v>
      </c>
      <c r="AB3680" t="n">
        <v>6</v>
      </c>
      <c r="AC3680" t="n">
        <v>6</v>
      </c>
      <c r="AD3680" t="n">
        <v>0</v>
      </c>
      <c r="AE3680" t="n">
        <v>168300</v>
      </c>
      <c r="AF3680" t="n">
        <v>12865</v>
      </c>
      <c r="AG3680" t="n">
        <v>2122</v>
      </c>
      <c r="AH3680" t="inlineStr">
        <is>
          <t>PT. SINAR PADANG LESTARI - PPN (PDG)</t>
        </is>
      </c>
      <c r="AI3680" t="n">
        <v>2397</v>
      </c>
      <c r="AJ3680" t="inlineStr">
        <is>
          <t>N.CO</t>
        </is>
      </c>
      <c r="AK3680" t="n">
        <v>21</v>
      </c>
      <c r="AL3680" t="inlineStr">
        <is>
          <t>Miss Glam Damar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N.CO</t>
        </is>
      </c>
      <c r="B3681" s="2">
        <f>"8998824555160"</f>
        <v/>
      </c>
      <c r="C3681" t="inlineStr">
        <is>
          <t>N.CO Parfume Snowflake 100ml</t>
        </is>
      </c>
      <c r="D3681" t="inlineStr">
        <is>
          <t>Miss Glam Damar</t>
        </is>
      </c>
      <c r="E3681" t="n">
        <v>10</v>
      </c>
      <c r="F3681" t="n">
        <v>0.4459</v>
      </c>
      <c r="G3681" t="n">
        <v>3.64</v>
      </c>
      <c r="H3681" t="n">
        <v>3</v>
      </c>
      <c r="I3681" t="n">
        <v>11</v>
      </c>
      <c r="J3681" t="n">
        <v>3</v>
      </c>
      <c r="K3681" t="n">
        <v>0</v>
      </c>
      <c r="L3681" t="n">
        <v>28050</v>
      </c>
      <c r="M3681" t="n">
        <v>33000</v>
      </c>
      <c r="N3681" t="n">
        <v>91</v>
      </c>
      <c r="O3681" t="n">
        <v>0.91</v>
      </c>
      <c r="P3681" t="n">
        <v>1</v>
      </c>
      <c r="Q3681" t="n">
        <v>0.03</v>
      </c>
      <c r="R3681" t="n">
        <v>1</v>
      </c>
      <c r="S3681" t="n">
        <v>14714.7</v>
      </c>
      <c r="T3681" t="n">
        <v>39</v>
      </c>
      <c r="U3681" t="n">
        <v>41</v>
      </c>
      <c r="V3681" t="n">
        <v>30</v>
      </c>
      <c r="W3681" t="n">
        <v>14</v>
      </c>
      <c r="X3681" t="n">
        <v>22.42655303879794</v>
      </c>
      <c r="Y3681" t="n">
        <v>1</v>
      </c>
      <c r="Z3681" t="n">
        <v>4</v>
      </c>
      <c r="AA3681" t="n">
        <v>0</v>
      </c>
      <c r="AB3681" t="n">
        <v>4</v>
      </c>
      <c r="AC3681" t="n">
        <v>4</v>
      </c>
      <c r="AD3681" t="n">
        <v>0</v>
      </c>
      <c r="AE3681" t="n">
        <v>112200</v>
      </c>
      <c r="AF3681" t="n">
        <v>12865</v>
      </c>
      <c r="AG3681" t="n">
        <v>2122</v>
      </c>
      <c r="AH3681" t="inlineStr">
        <is>
          <t>PT. SINAR PADANG LESTARI - PPN (PDG)</t>
        </is>
      </c>
      <c r="AI3681" t="n">
        <v>2397</v>
      </c>
      <c r="AJ3681" t="inlineStr">
        <is>
          <t>N.CO</t>
        </is>
      </c>
      <c r="AK3681" t="n">
        <v>21</v>
      </c>
      <c r="AL3681" t="inlineStr">
        <is>
          <t>Miss Glam Damar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N.CO</t>
        </is>
      </c>
      <c r="B3682" s="2">
        <f>"8998824555146"</f>
        <v/>
      </c>
      <c r="C3682" t="inlineStr">
        <is>
          <t>N.CO Parfume Sun Kissed 100ml</t>
        </is>
      </c>
      <c r="D3682" t="inlineStr">
        <is>
          <t>Miss Glam Damar</t>
        </is>
      </c>
      <c r="E3682" t="n">
        <v>5</v>
      </c>
      <c r="F3682" t="n">
        <v>0.2002</v>
      </c>
      <c r="G3682" t="n">
        <v>1.82</v>
      </c>
      <c r="H3682" t="n">
        <v>3</v>
      </c>
      <c r="I3682" t="n">
        <v>11</v>
      </c>
      <c r="J3682" t="n">
        <v>3</v>
      </c>
      <c r="K3682" t="n">
        <v>0</v>
      </c>
      <c r="L3682" t="n">
        <v>28050</v>
      </c>
      <c r="M3682" t="n">
        <v>33000</v>
      </c>
      <c r="N3682" t="n">
        <v>91</v>
      </c>
      <c r="O3682" t="n">
        <v>0.91</v>
      </c>
      <c r="P3682" t="n">
        <v>1</v>
      </c>
      <c r="Q3682" t="n">
        <v>0.12</v>
      </c>
      <c r="R3682" t="n">
        <v>3</v>
      </c>
      <c r="S3682" t="n">
        <v>6606.6</v>
      </c>
      <c r="T3682" t="n">
        <v>20</v>
      </c>
      <c r="U3682" t="n">
        <v>21</v>
      </c>
      <c r="V3682" t="n">
        <v>30</v>
      </c>
      <c r="W3682" t="n">
        <v>7</v>
      </c>
      <c r="X3682" t="n">
        <v>24.97502497502497</v>
      </c>
      <c r="Y3682" t="n">
        <v>1</v>
      </c>
      <c r="Z3682" t="n">
        <v>2</v>
      </c>
      <c r="AA3682" t="n">
        <v>0</v>
      </c>
      <c r="AB3682" t="n">
        <v>2</v>
      </c>
      <c r="AC3682" t="n">
        <v>3</v>
      </c>
      <c r="AD3682" t="n">
        <v>0</v>
      </c>
      <c r="AE3682" t="n">
        <v>84150</v>
      </c>
      <c r="AF3682" t="n">
        <v>12865</v>
      </c>
      <c r="AG3682" t="n">
        <v>2122</v>
      </c>
      <c r="AH3682" t="inlineStr">
        <is>
          <t>PT. SINAR PADANG LESTARI - PPN (PDG)</t>
        </is>
      </c>
      <c r="AI3682" t="n">
        <v>2397</v>
      </c>
      <c r="AJ3682" t="inlineStr">
        <is>
          <t>N.CO</t>
        </is>
      </c>
      <c r="AK3682" t="n">
        <v>21</v>
      </c>
      <c r="AL3682" t="inlineStr">
        <is>
          <t>Miss Glam Damar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NAISDAY</t>
        </is>
      </c>
      <c r="B3683" s="2">
        <f>"30400260444"</f>
        <v/>
      </c>
      <c r="C3683" t="inlineStr">
        <is>
          <t>NAISDAY Dance Floor Extrait De Parfum 30ml</t>
        </is>
      </c>
      <c r="D3683" t="inlineStr">
        <is>
          <t>Miss Glam Damar</t>
        </is>
      </c>
      <c r="E3683" t="n">
        <v>27</v>
      </c>
      <c r="F3683" t="n">
        <v>0.1092</v>
      </c>
      <c r="G3683" t="n">
        <v>2.73</v>
      </c>
      <c r="H3683" t="n">
        <v>2</v>
      </c>
      <c r="I3683" t="n">
        <v>16</v>
      </c>
      <c r="J3683" t="n">
        <v>1</v>
      </c>
      <c r="K3683" t="n">
        <v>0</v>
      </c>
      <c r="L3683" t="n">
        <v>83250</v>
      </c>
      <c r="M3683" t="n">
        <v>99000</v>
      </c>
      <c r="N3683" t="n">
        <v>91</v>
      </c>
      <c r="O3683" t="n">
        <v>0.91</v>
      </c>
      <c r="P3683" t="n">
        <v>1</v>
      </c>
      <c r="Q3683" t="n">
        <v>0.32</v>
      </c>
      <c r="R3683" t="n">
        <v>3</v>
      </c>
      <c r="S3683" t="n">
        <v>10810.8</v>
      </c>
      <c r="T3683" t="n">
        <v>44</v>
      </c>
      <c r="U3683" t="n">
        <v>45</v>
      </c>
      <c r="V3683" t="n">
        <v>30</v>
      </c>
      <c r="W3683" t="n">
        <v>4</v>
      </c>
      <c r="X3683" t="n">
        <v>247.2527472527472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610</v>
      </c>
      <c r="AG3683" t="n">
        <v>107</v>
      </c>
      <c r="AH3683" t="inlineStr">
        <is>
          <t xml:space="preserve">CV. DAHLIA - PPN (PDG) </t>
        </is>
      </c>
      <c r="AI3683" t="n">
        <v>2361</v>
      </c>
      <c r="AJ3683" t="inlineStr">
        <is>
          <t>NAISDAY</t>
        </is>
      </c>
      <c r="AK3683" t="n">
        <v>21</v>
      </c>
      <c r="AL3683" t="inlineStr">
        <is>
          <t>Miss Glam Damar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NAISDAY</t>
        </is>
      </c>
      <c r="B3684" s="2">
        <f>"30400260030"</f>
        <v/>
      </c>
      <c r="C3684" t="inlineStr">
        <is>
          <t>NAISDAY One Night Stand O.N.S Extrait De Parfum 30ml</t>
        </is>
      </c>
      <c r="D3684" t="inlineStr">
        <is>
          <t>Miss Glam Damar</t>
        </is>
      </c>
      <c r="E3684" t="n">
        <v>17</v>
      </c>
      <c r="F3684" t="n">
        <v>0.7280000000000001</v>
      </c>
      <c r="G3684" t="n">
        <v>3.64</v>
      </c>
      <c r="H3684" t="n">
        <v>2</v>
      </c>
      <c r="I3684" t="n">
        <v>16</v>
      </c>
      <c r="J3684" t="n">
        <v>1</v>
      </c>
      <c r="K3684" t="n">
        <v>0</v>
      </c>
      <c r="L3684" t="n">
        <v>83242</v>
      </c>
      <c r="M3684" t="n">
        <v>99000</v>
      </c>
      <c r="N3684" t="n">
        <v>91</v>
      </c>
      <c r="O3684" t="n">
        <v>0.91</v>
      </c>
      <c r="P3684" t="n">
        <v>1</v>
      </c>
      <c r="Q3684" t="n">
        <v>0.58</v>
      </c>
      <c r="R3684" t="n">
        <v>3</v>
      </c>
      <c r="S3684" t="n">
        <v>72072.00000000001</v>
      </c>
      <c r="T3684" t="n">
        <v>57</v>
      </c>
      <c r="U3684" t="n">
        <v>59</v>
      </c>
      <c r="V3684" t="n">
        <v>30</v>
      </c>
      <c r="W3684" t="n">
        <v>22</v>
      </c>
      <c r="X3684" t="n">
        <v>23.35164835164835</v>
      </c>
      <c r="Y3684" t="n">
        <v>1</v>
      </c>
      <c r="Z3684" t="n">
        <v>5</v>
      </c>
      <c r="AA3684" t="n">
        <v>0</v>
      </c>
      <c r="AB3684" t="n">
        <v>5</v>
      </c>
      <c r="AC3684" t="n">
        <v>5</v>
      </c>
      <c r="AD3684" t="n">
        <v>0</v>
      </c>
      <c r="AE3684" t="n">
        <v>416210</v>
      </c>
      <c r="AF3684" t="n">
        <v>610</v>
      </c>
      <c r="AG3684" t="n">
        <v>107</v>
      </c>
      <c r="AH3684" t="inlineStr">
        <is>
          <t xml:space="preserve">CV. DAHLIA - PPN (PDG) </t>
        </is>
      </c>
      <c r="AI3684" t="n">
        <v>2361</v>
      </c>
      <c r="AJ3684" t="inlineStr">
        <is>
          <t>NAISDAY</t>
        </is>
      </c>
      <c r="AK3684" t="n">
        <v>21</v>
      </c>
      <c r="AL3684" t="inlineStr">
        <is>
          <t>Miss Glam Damar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NAISDAY</t>
        </is>
      </c>
      <c r="B3685" s="2">
        <f>"30400260227"</f>
        <v/>
      </c>
      <c r="C3685" t="inlineStr">
        <is>
          <t>NAISDAY Santorini Extrait De Parfum 30ml</t>
        </is>
      </c>
      <c r="D3685" t="inlineStr">
        <is>
          <t>Miss Glam Damar</t>
        </is>
      </c>
      <c r="E3685" t="n">
        <v>47</v>
      </c>
      <c r="F3685" t="n">
        <v>0.8918</v>
      </c>
      <c r="G3685" t="n">
        <v>5.46</v>
      </c>
      <c r="H3685" t="n">
        <v>2</v>
      </c>
      <c r="I3685" t="n">
        <v>16</v>
      </c>
      <c r="J3685" t="n">
        <v>1</v>
      </c>
      <c r="K3685" t="n">
        <v>0</v>
      </c>
      <c r="L3685" t="n">
        <v>83250</v>
      </c>
      <c r="M3685" t="n">
        <v>99000</v>
      </c>
      <c r="N3685" t="n">
        <v>91</v>
      </c>
      <c r="O3685" t="n">
        <v>0.91</v>
      </c>
      <c r="P3685" t="n">
        <v>1</v>
      </c>
      <c r="Q3685" t="n">
        <v>1.1</v>
      </c>
      <c r="R3685" t="n">
        <v>4</v>
      </c>
      <c r="S3685" t="n">
        <v>88288.2</v>
      </c>
      <c r="T3685" t="n">
        <v>86</v>
      </c>
      <c r="U3685" t="n">
        <v>88</v>
      </c>
      <c r="V3685" t="n">
        <v>30</v>
      </c>
      <c r="W3685" t="n">
        <v>27</v>
      </c>
      <c r="X3685" t="n">
        <v>52.70239964117515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610</v>
      </c>
      <c r="AG3685" t="n">
        <v>107</v>
      </c>
      <c r="AH3685" t="inlineStr">
        <is>
          <t xml:space="preserve">CV. DAHLIA - PPN (PDG) </t>
        </is>
      </c>
      <c r="AI3685" t="n">
        <v>2361</v>
      </c>
      <c r="AJ3685" t="inlineStr">
        <is>
          <t>NAISDAY</t>
        </is>
      </c>
      <c r="AK3685" t="n">
        <v>21</v>
      </c>
      <c r="AL3685" t="inlineStr">
        <is>
          <t>Miss Glam Damar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NAISDAY</t>
        </is>
      </c>
      <c r="B3686" s="2">
        <f>"30400260320"</f>
        <v/>
      </c>
      <c r="C3686" t="inlineStr">
        <is>
          <t>NAISDAY Scandalicious Extrait De Parfum 30ml</t>
        </is>
      </c>
      <c r="D3686" t="inlineStr">
        <is>
          <t>Miss Glam Damar</t>
        </is>
      </c>
      <c r="E3686" t="n">
        <v>19</v>
      </c>
      <c r="F3686" t="n">
        <v>0.2184</v>
      </c>
      <c r="G3686" t="n">
        <v>0.91</v>
      </c>
      <c r="H3686" t="n">
        <v>2</v>
      </c>
      <c r="I3686" t="n">
        <v>16</v>
      </c>
      <c r="J3686" t="n">
        <v>1</v>
      </c>
      <c r="K3686" t="n">
        <v>0</v>
      </c>
      <c r="L3686" t="n">
        <v>83250</v>
      </c>
      <c r="M3686" t="n">
        <v>99000</v>
      </c>
      <c r="N3686" t="n">
        <v>91</v>
      </c>
      <c r="O3686" t="n">
        <v>0.91</v>
      </c>
      <c r="P3686" t="n">
        <v>1</v>
      </c>
      <c r="Q3686" t="n">
        <v>0.27</v>
      </c>
      <c r="R3686" t="n">
        <v>3</v>
      </c>
      <c r="S3686" t="n">
        <v>21621.6</v>
      </c>
      <c r="T3686" t="n">
        <v>15</v>
      </c>
      <c r="U3686" t="n">
        <v>16</v>
      </c>
      <c r="V3686" t="n">
        <v>30</v>
      </c>
      <c r="W3686" t="n">
        <v>7</v>
      </c>
      <c r="X3686" t="n">
        <v>86.99633699633699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610</v>
      </c>
      <c r="AG3686" t="n">
        <v>107</v>
      </c>
      <c r="AH3686" t="inlineStr">
        <is>
          <t xml:space="preserve">CV. DAHLIA - PPN (PDG) </t>
        </is>
      </c>
      <c r="AI3686" t="n">
        <v>2361</v>
      </c>
      <c r="AJ3686" t="inlineStr">
        <is>
          <t>NAISDAY</t>
        </is>
      </c>
      <c r="AK3686" t="n">
        <v>21</v>
      </c>
      <c r="AL3686" t="inlineStr">
        <is>
          <t>Miss Glam Damar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NAISDAY</t>
        </is>
      </c>
      <c r="B3687" s="2">
        <f>"30400259932"</f>
        <v/>
      </c>
      <c r="C3687" t="inlineStr">
        <is>
          <t>NAISDAY Thousand Kisses Extrait De Parfum 30ml</t>
        </is>
      </c>
      <c r="D3687" t="inlineStr">
        <is>
          <t>Miss Glam Damar</t>
        </is>
      </c>
      <c r="E3687" t="n">
        <v>7</v>
      </c>
      <c r="F3687" t="n">
        <v>0.6279</v>
      </c>
      <c r="G3687" t="n">
        <v>2.73</v>
      </c>
      <c r="H3687" t="n">
        <v>2</v>
      </c>
      <c r="I3687" t="n">
        <v>16</v>
      </c>
      <c r="J3687" t="n">
        <v>1</v>
      </c>
      <c r="K3687" t="n">
        <v>0</v>
      </c>
      <c r="L3687" t="n">
        <v>83250</v>
      </c>
      <c r="M3687" t="n">
        <v>99000</v>
      </c>
      <c r="N3687" t="n">
        <v>91</v>
      </c>
      <c r="O3687" t="n">
        <v>0.91</v>
      </c>
      <c r="P3687" t="n">
        <v>1</v>
      </c>
      <c r="Q3687" t="n">
        <v>0.5600000000000001</v>
      </c>
      <c r="R3687" t="n">
        <v>3</v>
      </c>
      <c r="S3687" t="n">
        <v>62162.1</v>
      </c>
      <c r="T3687" t="n">
        <v>43</v>
      </c>
      <c r="U3687" t="n">
        <v>45</v>
      </c>
      <c r="V3687" t="n">
        <v>30</v>
      </c>
      <c r="W3687" t="n">
        <v>19</v>
      </c>
      <c r="X3687" t="n">
        <v>11.14827201783723</v>
      </c>
      <c r="Y3687" t="n">
        <v>1</v>
      </c>
      <c r="Z3687" t="n">
        <v>12</v>
      </c>
      <c r="AA3687" t="n">
        <v>4</v>
      </c>
      <c r="AB3687" t="n">
        <v>8</v>
      </c>
      <c r="AC3687" t="n">
        <v>8</v>
      </c>
      <c r="AD3687" t="n">
        <v>333000</v>
      </c>
      <c r="AE3687" t="n">
        <v>666000</v>
      </c>
      <c r="AF3687" t="n">
        <v>610</v>
      </c>
      <c r="AG3687" t="n">
        <v>107</v>
      </c>
      <c r="AH3687" t="inlineStr">
        <is>
          <t xml:space="preserve">CV. DAHLIA - PPN (PDG) </t>
        </is>
      </c>
      <c r="AI3687" t="n">
        <v>2361</v>
      </c>
      <c r="AJ3687" t="inlineStr">
        <is>
          <t>NAISDAY</t>
        </is>
      </c>
      <c r="AK3687" t="n">
        <v>21</v>
      </c>
      <c r="AL3687" t="inlineStr">
        <is>
          <t>Miss Glam Damar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NAISDAY</t>
        </is>
      </c>
      <c r="B3688" s="2">
        <f>"30400260105"</f>
        <v/>
      </c>
      <c r="C3688" t="inlineStr">
        <is>
          <t>NAISDAY Wonka Extrait De Parfum 30ml</t>
        </is>
      </c>
      <c r="D3688" t="inlineStr">
        <is>
          <t>Miss Glam Damar</t>
        </is>
      </c>
      <c r="E3688" t="n">
        <v>11</v>
      </c>
      <c r="F3688" t="n">
        <v>0.3549</v>
      </c>
      <c r="G3688" t="n">
        <v>1.82</v>
      </c>
      <c r="H3688" t="n">
        <v>2</v>
      </c>
      <c r="I3688" t="n">
        <v>16</v>
      </c>
      <c r="J3688" t="n">
        <v>1</v>
      </c>
      <c r="K3688" t="n">
        <v>0</v>
      </c>
      <c r="L3688" t="n">
        <v>83250</v>
      </c>
      <c r="M3688" t="n">
        <v>99000</v>
      </c>
      <c r="N3688" t="n">
        <v>91</v>
      </c>
      <c r="O3688" t="n">
        <v>0.91</v>
      </c>
      <c r="P3688" t="n">
        <v>1</v>
      </c>
      <c r="Q3688" t="n">
        <v>0.14</v>
      </c>
      <c r="R3688" t="n">
        <v>1</v>
      </c>
      <c r="S3688" t="n">
        <v>35135.10000000001</v>
      </c>
      <c r="T3688" t="n">
        <v>29</v>
      </c>
      <c r="U3688" t="n">
        <v>30</v>
      </c>
      <c r="V3688" t="n">
        <v>30</v>
      </c>
      <c r="W3688" t="n">
        <v>11</v>
      </c>
      <c r="X3688" t="n">
        <v>30.99464637926176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610</v>
      </c>
      <c r="AG3688" t="n">
        <v>107</v>
      </c>
      <c r="AH3688" t="inlineStr">
        <is>
          <t xml:space="preserve">CV. DAHLIA - PPN (PDG) </t>
        </is>
      </c>
      <c r="AI3688" t="n">
        <v>2361</v>
      </c>
      <c r="AJ3688" t="inlineStr">
        <is>
          <t>NAISDAY</t>
        </is>
      </c>
      <c r="AK3688" t="n">
        <v>21</v>
      </c>
      <c r="AL3688" t="inlineStr">
        <is>
          <t>Miss Glam Damar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NATESH</t>
        </is>
      </c>
      <c r="B3689" s="2">
        <f>"6941228102296"</f>
        <v/>
      </c>
      <c r="C3689" t="inlineStr">
        <is>
          <t>NATESH Day Sanitary 10 Pads</t>
        </is>
      </c>
      <c r="D3689" t="inlineStr">
        <is>
          <t>Miss Glam Damar</t>
        </is>
      </c>
      <c r="E3689" t="n">
        <v>12</v>
      </c>
      <c r="F3689" t="n">
        <v>0.0728</v>
      </c>
      <c r="G3689" t="n">
        <v>0.91</v>
      </c>
      <c r="H3689" t="n">
        <v>3</v>
      </c>
      <c r="I3689" t="n">
        <v>5</v>
      </c>
      <c r="J3689" t="n">
        <v>3</v>
      </c>
      <c r="K3689" t="n">
        <v>0</v>
      </c>
      <c r="L3689" t="n">
        <v>40000</v>
      </c>
      <c r="M3689" t="n">
        <v>47500</v>
      </c>
      <c r="N3689" t="n">
        <v>91</v>
      </c>
      <c r="O3689" t="n">
        <v>0.91</v>
      </c>
      <c r="P3689" t="n">
        <v>1</v>
      </c>
      <c r="Q3689" t="n">
        <v>0.05</v>
      </c>
      <c r="R3689" t="n">
        <v>1</v>
      </c>
      <c r="S3689" t="n">
        <v>3458</v>
      </c>
      <c r="T3689" t="n">
        <v>5</v>
      </c>
      <c r="U3689" t="n">
        <v>6</v>
      </c>
      <c r="V3689" t="n">
        <v>30</v>
      </c>
      <c r="W3689" t="n">
        <v>3</v>
      </c>
      <c r="X3689" t="n">
        <v>164.8351648351648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1966</v>
      </c>
      <c r="AG3689" t="n">
        <v>2872</v>
      </c>
      <c r="AH3689" t="inlineStr">
        <is>
          <t>NATESH - NON PPN (PDG)</t>
        </is>
      </c>
      <c r="AI3689" t="n">
        <v>1774</v>
      </c>
      <c r="AJ3689" t="inlineStr">
        <is>
          <t>NATESH</t>
        </is>
      </c>
      <c r="AK3689" t="n">
        <v>21</v>
      </c>
      <c r="AL3689" t="inlineStr">
        <is>
          <t>Miss Glam Damar</t>
        </is>
      </c>
      <c r="AM3689" t="n">
        <v>5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NATESH</t>
        </is>
      </c>
      <c r="B3690" s="2">
        <f>"6941228102319"</f>
        <v/>
      </c>
      <c r="C3690" t="inlineStr">
        <is>
          <t>NATESH Day Sanitery 20 Pantyliners</t>
        </is>
      </c>
      <c r="D3690" t="inlineStr">
        <is>
          <t>Miss Glam Damar</t>
        </is>
      </c>
      <c r="E3690" t="n">
        <v>40</v>
      </c>
      <c r="F3690" t="n">
        <v>0.1729</v>
      </c>
      <c r="G3690" t="n">
        <v>3.64</v>
      </c>
      <c r="H3690" t="n">
        <v>3</v>
      </c>
      <c r="I3690" t="n">
        <v>5</v>
      </c>
      <c r="J3690" t="n">
        <v>3</v>
      </c>
      <c r="K3690" t="n">
        <v>0</v>
      </c>
      <c r="L3690" t="n">
        <v>35000</v>
      </c>
      <c r="M3690" t="n">
        <v>41500</v>
      </c>
      <c r="N3690" t="n">
        <v>91</v>
      </c>
      <c r="O3690" t="n">
        <v>0.91</v>
      </c>
      <c r="P3690" t="n">
        <v>1</v>
      </c>
      <c r="Q3690" t="n">
        <v>0.17</v>
      </c>
      <c r="R3690" t="n">
        <v>2</v>
      </c>
      <c r="S3690" t="n">
        <v>7175.35</v>
      </c>
      <c r="T3690" t="n">
        <v>18</v>
      </c>
      <c r="U3690" t="n">
        <v>19</v>
      </c>
      <c r="V3690" t="n">
        <v>30</v>
      </c>
      <c r="W3690" t="n">
        <v>6</v>
      </c>
      <c r="X3690" t="n">
        <v>231.3475997686524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1966</v>
      </c>
      <c r="AG3690" t="n">
        <v>2872</v>
      </c>
      <c r="AH3690" t="inlineStr">
        <is>
          <t>NATESH - NON PPN (PDG)</t>
        </is>
      </c>
      <c r="AI3690" t="n">
        <v>1774</v>
      </c>
      <c r="AJ3690" t="inlineStr">
        <is>
          <t>NATESH</t>
        </is>
      </c>
      <c r="AK3690" t="n">
        <v>21</v>
      </c>
      <c r="AL3690" t="inlineStr">
        <is>
          <t>Miss Glam Damar</t>
        </is>
      </c>
      <c r="AM3690" t="n">
        <v>5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NATESH</t>
        </is>
      </c>
      <c r="B3691" s="2">
        <f>"6941228102302"</f>
        <v/>
      </c>
      <c r="C3691" t="inlineStr">
        <is>
          <t>NATESH Night Sanitary 10 Pads</t>
        </is>
      </c>
      <c r="D3691" t="inlineStr">
        <is>
          <t>Miss Glam Damar</t>
        </is>
      </c>
      <c r="E3691" t="n">
        <v>10</v>
      </c>
      <c r="F3691" t="n">
        <v>0.0728</v>
      </c>
      <c r="G3691" t="n">
        <v>0.91</v>
      </c>
      <c r="H3691" t="n">
        <v>3</v>
      </c>
      <c r="I3691" t="n">
        <v>5</v>
      </c>
      <c r="J3691" t="n">
        <v>3</v>
      </c>
      <c r="K3691" t="n">
        <v>0</v>
      </c>
      <c r="L3691" t="n">
        <v>47000</v>
      </c>
      <c r="M3691" t="n">
        <v>55500</v>
      </c>
      <c r="N3691" t="n">
        <v>91</v>
      </c>
      <c r="O3691" t="n">
        <v>0.91</v>
      </c>
      <c r="P3691" t="n">
        <v>1</v>
      </c>
      <c r="Q3691" t="n">
        <v>0.08</v>
      </c>
      <c r="R3691" t="n">
        <v>2</v>
      </c>
      <c r="S3691" t="n">
        <v>4040.4</v>
      </c>
      <c r="T3691" t="n">
        <v>5</v>
      </c>
      <c r="U3691" t="n">
        <v>6</v>
      </c>
      <c r="V3691" t="n">
        <v>30</v>
      </c>
      <c r="W3691" t="n">
        <v>3</v>
      </c>
      <c r="X3691" t="n">
        <v>137.3626373626373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1966</v>
      </c>
      <c r="AG3691" t="n">
        <v>2872</v>
      </c>
      <c r="AH3691" t="inlineStr">
        <is>
          <t>NATESH - NON PPN (PDG)</t>
        </is>
      </c>
      <c r="AI3691" t="n">
        <v>1774</v>
      </c>
      <c r="AJ3691" t="inlineStr">
        <is>
          <t>NATESH</t>
        </is>
      </c>
      <c r="AK3691" t="n">
        <v>21</v>
      </c>
      <c r="AL3691" t="inlineStr">
        <is>
          <t>Miss Glam Damar</t>
        </is>
      </c>
      <c r="AM3691" t="n">
        <v>5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NATUR</t>
        </is>
      </c>
      <c r="B3692" s="2">
        <f>"8992928060247"</f>
        <v/>
      </c>
      <c r="C3692" t="inlineStr">
        <is>
          <t>NATUR Conditioner Ginseng &amp; Olive Oil Moisturize 165ml</t>
        </is>
      </c>
      <c r="D3692" t="inlineStr">
        <is>
          <t>Miss Glam Damar</t>
        </is>
      </c>
      <c r="E3692" t="n">
        <v>10</v>
      </c>
      <c r="F3692" t="n">
        <v>0.3367</v>
      </c>
      <c r="G3692" t="n">
        <v>1.82</v>
      </c>
      <c r="H3692" t="n">
        <v>2</v>
      </c>
      <c r="I3692" t="n">
        <v>7</v>
      </c>
      <c r="J3692" t="n">
        <v>3</v>
      </c>
      <c r="K3692" t="n">
        <v>0</v>
      </c>
      <c r="L3692" t="n">
        <v>29586</v>
      </c>
      <c r="M3692" t="n">
        <v>35500</v>
      </c>
      <c r="N3692" t="n">
        <v>91</v>
      </c>
      <c r="O3692" t="n">
        <v>0.91</v>
      </c>
      <c r="P3692" t="n">
        <v>1</v>
      </c>
      <c r="Q3692" t="n">
        <v>0.31</v>
      </c>
      <c r="R3692" t="n">
        <v>3</v>
      </c>
      <c r="S3692" t="n">
        <v>11952.85</v>
      </c>
      <c r="T3692" t="n">
        <v>13</v>
      </c>
      <c r="U3692" t="n">
        <v>14</v>
      </c>
      <c r="V3692" t="n">
        <v>30</v>
      </c>
      <c r="W3692" t="n">
        <v>11</v>
      </c>
      <c r="X3692" t="n">
        <v>29.7000297000297</v>
      </c>
      <c r="Y3692" t="n">
        <v>1</v>
      </c>
      <c r="Z3692" t="n">
        <v>1</v>
      </c>
      <c r="AA3692" t="n">
        <v>0</v>
      </c>
      <c r="AB3692" t="n">
        <v>1</v>
      </c>
      <c r="AC3692" t="n">
        <v>3</v>
      </c>
      <c r="AD3692" t="n">
        <v>0</v>
      </c>
      <c r="AE3692" t="n">
        <v>88758</v>
      </c>
      <c r="AF3692" t="n">
        <v>1792</v>
      </c>
      <c r="AG3692" t="n">
        <v>2044</v>
      </c>
      <c r="AH3692" t="inlineStr">
        <is>
          <t>CV. WINEMERI BERKARYA - PPN (PDG)</t>
        </is>
      </c>
      <c r="AI3692" t="n">
        <v>112</v>
      </c>
      <c r="AJ3692" t="inlineStr">
        <is>
          <t>NATUR</t>
        </is>
      </c>
      <c r="AK3692" t="n">
        <v>21</v>
      </c>
      <c r="AL3692" t="inlineStr">
        <is>
          <t>Miss Glam Damar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NATUR</t>
        </is>
      </c>
      <c r="B3693" s="2">
        <f>"8992928060872"</f>
        <v/>
      </c>
      <c r="C3693" t="inlineStr">
        <is>
          <t>NATUR Conditioner Moringa Oleifera&amp;Sweet Almond Oil 165ml</t>
        </is>
      </c>
      <c r="D3693" t="inlineStr">
        <is>
          <t>Miss Glam Damar</t>
        </is>
      </c>
      <c r="E3693" t="n">
        <v>12</v>
      </c>
      <c r="F3693" t="n">
        <v>0.1365</v>
      </c>
      <c r="G3693" t="n">
        <v>0.91</v>
      </c>
      <c r="H3693" t="n">
        <v>2</v>
      </c>
      <c r="I3693" t="n">
        <v>7</v>
      </c>
      <c r="J3693" t="n">
        <v>3</v>
      </c>
      <c r="K3693" t="n">
        <v>0</v>
      </c>
      <c r="L3693" t="n">
        <v>29388</v>
      </c>
      <c r="M3693" t="n">
        <v>36500</v>
      </c>
      <c r="N3693" t="n">
        <v>91</v>
      </c>
      <c r="O3693" t="n">
        <v>0.91</v>
      </c>
      <c r="P3693" t="n">
        <v>1</v>
      </c>
      <c r="Q3693" t="n">
        <v>0.14</v>
      </c>
      <c r="R3693" t="n">
        <v>2</v>
      </c>
      <c r="S3693" t="n">
        <v>4982.25</v>
      </c>
      <c r="T3693" t="n">
        <v>7</v>
      </c>
      <c r="U3693" t="n">
        <v>8</v>
      </c>
      <c r="V3693" t="n">
        <v>30</v>
      </c>
      <c r="W3693" t="n">
        <v>5</v>
      </c>
      <c r="X3693" t="n">
        <v>87.91208791208791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1792</v>
      </c>
      <c r="AG3693" t="n">
        <v>2044</v>
      </c>
      <c r="AH3693" t="inlineStr">
        <is>
          <t>CV. WINEMERI BERKARYA - PPN (PDG)</t>
        </is>
      </c>
      <c r="AI3693" t="n">
        <v>112</v>
      </c>
      <c r="AJ3693" t="inlineStr">
        <is>
          <t>NATUR</t>
        </is>
      </c>
      <c r="AK3693" t="n">
        <v>21</v>
      </c>
      <c r="AL3693" t="inlineStr">
        <is>
          <t>Miss Glam Damar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NATUR</t>
        </is>
      </c>
      <c r="B3694" s="2">
        <f>"8992928050286"</f>
        <v/>
      </c>
      <c r="C3694" t="inlineStr">
        <is>
          <t>NATUR Conditioner Olive Oil &amp; Aloe Vera 165ml</t>
        </is>
      </c>
      <c r="D3694" t="inlineStr">
        <is>
          <t>Miss Glam Damar</t>
        </is>
      </c>
      <c r="E3694" t="n">
        <v>5</v>
      </c>
      <c r="F3694" t="n">
        <v>0.1547</v>
      </c>
      <c r="G3694" t="n">
        <v>1.82</v>
      </c>
      <c r="H3694" t="n">
        <v>2</v>
      </c>
      <c r="I3694" t="n">
        <v>7</v>
      </c>
      <c r="J3694" t="n">
        <v>3</v>
      </c>
      <c r="K3694" t="n">
        <v>0</v>
      </c>
      <c r="L3694" t="n">
        <v>29609</v>
      </c>
      <c r="M3694" t="n">
        <v>34500</v>
      </c>
      <c r="N3694" t="n">
        <v>91</v>
      </c>
      <c r="O3694" t="n">
        <v>0.91</v>
      </c>
      <c r="P3694" t="n">
        <v>1</v>
      </c>
      <c r="Q3694" t="n">
        <v>0.07000000000000001</v>
      </c>
      <c r="R3694" t="n">
        <v>1</v>
      </c>
      <c r="S3694" t="n">
        <v>5337.150000000001</v>
      </c>
      <c r="T3694" t="n">
        <v>13</v>
      </c>
      <c r="U3694" t="n">
        <v>14</v>
      </c>
      <c r="V3694" t="n">
        <v>30</v>
      </c>
      <c r="W3694" t="n">
        <v>5</v>
      </c>
      <c r="X3694" t="n">
        <v>32.32062055591467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1792</v>
      </c>
      <c r="AG3694" t="n">
        <v>2044</v>
      </c>
      <c r="AH3694" t="inlineStr">
        <is>
          <t>CV. WINEMERI BERKARYA - PPN (PDG)</t>
        </is>
      </c>
      <c r="AI3694" t="n">
        <v>112</v>
      </c>
      <c r="AJ3694" t="inlineStr">
        <is>
          <t>NATUR</t>
        </is>
      </c>
      <c r="AK3694" t="n">
        <v>21</v>
      </c>
      <c r="AL3694" t="inlineStr">
        <is>
          <t>Miss Glam Damar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NATUR</t>
        </is>
      </c>
      <c r="B3695" s="2">
        <f>"8992928061336"</f>
        <v/>
      </c>
      <c r="C3695" t="inlineStr">
        <is>
          <t>NATUR Hair Mask Nutritive Strength Ginseng Extract 15gr</t>
        </is>
      </c>
      <c r="D3695" t="inlineStr">
        <is>
          <t>Miss Glam Damar</t>
        </is>
      </c>
      <c r="E3695" t="n">
        <v>10</v>
      </c>
      <c r="F3695" t="n">
        <v>0.6188</v>
      </c>
      <c r="G3695" t="n">
        <v>2.73</v>
      </c>
      <c r="H3695" t="n">
        <v>2</v>
      </c>
      <c r="I3695" t="n">
        <v>7</v>
      </c>
      <c r="J3695" t="n">
        <v>3</v>
      </c>
      <c r="K3695" t="n">
        <v>0</v>
      </c>
      <c r="L3695" t="n">
        <v>6968</v>
      </c>
      <c r="M3695" t="n">
        <v>9500</v>
      </c>
      <c r="N3695" t="n">
        <v>91</v>
      </c>
      <c r="O3695" t="n">
        <v>0.91</v>
      </c>
      <c r="P3695" t="n">
        <v>1</v>
      </c>
      <c r="Q3695" t="n">
        <v>0.12</v>
      </c>
      <c r="R3695" t="n">
        <v>2</v>
      </c>
      <c r="S3695" t="n">
        <v>5878.6</v>
      </c>
      <c r="T3695" t="n">
        <v>18</v>
      </c>
      <c r="U3695" t="n">
        <v>20</v>
      </c>
      <c r="V3695" t="n">
        <v>30</v>
      </c>
      <c r="W3695" t="n">
        <v>19</v>
      </c>
      <c r="X3695" t="n">
        <v>16.16031027795734</v>
      </c>
      <c r="Y3695" t="n">
        <v>1</v>
      </c>
      <c r="Z3695" t="n">
        <v>9</v>
      </c>
      <c r="AA3695" t="n">
        <v>0</v>
      </c>
      <c r="AB3695" t="n">
        <v>9</v>
      </c>
      <c r="AC3695" t="n">
        <v>9</v>
      </c>
      <c r="AD3695" t="n">
        <v>0</v>
      </c>
      <c r="AE3695" t="n">
        <v>62712</v>
      </c>
      <c r="AF3695" t="n">
        <v>1792</v>
      </c>
      <c r="AG3695" t="n">
        <v>2044</v>
      </c>
      <c r="AH3695" t="inlineStr">
        <is>
          <t>CV. WINEMERI BERKARYA - PPN (PDG)</t>
        </is>
      </c>
      <c r="AI3695" t="n">
        <v>112</v>
      </c>
      <c r="AJ3695" t="inlineStr">
        <is>
          <t>NATUR</t>
        </is>
      </c>
      <c r="AK3695" t="n">
        <v>21</v>
      </c>
      <c r="AL3695" t="inlineStr">
        <is>
          <t>Miss Glam Damar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NATUR</t>
        </is>
      </c>
      <c r="B3696" s="2">
        <f>"8992928061633"</f>
        <v/>
      </c>
      <c r="C3696" t="inlineStr">
        <is>
          <t>NATUR Hair Mask Treatment Olive Oil &amp; Vitamin E15gr</t>
        </is>
      </c>
      <c r="D3696" t="inlineStr">
        <is>
          <t>Miss Glam Damar</t>
        </is>
      </c>
      <c r="E3696" t="n">
        <v>7</v>
      </c>
      <c r="F3696" t="n">
        <v>0.3822</v>
      </c>
      <c r="G3696" t="n">
        <v>1.82</v>
      </c>
      <c r="H3696" t="n">
        <v>2</v>
      </c>
      <c r="I3696" t="n">
        <v>7</v>
      </c>
      <c r="J3696" t="n">
        <v>3</v>
      </c>
      <c r="K3696" t="n">
        <v>0</v>
      </c>
      <c r="L3696" t="n">
        <v>6994</v>
      </c>
      <c r="M3696" t="n">
        <v>8500</v>
      </c>
      <c r="N3696" t="n">
        <v>91</v>
      </c>
      <c r="O3696" t="n">
        <v>0.91</v>
      </c>
      <c r="P3696" t="n">
        <v>1</v>
      </c>
      <c r="Q3696" t="n">
        <v>0.2</v>
      </c>
      <c r="R3696" t="n">
        <v>2</v>
      </c>
      <c r="S3696" t="n">
        <v>3248.7</v>
      </c>
      <c r="T3696" t="n">
        <v>12</v>
      </c>
      <c r="U3696" t="n">
        <v>13</v>
      </c>
      <c r="V3696" t="n">
        <v>30</v>
      </c>
      <c r="W3696" t="n">
        <v>12</v>
      </c>
      <c r="X3696" t="n">
        <v>18.31501831501832</v>
      </c>
      <c r="Y3696" t="n">
        <v>1</v>
      </c>
      <c r="Z3696" t="n">
        <v>5</v>
      </c>
      <c r="AA3696" t="n">
        <v>0</v>
      </c>
      <c r="AB3696" t="n">
        <v>5</v>
      </c>
      <c r="AC3696" t="n">
        <v>5</v>
      </c>
      <c r="AD3696" t="n">
        <v>0</v>
      </c>
      <c r="AE3696" t="n">
        <v>34970</v>
      </c>
      <c r="AF3696" t="n">
        <v>1792</v>
      </c>
      <c r="AG3696" t="n">
        <v>2044</v>
      </c>
      <c r="AH3696" t="inlineStr">
        <is>
          <t>CV. WINEMERI BERKARYA - PPN (PDG)</t>
        </is>
      </c>
      <c r="AI3696" t="n">
        <v>112</v>
      </c>
      <c r="AJ3696" t="inlineStr">
        <is>
          <t>NATUR</t>
        </is>
      </c>
      <c r="AK3696" t="n">
        <v>21</v>
      </c>
      <c r="AL3696" t="inlineStr">
        <is>
          <t>Miss Glam Damar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NATUR</t>
        </is>
      </c>
      <c r="B3697" s="2">
        <f>"8992928062081"</f>
        <v/>
      </c>
      <c r="C3697" t="inlineStr">
        <is>
          <t>NATUR Hair Recovery Serum Aloevera 60ml</t>
        </is>
      </c>
      <c r="D3697" t="inlineStr">
        <is>
          <t>Miss Glam Damar</t>
        </is>
      </c>
      <c r="E3697" t="n">
        <v>3</v>
      </c>
      <c r="F3697" t="n">
        <v>0.0182</v>
      </c>
      <c r="G3697" t="n">
        <v>0.91</v>
      </c>
      <c r="H3697" t="n">
        <v>2</v>
      </c>
      <c r="I3697" t="n">
        <v>7</v>
      </c>
      <c r="J3697" t="n">
        <v>3</v>
      </c>
      <c r="K3697" t="n">
        <v>0</v>
      </c>
      <c r="L3697" t="n">
        <v>54341</v>
      </c>
      <c r="M3697" t="n">
        <v>64000</v>
      </c>
      <c r="N3697" t="n">
        <v>91</v>
      </c>
      <c r="O3697" t="n">
        <v>0.91</v>
      </c>
      <c r="P3697" t="n">
        <v>1</v>
      </c>
      <c r="Q3697" t="n">
        <v>0.02</v>
      </c>
      <c r="R3697" t="n">
        <v>1</v>
      </c>
      <c r="S3697" t="n">
        <v>1164.8</v>
      </c>
      <c r="T3697" t="n">
        <v>7</v>
      </c>
      <c r="U3697" t="n">
        <v>8</v>
      </c>
      <c r="V3697" t="n">
        <v>30</v>
      </c>
      <c r="W3697" t="n">
        <v>1</v>
      </c>
      <c r="X3697" t="n">
        <v>164.8351648351648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1792</v>
      </c>
      <c r="AG3697" t="n">
        <v>2044</v>
      </c>
      <c r="AH3697" t="inlineStr">
        <is>
          <t>CV. WINEMERI BERKARYA - PPN (PDG)</t>
        </is>
      </c>
      <c r="AI3697" t="n">
        <v>112</v>
      </c>
      <c r="AJ3697" t="inlineStr">
        <is>
          <t>NATUR</t>
        </is>
      </c>
      <c r="AK3697" t="n">
        <v>21</v>
      </c>
      <c r="AL3697" t="inlineStr">
        <is>
          <t>Miss Glam Damar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NATUR</t>
        </is>
      </c>
      <c r="B3698" s="2">
        <f>"8992928063101"</f>
        <v/>
      </c>
      <c r="C3698" t="inlineStr">
        <is>
          <t>NATUR Hair Recovery Serum Ginseng 60ml</t>
        </is>
      </c>
      <c r="D3698" t="inlineStr">
        <is>
          <t>Miss Glam Damar</t>
        </is>
      </c>
      <c r="E3698" t="n">
        <v>3</v>
      </c>
      <c r="F3698" t="n">
        <v>0.1365</v>
      </c>
      <c r="G3698" t="n">
        <v>0.91</v>
      </c>
      <c r="H3698" t="n">
        <v>2</v>
      </c>
      <c r="I3698" t="n">
        <v>7</v>
      </c>
      <c r="J3698" t="n">
        <v>3</v>
      </c>
      <c r="K3698" t="n">
        <v>0</v>
      </c>
      <c r="L3698" t="n">
        <v>53762</v>
      </c>
      <c r="M3698" t="n">
        <v>63500</v>
      </c>
      <c r="N3698" t="n">
        <v>91</v>
      </c>
      <c r="O3698" t="n">
        <v>0.91</v>
      </c>
      <c r="P3698" t="n">
        <v>1</v>
      </c>
      <c r="Q3698" t="n">
        <v>0.02</v>
      </c>
      <c r="R3698" t="n">
        <v>1</v>
      </c>
      <c r="S3698" t="n">
        <v>8667.75</v>
      </c>
      <c r="T3698" t="n">
        <v>7</v>
      </c>
      <c r="U3698" t="n">
        <v>8</v>
      </c>
      <c r="V3698" t="n">
        <v>30</v>
      </c>
      <c r="W3698" t="n">
        <v>5</v>
      </c>
      <c r="X3698" t="n">
        <v>21.97802197802198</v>
      </c>
      <c r="Y3698" t="n">
        <v>1</v>
      </c>
      <c r="Z3698" t="n">
        <v>2</v>
      </c>
      <c r="AA3698" t="n">
        <v>0</v>
      </c>
      <c r="AB3698" t="n">
        <v>2</v>
      </c>
      <c r="AC3698" t="n">
        <v>3</v>
      </c>
      <c r="AD3698" t="n">
        <v>0</v>
      </c>
      <c r="AE3698" t="n">
        <v>161286</v>
      </c>
      <c r="AF3698" t="n">
        <v>1792</v>
      </c>
      <c r="AG3698" t="n">
        <v>2044</v>
      </c>
      <c r="AH3698" t="inlineStr">
        <is>
          <t>CV. WINEMERI BERKARYA - PPN (PDG)</t>
        </is>
      </c>
      <c r="AI3698" t="n">
        <v>112</v>
      </c>
      <c r="AJ3698" t="inlineStr">
        <is>
          <t>NATUR</t>
        </is>
      </c>
      <c r="AK3698" t="n">
        <v>21</v>
      </c>
      <c r="AL3698" t="inlineStr">
        <is>
          <t>Miss Glam Damar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NATUR</t>
        </is>
      </c>
      <c r="B3699" s="2">
        <f>"8992928062098"</f>
        <v/>
      </c>
      <c r="C3699" t="inlineStr">
        <is>
          <t>NATUR Hair Recovery Serum Olive Oil 60ml</t>
        </is>
      </c>
      <c r="D3699" t="inlineStr">
        <is>
          <t>Miss Glam Damar</t>
        </is>
      </c>
      <c r="E3699" t="n">
        <v>4</v>
      </c>
      <c r="F3699" t="n">
        <v>0.0273</v>
      </c>
      <c r="G3699" t="n">
        <v>0.91</v>
      </c>
      <c r="H3699" t="n">
        <v>2</v>
      </c>
      <c r="I3699" t="n">
        <v>7</v>
      </c>
      <c r="J3699" t="n">
        <v>3</v>
      </c>
      <c r="K3699" t="n">
        <v>0</v>
      </c>
      <c r="L3699" t="n">
        <v>53683</v>
      </c>
      <c r="M3699" t="n">
        <v>63500</v>
      </c>
      <c r="N3699" t="n">
        <v>91</v>
      </c>
      <c r="O3699" t="n">
        <v>0.91</v>
      </c>
      <c r="P3699" t="n">
        <v>1</v>
      </c>
      <c r="Q3699" t="n">
        <v>0.03</v>
      </c>
      <c r="R3699" t="n">
        <v>1</v>
      </c>
      <c r="S3699" t="n">
        <v>1733.55</v>
      </c>
      <c r="T3699" t="n">
        <v>7</v>
      </c>
      <c r="U3699" t="n">
        <v>8</v>
      </c>
      <c r="V3699" t="n">
        <v>30</v>
      </c>
      <c r="W3699" t="n">
        <v>1</v>
      </c>
      <c r="X3699" t="n">
        <v>146.5201465201465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1792</v>
      </c>
      <c r="AG3699" t="n">
        <v>2044</v>
      </c>
      <c r="AH3699" t="inlineStr">
        <is>
          <t>CV. WINEMERI BERKARYA - PPN (PDG)</t>
        </is>
      </c>
      <c r="AI3699" t="n">
        <v>112</v>
      </c>
      <c r="AJ3699" t="inlineStr">
        <is>
          <t>NATUR</t>
        </is>
      </c>
      <c r="AK3699" t="n">
        <v>21</v>
      </c>
      <c r="AL3699" t="inlineStr">
        <is>
          <t>Miss Glam Damar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NATUR</t>
        </is>
      </c>
      <c r="B3700" s="2">
        <f>"8992928061008"</f>
        <v/>
      </c>
      <c r="C3700" t="inlineStr">
        <is>
          <t>NATUR Hair Tonic Aloevera Extrach 90ml</t>
        </is>
      </c>
      <c r="D3700" t="inlineStr">
        <is>
          <t>Miss Glam Damar</t>
        </is>
      </c>
      <c r="E3700" t="n">
        <v>4</v>
      </c>
      <c r="F3700" t="n">
        <v>0.06370000000000001</v>
      </c>
      <c r="G3700" t="n">
        <v>0.91</v>
      </c>
      <c r="H3700" t="n">
        <v>2</v>
      </c>
      <c r="I3700" t="n">
        <v>7</v>
      </c>
      <c r="J3700" t="n">
        <v>3</v>
      </c>
      <c r="K3700" t="n">
        <v>0</v>
      </c>
      <c r="L3700" t="n">
        <v>33708</v>
      </c>
      <c r="M3700" t="n">
        <v>39700</v>
      </c>
      <c r="N3700" t="n">
        <v>91</v>
      </c>
      <c r="O3700" t="n">
        <v>0.91</v>
      </c>
      <c r="P3700" t="n">
        <v>1</v>
      </c>
      <c r="Q3700" t="n">
        <v>0.03</v>
      </c>
      <c r="R3700" t="n">
        <v>1</v>
      </c>
      <c r="S3700" t="n">
        <v>2528.89</v>
      </c>
      <c r="T3700" t="n">
        <v>7</v>
      </c>
      <c r="U3700" t="n">
        <v>8</v>
      </c>
      <c r="V3700" t="n">
        <v>30</v>
      </c>
      <c r="W3700" t="n">
        <v>2</v>
      </c>
      <c r="X3700" t="n">
        <v>62.79434850863422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1792</v>
      </c>
      <c r="AG3700" t="n">
        <v>2044</v>
      </c>
      <c r="AH3700" t="inlineStr">
        <is>
          <t>CV. WINEMERI BERKARYA - PPN (PDG)</t>
        </is>
      </c>
      <c r="AI3700" t="n">
        <v>112</v>
      </c>
      <c r="AJ3700" t="inlineStr">
        <is>
          <t>NATUR</t>
        </is>
      </c>
      <c r="AK3700" t="n">
        <v>21</v>
      </c>
      <c r="AL3700" t="inlineStr">
        <is>
          <t>Miss Glam Damar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NATUR</t>
        </is>
      </c>
      <c r="B3701" s="2">
        <f>"8992928811252"</f>
        <v/>
      </c>
      <c r="C3701" t="inlineStr">
        <is>
          <t>NATUR Hair Tonic Ginseng Extract 90ml</t>
        </is>
      </c>
      <c r="D3701" t="inlineStr">
        <is>
          <t>Miss Glam Damar</t>
        </is>
      </c>
      <c r="E3701" t="n">
        <v>5</v>
      </c>
      <c r="F3701" t="n">
        <v>0.2639</v>
      </c>
      <c r="G3701" t="n">
        <v>2.73</v>
      </c>
      <c r="H3701" t="n">
        <v>2</v>
      </c>
      <c r="I3701" t="n">
        <v>7</v>
      </c>
      <c r="J3701" t="n">
        <v>3</v>
      </c>
      <c r="K3701" t="n">
        <v>0</v>
      </c>
      <c r="L3701" t="n">
        <v>32952</v>
      </c>
      <c r="M3701" t="n">
        <v>44000</v>
      </c>
      <c r="N3701" t="n">
        <v>91</v>
      </c>
      <c r="O3701" t="n">
        <v>0.91</v>
      </c>
      <c r="P3701" t="n">
        <v>1</v>
      </c>
      <c r="Q3701" t="n">
        <v>0.07000000000000001</v>
      </c>
      <c r="R3701" t="n">
        <v>1</v>
      </c>
      <c r="S3701" t="n">
        <v>11611.6</v>
      </c>
      <c r="T3701" t="n">
        <v>19</v>
      </c>
      <c r="U3701" t="n">
        <v>20</v>
      </c>
      <c r="V3701" t="n">
        <v>30</v>
      </c>
      <c r="W3701" t="n">
        <v>8</v>
      </c>
      <c r="X3701" t="n">
        <v>18.9465706707086</v>
      </c>
      <c r="Y3701" t="n">
        <v>1</v>
      </c>
      <c r="Z3701" t="n">
        <v>3</v>
      </c>
      <c r="AA3701" t="n">
        <v>0</v>
      </c>
      <c r="AB3701" t="n">
        <v>3</v>
      </c>
      <c r="AC3701" t="n">
        <v>3</v>
      </c>
      <c r="AD3701" t="n">
        <v>0</v>
      </c>
      <c r="AE3701" t="n">
        <v>98856</v>
      </c>
      <c r="AF3701" t="n">
        <v>1792</v>
      </c>
      <c r="AG3701" t="n">
        <v>2044</v>
      </c>
      <c r="AH3701" t="inlineStr">
        <is>
          <t>CV. WINEMERI BERKARYA - PPN (PDG)</t>
        </is>
      </c>
      <c r="AI3701" t="n">
        <v>112</v>
      </c>
      <c r="AJ3701" t="inlineStr">
        <is>
          <t>NATUR</t>
        </is>
      </c>
      <c r="AK3701" t="n">
        <v>21</v>
      </c>
      <c r="AL3701" t="inlineStr">
        <is>
          <t>Miss Glam Damar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NATUR</t>
        </is>
      </c>
      <c r="B3702" s="2">
        <f>"8992928061350"</f>
        <v/>
      </c>
      <c r="C3702" t="inlineStr">
        <is>
          <t>NATUR Hair Vitamin Aloe Vera Extract &amp;provitamin B5 for hair &amp;scalp 80ml</t>
        </is>
      </c>
      <c r="D3702" t="inlineStr">
        <is>
          <t>Miss Glam Damar</t>
        </is>
      </c>
      <c r="E3702" t="n">
        <v>5</v>
      </c>
      <c r="F3702" t="n">
        <v>0.04550000000000001</v>
      </c>
      <c r="G3702" t="n">
        <v>0.91</v>
      </c>
      <c r="H3702" t="n">
        <v>2</v>
      </c>
      <c r="I3702" t="n">
        <v>7</v>
      </c>
      <c r="J3702" t="n">
        <v>3</v>
      </c>
      <c r="K3702" t="n">
        <v>0</v>
      </c>
      <c r="L3702" t="n">
        <v>23183</v>
      </c>
      <c r="M3702" t="n">
        <v>30500</v>
      </c>
      <c r="N3702" t="n">
        <v>91</v>
      </c>
      <c r="O3702" t="n">
        <v>0.91</v>
      </c>
      <c r="P3702" t="n">
        <v>1</v>
      </c>
      <c r="Q3702" t="n">
        <v>0.05</v>
      </c>
      <c r="R3702" t="n">
        <v>1</v>
      </c>
      <c r="S3702" t="n">
        <v>1387.75</v>
      </c>
      <c r="T3702" t="n">
        <v>7</v>
      </c>
      <c r="U3702" t="n">
        <v>8</v>
      </c>
      <c r="V3702" t="n">
        <v>30</v>
      </c>
      <c r="W3702" t="n">
        <v>2</v>
      </c>
      <c r="X3702" t="n">
        <v>109.8901098901099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1792</v>
      </c>
      <c r="AG3702" t="n">
        <v>2044</v>
      </c>
      <c r="AH3702" t="inlineStr">
        <is>
          <t>CV. WINEMERI BERKARYA - PPN (PDG)</t>
        </is>
      </c>
      <c r="AI3702" t="n">
        <v>112</v>
      </c>
      <c r="AJ3702" t="inlineStr">
        <is>
          <t>NATUR</t>
        </is>
      </c>
      <c r="AK3702" t="n">
        <v>21</v>
      </c>
      <c r="AL3702" t="inlineStr">
        <is>
          <t>Miss Glam Damar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NATUR</t>
        </is>
      </c>
      <c r="B3703" s="2">
        <f>"8992928061367"</f>
        <v/>
      </c>
      <c r="C3703" t="inlineStr">
        <is>
          <t>NATUR Hair Vitamin Olive Oil &amp; Vitamin E For Hair &amp; Scalp 80ml</t>
        </is>
      </c>
      <c r="D3703" t="inlineStr">
        <is>
          <t>Miss Glam Damar</t>
        </is>
      </c>
      <c r="E3703" t="n">
        <v>4</v>
      </c>
      <c r="F3703" t="n">
        <v>0.1092</v>
      </c>
      <c r="G3703" t="n">
        <v>1.82</v>
      </c>
      <c r="H3703" t="n">
        <v>2</v>
      </c>
      <c r="I3703" t="n">
        <v>7</v>
      </c>
      <c r="J3703" t="n">
        <v>3</v>
      </c>
      <c r="K3703" t="n">
        <v>0</v>
      </c>
      <c r="L3703" t="n">
        <v>23366</v>
      </c>
      <c r="M3703" t="n">
        <v>30500</v>
      </c>
      <c r="N3703" t="n">
        <v>91</v>
      </c>
      <c r="O3703" t="n">
        <v>0.91</v>
      </c>
      <c r="P3703" t="n">
        <v>1</v>
      </c>
      <c r="Q3703" t="n">
        <v>0.07000000000000001</v>
      </c>
      <c r="R3703" t="n">
        <v>1</v>
      </c>
      <c r="S3703" t="n">
        <v>3330.6</v>
      </c>
      <c r="T3703" t="n">
        <v>13</v>
      </c>
      <c r="U3703" t="n">
        <v>14</v>
      </c>
      <c r="V3703" t="n">
        <v>30</v>
      </c>
      <c r="W3703" t="n">
        <v>4</v>
      </c>
      <c r="X3703" t="n">
        <v>36.63003663003663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1792</v>
      </c>
      <c r="AG3703" t="n">
        <v>2044</v>
      </c>
      <c r="AH3703" t="inlineStr">
        <is>
          <t>CV. WINEMERI BERKARYA - PPN (PDG)</t>
        </is>
      </c>
      <c r="AI3703" t="n">
        <v>112</v>
      </c>
      <c r="AJ3703" t="inlineStr">
        <is>
          <t>NATUR</t>
        </is>
      </c>
      <c r="AK3703" t="n">
        <v>21</v>
      </c>
      <c r="AL3703" t="inlineStr">
        <is>
          <t>Miss Glam Damar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NATUR</t>
        </is>
      </c>
      <c r="B3704" s="2">
        <f>"8992928061435"</f>
        <v/>
      </c>
      <c r="C3704" t="inlineStr">
        <is>
          <t>NATUR Natural Ginseng Extract Shampoo 270ml</t>
        </is>
      </c>
      <c r="D3704" t="inlineStr">
        <is>
          <t>Miss Glam Damar</t>
        </is>
      </c>
      <c r="E3704" t="n">
        <v>7</v>
      </c>
      <c r="F3704" t="n">
        <v>0.1092</v>
      </c>
      <c r="G3704" t="n">
        <v>1.82</v>
      </c>
      <c r="H3704" t="n">
        <v>2</v>
      </c>
      <c r="I3704" t="n">
        <v>7</v>
      </c>
      <c r="J3704" t="n">
        <v>3</v>
      </c>
      <c r="K3704" t="n">
        <v>0</v>
      </c>
      <c r="L3704" t="n">
        <v>44721</v>
      </c>
      <c r="M3704" t="n">
        <v>54000</v>
      </c>
      <c r="N3704" t="n">
        <v>91</v>
      </c>
      <c r="O3704" t="n">
        <v>0.91</v>
      </c>
      <c r="P3704" t="n">
        <v>1</v>
      </c>
      <c r="Q3704" t="n">
        <v>0.15</v>
      </c>
      <c r="R3704" t="n">
        <v>1</v>
      </c>
      <c r="S3704" t="n">
        <v>5896.8</v>
      </c>
      <c r="T3704" t="n">
        <v>13</v>
      </c>
      <c r="U3704" t="n">
        <v>14</v>
      </c>
      <c r="V3704" t="n">
        <v>30</v>
      </c>
      <c r="W3704" t="n">
        <v>4</v>
      </c>
      <c r="X3704" t="n">
        <v>64.1025641025641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1792</v>
      </c>
      <c r="AG3704" t="n">
        <v>2044</v>
      </c>
      <c r="AH3704" t="inlineStr">
        <is>
          <t>CV. WINEMERI BERKARYA - PPN (PDG)</t>
        </is>
      </c>
      <c r="AI3704" t="n">
        <v>112</v>
      </c>
      <c r="AJ3704" t="inlineStr">
        <is>
          <t>NATUR</t>
        </is>
      </c>
      <c r="AK3704" t="n">
        <v>21</v>
      </c>
      <c r="AL3704" t="inlineStr">
        <is>
          <t>Miss Glam Damar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NATUR</t>
        </is>
      </c>
      <c r="B3705" s="2">
        <f>"8992928060179"</f>
        <v/>
      </c>
      <c r="C3705" t="inlineStr">
        <is>
          <t>NATUR Shampo Aloe Vera 80ml</t>
        </is>
      </c>
      <c r="D3705" t="inlineStr">
        <is>
          <t>Miss Glam Damar</t>
        </is>
      </c>
      <c r="E3705" t="n">
        <v>8</v>
      </c>
      <c r="F3705" t="n">
        <v>0.1092</v>
      </c>
      <c r="G3705" t="n">
        <v>2.73</v>
      </c>
      <c r="H3705" t="n">
        <v>2</v>
      </c>
      <c r="I3705" t="n">
        <v>7</v>
      </c>
      <c r="J3705" t="n">
        <v>3</v>
      </c>
      <c r="K3705" t="n">
        <v>0</v>
      </c>
      <c r="L3705" t="n">
        <v>14113</v>
      </c>
      <c r="M3705" t="n">
        <v>18500</v>
      </c>
      <c r="N3705" t="n">
        <v>91</v>
      </c>
      <c r="O3705" t="n">
        <v>0.91</v>
      </c>
      <c r="P3705" t="n">
        <v>1</v>
      </c>
      <c r="Q3705" t="n">
        <v>0.14</v>
      </c>
      <c r="R3705" t="n">
        <v>2</v>
      </c>
      <c r="S3705" t="n">
        <v>2020.2</v>
      </c>
      <c r="T3705" t="n">
        <v>19</v>
      </c>
      <c r="U3705" t="n">
        <v>20</v>
      </c>
      <c r="V3705" t="n">
        <v>30</v>
      </c>
      <c r="W3705" t="n">
        <v>4</v>
      </c>
      <c r="X3705" t="n">
        <v>73.26007326007326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1792</v>
      </c>
      <c r="AG3705" t="n">
        <v>2044</v>
      </c>
      <c r="AH3705" t="inlineStr">
        <is>
          <t>CV. WINEMERI BERKARYA - PPN (PDG)</t>
        </is>
      </c>
      <c r="AI3705" t="n">
        <v>112</v>
      </c>
      <c r="AJ3705" t="inlineStr">
        <is>
          <t>NATUR</t>
        </is>
      </c>
      <c r="AK3705" t="n">
        <v>21</v>
      </c>
      <c r="AL3705" t="inlineStr">
        <is>
          <t>Miss Glam Damar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NATUR</t>
        </is>
      </c>
      <c r="B3706" s="2">
        <f>"8992928060216"</f>
        <v/>
      </c>
      <c r="C3706" t="inlineStr">
        <is>
          <t>NATUR Shampo Moringa Oleifera &amp;Sweet Almond Oil 140ml</t>
        </is>
      </c>
      <c r="D3706" t="inlineStr">
        <is>
          <t>Miss Glam Damar</t>
        </is>
      </c>
      <c r="E3706" t="n">
        <v>7</v>
      </c>
      <c r="F3706" t="n">
        <v>0.07000000000000001</v>
      </c>
      <c r="G3706" t="n">
        <v>1</v>
      </c>
      <c r="H3706" t="n">
        <v>2</v>
      </c>
      <c r="I3706" t="n">
        <v>7</v>
      </c>
      <c r="J3706" t="n">
        <v>3</v>
      </c>
      <c r="K3706" t="n">
        <v>0</v>
      </c>
      <c r="L3706" t="n">
        <v>27471</v>
      </c>
      <c r="M3706" t="n">
        <v>32500</v>
      </c>
      <c r="N3706" t="n">
        <v>91</v>
      </c>
      <c r="O3706" t="n">
        <v>0.91</v>
      </c>
      <c r="P3706" t="n">
        <v>0</v>
      </c>
      <c r="Q3706" t="n">
        <v>0.07000000000000001</v>
      </c>
      <c r="R3706" t="n">
        <v>1</v>
      </c>
      <c r="S3706" t="n">
        <v>2275</v>
      </c>
      <c r="T3706" t="n">
        <v>7</v>
      </c>
      <c r="U3706" t="n">
        <v>8</v>
      </c>
      <c r="V3706" t="n">
        <v>30</v>
      </c>
      <c r="W3706" t="n">
        <v>3</v>
      </c>
      <c r="X3706" t="n">
        <v>99.99999999999999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1792</v>
      </c>
      <c r="AG3706" t="n">
        <v>2044</v>
      </c>
      <c r="AH3706" t="inlineStr">
        <is>
          <t>CV. WINEMERI BERKARYA - PPN (PDG)</t>
        </is>
      </c>
      <c r="AI3706" t="n">
        <v>112</v>
      </c>
      <c r="AJ3706" t="inlineStr">
        <is>
          <t>NATUR</t>
        </is>
      </c>
      <c r="AK3706" t="n">
        <v>21</v>
      </c>
      <c r="AL3706" t="inlineStr">
        <is>
          <t>Miss Glam Damar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NATUR</t>
        </is>
      </c>
      <c r="B3707" s="2">
        <f>"8992928201404"</f>
        <v/>
      </c>
      <c r="C3707" t="inlineStr">
        <is>
          <t>NATUR Shampo Tea Tree Oil 140ml</t>
        </is>
      </c>
      <c r="D3707" t="inlineStr">
        <is>
          <t>Miss Glam Damar</t>
        </is>
      </c>
      <c r="E3707" t="n">
        <v>11</v>
      </c>
      <c r="F3707" t="n">
        <v>0.2457</v>
      </c>
      <c r="G3707" t="n">
        <v>1.82</v>
      </c>
      <c r="H3707" t="n">
        <v>2</v>
      </c>
      <c r="I3707" t="n">
        <v>7</v>
      </c>
      <c r="J3707" t="n">
        <v>3</v>
      </c>
      <c r="K3707" t="n">
        <v>0</v>
      </c>
      <c r="L3707" t="n">
        <v>27487</v>
      </c>
      <c r="M3707" t="n">
        <v>33600</v>
      </c>
      <c r="N3707" t="n">
        <v>91</v>
      </c>
      <c r="O3707" t="n">
        <v>0.91</v>
      </c>
      <c r="P3707" t="n">
        <v>1</v>
      </c>
      <c r="Q3707" t="n">
        <v>0.17</v>
      </c>
      <c r="R3707" t="n">
        <v>2</v>
      </c>
      <c r="S3707" t="n">
        <v>8255.52</v>
      </c>
      <c r="T3707" t="n">
        <v>13</v>
      </c>
      <c r="U3707" t="n">
        <v>14</v>
      </c>
      <c r="V3707" t="n">
        <v>30</v>
      </c>
      <c r="W3707" t="n">
        <v>8</v>
      </c>
      <c r="X3707" t="n">
        <v>44.77004477004476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1792</v>
      </c>
      <c r="AG3707" t="n">
        <v>2044</v>
      </c>
      <c r="AH3707" t="inlineStr">
        <is>
          <t>CV. WINEMERI BERKARYA - PPN (PDG)</t>
        </is>
      </c>
      <c r="AI3707" t="n">
        <v>112</v>
      </c>
      <c r="AJ3707" t="inlineStr">
        <is>
          <t>NATUR</t>
        </is>
      </c>
      <c r="AK3707" t="n">
        <v>21</v>
      </c>
      <c r="AL3707" t="inlineStr">
        <is>
          <t>Miss Glam Damar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NATUR</t>
        </is>
      </c>
      <c r="B3708" s="2">
        <f>"8992928200803"</f>
        <v/>
      </c>
      <c r="C3708" t="inlineStr">
        <is>
          <t>NATUR Shampo Tea Tree Oil 80ml</t>
        </is>
      </c>
      <c r="D3708" t="inlineStr">
        <is>
          <t>Miss Glam Damar</t>
        </is>
      </c>
      <c r="E3708" t="n">
        <v>6</v>
      </c>
      <c r="F3708" t="n">
        <v>0.3276</v>
      </c>
      <c r="G3708" t="n">
        <v>2.73</v>
      </c>
      <c r="H3708" t="n">
        <v>2</v>
      </c>
      <c r="I3708" t="n">
        <v>7</v>
      </c>
      <c r="J3708" t="n">
        <v>3</v>
      </c>
      <c r="K3708" t="n">
        <v>0</v>
      </c>
      <c r="L3708" t="n">
        <v>14186</v>
      </c>
      <c r="M3708" t="n">
        <v>17000</v>
      </c>
      <c r="N3708" t="n">
        <v>91</v>
      </c>
      <c r="O3708" t="n">
        <v>0.91</v>
      </c>
      <c r="P3708" t="n">
        <v>1</v>
      </c>
      <c r="Q3708" t="n">
        <v>0.12</v>
      </c>
      <c r="R3708" t="n">
        <v>1</v>
      </c>
      <c r="S3708" t="n">
        <v>5569.2</v>
      </c>
      <c r="T3708" t="n">
        <v>19</v>
      </c>
      <c r="U3708" t="n">
        <v>20</v>
      </c>
      <c r="V3708" t="n">
        <v>30</v>
      </c>
      <c r="W3708" t="n">
        <v>10</v>
      </c>
      <c r="X3708" t="n">
        <v>18.31501831501831</v>
      </c>
      <c r="Y3708" t="n">
        <v>1</v>
      </c>
      <c r="Z3708" t="n">
        <v>4</v>
      </c>
      <c r="AA3708" t="n">
        <v>0</v>
      </c>
      <c r="AB3708" t="n">
        <v>4</v>
      </c>
      <c r="AC3708" t="n">
        <v>4</v>
      </c>
      <c r="AD3708" t="n">
        <v>0</v>
      </c>
      <c r="AE3708" t="n">
        <v>56744</v>
      </c>
      <c r="AF3708" t="n">
        <v>1792</v>
      </c>
      <c r="AG3708" t="n">
        <v>2044</v>
      </c>
      <c r="AH3708" t="inlineStr">
        <is>
          <t>CV. WINEMERI BERKARYA - PPN (PDG)</t>
        </is>
      </c>
      <c r="AI3708" t="n">
        <v>112</v>
      </c>
      <c r="AJ3708" t="inlineStr">
        <is>
          <t>NATUR</t>
        </is>
      </c>
      <c r="AK3708" t="n">
        <v>21</v>
      </c>
      <c r="AL3708" t="inlineStr">
        <is>
          <t>Miss Glam Damar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NATUR</t>
        </is>
      </c>
      <c r="B3709" s="2">
        <f>"8992928201060"</f>
        <v/>
      </c>
      <c r="C3709" t="inlineStr">
        <is>
          <t>NATUR Shampoo &amp; Hair Tonic Ginseng 140ml &amp; 90ml</t>
        </is>
      </c>
      <c r="D3709" t="inlineStr">
        <is>
          <t>Miss Glam Damar</t>
        </is>
      </c>
      <c r="E3709" t="n">
        <v>6</v>
      </c>
      <c r="F3709" t="n">
        <v>0.1274</v>
      </c>
      <c r="G3709" t="n">
        <v>0.91</v>
      </c>
      <c r="H3709" t="n">
        <v>2</v>
      </c>
      <c r="I3709" t="n">
        <v>7</v>
      </c>
      <c r="J3709" t="n">
        <v>3</v>
      </c>
      <c r="K3709" t="n">
        <v>0</v>
      </c>
      <c r="L3709" t="n">
        <v>51971</v>
      </c>
      <c r="M3709" t="n">
        <v>64000</v>
      </c>
      <c r="N3709" t="n">
        <v>91</v>
      </c>
      <c r="O3709" t="n">
        <v>0.91</v>
      </c>
      <c r="P3709" t="n">
        <v>1</v>
      </c>
      <c r="Q3709" t="n">
        <v>0.17</v>
      </c>
      <c r="R3709" t="n">
        <v>2</v>
      </c>
      <c r="S3709" t="n">
        <v>8153.600000000001</v>
      </c>
      <c r="T3709" t="n">
        <v>7</v>
      </c>
      <c r="U3709" t="n">
        <v>8</v>
      </c>
      <c r="V3709" t="n">
        <v>30</v>
      </c>
      <c r="W3709" t="n">
        <v>4</v>
      </c>
      <c r="X3709" t="n">
        <v>47.09576138147566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1792</v>
      </c>
      <c r="AG3709" t="n">
        <v>2044</v>
      </c>
      <c r="AH3709" t="inlineStr">
        <is>
          <t>CV. WINEMERI BERKARYA - PPN (PDG)</t>
        </is>
      </c>
      <c r="AI3709" t="n">
        <v>112</v>
      </c>
      <c r="AJ3709" t="inlineStr">
        <is>
          <t>NATUR</t>
        </is>
      </c>
      <c r="AK3709" t="n">
        <v>21</v>
      </c>
      <c r="AL3709" t="inlineStr">
        <is>
          <t>Miss Glam Damar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NATUR</t>
        </is>
      </c>
      <c r="B3710" s="2">
        <f>"8992928060186"</f>
        <v/>
      </c>
      <c r="C3710" t="inlineStr">
        <is>
          <t>NATUR Shampoo Aloe Vera 140ml</t>
        </is>
      </c>
      <c r="D3710" t="inlineStr">
        <is>
          <t>Miss Glam Damar</t>
        </is>
      </c>
      <c r="E3710" t="n">
        <v>7</v>
      </c>
      <c r="F3710" t="n">
        <v>0.1365</v>
      </c>
      <c r="G3710" t="n">
        <v>1.82</v>
      </c>
      <c r="H3710" t="n">
        <v>2</v>
      </c>
      <c r="I3710" t="n">
        <v>7</v>
      </c>
      <c r="J3710" t="n">
        <v>3</v>
      </c>
      <c r="K3710" t="n">
        <v>0</v>
      </c>
      <c r="L3710" t="n">
        <v>27408</v>
      </c>
      <c r="M3710" t="n">
        <v>33600</v>
      </c>
      <c r="N3710" t="n">
        <v>91</v>
      </c>
      <c r="O3710" t="n">
        <v>0.91</v>
      </c>
      <c r="P3710" t="n">
        <v>1</v>
      </c>
      <c r="Q3710" t="n">
        <v>0.08</v>
      </c>
      <c r="R3710" t="n">
        <v>1</v>
      </c>
      <c r="S3710" t="n">
        <v>4586.400000000001</v>
      </c>
      <c r="T3710" t="n">
        <v>13</v>
      </c>
      <c r="U3710" t="n">
        <v>14</v>
      </c>
      <c r="V3710" t="n">
        <v>30</v>
      </c>
      <c r="W3710" t="n">
        <v>5</v>
      </c>
      <c r="X3710" t="n">
        <v>51.28205128205128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1792</v>
      </c>
      <c r="AG3710" t="n">
        <v>2044</v>
      </c>
      <c r="AH3710" t="inlineStr">
        <is>
          <t>CV. WINEMERI BERKARYA - PPN (PDG)</t>
        </is>
      </c>
      <c r="AI3710" t="n">
        <v>112</v>
      </c>
      <c r="AJ3710" t="inlineStr">
        <is>
          <t>NATUR</t>
        </is>
      </c>
      <c r="AK3710" t="n">
        <v>21</v>
      </c>
      <c r="AL3710" t="inlineStr">
        <is>
          <t>Miss Glam Damar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NATUR</t>
        </is>
      </c>
      <c r="B3711" s="2">
        <f>"8992928121405"</f>
        <v/>
      </c>
      <c r="C3711" t="inlineStr">
        <is>
          <t>NATUR Shampoo Extract Gingseng 140ml</t>
        </is>
      </c>
      <c r="D3711" t="inlineStr">
        <is>
          <t>Miss Glam Damar</t>
        </is>
      </c>
      <c r="E3711" t="n">
        <v>8</v>
      </c>
      <c r="F3711" t="n">
        <v>0.3367</v>
      </c>
      <c r="G3711" t="n">
        <v>1.82</v>
      </c>
      <c r="H3711" t="n">
        <v>2</v>
      </c>
      <c r="I3711" t="n">
        <v>7</v>
      </c>
      <c r="J3711" t="n">
        <v>3</v>
      </c>
      <c r="K3711" t="n">
        <v>0</v>
      </c>
      <c r="L3711" t="n">
        <v>27352</v>
      </c>
      <c r="M3711" t="n">
        <v>33600</v>
      </c>
      <c r="N3711" t="n">
        <v>91</v>
      </c>
      <c r="O3711" t="n">
        <v>0.91</v>
      </c>
      <c r="P3711" t="n">
        <v>1</v>
      </c>
      <c r="Q3711" t="n">
        <v>0.2</v>
      </c>
      <c r="R3711" t="n">
        <v>3</v>
      </c>
      <c r="S3711" t="n">
        <v>11313.12</v>
      </c>
      <c r="T3711" t="n">
        <v>13</v>
      </c>
      <c r="U3711" t="n">
        <v>14</v>
      </c>
      <c r="V3711" t="n">
        <v>30</v>
      </c>
      <c r="W3711" t="n">
        <v>11</v>
      </c>
      <c r="X3711" t="n">
        <v>23.76002376002376</v>
      </c>
      <c r="Y3711" t="n">
        <v>1</v>
      </c>
      <c r="Z3711" t="n">
        <v>3</v>
      </c>
      <c r="AA3711" t="n">
        <v>0</v>
      </c>
      <c r="AB3711" t="n">
        <v>3</v>
      </c>
      <c r="AC3711" t="n">
        <v>3</v>
      </c>
      <c r="AD3711" t="n">
        <v>0</v>
      </c>
      <c r="AE3711" t="n">
        <v>82056</v>
      </c>
      <c r="AF3711" t="n">
        <v>1792</v>
      </c>
      <c r="AG3711" t="n">
        <v>2044</v>
      </c>
      <c r="AH3711" t="inlineStr">
        <is>
          <t>CV. WINEMERI BERKARYA - PPN (PDG)</t>
        </is>
      </c>
      <c r="AI3711" t="n">
        <v>112</v>
      </c>
      <c r="AJ3711" t="inlineStr">
        <is>
          <t>NATUR</t>
        </is>
      </c>
      <c r="AK3711" t="n">
        <v>21</v>
      </c>
      <c r="AL3711" t="inlineStr">
        <is>
          <t>Miss Glam Damar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NATUR</t>
        </is>
      </c>
      <c r="B3712" s="2">
        <f>"8992928810804"</f>
        <v/>
      </c>
      <c r="C3712" t="inlineStr">
        <is>
          <t>NATUR Shampoo Natur Ginseng Extract 80ml</t>
        </is>
      </c>
      <c r="D3712" t="inlineStr">
        <is>
          <t>Miss Glam Damar</t>
        </is>
      </c>
      <c r="E3712" t="n">
        <v>12</v>
      </c>
      <c r="F3712" t="n">
        <v>0.4459</v>
      </c>
      <c r="G3712" t="n">
        <v>2.73</v>
      </c>
      <c r="H3712" t="n">
        <v>2</v>
      </c>
      <c r="I3712" t="n">
        <v>7</v>
      </c>
      <c r="J3712" t="n">
        <v>3</v>
      </c>
      <c r="K3712" t="n">
        <v>0</v>
      </c>
      <c r="L3712" t="n">
        <v>14048</v>
      </c>
      <c r="M3712" t="n">
        <v>17000</v>
      </c>
      <c r="N3712" t="n">
        <v>91</v>
      </c>
      <c r="O3712" t="n">
        <v>0.91</v>
      </c>
      <c r="P3712" t="n">
        <v>1</v>
      </c>
      <c r="Q3712" t="n">
        <v>0.22</v>
      </c>
      <c r="R3712" t="n">
        <v>2</v>
      </c>
      <c r="S3712" t="n">
        <v>7580.3</v>
      </c>
      <c r="T3712" t="n">
        <v>19</v>
      </c>
      <c r="U3712" t="n">
        <v>20</v>
      </c>
      <c r="V3712" t="n">
        <v>30</v>
      </c>
      <c r="W3712" t="n">
        <v>14</v>
      </c>
      <c r="X3712" t="n">
        <v>26.91186364655752</v>
      </c>
      <c r="Y3712" t="n">
        <v>1</v>
      </c>
      <c r="Z3712" t="n">
        <v>2</v>
      </c>
      <c r="AA3712" t="n">
        <v>0</v>
      </c>
      <c r="AB3712" t="n">
        <v>2</v>
      </c>
      <c r="AC3712" t="n">
        <v>3</v>
      </c>
      <c r="AD3712" t="n">
        <v>0</v>
      </c>
      <c r="AE3712" t="n">
        <v>42144</v>
      </c>
      <c r="AF3712" t="n">
        <v>1792</v>
      </c>
      <c r="AG3712" t="n">
        <v>2044</v>
      </c>
      <c r="AH3712" t="inlineStr">
        <is>
          <t>CV. WINEMERI BERKARYA - PPN (PDG)</t>
        </is>
      </c>
      <c r="AI3712" t="n">
        <v>112</v>
      </c>
      <c r="AJ3712" t="inlineStr">
        <is>
          <t>NATUR</t>
        </is>
      </c>
      <c r="AK3712" t="n">
        <v>21</v>
      </c>
      <c r="AL3712" t="inlineStr">
        <is>
          <t>Miss Glam Damar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NATUR</t>
        </is>
      </c>
      <c r="B3713" s="2">
        <f>"8992928811283"</f>
        <v/>
      </c>
      <c r="C3713" t="inlineStr">
        <is>
          <t>NATUR Shampoo Olive Oil &amp; Vitamin E 140ml</t>
        </is>
      </c>
      <c r="D3713" t="inlineStr">
        <is>
          <t>Miss Glam Damar</t>
        </is>
      </c>
      <c r="E3713" t="n">
        <v>6</v>
      </c>
      <c r="F3713" t="n">
        <v>0.09100000000000001</v>
      </c>
      <c r="G3713" t="n">
        <v>0.91</v>
      </c>
      <c r="H3713" t="n">
        <v>2</v>
      </c>
      <c r="I3713" t="n">
        <v>7</v>
      </c>
      <c r="J3713" t="n">
        <v>3</v>
      </c>
      <c r="K3713" t="n">
        <v>0</v>
      </c>
      <c r="L3713" t="n">
        <v>27382</v>
      </c>
      <c r="M3713" t="n">
        <v>32500</v>
      </c>
      <c r="N3713" t="n">
        <v>91</v>
      </c>
      <c r="O3713" t="n">
        <v>0.91</v>
      </c>
      <c r="P3713" t="n">
        <v>1</v>
      </c>
      <c r="Q3713" t="n">
        <v>0.1</v>
      </c>
      <c r="R3713" t="n">
        <v>1</v>
      </c>
      <c r="S3713" t="n">
        <v>2957.5</v>
      </c>
      <c r="T3713" t="n">
        <v>7</v>
      </c>
      <c r="U3713" t="n">
        <v>8</v>
      </c>
      <c r="V3713" t="n">
        <v>30</v>
      </c>
      <c r="W3713" t="n">
        <v>3</v>
      </c>
      <c r="X3713" t="n">
        <v>65.93406593406593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1792</v>
      </c>
      <c r="AG3713" t="n">
        <v>2044</v>
      </c>
      <c r="AH3713" t="inlineStr">
        <is>
          <t>CV. WINEMERI BERKARYA - PPN (PDG)</t>
        </is>
      </c>
      <c r="AI3713" t="n">
        <v>112</v>
      </c>
      <c r="AJ3713" t="inlineStr">
        <is>
          <t>NATUR</t>
        </is>
      </c>
      <c r="AK3713" t="n">
        <v>21</v>
      </c>
      <c r="AL3713" t="inlineStr">
        <is>
          <t>Miss Glam Damar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NATUR-E</t>
        </is>
      </c>
      <c r="B3714" s="2">
        <f>"8999809102805"</f>
        <v/>
      </c>
      <c r="C3714" t="inlineStr">
        <is>
          <t>NATUR E Advanced Soft Capsule 16</t>
        </is>
      </c>
      <c r="D3714" t="inlineStr">
        <is>
          <t>Miss Glam Damar</t>
        </is>
      </c>
      <c r="E3714" t="n">
        <v>5</v>
      </c>
      <c r="F3714" t="n">
        <v>0.3276</v>
      </c>
      <c r="G3714" t="n">
        <v>1.82</v>
      </c>
      <c r="H3714" t="n">
        <v>3</v>
      </c>
      <c r="I3714" t="n">
        <v>11</v>
      </c>
      <c r="J3714" t="n">
        <v>3</v>
      </c>
      <c r="K3714" t="n">
        <v>0</v>
      </c>
      <c r="L3714" t="n">
        <v>39505</v>
      </c>
      <c r="M3714" t="n">
        <v>45500</v>
      </c>
      <c r="N3714" t="n">
        <v>91</v>
      </c>
      <c r="O3714" t="n">
        <v>0.91</v>
      </c>
      <c r="P3714" t="n">
        <v>1</v>
      </c>
      <c r="Q3714" t="n">
        <v>0.08</v>
      </c>
      <c r="R3714" t="n">
        <v>1</v>
      </c>
      <c r="S3714" t="n">
        <v>14905.8</v>
      </c>
      <c r="T3714" t="n">
        <v>20</v>
      </c>
      <c r="U3714" t="n">
        <v>21</v>
      </c>
      <c r="V3714" t="n">
        <v>30</v>
      </c>
      <c r="W3714" t="n">
        <v>10</v>
      </c>
      <c r="X3714" t="n">
        <v>15.26251526251526</v>
      </c>
      <c r="Y3714" t="n">
        <v>1</v>
      </c>
      <c r="Z3714" t="n">
        <v>5</v>
      </c>
      <c r="AA3714" t="n">
        <v>0</v>
      </c>
      <c r="AB3714" t="n">
        <v>5</v>
      </c>
      <c r="AC3714" t="n">
        <v>5</v>
      </c>
      <c r="AD3714" t="n">
        <v>0</v>
      </c>
      <c r="AE3714" t="n">
        <v>197525</v>
      </c>
      <c r="AF3714" t="n">
        <v>10134</v>
      </c>
      <c r="AG3714" t="n">
        <v>78</v>
      </c>
      <c r="AH3714" t="inlineStr">
        <is>
          <t>PT. GLORIENTA P.H - PPN (PDG)</t>
        </is>
      </c>
      <c r="AI3714" t="n">
        <v>113</v>
      </c>
      <c r="AJ3714" t="inlineStr">
        <is>
          <t>NATUR-E</t>
        </is>
      </c>
      <c r="AK3714" t="n">
        <v>21</v>
      </c>
      <c r="AL3714" t="inlineStr">
        <is>
          <t>Miss Glam Damar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NATUR-E</t>
        </is>
      </c>
      <c r="B3715" s="2">
        <f>"8999809102782"</f>
        <v/>
      </c>
      <c r="C3715" t="inlineStr">
        <is>
          <t>NATUR E Daily Face Cream 50ml</t>
        </is>
      </c>
      <c r="D3715" t="inlineStr">
        <is>
          <t>Miss Glam Damar</t>
        </is>
      </c>
      <c r="E3715" t="n">
        <v>6</v>
      </c>
      <c r="F3715" t="n">
        <v>0.0182</v>
      </c>
      <c r="G3715" t="n">
        <v>0.91</v>
      </c>
      <c r="H3715" t="n">
        <v>3</v>
      </c>
      <c r="I3715" t="n">
        <v>11</v>
      </c>
      <c r="J3715" t="n">
        <v>3</v>
      </c>
      <c r="K3715" t="n">
        <v>0</v>
      </c>
      <c r="L3715" t="n">
        <v>24862</v>
      </c>
      <c r="M3715" t="n">
        <v>30000</v>
      </c>
      <c r="N3715" t="n">
        <v>91</v>
      </c>
      <c r="O3715" t="n">
        <v>0.91</v>
      </c>
      <c r="P3715" t="n">
        <v>1</v>
      </c>
      <c r="Q3715" t="n">
        <v>0.08</v>
      </c>
      <c r="R3715" t="n">
        <v>2</v>
      </c>
      <c r="S3715" t="n">
        <v>546</v>
      </c>
      <c r="T3715" t="n">
        <v>10</v>
      </c>
      <c r="U3715" t="n">
        <v>11</v>
      </c>
      <c r="V3715" t="n">
        <v>30</v>
      </c>
      <c r="W3715" t="n">
        <v>1</v>
      </c>
      <c r="X3715" t="n">
        <v>329.6703296703296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10134</v>
      </c>
      <c r="AG3715" t="n">
        <v>78</v>
      </c>
      <c r="AH3715" t="inlineStr">
        <is>
          <t>PT. GLORIENTA P.H - PPN (PDG)</t>
        </is>
      </c>
      <c r="AI3715" t="n">
        <v>113</v>
      </c>
      <c r="AJ3715" t="inlineStr">
        <is>
          <t>NATUR-E</t>
        </is>
      </c>
      <c r="AK3715" t="n">
        <v>21</v>
      </c>
      <c r="AL3715" t="inlineStr">
        <is>
          <t>Miss Glam Damar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NATUR-E</t>
        </is>
      </c>
      <c r="B3716" s="2">
        <f>"60100406660"</f>
        <v/>
      </c>
      <c r="C3716" t="inlineStr">
        <is>
          <t>NATUR-E Actbeauty Natural Vitamin E 300 8 Kapsul</t>
        </is>
      </c>
      <c r="D3716" t="inlineStr">
        <is>
          <t>Miss Glam Damar</t>
        </is>
      </c>
      <c r="E3716" t="n">
        <v>3</v>
      </c>
      <c r="F3716" t="n">
        <v>0.0728</v>
      </c>
      <c r="G3716" t="n">
        <v>1.82</v>
      </c>
      <c r="H3716" t="n">
        <v>3</v>
      </c>
      <c r="I3716" t="n">
        <v>11</v>
      </c>
      <c r="J3716" t="n">
        <v>1</v>
      </c>
      <c r="K3716" t="n">
        <v>0</v>
      </c>
      <c r="L3716" t="n">
        <v>21090</v>
      </c>
      <c r="M3716" t="n">
        <v>25000</v>
      </c>
      <c r="N3716" t="n">
        <v>91</v>
      </c>
      <c r="O3716" t="n">
        <v>0.91</v>
      </c>
      <c r="P3716" t="n">
        <v>1</v>
      </c>
      <c r="Q3716" t="n">
        <v>0.05</v>
      </c>
      <c r="R3716" t="n">
        <v>2</v>
      </c>
      <c r="S3716" t="n">
        <v>1820</v>
      </c>
      <c r="T3716" t="n">
        <v>20</v>
      </c>
      <c r="U3716" t="n">
        <v>21</v>
      </c>
      <c r="V3716" t="n">
        <v>30</v>
      </c>
      <c r="W3716" t="n">
        <v>3</v>
      </c>
      <c r="X3716" t="n">
        <v>41.2087912087912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10134</v>
      </c>
      <c r="AG3716" t="n">
        <v>78</v>
      </c>
      <c r="AH3716" t="inlineStr">
        <is>
          <t>PT. GLORIENTA P.H - PPN (PDG)</t>
        </is>
      </c>
      <c r="AI3716" t="n">
        <v>113</v>
      </c>
      <c r="AJ3716" t="inlineStr">
        <is>
          <t>NATUR-E</t>
        </is>
      </c>
      <c r="AK3716" t="n">
        <v>21</v>
      </c>
      <c r="AL3716" t="inlineStr">
        <is>
          <t>Miss Glam Damar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NATUR-E</t>
        </is>
      </c>
      <c r="B3717" s="2">
        <f>"30200424637"</f>
        <v/>
      </c>
      <c r="C3717" t="inlineStr">
        <is>
          <t>NATUR-E Advanced Hand &amp; Body Serum 100ml</t>
        </is>
      </c>
      <c r="D3717" t="inlineStr">
        <is>
          <t>Miss Glam Damar</t>
        </is>
      </c>
      <c r="E3717" t="n">
        <v>5</v>
      </c>
      <c r="F3717" t="n">
        <v>0.2275</v>
      </c>
      <c r="G3717" t="n">
        <v>1.82</v>
      </c>
      <c r="H3717" t="n">
        <v>3</v>
      </c>
      <c r="I3717" t="n">
        <v>11</v>
      </c>
      <c r="J3717" t="n">
        <v>1</v>
      </c>
      <c r="K3717" t="n">
        <v>0</v>
      </c>
      <c r="L3717" t="n">
        <v>18867</v>
      </c>
      <c r="M3717" t="n">
        <v>22500</v>
      </c>
      <c r="N3717" t="n">
        <v>91</v>
      </c>
      <c r="O3717" t="n">
        <v>0.91</v>
      </c>
      <c r="P3717" t="n">
        <v>1</v>
      </c>
      <c r="Q3717" t="n">
        <v>0.14</v>
      </c>
      <c r="R3717" t="n">
        <v>1</v>
      </c>
      <c r="S3717" t="n">
        <v>5118.75</v>
      </c>
      <c r="T3717" t="n">
        <v>20</v>
      </c>
      <c r="U3717" t="n">
        <v>21</v>
      </c>
      <c r="V3717" t="n">
        <v>30</v>
      </c>
      <c r="W3717" t="n">
        <v>7</v>
      </c>
      <c r="X3717" t="n">
        <v>21.97802197802198</v>
      </c>
      <c r="Y3717" t="n">
        <v>1</v>
      </c>
      <c r="Z3717" t="n">
        <v>2</v>
      </c>
      <c r="AA3717" t="n">
        <v>0</v>
      </c>
      <c r="AB3717" t="n">
        <v>2</v>
      </c>
      <c r="AC3717" t="n">
        <v>2</v>
      </c>
      <c r="AD3717" t="n">
        <v>0</v>
      </c>
      <c r="AE3717" t="n">
        <v>37734</v>
      </c>
      <c r="AF3717" t="n">
        <v>10134</v>
      </c>
      <c r="AG3717" t="n">
        <v>78</v>
      </c>
      <c r="AH3717" t="inlineStr">
        <is>
          <t>PT. GLORIENTA P.H - PPN (PDG)</t>
        </is>
      </c>
      <c r="AI3717" t="n">
        <v>113</v>
      </c>
      <c r="AJ3717" t="inlineStr">
        <is>
          <t>NATUR-E</t>
        </is>
      </c>
      <c r="AK3717" t="n">
        <v>21</v>
      </c>
      <c r="AL3717" t="inlineStr">
        <is>
          <t>Miss Glam Damar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NATUR-E</t>
        </is>
      </c>
      <c r="B3718" s="2">
        <f>"30200424360"</f>
        <v/>
      </c>
      <c r="C3718" t="inlineStr">
        <is>
          <t>NATUR-E Advanced Hand &amp; Body Serum 180ml</t>
        </is>
      </c>
      <c r="D3718" t="inlineStr">
        <is>
          <t>Miss Glam Damar</t>
        </is>
      </c>
      <c r="E3718" t="n">
        <v>18</v>
      </c>
      <c r="F3718" t="n">
        <v>0.2912</v>
      </c>
      <c r="G3718" t="n">
        <v>1.82</v>
      </c>
      <c r="H3718" t="n">
        <v>3</v>
      </c>
      <c r="I3718" t="n">
        <v>11</v>
      </c>
      <c r="J3718" t="n">
        <v>3</v>
      </c>
      <c r="K3718" t="n">
        <v>0</v>
      </c>
      <c r="L3718" t="n">
        <v>33300</v>
      </c>
      <c r="M3718" t="n">
        <v>44000</v>
      </c>
      <c r="N3718" t="n">
        <v>91</v>
      </c>
      <c r="O3718" t="n">
        <v>0.91</v>
      </c>
      <c r="P3718" t="n">
        <v>1</v>
      </c>
      <c r="Q3718" t="n">
        <v>0.76</v>
      </c>
      <c r="R3718" t="n">
        <v>3</v>
      </c>
      <c r="S3718" t="n">
        <v>12812.8</v>
      </c>
      <c r="T3718" t="n">
        <v>20</v>
      </c>
      <c r="U3718" t="n">
        <v>21</v>
      </c>
      <c r="V3718" t="n">
        <v>30</v>
      </c>
      <c r="W3718" t="n">
        <v>9</v>
      </c>
      <c r="X3718" t="n">
        <v>61.81318681318681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10134</v>
      </c>
      <c r="AG3718" t="n">
        <v>78</v>
      </c>
      <c r="AH3718" t="inlineStr">
        <is>
          <t>PT. GLORIENTA P.H - PPN (PDG)</t>
        </is>
      </c>
      <c r="AI3718" t="n">
        <v>113</v>
      </c>
      <c r="AJ3718" t="inlineStr">
        <is>
          <t>NATUR-E</t>
        </is>
      </c>
      <c r="AK3718" t="n">
        <v>21</v>
      </c>
      <c r="AL3718" t="inlineStr">
        <is>
          <t>Miss Glam Damar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NATUR-E</t>
        </is>
      </c>
      <c r="B3719" s="2">
        <f>"10200160145"</f>
        <v/>
      </c>
      <c r="C3719" t="inlineStr">
        <is>
          <t>NATUR-E Advanced Intensive Boosting Essence Toner 100ml</t>
        </is>
      </c>
      <c r="D3719" t="inlineStr">
        <is>
          <t>Miss Glam Damar</t>
        </is>
      </c>
      <c r="E3719" t="n">
        <v>12</v>
      </c>
      <c r="F3719" t="n">
        <v>0.0182</v>
      </c>
      <c r="G3719" t="n">
        <v>0.91</v>
      </c>
      <c r="H3719" t="n">
        <v>3</v>
      </c>
      <c r="I3719" t="n">
        <v>11</v>
      </c>
      <c r="J3719" t="n">
        <v>1</v>
      </c>
      <c r="K3719" t="n">
        <v>0</v>
      </c>
      <c r="L3719" t="n">
        <v>63092</v>
      </c>
      <c r="M3719" t="n">
        <v>76000</v>
      </c>
      <c r="N3719" t="n">
        <v>91</v>
      </c>
      <c r="O3719" t="n">
        <v>0.91</v>
      </c>
      <c r="P3719" t="n">
        <v>1</v>
      </c>
      <c r="Q3719" t="n">
        <v>0.02</v>
      </c>
      <c r="R3719" t="n">
        <v>1</v>
      </c>
      <c r="S3719" t="n">
        <v>1383.2</v>
      </c>
      <c r="T3719" t="n">
        <v>10</v>
      </c>
      <c r="U3719" t="n">
        <v>11</v>
      </c>
      <c r="V3719" t="n">
        <v>30</v>
      </c>
      <c r="W3719" t="n">
        <v>1</v>
      </c>
      <c r="X3719" t="n">
        <v>659.3406593406593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10134</v>
      </c>
      <c r="AG3719" t="n">
        <v>78</v>
      </c>
      <c r="AH3719" t="inlineStr">
        <is>
          <t>PT. GLORIENTA P.H - PPN (PDG)</t>
        </is>
      </c>
      <c r="AI3719" t="n">
        <v>113</v>
      </c>
      <c r="AJ3719" t="inlineStr">
        <is>
          <t>NATUR-E</t>
        </is>
      </c>
      <c r="AK3719" t="n">
        <v>21</v>
      </c>
      <c r="AL3719" t="inlineStr">
        <is>
          <t>Miss Glam Damar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NATUR-E</t>
        </is>
      </c>
      <c r="B3720" s="2">
        <f>"101001107912"</f>
        <v/>
      </c>
      <c r="C3720" t="inlineStr">
        <is>
          <t>NATUR-E Advanced intensive Deep Cleanse Facial Wash 50ml</t>
        </is>
      </c>
      <c r="D3720" t="inlineStr">
        <is>
          <t>Miss Glam Damar</t>
        </is>
      </c>
      <c r="E3720" t="n">
        <v>3</v>
      </c>
      <c r="F3720" t="n">
        <v>0.0182</v>
      </c>
      <c r="G3720" t="n">
        <v>0.91</v>
      </c>
      <c r="H3720" t="n">
        <v>3</v>
      </c>
      <c r="I3720" t="n">
        <v>11</v>
      </c>
      <c r="J3720" t="n">
        <v>1</v>
      </c>
      <c r="K3720" t="n">
        <v>0</v>
      </c>
      <c r="L3720" t="n">
        <v>40483</v>
      </c>
      <c r="M3720" t="n">
        <v>46500</v>
      </c>
      <c r="N3720" t="n">
        <v>91</v>
      </c>
      <c r="O3720" t="n">
        <v>0.91</v>
      </c>
      <c r="P3720" t="n">
        <v>1</v>
      </c>
      <c r="Q3720" t="n">
        <v>0.03</v>
      </c>
      <c r="R3720" t="n">
        <v>1</v>
      </c>
      <c r="S3720" t="n">
        <v>846.3000000000001</v>
      </c>
      <c r="T3720" t="n">
        <v>10</v>
      </c>
      <c r="U3720" t="n">
        <v>11</v>
      </c>
      <c r="V3720" t="n">
        <v>30</v>
      </c>
      <c r="W3720" t="n">
        <v>1</v>
      </c>
      <c r="X3720" t="n">
        <v>164.8351648351648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10134</v>
      </c>
      <c r="AG3720" t="n">
        <v>78</v>
      </c>
      <c r="AH3720" t="inlineStr">
        <is>
          <t>PT. GLORIENTA P.H - PPN (PDG)</t>
        </is>
      </c>
      <c r="AI3720" t="n">
        <v>113</v>
      </c>
      <c r="AJ3720" t="inlineStr">
        <is>
          <t>NATUR-E</t>
        </is>
      </c>
      <c r="AK3720" t="n">
        <v>21</v>
      </c>
      <c r="AL3720" t="inlineStr">
        <is>
          <t>Miss Glam Damar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NATUR-E</t>
        </is>
      </c>
      <c r="B3721" s="2">
        <f>"10800206932"</f>
        <v/>
      </c>
      <c r="C3721" t="inlineStr">
        <is>
          <t>NATUR-E Advanced Intensive Eye Treatment 15ml</t>
        </is>
      </c>
      <c r="D3721" t="inlineStr">
        <is>
          <t>Miss Glam Damar</t>
        </is>
      </c>
      <c r="E3721" t="n">
        <v>7</v>
      </c>
      <c r="F3721" t="n">
        <v>0.0728</v>
      </c>
      <c r="G3721" t="n">
        <v>0.91</v>
      </c>
      <c r="H3721" t="n">
        <v>3</v>
      </c>
      <c r="I3721" t="n">
        <v>11</v>
      </c>
      <c r="J3721" t="n">
        <v>1</v>
      </c>
      <c r="K3721" t="n">
        <v>0</v>
      </c>
      <c r="L3721" t="n">
        <v>68820</v>
      </c>
      <c r="M3721" t="n">
        <v>81000</v>
      </c>
      <c r="N3721" t="n">
        <v>91</v>
      </c>
      <c r="O3721" t="n">
        <v>0.91</v>
      </c>
      <c r="P3721" t="n">
        <v>1</v>
      </c>
      <c r="Q3721" t="n">
        <v>0.14</v>
      </c>
      <c r="R3721" t="n">
        <v>2</v>
      </c>
      <c r="S3721" t="n">
        <v>5896.8</v>
      </c>
      <c r="T3721" t="n">
        <v>10</v>
      </c>
      <c r="U3721" t="n">
        <v>11</v>
      </c>
      <c r="V3721" t="n">
        <v>30</v>
      </c>
      <c r="W3721" t="n">
        <v>3</v>
      </c>
      <c r="X3721" t="n">
        <v>96.15384615384615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10134</v>
      </c>
      <c r="AG3721" t="n">
        <v>78</v>
      </c>
      <c r="AH3721" t="inlineStr">
        <is>
          <t>PT. GLORIENTA P.H - PPN (PDG)</t>
        </is>
      </c>
      <c r="AI3721" t="n">
        <v>113</v>
      </c>
      <c r="AJ3721" t="inlineStr">
        <is>
          <t>NATUR-E</t>
        </is>
      </c>
      <c r="AK3721" t="n">
        <v>21</v>
      </c>
      <c r="AL3721" t="inlineStr">
        <is>
          <t>Miss Glam Damar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NATUR-E</t>
        </is>
      </c>
      <c r="B3722" s="2">
        <f>"10300721942"</f>
        <v/>
      </c>
      <c r="C3722" t="inlineStr">
        <is>
          <t>NATUR-E Advanced Intensive Firming Moisture Gel 30ml</t>
        </is>
      </c>
      <c r="D3722" t="inlineStr">
        <is>
          <t>Miss Glam Damar</t>
        </is>
      </c>
      <c r="E3722" t="n">
        <v>4</v>
      </c>
      <c r="F3722" t="n">
        <v>0.04550000000000001</v>
      </c>
      <c r="G3722" t="n">
        <v>1.82</v>
      </c>
      <c r="H3722" t="n">
        <v>3</v>
      </c>
      <c r="I3722" t="n">
        <v>11</v>
      </c>
      <c r="J3722" t="n">
        <v>1</v>
      </c>
      <c r="K3722" t="n">
        <v>0</v>
      </c>
      <c r="L3722" t="n">
        <v>72150</v>
      </c>
      <c r="M3722" t="n">
        <v>85000</v>
      </c>
      <c r="N3722" t="n">
        <v>91</v>
      </c>
      <c r="O3722" t="n">
        <v>0.91</v>
      </c>
      <c r="P3722" t="n">
        <v>1</v>
      </c>
      <c r="Q3722" t="n">
        <v>0.08</v>
      </c>
      <c r="R3722" t="n">
        <v>1</v>
      </c>
      <c r="S3722" t="n">
        <v>3867.5</v>
      </c>
      <c r="T3722" t="n">
        <v>20</v>
      </c>
      <c r="U3722" t="n">
        <v>21</v>
      </c>
      <c r="V3722" t="n">
        <v>30</v>
      </c>
      <c r="W3722" t="n">
        <v>2</v>
      </c>
      <c r="X3722" t="n">
        <v>87.9120879120879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10134</v>
      </c>
      <c r="AG3722" t="n">
        <v>78</v>
      </c>
      <c r="AH3722" t="inlineStr">
        <is>
          <t>PT. GLORIENTA P.H - PPN (PDG)</t>
        </is>
      </c>
      <c r="AI3722" t="n">
        <v>113</v>
      </c>
      <c r="AJ3722" t="inlineStr">
        <is>
          <t>NATUR-E</t>
        </is>
      </c>
      <c r="AK3722" t="n">
        <v>21</v>
      </c>
      <c r="AL3722" t="inlineStr">
        <is>
          <t>Miss Glam Damar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NATUR-E</t>
        </is>
      </c>
      <c r="B3723" s="2">
        <f>"11200431733"</f>
        <v/>
      </c>
      <c r="C3723" t="inlineStr">
        <is>
          <t>NATUR-E Advanced intensive Firming Serum 20ml</t>
        </is>
      </c>
      <c r="D3723" t="inlineStr">
        <is>
          <t>Miss Glam Damar</t>
        </is>
      </c>
      <c r="E3723" t="n">
        <v>2</v>
      </c>
      <c r="F3723" t="n">
        <v>0.04550000000000001</v>
      </c>
      <c r="G3723" t="n">
        <v>0.91</v>
      </c>
      <c r="H3723" t="n">
        <v>3</v>
      </c>
      <c r="I3723" t="n">
        <v>11</v>
      </c>
      <c r="J3723" t="n">
        <v>1</v>
      </c>
      <c r="K3723" t="n">
        <v>0</v>
      </c>
      <c r="L3723" t="n">
        <v>73970</v>
      </c>
      <c r="M3723" t="n">
        <v>89000</v>
      </c>
      <c r="N3723" t="n">
        <v>91</v>
      </c>
      <c r="O3723" t="n">
        <v>0.91</v>
      </c>
      <c r="P3723" t="n">
        <v>1</v>
      </c>
      <c r="Q3723" t="n">
        <v>0.07000000000000001</v>
      </c>
      <c r="R3723" t="n">
        <v>1</v>
      </c>
      <c r="S3723" t="n">
        <v>4049.5</v>
      </c>
      <c r="T3723" t="n">
        <v>10</v>
      </c>
      <c r="U3723" t="n">
        <v>11</v>
      </c>
      <c r="V3723" t="n">
        <v>30</v>
      </c>
      <c r="W3723" t="n">
        <v>2</v>
      </c>
      <c r="X3723" t="n">
        <v>43.95604395604395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10134</v>
      </c>
      <c r="AG3723" t="n">
        <v>78</v>
      </c>
      <c r="AH3723" t="inlineStr">
        <is>
          <t>PT. GLORIENTA P.H - PPN (PDG)</t>
        </is>
      </c>
      <c r="AI3723" t="n">
        <v>113</v>
      </c>
      <c r="AJ3723" t="inlineStr">
        <is>
          <t>NATUR-E</t>
        </is>
      </c>
      <c r="AK3723" t="n">
        <v>21</v>
      </c>
      <c r="AL3723" t="inlineStr">
        <is>
          <t>Miss Glam Damar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NATUR-E</t>
        </is>
      </c>
      <c r="B3724" s="2">
        <f>"10400517606"</f>
        <v/>
      </c>
      <c r="C3724" t="inlineStr">
        <is>
          <t>NATUR-E Advanced Sun Protection 40ml</t>
        </is>
      </c>
      <c r="D3724" t="inlineStr">
        <is>
          <t>Miss Glam Damar</t>
        </is>
      </c>
      <c r="E3724" t="n">
        <v>2</v>
      </c>
      <c r="F3724" t="n">
        <v>0.0182</v>
      </c>
      <c r="G3724" t="n">
        <v>0.91</v>
      </c>
      <c r="H3724" t="n">
        <v>3</v>
      </c>
      <c r="I3724" t="n">
        <v>11</v>
      </c>
      <c r="J3724" t="n">
        <v>1</v>
      </c>
      <c r="K3724" t="n">
        <v>0</v>
      </c>
      <c r="L3724" t="n">
        <v>64380</v>
      </c>
      <c r="M3724" t="n">
        <v>82000</v>
      </c>
      <c r="N3724" t="n">
        <v>91</v>
      </c>
      <c r="O3724" t="n">
        <v>0.91</v>
      </c>
      <c r="P3724" t="n">
        <v>1</v>
      </c>
      <c r="Q3724" t="n">
        <v>0.07000000000000001</v>
      </c>
      <c r="R3724" t="n">
        <v>1</v>
      </c>
      <c r="S3724" t="n">
        <v>1492.4</v>
      </c>
      <c r="T3724" t="n">
        <v>10</v>
      </c>
      <c r="U3724" t="n">
        <v>11</v>
      </c>
      <c r="V3724" t="n">
        <v>30</v>
      </c>
      <c r="W3724" t="n">
        <v>1</v>
      </c>
      <c r="X3724" t="n">
        <v>109.8901098901099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10134</v>
      </c>
      <c r="AG3724" t="n">
        <v>78</v>
      </c>
      <c r="AH3724" t="inlineStr">
        <is>
          <t>PT. GLORIENTA P.H - PPN (PDG)</t>
        </is>
      </c>
      <c r="AI3724" t="n">
        <v>113</v>
      </c>
      <c r="AJ3724" t="inlineStr">
        <is>
          <t>NATUR-E</t>
        </is>
      </c>
      <c r="AK3724" t="n">
        <v>21</v>
      </c>
      <c r="AL3724" t="inlineStr">
        <is>
          <t>Miss Glam Damar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NATUR-E</t>
        </is>
      </c>
      <c r="B3725" s="2">
        <f>"8999809104557"</f>
        <v/>
      </c>
      <c r="C3725" t="inlineStr">
        <is>
          <t>NATUR-E Brightening Hand Body Serum 180ml</t>
        </is>
      </c>
      <c r="D3725" t="inlineStr">
        <is>
          <t>Miss Glam Damar</t>
        </is>
      </c>
      <c r="E3725" t="n">
        <v>43</v>
      </c>
      <c r="F3725" t="n">
        <v>3.0576</v>
      </c>
      <c r="G3725" t="n">
        <v>13.65</v>
      </c>
      <c r="H3725" t="n">
        <v>3</v>
      </c>
      <c r="I3725" t="n">
        <v>11</v>
      </c>
      <c r="J3725" t="n">
        <v>3</v>
      </c>
      <c r="K3725" t="n">
        <v>0</v>
      </c>
      <c r="L3725" t="n">
        <v>36586</v>
      </c>
      <c r="M3725" t="n">
        <v>44000</v>
      </c>
      <c r="N3725" t="n">
        <v>91</v>
      </c>
      <c r="O3725" t="n">
        <v>0.91</v>
      </c>
      <c r="P3725" t="n">
        <v>1</v>
      </c>
      <c r="Q3725" t="n">
        <v>2.15</v>
      </c>
      <c r="R3725" t="n">
        <v>10</v>
      </c>
      <c r="S3725" t="n">
        <v>134534.4</v>
      </c>
      <c r="T3725" t="n">
        <v>141</v>
      </c>
      <c r="U3725" t="n">
        <v>151</v>
      </c>
      <c r="V3725" t="n">
        <v>30</v>
      </c>
      <c r="W3725" t="n">
        <v>92</v>
      </c>
      <c r="X3725" t="n">
        <v>14.06331763474621</v>
      </c>
      <c r="Y3725" t="n">
        <v>1</v>
      </c>
      <c r="Z3725" t="n">
        <v>49</v>
      </c>
      <c r="AA3725" t="n">
        <v>0</v>
      </c>
      <c r="AB3725" t="n">
        <v>49</v>
      </c>
      <c r="AC3725" t="n">
        <v>49</v>
      </c>
      <c r="AD3725" t="n">
        <v>0</v>
      </c>
      <c r="AE3725" t="n">
        <v>1792714</v>
      </c>
      <c r="AF3725" t="n">
        <v>10134</v>
      </c>
      <c r="AG3725" t="n">
        <v>78</v>
      </c>
      <c r="AH3725" t="inlineStr">
        <is>
          <t>PT. GLORIENTA P.H - PPN (PDG)</t>
        </is>
      </c>
      <c r="AI3725" t="n">
        <v>113</v>
      </c>
      <c r="AJ3725" t="inlineStr">
        <is>
          <t>NATUR-E</t>
        </is>
      </c>
      <c r="AK3725" t="n">
        <v>21</v>
      </c>
      <c r="AL3725" t="inlineStr">
        <is>
          <t>Miss Glam Damar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NATUR-E</t>
        </is>
      </c>
      <c r="B3726" s="2">
        <f>"8999809350497"</f>
        <v/>
      </c>
      <c r="C3726" t="inlineStr">
        <is>
          <t>NATUR-E Ceraglow Skin Barrier Calming Moisture Gel 30ml</t>
        </is>
      </c>
      <c r="D3726" t="inlineStr">
        <is>
          <t>Miss Glam Damar</t>
        </is>
      </c>
      <c r="E3726" t="n">
        <v>4</v>
      </c>
      <c r="F3726" t="n">
        <v>0.0273</v>
      </c>
      <c r="G3726" t="n">
        <v>0.91</v>
      </c>
      <c r="H3726" t="n">
        <v>3</v>
      </c>
      <c r="I3726" t="n">
        <v>11</v>
      </c>
      <c r="J3726" t="n">
        <v>3</v>
      </c>
      <c r="K3726" t="n">
        <v>0</v>
      </c>
      <c r="L3726" t="n">
        <v>67932</v>
      </c>
      <c r="M3726" t="n">
        <v>90000</v>
      </c>
      <c r="N3726" t="n">
        <v>91</v>
      </c>
      <c r="O3726" t="n">
        <v>0.91</v>
      </c>
      <c r="P3726" t="n">
        <v>1</v>
      </c>
      <c r="Q3726" t="n">
        <v>0.02</v>
      </c>
      <c r="R3726" t="n">
        <v>1</v>
      </c>
      <c r="S3726" t="n">
        <v>2457</v>
      </c>
      <c r="T3726" t="n">
        <v>10</v>
      </c>
      <c r="U3726" t="n">
        <v>11</v>
      </c>
      <c r="V3726" t="n">
        <v>30</v>
      </c>
      <c r="W3726" t="n">
        <v>1</v>
      </c>
      <c r="X3726" t="n">
        <v>146.5201465201465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10134</v>
      </c>
      <c r="AG3726" t="n">
        <v>78</v>
      </c>
      <c r="AH3726" t="inlineStr">
        <is>
          <t>PT. GLORIENTA P.H - PPN (PDG)</t>
        </is>
      </c>
      <c r="AI3726" t="n">
        <v>113</v>
      </c>
      <c r="AJ3726" t="inlineStr">
        <is>
          <t>NATUR-E</t>
        </is>
      </c>
      <c r="AK3726" t="n">
        <v>21</v>
      </c>
      <c r="AL3726" t="inlineStr">
        <is>
          <t>Miss Glam Damar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NATUR-E</t>
        </is>
      </c>
      <c r="B3727" s="2">
        <f>"8999809350480"</f>
        <v/>
      </c>
      <c r="C3727" t="inlineStr">
        <is>
          <t>NATUR-E Ceraglow Skin Barrier Calming Serum 20ml</t>
        </is>
      </c>
      <c r="D3727" t="inlineStr">
        <is>
          <t>Miss Glam Damar</t>
        </is>
      </c>
      <c r="E3727" t="n">
        <v>6</v>
      </c>
      <c r="F3727" t="n">
        <v>0.0182</v>
      </c>
      <c r="G3727" t="n">
        <v>0.91</v>
      </c>
      <c r="H3727" t="n">
        <v>3</v>
      </c>
      <c r="I3727" t="n">
        <v>11</v>
      </c>
      <c r="J3727" t="n">
        <v>3</v>
      </c>
      <c r="K3727" t="n">
        <v>0</v>
      </c>
      <c r="L3727" t="n">
        <v>80142</v>
      </c>
      <c r="M3727" t="n">
        <v>100000</v>
      </c>
      <c r="N3727" t="n">
        <v>91</v>
      </c>
      <c r="O3727" t="n">
        <v>0.91</v>
      </c>
      <c r="P3727" t="n">
        <v>1</v>
      </c>
      <c r="Q3727" t="n">
        <v>0.02</v>
      </c>
      <c r="R3727" t="n">
        <v>1</v>
      </c>
      <c r="S3727" t="n">
        <v>1820</v>
      </c>
      <c r="T3727" t="n">
        <v>10</v>
      </c>
      <c r="U3727" t="n">
        <v>11</v>
      </c>
      <c r="V3727" t="n">
        <v>30</v>
      </c>
      <c r="W3727" t="n">
        <v>1</v>
      </c>
      <c r="X3727" t="n">
        <v>329.6703296703296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10134</v>
      </c>
      <c r="AG3727" t="n">
        <v>78</v>
      </c>
      <c r="AH3727" t="inlineStr">
        <is>
          <t>PT. GLORIENTA P.H - PPN (PDG)</t>
        </is>
      </c>
      <c r="AI3727" t="n">
        <v>113</v>
      </c>
      <c r="AJ3727" t="inlineStr">
        <is>
          <t>NATUR-E</t>
        </is>
      </c>
      <c r="AK3727" t="n">
        <v>21</v>
      </c>
      <c r="AL3727" t="inlineStr">
        <is>
          <t>Miss Glam Damar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NATUR-E</t>
        </is>
      </c>
      <c r="B3728" s="2">
        <f>"60100406546"</f>
        <v/>
      </c>
      <c r="C3728" t="inlineStr">
        <is>
          <t>NATUR-E CollaBites Pouch Gummy Collagen With Vitamin E &amp; Biotin 1 Sachet</t>
        </is>
      </c>
      <c r="D3728" t="inlineStr">
        <is>
          <t>Miss Glam Damar</t>
        </is>
      </c>
      <c r="E3728" t="n">
        <v>11</v>
      </c>
      <c r="F3728" t="n">
        <v>0.6461</v>
      </c>
      <c r="G3728" t="n">
        <v>3.64</v>
      </c>
      <c r="H3728" t="n">
        <v>3</v>
      </c>
      <c r="I3728" t="n">
        <v>11</v>
      </c>
      <c r="J3728" t="n">
        <v>8</v>
      </c>
      <c r="K3728" t="n">
        <v>0</v>
      </c>
      <c r="L3728" t="n">
        <v>25530</v>
      </c>
      <c r="M3728" t="n">
        <v>32000</v>
      </c>
      <c r="N3728" t="n">
        <v>91</v>
      </c>
      <c r="O3728" t="n">
        <v>0.91</v>
      </c>
      <c r="P3728" t="n">
        <v>1</v>
      </c>
      <c r="Q3728" t="n">
        <v>0.36</v>
      </c>
      <c r="R3728" t="n">
        <v>2</v>
      </c>
      <c r="S3728" t="n">
        <v>20675.2</v>
      </c>
      <c r="T3728" t="n">
        <v>39</v>
      </c>
      <c r="U3728" t="n">
        <v>41</v>
      </c>
      <c r="V3728" t="n">
        <v>30</v>
      </c>
      <c r="W3728" t="n">
        <v>20</v>
      </c>
      <c r="X3728" t="n">
        <v>17.02522829283393</v>
      </c>
      <c r="Y3728" t="n">
        <v>1</v>
      </c>
      <c r="Z3728" t="n">
        <v>9</v>
      </c>
      <c r="AA3728" t="n">
        <v>0</v>
      </c>
      <c r="AB3728" t="n">
        <v>9</v>
      </c>
      <c r="AC3728" t="n">
        <v>9</v>
      </c>
      <c r="AD3728" t="n">
        <v>0</v>
      </c>
      <c r="AE3728" t="n">
        <v>229770</v>
      </c>
      <c r="AF3728" t="n">
        <v>10134</v>
      </c>
      <c r="AG3728" t="n">
        <v>78</v>
      </c>
      <c r="AH3728" t="inlineStr">
        <is>
          <t>PT. GLORIENTA P.H - PPN (PDG)</t>
        </is>
      </c>
      <c r="AI3728" t="n">
        <v>113</v>
      </c>
      <c r="AJ3728" t="inlineStr">
        <is>
          <t>NATUR-E</t>
        </is>
      </c>
      <c r="AK3728" t="n">
        <v>21</v>
      </c>
      <c r="AL3728" t="inlineStr">
        <is>
          <t>Miss Glam Damar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NATUR-E</t>
        </is>
      </c>
      <c r="B3729" s="2">
        <f>"60100219522"</f>
        <v/>
      </c>
      <c r="C3729" t="inlineStr">
        <is>
          <t>NATUR-E CollaFibe Minuman Serbuk Rasa Strawberry Peach 90g (6 Sachet @15g)</t>
        </is>
      </c>
      <c r="D3729" t="inlineStr">
        <is>
          <t>Miss Glam Damar</t>
        </is>
      </c>
      <c r="E3729" t="n">
        <v>4</v>
      </c>
      <c r="F3729" t="n">
        <v>0.1092</v>
      </c>
      <c r="G3729" t="n">
        <v>1.82</v>
      </c>
      <c r="H3729" t="n">
        <v>3</v>
      </c>
      <c r="I3729" t="n">
        <v>11</v>
      </c>
      <c r="J3729" t="n">
        <v>1</v>
      </c>
      <c r="K3729" t="n">
        <v>0</v>
      </c>
      <c r="L3729" t="n">
        <v>76590</v>
      </c>
      <c r="M3729" t="n">
        <v>95000</v>
      </c>
      <c r="N3729" t="n">
        <v>91</v>
      </c>
      <c r="O3729" t="n">
        <v>0.91</v>
      </c>
      <c r="P3729" t="n">
        <v>1</v>
      </c>
      <c r="Q3729" t="n">
        <v>0.1</v>
      </c>
      <c r="R3729" t="n">
        <v>1</v>
      </c>
      <c r="S3729" t="n">
        <v>10374</v>
      </c>
      <c r="T3729" t="n">
        <v>20</v>
      </c>
      <c r="U3729" t="n">
        <v>21</v>
      </c>
      <c r="V3729" t="n">
        <v>30</v>
      </c>
      <c r="W3729" t="n">
        <v>4</v>
      </c>
      <c r="X3729" t="n">
        <v>36.63003663003663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10134</v>
      </c>
      <c r="AG3729" t="n">
        <v>78</v>
      </c>
      <c r="AH3729" t="inlineStr">
        <is>
          <t>PT. GLORIENTA P.H - PPN (PDG)</t>
        </is>
      </c>
      <c r="AI3729" t="n">
        <v>113</v>
      </c>
      <c r="AJ3729" t="inlineStr">
        <is>
          <t>NATUR-E</t>
        </is>
      </c>
      <c r="AK3729" t="n">
        <v>21</v>
      </c>
      <c r="AL3729" t="inlineStr">
        <is>
          <t>Miss Glam Damar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NATUR-E</t>
        </is>
      </c>
      <c r="B3730" s="2">
        <f>"8999809350510"</f>
        <v/>
      </c>
      <c r="C3730" t="inlineStr">
        <is>
          <t>NATUR-E Hyaluglow Deep Rich Hydrating Moisture Gel 30ml</t>
        </is>
      </c>
      <c r="D3730" t="inlineStr">
        <is>
          <t>Miss Glam Damar</t>
        </is>
      </c>
      <c r="E3730" t="n">
        <v>5</v>
      </c>
      <c r="F3730" t="n">
        <v>0.0273</v>
      </c>
      <c r="G3730" t="n">
        <v>0.91</v>
      </c>
      <c r="H3730" t="n">
        <v>3</v>
      </c>
      <c r="I3730" t="n">
        <v>11</v>
      </c>
      <c r="J3730" t="n">
        <v>3</v>
      </c>
      <c r="K3730" t="n">
        <v>0</v>
      </c>
      <c r="L3730" t="n">
        <v>72650</v>
      </c>
      <c r="M3730" t="n">
        <v>90000</v>
      </c>
      <c r="N3730" t="n">
        <v>91</v>
      </c>
      <c r="O3730" t="n">
        <v>0.91</v>
      </c>
      <c r="P3730" t="n">
        <v>1</v>
      </c>
      <c r="Q3730" t="n">
        <v>0.03</v>
      </c>
      <c r="R3730" t="n">
        <v>1</v>
      </c>
      <c r="S3730" t="n">
        <v>2457</v>
      </c>
      <c r="T3730" t="n">
        <v>10</v>
      </c>
      <c r="U3730" t="n">
        <v>11</v>
      </c>
      <c r="V3730" t="n">
        <v>30</v>
      </c>
      <c r="W3730" t="n">
        <v>1</v>
      </c>
      <c r="X3730" t="n">
        <v>183.1501831501832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10134</v>
      </c>
      <c r="AG3730" t="n">
        <v>78</v>
      </c>
      <c r="AH3730" t="inlineStr">
        <is>
          <t>PT. GLORIENTA P.H - PPN (PDG)</t>
        </is>
      </c>
      <c r="AI3730" t="n">
        <v>113</v>
      </c>
      <c r="AJ3730" t="inlineStr">
        <is>
          <t>NATUR-E</t>
        </is>
      </c>
      <c r="AK3730" t="n">
        <v>21</v>
      </c>
      <c r="AL3730" t="inlineStr">
        <is>
          <t>Miss Glam Damar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NATUR-E</t>
        </is>
      </c>
      <c r="B3731" s="2">
        <f>"8999809350503"</f>
        <v/>
      </c>
      <c r="C3731" t="inlineStr">
        <is>
          <t>NATUR-E Hyaluglow Deep Rich Hydrating Serum 20ml</t>
        </is>
      </c>
      <c r="D3731" t="inlineStr">
        <is>
          <t>Miss Glam Damar</t>
        </is>
      </c>
      <c r="E3731" t="n">
        <v>4</v>
      </c>
      <c r="F3731" t="n">
        <v>0.03</v>
      </c>
      <c r="G3731" t="n">
        <v>1</v>
      </c>
      <c r="H3731" t="n">
        <v>3</v>
      </c>
      <c r="I3731" t="n">
        <v>11</v>
      </c>
      <c r="J3731" t="n">
        <v>3</v>
      </c>
      <c r="K3731" t="n">
        <v>0</v>
      </c>
      <c r="L3731" t="n">
        <v>84360</v>
      </c>
      <c r="M3731" t="n">
        <v>100000</v>
      </c>
      <c r="N3731" t="n">
        <v>91</v>
      </c>
      <c r="O3731" t="n">
        <v>0.91</v>
      </c>
      <c r="P3731" t="n">
        <v>0</v>
      </c>
      <c r="Q3731" t="n">
        <v>0.03</v>
      </c>
      <c r="R3731" t="n">
        <v>1</v>
      </c>
      <c r="S3731" t="n">
        <v>3000</v>
      </c>
      <c r="T3731" t="n">
        <v>11</v>
      </c>
      <c r="U3731" t="n">
        <v>12</v>
      </c>
      <c r="V3731" t="n">
        <v>30</v>
      </c>
      <c r="W3731" t="n">
        <v>1</v>
      </c>
      <c r="X3731" t="n">
        <v>133.3333333333333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10134</v>
      </c>
      <c r="AG3731" t="n">
        <v>78</v>
      </c>
      <c r="AH3731" t="inlineStr">
        <is>
          <t>PT. GLORIENTA P.H - PPN (PDG)</t>
        </is>
      </c>
      <c r="AI3731" t="n">
        <v>113</v>
      </c>
      <c r="AJ3731" t="inlineStr">
        <is>
          <t>NATUR-E</t>
        </is>
      </c>
      <c r="AK3731" t="n">
        <v>21</v>
      </c>
      <c r="AL3731" t="inlineStr">
        <is>
          <t>Miss Glam Damar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NATUR-E</t>
        </is>
      </c>
      <c r="B3732" s="2">
        <f>"60100219502"</f>
        <v/>
      </c>
      <c r="C3732" t="inlineStr">
        <is>
          <t>NATUR-E Skin Start Natural Vitamin E 100 IU 8 Kapsul</t>
        </is>
      </c>
      <c r="D3732" t="inlineStr">
        <is>
          <t>Miss Glam Damar</t>
        </is>
      </c>
      <c r="E3732" t="n">
        <v>11</v>
      </c>
      <c r="F3732" t="n">
        <v>0.2821</v>
      </c>
      <c r="G3732" t="n">
        <v>1.82</v>
      </c>
      <c r="H3732" t="n">
        <v>3</v>
      </c>
      <c r="I3732" t="n">
        <v>11</v>
      </c>
      <c r="J3732" t="n">
        <v>1</v>
      </c>
      <c r="K3732" t="n">
        <v>0</v>
      </c>
      <c r="L3732" t="n">
        <v>10656</v>
      </c>
      <c r="M3732" t="n">
        <v>13000</v>
      </c>
      <c r="N3732" t="n">
        <v>91</v>
      </c>
      <c r="O3732" t="n">
        <v>0.91</v>
      </c>
      <c r="P3732" t="n">
        <v>1</v>
      </c>
      <c r="Q3732" t="n">
        <v>0.08</v>
      </c>
      <c r="R3732" t="n">
        <v>1</v>
      </c>
      <c r="S3732" t="n">
        <v>3667.3</v>
      </c>
      <c r="T3732" t="n">
        <v>20</v>
      </c>
      <c r="U3732" t="n">
        <v>21</v>
      </c>
      <c r="V3732" t="n">
        <v>30</v>
      </c>
      <c r="W3732" t="n">
        <v>9</v>
      </c>
      <c r="X3732" t="n">
        <v>38.99326479971641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10134</v>
      </c>
      <c r="AG3732" t="n">
        <v>78</v>
      </c>
      <c r="AH3732" t="inlineStr">
        <is>
          <t>PT. GLORIENTA P.H - PPN (PDG)</t>
        </is>
      </c>
      <c r="AI3732" t="n">
        <v>113</v>
      </c>
      <c r="AJ3732" t="inlineStr">
        <is>
          <t>NATUR-E</t>
        </is>
      </c>
      <c r="AK3732" t="n">
        <v>21</v>
      </c>
      <c r="AL3732" t="inlineStr">
        <is>
          <t>Miss Glam Damar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NATUR-E</t>
        </is>
      </c>
      <c r="B3733" s="2">
        <f>"11200147853"</f>
        <v/>
      </c>
      <c r="C3733" t="inlineStr">
        <is>
          <t>NATUR-E White Bright &amp; Glow Radiant Miracle Booster Serum 20ml</t>
        </is>
      </c>
      <c r="D3733" t="inlineStr">
        <is>
          <t>Miss Glam Damar</t>
        </is>
      </c>
      <c r="E3733" t="n">
        <v>5</v>
      </c>
      <c r="F3733" t="n">
        <v>0.0728</v>
      </c>
      <c r="G3733" t="n">
        <v>1.82</v>
      </c>
      <c r="H3733" t="n">
        <v>3</v>
      </c>
      <c r="I3733" t="n">
        <v>11</v>
      </c>
      <c r="J3733" t="n">
        <v>1</v>
      </c>
      <c r="K3733" t="n">
        <v>0</v>
      </c>
      <c r="L3733" t="n">
        <v>75480</v>
      </c>
      <c r="M3733" t="n">
        <v>89000</v>
      </c>
      <c r="N3733" t="n">
        <v>91</v>
      </c>
      <c r="O3733" t="n">
        <v>0.91</v>
      </c>
      <c r="P3733" t="n">
        <v>1</v>
      </c>
      <c r="Q3733" t="n">
        <v>0.02</v>
      </c>
      <c r="R3733" t="n">
        <v>1</v>
      </c>
      <c r="S3733" t="n">
        <v>6479.200000000001</v>
      </c>
      <c r="T3733" t="n">
        <v>20</v>
      </c>
      <c r="U3733" t="n">
        <v>21</v>
      </c>
      <c r="V3733" t="n">
        <v>30</v>
      </c>
      <c r="W3733" t="n">
        <v>3</v>
      </c>
      <c r="X3733" t="n">
        <v>68.68131868131867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10134</v>
      </c>
      <c r="AG3733" t="n">
        <v>78</v>
      </c>
      <c r="AH3733" t="inlineStr">
        <is>
          <t>PT. GLORIENTA P.H - PPN (PDG)</t>
        </is>
      </c>
      <c r="AI3733" t="n">
        <v>113</v>
      </c>
      <c r="AJ3733" t="inlineStr">
        <is>
          <t>NATUR-E</t>
        </is>
      </c>
      <c r="AK3733" t="n">
        <v>21</v>
      </c>
      <c r="AL3733" t="inlineStr">
        <is>
          <t>Miss Glam Damar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NATUR-E</t>
        </is>
      </c>
      <c r="B3734" s="2">
        <f>"10300722050"</f>
        <v/>
      </c>
      <c r="C3734" t="inlineStr">
        <is>
          <t>NATUR-E White Bright &amp; Glow Radiant Miracle Moisture Gel 30ml</t>
        </is>
      </c>
      <c r="D3734" t="inlineStr">
        <is>
          <t>Miss Glam Damar</t>
        </is>
      </c>
      <c r="E3734" t="n">
        <v>3</v>
      </c>
      <c r="F3734" t="n">
        <v>0.09100000000000001</v>
      </c>
      <c r="G3734" t="n">
        <v>0.91</v>
      </c>
      <c r="H3734" t="n">
        <v>3</v>
      </c>
      <c r="I3734" t="n">
        <v>11</v>
      </c>
      <c r="J3734" t="n">
        <v>1</v>
      </c>
      <c r="K3734" t="n">
        <v>0</v>
      </c>
      <c r="L3734" t="n">
        <v>72150</v>
      </c>
      <c r="M3734" t="n">
        <v>85000</v>
      </c>
      <c r="N3734" t="n">
        <v>91</v>
      </c>
      <c r="O3734" t="n">
        <v>0.91</v>
      </c>
      <c r="P3734" t="n">
        <v>1</v>
      </c>
      <c r="Q3734" t="n">
        <v>0.02</v>
      </c>
      <c r="R3734" t="n">
        <v>1</v>
      </c>
      <c r="S3734" t="n">
        <v>7735.000000000001</v>
      </c>
      <c r="T3734" t="n">
        <v>10</v>
      </c>
      <c r="U3734" t="n">
        <v>11</v>
      </c>
      <c r="V3734" t="n">
        <v>30</v>
      </c>
      <c r="W3734" t="n">
        <v>3</v>
      </c>
      <c r="X3734" t="n">
        <v>32.96703296703296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10134</v>
      </c>
      <c r="AG3734" t="n">
        <v>78</v>
      </c>
      <c r="AH3734" t="inlineStr">
        <is>
          <t>PT. GLORIENTA P.H - PPN (PDG)</t>
        </is>
      </c>
      <c r="AI3734" t="n">
        <v>113</v>
      </c>
      <c r="AJ3734" t="inlineStr">
        <is>
          <t>NATUR-E</t>
        </is>
      </c>
      <c r="AK3734" t="n">
        <v>21</v>
      </c>
      <c r="AL3734" t="inlineStr">
        <is>
          <t>Miss Glam Damar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NATUR-E</t>
        </is>
      </c>
      <c r="B3735" s="2">
        <f>"101001108010"</f>
        <v/>
      </c>
      <c r="C3735" t="inlineStr">
        <is>
          <t>NATUR-E White Bright &amp; Glow Radiant Purifying Facial Wash 50ml</t>
        </is>
      </c>
      <c r="D3735" t="inlineStr">
        <is>
          <t>Miss Glam Damar</t>
        </is>
      </c>
      <c r="E3735" t="n">
        <v>6</v>
      </c>
      <c r="F3735" t="n">
        <v>0.1729</v>
      </c>
      <c r="G3735" t="n">
        <v>1.82</v>
      </c>
      <c r="H3735" t="n">
        <v>3</v>
      </c>
      <c r="I3735" t="n">
        <v>11</v>
      </c>
      <c r="J3735" t="n">
        <v>1</v>
      </c>
      <c r="K3735" t="n">
        <v>0</v>
      </c>
      <c r="L3735" t="n">
        <v>41070</v>
      </c>
      <c r="M3735" t="n">
        <v>46500</v>
      </c>
      <c r="N3735" t="n">
        <v>91</v>
      </c>
      <c r="O3735" t="n">
        <v>0.91</v>
      </c>
      <c r="P3735" t="n">
        <v>1</v>
      </c>
      <c r="Q3735" t="n">
        <v>0.1</v>
      </c>
      <c r="R3735" t="n">
        <v>1</v>
      </c>
      <c r="S3735" t="n">
        <v>8039.85</v>
      </c>
      <c r="T3735" t="n">
        <v>20</v>
      </c>
      <c r="U3735" t="n">
        <v>21</v>
      </c>
      <c r="V3735" t="n">
        <v>30</v>
      </c>
      <c r="W3735" t="n">
        <v>6</v>
      </c>
      <c r="X3735" t="n">
        <v>34.70213996529786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10134</v>
      </c>
      <c r="AG3735" t="n">
        <v>78</v>
      </c>
      <c r="AH3735" t="inlineStr">
        <is>
          <t>PT. GLORIENTA P.H - PPN (PDG)</t>
        </is>
      </c>
      <c r="AI3735" t="n">
        <v>113</v>
      </c>
      <c r="AJ3735" t="inlineStr">
        <is>
          <t>NATUR-E</t>
        </is>
      </c>
      <c r="AK3735" t="n">
        <v>21</v>
      </c>
      <c r="AL3735" t="inlineStr">
        <is>
          <t>Miss Glam Damar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NATUR-E</t>
        </is>
      </c>
      <c r="B3736" s="2">
        <f>"10400517760"</f>
        <v/>
      </c>
      <c r="C3736" t="inlineStr">
        <is>
          <t>NATUR-E White Sun Protection 40ml</t>
        </is>
      </c>
      <c r="D3736" t="inlineStr">
        <is>
          <t>Miss Glam Damar</t>
        </is>
      </c>
      <c r="E3736" t="n">
        <v>4</v>
      </c>
      <c r="F3736" t="n">
        <v>0.0273</v>
      </c>
      <c r="G3736" t="n">
        <v>0.91</v>
      </c>
      <c r="H3736" t="n">
        <v>3</v>
      </c>
      <c r="I3736" t="n">
        <v>11</v>
      </c>
      <c r="J3736" t="n">
        <v>1</v>
      </c>
      <c r="K3736" t="n">
        <v>0</v>
      </c>
      <c r="L3736" t="n">
        <v>64380</v>
      </c>
      <c r="M3736" t="n">
        <v>82000</v>
      </c>
      <c r="N3736" t="n">
        <v>91</v>
      </c>
      <c r="O3736" t="n">
        <v>0.91</v>
      </c>
      <c r="P3736" t="n">
        <v>1</v>
      </c>
      <c r="Q3736" t="n">
        <v>0.03</v>
      </c>
      <c r="R3736" t="n">
        <v>1</v>
      </c>
      <c r="S3736" t="n">
        <v>2238.6</v>
      </c>
      <c r="T3736" t="n">
        <v>10</v>
      </c>
      <c r="U3736" t="n">
        <v>11</v>
      </c>
      <c r="V3736" t="n">
        <v>30</v>
      </c>
      <c r="W3736" t="n">
        <v>1</v>
      </c>
      <c r="X3736" t="n">
        <v>146.5201465201465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10134</v>
      </c>
      <c r="AG3736" t="n">
        <v>78</v>
      </c>
      <c r="AH3736" t="inlineStr">
        <is>
          <t>PT. GLORIENTA P.H - PPN (PDG)</t>
        </is>
      </c>
      <c r="AI3736" t="n">
        <v>113</v>
      </c>
      <c r="AJ3736" t="inlineStr">
        <is>
          <t>NATUR-E</t>
        </is>
      </c>
      <c r="AK3736" t="n">
        <v>21</v>
      </c>
      <c r="AL3736" t="inlineStr">
        <is>
          <t>Miss Glam Damar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NATUR-E</t>
        </is>
      </c>
      <c r="B3737" s="2">
        <f>"8999809102812"</f>
        <v/>
      </c>
      <c r="C3737" t="inlineStr">
        <is>
          <t>NATURE Advance Soft Capsule 32</t>
        </is>
      </c>
      <c r="D3737" t="inlineStr">
        <is>
          <t>Miss Glam Damar</t>
        </is>
      </c>
      <c r="E3737" t="n">
        <v>5</v>
      </c>
      <c r="F3737" t="n">
        <v>0.0728</v>
      </c>
      <c r="G3737" t="n">
        <v>0.91</v>
      </c>
      <c r="H3737" t="n">
        <v>3</v>
      </c>
      <c r="I3737" t="n">
        <v>11</v>
      </c>
      <c r="J3737" t="n">
        <v>3</v>
      </c>
      <c r="K3737" t="n">
        <v>0</v>
      </c>
      <c r="L3737" t="n">
        <v>74641</v>
      </c>
      <c r="M3737" t="n">
        <v>88000</v>
      </c>
      <c r="N3737" t="n">
        <v>91</v>
      </c>
      <c r="O3737" t="n">
        <v>0.91</v>
      </c>
      <c r="P3737" t="n">
        <v>1</v>
      </c>
      <c r="Q3737" t="n">
        <v>0.14</v>
      </c>
      <c r="R3737" t="n">
        <v>1</v>
      </c>
      <c r="S3737" t="n">
        <v>6406.400000000001</v>
      </c>
      <c r="T3737" t="n">
        <v>10</v>
      </c>
      <c r="U3737" t="n">
        <v>11</v>
      </c>
      <c r="V3737" t="n">
        <v>30</v>
      </c>
      <c r="W3737" t="n">
        <v>3</v>
      </c>
      <c r="X3737" t="n">
        <v>68.68131868131867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10134</v>
      </c>
      <c r="AG3737" t="n">
        <v>78</v>
      </c>
      <c r="AH3737" t="inlineStr">
        <is>
          <t>PT. GLORIENTA P.H - PPN (PDG)</t>
        </is>
      </c>
      <c r="AI3737" t="n">
        <v>113</v>
      </c>
      <c r="AJ3737" t="inlineStr">
        <is>
          <t>NATUR-E</t>
        </is>
      </c>
      <c r="AK3737" t="n">
        <v>21</v>
      </c>
      <c r="AL3737" t="inlineStr">
        <is>
          <t>Miss Glam Damar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NATUR-E</t>
        </is>
      </c>
      <c r="B3738" s="2">
        <f>"8999809102768"</f>
        <v/>
      </c>
      <c r="C3738" t="inlineStr">
        <is>
          <t>NATURE Daily Nourishing Moisturizing 100ml</t>
        </is>
      </c>
      <c r="D3738" t="inlineStr">
        <is>
          <t>Miss Glam Damar</t>
        </is>
      </c>
      <c r="E3738" t="n">
        <v>4</v>
      </c>
      <c r="F3738" t="n">
        <v>0.4277</v>
      </c>
      <c r="G3738" t="n">
        <v>1.82</v>
      </c>
      <c r="H3738" t="n">
        <v>3</v>
      </c>
      <c r="I3738" t="n">
        <v>11</v>
      </c>
      <c r="J3738" t="n">
        <v>6</v>
      </c>
      <c r="K3738" t="n">
        <v>0</v>
      </c>
      <c r="L3738" t="n">
        <v>11918</v>
      </c>
      <c r="M3738" t="n">
        <v>14500</v>
      </c>
      <c r="N3738" t="n">
        <v>91</v>
      </c>
      <c r="O3738" t="n">
        <v>0.91</v>
      </c>
      <c r="P3738" t="n">
        <v>1</v>
      </c>
      <c r="Q3738" t="n">
        <v>0.32</v>
      </c>
      <c r="R3738" t="n">
        <v>3</v>
      </c>
      <c r="S3738" t="n">
        <v>6201.65</v>
      </c>
      <c r="T3738" t="n">
        <v>19</v>
      </c>
      <c r="U3738" t="n">
        <v>21</v>
      </c>
      <c r="V3738" t="n">
        <v>30</v>
      </c>
      <c r="W3738" t="n">
        <v>13</v>
      </c>
      <c r="X3738" t="n">
        <v>9.352349777881694</v>
      </c>
      <c r="Y3738" t="n">
        <v>1</v>
      </c>
      <c r="Z3738" t="n">
        <v>9</v>
      </c>
      <c r="AA3738" t="n">
        <v>1</v>
      </c>
      <c r="AB3738" t="n">
        <v>8</v>
      </c>
      <c r="AC3738" t="n">
        <v>8</v>
      </c>
      <c r="AD3738" t="n">
        <v>11918</v>
      </c>
      <c r="AE3738" t="n">
        <v>95344</v>
      </c>
      <c r="AF3738" t="n">
        <v>10134</v>
      </c>
      <c r="AG3738" t="n">
        <v>78</v>
      </c>
      <c r="AH3738" t="inlineStr">
        <is>
          <t>PT. GLORIENTA P.H - PPN (PDG)</t>
        </is>
      </c>
      <c r="AI3738" t="n">
        <v>113</v>
      </c>
      <c r="AJ3738" t="inlineStr">
        <is>
          <t>NATUR-E</t>
        </is>
      </c>
      <c r="AK3738" t="n">
        <v>21</v>
      </c>
      <c r="AL3738" t="inlineStr">
        <is>
          <t>Miss Glam Damar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NATUR-E</t>
        </is>
      </c>
      <c r="B3739" s="2">
        <f>"8999809102775"</f>
        <v/>
      </c>
      <c r="C3739" t="inlineStr">
        <is>
          <t>NATURE Daily Nourishing Moisturizing 245ml</t>
        </is>
      </c>
      <c r="D3739" t="inlineStr">
        <is>
          <t>Miss Glam Damar</t>
        </is>
      </c>
      <c r="E3739" t="n">
        <v>7</v>
      </c>
      <c r="F3739" t="n">
        <v>0.5733</v>
      </c>
      <c r="G3739" t="n">
        <v>2.73</v>
      </c>
      <c r="H3739" t="n">
        <v>3</v>
      </c>
      <c r="I3739" t="n">
        <v>11</v>
      </c>
      <c r="J3739" t="n">
        <v>3</v>
      </c>
      <c r="K3739" t="n">
        <v>0</v>
      </c>
      <c r="L3739" t="n">
        <v>23909</v>
      </c>
      <c r="M3739" t="n">
        <v>28500</v>
      </c>
      <c r="N3739" t="n">
        <v>91</v>
      </c>
      <c r="O3739" t="n">
        <v>0.91</v>
      </c>
      <c r="P3739" t="n">
        <v>1</v>
      </c>
      <c r="Q3739" t="n">
        <v>0.49</v>
      </c>
      <c r="R3739" t="n">
        <v>3</v>
      </c>
      <c r="S3739" t="n">
        <v>16339.05</v>
      </c>
      <c r="T3739" t="n">
        <v>29</v>
      </c>
      <c r="U3739" t="n">
        <v>31</v>
      </c>
      <c r="V3739" t="n">
        <v>30</v>
      </c>
      <c r="W3739" t="n">
        <v>18</v>
      </c>
      <c r="X3739" t="n">
        <v>12.21001221001221</v>
      </c>
      <c r="Y3739" t="n">
        <v>1</v>
      </c>
      <c r="Z3739" t="n">
        <v>11</v>
      </c>
      <c r="AA3739" t="n">
        <v>0</v>
      </c>
      <c r="AB3739" t="n">
        <v>11</v>
      </c>
      <c r="AC3739" t="n">
        <v>11</v>
      </c>
      <c r="AD3739" t="n">
        <v>0</v>
      </c>
      <c r="AE3739" t="n">
        <v>262999</v>
      </c>
      <c r="AF3739" t="n">
        <v>10134</v>
      </c>
      <c r="AG3739" t="n">
        <v>78</v>
      </c>
      <c r="AH3739" t="inlineStr">
        <is>
          <t>PT. GLORIENTA P.H - PPN (PDG)</t>
        </is>
      </c>
      <c r="AI3739" t="n">
        <v>113</v>
      </c>
      <c r="AJ3739" t="inlineStr">
        <is>
          <t>NATUR-E</t>
        </is>
      </c>
      <c r="AK3739" t="n">
        <v>21</v>
      </c>
      <c r="AL3739" t="inlineStr">
        <is>
          <t>Miss Glam Damar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NATUR-E</t>
        </is>
      </c>
      <c r="B3740" s="2">
        <f>"8999809400017"</f>
        <v/>
      </c>
      <c r="C3740" t="inlineStr">
        <is>
          <t>NATURE Daily Nourishing Natural Vitamin E 100 IU 16 Capsule</t>
        </is>
      </c>
      <c r="D3740" t="inlineStr">
        <is>
          <t>Miss Glam Damar</t>
        </is>
      </c>
      <c r="E3740" t="n">
        <v>12</v>
      </c>
      <c r="F3740" t="n">
        <v>1.001</v>
      </c>
      <c r="G3740" t="n">
        <v>3.64</v>
      </c>
      <c r="H3740" t="n">
        <v>3</v>
      </c>
      <c r="I3740" t="n">
        <v>11</v>
      </c>
      <c r="J3740" t="n">
        <v>3</v>
      </c>
      <c r="K3740" t="n">
        <v>0</v>
      </c>
      <c r="L3740" t="n">
        <v>18521</v>
      </c>
      <c r="M3740" t="n">
        <v>22500</v>
      </c>
      <c r="N3740" t="n">
        <v>91</v>
      </c>
      <c r="O3740" t="n">
        <v>0.91</v>
      </c>
      <c r="P3740" t="n">
        <v>1</v>
      </c>
      <c r="Q3740" t="n">
        <v>0.34</v>
      </c>
      <c r="R3740" t="n">
        <v>2</v>
      </c>
      <c r="S3740" t="n">
        <v>22522.5</v>
      </c>
      <c r="T3740" t="n">
        <v>38</v>
      </c>
      <c r="U3740" t="n">
        <v>42</v>
      </c>
      <c r="V3740" t="n">
        <v>30</v>
      </c>
      <c r="W3740" t="n">
        <v>31</v>
      </c>
      <c r="X3740" t="n">
        <v>11.98801198801199</v>
      </c>
      <c r="Y3740" t="n">
        <v>1</v>
      </c>
      <c r="Z3740" t="n">
        <v>19</v>
      </c>
      <c r="AA3740" t="n">
        <v>0</v>
      </c>
      <c r="AB3740" t="n">
        <v>19</v>
      </c>
      <c r="AC3740" t="n">
        <v>19</v>
      </c>
      <c r="AD3740" t="n">
        <v>0</v>
      </c>
      <c r="AE3740" t="n">
        <v>351899</v>
      </c>
      <c r="AF3740" t="n">
        <v>10134</v>
      </c>
      <c r="AG3740" t="n">
        <v>78</v>
      </c>
      <c r="AH3740" t="inlineStr">
        <is>
          <t>PT. GLORIENTA P.H - PPN (PDG)</t>
        </is>
      </c>
      <c r="AI3740" t="n">
        <v>113</v>
      </c>
      <c r="AJ3740" t="inlineStr">
        <is>
          <t>NATUR-E</t>
        </is>
      </c>
      <c r="AK3740" t="n">
        <v>21</v>
      </c>
      <c r="AL3740" t="inlineStr">
        <is>
          <t>Miss Glam Damar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NATUR-E</t>
        </is>
      </c>
      <c r="B3741" s="2">
        <f>"8999809102577"</f>
        <v/>
      </c>
      <c r="C3741" t="inlineStr">
        <is>
          <t>NATURE Daily Nourishing Natural Vitamin E 100 IU 32 Capsule</t>
        </is>
      </c>
      <c r="D3741" t="inlineStr">
        <is>
          <t>Miss Glam Damar</t>
        </is>
      </c>
      <c r="E3741" t="n">
        <v>4</v>
      </c>
      <c r="F3741" t="n">
        <v>0.4641</v>
      </c>
      <c r="G3741" t="n">
        <v>1.82</v>
      </c>
      <c r="H3741" t="n">
        <v>3</v>
      </c>
      <c r="I3741" t="n">
        <v>11</v>
      </c>
      <c r="J3741" t="n">
        <v>3</v>
      </c>
      <c r="K3741" t="n">
        <v>0</v>
      </c>
      <c r="L3741" t="n">
        <v>32050</v>
      </c>
      <c r="M3741" t="n">
        <v>38000</v>
      </c>
      <c r="N3741" t="n">
        <v>91</v>
      </c>
      <c r="O3741" t="n">
        <v>0.91</v>
      </c>
      <c r="P3741" t="n">
        <v>1</v>
      </c>
      <c r="Q3741" t="n">
        <v>0.34</v>
      </c>
      <c r="R3741" t="n">
        <v>2</v>
      </c>
      <c r="S3741" t="n">
        <v>17635.8</v>
      </c>
      <c r="T3741" t="n">
        <v>19</v>
      </c>
      <c r="U3741" t="n">
        <v>21</v>
      </c>
      <c r="V3741" t="n">
        <v>30</v>
      </c>
      <c r="W3741" t="n">
        <v>14</v>
      </c>
      <c r="X3741" t="n">
        <v>8.618832148243913</v>
      </c>
      <c r="Y3741" t="n">
        <v>1</v>
      </c>
      <c r="Z3741" t="n">
        <v>10</v>
      </c>
      <c r="AA3741" t="n">
        <v>2</v>
      </c>
      <c r="AB3741" t="n">
        <v>8</v>
      </c>
      <c r="AC3741" t="n">
        <v>8</v>
      </c>
      <c r="AD3741" t="n">
        <v>64100</v>
      </c>
      <c r="AE3741" t="n">
        <v>256400</v>
      </c>
      <c r="AF3741" t="n">
        <v>10134</v>
      </c>
      <c r="AG3741" t="n">
        <v>78</v>
      </c>
      <c r="AH3741" t="inlineStr">
        <is>
          <t>PT. GLORIENTA P.H - PPN (PDG)</t>
        </is>
      </c>
      <c r="AI3741" t="n">
        <v>113</v>
      </c>
      <c r="AJ3741" t="inlineStr">
        <is>
          <t>NATUR-E</t>
        </is>
      </c>
      <c r="AK3741" t="n">
        <v>21</v>
      </c>
      <c r="AL3741" t="inlineStr">
        <is>
          <t>Miss Glam Damar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NATUR-E</t>
        </is>
      </c>
      <c r="B3742" s="2">
        <f>"8999809103598"</f>
        <v/>
      </c>
      <c r="C3742" t="inlineStr">
        <is>
          <t>NATURE Daily Nourishing Natural Vitamin E 300 IU 16 Capsule</t>
        </is>
      </c>
      <c r="D3742" t="inlineStr">
        <is>
          <t>Miss Glam Damar</t>
        </is>
      </c>
      <c r="E3742" t="n">
        <v>1</v>
      </c>
      <c r="F3742" t="n">
        <v>0.1092</v>
      </c>
      <c r="G3742" t="n">
        <v>0.91</v>
      </c>
      <c r="H3742" t="n">
        <v>3</v>
      </c>
      <c r="I3742" t="n">
        <v>11</v>
      </c>
      <c r="J3742" t="n">
        <v>3</v>
      </c>
      <c r="K3742" t="n">
        <v>0</v>
      </c>
      <c r="L3742" t="n">
        <v>34489</v>
      </c>
      <c r="M3742" t="n">
        <v>41000</v>
      </c>
      <c r="N3742" t="n">
        <v>91</v>
      </c>
      <c r="O3742" t="n">
        <v>0.91</v>
      </c>
      <c r="P3742" t="n">
        <v>1</v>
      </c>
      <c r="Q3742" t="n">
        <v>0.08</v>
      </c>
      <c r="R3742" t="n">
        <v>2</v>
      </c>
      <c r="S3742" t="n">
        <v>4477.2</v>
      </c>
      <c r="T3742" t="n">
        <v>10</v>
      </c>
      <c r="U3742" t="n">
        <v>11</v>
      </c>
      <c r="V3742" t="n">
        <v>30</v>
      </c>
      <c r="W3742" t="n">
        <v>4</v>
      </c>
      <c r="X3742" t="n">
        <v>9.157509157509157</v>
      </c>
      <c r="Y3742" t="n">
        <v>1</v>
      </c>
      <c r="Z3742" t="n">
        <v>3</v>
      </c>
      <c r="AA3742" t="n">
        <v>1</v>
      </c>
      <c r="AB3742" t="n">
        <v>2</v>
      </c>
      <c r="AC3742" t="n">
        <v>3</v>
      </c>
      <c r="AD3742" t="n">
        <v>34489</v>
      </c>
      <c r="AE3742" t="n">
        <v>103467</v>
      </c>
      <c r="AF3742" t="n">
        <v>10134</v>
      </c>
      <c r="AG3742" t="n">
        <v>78</v>
      </c>
      <c r="AH3742" t="inlineStr">
        <is>
          <t>PT. GLORIENTA P.H - PPN (PDG)</t>
        </is>
      </c>
      <c r="AI3742" t="n">
        <v>113</v>
      </c>
      <c r="AJ3742" t="inlineStr">
        <is>
          <t>NATUR-E</t>
        </is>
      </c>
      <c r="AK3742" t="n">
        <v>21</v>
      </c>
      <c r="AL3742" t="inlineStr">
        <is>
          <t>Miss Glam Damar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NATUR-E</t>
        </is>
      </c>
      <c r="B3743" s="2">
        <f>"8999809103628"</f>
        <v/>
      </c>
      <c r="C3743" t="inlineStr">
        <is>
          <t>NATURE Daily Nourishing Natural Vitamin E 300 IU 32 Capsule</t>
        </is>
      </c>
      <c r="D3743" t="inlineStr">
        <is>
          <t>Miss Glam Damar</t>
        </is>
      </c>
      <c r="E3743" t="n">
        <v>3</v>
      </c>
      <c r="F3743" t="n">
        <v>0.06370000000000001</v>
      </c>
      <c r="G3743" t="n">
        <v>0.91</v>
      </c>
      <c r="H3743" t="n">
        <v>3</v>
      </c>
      <c r="I3743" t="n">
        <v>11</v>
      </c>
      <c r="J3743" t="n">
        <v>3</v>
      </c>
      <c r="K3743" t="n">
        <v>0</v>
      </c>
      <c r="L3743" t="n">
        <v>65884</v>
      </c>
      <c r="M3743" t="n">
        <v>78000</v>
      </c>
      <c r="N3743" t="n">
        <v>91</v>
      </c>
      <c r="O3743" t="n">
        <v>0.91</v>
      </c>
      <c r="P3743" t="n">
        <v>1</v>
      </c>
      <c r="Q3743" t="n">
        <v>0.07000000000000001</v>
      </c>
      <c r="R3743" t="n">
        <v>1</v>
      </c>
      <c r="S3743" t="n">
        <v>4968.6</v>
      </c>
      <c r="T3743" t="n">
        <v>10</v>
      </c>
      <c r="U3743" t="n">
        <v>11</v>
      </c>
      <c r="V3743" t="n">
        <v>30</v>
      </c>
      <c r="W3743" t="n">
        <v>2</v>
      </c>
      <c r="X3743" t="n">
        <v>47.09576138147566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10134</v>
      </c>
      <c r="AG3743" t="n">
        <v>78</v>
      </c>
      <c r="AH3743" t="inlineStr">
        <is>
          <t>PT. GLORIENTA P.H - PPN (PDG)</t>
        </is>
      </c>
      <c r="AI3743" t="n">
        <v>113</v>
      </c>
      <c r="AJ3743" t="inlineStr">
        <is>
          <t>NATUR-E</t>
        </is>
      </c>
      <c r="AK3743" t="n">
        <v>21</v>
      </c>
      <c r="AL3743" t="inlineStr">
        <is>
          <t>Miss Glam Damar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NATUR-E</t>
        </is>
      </c>
      <c r="B3744" s="2">
        <f>"8999809103659"</f>
        <v/>
      </c>
      <c r="C3744" t="inlineStr">
        <is>
          <t>NATURE Daily Nourishing Protect &amp; Glow 100ml</t>
        </is>
      </c>
      <c r="D3744" t="inlineStr">
        <is>
          <t>Miss Glam Damar</t>
        </is>
      </c>
      <c r="E3744" t="n">
        <v>24</v>
      </c>
      <c r="F3744" t="n">
        <v>0.91</v>
      </c>
      <c r="G3744" t="n">
        <v>2.73</v>
      </c>
      <c r="H3744" t="n">
        <v>3</v>
      </c>
      <c r="I3744" t="n">
        <v>11</v>
      </c>
      <c r="J3744" t="n">
        <v>3</v>
      </c>
      <c r="K3744" t="n">
        <v>0</v>
      </c>
      <c r="L3744" t="n">
        <v>13972</v>
      </c>
      <c r="M3744" t="n">
        <v>17100</v>
      </c>
      <c r="N3744" t="n">
        <v>91</v>
      </c>
      <c r="O3744" t="n">
        <v>0.91</v>
      </c>
      <c r="P3744" t="n">
        <v>1</v>
      </c>
      <c r="Q3744" t="n">
        <v>0.78</v>
      </c>
      <c r="R3744" t="n">
        <v>6</v>
      </c>
      <c r="S3744" t="n">
        <v>15561</v>
      </c>
      <c r="T3744" t="n">
        <v>28</v>
      </c>
      <c r="U3744" t="n">
        <v>31</v>
      </c>
      <c r="V3744" t="n">
        <v>30</v>
      </c>
      <c r="W3744" t="n">
        <v>28</v>
      </c>
      <c r="X3744" t="n">
        <v>26.37362637362637</v>
      </c>
      <c r="Y3744" t="n">
        <v>1</v>
      </c>
      <c r="Z3744" t="n">
        <v>4</v>
      </c>
      <c r="AA3744" t="n">
        <v>0</v>
      </c>
      <c r="AB3744" t="n">
        <v>4</v>
      </c>
      <c r="AC3744" t="n">
        <v>4</v>
      </c>
      <c r="AD3744" t="n">
        <v>0</v>
      </c>
      <c r="AE3744" t="n">
        <v>55888</v>
      </c>
      <c r="AF3744" t="n">
        <v>10134</v>
      </c>
      <c r="AG3744" t="n">
        <v>78</v>
      </c>
      <c r="AH3744" t="inlineStr">
        <is>
          <t>PT. GLORIENTA P.H - PPN (PDG)</t>
        </is>
      </c>
      <c r="AI3744" t="n">
        <v>113</v>
      </c>
      <c r="AJ3744" t="inlineStr">
        <is>
          <t>NATUR-E</t>
        </is>
      </c>
      <c r="AK3744" t="n">
        <v>21</v>
      </c>
      <c r="AL3744" t="inlineStr">
        <is>
          <t>Miss Glam Damar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NATUR-E</t>
        </is>
      </c>
      <c r="B3745" s="2">
        <f>"8999809103796"</f>
        <v/>
      </c>
      <c r="C3745" t="inlineStr">
        <is>
          <t>NATURE Daily Nourishing Protect &amp; Glow 245ml</t>
        </is>
      </c>
      <c r="D3745" t="inlineStr">
        <is>
          <t>Miss Glam Damar</t>
        </is>
      </c>
      <c r="E3745" t="n">
        <v>20</v>
      </c>
      <c r="F3745" t="n">
        <v>0.8644999999999999</v>
      </c>
      <c r="G3745" t="n">
        <v>3.64</v>
      </c>
      <c r="H3745" t="n">
        <v>3</v>
      </c>
      <c r="I3745" t="n">
        <v>11</v>
      </c>
      <c r="J3745" t="n">
        <v>3</v>
      </c>
      <c r="K3745" t="n">
        <v>0</v>
      </c>
      <c r="L3745" t="n">
        <v>28031</v>
      </c>
      <c r="M3745" t="n">
        <v>33800</v>
      </c>
      <c r="N3745" t="n">
        <v>91</v>
      </c>
      <c r="O3745" t="n">
        <v>0.91</v>
      </c>
      <c r="P3745" t="n">
        <v>1</v>
      </c>
      <c r="Q3745" t="n">
        <v>0.64</v>
      </c>
      <c r="R3745" t="n">
        <v>4</v>
      </c>
      <c r="S3745" t="n">
        <v>29220.1</v>
      </c>
      <c r="T3745" t="n">
        <v>38</v>
      </c>
      <c r="U3745" t="n">
        <v>41</v>
      </c>
      <c r="V3745" t="n">
        <v>30</v>
      </c>
      <c r="W3745" t="n">
        <v>26</v>
      </c>
      <c r="X3745" t="n">
        <v>23.13475997686524</v>
      </c>
      <c r="Y3745" t="n">
        <v>1</v>
      </c>
      <c r="Z3745" t="n">
        <v>6</v>
      </c>
      <c r="AA3745" t="n">
        <v>0</v>
      </c>
      <c r="AB3745" t="n">
        <v>6</v>
      </c>
      <c r="AC3745" t="n">
        <v>6</v>
      </c>
      <c r="AD3745" t="n">
        <v>0</v>
      </c>
      <c r="AE3745" t="n">
        <v>168186</v>
      </c>
      <c r="AF3745" t="n">
        <v>10134</v>
      </c>
      <c r="AG3745" t="n">
        <v>78</v>
      </c>
      <c r="AH3745" t="inlineStr">
        <is>
          <t>PT. GLORIENTA P.H - PPN (PDG)</t>
        </is>
      </c>
      <c r="AI3745" t="n">
        <v>113</v>
      </c>
      <c r="AJ3745" t="inlineStr">
        <is>
          <t>NATUR-E</t>
        </is>
      </c>
      <c r="AK3745" t="n">
        <v>21</v>
      </c>
      <c r="AL3745" t="inlineStr">
        <is>
          <t>Miss Glam Damar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NATUR-E</t>
        </is>
      </c>
      <c r="B3746" s="2">
        <f>"8999809104489"</f>
        <v/>
      </c>
      <c r="C3746" t="inlineStr">
        <is>
          <t>NATURE White Glutathione Vitamin E And Olive Fruit Extract 16 Kapsul</t>
        </is>
      </c>
      <c r="D3746" t="inlineStr">
        <is>
          <t>Miss Glam Damar</t>
        </is>
      </c>
      <c r="E3746" t="n">
        <v>19</v>
      </c>
      <c r="F3746" t="n">
        <v>1.7563</v>
      </c>
      <c r="G3746" t="n">
        <v>6.37</v>
      </c>
      <c r="H3746" t="n">
        <v>3</v>
      </c>
      <c r="I3746" t="n">
        <v>11</v>
      </c>
      <c r="J3746" t="n">
        <v>3</v>
      </c>
      <c r="K3746" t="n">
        <v>0</v>
      </c>
      <c r="L3746" t="n">
        <v>48282</v>
      </c>
      <c r="M3746" t="n">
        <v>55000</v>
      </c>
      <c r="N3746" t="n">
        <v>91</v>
      </c>
      <c r="O3746" t="n">
        <v>0.91</v>
      </c>
      <c r="P3746" t="n">
        <v>1</v>
      </c>
      <c r="Q3746" t="n">
        <v>0.78</v>
      </c>
      <c r="R3746" t="n">
        <v>3</v>
      </c>
      <c r="S3746" t="n">
        <v>96596.5</v>
      </c>
      <c r="T3746" t="n">
        <v>65</v>
      </c>
      <c r="U3746" t="n">
        <v>71</v>
      </c>
      <c r="V3746" t="n">
        <v>30</v>
      </c>
      <c r="W3746" t="n">
        <v>53</v>
      </c>
      <c r="X3746" t="n">
        <v>10.81819734669476</v>
      </c>
      <c r="Y3746" t="n">
        <v>1</v>
      </c>
      <c r="Z3746" t="n">
        <v>34</v>
      </c>
      <c r="AA3746" t="n">
        <v>1</v>
      </c>
      <c r="AB3746" t="n">
        <v>33</v>
      </c>
      <c r="AC3746" t="n">
        <v>33</v>
      </c>
      <c r="AD3746" t="n">
        <v>48282</v>
      </c>
      <c r="AE3746" t="n">
        <v>1593306</v>
      </c>
      <c r="AF3746" t="n">
        <v>10134</v>
      </c>
      <c r="AG3746" t="n">
        <v>78</v>
      </c>
      <c r="AH3746" t="inlineStr">
        <is>
          <t>PT. GLORIENTA P.H - PPN (PDG)</t>
        </is>
      </c>
      <c r="AI3746" t="n">
        <v>113</v>
      </c>
      <c r="AJ3746" t="inlineStr">
        <is>
          <t>NATUR-E</t>
        </is>
      </c>
      <c r="AK3746" t="n">
        <v>21</v>
      </c>
      <c r="AL3746" t="inlineStr">
        <is>
          <t>Miss Glam Damar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NATUR-E</t>
        </is>
      </c>
      <c r="B3747" s="2">
        <f>"8999809104496"</f>
        <v/>
      </c>
      <c r="C3747" t="inlineStr">
        <is>
          <t>NATURE White Glutathione Vitamin E And Olive Fruit Extract 32 Kapsul</t>
        </is>
      </c>
      <c r="D3747" t="inlineStr">
        <is>
          <t>Miss Glam Damar</t>
        </is>
      </c>
      <c r="E3747" t="n">
        <v>1</v>
      </c>
      <c r="F3747" t="n">
        <v>0.7371000000000001</v>
      </c>
      <c r="G3747" t="n">
        <v>4.55</v>
      </c>
      <c r="H3747" t="n">
        <v>3</v>
      </c>
      <c r="I3747" t="n">
        <v>11</v>
      </c>
      <c r="J3747" t="n">
        <v>3</v>
      </c>
      <c r="K3747" t="n">
        <v>0</v>
      </c>
      <c r="L3747" t="n">
        <v>88030</v>
      </c>
      <c r="M3747" t="n">
        <v>108500</v>
      </c>
      <c r="N3747" t="n">
        <v>91</v>
      </c>
      <c r="O3747" t="n">
        <v>0.91</v>
      </c>
      <c r="P3747" t="n">
        <v>1</v>
      </c>
      <c r="Q3747" t="n">
        <v>0.41</v>
      </c>
      <c r="R3747" t="n">
        <v>2</v>
      </c>
      <c r="S3747" t="n">
        <v>79975.35000000001</v>
      </c>
      <c r="T3747" t="n">
        <v>48</v>
      </c>
      <c r="U3747" t="n">
        <v>51</v>
      </c>
      <c r="V3747" t="n">
        <v>30</v>
      </c>
      <c r="W3747" t="n">
        <v>23</v>
      </c>
      <c r="X3747" t="n">
        <v>1.35666802333469</v>
      </c>
      <c r="Y3747" t="n">
        <v>1</v>
      </c>
      <c r="Z3747" t="n">
        <v>22</v>
      </c>
      <c r="AA3747" t="n">
        <v>8</v>
      </c>
      <c r="AB3747" t="n">
        <v>14</v>
      </c>
      <c r="AC3747" t="n">
        <v>14</v>
      </c>
      <c r="AD3747" t="n">
        <v>704240</v>
      </c>
      <c r="AE3747" t="n">
        <v>1232420</v>
      </c>
      <c r="AF3747" t="n">
        <v>10134</v>
      </c>
      <c r="AG3747" t="n">
        <v>78</v>
      </c>
      <c r="AH3747" t="inlineStr">
        <is>
          <t>PT. GLORIENTA P.H - PPN (PDG)</t>
        </is>
      </c>
      <c r="AI3747" t="n">
        <v>113</v>
      </c>
      <c r="AJ3747" t="inlineStr">
        <is>
          <t>NATUR-E</t>
        </is>
      </c>
      <c r="AK3747" t="n">
        <v>21</v>
      </c>
      <c r="AL3747" t="inlineStr">
        <is>
          <t>Miss Glam Damar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NATURALE</t>
        </is>
      </c>
      <c r="B3748" s="2">
        <f>"8993041561222"</f>
        <v/>
      </c>
      <c r="C3748" t="inlineStr">
        <is>
          <t>NATURALE Brightening Cream Whiten Dark Facial &amp; Body Skin 1000gr</t>
        </is>
      </c>
      <c r="D3748" t="inlineStr">
        <is>
          <t>Miss Glam Damar</t>
        </is>
      </c>
      <c r="E3748" t="n">
        <v>0</v>
      </c>
      <c r="F3748" t="n">
        <v>0.0182</v>
      </c>
      <c r="G3748" t="n">
        <v>0.91</v>
      </c>
      <c r="H3748" t="n">
        <v>4</v>
      </c>
      <c r="I3748" t="n">
        <v>21</v>
      </c>
      <c r="J3748" t="n">
        <v>3</v>
      </c>
      <c r="K3748" t="n">
        <v>3</v>
      </c>
      <c r="L3748" t="n">
        <v>41183</v>
      </c>
      <c r="M3748" t="n">
        <v>54000</v>
      </c>
      <c r="N3748" t="n">
        <v>91</v>
      </c>
      <c r="O3748" t="n">
        <v>0.91</v>
      </c>
      <c r="P3748" t="n">
        <v>1</v>
      </c>
      <c r="Q3748" t="n">
        <v>0.08</v>
      </c>
      <c r="R3748" t="n">
        <v>1</v>
      </c>
      <c r="S3748" t="n">
        <v>982.8000000000001</v>
      </c>
      <c r="T3748" t="n">
        <v>20</v>
      </c>
      <c r="U3748" t="n">
        <v>21</v>
      </c>
      <c r="V3748" t="n">
        <v>30</v>
      </c>
      <c r="W3748" t="n">
        <v>1</v>
      </c>
      <c r="X3748" t="n">
        <v>0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7083</v>
      </c>
      <c r="AG3748" t="n">
        <v>1</v>
      </c>
      <c r="AH3748" t="inlineStr">
        <is>
          <t>PT. BERSAMA DISTRIVERSA INDONESIA (DC CIPUTAT)</t>
        </is>
      </c>
      <c r="AI3748" t="n">
        <v>1128</v>
      </c>
      <c r="AJ3748" t="inlineStr">
        <is>
          <t>NATURALE</t>
        </is>
      </c>
      <c r="AK3748" t="n">
        <v>21</v>
      </c>
      <c r="AL3748" t="inlineStr">
        <is>
          <t>Miss Glam Damar</t>
        </is>
      </c>
      <c r="AM3748" t="n">
        <v>3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NATURALE</t>
        </is>
      </c>
      <c r="B3749" s="2">
        <f>"8993041561208"</f>
        <v/>
      </c>
      <c r="C3749" t="inlineStr">
        <is>
          <t>NATURALE Brightening Cream Whiten Dark Facial &amp; Body Skin 250gr</t>
        </is>
      </c>
      <c r="D3749" t="inlineStr">
        <is>
          <t>Miss Glam Damar</t>
        </is>
      </c>
      <c r="E3749" t="n">
        <v>0</v>
      </c>
      <c r="F3749" t="n">
        <v>0.0273</v>
      </c>
      <c r="G3749" t="n">
        <v>0.91</v>
      </c>
      <c r="H3749" t="n">
        <v>4</v>
      </c>
      <c r="I3749" t="n">
        <v>21</v>
      </c>
      <c r="J3749" t="n">
        <v>3</v>
      </c>
      <c r="K3749" t="n">
        <v>3</v>
      </c>
      <c r="L3749" t="n">
        <v>21183</v>
      </c>
      <c r="M3749" t="n">
        <v>28000</v>
      </c>
      <c r="N3749" t="n">
        <v>91</v>
      </c>
      <c r="O3749" t="n">
        <v>0.91</v>
      </c>
      <c r="P3749" t="n">
        <v>1</v>
      </c>
      <c r="Q3749" t="n">
        <v>0.11</v>
      </c>
      <c r="R3749" t="n">
        <v>1</v>
      </c>
      <c r="S3749" t="n">
        <v>764.4000000000001</v>
      </c>
      <c r="T3749" t="n">
        <v>20</v>
      </c>
      <c r="U3749" t="n">
        <v>21</v>
      </c>
      <c r="V3749" t="n">
        <v>30</v>
      </c>
      <c r="W3749" t="n">
        <v>1</v>
      </c>
      <c r="X3749" t="n">
        <v>0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7083</v>
      </c>
      <c r="AG3749" t="n">
        <v>1</v>
      </c>
      <c r="AH3749" t="inlineStr">
        <is>
          <t>PT. BERSAMA DISTRIVERSA INDONESIA (DC CIPUTAT)</t>
        </is>
      </c>
      <c r="AI3749" t="n">
        <v>1128</v>
      </c>
      <c r="AJ3749" t="inlineStr">
        <is>
          <t>NATURALE</t>
        </is>
      </c>
      <c r="AK3749" t="n">
        <v>21</v>
      </c>
      <c r="AL3749" t="inlineStr">
        <is>
          <t>Miss Glam Damar</t>
        </is>
      </c>
      <c r="AM3749" t="n">
        <v>3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NATURALE</t>
        </is>
      </c>
      <c r="B3750" s="2">
        <f>"8993041561215"</f>
        <v/>
      </c>
      <c r="C3750" t="inlineStr">
        <is>
          <t>NATURALE Brightening Cream Whiten Dark Facial &amp; Body Skin 500gr</t>
        </is>
      </c>
      <c r="D3750" t="inlineStr">
        <is>
          <t>Miss Glam Damar</t>
        </is>
      </c>
      <c r="E3750" t="n">
        <v>0</v>
      </c>
      <c r="F3750" t="n">
        <v>0.0728</v>
      </c>
      <c r="G3750" t="n">
        <v>0.91</v>
      </c>
      <c r="H3750" t="n">
        <v>4</v>
      </c>
      <c r="I3750" t="n">
        <v>21</v>
      </c>
      <c r="J3750" t="n">
        <v>3</v>
      </c>
      <c r="K3750" t="n">
        <v>0</v>
      </c>
      <c r="L3750" t="n">
        <v>27493</v>
      </c>
      <c r="M3750" t="n">
        <v>37000</v>
      </c>
      <c r="N3750" t="n">
        <v>91</v>
      </c>
      <c r="O3750" t="n">
        <v>0.91</v>
      </c>
      <c r="P3750" t="n">
        <v>1</v>
      </c>
      <c r="Q3750" t="n">
        <v>0.03</v>
      </c>
      <c r="R3750" t="n">
        <v>1</v>
      </c>
      <c r="S3750" t="n">
        <v>2693.6</v>
      </c>
      <c r="T3750" t="n">
        <v>19</v>
      </c>
      <c r="U3750" t="n">
        <v>20</v>
      </c>
      <c r="V3750" t="n">
        <v>30</v>
      </c>
      <c r="W3750" t="n">
        <v>3</v>
      </c>
      <c r="X3750" t="n">
        <v>0</v>
      </c>
      <c r="Y3750" t="n">
        <v>1</v>
      </c>
      <c r="Z3750" t="n">
        <v>3</v>
      </c>
      <c r="AA3750" t="n">
        <v>2</v>
      </c>
      <c r="AB3750" t="n">
        <v>1</v>
      </c>
      <c r="AC3750" t="n">
        <v>3</v>
      </c>
      <c r="AD3750" t="n">
        <v>54986</v>
      </c>
      <c r="AE3750" t="n">
        <v>82479</v>
      </c>
      <c r="AF3750" t="n">
        <v>7083</v>
      </c>
      <c r="AG3750" t="n">
        <v>1</v>
      </c>
      <c r="AH3750" t="inlineStr">
        <is>
          <t>PT. BERSAMA DISTRIVERSA INDONESIA (DC CIPUTAT)</t>
        </is>
      </c>
      <c r="AI3750" t="n">
        <v>1128</v>
      </c>
      <c r="AJ3750" t="inlineStr">
        <is>
          <t>NATURALE</t>
        </is>
      </c>
      <c r="AK3750" t="n">
        <v>21</v>
      </c>
      <c r="AL3750" t="inlineStr">
        <is>
          <t>Miss Glam Damar</t>
        </is>
      </c>
      <c r="AM3750" t="n">
        <v>3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NATURE REPUBLIC</t>
        </is>
      </c>
      <c r="B3751" s="2">
        <f>"8806173420377"</f>
        <v/>
      </c>
      <c r="C3751" t="inlineStr">
        <is>
          <t>NATURE REPUBLIC Aloevera 92% Sooting Gel 300ml</t>
        </is>
      </c>
      <c r="D3751" t="inlineStr">
        <is>
          <t>Miss Glam Damar</t>
        </is>
      </c>
      <c r="E3751" t="n">
        <v>9</v>
      </c>
      <c r="F3751" t="n">
        <v>0.3549</v>
      </c>
      <c r="G3751" t="n">
        <v>2.73</v>
      </c>
      <c r="H3751" t="n">
        <v>4</v>
      </c>
      <c r="I3751" t="n">
        <v>21</v>
      </c>
      <c r="J3751" t="n">
        <v>3</v>
      </c>
      <c r="K3751" t="n">
        <v>0</v>
      </c>
      <c r="L3751" t="n">
        <v>72512</v>
      </c>
      <c r="M3751" t="n">
        <v>94000</v>
      </c>
      <c r="N3751" t="n">
        <v>91</v>
      </c>
      <c r="O3751" t="n">
        <v>0.91</v>
      </c>
      <c r="P3751" t="n">
        <v>1</v>
      </c>
      <c r="Q3751" t="n">
        <v>0.14</v>
      </c>
      <c r="R3751" t="n">
        <v>1</v>
      </c>
      <c r="S3751" t="n">
        <v>33360.60000000001</v>
      </c>
      <c r="T3751" t="n">
        <v>56</v>
      </c>
      <c r="U3751" t="n">
        <v>58</v>
      </c>
      <c r="V3751" t="n">
        <v>30</v>
      </c>
      <c r="W3751" t="n">
        <v>11</v>
      </c>
      <c r="X3751" t="n">
        <v>25.35925612848689</v>
      </c>
      <c r="Y3751" t="n">
        <v>1</v>
      </c>
      <c r="Z3751" t="n">
        <v>2</v>
      </c>
      <c r="AA3751" t="n">
        <v>0</v>
      </c>
      <c r="AB3751" t="n">
        <v>2</v>
      </c>
      <c r="AC3751" t="n">
        <v>3</v>
      </c>
      <c r="AD3751" t="n">
        <v>0</v>
      </c>
      <c r="AE3751" t="n">
        <v>217536</v>
      </c>
      <c r="AF3751" t="n">
        <v>7116</v>
      </c>
      <c r="AG3751" t="n">
        <v>1</v>
      </c>
      <c r="AH3751" t="inlineStr">
        <is>
          <t>PT. BERSAMA DISTRIVERSA INDONESIA (DC CIPUTAT)</t>
        </is>
      </c>
      <c r="AI3751" t="n">
        <v>114</v>
      </c>
      <c r="AJ3751" t="inlineStr">
        <is>
          <t>NATURE REPUBLIC</t>
        </is>
      </c>
      <c r="AK3751" t="n">
        <v>21</v>
      </c>
      <c r="AL3751" t="inlineStr">
        <is>
          <t>Miss Glam Damar</t>
        </is>
      </c>
      <c r="AM3751" t="n">
        <v>5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NATURE REPUBLIC</t>
        </is>
      </c>
      <c r="B3752" s="2">
        <f>"8806173449361"</f>
        <v/>
      </c>
      <c r="C3752" t="inlineStr">
        <is>
          <t>NATURE REPUBLIC Sheet Mask Acai Berry 23ml</t>
        </is>
      </c>
      <c r="D3752" t="inlineStr">
        <is>
          <t>Miss Glam Damar</t>
        </is>
      </c>
      <c r="E3752" t="n">
        <v>5</v>
      </c>
      <c r="F3752" t="n">
        <v>0.04550000000000001</v>
      </c>
      <c r="G3752" t="n">
        <v>1.82</v>
      </c>
      <c r="H3752" t="n">
        <v>4</v>
      </c>
      <c r="I3752" t="n">
        <v>21</v>
      </c>
      <c r="J3752" t="n">
        <v>3</v>
      </c>
      <c r="K3752" t="n">
        <v>0</v>
      </c>
      <c r="L3752" t="n">
        <v>14832</v>
      </c>
      <c r="M3752" t="n">
        <v>18500</v>
      </c>
      <c r="N3752" t="n">
        <v>91</v>
      </c>
      <c r="O3752" t="n">
        <v>0.91</v>
      </c>
      <c r="P3752" t="n">
        <v>1</v>
      </c>
      <c r="Q3752" t="n">
        <v>0.07000000000000001</v>
      </c>
      <c r="R3752" t="n">
        <v>0</v>
      </c>
      <c r="S3752" t="n">
        <v>841.7500000000001</v>
      </c>
      <c r="T3752" t="n">
        <v>39</v>
      </c>
      <c r="U3752" t="n">
        <v>40</v>
      </c>
      <c r="V3752" t="n">
        <v>30</v>
      </c>
      <c r="W3752" t="n">
        <v>2</v>
      </c>
      <c r="X3752" t="n">
        <v>109.8901098901099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7116</v>
      </c>
      <c r="AG3752" t="n">
        <v>1</v>
      </c>
      <c r="AH3752" t="inlineStr">
        <is>
          <t>PT. BERSAMA DISTRIVERSA INDONESIA (DC CIPUTAT)</t>
        </is>
      </c>
      <c r="AI3752" t="n">
        <v>114</v>
      </c>
      <c r="AJ3752" t="inlineStr">
        <is>
          <t>NATURE REPUBLIC</t>
        </is>
      </c>
      <c r="AK3752" t="n">
        <v>21</v>
      </c>
      <c r="AL3752" t="inlineStr">
        <is>
          <t>Miss Glam Damar</t>
        </is>
      </c>
      <c r="AM3752" t="n">
        <v>5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NATURE REPUBLIC</t>
        </is>
      </c>
      <c r="B3753" s="2">
        <f>"8806173449408"</f>
        <v/>
      </c>
      <c r="C3753" t="inlineStr">
        <is>
          <t>NATURE REPUBLIC Sheet Mask Aloe 23ml</t>
        </is>
      </c>
      <c r="D3753" t="inlineStr">
        <is>
          <t>Miss Glam Damar</t>
        </is>
      </c>
      <c r="E3753" t="n">
        <v>8</v>
      </c>
      <c r="F3753" t="n">
        <v>0.0273</v>
      </c>
      <c r="G3753" t="n">
        <v>0</v>
      </c>
      <c r="H3753" t="n">
        <v>4</v>
      </c>
      <c r="I3753" t="n">
        <v>21</v>
      </c>
      <c r="J3753" t="n">
        <v>3</v>
      </c>
      <c r="K3753" t="n">
        <v>0</v>
      </c>
      <c r="L3753" t="n">
        <v>14832</v>
      </c>
      <c r="M3753" t="n">
        <v>18500</v>
      </c>
      <c r="N3753" t="n">
        <v>91</v>
      </c>
      <c r="O3753" t="n">
        <v>0.91</v>
      </c>
      <c r="P3753" t="n">
        <v>1</v>
      </c>
      <c r="Q3753" t="n">
        <v>0.02</v>
      </c>
      <c r="R3753" t="n">
        <v>0</v>
      </c>
      <c r="S3753" t="n">
        <v>505.05</v>
      </c>
      <c r="T3753" t="n">
        <v>0</v>
      </c>
      <c r="U3753" t="n">
        <v>1</v>
      </c>
      <c r="V3753" t="n">
        <v>30</v>
      </c>
      <c r="W3753" t="n">
        <v>1</v>
      </c>
      <c r="X3753" t="n">
        <v>293.040293040293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7116</v>
      </c>
      <c r="AG3753" t="n">
        <v>1</v>
      </c>
      <c r="AH3753" t="inlineStr">
        <is>
          <t>PT. BERSAMA DISTRIVERSA INDONESIA (DC CIPUTAT)</t>
        </is>
      </c>
      <c r="AI3753" t="n">
        <v>114</v>
      </c>
      <c r="AJ3753" t="inlineStr">
        <is>
          <t>NATURE REPUBLIC</t>
        </is>
      </c>
      <c r="AK3753" t="n">
        <v>21</v>
      </c>
      <c r="AL3753" t="inlineStr">
        <is>
          <t>Miss Glam Damar</t>
        </is>
      </c>
      <c r="AM3753" t="n">
        <v>5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NEOGEN</t>
        </is>
      </c>
      <c r="B3754" s="2">
        <f>"8809381446382"</f>
        <v/>
      </c>
      <c r="C3754" t="inlineStr">
        <is>
          <t>NEOGEN Bio Peel  Gauze Peeling Greentea 1 Pads</t>
        </is>
      </c>
      <c r="D3754" t="inlineStr">
        <is>
          <t>Miss Glam Damar</t>
        </is>
      </c>
      <c r="E3754" t="n">
        <v>0</v>
      </c>
      <c r="F3754" t="n">
        <v>0.09</v>
      </c>
      <c r="G3754" t="n">
        <v>2</v>
      </c>
      <c r="H3754" t="n">
        <v>4</v>
      </c>
      <c r="I3754" t="n">
        <v>21</v>
      </c>
      <c r="J3754" t="n">
        <v>8</v>
      </c>
      <c r="K3754" t="n">
        <v>0</v>
      </c>
      <c r="L3754" t="n">
        <v>15000</v>
      </c>
      <c r="M3754" t="n">
        <v>21500</v>
      </c>
      <c r="N3754" t="n">
        <v>91</v>
      </c>
      <c r="O3754" t="n">
        <v>0.91</v>
      </c>
      <c r="P3754" t="n">
        <v>0</v>
      </c>
      <c r="Q3754" t="n">
        <v>0.09</v>
      </c>
      <c r="R3754" t="n">
        <v>2</v>
      </c>
      <c r="S3754" t="n">
        <v>1935</v>
      </c>
      <c r="T3754" t="n">
        <v>42</v>
      </c>
      <c r="U3754" t="n">
        <v>43</v>
      </c>
      <c r="V3754" t="n">
        <v>30</v>
      </c>
      <c r="W3754" t="n">
        <v>3</v>
      </c>
      <c r="X3754" t="n">
        <v>0</v>
      </c>
      <c r="Y3754" t="n">
        <v>1</v>
      </c>
      <c r="Z3754" t="n">
        <v>3</v>
      </c>
      <c r="AA3754" t="n">
        <v>2</v>
      </c>
      <c r="AB3754" t="n">
        <v>1</v>
      </c>
      <c r="AC3754" t="n">
        <v>8</v>
      </c>
      <c r="AD3754" t="n">
        <v>30000</v>
      </c>
      <c r="AE3754" t="n">
        <v>120000</v>
      </c>
      <c r="AF3754" t="n">
        <v>7147</v>
      </c>
      <c r="AG3754" t="n">
        <v>1</v>
      </c>
      <c r="AH3754" t="inlineStr">
        <is>
          <t>PT. BERSAMA DISTRIVERSA INDONESIA (DC CIPUTAT)</t>
        </is>
      </c>
      <c r="AI3754" t="n">
        <v>507</v>
      </c>
      <c r="AJ3754" t="inlineStr">
        <is>
          <t>NEOGEN</t>
        </is>
      </c>
      <c r="AK3754" t="n">
        <v>21</v>
      </c>
      <c r="AL3754" t="inlineStr">
        <is>
          <t>Miss Glam Damar</t>
        </is>
      </c>
      <c r="AM3754" t="n">
        <v>3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NEOGEN</t>
        </is>
      </c>
      <c r="B3755" s="2">
        <f>"10100504815"</f>
        <v/>
      </c>
      <c r="C3755" t="inlineStr">
        <is>
          <t>NEOGEN Bio Peel Gauze Peeling Green Tea 10 Pads</t>
        </is>
      </c>
      <c r="D3755" t="inlineStr">
        <is>
          <t>Miss Glam Damar</t>
        </is>
      </c>
      <c r="E3755" t="n">
        <v>6</v>
      </c>
      <c r="F3755" t="n">
        <v>0.02</v>
      </c>
      <c r="G3755" t="n">
        <v>1</v>
      </c>
      <c r="H3755" t="n">
        <v>4</v>
      </c>
      <c r="I3755" t="n">
        <v>21</v>
      </c>
      <c r="J3755" t="n">
        <v>3</v>
      </c>
      <c r="K3755" t="n">
        <v>0</v>
      </c>
      <c r="L3755" t="n">
        <v>96000</v>
      </c>
      <c r="M3755" t="n">
        <v>120000</v>
      </c>
      <c r="N3755" t="n">
        <v>91</v>
      </c>
      <c r="O3755" t="n">
        <v>0.91</v>
      </c>
      <c r="P3755" t="n">
        <v>0</v>
      </c>
      <c r="Q3755" t="n">
        <v>0.02</v>
      </c>
      <c r="R3755" t="n">
        <v>1</v>
      </c>
      <c r="S3755" t="n">
        <v>2400</v>
      </c>
      <c r="T3755" t="n">
        <v>21</v>
      </c>
      <c r="U3755" t="n">
        <v>22</v>
      </c>
      <c r="V3755" t="n">
        <v>30</v>
      </c>
      <c r="W3755" t="n">
        <v>1</v>
      </c>
      <c r="X3755" t="n">
        <v>300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7147</v>
      </c>
      <c r="AG3755" t="n">
        <v>1</v>
      </c>
      <c r="AH3755" t="inlineStr">
        <is>
          <t>PT. BERSAMA DISTRIVERSA INDONESIA (DC CIPUTAT)</t>
        </is>
      </c>
      <c r="AI3755" t="n">
        <v>507</v>
      </c>
      <c r="AJ3755" t="inlineStr">
        <is>
          <t>NEOGEN</t>
        </is>
      </c>
      <c r="AK3755" t="n">
        <v>21</v>
      </c>
      <c r="AL3755" t="inlineStr">
        <is>
          <t>Miss Glam Damar</t>
        </is>
      </c>
      <c r="AM3755" t="n">
        <v>3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NEOGEN</t>
        </is>
      </c>
      <c r="B3756" s="2">
        <f>"8809381444876"</f>
        <v/>
      </c>
      <c r="C3756" t="inlineStr">
        <is>
          <t>NEOGEN Bio Peel Gauze Peeling Wine 1 Pads</t>
        </is>
      </c>
      <c r="D3756" t="inlineStr">
        <is>
          <t>Miss Glam Damar</t>
        </is>
      </c>
      <c r="E3756" t="n">
        <v>1</v>
      </c>
      <c r="F3756" t="n">
        <v>0.1365</v>
      </c>
      <c r="G3756" t="n">
        <v>1.82</v>
      </c>
      <c r="H3756" t="n">
        <v>4</v>
      </c>
      <c r="I3756" t="n">
        <v>21</v>
      </c>
      <c r="J3756" t="n">
        <v>8</v>
      </c>
      <c r="K3756" t="n">
        <v>0</v>
      </c>
      <c r="L3756" t="n">
        <v>15000</v>
      </c>
      <c r="M3756" t="n">
        <v>21500</v>
      </c>
      <c r="N3756" t="n">
        <v>91</v>
      </c>
      <c r="O3756" t="n">
        <v>0.91</v>
      </c>
      <c r="P3756" t="n">
        <v>1</v>
      </c>
      <c r="Q3756" t="n">
        <v>0.03</v>
      </c>
      <c r="R3756" t="n">
        <v>1</v>
      </c>
      <c r="S3756" t="n">
        <v>2934.75</v>
      </c>
      <c r="T3756" t="n">
        <v>38</v>
      </c>
      <c r="U3756" t="n">
        <v>39</v>
      </c>
      <c r="V3756" t="n">
        <v>30</v>
      </c>
      <c r="W3756" t="n">
        <v>5</v>
      </c>
      <c r="X3756" t="n">
        <v>7.326007326007326</v>
      </c>
      <c r="Y3756" t="n">
        <v>1</v>
      </c>
      <c r="Z3756" t="n">
        <v>4</v>
      </c>
      <c r="AA3756" t="n">
        <v>2</v>
      </c>
      <c r="AB3756" t="n">
        <v>2</v>
      </c>
      <c r="AC3756" t="n">
        <v>8</v>
      </c>
      <c r="AD3756" t="n">
        <v>30000</v>
      </c>
      <c r="AE3756" t="n">
        <v>120000</v>
      </c>
      <c r="AF3756" t="n">
        <v>7147</v>
      </c>
      <c r="AG3756" t="n">
        <v>1</v>
      </c>
      <c r="AH3756" t="inlineStr">
        <is>
          <t>PT. BERSAMA DISTRIVERSA INDONESIA (DC CIPUTAT)</t>
        </is>
      </c>
      <c r="AI3756" t="n">
        <v>507</v>
      </c>
      <c r="AJ3756" t="inlineStr">
        <is>
          <t>NEOGEN</t>
        </is>
      </c>
      <c r="AK3756" t="n">
        <v>21</v>
      </c>
      <c r="AL3756" t="inlineStr">
        <is>
          <t>Miss Glam Damar</t>
        </is>
      </c>
      <c r="AM3756" t="n">
        <v>3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NEOGEN</t>
        </is>
      </c>
      <c r="B3757" s="2">
        <f>"10100504928"</f>
        <v/>
      </c>
      <c r="C3757" t="inlineStr">
        <is>
          <t>NEOGEN Bio Peel Gauze Peeling Wine 10 Pads</t>
        </is>
      </c>
      <c r="D3757" t="inlineStr">
        <is>
          <t>Miss Glam Damar</t>
        </is>
      </c>
      <c r="E3757" t="n">
        <v>4</v>
      </c>
      <c r="F3757" t="n">
        <v>0.0182</v>
      </c>
      <c r="G3757" t="n">
        <v>0.91</v>
      </c>
      <c r="H3757" t="n">
        <v>4</v>
      </c>
      <c r="I3757" t="n">
        <v>21</v>
      </c>
      <c r="J3757" t="n">
        <v>3</v>
      </c>
      <c r="K3757" t="n">
        <v>0</v>
      </c>
      <c r="L3757" t="n">
        <v>96000</v>
      </c>
      <c r="M3757" t="n">
        <v>113000</v>
      </c>
      <c r="N3757" t="n">
        <v>91</v>
      </c>
      <c r="O3757" t="n">
        <v>0.91</v>
      </c>
      <c r="P3757" t="n">
        <v>1</v>
      </c>
      <c r="Q3757" t="n">
        <v>0.02</v>
      </c>
      <c r="R3757" t="n">
        <v>1</v>
      </c>
      <c r="S3757" t="n">
        <v>2056.6</v>
      </c>
      <c r="T3757" t="n">
        <v>20</v>
      </c>
      <c r="U3757" t="n">
        <v>21</v>
      </c>
      <c r="V3757" t="n">
        <v>30</v>
      </c>
      <c r="W3757" t="n">
        <v>1</v>
      </c>
      <c r="X3757" t="n">
        <v>219.7802197802198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7147</v>
      </c>
      <c r="AG3757" t="n">
        <v>1</v>
      </c>
      <c r="AH3757" t="inlineStr">
        <is>
          <t>PT. BERSAMA DISTRIVERSA INDONESIA (DC CIPUTAT)</t>
        </is>
      </c>
      <c r="AI3757" t="n">
        <v>507</v>
      </c>
      <c r="AJ3757" t="inlineStr">
        <is>
          <t>NEOGEN</t>
        </is>
      </c>
      <c r="AK3757" t="n">
        <v>21</v>
      </c>
      <c r="AL3757" t="inlineStr">
        <is>
          <t>Miss Glam Damar</t>
        </is>
      </c>
      <c r="AM3757" t="n">
        <v>3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NEOGEN</t>
        </is>
      </c>
      <c r="B3758" s="2">
        <f>"8809381441844"</f>
        <v/>
      </c>
      <c r="C3758" t="inlineStr">
        <is>
          <t>NEOGEN Dermalogy Bio Peel Gauze Peeling Wine 30 Pads</t>
        </is>
      </c>
      <c r="D3758" t="inlineStr">
        <is>
          <t>Miss Glam Damar</t>
        </is>
      </c>
      <c r="E3758" t="n">
        <v>1</v>
      </c>
      <c r="F3758" t="n">
        <v>0.02</v>
      </c>
      <c r="G3758" t="n">
        <v>0</v>
      </c>
      <c r="H3758" t="n">
        <v>4</v>
      </c>
      <c r="I3758" t="n">
        <v>21</v>
      </c>
      <c r="J3758" t="n">
        <v>3</v>
      </c>
      <c r="K3758" t="n">
        <v>0</v>
      </c>
      <c r="L3758" t="n">
        <v>200000</v>
      </c>
      <c r="M3758" t="n">
        <v>248000</v>
      </c>
      <c r="N3758" t="n">
        <v>91</v>
      </c>
      <c r="O3758" t="n">
        <v>0.91</v>
      </c>
      <c r="P3758" t="n">
        <v>0</v>
      </c>
      <c r="Q3758" t="n">
        <v>0.02</v>
      </c>
      <c r="R3758" t="n">
        <v>0</v>
      </c>
      <c r="S3758" t="n">
        <v>4960</v>
      </c>
      <c r="T3758" t="n">
        <v>0</v>
      </c>
      <c r="U3758" t="n">
        <v>1</v>
      </c>
      <c r="V3758" t="n">
        <v>30</v>
      </c>
      <c r="W3758" t="n">
        <v>1</v>
      </c>
      <c r="X3758" t="n">
        <v>50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7147</v>
      </c>
      <c r="AG3758" t="n">
        <v>1</v>
      </c>
      <c r="AH3758" t="inlineStr">
        <is>
          <t>PT. BERSAMA DISTRIVERSA INDONESIA (DC CIPUTAT)</t>
        </is>
      </c>
      <c r="AI3758" t="n">
        <v>507</v>
      </c>
      <c r="AJ3758" t="inlineStr">
        <is>
          <t>NEOGEN</t>
        </is>
      </c>
      <c r="AK3758" t="n">
        <v>21</v>
      </c>
      <c r="AL3758" t="inlineStr">
        <is>
          <t>Miss Glam Damar</t>
        </is>
      </c>
      <c r="AM3758" t="n">
        <v>3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NEWLAB</t>
        </is>
      </c>
      <c r="B3759" s="2">
        <f>"10700512614"</f>
        <v/>
      </c>
      <c r="C3759" t="inlineStr">
        <is>
          <t>NEWLAB 7d Pink Lip Serum</t>
        </is>
      </c>
      <c r="D3759" t="inlineStr">
        <is>
          <t>Miss Glam Damar</t>
        </is>
      </c>
      <c r="E3759" t="n">
        <v>0</v>
      </c>
      <c r="F3759" t="n">
        <v>0.182</v>
      </c>
      <c r="G3759" t="n">
        <v>2.73</v>
      </c>
      <c r="H3759" t="n">
        <v>2</v>
      </c>
      <c r="I3759" t="n">
        <v>16</v>
      </c>
      <c r="J3759" t="n">
        <v>1</v>
      </c>
      <c r="K3759" t="n">
        <v>0</v>
      </c>
      <c r="L3759" t="n">
        <v>37730</v>
      </c>
      <c r="M3759" t="n">
        <v>49000</v>
      </c>
      <c r="N3759" t="n">
        <v>91</v>
      </c>
      <c r="O3759" t="n">
        <v>0.91</v>
      </c>
      <c r="P3759" t="n">
        <v>1</v>
      </c>
      <c r="Q3759" t="n">
        <v>0.14</v>
      </c>
      <c r="R3759" t="n">
        <v>1</v>
      </c>
      <c r="S3759" t="n">
        <v>8918.000000000002</v>
      </c>
      <c r="T3759" t="n">
        <v>44</v>
      </c>
      <c r="U3759" t="n">
        <v>45</v>
      </c>
      <c r="V3759" t="n">
        <v>30</v>
      </c>
      <c r="W3759" t="n">
        <v>6</v>
      </c>
      <c r="X3759" t="n">
        <v>0</v>
      </c>
      <c r="Y3759" t="n">
        <v>1</v>
      </c>
      <c r="Z3759" t="n">
        <v>6</v>
      </c>
      <c r="AA3759" t="n">
        <v>3</v>
      </c>
      <c r="AB3759" t="n">
        <v>3</v>
      </c>
      <c r="AC3759" t="n">
        <v>3</v>
      </c>
      <c r="AD3759" t="n">
        <v>113190</v>
      </c>
      <c r="AE3759" t="n">
        <v>113190</v>
      </c>
      <c r="AF3759" t="n">
        <v>630</v>
      </c>
      <c r="AG3759" t="n">
        <v>107</v>
      </c>
      <c r="AH3759" t="inlineStr">
        <is>
          <t xml:space="preserve">CV. DAHLIA - PPN (PDG) </t>
        </is>
      </c>
      <c r="AI3759" t="n">
        <v>1634</v>
      </c>
      <c r="AJ3759" t="inlineStr">
        <is>
          <t>NEWLAB</t>
        </is>
      </c>
      <c r="AK3759" t="n">
        <v>21</v>
      </c>
      <c r="AL3759" t="inlineStr">
        <is>
          <t>Miss Glam Damar</t>
        </is>
      </c>
      <c r="AM3759" t="n">
        <v>3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NEWLAB</t>
        </is>
      </c>
      <c r="B3760" s="2">
        <f>"60100219354"</f>
        <v/>
      </c>
      <c r="C3760" t="inlineStr">
        <is>
          <t>NEWLAB Acnalogy Boost 50gr</t>
        </is>
      </c>
      <c r="D3760" t="inlineStr">
        <is>
          <t>Miss Glam Damar</t>
        </is>
      </c>
      <c r="E3760" t="n">
        <v>2</v>
      </c>
      <c r="F3760" t="n">
        <v>0.0182</v>
      </c>
      <c r="G3760" t="n">
        <v>0.91</v>
      </c>
      <c r="H3760" t="n">
        <v>2</v>
      </c>
      <c r="I3760" t="n">
        <v>16</v>
      </c>
      <c r="J3760" t="n">
        <v>1</v>
      </c>
      <c r="K3760" t="n">
        <v>0</v>
      </c>
      <c r="L3760" t="n">
        <v>57750</v>
      </c>
      <c r="M3760" t="n">
        <v>75000</v>
      </c>
      <c r="N3760" t="n">
        <v>91</v>
      </c>
      <c r="O3760" t="n">
        <v>0.91</v>
      </c>
      <c r="P3760" t="n">
        <v>1</v>
      </c>
      <c r="Q3760" t="n">
        <v>0.02</v>
      </c>
      <c r="R3760" t="n">
        <v>1</v>
      </c>
      <c r="S3760" t="n">
        <v>1365</v>
      </c>
      <c r="T3760" t="n">
        <v>15</v>
      </c>
      <c r="U3760" t="n">
        <v>16</v>
      </c>
      <c r="V3760" t="n">
        <v>30</v>
      </c>
      <c r="W3760" t="n">
        <v>1</v>
      </c>
      <c r="X3760" t="n">
        <v>109.8901098901099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630</v>
      </c>
      <c r="AG3760" t="n">
        <v>107</v>
      </c>
      <c r="AH3760" t="inlineStr">
        <is>
          <t xml:space="preserve">CV. DAHLIA - PPN (PDG) </t>
        </is>
      </c>
      <c r="AI3760" t="n">
        <v>1634</v>
      </c>
      <c r="AJ3760" t="inlineStr">
        <is>
          <t>NEWLAB</t>
        </is>
      </c>
      <c r="AK3760" t="n">
        <v>21</v>
      </c>
      <c r="AL3760" t="inlineStr">
        <is>
          <t>Miss Glam Damar</t>
        </is>
      </c>
      <c r="AM3760" t="n">
        <v>3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NEWLAB</t>
        </is>
      </c>
      <c r="B3761" s="2">
        <f>"8993883184153"</f>
        <v/>
      </c>
      <c r="C3761" t="inlineStr">
        <is>
          <t>NEWLAB Brightlogy C-Gluta 360 255gr</t>
        </is>
      </c>
      <c r="D3761" t="inlineStr">
        <is>
          <t>Miss Glam Damar</t>
        </is>
      </c>
      <c r="E3761" t="n">
        <v>5</v>
      </c>
      <c r="F3761" t="n">
        <v>0.06370000000000001</v>
      </c>
      <c r="G3761" t="n">
        <v>0.91</v>
      </c>
      <c r="H3761" t="n">
        <v>2</v>
      </c>
      <c r="I3761" t="n">
        <v>16</v>
      </c>
      <c r="J3761" t="n">
        <v>3</v>
      </c>
      <c r="K3761" t="n">
        <v>0</v>
      </c>
      <c r="L3761" t="n">
        <v>114730</v>
      </c>
      <c r="M3761" t="n">
        <v>149000</v>
      </c>
      <c r="N3761" t="n">
        <v>91</v>
      </c>
      <c r="O3761" t="n">
        <v>0.91</v>
      </c>
      <c r="P3761" t="n">
        <v>1</v>
      </c>
      <c r="Q3761" t="n">
        <v>0.02</v>
      </c>
      <c r="R3761" t="n">
        <v>1</v>
      </c>
      <c r="S3761" t="n">
        <v>9491.300000000001</v>
      </c>
      <c r="T3761" t="n">
        <v>15</v>
      </c>
      <c r="U3761" t="n">
        <v>16</v>
      </c>
      <c r="V3761" t="n">
        <v>30</v>
      </c>
      <c r="W3761" t="n">
        <v>2</v>
      </c>
      <c r="X3761" t="n">
        <v>78.49293563579278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630</v>
      </c>
      <c r="AG3761" t="n">
        <v>107</v>
      </c>
      <c r="AH3761" t="inlineStr">
        <is>
          <t xml:space="preserve">CV. DAHLIA - PPN (PDG) </t>
        </is>
      </c>
      <c r="AI3761" t="n">
        <v>1634</v>
      </c>
      <c r="AJ3761" t="inlineStr">
        <is>
          <t>NEWLAB</t>
        </is>
      </c>
      <c r="AK3761" t="n">
        <v>21</v>
      </c>
      <c r="AL3761" t="inlineStr">
        <is>
          <t>Miss Glam Damar</t>
        </is>
      </c>
      <c r="AM3761" t="n">
        <v>3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NEWLAB</t>
        </is>
      </c>
      <c r="B3762" s="2">
        <f>"60100106208"</f>
        <v/>
      </c>
      <c r="C3762" t="inlineStr">
        <is>
          <t>NEWLAB Brightlogy C-Gluta 360 Boost 50gr</t>
        </is>
      </c>
      <c r="D3762" t="inlineStr">
        <is>
          <t>Miss Glam Damar</t>
        </is>
      </c>
      <c r="E3762" t="n">
        <v>4</v>
      </c>
      <c r="F3762" t="n">
        <v>0.1274</v>
      </c>
      <c r="G3762" t="n">
        <v>0.91</v>
      </c>
      <c r="H3762" t="n">
        <v>2</v>
      </c>
      <c r="I3762" t="n">
        <v>16</v>
      </c>
      <c r="J3762" t="n">
        <v>3</v>
      </c>
      <c r="K3762" t="n">
        <v>0</v>
      </c>
      <c r="L3762" t="n">
        <v>73150</v>
      </c>
      <c r="M3762" t="n">
        <v>95000</v>
      </c>
      <c r="N3762" t="n">
        <v>91</v>
      </c>
      <c r="O3762" t="n">
        <v>0.91</v>
      </c>
      <c r="P3762" t="n">
        <v>1</v>
      </c>
      <c r="Q3762" t="n">
        <v>0.19</v>
      </c>
      <c r="R3762" t="n">
        <v>2</v>
      </c>
      <c r="S3762" t="n">
        <v>12103</v>
      </c>
      <c r="T3762" t="n">
        <v>15</v>
      </c>
      <c r="U3762" t="n">
        <v>16</v>
      </c>
      <c r="V3762" t="n">
        <v>30</v>
      </c>
      <c r="W3762" t="n">
        <v>4</v>
      </c>
      <c r="X3762" t="n">
        <v>31.39717425431711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630</v>
      </c>
      <c r="AG3762" t="n">
        <v>107</v>
      </c>
      <c r="AH3762" t="inlineStr">
        <is>
          <t xml:space="preserve">CV. DAHLIA - PPN (PDG) </t>
        </is>
      </c>
      <c r="AI3762" t="n">
        <v>1634</v>
      </c>
      <c r="AJ3762" t="inlineStr">
        <is>
          <t>NEWLAB</t>
        </is>
      </c>
      <c r="AK3762" t="n">
        <v>21</v>
      </c>
      <c r="AL3762" t="inlineStr">
        <is>
          <t>Miss Glam Damar</t>
        </is>
      </c>
      <c r="AM3762" t="n">
        <v>3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NEWLAB</t>
        </is>
      </c>
      <c r="B3763" s="2">
        <f>"8993883184177"</f>
        <v/>
      </c>
      <c r="C3763" t="inlineStr">
        <is>
          <t>NEWLAB Brightlogy Glutacoll-5500 255gr</t>
        </is>
      </c>
      <c r="D3763" t="inlineStr">
        <is>
          <t>Miss Glam Damar</t>
        </is>
      </c>
      <c r="E3763" t="n">
        <v>5</v>
      </c>
      <c r="F3763" t="n">
        <v>0.2002</v>
      </c>
      <c r="G3763" t="n">
        <v>1.82</v>
      </c>
      <c r="H3763" t="n">
        <v>2</v>
      </c>
      <c r="I3763" t="n">
        <v>16</v>
      </c>
      <c r="J3763" t="n">
        <v>3</v>
      </c>
      <c r="K3763" t="n">
        <v>0</v>
      </c>
      <c r="L3763" t="n">
        <v>130130</v>
      </c>
      <c r="M3763" t="n">
        <v>160000</v>
      </c>
      <c r="N3763" t="n">
        <v>91</v>
      </c>
      <c r="O3763" t="n">
        <v>0.91</v>
      </c>
      <c r="P3763" t="n">
        <v>1</v>
      </c>
      <c r="Q3763" t="n">
        <v>0.19</v>
      </c>
      <c r="R3763" t="n">
        <v>3</v>
      </c>
      <c r="S3763" t="n">
        <v>32032</v>
      </c>
      <c r="T3763" t="n">
        <v>29</v>
      </c>
      <c r="U3763" t="n">
        <v>30</v>
      </c>
      <c r="V3763" t="n">
        <v>30</v>
      </c>
      <c r="W3763" t="n">
        <v>7</v>
      </c>
      <c r="X3763" t="n">
        <v>24.97502497502497</v>
      </c>
      <c r="Y3763" t="n">
        <v>1</v>
      </c>
      <c r="Z3763" t="n">
        <v>2</v>
      </c>
      <c r="AA3763" t="n">
        <v>0</v>
      </c>
      <c r="AB3763" t="n">
        <v>2</v>
      </c>
      <c r="AC3763" t="n">
        <v>3</v>
      </c>
      <c r="AD3763" t="n">
        <v>0</v>
      </c>
      <c r="AE3763" t="n">
        <v>390390</v>
      </c>
      <c r="AF3763" t="n">
        <v>630</v>
      </c>
      <c r="AG3763" t="n">
        <v>107</v>
      </c>
      <c r="AH3763" t="inlineStr">
        <is>
          <t xml:space="preserve">CV. DAHLIA - PPN (PDG) </t>
        </is>
      </c>
      <c r="AI3763" t="n">
        <v>1634</v>
      </c>
      <c r="AJ3763" t="inlineStr">
        <is>
          <t>NEWLAB</t>
        </is>
      </c>
      <c r="AK3763" t="n">
        <v>21</v>
      </c>
      <c r="AL3763" t="inlineStr">
        <is>
          <t>Miss Glam Damar</t>
        </is>
      </c>
      <c r="AM3763" t="n">
        <v>3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NEWLAB</t>
        </is>
      </c>
      <c r="B3764" s="2">
        <f>"8993883184184"</f>
        <v/>
      </c>
      <c r="C3764" t="inlineStr">
        <is>
          <t>NEWLAB Brightlogy Glutacoll-5500 Mini 119gr</t>
        </is>
      </c>
      <c r="D3764" t="inlineStr">
        <is>
          <t>Miss Glam Damar</t>
        </is>
      </c>
      <c r="E3764" t="n">
        <v>3</v>
      </c>
      <c r="F3764" t="n">
        <v>0.1547</v>
      </c>
      <c r="G3764" t="n">
        <v>2.73</v>
      </c>
      <c r="H3764" t="n">
        <v>2</v>
      </c>
      <c r="I3764" t="n">
        <v>16</v>
      </c>
      <c r="J3764" t="n">
        <v>3</v>
      </c>
      <c r="K3764" t="n">
        <v>0</v>
      </c>
      <c r="L3764" t="n">
        <v>68530</v>
      </c>
      <c r="M3764" t="n">
        <v>85000</v>
      </c>
      <c r="N3764" t="n">
        <v>91</v>
      </c>
      <c r="O3764" t="n">
        <v>0.91</v>
      </c>
      <c r="P3764" t="n">
        <v>1</v>
      </c>
      <c r="Q3764" t="n">
        <v>0.15</v>
      </c>
      <c r="R3764" t="n">
        <v>2</v>
      </c>
      <c r="S3764" t="n">
        <v>13149.5</v>
      </c>
      <c r="T3764" t="n">
        <v>44</v>
      </c>
      <c r="U3764" t="n">
        <v>45</v>
      </c>
      <c r="V3764" t="n">
        <v>30</v>
      </c>
      <c r="W3764" t="n">
        <v>5</v>
      </c>
      <c r="X3764" t="n">
        <v>19.3923723335488</v>
      </c>
      <c r="Y3764" t="n">
        <v>1</v>
      </c>
      <c r="Z3764" t="n">
        <v>2</v>
      </c>
      <c r="AA3764" t="n">
        <v>0</v>
      </c>
      <c r="AB3764" t="n">
        <v>2</v>
      </c>
      <c r="AC3764" t="n">
        <v>3</v>
      </c>
      <c r="AD3764" t="n">
        <v>0</v>
      </c>
      <c r="AE3764" t="n">
        <v>205590</v>
      </c>
      <c r="AF3764" t="n">
        <v>630</v>
      </c>
      <c r="AG3764" t="n">
        <v>107</v>
      </c>
      <c r="AH3764" t="inlineStr">
        <is>
          <t xml:space="preserve">CV. DAHLIA - PPN (PDG) </t>
        </is>
      </c>
      <c r="AI3764" t="n">
        <v>1634</v>
      </c>
      <c r="AJ3764" t="inlineStr">
        <is>
          <t>NEWLAB</t>
        </is>
      </c>
      <c r="AK3764" t="n">
        <v>21</v>
      </c>
      <c r="AL3764" t="inlineStr">
        <is>
          <t>Miss Glam Damar</t>
        </is>
      </c>
      <c r="AM3764" t="n">
        <v>3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NEWLAB</t>
        </is>
      </c>
      <c r="B3765" s="2">
        <f>"30200196010"</f>
        <v/>
      </c>
      <c r="C3765" t="inlineStr">
        <is>
          <t>NEWLAB Brightlogy Intensive Ultimate Body Lotion 200gr</t>
        </is>
      </c>
      <c r="D3765" t="inlineStr">
        <is>
          <t>Miss Glam Damar</t>
        </is>
      </c>
      <c r="E3765" t="n">
        <v>2</v>
      </c>
      <c r="F3765" t="n">
        <v>0.04550000000000001</v>
      </c>
      <c r="G3765" t="n">
        <v>0.91</v>
      </c>
      <c r="H3765" t="n">
        <v>2</v>
      </c>
      <c r="I3765" t="n">
        <v>16</v>
      </c>
      <c r="J3765" t="n">
        <v>1</v>
      </c>
      <c r="K3765" t="n">
        <v>0</v>
      </c>
      <c r="L3765" t="n">
        <v>142450</v>
      </c>
      <c r="M3765" t="n">
        <v>185000</v>
      </c>
      <c r="N3765" t="n">
        <v>91</v>
      </c>
      <c r="O3765" t="n">
        <v>0.91</v>
      </c>
      <c r="P3765" t="n">
        <v>1</v>
      </c>
      <c r="Q3765" t="n">
        <v>0.15</v>
      </c>
      <c r="R3765" t="n">
        <v>1</v>
      </c>
      <c r="S3765" t="n">
        <v>8417.500000000002</v>
      </c>
      <c r="T3765" t="n">
        <v>15</v>
      </c>
      <c r="U3765" t="n">
        <v>16</v>
      </c>
      <c r="V3765" t="n">
        <v>30</v>
      </c>
      <c r="W3765" t="n">
        <v>2</v>
      </c>
      <c r="X3765" t="n">
        <v>43.95604395604395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630</v>
      </c>
      <c r="AG3765" t="n">
        <v>107</v>
      </c>
      <c r="AH3765" t="inlineStr">
        <is>
          <t xml:space="preserve">CV. DAHLIA - PPN (PDG) </t>
        </is>
      </c>
      <c r="AI3765" t="n">
        <v>1634</v>
      </c>
      <c r="AJ3765" t="inlineStr">
        <is>
          <t>NEWLAB</t>
        </is>
      </c>
      <c r="AK3765" t="n">
        <v>21</v>
      </c>
      <c r="AL3765" t="inlineStr">
        <is>
          <t>Miss Glam Damar</t>
        </is>
      </c>
      <c r="AM3765" t="n">
        <v>3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NEWLAB</t>
        </is>
      </c>
      <c r="B3766" s="2">
        <f>"8993883186065"</f>
        <v/>
      </c>
      <c r="C3766" t="inlineStr">
        <is>
          <t>NEWLAB Fitlogy Fiber 30B-Probio 255gr</t>
        </is>
      </c>
      <c r="D3766" t="inlineStr">
        <is>
          <t>Miss Glam Damar</t>
        </is>
      </c>
      <c r="E3766" t="n">
        <v>1</v>
      </c>
      <c r="F3766" t="n">
        <v>0.05</v>
      </c>
      <c r="G3766" t="n">
        <v>1</v>
      </c>
      <c r="H3766" t="n">
        <v>2</v>
      </c>
      <c r="I3766" t="n">
        <v>16</v>
      </c>
      <c r="J3766" t="n">
        <v>3</v>
      </c>
      <c r="K3766" t="n">
        <v>0</v>
      </c>
      <c r="L3766" t="n">
        <v>114730</v>
      </c>
      <c r="M3766" t="n">
        <v>149000</v>
      </c>
      <c r="N3766" t="n">
        <v>91</v>
      </c>
      <c r="O3766" t="n">
        <v>0.91</v>
      </c>
      <c r="P3766" t="n">
        <v>0</v>
      </c>
      <c r="Q3766" t="n">
        <v>0.05</v>
      </c>
      <c r="R3766" t="n">
        <v>1</v>
      </c>
      <c r="S3766" t="n">
        <v>7450</v>
      </c>
      <c r="T3766" t="n">
        <v>16</v>
      </c>
      <c r="U3766" t="n">
        <v>17</v>
      </c>
      <c r="V3766" t="n">
        <v>30</v>
      </c>
      <c r="W3766" t="n">
        <v>2</v>
      </c>
      <c r="X3766" t="n">
        <v>20</v>
      </c>
      <c r="Y3766" t="n">
        <v>1</v>
      </c>
      <c r="Z3766" t="n">
        <v>1</v>
      </c>
      <c r="AA3766" t="n">
        <v>0</v>
      </c>
      <c r="AB3766" t="n">
        <v>1</v>
      </c>
      <c r="AC3766" t="n">
        <v>3</v>
      </c>
      <c r="AD3766" t="n">
        <v>0</v>
      </c>
      <c r="AE3766" t="n">
        <v>344190</v>
      </c>
      <c r="AF3766" t="n">
        <v>630</v>
      </c>
      <c r="AG3766" t="n">
        <v>107</v>
      </c>
      <c r="AH3766" t="inlineStr">
        <is>
          <t xml:space="preserve">CV. DAHLIA - PPN (PDG) </t>
        </is>
      </c>
      <c r="AI3766" t="n">
        <v>1634</v>
      </c>
      <c r="AJ3766" t="inlineStr">
        <is>
          <t>NEWLAB</t>
        </is>
      </c>
      <c r="AK3766" t="n">
        <v>21</v>
      </c>
      <c r="AL3766" t="inlineStr">
        <is>
          <t>Miss Glam Damar</t>
        </is>
      </c>
      <c r="AM3766" t="n">
        <v>3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NEWLAB</t>
        </is>
      </c>
      <c r="B3767" s="2">
        <f>"8993883182012"</f>
        <v/>
      </c>
      <c r="C3767" t="inlineStr">
        <is>
          <t>NEWLAB Fitlogy Tea Drink 168gr</t>
        </is>
      </c>
      <c r="D3767" t="inlineStr">
        <is>
          <t>Miss Glam Damar</t>
        </is>
      </c>
      <c r="E3767" t="n">
        <v>2</v>
      </c>
      <c r="F3767" t="n">
        <v>0.1547</v>
      </c>
      <c r="G3767" t="n">
        <v>1.82</v>
      </c>
      <c r="H3767" t="n">
        <v>2</v>
      </c>
      <c r="I3767" t="n">
        <v>16</v>
      </c>
      <c r="J3767" t="n">
        <v>3</v>
      </c>
      <c r="K3767" t="n">
        <v>0</v>
      </c>
      <c r="L3767" t="n">
        <v>60830</v>
      </c>
      <c r="M3767" t="n">
        <v>91000</v>
      </c>
      <c r="N3767" t="n">
        <v>91</v>
      </c>
      <c r="O3767" t="n">
        <v>0.91</v>
      </c>
      <c r="P3767" t="n">
        <v>1</v>
      </c>
      <c r="Q3767" t="n">
        <v>0.1</v>
      </c>
      <c r="R3767" t="n">
        <v>1</v>
      </c>
      <c r="S3767" t="n">
        <v>14077.7</v>
      </c>
      <c r="T3767" t="n">
        <v>29</v>
      </c>
      <c r="U3767" t="n">
        <v>30</v>
      </c>
      <c r="V3767" t="n">
        <v>30</v>
      </c>
      <c r="W3767" t="n">
        <v>5</v>
      </c>
      <c r="X3767" t="n">
        <v>12.92824822236587</v>
      </c>
      <c r="Y3767" t="n">
        <v>1</v>
      </c>
      <c r="Z3767" t="n">
        <v>3</v>
      </c>
      <c r="AA3767" t="n">
        <v>1</v>
      </c>
      <c r="AB3767" t="n">
        <v>2</v>
      </c>
      <c r="AC3767" t="n">
        <v>3</v>
      </c>
      <c r="AD3767" t="n">
        <v>60830</v>
      </c>
      <c r="AE3767" t="n">
        <v>182490</v>
      </c>
      <c r="AF3767" t="n">
        <v>630</v>
      </c>
      <c r="AG3767" t="n">
        <v>107</v>
      </c>
      <c r="AH3767" t="inlineStr">
        <is>
          <t xml:space="preserve">CV. DAHLIA - PPN (PDG) </t>
        </is>
      </c>
      <c r="AI3767" t="n">
        <v>1634</v>
      </c>
      <c r="AJ3767" t="inlineStr">
        <is>
          <t>NEWLAB</t>
        </is>
      </c>
      <c r="AK3767" t="n">
        <v>21</v>
      </c>
      <c r="AL3767" t="inlineStr">
        <is>
          <t>Miss Glam Damar</t>
        </is>
      </c>
      <c r="AM3767" t="n">
        <v>3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NEWLAB</t>
        </is>
      </c>
      <c r="B3768" s="2">
        <f>"60100215849"</f>
        <v/>
      </c>
      <c r="C3768" t="inlineStr">
        <is>
          <t>NEWLAB Fitlogy Tea Drink Mini 84gr</t>
        </is>
      </c>
      <c r="D3768" t="inlineStr">
        <is>
          <t>Miss Glam Damar</t>
        </is>
      </c>
      <c r="E3768" t="n">
        <v>0</v>
      </c>
      <c r="F3768" t="n">
        <v>0.2821</v>
      </c>
      <c r="G3768" t="n">
        <v>1.82</v>
      </c>
      <c r="H3768" t="n">
        <v>2</v>
      </c>
      <c r="I3768" t="n">
        <v>16</v>
      </c>
      <c r="J3768" t="n">
        <v>3</v>
      </c>
      <c r="K3768" t="n">
        <v>0</v>
      </c>
      <c r="L3768" t="n">
        <v>34650</v>
      </c>
      <c r="M3768" t="n">
        <v>45000</v>
      </c>
      <c r="N3768" t="n">
        <v>91</v>
      </c>
      <c r="O3768" t="n">
        <v>0.91</v>
      </c>
      <c r="P3768" t="n">
        <v>1</v>
      </c>
      <c r="Q3768" t="n">
        <v>0.24</v>
      </c>
      <c r="R3768" t="n">
        <v>2</v>
      </c>
      <c r="S3768" t="n">
        <v>12694.5</v>
      </c>
      <c r="T3768" t="n">
        <v>29</v>
      </c>
      <c r="U3768" t="n">
        <v>30</v>
      </c>
      <c r="V3768" t="n">
        <v>30</v>
      </c>
      <c r="W3768" t="n">
        <v>9</v>
      </c>
      <c r="X3768" t="n">
        <v>0</v>
      </c>
      <c r="Y3768" t="n">
        <v>1</v>
      </c>
      <c r="Z3768" t="n">
        <v>9</v>
      </c>
      <c r="AA3768" t="n">
        <v>5</v>
      </c>
      <c r="AB3768" t="n">
        <v>4</v>
      </c>
      <c r="AC3768" t="n">
        <v>4</v>
      </c>
      <c r="AD3768" t="n">
        <v>173250</v>
      </c>
      <c r="AE3768" t="n">
        <v>138600</v>
      </c>
      <c r="AF3768" t="n">
        <v>630</v>
      </c>
      <c r="AG3768" t="n">
        <v>107</v>
      </c>
      <c r="AH3768" t="inlineStr">
        <is>
          <t xml:space="preserve">CV. DAHLIA - PPN (PDG) </t>
        </is>
      </c>
      <c r="AI3768" t="n">
        <v>1634</v>
      </c>
      <c r="AJ3768" t="inlineStr">
        <is>
          <t>NEWLAB</t>
        </is>
      </c>
      <c r="AK3768" t="n">
        <v>21</v>
      </c>
      <c r="AL3768" t="inlineStr">
        <is>
          <t>Miss Glam Damar</t>
        </is>
      </c>
      <c r="AM3768" t="n">
        <v>3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NIVEA</t>
        </is>
      </c>
      <c r="B3769" s="2">
        <f>"8999777010522"</f>
        <v/>
      </c>
      <c r="C3769" t="inlineStr">
        <is>
          <t>NIVEA  Pearl White Micellar Water 200ml</t>
        </is>
      </c>
      <c r="D3769" t="inlineStr">
        <is>
          <t>Miss Glam Damar</t>
        </is>
      </c>
      <c r="E3769" t="n">
        <v>2</v>
      </c>
      <c r="F3769" t="n">
        <v>0.1092</v>
      </c>
      <c r="G3769" t="n">
        <v>0.91</v>
      </c>
      <c r="H3769" t="n">
        <v>4</v>
      </c>
      <c r="I3769" t="n">
        <v>9</v>
      </c>
      <c r="J3769" t="n">
        <v>3</v>
      </c>
      <c r="K3769" t="n">
        <v>0</v>
      </c>
      <c r="L3769" t="n">
        <v>48572</v>
      </c>
      <c r="M3769" t="n">
        <v>59000</v>
      </c>
      <c r="N3769" t="n">
        <v>91</v>
      </c>
      <c r="O3769" t="n">
        <v>0.91</v>
      </c>
      <c r="P3769" t="n">
        <v>1</v>
      </c>
      <c r="Q3769" t="n">
        <v>0.08</v>
      </c>
      <c r="R3769" t="n">
        <v>1</v>
      </c>
      <c r="S3769" t="n">
        <v>6442.8</v>
      </c>
      <c r="T3769" t="n">
        <v>8</v>
      </c>
      <c r="U3769" t="n">
        <v>9</v>
      </c>
      <c r="V3769" t="n">
        <v>30</v>
      </c>
      <c r="W3769" t="n">
        <v>4</v>
      </c>
      <c r="X3769" t="n">
        <v>18.31501831501831</v>
      </c>
      <c r="Y3769" t="n">
        <v>1</v>
      </c>
      <c r="Z3769" t="n">
        <v>2</v>
      </c>
      <c r="AA3769" t="n">
        <v>0</v>
      </c>
      <c r="AB3769" t="n">
        <v>2</v>
      </c>
      <c r="AC3769" t="n">
        <v>3</v>
      </c>
      <c r="AD3769" t="n">
        <v>0</v>
      </c>
      <c r="AE3769" t="n">
        <v>145716</v>
      </c>
      <c r="AF3769" t="n">
        <v>9850</v>
      </c>
      <c r="AG3769" t="n">
        <v>116</v>
      </c>
      <c r="AH3769" t="inlineStr">
        <is>
          <t>PT. ENSEVAL PUTERA MEGATRADING - PPN (PDG)</t>
        </is>
      </c>
      <c r="AI3769" t="n">
        <v>116</v>
      </c>
      <c r="AJ3769" t="inlineStr">
        <is>
          <t>NIVEA</t>
        </is>
      </c>
      <c r="AK3769" t="n">
        <v>21</v>
      </c>
      <c r="AL3769" t="inlineStr">
        <is>
          <t>Miss Glam Damar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NIVEA</t>
        </is>
      </c>
      <c r="B3770" s="2">
        <f>"8999777004293"</f>
        <v/>
      </c>
      <c r="C3770" t="inlineStr">
        <is>
          <t>NIVEA Black &amp; White Invisible Clear 25ml</t>
        </is>
      </c>
      <c r="D3770" t="inlineStr">
        <is>
          <t>Miss Glam Damar</t>
        </is>
      </c>
      <c r="E3770" t="n">
        <v>11</v>
      </c>
      <c r="F3770" t="n">
        <v>1.0647</v>
      </c>
      <c r="G3770" t="n">
        <v>4.55</v>
      </c>
      <c r="H3770" t="n">
        <v>4</v>
      </c>
      <c r="I3770" t="n">
        <v>9</v>
      </c>
      <c r="J3770" t="n">
        <v>3</v>
      </c>
      <c r="K3770" t="n">
        <v>0</v>
      </c>
      <c r="L3770" t="n">
        <v>12025</v>
      </c>
      <c r="M3770" t="n">
        <v>15000</v>
      </c>
      <c r="N3770" t="n">
        <v>91</v>
      </c>
      <c r="O3770" t="n">
        <v>0.91</v>
      </c>
      <c r="P3770" t="n">
        <v>1</v>
      </c>
      <c r="Q3770" t="n">
        <v>0.32</v>
      </c>
      <c r="R3770" t="n">
        <v>2</v>
      </c>
      <c r="S3770" t="n">
        <v>15970.5</v>
      </c>
      <c r="T3770" t="n">
        <v>37</v>
      </c>
      <c r="U3770" t="n">
        <v>42</v>
      </c>
      <c r="V3770" t="n">
        <v>30</v>
      </c>
      <c r="W3770" t="n">
        <v>32</v>
      </c>
      <c r="X3770" t="n">
        <v>10.33154879308725</v>
      </c>
      <c r="Y3770" t="n">
        <v>1</v>
      </c>
      <c r="Z3770" t="n">
        <v>21</v>
      </c>
      <c r="AA3770" t="n">
        <v>0</v>
      </c>
      <c r="AB3770" t="n">
        <v>21</v>
      </c>
      <c r="AC3770" t="n">
        <v>21</v>
      </c>
      <c r="AD3770" t="n">
        <v>0</v>
      </c>
      <c r="AE3770" t="n">
        <v>252525</v>
      </c>
      <c r="AF3770" t="n">
        <v>9850</v>
      </c>
      <c r="AG3770" t="n">
        <v>116</v>
      </c>
      <c r="AH3770" t="inlineStr">
        <is>
          <t>PT. ENSEVAL PUTERA MEGATRADING - PPN (PDG)</t>
        </is>
      </c>
      <c r="AI3770" t="n">
        <v>116</v>
      </c>
      <c r="AJ3770" t="inlineStr">
        <is>
          <t>NIVEA</t>
        </is>
      </c>
      <c r="AK3770" t="n">
        <v>21</v>
      </c>
      <c r="AL3770" t="inlineStr">
        <is>
          <t>Miss Glam Damar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NIVEA</t>
        </is>
      </c>
      <c r="B3771" s="2">
        <f>"8999777004354"</f>
        <v/>
      </c>
      <c r="C3771" t="inlineStr">
        <is>
          <t>NIVEA Black &amp; White Invisible Clear 50ml</t>
        </is>
      </c>
      <c r="D3771" t="inlineStr">
        <is>
          <t>Miss Glam Damar</t>
        </is>
      </c>
      <c r="E3771" t="n">
        <v>9</v>
      </c>
      <c r="F3771" t="n">
        <v>0.8644999999999999</v>
      </c>
      <c r="G3771" t="n">
        <v>3.64</v>
      </c>
      <c r="H3771" t="n">
        <v>4</v>
      </c>
      <c r="I3771" t="n">
        <v>9</v>
      </c>
      <c r="J3771" t="n">
        <v>3</v>
      </c>
      <c r="K3771" t="n">
        <v>0</v>
      </c>
      <c r="L3771" t="n">
        <v>20124</v>
      </c>
      <c r="M3771" t="n">
        <v>24000</v>
      </c>
      <c r="N3771" t="n">
        <v>91</v>
      </c>
      <c r="O3771" t="n">
        <v>0.91</v>
      </c>
      <c r="P3771" t="n">
        <v>1</v>
      </c>
      <c r="Q3771" t="n">
        <v>0.53</v>
      </c>
      <c r="R3771" t="n">
        <v>2</v>
      </c>
      <c r="S3771" t="n">
        <v>20748</v>
      </c>
      <c r="T3771" t="n">
        <v>30</v>
      </c>
      <c r="U3771" t="n">
        <v>34</v>
      </c>
      <c r="V3771" t="n">
        <v>30</v>
      </c>
      <c r="W3771" t="n">
        <v>26</v>
      </c>
      <c r="X3771" t="n">
        <v>10.41064198958936</v>
      </c>
      <c r="Y3771" t="n">
        <v>1</v>
      </c>
      <c r="Z3771" t="n">
        <v>17</v>
      </c>
      <c r="AA3771" t="n">
        <v>0</v>
      </c>
      <c r="AB3771" t="n">
        <v>17</v>
      </c>
      <c r="AC3771" t="n">
        <v>17</v>
      </c>
      <c r="AD3771" t="n">
        <v>0</v>
      </c>
      <c r="AE3771" t="n">
        <v>342108</v>
      </c>
      <c r="AF3771" t="n">
        <v>9850</v>
      </c>
      <c r="AG3771" t="n">
        <v>116</v>
      </c>
      <c r="AH3771" t="inlineStr">
        <is>
          <t>PT. ENSEVAL PUTERA MEGATRADING - PPN (PDG)</t>
        </is>
      </c>
      <c r="AI3771" t="n">
        <v>116</v>
      </c>
      <c r="AJ3771" t="inlineStr">
        <is>
          <t>NIVEA</t>
        </is>
      </c>
      <c r="AK3771" t="n">
        <v>21</v>
      </c>
      <c r="AL3771" t="inlineStr">
        <is>
          <t>Miss Glam Damar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NIVEA</t>
        </is>
      </c>
      <c r="B3772" s="2">
        <f>"8999777000059"</f>
        <v/>
      </c>
      <c r="C3772" t="inlineStr">
        <is>
          <t>NIVEA Body Care Extra White Radiant &amp; Smooth Lotion 200ml</t>
        </is>
      </c>
      <c r="D3772" t="inlineStr">
        <is>
          <t>Miss Glam Damar</t>
        </is>
      </c>
      <c r="E3772" t="n">
        <v>0</v>
      </c>
      <c r="F3772" t="n">
        <v>0.2639</v>
      </c>
      <c r="G3772" t="n">
        <v>1.82</v>
      </c>
      <c r="H3772" t="n">
        <v>4</v>
      </c>
      <c r="I3772" t="n">
        <v>9</v>
      </c>
      <c r="J3772" t="n">
        <v>3</v>
      </c>
      <c r="K3772" t="n">
        <v>0</v>
      </c>
      <c r="L3772" t="n">
        <v>29371</v>
      </c>
      <c r="M3772" t="n">
        <v>35000</v>
      </c>
      <c r="N3772" t="n">
        <v>91</v>
      </c>
      <c r="O3772" t="n">
        <v>0.91</v>
      </c>
      <c r="P3772" t="n">
        <v>1</v>
      </c>
      <c r="Q3772" t="n">
        <v>0.11</v>
      </c>
      <c r="R3772" t="n">
        <v>2</v>
      </c>
      <c r="S3772" t="n">
        <v>9236.499999999998</v>
      </c>
      <c r="T3772" t="n">
        <v>16</v>
      </c>
      <c r="U3772" t="n">
        <v>18</v>
      </c>
      <c r="V3772" t="n">
        <v>30</v>
      </c>
      <c r="W3772" t="n">
        <v>8</v>
      </c>
      <c r="X3772" t="n">
        <v>0</v>
      </c>
      <c r="Y3772" t="n">
        <v>1</v>
      </c>
      <c r="Z3772" t="n">
        <v>8</v>
      </c>
      <c r="AA3772" t="n">
        <v>3</v>
      </c>
      <c r="AB3772" t="n">
        <v>5</v>
      </c>
      <c r="AC3772" t="n">
        <v>5</v>
      </c>
      <c r="AD3772" t="n">
        <v>88113</v>
      </c>
      <c r="AE3772" t="n">
        <v>146855</v>
      </c>
      <c r="AF3772" t="n">
        <v>9850</v>
      </c>
      <c r="AG3772" t="n">
        <v>116</v>
      </c>
      <c r="AH3772" t="inlineStr">
        <is>
          <t>PT. ENSEVAL PUTERA MEGATRADING - PPN (PDG)</t>
        </is>
      </c>
      <c r="AI3772" t="n">
        <v>116</v>
      </c>
      <c r="AJ3772" t="inlineStr">
        <is>
          <t>NIVEA</t>
        </is>
      </c>
      <c r="AK3772" t="n">
        <v>21</v>
      </c>
      <c r="AL3772" t="inlineStr">
        <is>
          <t>Miss Glam Damar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NIVEA</t>
        </is>
      </c>
      <c r="B3773" s="2">
        <f>"4005808668069"</f>
        <v/>
      </c>
      <c r="C3773" t="inlineStr">
        <is>
          <t>NIVEA Body Lotion Extra White Repair &amp; Protect 400ml</t>
        </is>
      </c>
      <c r="D3773" t="inlineStr">
        <is>
          <t>Miss Glam Damar</t>
        </is>
      </c>
      <c r="E3773" t="n">
        <v>2</v>
      </c>
      <c r="F3773" t="n">
        <v>0.0182</v>
      </c>
      <c r="G3773" t="n">
        <v>0.91</v>
      </c>
      <c r="H3773" t="n">
        <v>4</v>
      </c>
      <c r="I3773" t="n">
        <v>9</v>
      </c>
      <c r="J3773" t="n">
        <v>3</v>
      </c>
      <c r="K3773" t="n">
        <v>0</v>
      </c>
      <c r="L3773" t="n">
        <v>60744</v>
      </c>
      <c r="M3773" t="n">
        <v>72500</v>
      </c>
      <c r="N3773" t="n">
        <v>91</v>
      </c>
      <c r="O3773" t="n">
        <v>0.91</v>
      </c>
      <c r="P3773" t="n">
        <v>1</v>
      </c>
      <c r="Q3773" t="n">
        <v>0.1</v>
      </c>
      <c r="R3773" t="n">
        <v>1</v>
      </c>
      <c r="S3773" t="n">
        <v>1319.5</v>
      </c>
      <c r="T3773" t="n">
        <v>9</v>
      </c>
      <c r="U3773" t="n">
        <v>10</v>
      </c>
      <c r="V3773" t="n">
        <v>30</v>
      </c>
      <c r="W3773" t="n">
        <v>1</v>
      </c>
      <c r="X3773" t="n">
        <v>109.8901098901099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9850</v>
      </c>
      <c r="AG3773" t="n">
        <v>116</v>
      </c>
      <c r="AH3773" t="inlineStr">
        <is>
          <t>PT. ENSEVAL PUTERA MEGATRADING - PPN (PDG)</t>
        </is>
      </c>
      <c r="AI3773" t="n">
        <v>116</v>
      </c>
      <c r="AJ3773" t="inlineStr">
        <is>
          <t>NIVEA</t>
        </is>
      </c>
      <c r="AK3773" t="n">
        <v>21</v>
      </c>
      <c r="AL3773" t="inlineStr">
        <is>
          <t>Miss Glam Damar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NIVEA</t>
        </is>
      </c>
      <c r="B3774" s="2">
        <f>"8999777000271"</f>
        <v/>
      </c>
      <c r="C3774" t="inlineStr">
        <is>
          <t>NIVEA Body Lotion Radiant &amp; Smooth 400ml</t>
        </is>
      </c>
      <c r="D3774" t="inlineStr">
        <is>
          <t>Miss Glam Damar</t>
        </is>
      </c>
      <c r="E3774" t="n">
        <v>5</v>
      </c>
      <c r="F3774" t="n">
        <v>0.1092</v>
      </c>
      <c r="G3774" t="n">
        <v>0.91</v>
      </c>
      <c r="H3774" t="n">
        <v>4</v>
      </c>
      <c r="I3774" t="n">
        <v>9</v>
      </c>
      <c r="J3774" t="n">
        <v>3</v>
      </c>
      <c r="K3774" t="n">
        <v>0</v>
      </c>
      <c r="L3774" t="n">
        <v>57944</v>
      </c>
      <c r="M3774" t="n">
        <v>70000</v>
      </c>
      <c r="N3774" t="n">
        <v>91</v>
      </c>
      <c r="O3774" t="n">
        <v>0.91</v>
      </c>
      <c r="P3774" t="n">
        <v>1</v>
      </c>
      <c r="Q3774" t="n">
        <v>0.1</v>
      </c>
      <c r="R3774" t="n">
        <v>1</v>
      </c>
      <c r="S3774" t="n">
        <v>7644</v>
      </c>
      <c r="T3774" t="n">
        <v>8</v>
      </c>
      <c r="U3774" t="n">
        <v>9</v>
      </c>
      <c r="V3774" t="n">
        <v>30</v>
      </c>
      <c r="W3774" t="n">
        <v>4</v>
      </c>
      <c r="X3774" t="n">
        <v>45.78754578754579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9850</v>
      </c>
      <c r="AG3774" t="n">
        <v>116</v>
      </c>
      <c r="AH3774" t="inlineStr">
        <is>
          <t>PT. ENSEVAL PUTERA MEGATRADING - PPN (PDG)</t>
        </is>
      </c>
      <c r="AI3774" t="n">
        <v>116</v>
      </c>
      <c r="AJ3774" t="inlineStr">
        <is>
          <t>NIVEA</t>
        </is>
      </c>
      <c r="AK3774" t="n">
        <v>21</v>
      </c>
      <c r="AL3774" t="inlineStr">
        <is>
          <t>Miss Glam Damar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NIVEA</t>
        </is>
      </c>
      <c r="B3775" s="2">
        <f>"8999777005320"</f>
        <v/>
      </c>
      <c r="C3775" t="inlineStr">
        <is>
          <t>NIVEA Body Serum Night Whitening Tube 180ml</t>
        </is>
      </c>
      <c r="D3775" t="inlineStr">
        <is>
          <t>Miss Glam Damar</t>
        </is>
      </c>
      <c r="E3775" t="n">
        <v>12</v>
      </c>
      <c r="F3775" t="n">
        <v>0.5733</v>
      </c>
      <c r="G3775" t="n">
        <v>2.73</v>
      </c>
      <c r="H3775" t="n">
        <v>4</v>
      </c>
      <c r="I3775" t="n">
        <v>9</v>
      </c>
      <c r="J3775" t="n">
        <v>3</v>
      </c>
      <c r="K3775" t="n">
        <v>0</v>
      </c>
      <c r="L3775" t="n">
        <v>27417</v>
      </c>
      <c r="M3775" t="n">
        <v>48500</v>
      </c>
      <c r="N3775" t="n">
        <v>91</v>
      </c>
      <c r="O3775" t="n">
        <v>0.91</v>
      </c>
      <c r="P3775" t="n">
        <v>1</v>
      </c>
      <c r="Q3775" t="n">
        <v>0.53</v>
      </c>
      <c r="R3775" t="n">
        <v>4</v>
      </c>
      <c r="S3775" t="n">
        <v>27805.05</v>
      </c>
      <c r="T3775" t="n">
        <v>23</v>
      </c>
      <c r="U3775" t="n">
        <v>26</v>
      </c>
      <c r="V3775" t="n">
        <v>30</v>
      </c>
      <c r="W3775" t="n">
        <v>18</v>
      </c>
      <c r="X3775" t="n">
        <v>20.93144950287807</v>
      </c>
      <c r="Y3775" t="n">
        <v>1</v>
      </c>
      <c r="Z3775" t="n">
        <v>6</v>
      </c>
      <c r="AA3775" t="n">
        <v>0</v>
      </c>
      <c r="AB3775" t="n">
        <v>6</v>
      </c>
      <c r="AC3775" t="n">
        <v>6</v>
      </c>
      <c r="AD3775" t="n">
        <v>0</v>
      </c>
      <c r="AE3775" t="n">
        <v>164502</v>
      </c>
      <c r="AF3775" t="n">
        <v>9850</v>
      </c>
      <c r="AG3775" t="n">
        <v>116</v>
      </c>
      <c r="AH3775" t="inlineStr">
        <is>
          <t>PT. ENSEVAL PUTERA MEGATRADING - PPN (PDG)</t>
        </is>
      </c>
      <c r="AI3775" t="n">
        <v>116</v>
      </c>
      <c r="AJ3775" t="inlineStr">
        <is>
          <t>NIVEA</t>
        </is>
      </c>
      <c r="AK3775" t="n">
        <v>21</v>
      </c>
      <c r="AL3775" t="inlineStr">
        <is>
          <t>Miss Glam Damar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NIVEA</t>
        </is>
      </c>
      <c r="B3776" s="2">
        <f>"8999777009588"</f>
        <v/>
      </c>
      <c r="C3776" t="inlineStr">
        <is>
          <t>NIVEA Body Serum Radiant &amp; Smooth 180ml</t>
        </is>
      </c>
      <c r="D3776" t="inlineStr">
        <is>
          <t>Miss Glam Damar</t>
        </is>
      </c>
      <c r="E3776" t="n">
        <v>6</v>
      </c>
      <c r="F3776" t="n">
        <v>0.2275</v>
      </c>
      <c r="G3776" t="n">
        <v>2.73</v>
      </c>
      <c r="H3776" t="n">
        <v>4</v>
      </c>
      <c r="I3776" t="n">
        <v>9</v>
      </c>
      <c r="J3776" t="n">
        <v>3</v>
      </c>
      <c r="K3776" t="n">
        <v>0</v>
      </c>
      <c r="L3776" t="n">
        <v>27510</v>
      </c>
      <c r="M3776" t="n">
        <v>36500</v>
      </c>
      <c r="N3776" t="n">
        <v>91</v>
      </c>
      <c r="O3776" t="n">
        <v>0.91</v>
      </c>
      <c r="P3776" t="n">
        <v>1</v>
      </c>
      <c r="Q3776" t="n">
        <v>0.22</v>
      </c>
      <c r="R3776" t="n">
        <v>2</v>
      </c>
      <c r="S3776" t="n">
        <v>8303.75</v>
      </c>
      <c r="T3776" t="n">
        <v>24</v>
      </c>
      <c r="U3776" t="n">
        <v>25</v>
      </c>
      <c r="V3776" t="n">
        <v>30</v>
      </c>
      <c r="W3776" t="n">
        <v>7</v>
      </c>
      <c r="X3776" t="n">
        <v>26.37362637362637</v>
      </c>
      <c r="Y3776" t="n">
        <v>1</v>
      </c>
      <c r="Z3776" t="n">
        <v>1</v>
      </c>
      <c r="AA3776" t="n">
        <v>0</v>
      </c>
      <c r="AB3776" t="n">
        <v>1</v>
      </c>
      <c r="AC3776" t="n">
        <v>3</v>
      </c>
      <c r="AD3776" t="n">
        <v>0</v>
      </c>
      <c r="AE3776" t="n">
        <v>82530</v>
      </c>
      <c r="AF3776" t="n">
        <v>9850</v>
      </c>
      <c r="AG3776" t="n">
        <v>116</v>
      </c>
      <c r="AH3776" t="inlineStr">
        <is>
          <t>PT. ENSEVAL PUTERA MEGATRADING - PPN (PDG)</t>
        </is>
      </c>
      <c r="AI3776" t="n">
        <v>116</v>
      </c>
      <c r="AJ3776" t="inlineStr">
        <is>
          <t>NIVEA</t>
        </is>
      </c>
      <c r="AK3776" t="n">
        <v>21</v>
      </c>
      <c r="AL3776" t="inlineStr">
        <is>
          <t>Miss Glam Damar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NIVEA</t>
        </is>
      </c>
      <c r="B3777" s="2">
        <f>"8999777005351"</f>
        <v/>
      </c>
      <c r="C3777" t="inlineStr">
        <is>
          <t>NIVEA Daily Protection Sun Lotion SPF 33 PA+++ 100ml</t>
        </is>
      </c>
      <c r="D3777" t="inlineStr">
        <is>
          <t>Miss Glam Damar</t>
        </is>
      </c>
      <c r="E3777" t="n">
        <v>32</v>
      </c>
      <c r="F3777" t="n">
        <v>1.5743</v>
      </c>
      <c r="G3777" t="n">
        <v>4.55</v>
      </c>
      <c r="H3777" t="n">
        <v>4</v>
      </c>
      <c r="I3777" t="n">
        <v>9</v>
      </c>
      <c r="J3777" t="n">
        <v>3</v>
      </c>
      <c r="K3777" t="n">
        <v>0</v>
      </c>
      <c r="L3777" t="n">
        <v>36441</v>
      </c>
      <c r="M3777" t="n">
        <v>43500</v>
      </c>
      <c r="N3777" t="n">
        <v>91</v>
      </c>
      <c r="O3777" t="n">
        <v>0.91</v>
      </c>
      <c r="P3777" t="n">
        <v>1</v>
      </c>
      <c r="Q3777" t="n">
        <v>1.34</v>
      </c>
      <c r="R3777" t="n">
        <v>4</v>
      </c>
      <c r="S3777" t="n">
        <v>68482.05</v>
      </c>
      <c r="T3777" t="n">
        <v>35</v>
      </c>
      <c r="U3777" t="n">
        <v>42</v>
      </c>
      <c r="V3777" t="n">
        <v>30</v>
      </c>
      <c r="W3777" t="n">
        <v>48</v>
      </c>
      <c r="X3777" t="n">
        <v>20.32649431493362</v>
      </c>
      <c r="Y3777" t="n">
        <v>1</v>
      </c>
      <c r="Z3777" t="n">
        <v>16</v>
      </c>
      <c r="AA3777" t="n">
        <v>0</v>
      </c>
      <c r="AB3777" t="n">
        <v>16</v>
      </c>
      <c r="AC3777" t="n">
        <v>16</v>
      </c>
      <c r="AD3777" t="n">
        <v>0</v>
      </c>
      <c r="AE3777" t="n">
        <v>583056</v>
      </c>
      <c r="AF3777" t="n">
        <v>9850</v>
      </c>
      <c r="AG3777" t="n">
        <v>116</v>
      </c>
      <c r="AH3777" t="inlineStr">
        <is>
          <t>PT. ENSEVAL PUTERA MEGATRADING - PPN (PDG)</t>
        </is>
      </c>
      <c r="AI3777" t="n">
        <v>116</v>
      </c>
      <c r="AJ3777" t="inlineStr">
        <is>
          <t>NIVEA</t>
        </is>
      </c>
      <c r="AK3777" t="n">
        <v>21</v>
      </c>
      <c r="AL3777" t="inlineStr">
        <is>
          <t>Miss Glam Damar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NIVEA</t>
        </is>
      </c>
      <c r="B3778" s="2">
        <f>"8999777007430"</f>
        <v/>
      </c>
      <c r="C3778" t="inlineStr">
        <is>
          <t>NIVEA Dedorant Whitening Happy Shave 50ml</t>
        </is>
      </c>
      <c r="D3778" t="inlineStr">
        <is>
          <t>Miss Glam Damar</t>
        </is>
      </c>
      <c r="E3778" t="n">
        <v>12</v>
      </c>
      <c r="F3778" t="n">
        <v>0.6916</v>
      </c>
      <c r="G3778" t="n">
        <v>2.73</v>
      </c>
      <c r="H3778" t="n">
        <v>4</v>
      </c>
      <c r="I3778" t="n">
        <v>9</v>
      </c>
      <c r="J3778" t="n">
        <v>3</v>
      </c>
      <c r="K3778" t="n">
        <v>0</v>
      </c>
      <c r="L3778" t="n">
        <v>20976</v>
      </c>
      <c r="M3778" t="n">
        <v>25000</v>
      </c>
      <c r="N3778" t="n">
        <v>91</v>
      </c>
      <c r="O3778" t="n">
        <v>0.91</v>
      </c>
      <c r="P3778" t="n">
        <v>1</v>
      </c>
      <c r="Q3778" t="n">
        <v>0.27</v>
      </c>
      <c r="R3778" t="n">
        <v>2</v>
      </c>
      <c r="S3778" t="n">
        <v>17290</v>
      </c>
      <c r="T3778" t="n">
        <v>22</v>
      </c>
      <c r="U3778" t="n">
        <v>25</v>
      </c>
      <c r="V3778" t="n">
        <v>30</v>
      </c>
      <c r="W3778" t="n">
        <v>21</v>
      </c>
      <c r="X3778" t="n">
        <v>17.35106998264893</v>
      </c>
      <c r="Y3778" t="n">
        <v>1</v>
      </c>
      <c r="Z3778" t="n">
        <v>9</v>
      </c>
      <c r="AA3778" t="n">
        <v>0</v>
      </c>
      <c r="AB3778" t="n">
        <v>9</v>
      </c>
      <c r="AC3778" t="n">
        <v>9</v>
      </c>
      <c r="AD3778" t="n">
        <v>0</v>
      </c>
      <c r="AE3778" t="n">
        <v>188784</v>
      </c>
      <c r="AF3778" t="n">
        <v>9850</v>
      </c>
      <c r="AG3778" t="n">
        <v>116</v>
      </c>
      <c r="AH3778" t="inlineStr">
        <is>
          <t>PT. ENSEVAL PUTERA MEGATRADING - PPN (PDG)</t>
        </is>
      </c>
      <c r="AI3778" t="n">
        <v>116</v>
      </c>
      <c r="AJ3778" t="inlineStr">
        <is>
          <t>NIVEA</t>
        </is>
      </c>
      <c r="AK3778" t="n">
        <v>21</v>
      </c>
      <c r="AL3778" t="inlineStr">
        <is>
          <t>Miss Glam Damar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NIVEA</t>
        </is>
      </c>
      <c r="B3779" s="2">
        <f>"8999777004163"</f>
        <v/>
      </c>
      <c r="C3779" t="inlineStr">
        <is>
          <t>NIVEA Deo Extra Brightening 50ml</t>
        </is>
      </c>
      <c r="D3779" t="inlineStr">
        <is>
          <t>Miss Glam Damar</t>
        </is>
      </c>
      <c r="E3779" t="n">
        <v>21</v>
      </c>
      <c r="F3779" t="n">
        <v>2.3933</v>
      </c>
      <c r="G3779" t="n">
        <v>10.01</v>
      </c>
      <c r="H3779" t="n">
        <v>4</v>
      </c>
      <c r="I3779" t="n">
        <v>9</v>
      </c>
      <c r="J3779" t="n">
        <v>3</v>
      </c>
      <c r="K3779" t="n">
        <v>0</v>
      </c>
      <c r="L3779" t="n">
        <v>20668</v>
      </c>
      <c r="M3779" t="n">
        <v>24500</v>
      </c>
      <c r="N3779" t="n">
        <v>91</v>
      </c>
      <c r="O3779" t="n">
        <v>0.91</v>
      </c>
      <c r="P3779" t="n">
        <v>1</v>
      </c>
      <c r="Q3779" t="n">
        <v>1.14</v>
      </c>
      <c r="R3779" t="n">
        <v>4</v>
      </c>
      <c r="S3779" t="n">
        <v>58635.85</v>
      </c>
      <c r="T3779" t="n">
        <v>81</v>
      </c>
      <c r="U3779" t="n">
        <v>91</v>
      </c>
      <c r="V3779" t="n">
        <v>30</v>
      </c>
      <c r="W3779" t="n">
        <v>72</v>
      </c>
      <c r="X3779" t="n">
        <v>8.774495466510675</v>
      </c>
      <c r="Y3779" t="n">
        <v>1</v>
      </c>
      <c r="Z3779" t="n">
        <v>51</v>
      </c>
      <c r="AA3779" t="n">
        <v>1</v>
      </c>
      <c r="AB3779" t="n">
        <v>50</v>
      </c>
      <c r="AC3779" t="n">
        <v>50</v>
      </c>
      <c r="AD3779" t="n">
        <v>20668</v>
      </c>
      <c r="AE3779" t="n">
        <v>1033400</v>
      </c>
      <c r="AF3779" t="n">
        <v>9850</v>
      </c>
      <c r="AG3779" t="n">
        <v>116</v>
      </c>
      <c r="AH3779" t="inlineStr">
        <is>
          <t>PT. ENSEVAL PUTERA MEGATRADING - PPN (PDG)</t>
        </is>
      </c>
      <c r="AI3779" t="n">
        <v>116</v>
      </c>
      <c r="AJ3779" t="inlineStr">
        <is>
          <t>NIVEA</t>
        </is>
      </c>
      <c r="AK3779" t="n">
        <v>21</v>
      </c>
      <c r="AL3779" t="inlineStr">
        <is>
          <t>Miss Glam Damar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NIVEA</t>
        </is>
      </c>
      <c r="B3780" s="2">
        <f>"42397625"</f>
        <v/>
      </c>
      <c r="C3780" t="inlineStr">
        <is>
          <t>NIVEA Deodoran Whitening Hijab Fersh  25 ml</t>
        </is>
      </c>
      <c r="D3780" t="inlineStr">
        <is>
          <t>Miss Glam Damar</t>
        </is>
      </c>
      <c r="E3780" t="n">
        <v>18</v>
      </c>
      <c r="F3780" t="n">
        <v>3.3124</v>
      </c>
      <c r="G3780" t="n">
        <v>9.1</v>
      </c>
      <c r="H3780" t="n">
        <v>4</v>
      </c>
      <c r="I3780" t="n">
        <v>9</v>
      </c>
      <c r="J3780" t="n">
        <v>3</v>
      </c>
      <c r="K3780" t="n">
        <v>0</v>
      </c>
      <c r="L3780" t="n">
        <v>12075</v>
      </c>
      <c r="M3780" t="n">
        <v>14500</v>
      </c>
      <c r="N3780" t="n">
        <v>91</v>
      </c>
      <c r="O3780" t="n">
        <v>0.91</v>
      </c>
      <c r="P3780" t="n">
        <v>1</v>
      </c>
      <c r="Q3780" t="n">
        <v>1</v>
      </c>
      <c r="R3780" t="n">
        <v>6</v>
      </c>
      <c r="S3780" t="n">
        <v>48029.8</v>
      </c>
      <c r="T3780" t="n">
        <v>69</v>
      </c>
      <c r="U3780" t="n">
        <v>83</v>
      </c>
      <c r="V3780" t="n">
        <v>30</v>
      </c>
      <c r="W3780" t="n">
        <v>100</v>
      </c>
      <c r="X3780" t="n">
        <v>5.434126313247192</v>
      </c>
      <c r="Y3780" t="n">
        <v>1</v>
      </c>
      <c r="Z3780" t="n">
        <v>82</v>
      </c>
      <c r="AA3780" t="n">
        <v>12</v>
      </c>
      <c r="AB3780" t="n">
        <v>70</v>
      </c>
      <c r="AC3780" t="n">
        <v>70</v>
      </c>
      <c r="AD3780" t="n">
        <v>144900</v>
      </c>
      <c r="AE3780" t="n">
        <v>845250</v>
      </c>
      <c r="AF3780" t="n">
        <v>9850</v>
      </c>
      <c r="AG3780" t="n">
        <v>116</v>
      </c>
      <c r="AH3780" t="inlineStr">
        <is>
          <t>PT. ENSEVAL PUTERA MEGATRADING - PPN (PDG)</t>
        </is>
      </c>
      <c r="AI3780" t="n">
        <v>116</v>
      </c>
      <c r="AJ3780" t="inlineStr">
        <is>
          <t>NIVEA</t>
        </is>
      </c>
      <c r="AK3780" t="n">
        <v>21</v>
      </c>
      <c r="AL3780" t="inlineStr">
        <is>
          <t>Miss Glam Damar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NIVEA</t>
        </is>
      </c>
      <c r="B3781" s="2">
        <f>"8999777014209"</f>
        <v/>
      </c>
      <c r="C3781" t="inlineStr">
        <is>
          <t>NIVEA Deodorant Anti Bacteri 50ml</t>
        </is>
      </c>
      <c r="D3781" t="inlineStr">
        <is>
          <t>Miss Glam Damar</t>
        </is>
      </c>
      <c r="E3781" t="n">
        <v>8</v>
      </c>
      <c r="F3781" t="n">
        <v>0.4004</v>
      </c>
      <c r="G3781" t="n">
        <v>1.82</v>
      </c>
      <c r="H3781" t="n">
        <v>4</v>
      </c>
      <c r="I3781" t="n">
        <v>9</v>
      </c>
      <c r="J3781" t="n">
        <v>3</v>
      </c>
      <c r="K3781" t="n">
        <v>0</v>
      </c>
      <c r="L3781" t="n">
        <v>21026</v>
      </c>
      <c r="M3781" t="n">
        <v>25000</v>
      </c>
      <c r="N3781" t="n">
        <v>91</v>
      </c>
      <c r="O3781" t="n">
        <v>0.91</v>
      </c>
      <c r="P3781" t="n">
        <v>1</v>
      </c>
      <c r="Q3781" t="n">
        <v>0.1</v>
      </c>
      <c r="R3781" t="n">
        <v>1</v>
      </c>
      <c r="S3781" t="n">
        <v>10010</v>
      </c>
      <c r="T3781" t="n">
        <v>15</v>
      </c>
      <c r="U3781" t="n">
        <v>17</v>
      </c>
      <c r="V3781" t="n">
        <v>30</v>
      </c>
      <c r="W3781" t="n">
        <v>13</v>
      </c>
      <c r="X3781" t="n">
        <v>19.98001998001998</v>
      </c>
      <c r="Y3781" t="n">
        <v>1</v>
      </c>
      <c r="Z3781" t="n">
        <v>5</v>
      </c>
      <c r="AA3781" t="n">
        <v>0</v>
      </c>
      <c r="AB3781" t="n">
        <v>5</v>
      </c>
      <c r="AC3781" t="n">
        <v>5</v>
      </c>
      <c r="AD3781" t="n">
        <v>0</v>
      </c>
      <c r="AE3781" t="n">
        <v>105130</v>
      </c>
      <c r="AF3781" t="n">
        <v>9850</v>
      </c>
      <c r="AG3781" t="n">
        <v>116</v>
      </c>
      <c r="AH3781" t="inlineStr">
        <is>
          <t>PT. ENSEVAL PUTERA MEGATRADING - PPN (PDG)</t>
        </is>
      </c>
      <c r="AI3781" t="n">
        <v>116</v>
      </c>
      <c r="AJ3781" t="inlineStr">
        <is>
          <t>NIVEA</t>
        </is>
      </c>
      <c r="AK3781" t="n">
        <v>21</v>
      </c>
      <c r="AL3781" t="inlineStr">
        <is>
          <t>Miss Glam Damar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NIVEA</t>
        </is>
      </c>
      <c r="B3782" s="2">
        <f>"8999777004880"</f>
        <v/>
      </c>
      <c r="C3782" t="inlineStr">
        <is>
          <t>NIVEA Deodorant Black &amp; White Invisible Clear Spray 150ml</t>
        </is>
      </c>
      <c r="D3782" t="inlineStr">
        <is>
          <t>Miss Glam Damar</t>
        </is>
      </c>
      <c r="E3782" t="n">
        <v>5</v>
      </c>
      <c r="F3782" t="n">
        <v>0.1365</v>
      </c>
      <c r="G3782" t="n">
        <v>1.82</v>
      </c>
      <c r="H3782" t="n">
        <v>4</v>
      </c>
      <c r="I3782" t="n">
        <v>9</v>
      </c>
      <c r="J3782" t="n">
        <v>3</v>
      </c>
      <c r="K3782" t="n">
        <v>0</v>
      </c>
      <c r="L3782" t="n">
        <v>51601</v>
      </c>
      <c r="M3782" t="n">
        <v>61000</v>
      </c>
      <c r="N3782" t="n">
        <v>91</v>
      </c>
      <c r="O3782" t="n">
        <v>0.91</v>
      </c>
      <c r="P3782" t="n">
        <v>1</v>
      </c>
      <c r="Q3782" t="n">
        <v>0.2</v>
      </c>
      <c r="R3782" t="n">
        <v>2</v>
      </c>
      <c r="S3782" t="n">
        <v>8326.5</v>
      </c>
      <c r="T3782" t="n">
        <v>16</v>
      </c>
      <c r="U3782" t="n">
        <v>17</v>
      </c>
      <c r="V3782" t="n">
        <v>30</v>
      </c>
      <c r="W3782" t="n">
        <v>5</v>
      </c>
      <c r="X3782" t="n">
        <v>36.63003663003663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9850</v>
      </c>
      <c r="AG3782" t="n">
        <v>116</v>
      </c>
      <c r="AH3782" t="inlineStr">
        <is>
          <t>PT. ENSEVAL PUTERA MEGATRADING - PPN (PDG)</t>
        </is>
      </c>
      <c r="AI3782" t="n">
        <v>116</v>
      </c>
      <c r="AJ3782" t="inlineStr">
        <is>
          <t>NIVEA</t>
        </is>
      </c>
      <c r="AK3782" t="n">
        <v>21</v>
      </c>
      <c r="AL3782" t="inlineStr">
        <is>
          <t>Miss Glam Damar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NIVEA</t>
        </is>
      </c>
      <c r="B3783" s="2">
        <f>"8999777017873"</f>
        <v/>
      </c>
      <c r="C3783" t="inlineStr">
        <is>
          <t>NIVEA Deodorant Brightening Hijab Cool 50ml</t>
        </is>
      </c>
      <c r="D3783" t="inlineStr">
        <is>
          <t>Miss Glam Damar</t>
        </is>
      </c>
      <c r="E3783" t="n">
        <v>5</v>
      </c>
      <c r="F3783" t="n">
        <v>0.3094</v>
      </c>
      <c r="G3783" t="n">
        <v>1.82</v>
      </c>
      <c r="H3783" t="n">
        <v>4</v>
      </c>
      <c r="I3783" t="n">
        <v>9</v>
      </c>
      <c r="J3783" t="n">
        <v>3</v>
      </c>
      <c r="K3783" t="n">
        <v>0</v>
      </c>
      <c r="L3783" t="n">
        <v>20970</v>
      </c>
      <c r="M3783" t="n">
        <v>25000</v>
      </c>
      <c r="N3783" t="n">
        <v>91</v>
      </c>
      <c r="O3783" t="n">
        <v>0.91</v>
      </c>
      <c r="P3783" t="n">
        <v>1</v>
      </c>
      <c r="Q3783" t="n">
        <v>0.27</v>
      </c>
      <c r="R3783" t="n">
        <v>2</v>
      </c>
      <c r="S3783" t="n">
        <v>7735</v>
      </c>
      <c r="T3783" t="n">
        <v>16</v>
      </c>
      <c r="U3783" t="n">
        <v>18</v>
      </c>
      <c r="V3783" t="n">
        <v>30</v>
      </c>
      <c r="W3783" t="n">
        <v>10</v>
      </c>
      <c r="X3783" t="n">
        <v>16.16031027795734</v>
      </c>
      <c r="Y3783" t="n">
        <v>1</v>
      </c>
      <c r="Z3783" t="n">
        <v>5</v>
      </c>
      <c r="AA3783" t="n">
        <v>0</v>
      </c>
      <c r="AB3783" t="n">
        <v>5</v>
      </c>
      <c r="AC3783" t="n">
        <v>5</v>
      </c>
      <c r="AD3783" t="n">
        <v>0</v>
      </c>
      <c r="AE3783" t="n">
        <v>104850</v>
      </c>
      <c r="AF3783" t="n">
        <v>9850</v>
      </c>
      <c r="AG3783" t="n">
        <v>116</v>
      </c>
      <c r="AH3783" t="inlineStr">
        <is>
          <t>PT. ENSEVAL PUTERA MEGATRADING - PPN (PDG)</t>
        </is>
      </c>
      <c r="AI3783" t="n">
        <v>116</v>
      </c>
      <c r="AJ3783" t="inlineStr">
        <is>
          <t>NIVEA</t>
        </is>
      </c>
      <c r="AK3783" t="n">
        <v>21</v>
      </c>
      <c r="AL3783" t="inlineStr">
        <is>
          <t>Miss Glam Damar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NIVEA</t>
        </is>
      </c>
      <c r="B3784" s="2">
        <f>"8999777009281"</f>
        <v/>
      </c>
      <c r="C3784" t="inlineStr">
        <is>
          <t>NIVEA Deodorant Brightening Silk Touch 8 Super food  50 ml</t>
        </is>
      </c>
      <c r="D3784" t="inlineStr">
        <is>
          <t>Miss Glam Damar</t>
        </is>
      </c>
      <c r="E3784" t="n">
        <v>11</v>
      </c>
      <c r="F3784" t="n">
        <v>0.6916</v>
      </c>
      <c r="G3784" t="n">
        <v>3.64</v>
      </c>
      <c r="H3784" t="n">
        <v>4</v>
      </c>
      <c r="I3784" t="n">
        <v>9</v>
      </c>
      <c r="J3784" t="n">
        <v>3</v>
      </c>
      <c r="K3784" t="n">
        <v>0</v>
      </c>
      <c r="L3784" t="n">
        <v>20668</v>
      </c>
      <c r="M3784" t="n">
        <v>24500</v>
      </c>
      <c r="N3784" t="n">
        <v>91</v>
      </c>
      <c r="O3784" t="n">
        <v>0.91</v>
      </c>
      <c r="P3784" t="n">
        <v>1</v>
      </c>
      <c r="Q3784" t="n">
        <v>0.54</v>
      </c>
      <c r="R3784" t="n">
        <v>4</v>
      </c>
      <c r="S3784" t="n">
        <v>16944.2</v>
      </c>
      <c r="T3784" t="n">
        <v>30</v>
      </c>
      <c r="U3784" t="n">
        <v>33</v>
      </c>
      <c r="V3784" t="n">
        <v>30</v>
      </c>
      <c r="W3784" t="n">
        <v>21</v>
      </c>
      <c r="X3784" t="n">
        <v>15.90514748409485</v>
      </c>
      <c r="Y3784" t="n">
        <v>1</v>
      </c>
      <c r="Z3784" t="n">
        <v>10</v>
      </c>
      <c r="AA3784" t="n">
        <v>0</v>
      </c>
      <c r="AB3784" t="n">
        <v>10</v>
      </c>
      <c r="AC3784" t="n">
        <v>10</v>
      </c>
      <c r="AD3784" t="n">
        <v>0</v>
      </c>
      <c r="AE3784" t="n">
        <v>206680</v>
      </c>
      <c r="AF3784" t="n">
        <v>9850</v>
      </c>
      <c r="AG3784" t="n">
        <v>116</v>
      </c>
      <c r="AH3784" t="inlineStr">
        <is>
          <t>PT. ENSEVAL PUTERA MEGATRADING - PPN (PDG)</t>
        </is>
      </c>
      <c r="AI3784" t="n">
        <v>116</v>
      </c>
      <c r="AJ3784" t="inlineStr">
        <is>
          <t>NIVEA</t>
        </is>
      </c>
      <c r="AK3784" t="n">
        <v>21</v>
      </c>
      <c r="AL3784" t="inlineStr">
        <is>
          <t>Miss Glam Damar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NIVEA</t>
        </is>
      </c>
      <c r="B3785" s="2">
        <f>"8999777004828"</f>
        <v/>
      </c>
      <c r="C3785" t="inlineStr">
        <is>
          <t>NIVEA Deodorant Extra Brightening Spray 150ml</t>
        </is>
      </c>
      <c r="D3785" t="inlineStr">
        <is>
          <t>Miss Glam Damar</t>
        </is>
      </c>
      <c r="E3785" t="n">
        <v>13</v>
      </c>
      <c r="F3785" t="n">
        <v>0.1729</v>
      </c>
      <c r="G3785" t="n">
        <v>1.82</v>
      </c>
      <c r="H3785" t="n">
        <v>4</v>
      </c>
      <c r="I3785" t="n">
        <v>9</v>
      </c>
      <c r="J3785" t="n">
        <v>3</v>
      </c>
      <c r="K3785" t="n">
        <v>0</v>
      </c>
      <c r="L3785" t="n">
        <v>51671</v>
      </c>
      <c r="M3785" t="n">
        <v>61000</v>
      </c>
      <c r="N3785" t="n">
        <v>91</v>
      </c>
      <c r="O3785" t="n">
        <v>0.91</v>
      </c>
      <c r="P3785" t="n">
        <v>1</v>
      </c>
      <c r="Q3785" t="n">
        <v>0.36</v>
      </c>
      <c r="R3785" t="n">
        <v>2</v>
      </c>
      <c r="S3785" t="n">
        <v>10546.9</v>
      </c>
      <c r="T3785" t="n">
        <v>16</v>
      </c>
      <c r="U3785" t="n">
        <v>17</v>
      </c>
      <c r="V3785" t="n">
        <v>30</v>
      </c>
      <c r="W3785" t="n">
        <v>6</v>
      </c>
      <c r="X3785" t="n">
        <v>75.18796992481204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9850</v>
      </c>
      <c r="AG3785" t="n">
        <v>116</v>
      </c>
      <c r="AH3785" t="inlineStr">
        <is>
          <t>PT. ENSEVAL PUTERA MEGATRADING - PPN (PDG)</t>
        </is>
      </c>
      <c r="AI3785" t="n">
        <v>116</v>
      </c>
      <c r="AJ3785" t="inlineStr">
        <is>
          <t>NIVEA</t>
        </is>
      </c>
      <c r="AK3785" t="n">
        <v>21</v>
      </c>
      <c r="AL3785" t="inlineStr">
        <is>
          <t>Miss Glam Damar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NIVEA</t>
        </is>
      </c>
      <c r="B3786" s="2">
        <f>"8999777017620"</f>
        <v/>
      </c>
      <c r="C3786" t="inlineStr">
        <is>
          <t>NIVEA Deodorant Hijab Soft Shave Less 50ml</t>
        </is>
      </c>
      <c r="D3786" t="inlineStr">
        <is>
          <t>Miss Glam Damar</t>
        </is>
      </c>
      <c r="E3786" t="n">
        <v>8</v>
      </c>
      <c r="F3786" t="n">
        <v>1.4378</v>
      </c>
      <c r="G3786" t="n">
        <v>6.37</v>
      </c>
      <c r="H3786" t="n">
        <v>4</v>
      </c>
      <c r="I3786" t="n">
        <v>9</v>
      </c>
      <c r="J3786" t="n">
        <v>3</v>
      </c>
      <c r="K3786" t="n">
        <v>0</v>
      </c>
      <c r="L3786" t="n">
        <v>21046</v>
      </c>
      <c r="M3786" t="n">
        <v>25000</v>
      </c>
      <c r="N3786" t="n">
        <v>91</v>
      </c>
      <c r="O3786" t="n">
        <v>0.91</v>
      </c>
      <c r="P3786" t="n">
        <v>1</v>
      </c>
      <c r="Q3786" t="n">
        <v>0.46</v>
      </c>
      <c r="R3786" t="n">
        <v>2</v>
      </c>
      <c r="S3786" t="n">
        <v>35945.00000000001</v>
      </c>
      <c r="T3786" t="n">
        <v>52</v>
      </c>
      <c r="U3786" t="n">
        <v>58</v>
      </c>
      <c r="V3786" t="n">
        <v>30</v>
      </c>
      <c r="W3786" t="n">
        <v>44</v>
      </c>
      <c r="X3786" t="n">
        <v>5.564056196967589</v>
      </c>
      <c r="Y3786" t="n">
        <v>1</v>
      </c>
      <c r="Z3786" t="n">
        <v>36</v>
      </c>
      <c r="AA3786" t="n">
        <v>5</v>
      </c>
      <c r="AB3786" t="n">
        <v>31</v>
      </c>
      <c r="AC3786" t="n">
        <v>31</v>
      </c>
      <c r="AD3786" t="n">
        <v>105230</v>
      </c>
      <c r="AE3786" t="n">
        <v>652426</v>
      </c>
      <c r="AF3786" t="n">
        <v>9850</v>
      </c>
      <c r="AG3786" t="n">
        <v>116</v>
      </c>
      <c r="AH3786" t="inlineStr">
        <is>
          <t>PT. ENSEVAL PUTERA MEGATRADING - PPN (PDG)</t>
        </is>
      </c>
      <c r="AI3786" t="n">
        <v>116</v>
      </c>
      <c r="AJ3786" t="inlineStr">
        <is>
          <t>NIVEA</t>
        </is>
      </c>
      <c r="AK3786" t="n">
        <v>21</v>
      </c>
      <c r="AL3786" t="inlineStr">
        <is>
          <t>Miss Glam Damar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NIVEA</t>
        </is>
      </c>
      <c r="B3787" s="2">
        <f>"8999777011000"</f>
        <v/>
      </c>
      <c r="C3787" t="inlineStr">
        <is>
          <t>NIVEA Deodorant Pearl &amp; Beauty 25ml</t>
        </is>
      </c>
      <c r="D3787" t="inlineStr">
        <is>
          <t>Miss Glam Damar</t>
        </is>
      </c>
      <c r="E3787" t="n">
        <v>10</v>
      </c>
      <c r="F3787" t="n">
        <v>2.4479</v>
      </c>
      <c r="G3787" t="n">
        <v>5.46</v>
      </c>
      <c r="H3787" t="n">
        <v>4</v>
      </c>
      <c r="I3787" t="n">
        <v>9</v>
      </c>
      <c r="J3787" t="n">
        <v>3</v>
      </c>
      <c r="K3787" t="n">
        <v>0</v>
      </c>
      <c r="L3787" t="n">
        <v>12074</v>
      </c>
      <c r="M3787" t="n">
        <v>14500</v>
      </c>
      <c r="N3787" t="n">
        <v>91</v>
      </c>
      <c r="O3787" t="n">
        <v>0.91</v>
      </c>
      <c r="P3787" t="n">
        <v>1</v>
      </c>
      <c r="Q3787" t="n">
        <v>0.8</v>
      </c>
      <c r="R3787" t="n">
        <v>3</v>
      </c>
      <c r="S3787" t="n">
        <v>35494.55</v>
      </c>
      <c r="T3787" t="n">
        <v>40</v>
      </c>
      <c r="U3787" t="n">
        <v>50</v>
      </c>
      <c r="V3787" t="n">
        <v>30</v>
      </c>
      <c r="W3787" t="n">
        <v>74</v>
      </c>
      <c r="X3787" t="n">
        <v>4.08513419665836</v>
      </c>
      <c r="Y3787" t="n">
        <v>1</v>
      </c>
      <c r="Z3787" t="n">
        <v>64</v>
      </c>
      <c r="AA3787" t="n">
        <v>13</v>
      </c>
      <c r="AB3787" t="n">
        <v>51</v>
      </c>
      <c r="AC3787" t="n">
        <v>51</v>
      </c>
      <c r="AD3787" t="n">
        <v>156962</v>
      </c>
      <c r="AE3787" t="n">
        <v>615774</v>
      </c>
      <c r="AF3787" t="n">
        <v>9850</v>
      </c>
      <c r="AG3787" t="n">
        <v>116</v>
      </c>
      <c r="AH3787" t="inlineStr">
        <is>
          <t>PT. ENSEVAL PUTERA MEGATRADING - PPN (PDG)</t>
        </is>
      </c>
      <c r="AI3787" t="n">
        <v>116</v>
      </c>
      <c r="AJ3787" t="inlineStr">
        <is>
          <t>NIVEA</t>
        </is>
      </c>
      <c r="AK3787" t="n">
        <v>21</v>
      </c>
      <c r="AL3787" t="inlineStr">
        <is>
          <t>Miss Glam Damar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NIVEA</t>
        </is>
      </c>
      <c r="B3788" s="2">
        <f>"8999777004224"</f>
        <v/>
      </c>
      <c r="C3788" t="inlineStr">
        <is>
          <t>NIVEA Deodorant Roll On Extra Whitening 25ml</t>
        </is>
      </c>
      <c r="D3788" t="inlineStr">
        <is>
          <t>Miss Glam Damar</t>
        </is>
      </c>
      <c r="E3788" t="n">
        <v>39</v>
      </c>
      <c r="F3788" t="n">
        <v>3.822000000000001</v>
      </c>
      <c r="G3788" t="n">
        <v>11.83</v>
      </c>
      <c r="H3788" t="n">
        <v>4</v>
      </c>
      <c r="I3788" t="n">
        <v>9</v>
      </c>
      <c r="J3788" t="n">
        <v>3</v>
      </c>
      <c r="K3788" t="n">
        <v>0</v>
      </c>
      <c r="L3788" t="n">
        <v>12075</v>
      </c>
      <c r="M3788" t="n">
        <v>14500</v>
      </c>
      <c r="N3788" t="n">
        <v>91</v>
      </c>
      <c r="O3788" t="n">
        <v>0.91</v>
      </c>
      <c r="P3788" t="n">
        <v>1</v>
      </c>
      <c r="Q3788" t="n">
        <v>1.88</v>
      </c>
      <c r="R3788" t="n">
        <v>9</v>
      </c>
      <c r="S3788" t="n">
        <v>55419.00000000001</v>
      </c>
      <c r="T3788" t="n">
        <v>92</v>
      </c>
      <c r="U3788" t="n">
        <v>108</v>
      </c>
      <c r="V3788" t="n">
        <v>30</v>
      </c>
      <c r="W3788" t="n">
        <v>115</v>
      </c>
      <c r="X3788" t="n">
        <v>10.20408163265306</v>
      </c>
      <c r="Y3788" t="n">
        <v>1</v>
      </c>
      <c r="Z3788" t="n">
        <v>76</v>
      </c>
      <c r="AA3788" t="n">
        <v>0</v>
      </c>
      <c r="AB3788" t="n">
        <v>76</v>
      </c>
      <c r="AC3788" t="n">
        <v>76</v>
      </c>
      <c r="AD3788" t="n">
        <v>0</v>
      </c>
      <c r="AE3788" t="n">
        <v>917700</v>
      </c>
      <c r="AF3788" t="n">
        <v>9850</v>
      </c>
      <c r="AG3788" t="n">
        <v>116</v>
      </c>
      <c r="AH3788" t="inlineStr">
        <is>
          <t>PT. ENSEVAL PUTERA MEGATRADING - PPN (PDG)</t>
        </is>
      </c>
      <c r="AI3788" t="n">
        <v>116</v>
      </c>
      <c r="AJ3788" t="inlineStr">
        <is>
          <t>NIVEA</t>
        </is>
      </c>
      <c r="AK3788" t="n">
        <v>21</v>
      </c>
      <c r="AL3788" t="inlineStr">
        <is>
          <t>Miss Glam Damar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NIVEA</t>
        </is>
      </c>
      <c r="B3789" s="2">
        <f>"8999777009267"</f>
        <v/>
      </c>
      <c r="C3789" t="inlineStr">
        <is>
          <t>NIVEA Deodorant Whitenig Silk Touch 25ml</t>
        </is>
      </c>
      <c r="D3789" t="inlineStr">
        <is>
          <t>Miss Glam Damar</t>
        </is>
      </c>
      <c r="E3789" t="n">
        <v>13</v>
      </c>
      <c r="F3789" t="n">
        <v>0.7735</v>
      </c>
      <c r="G3789" t="n">
        <v>3.64</v>
      </c>
      <c r="H3789" t="n">
        <v>4</v>
      </c>
      <c r="I3789" t="n">
        <v>9</v>
      </c>
      <c r="J3789" t="n">
        <v>3</v>
      </c>
      <c r="K3789" t="n">
        <v>0</v>
      </c>
      <c r="L3789" t="n">
        <v>12075</v>
      </c>
      <c r="M3789" t="n">
        <v>14500</v>
      </c>
      <c r="N3789" t="n">
        <v>91</v>
      </c>
      <c r="O3789" t="n">
        <v>0.91</v>
      </c>
      <c r="P3789" t="n">
        <v>1</v>
      </c>
      <c r="Q3789" t="n">
        <v>0.47</v>
      </c>
      <c r="R3789" t="n">
        <v>2</v>
      </c>
      <c r="S3789" t="n">
        <v>11215.75</v>
      </c>
      <c r="T3789" t="n">
        <v>30</v>
      </c>
      <c r="U3789" t="n">
        <v>34</v>
      </c>
      <c r="V3789" t="n">
        <v>30</v>
      </c>
      <c r="W3789" t="n">
        <v>24</v>
      </c>
      <c r="X3789" t="n">
        <v>16.80672268907563</v>
      </c>
      <c r="Y3789" t="n">
        <v>1</v>
      </c>
      <c r="Z3789" t="n">
        <v>11</v>
      </c>
      <c r="AA3789" t="n">
        <v>0</v>
      </c>
      <c r="AB3789" t="n">
        <v>11</v>
      </c>
      <c r="AC3789" t="n">
        <v>11</v>
      </c>
      <c r="AD3789" t="n">
        <v>0</v>
      </c>
      <c r="AE3789" t="n">
        <v>132825</v>
      </c>
      <c r="AF3789" t="n">
        <v>9850</v>
      </c>
      <c r="AG3789" t="n">
        <v>116</v>
      </c>
      <c r="AH3789" t="inlineStr">
        <is>
          <t>PT. ENSEVAL PUTERA MEGATRADING - PPN (PDG)</t>
        </is>
      </c>
      <c r="AI3789" t="n">
        <v>116</v>
      </c>
      <c r="AJ3789" t="inlineStr">
        <is>
          <t>NIVEA</t>
        </is>
      </c>
      <c r="AK3789" t="n">
        <v>21</v>
      </c>
      <c r="AL3789" t="inlineStr">
        <is>
          <t>Miss Glam Damar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NIVEA</t>
        </is>
      </c>
      <c r="B3790" s="2">
        <f>"8999777015893"</f>
        <v/>
      </c>
      <c r="C3790" t="inlineStr">
        <is>
          <t>NIVEA Deodorant Whitening Hijab Fresh 50ml</t>
        </is>
      </c>
      <c r="D3790" t="inlineStr">
        <is>
          <t>Miss Glam Damar</t>
        </is>
      </c>
      <c r="E3790" t="n">
        <v>16</v>
      </c>
      <c r="F3790" t="n">
        <v>0.8190000000000001</v>
      </c>
      <c r="G3790" t="n">
        <v>4.55</v>
      </c>
      <c r="H3790" t="n">
        <v>4</v>
      </c>
      <c r="I3790" t="n">
        <v>9</v>
      </c>
      <c r="J3790" t="n">
        <v>3</v>
      </c>
      <c r="K3790" t="n">
        <v>0</v>
      </c>
      <c r="L3790" t="n">
        <v>21049</v>
      </c>
      <c r="M3790" t="n">
        <v>25500</v>
      </c>
      <c r="N3790" t="n">
        <v>91</v>
      </c>
      <c r="O3790" t="n">
        <v>0.91</v>
      </c>
      <c r="P3790" t="n">
        <v>1</v>
      </c>
      <c r="Q3790" t="n">
        <v>1.12</v>
      </c>
      <c r="R3790" t="n">
        <v>5</v>
      </c>
      <c r="S3790" t="n">
        <v>20884.5</v>
      </c>
      <c r="T3790" t="n">
        <v>38</v>
      </c>
      <c r="U3790" t="n">
        <v>42</v>
      </c>
      <c r="V3790" t="n">
        <v>30</v>
      </c>
      <c r="W3790" t="n">
        <v>25</v>
      </c>
      <c r="X3790" t="n">
        <v>19.53601953601953</v>
      </c>
      <c r="Y3790" t="n">
        <v>1</v>
      </c>
      <c r="Z3790" t="n">
        <v>9</v>
      </c>
      <c r="AA3790" t="n">
        <v>0</v>
      </c>
      <c r="AB3790" t="n">
        <v>9</v>
      </c>
      <c r="AC3790" t="n">
        <v>9</v>
      </c>
      <c r="AD3790" t="n">
        <v>0</v>
      </c>
      <c r="AE3790" t="n">
        <v>189441</v>
      </c>
      <c r="AF3790" t="n">
        <v>9850</v>
      </c>
      <c r="AG3790" t="n">
        <v>116</v>
      </c>
      <c r="AH3790" t="inlineStr">
        <is>
          <t>PT. ENSEVAL PUTERA MEGATRADING - PPN (PDG)</t>
        </is>
      </c>
      <c r="AI3790" t="n">
        <v>116</v>
      </c>
      <c r="AJ3790" t="inlineStr">
        <is>
          <t>NIVEA</t>
        </is>
      </c>
      <c r="AK3790" t="n">
        <v>21</v>
      </c>
      <c r="AL3790" t="inlineStr">
        <is>
          <t>Miss Glam Damar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NIVEA</t>
        </is>
      </c>
      <c r="B3791" s="2">
        <f>"30400519552"</f>
        <v/>
      </c>
      <c r="C3791" t="inlineStr">
        <is>
          <t>NIVEA Derma Control Defend Anti-Perspirant Roll On 50ml</t>
        </is>
      </c>
      <c r="D3791" t="inlineStr">
        <is>
          <t>Miss Glam Damar</t>
        </is>
      </c>
      <c r="E3791" t="n">
        <v>10</v>
      </c>
      <c r="F3791" t="n">
        <v>0.2639</v>
      </c>
      <c r="G3791" t="n">
        <v>1.82</v>
      </c>
      <c r="H3791" t="n">
        <v>4</v>
      </c>
      <c r="I3791" t="n">
        <v>9</v>
      </c>
      <c r="J3791" t="n">
        <v>1</v>
      </c>
      <c r="K3791" t="n">
        <v>0</v>
      </c>
      <c r="L3791" t="n">
        <v>21479</v>
      </c>
      <c r="M3791" t="n">
        <v>25500</v>
      </c>
      <c r="N3791" t="n">
        <v>91</v>
      </c>
      <c r="O3791" t="n">
        <v>0.91</v>
      </c>
      <c r="P3791" t="n">
        <v>1</v>
      </c>
      <c r="Q3791" t="n">
        <v>0.03</v>
      </c>
      <c r="R3791" t="n">
        <v>1</v>
      </c>
      <c r="S3791" t="n">
        <v>6729.449999999999</v>
      </c>
      <c r="T3791" t="n">
        <v>16</v>
      </c>
      <c r="U3791" t="n">
        <v>18</v>
      </c>
      <c r="V3791" t="n">
        <v>30</v>
      </c>
      <c r="W3791" t="n">
        <v>8</v>
      </c>
      <c r="X3791" t="n">
        <v>37.89314134141721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9850</v>
      </c>
      <c r="AG3791" t="n">
        <v>116</v>
      </c>
      <c r="AH3791" t="inlineStr">
        <is>
          <t>PT. ENSEVAL PUTERA MEGATRADING - PPN (PDG)</t>
        </is>
      </c>
      <c r="AI3791" t="n">
        <v>116</v>
      </c>
      <c r="AJ3791" t="inlineStr">
        <is>
          <t>NIVEA</t>
        </is>
      </c>
      <c r="AK3791" t="n">
        <v>21</v>
      </c>
      <c r="AL3791" t="inlineStr">
        <is>
          <t>Miss Glam Damar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NIVEA</t>
        </is>
      </c>
      <c r="B3792" s="2">
        <f>"8999777004194"</f>
        <v/>
      </c>
      <c r="C3792" t="inlineStr">
        <is>
          <t>NIVEA Dry Comfort  50ml</t>
        </is>
      </c>
      <c r="D3792" t="inlineStr">
        <is>
          <t>Miss Glam Damar</t>
        </is>
      </c>
      <c r="E3792" t="n">
        <v>7</v>
      </c>
      <c r="F3792" t="n">
        <v>0.3731</v>
      </c>
      <c r="G3792" t="n">
        <v>1.82</v>
      </c>
      <c r="H3792" t="n">
        <v>4</v>
      </c>
      <c r="I3792" t="n">
        <v>9</v>
      </c>
      <c r="J3792" t="n">
        <v>3</v>
      </c>
      <c r="K3792" t="n">
        <v>0</v>
      </c>
      <c r="L3792" t="n">
        <v>20460</v>
      </c>
      <c r="M3792" t="n">
        <v>24500</v>
      </c>
      <c r="N3792" t="n">
        <v>91</v>
      </c>
      <c r="O3792" t="n">
        <v>0.91</v>
      </c>
      <c r="P3792" t="n">
        <v>1</v>
      </c>
      <c r="Q3792" t="n">
        <v>0.31</v>
      </c>
      <c r="R3792" t="n">
        <v>2</v>
      </c>
      <c r="S3792" t="n">
        <v>9140.949999999999</v>
      </c>
      <c r="T3792" t="n">
        <v>15</v>
      </c>
      <c r="U3792" t="n">
        <v>17</v>
      </c>
      <c r="V3792" t="n">
        <v>30</v>
      </c>
      <c r="W3792" t="n">
        <v>12</v>
      </c>
      <c r="X3792" t="n">
        <v>18.76172607879925</v>
      </c>
      <c r="Y3792" t="n">
        <v>1</v>
      </c>
      <c r="Z3792" t="n">
        <v>5</v>
      </c>
      <c r="AA3792" t="n">
        <v>0</v>
      </c>
      <c r="AB3792" t="n">
        <v>5</v>
      </c>
      <c r="AC3792" t="n">
        <v>5</v>
      </c>
      <c r="AD3792" t="n">
        <v>0</v>
      </c>
      <c r="AE3792" t="n">
        <v>102300</v>
      </c>
      <c r="AF3792" t="n">
        <v>9850</v>
      </c>
      <c r="AG3792" t="n">
        <v>116</v>
      </c>
      <c r="AH3792" t="inlineStr">
        <is>
          <t>PT. ENSEVAL PUTERA MEGATRADING - PPN (PDG)</t>
        </is>
      </c>
      <c r="AI3792" t="n">
        <v>116</v>
      </c>
      <c r="AJ3792" t="inlineStr">
        <is>
          <t>NIVEA</t>
        </is>
      </c>
      <c r="AK3792" t="n">
        <v>21</v>
      </c>
      <c r="AL3792" t="inlineStr">
        <is>
          <t>Miss Glam Damar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NIVEA</t>
        </is>
      </c>
      <c r="B3793" s="2">
        <f>"8999777017859"</f>
        <v/>
      </c>
      <c r="C3793" t="inlineStr">
        <is>
          <t>NIVEA Extra Bright 10 Super Vitamins &amp; Skin Foods Serum In Lotion 180ml</t>
        </is>
      </c>
      <c r="D3793" t="inlineStr">
        <is>
          <t>Miss Glam Damar</t>
        </is>
      </c>
      <c r="E3793" t="n">
        <v>23</v>
      </c>
      <c r="F3793" t="n">
        <v>1.6198</v>
      </c>
      <c r="G3793" t="n">
        <v>5.46</v>
      </c>
      <c r="H3793" t="n">
        <v>4</v>
      </c>
      <c r="I3793" t="n">
        <v>9</v>
      </c>
      <c r="J3793" t="n">
        <v>3</v>
      </c>
      <c r="K3793" t="n">
        <v>0</v>
      </c>
      <c r="L3793" t="n">
        <v>37855</v>
      </c>
      <c r="M3793" t="n">
        <v>43500</v>
      </c>
      <c r="N3793" t="n">
        <v>91</v>
      </c>
      <c r="O3793" t="n">
        <v>0.91</v>
      </c>
      <c r="P3793" t="n">
        <v>1</v>
      </c>
      <c r="Q3793" t="n">
        <v>2</v>
      </c>
      <c r="R3793" t="n">
        <v>8</v>
      </c>
      <c r="S3793" t="n">
        <v>70461.3</v>
      </c>
      <c r="T3793" t="n">
        <v>43</v>
      </c>
      <c r="U3793" t="n">
        <v>50</v>
      </c>
      <c r="V3793" t="n">
        <v>30</v>
      </c>
      <c r="W3793" t="n">
        <v>49</v>
      </c>
      <c r="X3793" t="n">
        <v>14.19928386220521</v>
      </c>
      <c r="Y3793" t="n">
        <v>1</v>
      </c>
      <c r="Z3793" t="n">
        <v>26</v>
      </c>
      <c r="AA3793" t="n">
        <v>0</v>
      </c>
      <c r="AB3793" t="n">
        <v>26</v>
      </c>
      <c r="AC3793" t="n">
        <v>26</v>
      </c>
      <c r="AD3793" t="n">
        <v>0</v>
      </c>
      <c r="AE3793" t="n">
        <v>984230</v>
      </c>
      <c r="AF3793" t="n">
        <v>9850</v>
      </c>
      <c r="AG3793" t="n">
        <v>116</v>
      </c>
      <c r="AH3793" t="inlineStr">
        <is>
          <t>PT. ENSEVAL PUTERA MEGATRADING - PPN (PDG)</t>
        </is>
      </c>
      <c r="AI3793" t="n">
        <v>116</v>
      </c>
      <c r="AJ3793" t="inlineStr">
        <is>
          <t>NIVEA</t>
        </is>
      </c>
      <c r="AK3793" t="n">
        <v>21</v>
      </c>
      <c r="AL3793" t="inlineStr">
        <is>
          <t>Miss Glam Damar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NIVEA</t>
        </is>
      </c>
      <c r="B3794" s="2">
        <f>"8999777015725"</f>
        <v/>
      </c>
      <c r="C3794" t="inlineStr">
        <is>
          <t>NIVEA Extra Bright Body Serum HIjab Cooling Vit C** &amp; Cooling Menthol 180ml</t>
        </is>
      </c>
      <c r="D3794" t="inlineStr">
        <is>
          <t>Miss Glam Damar</t>
        </is>
      </c>
      <c r="E3794" t="n">
        <v>1</v>
      </c>
      <c r="F3794" t="n">
        <v>0.04550000000000001</v>
      </c>
      <c r="G3794" t="n">
        <v>0.91</v>
      </c>
      <c r="H3794" t="n">
        <v>4</v>
      </c>
      <c r="I3794" t="n">
        <v>9</v>
      </c>
      <c r="J3794" t="n">
        <v>3</v>
      </c>
      <c r="K3794" t="n">
        <v>0</v>
      </c>
      <c r="L3794" t="n">
        <v>26573</v>
      </c>
      <c r="M3794" t="n">
        <v>37000</v>
      </c>
      <c r="N3794" t="n">
        <v>91</v>
      </c>
      <c r="O3794" t="n">
        <v>0.91</v>
      </c>
      <c r="P3794" t="n">
        <v>1</v>
      </c>
      <c r="Q3794" t="n">
        <v>0.07000000000000001</v>
      </c>
      <c r="R3794" t="n">
        <v>1</v>
      </c>
      <c r="S3794" t="n">
        <v>1683.5</v>
      </c>
      <c r="T3794" t="n">
        <v>9</v>
      </c>
      <c r="U3794" t="n">
        <v>10</v>
      </c>
      <c r="V3794" t="n">
        <v>30</v>
      </c>
      <c r="W3794" t="n">
        <v>2</v>
      </c>
      <c r="X3794" t="n">
        <v>21.97802197802197</v>
      </c>
      <c r="Y3794" t="n">
        <v>1</v>
      </c>
      <c r="Z3794" t="n">
        <v>1</v>
      </c>
      <c r="AA3794" t="n">
        <v>0</v>
      </c>
      <c r="AB3794" t="n">
        <v>1</v>
      </c>
      <c r="AC3794" t="n">
        <v>3</v>
      </c>
      <c r="AD3794" t="n">
        <v>0</v>
      </c>
      <c r="AE3794" t="n">
        <v>79719</v>
      </c>
      <c r="AF3794" t="n">
        <v>9850</v>
      </c>
      <c r="AG3794" t="n">
        <v>116</v>
      </c>
      <c r="AH3794" t="inlineStr">
        <is>
          <t>PT. ENSEVAL PUTERA MEGATRADING - PPN (PDG)</t>
        </is>
      </c>
      <c r="AI3794" t="n">
        <v>116</v>
      </c>
      <c r="AJ3794" t="inlineStr">
        <is>
          <t>NIVEA</t>
        </is>
      </c>
      <c r="AK3794" t="n">
        <v>21</v>
      </c>
      <c r="AL3794" t="inlineStr">
        <is>
          <t>Miss Glam Damar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NIVEA</t>
        </is>
      </c>
      <c r="B3795" s="2">
        <f>"8999777001292"</f>
        <v/>
      </c>
      <c r="C3795" t="inlineStr">
        <is>
          <t>NIVEA Extra Bright C&amp;E Vitamin Lotion New 180ml</t>
        </is>
      </c>
      <c r="D3795" t="inlineStr">
        <is>
          <t>Miss Glam Damar</t>
        </is>
      </c>
      <c r="E3795" t="n">
        <v>5</v>
      </c>
      <c r="F3795" t="n">
        <v>0.2639</v>
      </c>
      <c r="G3795" t="n">
        <v>1.82</v>
      </c>
      <c r="H3795" t="n">
        <v>4</v>
      </c>
      <c r="I3795" t="n">
        <v>9</v>
      </c>
      <c r="J3795" t="n">
        <v>3</v>
      </c>
      <c r="K3795" t="n">
        <v>0</v>
      </c>
      <c r="L3795" t="n">
        <v>36931</v>
      </c>
      <c r="M3795" t="n">
        <v>44000</v>
      </c>
      <c r="N3795" t="n">
        <v>91</v>
      </c>
      <c r="O3795" t="n">
        <v>0.91</v>
      </c>
      <c r="P3795" t="n">
        <v>1</v>
      </c>
      <c r="Q3795" t="n">
        <v>0.19</v>
      </c>
      <c r="R3795" t="n">
        <v>2</v>
      </c>
      <c r="S3795" t="n">
        <v>11611.6</v>
      </c>
      <c r="T3795" t="n">
        <v>16</v>
      </c>
      <c r="U3795" t="n">
        <v>18</v>
      </c>
      <c r="V3795" t="n">
        <v>30</v>
      </c>
      <c r="W3795" t="n">
        <v>8</v>
      </c>
      <c r="X3795" t="n">
        <v>18.9465706707086</v>
      </c>
      <c r="Y3795" t="n">
        <v>1</v>
      </c>
      <c r="Z3795" t="n">
        <v>3</v>
      </c>
      <c r="AA3795" t="n">
        <v>0</v>
      </c>
      <c r="AB3795" t="n">
        <v>3</v>
      </c>
      <c r="AC3795" t="n">
        <v>3</v>
      </c>
      <c r="AD3795" t="n">
        <v>0</v>
      </c>
      <c r="AE3795" t="n">
        <v>110793</v>
      </c>
      <c r="AF3795" t="n">
        <v>9850</v>
      </c>
      <c r="AG3795" t="n">
        <v>116</v>
      </c>
      <c r="AH3795" t="inlineStr">
        <is>
          <t>PT. ENSEVAL PUTERA MEGATRADING - PPN (PDG)</t>
        </is>
      </c>
      <c r="AI3795" t="n">
        <v>116</v>
      </c>
      <c r="AJ3795" t="inlineStr">
        <is>
          <t>NIVEA</t>
        </is>
      </c>
      <c r="AK3795" t="n">
        <v>21</v>
      </c>
      <c r="AL3795" t="inlineStr">
        <is>
          <t>Miss Glam Damar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NIVEA</t>
        </is>
      </c>
      <c r="B3796" s="2">
        <f>"8999777000837"</f>
        <v/>
      </c>
      <c r="C3796" t="inlineStr">
        <is>
          <t>NIVEA Extra Protect C&amp;E Spf 50 Pa+++ 30ml</t>
        </is>
      </c>
      <c r="D3796" t="inlineStr">
        <is>
          <t>Miss Glam Damar</t>
        </is>
      </c>
      <c r="E3796" t="n">
        <v>7</v>
      </c>
      <c r="F3796" t="n">
        <v>0.1547</v>
      </c>
      <c r="G3796" t="n">
        <v>0.91</v>
      </c>
      <c r="H3796" t="n">
        <v>4</v>
      </c>
      <c r="I3796" t="n">
        <v>9</v>
      </c>
      <c r="J3796" t="n">
        <v>3</v>
      </c>
      <c r="K3796" t="n">
        <v>0</v>
      </c>
      <c r="L3796" t="n">
        <v>56566</v>
      </c>
      <c r="M3796" t="n">
        <v>63500</v>
      </c>
      <c r="N3796" t="n">
        <v>91</v>
      </c>
      <c r="O3796" t="n">
        <v>0.91</v>
      </c>
      <c r="P3796" t="n">
        <v>1</v>
      </c>
      <c r="Q3796" t="n">
        <v>0.1</v>
      </c>
      <c r="R3796" t="n">
        <v>1</v>
      </c>
      <c r="S3796" t="n">
        <v>9823.450000000001</v>
      </c>
      <c r="T3796" t="n">
        <v>8</v>
      </c>
      <c r="U3796" t="n">
        <v>9</v>
      </c>
      <c r="V3796" t="n">
        <v>30</v>
      </c>
      <c r="W3796" t="n">
        <v>5</v>
      </c>
      <c r="X3796" t="n">
        <v>45.24886877828054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9850</v>
      </c>
      <c r="AG3796" t="n">
        <v>116</v>
      </c>
      <c r="AH3796" t="inlineStr">
        <is>
          <t>PT. ENSEVAL PUTERA MEGATRADING - PPN (PDG)</t>
        </is>
      </c>
      <c r="AI3796" t="n">
        <v>116</v>
      </c>
      <c r="AJ3796" t="inlineStr">
        <is>
          <t>NIVEA</t>
        </is>
      </c>
      <c r="AK3796" t="n">
        <v>21</v>
      </c>
      <c r="AL3796" t="inlineStr">
        <is>
          <t>Miss Glam Damar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NIVEA</t>
        </is>
      </c>
      <c r="B3797" s="2">
        <f>"8999777007058"</f>
        <v/>
      </c>
      <c r="C3797" t="inlineStr">
        <is>
          <t>NIVEA Extra White Body Serum Anti Age 180ml</t>
        </is>
      </c>
      <c r="D3797" t="inlineStr">
        <is>
          <t>Miss Glam Damar</t>
        </is>
      </c>
      <c r="E3797" t="n">
        <v>9</v>
      </c>
      <c r="F3797" t="n">
        <v>0.0182</v>
      </c>
      <c r="G3797" t="n">
        <v>0.91</v>
      </c>
      <c r="H3797" t="n">
        <v>4</v>
      </c>
      <c r="I3797" t="n">
        <v>9</v>
      </c>
      <c r="J3797" t="n">
        <v>3</v>
      </c>
      <c r="K3797" t="n">
        <v>0</v>
      </c>
      <c r="L3797" t="n">
        <v>47863</v>
      </c>
      <c r="M3797" t="n">
        <v>57000</v>
      </c>
      <c r="N3797" t="n">
        <v>91</v>
      </c>
      <c r="O3797" t="n">
        <v>0.91</v>
      </c>
      <c r="P3797" t="n">
        <v>1</v>
      </c>
      <c r="Q3797" t="n">
        <v>0.03</v>
      </c>
      <c r="R3797" t="n">
        <v>1</v>
      </c>
      <c r="S3797" t="n">
        <v>1037.4</v>
      </c>
      <c r="T3797" t="n">
        <v>9</v>
      </c>
      <c r="U3797" t="n">
        <v>10</v>
      </c>
      <c r="V3797" t="n">
        <v>30</v>
      </c>
      <c r="W3797" t="n">
        <v>1</v>
      </c>
      <c r="X3797" t="n">
        <v>494.5054945054945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9850</v>
      </c>
      <c r="AG3797" t="n">
        <v>116</v>
      </c>
      <c r="AH3797" t="inlineStr">
        <is>
          <t>PT. ENSEVAL PUTERA MEGATRADING - PPN (PDG)</t>
        </is>
      </c>
      <c r="AI3797" t="n">
        <v>116</v>
      </c>
      <c r="AJ3797" t="inlineStr">
        <is>
          <t>NIVEA</t>
        </is>
      </c>
      <c r="AK3797" t="n">
        <v>21</v>
      </c>
      <c r="AL3797" t="inlineStr">
        <is>
          <t>Miss Glam Damar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NIVEA</t>
        </is>
      </c>
      <c r="B3798" s="2">
        <f>"8999777006990"</f>
        <v/>
      </c>
      <c r="C3798" t="inlineStr">
        <is>
          <t>NIVEA Extra White Body Serum Instant Glow Deep White Essence 180ml</t>
        </is>
      </c>
      <c r="D3798" t="inlineStr">
        <is>
          <t>Miss Glam Damar</t>
        </is>
      </c>
      <c r="E3798" t="n">
        <v>8</v>
      </c>
      <c r="F3798" t="n">
        <v>0.2275</v>
      </c>
      <c r="G3798" t="n">
        <v>0.91</v>
      </c>
      <c r="H3798" t="n">
        <v>4</v>
      </c>
      <c r="I3798" t="n">
        <v>9</v>
      </c>
      <c r="J3798" t="n">
        <v>3</v>
      </c>
      <c r="K3798" t="n">
        <v>0</v>
      </c>
      <c r="L3798" t="n">
        <v>27440</v>
      </c>
      <c r="M3798" t="n">
        <v>53000</v>
      </c>
      <c r="N3798" t="n">
        <v>91</v>
      </c>
      <c r="O3798" t="n">
        <v>0.91</v>
      </c>
      <c r="P3798" t="n">
        <v>1</v>
      </c>
      <c r="Q3798" t="n">
        <v>0.39</v>
      </c>
      <c r="R3798" t="n">
        <v>2</v>
      </c>
      <c r="S3798" t="n">
        <v>12057.5</v>
      </c>
      <c r="T3798" t="n">
        <v>8</v>
      </c>
      <c r="U3798" t="n">
        <v>9</v>
      </c>
      <c r="V3798" t="n">
        <v>30</v>
      </c>
      <c r="W3798" t="n">
        <v>7</v>
      </c>
      <c r="X3798" t="n">
        <v>35.16483516483516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9850</v>
      </c>
      <c r="AG3798" t="n">
        <v>116</v>
      </c>
      <c r="AH3798" t="inlineStr">
        <is>
          <t>PT. ENSEVAL PUTERA MEGATRADING - PPN (PDG)</t>
        </is>
      </c>
      <c r="AI3798" t="n">
        <v>116</v>
      </c>
      <c r="AJ3798" t="inlineStr">
        <is>
          <t>NIVEA</t>
        </is>
      </c>
      <c r="AK3798" t="n">
        <v>21</v>
      </c>
      <c r="AL3798" t="inlineStr">
        <is>
          <t>Miss Glam Damar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NIVEA</t>
        </is>
      </c>
      <c r="B3799" s="2">
        <f>"4005808713257"</f>
        <v/>
      </c>
      <c r="C3799" t="inlineStr">
        <is>
          <t>NIVEA Extra White Care &amp; Protect Body Serum 180ml</t>
        </is>
      </c>
      <c r="D3799" t="inlineStr">
        <is>
          <t>Miss Glam Damar</t>
        </is>
      </c>
      <c r="E3799" t="n">
        <v>12</v>
      </c>
      <c r="F3799" t="n">
        <v>0.7735</v>
      </c>
      <c r="G3799" t="n">
        <v>3.64</v>
      </c>
      <c r="H3799" t="n">
        <v>4</v>
      </c>
      <c r="I3799" t="n">
        <v>9</v>
      </c>
      <c r="J3799" t="n">
        <v>3</v>
      </c>
      <c r="K3799" t="n">
        <v>0</v>
      </c>
      <c r="L3799" t="n">
        <v>27321</v>
      </c>
      <c r="M3799" t="n">
        <v>36500</v>
      </c>
      <c r="N3799" t="n">
        <v>91</v>
      </c>
      <c r="O3799" t="n">
        <v>0.91</v>
      </c>
      <c r="P3799" t="n">
        <v>1</v>
      </c>
      <c r="Q3799" t="n">
        <v>1.1</v>
      </c>
      <c r="R3799" t="n">
        <v>4</v>
      </c>
      <c r="S3799" t="n">
        <v>28232.75</v>
      </c>
      <c r="T3799" t="n">
        <v>30</v>
      </c>
      <c r="U3799" t="n">
        <v>34</v>
      </c>
      <c r="V3799" t="n">
        <v>30</v>
      </c>
      <c r="W3799" t="n">
        <v>24</v>
      </c>
      <c r="X3799" t="n">
        <v>15.51389786683904</v>
      </c>
      <c r="Y3799" t="n">
        <v>1</v>
      </c>
      <c r="Z3799" t="n">
        <v>12</v>
      </c>
      <c r="AA3799" t="n">
        <v>0</v>
      </c>
      <c r="AB3799" t="n">
        <v>12</v>
      </c>
      <c r="AC3799" t="n">
        <v>12</v>
      </c>
      <c r="AD3799" t="n">
        <v>0</v>
      </c>
      <c r="AE3799" t="n">
        <v>327852</v>
      </c>
      <c r="AF3799" t="n">
        <v>9850</v>
      </c>
      <c r="AG3799" t="n">
        <v>116</v>
      </c>
      <c r="AH3799" t="inlineStr">
        <is>
          <t>PT. ENSEVAL PUTERA MEGATRADING - PPN (PDG)</t>
        </is>
      </c>
      <c r="AI3799" t="n">
        <v>116</v>
      </c>
      <c r="AJ3799" t="inlineStr">
        <is>
          <t>NIVEA</t>
        </is>
      </c>
      <c r="AK3799" t="n">
        <v>21</v>
      </c>
      <c r="AL3799" t="inlineStr">
        <is>
          <t>Miss Glam Damar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NIVEA</t>
        </is>
      </c>
      <c r="B3800" s="2">
        <f>"4005808713226"</f>
        <v/>
      </c>
      <c r="C3800" t="inlineStr">
        <is>
          <t>NIVEA Extra White Care &amp; Protect Body Serum 70ml</t>
        </is>
      </c>
      <c r="D3800" t="inlineStr">
        <is>
          <t>Miss Glam Damar</t>
        </is>
      </c>
      <c r="E3800" t="n">
        <v>4</v>
      </c>
      <c r="F3800" t="n">
        <v>0.4823000000000001</v>
      </c>
      <c r="G3800" t="n">
        <v>2.73</v>
      </c>
      <c r="H3800" t="n">
        <v>4</v>
      </c>
      <c r="I3800" t="n">
        <v>9</v>
      </c>
      <c r="J3800" t="n">
        <v>3</v>
      </c>
      <c r="K3800" t="n">
        <v>0</v>
      </c>
      <c r="L3800" t="n">
        <v>13460</v>
      </c>
      <c r="M3800" t="n">
        <v>26000</v>
      </c>
      <c r="N3800" t="n">
        <v>91</v>
      </c>
      <c r="O3800" t="n">
        <v>0.91</v>
      </c>
      <c r="P3800" t="n">
        <v>1</v>
      </c>
      <c r="Q3800" t="n">
        <v>0.49</v>
      </c>
      <c r="R3800" t="n">
        <v>3</v>
      </c>
      <c r="S3800" t="n">
        <v>12539.8</v>
      </c>
      <c r="T3800" t="n">
        <v>23</v>
      </c>
      <c r="U3800" t="n">
        <v>25</v>
      </c>
      <c r="V3800" t="n">
        <v>30</v>
      </c>
      <c r="W3800" t="n">
        <v>15</v>
      </c>
      <c r="X3800" t="n">
        <v>8.293593199253575</v>
      </c>
      <c r="Y3800" t="n">
        <v>1</v>
      </c>
      <c r="Z3800" t="n">
        <v>11</v>
      </c>
      <c r="AA3800" t="n">
        <v>1</v>
      </c>
      <c r="AB3800" t="n">
        <v>10</v>
      </c>
      <c r="AC3800" t="n">
        <v>10</v>
      </c>
      <c r="AD3800" t="n">
        <v>13460</v>
      </c>
      <c r="AE3800" t="n">
        <v>134600</v>
      </c>
      <c r="AF3800" t="n">
        <v>9850</v>
      </c>
      <c r="AG3800" t="n">
        <v>116</v>
      </c>
      <c r="AH3800" t="inlineStr">
        <is>
          <t>PT. ENSEVAL PUTERA MEGATRADING - PPN (PDG)</t>
        </is>
      </c>
      <c r="AI3800" t="n">
        <v>116</v>
      </c>
      <c r="AJ3800" t="inlineStr">
        <is>
          <t>NIVEA</t>
        </is>
      </c>
      <c r="AK3800" t="n">
        <v>21</v>
      </c>
      <c r="AL3800" t="inlineStr">
        <is>
          <t>Miss Glam Damar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NIVEA</t>
        </is>
      </c>
      <c r="B3801" s="2">
        <f>"8999777008543"</f>
        <v/>
      </c>
      <c r="C3801" t="inlineStr">
        <is>
          <t>NIVEA Extra White Instant Glow 200ml</t>
        </is>
      </c>
      <c r="D3801" t="inlineStr">
        <is>
          <t>Miss Glam Damar</t>
        </is>
      </c>
      <c r="E3801" t="n">
        <v>24</v>
      </c>
      <c r="F3801" t="n">
        <v>0.3276</v>
      </c>
      <c r="G3801" t="n">
        <v>2.73</v>
      </c>
      <c r="H3801" t="n">
        <v>4</v>
      </c>
      <c r="I3801" t="n">
        <v>9</v>
      </c>
      <c r="J3801" t="n">
        <v>3</v>
      </c>
      <c r="K3801" t="n">
        <v>0</v>
      </c>
      <c r="L3801" t="n">
        <v>29370</v>
      </c>
      <c r="M3801" t="n">
        <v>35000</v>
      </c>
      <c r="N3801" t="n">
        <v>91</v>
      </c>
      <c r="O3801" t="n">
        <v>0.91</v>
      </c>
      <c r="P3801" t="n">
        <v>1</v>
      </c>
      <c r="Q3801" t="n">
        <v>0.47</v>
      </c>
      <c r="R3801" t="n">
        <v>5</v>
      </c>
      <c r="S3801" t="n">
        <v>11466</v>
      </c>
      <c r="T3801" t="n">
        <v>24</v>
      </c>
      <c r="U3801" t="n">
        <v>26</v>
      </c>
      <c r="V3801" t="n">
        <v>30</v>
      </c>
      <c r="W3801" t="n">
        <v>10</v>
      </c>
      <c r="X3801" t="n">
        <v>73.26007326007326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9850</v>
      </c>
      <c r="AG3801" t="n">
        <v>116</v>
      </c>
      <c r="AH3801" t="inlineStr">
        <is>
          <t>PT. ENSEVAL PUTERA MEGATRADING - PPN (PDG)</t>
        </is>
      </c>
      <c r="AI3801" t="n">
        <v>116</v>
      </c>
      <c r="AJ3801" t="inlineStr">
        <is>
          <t>NIVEA</t>
        </is>
      </c>
      <c r="AK3801" t="n">
        <v>21</v>
      </c>
      <c r="AL3801" t="inlineStr">
        <is>
          <t>Miss Glam Damar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NIVEA</t>
        </is>
      </c>
      <c r="B3802" s="2">
        <f>"8999777000110"</f>
        <v/>
      </c>
      <c r="C3802" t="inlineStr">
        <is>
          <t>NIVEA Extra White Night Nourish 200ml</t>
        </is>
      </c>
      <c r="D3802" t="inlineStr">
        <is>
          <t>Miss Glam Damar</t>
        </is>
      </c>
      <c r="E3802" t="n">
        <v>7</v>
      </c>
      <c r="F3802" t="n">
        <v>0.1092</v>
      </c>
      <c r="G3802" t="n">
        <v>0.91</v>
      </c>
      <c r="H3802" t="n">
        <v>4</v>
      </c>
      <c r="I3802" t="n">
        <v>9</v>
      </c>
      <c r="J3802" t="n">
        <v>3</v>
      </c>
      <c r="K3802" t="n">
        <v>0</v>
      </c>
      <c r="L3802" t="n">
        <v>36441</v>
      </c>
      <c r="M3802" t="n">
        <v>44000</v>
      </c>
      <c r="N3802" t="n">
        <v>91</v>
      </c>
      <c r="O3802" t="n">
        <v>0.91</v>
      </c>
      <c r="P3802" t="n">
        <v>1</v>
      </c>
      <c r="Q3802" t="n">
        <v>0.17</v>
      </c>
      <c r="R3802" t="n">
        <v>2</v>
      </c>
      <c r="S3802" t="n">
        <v>4804.8</v>
      </c>
      <c r="T3802" t="n">
        <v>8</v>
      </c>
      <c r="U3802" t="n">
        <v>9</v>
      </c>
      <c r="V3802" t="n">
        <v>30</v>
      </c>
      <c r="W3802" t="n">
        <v>4</v>
      </c>
      <c r="X3802" t="n">
        <v>64.1025641025641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9850</v>
      </c>
      <c r="AG3802" t="n">
        <v>116</v>
      </c>
      <c r="AH3802" t="inlineStr">
        <is>
          <t>PT. ENSEVAL PUTERA MEGATRADING - PPN (PDG)</t>
        </is>
      </c>
      <c r="AI3802" t="n">
        <v>116</v>
      </c>
      <c r="AJ3802" t="inlineStr">
        <is>
          <t>NIVEA</t>
        </is>
      </c>
      <c r="AK3802" t="n">
        <v>21</v>
      </c>
      <c r="AL3802" t="inlineStr">
        <is>
          <t>Miss Glam Damar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NIVEA</t>
        </is>
      </c>
      <c r="B3803" s="2">
        <f>"8999777000042"</f>
        <v/>
      </c>
      <c r="C3803" t="inlineStr">
        <is>
          <t>NIVEA Extra White Radiant &amp; Smooth 100ml</t>
        </is>
      </c>
      <c r="D3803" t="inlineStr">
        <is>
          <t>Miss Glam Damar</t>
        </is>
      </c>
      <c r="E3803" t="n">
        <v>0</v>
      </c>
      <c r="F3803" t="n">
        <v>0.2821</v>
      </c>
      <c r="G3803" t="n">
        <v>1.82</v>
      </c>
      <c r="H3803" t="n">
        <v>4</v>
      </c>
      <c r="I3803" t="n">
        <v>9</v>
      </c>
      <c r="J3803" t="n">
        <v>3</v>
      </c>
      <c r="K3803" t="n">
        <v>0</v>
      </c>
      <c r="L3803" t="n">
        <v>18493</v>
      </c>
      <c r="M3803" t="n">
        <v>22000</v>
      </c>
      <c r="N3803" t="n">
        <v>91</v>
      </c>
      <c r="O3803" t="n">
        <v>0.91</v>
      </c>
      <c r="P3803" t="n">
        <v>1</v>
      </c>
      <c r="Q3803" t="n">
        <v>0.06</v>
      </c>
      <c r="R3803" t="n">
        <v>1</v>
      </c>
      <c r="S3803" t="n">
        <v>6206.200000000001</v>
      </c>
      <c r="T3803" t="n">
        <v>16</v>
      </c>
      <c r="U3803" t="n">
        <v>18</v>
      </c>
      <c r="V3803" t="n">
        <v>30</v>
      </c>
      <c r="W3803" t="n">
        <v>9</v>
      </c>
      <c r="X3803" t="n">
        <v>0</v>
      </c>
      <c r="Y3803" t="n">
        <v>1</v>
      </c>
      <c r="Z3803" t="n">
        <v>9</v>
      </c>
      <c r="AA3803" t="n">
        <v>3</v>
      </c>
      <c r="AB3803" t="n">
        <v>6</v>
      </c>
      <c r="AC3803" t="n">
        <v>6</v>
      </c>
      <c r="AD3803" t="n">
        <v>55479</v>
      </c>
      <c r="AE3803" t="n">
        <v>110958</v>
      </c>
      <c r="AF3803" t="n">
        <v>9850</v>
      </c>
      <c r="AG3803" t="n">
        <v>116</v>
      </c>
      <c r="AH3803" t="inlineStr">
        <is>
          <t>PT. ENSEVAL PUTERA MEGATRADING - PPN (PDG)</t>
        </is>
      </c>
      <c r="AI3803" t="n">
        <v>116</v>
      </c>
      <c r="AJ3803" t="inlineStr">
        <is>
          <t>NIVEA</t>
        </is>
      </c>
      <c r="AK3803" t="n">
        <v>21</v>
      </c>
      <c r="AL3803" t="inlineStr">
        <is>
          <t>Miss Glam Damar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NIVEA</t>
        </is>
      </c>
      <c r="B3804" s="2">
        <f>"8999777818586"</f>
        <v/>
      </c>
      <c r="C3804" t="inlineStr">
        <is>
          <t>NIVEA Extra White Radiant &amp; Smooth Cream 100ml</t>
        </is>
      </c>
      <c r="D3804" t="inlineStr">
        <is>
          <t>Miss Glam Damar</t>
        </is>
      </c>
      <c r="E3804" t="n">
        <v>12</v>
      </c>
      <c r="F3804" t="n">
        <v>0.09100000000000001</v>
      </c>
      <c r="G3804" t="n">
        <v>0.91</v>
      </c>
      <c r="H3804" t="n">
        <v>4</v>
      </c>
      <c r="I3804" t="n">
        <v>9</v>
      </c>
      <c r="J3804" t="n">
        <v>3</v>
      </c>
      <c r="K3804" t="n">
        <v>0</v>
      </c>
      <c r="L3804" t="n">
        <v>31546</v>
      </c>
      <c r="M3804" t="n">
        <v>37500</v>
      </c>
      <c r="N3804" t="n">
        <v>91</v>
      </c>
      <c r="O3804" t="n">
        <v>0.91</v>
      </c>
      <c r="P3804" t="n">
        <v>1</v>
      </c>
      <c r="Q3804" t="n">
        <v>0.15</v>
      </c>
      <c r="R3804" t="n">
        <v>1</v>
      </c>
      <c r="S3804" t="n">
        <v>3412.5</v>
      </c>
      <c r="T3804" t="n">
        <v>8</v>
      </c>
      <c r="U3804" t="n">
        <v>9</v>
      </c>
      <c r="V3804" t="n">
        <v>30</v>
      </c>
      <c r="W3804" t="n">
        <v>3</v>
      </c>
      <c r="X3804" t="n">
        <v>131.8681318681319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9850</v>
      </c>
      <c r="AG3804" t="n">
        <v>116</v>
      </c>
      <c r="AH3804" t="inlineStr">
        <is>
          <t>PT. ENSEVAL PUTERA MEGATRADING - PPN (PDG)</t>
        </is>
      </c>
      <c r="AI3804" t="n">
        <v>116</v>
      </c>
      <c r="AJ3804" t="inlineStr">
        <is>
          <t>NIVEA</t>
        </is>
      </c>
      <c r="AK3804" t="n">
        <v>21</v>
      </c>
      <c r="AL3804" t="inlineStr">
        <is>
          <t>Miss Glam Damar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NIVEA</t>
        </is>
      </c>
      <c r="B3805" s="2">
        <f>"8999777000318"</f>
        <v/>
      </c>
      <c r="C3805" t="inlineStr">
        <is>
          <t>NIVEA Extra white Repair &amp; Protec Serum 200ml</t>
        </is>
      </c>
      <c r="D3805" t="inlineStr">
        <is>
          <t>Miss Glam Damar</t>
        </is>
      </c>
      <c r="E3805" t="n">
        <v>15</v>
      </c>
      <c r="F3805" t="n">
        <v>0.4459</v>
      </c>
      <c r="G3805" t="n">
        <v>3.64</v>
      </c>
      <c r="H3805" t="n">
        <v>4</v>
      </c>
      <c r="I3805" t="n">
        <v>9</v>
      </c>
      <c r="J3805" t="n">
        <v>3</v>
      </c>
      <c r="K3805" t="n">
        <v>0</v>
      </c>
      <c r="L3805" t="n">
        <v>29371</v>
      </c>
      <c r="M3805" t="n">
        <v>35000</v>
      </c>
      <c r="N3805" t="n">
        <v>91</v>
      </c>
      <c r="O3805" t="n">
        <v>0.91</v>
      </c>
      <c r="P3805" t="n">
        <v>1</v>
      </c>
      <c r="Q3805" t="n">
        <v>0.47</v>
      </c>
      <c r="R3805" t="n">
        <v>2</v>
      </c>
      <c r="S3805" t="n">
        <v>15606.5</v>
      </c>
      <c r="T3805" t="n">
        <v>31</v>
      </c>
      <c r="U3805" t="n">
        <v>33</v>
      </c>
      <c r="V3805" t="n">
        <v>30</v>
      </c>
      <c r="W3805" t="n">
        <v>14</v>
      </c>
      <c r="X3805" t="n">
        <v>33.6398295581969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9850</v>
      </c>
      <c r="AG3805" t="n">
        <v>116</v>
      </c>
      <c r="AH3805" t="inlineStr">
        <is>
          <t>PT. ENSEVAL PUTERA MEGATRADING - PPN (PDG)</t>
        </is>
      </c>
      <c r="AI3805" t="n">
        <v>116</v>
      </c>
      <c r="AJ3805" t="inlineStr">
        <is>
          <t>NIVEA</t>
        </is>
      </c>
      <c r="AK3805" t="n">
        <v>21</v>
      </c>
      <c r="AL3805" t="inlineStr">
        <is>
          <t>Miss Glam Damar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NIVEA</t>
        </is>
      </c>
      <c r="B3806" s="2">
        <f>"8999777000165"</f>
        <v/>
      </c>
      <c r="C3806" t="inlineStr">
        <is>
          <t>NIVEA Extra White Repair &amp; Protect Lotion 100ml</t>
        </is>
      </c>
      <c r="D3806" t="inlineStr">
        <is>
          <t>Miss Glam Damar</t>
        </is>
      </c>
      <c r="E3806" t="n">
        <v>4</v>
      </c>
      <c r="F3806" t="n">
        <v>0.3822</v>
      </c>
      <c r="G3806" t="n">
        <v>1.82</v>
      </c>
      <c r="H3806" t="n">
        <v>4</v>
      </c>
      <c r="I3806" t="n">
        <v>9</v>
      </c>
      <c r="J3806" t="n">
        <v>3</v>
      </c>
      <c r="K3806" t="n">
        <v>0</v>
      </c>
      <c r="L3806" t="n">
        <v>18493</v>
      </c>
      <c r="M3806" t="n">
        <v>22500</v>
      </c>
      <c r="N3806" t="n">
        <v>91</v>
      </c>
      <c r="O3806" t="n">
        <v>0.91</v>
      </c>
      <c r="P3806" t="n">
        <v>1</v>
      </c>
      <c r="Q3806" t="n">
        <v>0.2</v>
      </c>
      <c r="R3806" t="n">
        <v>2</v>
      </c>
      <c r="S3806" t="n">
        <v>8599.5</v>
      </c>
      <c r="T3806" t="n">
        <v>15</v>
      </c>
      <c r="U3806" t="n">
        <v>17</v>
      </c>
      <c r="V3806" t="n">
        <v>30</v>
      </c>
      <c r="W3806" t="n">
        <v>12</v>
      </c>
      <c r="X3806" t="n">
        <v>10.46572475143904</v>
      </c>
      <c r="Y3806" t="n">
        <v>1</v>
      </c>
      <c r="Z3806" t="n">
        <v>8</v>
      </c>
      <c r="AA3806" t="n">
        <v>0</v>
      </c>
      <c r="AB3806" t="n">
        <v>8</v>
      </c>
      <c r="AC3806" t="n">
        <v>8</v>
      </c>
      <c r="AD3806" t="n">
        <v>0</v>
      </c>
      <c r="AE3806" t="n">
        <v>147944</v>
      </c>
      <c r="AF3806" t="n">
        <v>9850</v>
      </c>
      <c r="AG3806" t="n">
        <v>116</v>
      </c>
      <c r="AH3806" t="inlineStr">
        <is>
          <t>PT. ENSEVAL PUTERA MEGATRADING - PPN (PDG)</t>
        </is>
      </c>
      <c r="AI3806" t="n">
        <v>116</v>
      </c>
      <c r="AJ3806" t="inlineStr">
        <is>
          <t>NIVEA</t>
        </is>
      </c>
      <c r="AK3806" t="n">
        <v>21</v>
      </c>
      <c r="AL3806" t="inlineStr">
        <is>
          <t>Miss Glam Damar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NIVEA</t>
        </is>
      </c>
      <c r="B3807" s="2">
        <f>"8999777015923"</f>
        <v/>
      </c>
      <c r="C3807" t="inlineStr">
        <is>
          <t>NIVEA Hijab Fresh Deodorant Spray 150ml</t>
        </is>
      </c>
      <c r="D3807" t="inlineStr">
        <is>
          <t>Miss Glam Damar</t>
        </is>
      </c>
      <c r="E3807" t="n">
        <v>6</v>
      </c>
      <c r="F3807" t="n">
        <v>0.3003</v>
      </c>
      <c r="G3807" t="n">
        <v>1.82</v>
      </c>
      <c r="H3807" t="n">
        <v>4</v>
      </c>
      <c r="I3807" t="n">
        <v>9</v>
      </c>
      <c r="J3807" t="n">
        <v>3</v>
      </c>
      <c r="K3807" t="n">
        <v>0</v>
      </c>
      <c r="L3807" t="n">
        <v>51671</v>
      </c>
      <c r="M3807" t="n">
        <v>61000</v>
      </c>
      <c r="N3807" t="n">
        <v>91</v>
      </c>
      <c r="O3807" t="n">
        <v>0.91</v>
      </c>
      <c r="P3807" t="n">
        <v>1</v>
      </c>
      <c r="Q3807" t="n">
        <v>0.32</v>
      </c>
      <c r="R3807" t="n">
        <v>2</v>
      </c>
      <c r="S3807" t="n">
        <v>18318.3</v>
      </c>
      <c r="T3807" t="n">
        <v>16</v>
      </c>
      <c r="U3807" t="n">
        <v>18</v>
      </c>
      <c r="V3807" t="n">
        <v>30</v>
      </c>
      <c r="W3807" t="n">
        <v>10</v>
      </c>
      <c r="X3807" t="n">
        <v>19.98001998001998</v>
      </c>
      <c r="Y3807" t="n">
        <v>1</v>
      </c>
      <c r="Z3807" t="n">
        <v>4</v>
      </c>
      <c r="AA3807" t="n">
        <v>0</v>
      </c>
      <c r="AB3807" t="n">
        <v>4</v>
      </c>
      <c r="AC3807" t="n">
        <v>4</v>
      </c>
      <c r="AD3807" t="n">
        <v>0</v>
      </c>
      <c r="AE3807" t="n">
        <v>206684</v>
      </c>
      <c r="AF3807" t="n">
        <v>9850</v>
      </c>
      <c r="AG3807" t="n">
        <v>116</v>
      </c>
      <c r="AH3807" t="inlineStr">
        <is>
          <t>PT. ENSEVAL PUTERA MEGATRADING - PPN (PDG)</t>
        </is>
      </c>
      <c r="AI3807" t="n">
        <v>116</v>
      </c>
      <c r="AJ3807" t="inlineStr">
        <is>
          <t>NIVEA</t>
        </is>
      </c>
      <c r="AK3807" t="n">
        <v>21</v>
      </c>
      <c r="AL3807" t="inlineStr">
        <is>
          <t>Miss Glam Damar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NIVEA</t>
        </is>
      </c>
      <c r="B3808" s="2">
        <f>"8999777000004"</f>
        <v/>
      </c>
      <c r="C3808" t="inlineStr">
        <is>
          <t>NIVEA Intensive Moisture Body Lotion 100ml</t>
        </is>
      </c>
      <c r="D3808" t="inlineStr">
        <is>
          <t>Miss Glam Damar</t>
        </is>
      </c>
      <c r="E3808" t="n">
        <v>4</v>
      </c>
      <c r="F3808" t="n">
        <v>0.3822</v>
      </c>
      <c r="G3808" t="n">
        <v>1.82</v>
      </c>
      <c r="H3808" t="n">
        <v>4</v>
      </c>
      <c r="I3808" t="n">
        <v>9</v>
      </c>
      <c r="J3808" t="n">
        <v>3</v>
      </c>
      <c r="K3808" t="n">
        <v>0</v>
      </c>
      <c r="L3808" t="n">
        <v>18476</v>
      </c>
      <c r="M3808" t="n">
        <v>22000</v>
      </c>
      <c r="N3808" t="n">
        <v>91</v>
      </c>
      <c r="O3808" t="n">
        <v>0.91</v>
      </c>
      <c r="P3808" t="n">
        <v>1</v>
      </c>
      <c r="Q3808" t="n">
        <v>0.32</v>
      </c>
      <c r="R3808" t="n">
        <v>2</v>
      </c>
      <c r="S3808" t="n">
        <v>8408.4</v>
      </c>
      <c r="T3808" t="n">
        <v>15</v>
      </c>
      <c r="U3808" t="n">
        <v>17</v>
      </c>
      <c r="V3808" t="n">
        <v>30</v>
      </c>
      <c r="W3808" t="n">
        <v>12</v>
      </c>
      <c r="X3808" t="n">
        <v>10.46572475143904</v>
      </c>
      <c r="Y3808" t="n">
        <v>1</v>
      </c>
      <c r="Z3808" t="n">
        <v>8</v>
      </c>
      <c r="AA3808" t="n">
        <v>0</v>
      </c>
      <c r="AB3808" t="n">
        <v>8</v>
      </c>
      <c r="AC3808" t="n">
        <v>8</v>
      </c>
      <c r="AD3808" t="n">
        <v>0</v>
      </c>
      <c r="AE3808" t="n">
        <v>147808</v>
      </c>
      <c r="AF3808" t="n">
        <v>9850</v>
      </c>
      <c r="AG3808" t="n">
        <v>116</v>
      </c>
      <c r="AH3808" t="inlineStr">
        <is>
          <t>PT. ENSEVAL PUTERA MEGATRADING - PPN (PDG)</t>
        </is>
      </c>
      <c r="AI3808" t="n">
        <v>116</v>
      </c>
      <c r="AJ3808" t="inlineStr">
        <is>
          <t>NIVEA</t>
        </is>
      </c>
      <c r="AK3808" t="n">
        <v>21</v>
      </c>
      <c r="AL3808" t="inlineStr">
        <is>
          <t>Miss Glam Damar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NIVEA</t>
        </is>
      </c>
      <c r="B3809" s="2">
        <f>"8999777000011"</f>
        <v/>
      </c>
      <c r="C3809" t="inlineStr">
        <is>
          <t>NIVEA Intensive Moisture Body Lotion 200ml</t>
        </is>
      </c>
      <c r="D3809" t="inlineStr">
        <is>
          <t>Miss Glam Damar</t>
        </is>
      </c>
      <c r="E3809" t="n">
        <v>9</v>
      </c>
      <c r="F3809" t="n">
        <v>0.1365</v>
      </c>
      <c r="G3809" t="n">
        <v>0.91</v>
      </c>
      <c r="H3809" t="n">
        <v>4</v>
      </c>
      <c r="I3809" t="n">
        <v>9</v>
      </c>
      <c r="J3809" t="n">
        <v>3</v>
      </c>
      <c r="K3809" t="n">
        <v>0</v>
      </c>
      <c r="L3809" t="n">
        <v>36441</v>
      </c>
      <c r="M3809" t="n">
        <v>43000</v>
      </c>
      <c r="N3809" t="n">
        <v>91</v>
      </c>
      <c r="O3809" t="n">
        <v>0.91</v>
      </c>
      <c r="P3809" t="n">
        <v>1</v>
      </c>
      <c r="Q3809" t="n">
        <v>0.29</v>
      </c>
      <c r="R3809" t="n">
        <v>2</v>
      </c>
      <c r="S3809" t="n">
        <v>5869.5</v>
      </c>
      <c r="T3809" t="n">
        <v>8</v>
      </c>
      <c r="U3809" t="n">
        <v>9</v>
      </c>
      <c r="V3809" t="n">
        <v>30</v>
      </c>
      <c r="W3809" t="n">
        <v>5</v>
      </c>
      <c r="X3809" t="n">
        <v>65.93406593406593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9850</v>
      </c>
      <c r="AG3809" t="n">
        <v>116</v>
      </c>
      <c r="AH3809" t="inlineStr">
        <is>
          <t>PT. ENSEVAL PUTERA MEGATRADING - PPN (PDG)</t>
        </is>
      </c>
      <c r="AI3809" t="n">
        <v>116</v>
      </c>
      <c r="AJ3809" t="inlineStr">
        <is>
          <t>NIVEA</t>
        </is>
      </c>
      <c r="AK3809" t="n">
        <v>21</v>
      </c>
      <c r="AL3809" t="inlineStr">
        <is>
          <t>Miss Glam Damar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NIVEA</t>
        </is>
      </c>
      <c r="B3810" s="2">
        <f>"4005808232512"</f>
        <v/>
      </c>
      <c r="C3810" t="inlineStr">
        <is>
          <t>NIVEA Intensive Moisture Body Lotion 400ml</t>
        </is>
      </c>
      <c r="D3810" t="inlineStr">
        <is>
          <t>Miss Glam Damar</t>
        </is>
      </c>
      <c r="E3810" t="n">
        <v>8</v>
      </c>
      <c r="F3810" t="n">
        <v>0.1547</v>
      </c>
      <c r="G3810" t="n">
        <v>1.82</v>
      </c>
      <c r="H3810" t="n">
        <v>4</v>
      </c>
      <c r="I3810" t="n">
        <v>9</v>
      </c>
      <c r="J3810" t="n">
        <v>3</v>
      </c>
      <c r="K3810" t="n">
        <v>0</v>
      </c>
      <c r="L3810" t="n">
        <v>66267</v>
      </c>
      <c r="M3810" t="n">
        <v>78000</v>
      </c>
      <c r="N3810" t="n">
        <v>91</v>
      </c>
      <c r="O3810" t="n">
        <v>0.91</v>
      </c>
      <c r="P3810" t="n">
        <v>1</v>
      </c>
      <c r="Q3810" t="n">
        <v>0.19</v>
      </c>
      <c r="R3810" t="n">
        <v>2</v>
      </c>
      <c r="S3810" t="n">
        <v>12066.6</v>
      </c>
      <c r="T3810" t="n">
        <v>16</v>
      </c>
      <c r="U3810" t="n">
        <v>17</v>
      </c>
      <c r="V3810" t="n">
        <v>30</v>
      </c>
      <c r="W3810" t="n">
        <v>5</v>
      </c>
      <c r="X3810" t="n">
        <v>51.71299288946348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9850</v>
      </c>
      <c r="AG3810" t="n">
        <v>116</v>
      </c>
      <c r="AH3810" t="inlineStr">
        <is>
          <t>PT. ENSEVAL PUTERA MEGATRADING - PPN (PDG)</t>
        </is>
      </c>
      <c r="AI3810" t="n">
        <v>116</v>
      </c>
      <c r="AJ3810" t="inlineStr">
        <is>
          <t>NIVEA</t>
        </is>
      </c>
      <c r="AK3810" t="n">
        <v>21</v>
      </c>
      <c r="AL3810" t="inlineStr">
        <is>
          <t>Miss Glam Damar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NIVEA</t>
        </is>
      </c>
      <c r="B3811" s="2">
        <f>"8999777000448"</f>
        <v/>
      </c>
      <c r="C3811" t="inlineStr">
        <is>
          <t>NIVEA Intensive Moisture Body Serum 180ml</t>
        </is>
      </c>
      <c r="D3811" t="inlineStr">
        <is>
          <t>Miss Glam Damar</t>
        </is>
      </c>
      <c r="E3811" t="n">
        <v>10</v>
      </c>
      <c r="F3811" t="n">
        <v>0.3094</v>
      </c>
      <c r="G3811" t="n">
        <v>1.82</v>
      </c>
      <c r="H3811" t="n">
        <v>4</v>
      </c>
      <c r="I3811" t="n">
        <v>9</v>
      </c>
      <c r="J3811" t="n">
        <v>3</v>
      </c>
      <c r="K3811" t="n">
        <v>0</v>
      </c>
      <c r="L3811" t="n">
        <v>31703</v>
      </c>
      <c r="M3811" t="n">
        <v>48500</v>
      </c>
      <c r="N3811" t="n">
        <v>91</v>
      </c>
      <c r="O3811" t="n">
        <v>0.91</v>
      </c>
      <c r="P3811" t="n">
        <v>1</v>
      </c>
      <c r="Q3811" t="n">
        <v>0.42</v>
      </c>
      <c r="R3811" t="n">
        <v>3</v>
      </c>
      <c r="S3811" t="n">
        <v>15005.9</v>
      </c>
      <c r="T3811" t="n">
        <v>16</v>
      </c>
      <c r="U3811" t="n">
        <v>18</v>
      </c>
      <c r="V3811" t="n">
        <v>30</v>
      </c>
      <c r="W3811" t="n">
        <v>10</v>
      </c>
      <c r="X3811" t="n">
        <v>32.32062055591467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9850</v>
      </c>
      <c r="AG3811" t="n">
        <v>116</v>
      </c>
      <c r="AH3811" t="inlineStr">
        <is>
          <t>PT. ENSEVAL PUTERA MEGATRADING - PPN (PDG)</t>
        </is>
      </c>
      <c r="AI3811" t="n">
        <v>116</v>
      </c>
      <c r="AJ3811" t="inlineStr">
        <is>
          <t>NIVEA</t>
        </is>
      </c>
      <c r="AK3811" t="n">
        <v>21</v>
      </c>
      <c r="AL3811" t="inlineStr">
        <is>
          <t>Miss Glam Damar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NIVEA</t>
        </is>
      </c>
      <c r="B3812" s="2">
        <f>"8999777850616"</f>
        <v/>
      </c>
      <c r="C3812" t="inlineStr">
        <is>
          <t>NIVEA Lip Balm Original Essential Care 4.8gr</t>
        </is>
      </c>
      <c r="D3812" t="inlineStr">
        <is>
          <t>Miss Glam Damar</t>
        </is>
      </c>
      <c r="E3812" t="n">
        <v>6</v>
      </c>
      <c r="F3812" t="n">
        <v>0.5096000000000001</v>
      </c>
      <c r="G3812" t="n">
        <v>2.73</v>
      </c>
      <c r="H3812" t="n">
        <v>4</v>
      </c>
      <c r="I3812" t="n">
        <v>9</v>
      </c>
      <c r="J3812" t="n">
        <v>3</v>
      </c>
      <c r="K3812" t="n">
        <v>0</v>
      </c>
      <c r="L3812" t="n">
        <v>28827</v>
      </c>
      <c r="M3812" t="n">
        <v>34000</v>
      </c>
      <c r="N3812" t="n">
        <v>91</v>
      </c>
      <c r="O3812" t="n">
        <v>0.91</v>
      </c>
      <c r="P3812" t="n">
        <v>1</v>
      </c>
      <c r="Q3812" t="n">
        <v>0.68</v>
      </c>
      <c r="R3812" t="n">
        <v>3</v>
      </c>
      <c r="S3812" t="n">
        <v>17326.4</v>
      </c>
      <c r="T3812" t="n">
        <v>23</v>
      </c>
      <c r="U3812" t="n">
        <v>26</v>
      </c>
      <c r="V3812" t="n">
        <v>30</v>
      </c>
      <c r="W3812" t="n">
        <v>16</v>
      </c>
      <c r="X3812" t="n">
        <v>11.77394034536892</v>
      </c>
      <c r="Y3812" t="n">
        <v>1</v>
      </c>
      <c r="Z3812" t="n">
        <v>10</v>
      </c>
      <c r="AA3812" t="n">
        <v>0</v>
      </c>
      <c r="AB3812" t="n">
        <v>10</v>
      </c>
      <c r="AC3812" t="n">
        <v>10</v>
      </c>
      <c r="AD3812" t="n">
        <v>0</v>
      </c>
      <c r="AE3812" t="n">
        <v>288270</v>
      </c>
      <c r="AF3812" t="n">
        <v>9850</v>
      </c>
      <c r="AG3812" t="n">
        <v>116</v>
      </c>
      <c r="AH3812" t="inlineStr">
        <is>
          <t>PT. ENSEVAL PUTERA MEGATRADING - PPN (PDG)</t>
        </is>
      </c>
      <c r="AI3812" t="n">
        <v>116</v>
      </c>
      <c r="AJ3812" t="inlineStr">
        <is>
          <t>NIVEA</t>
        </is>
      </c>
      <c r="AK3812" t="n">
        <v>21</v>
      </c>
      <c r="AL3812" t="inlineStr">
        <is>
          <t>Miss Glam Damar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NIVEA</t>
        </is>
      </c>
      <c r="B3813" s="2">
        <f>"8999777850838"</f>
        <v/>
      </c>
      <c r="C3813" t="inlineStr">
        <is>
          <t>NIVEA Lip Care Fruity Shine Beauty Stick Strawberry 4.8gr</t>
        </is>
      </c>
      <c r="D3813" t="inlineStr">
        <is>
          <t>Miss Glam Damar</t>
        </is>
      </c>
      <c r="E3813" t="n">
        <v>33</v>
      </c>
      <c r="F3813" t="n">
        <v>2.1749</v>
      </c>
      <c r="G3813" t="n">
        <v>6.37</v>
      </c>
      <c r="H3813" t="n">
        <v>4</v>
      </c>
      <c r="I3813" t="n">
        <v>9</v>
      </c>
      <c r="J3813" t="n">
        <v>3</v>
      </c>
      <c r="K3813" t="n">
        <v>0</v>
      </c>
      <c r="L3813" t="n">
        <v>28827</v>
      </c>
      <c r="M3813" t="n">
        <v>34000</v>
      </c>
      <c r="N3813" t="n">
        <v>91</v>
      </c>
      <c r="O3813" t="n">
        <v>0.91</v>
      </c>
      <c r="P3813" t="n">
        <v>1</v>
      </c>
      <c r="Q3813" t="n">
        <v>1.76</v>
      </c>
      <c r="R3813" t="n">
        <v>6</v>
      </c>
      <c r="S3813" t="n">
        <v>73946.60000000001</v>
      </c>
      <c r="T3813" t="n">
        <v>49</v>
      </c>
      <c r="U3813" t="n">
        <v>58</v>
      </c>
      <c r="V3813" t="n">
        <v>30</v>
      </c>
      <c r="W3813" t="n">
        <v>66</v>
      </c>
      <c r="X3813" t="n">
        <v>15.17311140742103</v>
      </c>
      <c r="Y3813" t="n">
        <v>1</v>
      </c>
      <c r="Z3813" t="n">
        <v>33</v>
      </c>
      <c r="AA3813" t="n">
        <v>0</v>
      </c>
      <c r="AB3813" t="n">
        <v>33</v>
      </c>
      <c r="AC3813" t="n">
        <v>33</v>
      </c>
      <c r="AD3813" t="n">
        <v>0</v>
      </c>
      <c r="AE3813" t="n">
        <v>951291</v>
      </c>
      <c r="AF3813" t="n">
        <v>9850</v>
      </c>
      <c r="AG3813" t="n">
        <v>116</v>
      </c>
      <c r="AH3813" t="inlineStr">
        <is>
          <t>PT. ENSEVAL PUTERA MEGATRADING - PPN (PDG)</t>
        </is>
      </c>
      <c r="AI3813" t="n">
        <v>116</v>
      </c>
      <c r="AJ3813" t="inlineStr">
        <is>
          <t>NIVEA</t>
        </is>
      </c>
      <c r="AK3813" t="n">
        <v>21</v>
      </c>
      <c r="AL3813" t="inlineStr">
        <is>
          <t>Miss Glam Damar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NIVEA</t>
        </is>
      </c>
      <c r="B3814" s="2">
        <f>"8999777017507"</f>
        <v/>
      </c>
      <c r="C3814" t="inlineStr">
        <is>
          <t>NIVEA Oil &amp; Acne Care Micellair 125ml</t>
        </is>
      </c>
      <c r="D3814" t="inlineStr">
        <is>
          <t>Miss Glam Damar</t>
        </is>
      </c>
      <c r="E3814" t="n">
        <v>1</v>
      </c>
      <c r="F3814" t="n">
        <v>0.4277</v>
      </c>
      <c r="G3814" t="n">
        <v>2.73</v>
      </c>
      <c r="H3814" t="n">
        <v>4</v>
      </c>
      <c r="I3814" t="n">
        <v>9</v>
      </c>
      <c r="J3814" t="n">
        <v>3</v>
      </c>
      <c r="K3814" t="n">
        <v>0</v>
      </c>
      <c r="L3814" t="n">
        <v>29363</v>
      </c>
      <c r="M3814" t="n">
        <v>35000</v>
      </c>
      <c r="N3814" t="n">
        <v>91</v>
      </c>
      <c r="O3814" t="n">
        <v>0.91</v>
      </c>
      <c r="P3814" t="n">
        <v>1</v>
      </c>
      <c r="Q3814" t="n">
        <v>0.39</v>
      </c>
      <c r="R3814" t="n">
        <v>3</v>
      </c>
      <c r="S3814" t="n">
        <v>14969.5</v>
      </c>
      <c r="T3814" t="n">
        <v>23</v>
      </c>
      <c r="U3814" t="n">
        <v>25</v>
      </c>
      <c r="V3814" t="n">
        <v>30</v>
      </c>
      <c r="W3814" t="n">
        <v>13</v>
      </c>
      <c r="X3814" t="n">
        <v>2.338087444470423</v>
      </c>
      <c r="Y3814" t="n">
        <v>1</v>
      </c>
      <c r="Z3814" t="n">
        <v>12</v>
      </c>
      <c r="AA3814" t="n">
        <v>3</v>
      </c>
      <c r="AB3814" t="n">
        <v>9</v>
      </c>
      <c r="AC3814" t="n">
        <v>9</v>
      </c>
      <c r="AD3814" t="n">
        <v>88089</v>
      </c>
      <c r="AE3814" t="n">
        <v>264267</v>
      </c>
      <c r="AF3814" t="n">
        <v>9850</v>
      </c>
      <c r="AG3814" t="n">
        <v>116</v>
      </c>
      <c r="AH3814" t="inlineStr">
        <is>
          <t>PT. ENSEVAL PUTERA MEGATRADING - PPN (PDG)</t>
        </is>
      </c>
      <c r="AI3814" t="n">
        <v>116</v>
      </c>
      <c r="AJ3814" t="inlineStr">
        <is>
          <t>NIVEA</t>
        </is>
      </c>
      <c r="AK3814" t="n">
        <v>21</v>
      </c>
      <c r="AL3814" t="inlineStr">
        <is>
          <t>Miss Glam Damar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NIVEA</t>
        </is>
      </c>
      <c r="B3815" s="2">
        <f>"8999777010973"</f>
        <v/>
      </c>
      <c r="C3815" t="inlineStr">
        <is>
          <t>NIVEA Pearl &amp; Beauty Roll On 50ml</t>
        </is>
      </c>
      <c r="D3815" t="inlineStr">
        <is>
          <t>Miss Glam Damar</t>
        </is>
      </c>
      <c r="E3815" t="n">
        <v>17</v>
      </c>
      <c r="F3815" t="n">
        <v>1.3104</v>
      </c>
      <c r="G3815" t="n">
        <v>5.46</v>
      </c>
      <c r="H3815" t="n">
        <v>4</v>
      </c>
      <c r="I3815" t="n">
        <v>9</v>
      </c>
      <c r="J3815" t="n">
        <v>3</v>
      </c>
      <c r="K3815" t="n">
        <v>0</v>
      </c>
      <c r="L3815" t="n">
        <v>20668</v>
      </c>
      <c r="M3815" t="n">
        <v>24500</v>
      </c>
      <c r="N3815" t="n">
        <v>91</v>
      </c>
      <c r="O3815" t="n">
        <v>0.91</v>
      </c>
      <c r="P3815" t="n">
        <v>1</v>
      </c>
      <c r="Q3815" t="n">
        <v>0.78</v>
      </c>
      <c r="R3815" t="n">
        <v>4</v>
      </c>
      <c r="S3815" t="n">
        <v>32104.8</v>
      </c>
      <c r="T3815" t="n">
        <v>44</v>
      </c>
      <c r="U3815" t="n">
        <v>50</v>
      </c>
      <c r="V3815" t="n">
        <v>30</v>
      </c>
      <c r="W3815" t="n">
        <v>40</v>
      </c>
      <c r="X3815" t="n">
        <v>12.97313797313797</v>
      </c>
      <c r="Y3815" t="n">
        <v>1</v>
      </c>
      <c r="Z3815" t="n">
        <v>23</v>
      </c>
      <c r="AA3815" t="n">
        <v>0</v>
      </c>
      <c r="AB3815" t="n">
        <v>23</v>
      </c>
      <c r="AC3815" t="n">
        <v>23</v>
      </c>
      <c r="AD3815" t="n">
        <v>0</v>
      </c>
      <c r="AE3815" t="n">
        <v>475364</v>
      </c>
      <c r="AF3815" t="n">
        <v>9850</v>
      </c>
      <c r="AG3815" t="n">
        <v>116</v>
      </c>
      <c r="AH3815" t="inlineStr">
        <is>
          <t>PT. ENSEVAL PUTERA MEGATRADING - PPN (PDG)</t>
        </is>
      </c>
      <c r="AI3815" t="n">
        <v>116</v>
      </c>
      <c r="AJ3815" t="inlineStr">
        <is>
          <t>NIVEA</t>
        </is>
      </c>
      <c r="AK3815" t="n">
        <v>21</v>
      </c>
      <c r="AL3815" t="inlineStr">
        <is>
          <t>Miss Glam Damar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NIVEA</t>
        </is>
      </c>
      <c r="B3816" s="2">
        <f>"8999777011826"</f>
        <v/>
      </c>
      <c r="C3816" t="inlineStr">
        <is>
          <t>NIVEA Pearl White Micellar Water 125ml</t>
        </is>
      </c>
      <c r="D3816" t="inlineStr">
        <is>
          <t>Miss Glam Damar</t>
        </is>
      </c>
      <c r="E3816" t="n">
        <v>9</v>
      </c>
      <c r="F3816" t="n">
        <v>0.2639</v>
      </c>
      <c r="G3816" t="n">
        <v>1.82</v>
      </c>
      <c r="H3816" t="n">
        <v>4</v>
      </c>
      <c r="I3816" t="n">
        <v>9</v>
      </c>
      <c r="J3816" t="n">
        <v>3</v>
      </c>
      <c r="K3816" t="n">
        <v>0</v>
      </c>
      <c r="L3816" t="n">
        <v>29374</v>
      </c>
      <c r="M3816" t="n">
        <v>35000</v>
      </c>
      <c r="N3816" t="n">
        <v>91</v>
      </c>
      <c r="O3816" t="n">
        <v>0.91</v>
      </c>
      <c r="P3816" t="n">
        <v>1</v>
      </c>
      <c r="Q3816" t="n">
        <v>0.36</v>
      </c>
      <c r="R3816" t="n">
        <v>2</v>
      </c>
      <c r="S3816" t="n">
        <v>9236.499999999998</v>
      </c>
      <c r="T3816" t="n">
        <v>16</v>
      </c>
      <c r="U3816" t="n">
        <v>18</v>
      </c>
      <c r="V3816" t="n">
        <v>30</v>
      </c>
      <c r="W3816" t="n">
        <v>8</v>
      </c>
      <c r="X3816" t="n">
        <v>34.10382720727549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9850</v>
      </c>
      <c r="AG3816" t="n">
        <v>116</v>
      </c>
      <c r="AH3816" t="inlineStr">
        <is>
          <t>PT. ENSEVAL PUTERA MEGATRADING - PPN (PDG)</t>
        </is>
      </c>
      <c r="AI3816" t="n">
        <v>116</v>
      </c>
      <c r="AJ3816" t="inlineStr">
        <is>
          <t>NIVEA</t>
        </is>
      </c>
      <c r="AK3816" t="n">
        <v>21</v>
      </c>
      <c r="AL3816" t="inlineStr">
        <is>
          <t>Miss Glam Damar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NIVEA</t>
        </is>
      </c>
      <c r="B3817" s="2">
        <f>"8999777004255"</f>
        <v/>
      </c>
      <c r="C3817" t="inlineStr">
        <is>
          <t>NIVEA Personal Care Deodorant Dry Comfort Roll On 25ml</t>
        </is>
      </c>
      <c r="D3817" t="inlineStr">
        <is>
          <t>Miss Glam Damar</t>
        </is>
      </c>
      <c r="E3817" t="n">
        <v>9</v>
      </c>
      <c r="F3817" t="n">
        <v>0.6643</v>
      </c>
      <c r="G3817" t="n">
        <v>3.64</v>
      </c>
      <c r="H3817" t="n">
        <v>4</v>
      </c>
      <c r="I3817" t="n">
        <v>9</v>
      </c>
      <c r="J3817" t="n">
        <v>3</v>
      </c>
      <c r="K3817" t="n">
        <v>0</v>
      </c>
      <c r="L3817" t="n">
        <v>12074</v>
      </c>
      <c r="M3817" t="n">
        <v>14500</v>
      </c>
      <c r="N3817" t="n">
        <v>91</v>
      </c>
      <c r="O3817" t="n">
        <v>0.91</v>
      </c>
      <c r="P3817" t="n">
        <v>1</v>
      </c>
      <c r="Q3817" t="n">
        <v>0.42</v>
      </c>
      <c r="R3817" t="n">
        <v>4</v>
      </c>
      <c r="S3817" t="n">
        <v>9632.35</v>
      </c>
      <c r="T3817" t="n">
        <v>31</v>
      </c>
      <c r="U3817" t="n">
        <v>34</v>
      </c>
      <c r="V3817" t="n">
        <v>30</v>
      </c>
      <c r="W3817" t="n">
        <v>20</v>
      </c>
      <c r="X3817" t="n">
        <v>13.54809573987656</v>
      </c>
      <c r="Y3817" t="n">
        <v>1</v>
      </c>
      <c r="Z3817" t="n">
        <v>11</v>
      </c>
      <c r="AA3817" t="n">
        <v>0</v>
      </c>
      <c r="AB3817" t="n">
        <v>11</v>
      </c>
      <c r="AC3817" t="n">
        <v>11</v>
      </c>
      <c r="AD3817" t="n">
        <v>0</v>
      </c>
      <c r="AE3817" t="n">
        <v>132814</v>
      </c>
      <c r="AF3817" t="n">
        <v>9850</v>
      </c>
      <c r="AG3817" t="n">
        <v>116</v>
      </c>
      <c r="AH3817" t="inlineStr">
        <is>
          <t>PT. ENSEVAL PUTERA MEGATRADING - PPN (PDG)</t>
        </is>
      </c>
      <c r="AI3817" t="n">
        <v>116</v>
      </c>
      <c r="AJ3817" t="inlineStr">
        <is>
          <t>NIVEA</t>
        </is>
      </c>
      <c r="AK3817" t="n">
        <v>21</v>
      </c>
      <c r="AL3817" t="inlineStr">
        <is>
          <t>Miss Glam Damar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NIVEA</t>
        </is>
      </c>
      <c r="B3818" s="2">
        <f>"8999777007478"</f>
        <v/>
      </c>
      <c r="C3818" t="inlineStr">
        <is>
          <t>NIVEA Shave Care Deodorant Mini Whitening Happy Shave Roll On 25ml</t>
        </is>
      </c>
      <c r="D3818" t="inlineStr">
        <is>
          <t>Miss Glam Damar</t>
        </is>
      </c>
      <c r="E3818" t="n">
        <v>9</v>
      </c>
      <c r="F3818" t="n">
        <v>1.1284</v>
      </c>
      <c r="G3818" t="n">
        <v>3.64</v>
      </c>
      <c r="H3818" t="n">
        <v>4</v>
      </c>
      <c r="I3818" t="n">
        <v>9</v>
      </c>
      <c r="J3818" t="n">
        <v>3</v>
      </c>
      <c r="K3818" t="n">
        <v>0</v>
      </c>
      <c r="L3818" t="n">
        <v>12075</v>
      </c>
      <c r="M3818" t="n">
        <v>14500</v>
      </c>
      <c r="N3818" t="n">
        <v>91</v>
      </c>
      <c r="O3818" t="n">
        <v>0.91</v>
      </c>
      <c r="P3818" t="n">
        <v>1</v>
      </c>
      <c r="Q3818" t="n">
        <v>0.39</v>
      </c>
      <c r="R3818" t="n">
        <v>2</v>
      </c>
      <c r="S3818" t="n">
        <v>16361.8</v>
      </c>
      <c r="T3818" t="n">
        <v>29</v>
      </c>
      <c r="U3818" t="n">
        <v>34</v>
      </c>
      <c r="V3818" t="n">
        <v>30</v>
      </c>
      <c r="W3818" t="n">
        <v>34</v>
      </c>
      <c r="X3818" t="n">
        <v>7.975895072669266</v>
      </c>
      <c r="Y3818" t="n">
        <v>1</v>
      </c>
      <c r="Z3818" t="n">
        <v>25</v>
      </c>
      <c r="AA3818" t="n">
        <v>2</v>
      </c>
      <c r="AB3818" t="n">
        <v>23</v>
      </c>
      <c r="AC3818" t="n">
        <v>23</v>
      </c>
      <c r="AD3818" t="n">
        <v>24150</v>
      </c>
      <c r="AE3818" t="n">
        <v>277725</v>
      </c>
      <c r="AF3818" t="n">
        <v>9850</v>
      </c>
      <c r="AG3818" t="n">
        <v>116</v>
      </c>
      <c r="AH3818" t="inlineStr">
        <is>
          <t>PT. ENSEVAL PUTERA MEGATRADING - PPN (PDG)</t>
        </is>
      </c>
      <c r="AI3818" t="n">
        <v>116</v>
      </c>
      <c r="AJ3818" t="inlineStr">
        <is>
          <t>NIVEA</t>
        </is>
      </c>
      <c r="AK3818" t="n">
        <v>21</v>
      </c>
      <c r="AL3818" t="inlineStr">
        <is>
          <t>Miss Glam Damar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NIVEA</t>
        </is>
      </c>
      <c r="B3819" s="2">
        <f>"8999777890544"</f>
        <v/>
      </c>
      <c r="C3819" t="inlineStr">
        <is>
          <t>NIVEA Soft 50ml</t>
        </is>
      </c>
      <c r="D3819" t="inlineStr">
        <is>
          <t>Miss Glam Damar</t>
        </is>
      </c>
      <c r="E3819" t="n">
        <v>11</v>
      </c>
      <c r="F3819" t="n">
        <v>0.4095</v>
      </c>
      <c r="G3819" t="n">
        <v>2.73</v>
      </c>
      <c r="H3819" t="n">
        <v>4</v>
      </c>
      <c r="I3819" t="n">
        <v>9</v>
      </c>
      <c r="J3819" t="n">
        <v>3</v>
      </c>
      <c r="K3819" t="n">
        <v>0</v>
      </c>
      <c r="L3819" t="n">
        <v>16099</v>
      </c>
      <c r="M3819" t="n">
        <v>19000</v>
      </c>
      <c r="N3819" t="n">
        <v>91</v>
      </c>
      <c r="O3819" t="n">
        <v>0.91</v>
      </c>
      <c r="P3819" t="n">
        <v>1</v>
      </c>
      <c r="Q3819" t="n">
        <v>0.53</v>
      </c>
      <c r="R3819" t="n">
        <v>3</v>
      </c>
      <c r="S3819" t="n">
        <v>7780.500000000001</v>
      </c>
      <c r="T3819" t="n">
        <v>23</v>
      </c>
      <c r="U3819" t="n">
        <v>25</v>
      </c>
      <c r="V3819" t="n">
        <v>30</v>
      </c>
      <c r="W3819" t="n">
        <v>13</v>
      </c>
      <c r="X3819" t="n">
        <v>26.86202686202686</v>
      </c>
      <c r="Y3819" t="n">
        <v>1</v>
      </c>
      <c r="Z3819" t="n">
        <v>2</v>
      </c>
      <c r="AA3819" t="n">
        <v>0</v>
      </c>
      <c r="AB3819" t="n">
        <v>2</v>
      </c>
      <c r="AC3819" t="n">
        <v>3</v>
      </c>
      <c r="AD3819" t="n">
        <v>0</v>
      </c>
      <c r="AE3819" t="n">
        <v>48297</v>
      </c>
      <c r="AF3819" t="n">
        <v>9850</v>
      </c>
      <c r="AG3819" t="n">
        <v>116</v>
      </c>
      <c r="AH3819" t="inlineStr">
        <is>
          <t>PT. ENSEVAL PUTERA MEGATRADING - PPN (PDG)</t>
        </is>
      </c>
      <c r="AI3819" t="n">
        <v>116</v>
      </c>
      <c r="AJ3819" t="inlineStr">
        <is>
          <t>NIVEA</t>
        </is>
      </c>
      <c r="AK3819" t="n">
        <v>21</v>
      </c>
      <c r="AL3819" t="inlineStr">
        <is>
          <t>Miss Glam Damar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NIVEA</t>
        </is>
      </c>
      <c r="B3820" s="2">
        <f>"8999777867249"</f>
        <v/>
      </c>
      <c r="C3820" t="inlineStr">
        <is>
          <t>NIVEA Sparkling Bright Facial Foam 100ml</t>
        </is>
      </c>
      <c r="D3820" t="inlineStr">
        <is>
          <t>Miss Glam Damar</t>
        </is>
      </c>
      <c r="E3820" t="n">
        <v>4</v>
      </c>
      <c r="F3820" t="n">
        <v>0.3731</v>
      </c>
      <c r="G3820" t="n">
        <v>1.82</v>
      </c>
      <c r="H3820" t="n">
        <v>4</v>
      </c>
      <c r="I3820" t="n">
        <v>9</v>
      </c>
      <c r="J3820" t="n">
        <v>3</v>
      </c>
      <c r="K3820" t="n">
        <v>0</v>
      </c>
      <c r="L3820" t="n">
        <v>28283</v>
      </c>
      <c r="M3820" t="n">
        <v>34000</v>
      </c>
      <c r="N3820" t="n">
        <v>91</v>
      </c>
      <c r="O3820" t="n">
        <v>0.91</v>
      </c>
      <c r="P3820" t="n">
        <v>1</v>
      </c>
      <c r="Q3820" t="n">
        <v>0.29</v>
      </c>
      <c r="R3820" t="n">
        <v>3</v>
      </c>
      <c r="S3820" t="n">
        <v>12685.4</v>
      </c>
      <c r="T3820" t="n">
        <v>15</v>
      </c>
      <c r="U3820" t="n">
        <v>17</v>
      </c>
      <c r="V3820" t="n">
        <v>30</v>
      </c>
      <c r="W3820" t="n">
        <v>12</v>
      </c>
      <c r="X3820" t="n">
        <v>10.72098633074243</v>
      </c>
      <c r="Y3820" t="n">
        <v>1</v>
      </c>
      <c r="Z3820" t="n">
        <v>8</v>
      </c>
      <c r="AA3820" t="n">
        <v>0</v>
      </c>
      <c r="AB3820" t="n">
        <v>8</v>
      </c>
      <c r="AC3820" t="n">
        <v>8</v>
      </c>
      <c r="AD3820" t="n">
        <v>0</v>
      </c>
      <c r="AE3820" t="n">
        <v>226264</v>
      </c>
      <c r="AF3820" t="n">
        <v>9850</v>
      </c>
      <c r="AG3820" t="n">
        <v>116</v>
      </c>
      <c r="AH3820" t="inlineStr">
        <is>
          <t>PT. ENSEVAL PUTERA MEGATRADING - PPN (PDG)</t>
        </is>
      </c>
      <c r="AI3820" t="n">
        <v>116</v>
      </c>
      <c r="AJ3820" t="inlineStr">
        <is>
          <t>NIVEA</t>
        </is>
      </c>
      <c r="AK3820" t="n">
        <v>21</v>
      </c>
      <c r="AL3820" t="inlineStr">
        <is>
          <t>Miss Glam Damar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NIVEA</t>
        </is>
      </c>
      <c r="B3821" s="2">
        <f>"8999777014230"</f>
        <v/>
      </c>
      <c r="C3821" t="inlineStr">
        <is>
          <t>NIVEA Sun Face Serum Oil Control 30ml</t>
        </is>
      </c>
      <c r="D3821" t="inlineStr">
        <is>
          <t>Miss Glam Damar</t>
        </is>
      </c>
      <c r="E3821" t="n">
        <v>5</v>
      </c>
      <c r="F3821" t="n">
        <v>0.0273</v>
      </c>
      <c r="G3821" t="n">
        <v>0.91</v>
      </c>
      <c r="H3821" t="n">
        <v>4</v>
      </c>
      <c r="I3821" t="n">
        <v>9</v>
      </c>
      <c r="J3821" t="n">
        <v>3</v>
      </c>
      <c r="K3821" t="n">
        <v>0</v>
      </c>
      <c r="L3821" t="n">
        <v>56122</v>
      </c>
      <c r="M3821" t="n">
        <v>67000</v>
      </c>
      <c r="N3821" t="n">
        <v>91</v>
      </c>
      <c r="O3821" t="n">
        <v>0.91</v>
      </c>
      <c r="P3821" t="n">
        <v>1</v>
      </c>
      <c r="Q3821" t="n">
        <v>0.17</v>
      </c>
      <c r="R3821" t="n">
        <v>2</v>
      </c>
      <c r="S3821" t="n">
        <v>1829.1</v>
      </c>
      <c r="T3821" t="n">
        <v>9</v>
      </c>
      <c r="U3821" t="n">
        <v>10</v>
      </c>
      <c r="V3821" t="n">
        <v>30</v>
      </c>
      <c r="W3821" t="n">
        <v>1</v>
      </c>
      <c r="X3821" t="n">
        <v>183.1501831501832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9850</v>
      </c>
      <c r="AG3821" t="n">
        <v>116</v>
      </c>
      <c r="AH3821" t="inlineStr">
        <is>
          <t>PT. ENSEVAL PUTERA MEGATRADING - PPN (PDG)</t>
        </is>
      </c>
      <c r="AI3821" t="n">
        <v>116</v>
      </c>
      <c r="AJ3821" t="inlineStr">
        <is>
          <t>NIVEA</t>
        </is>
      </c>
      <c r="AK3821" t="n">
        <v>21</v>
      </c>
      <c r="AL3821" t="inlineStr">
        <is>
          <t>Miss Glam Damar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NIVEA</t>
        </is>
      </c>
      <c r="B3822" s="2">
        <f>"30200429151"</f>
        <v/>
      </c>
      <c r="C3822" t="inlineStr">
        <is>
          <t>NIVEA Super 10 Vitamins Youth Perfect Body Serum 170ml</t>
        </is>
      </c>
      <c r="D3822" t="inlineStr">
        <is>
          <t>Miss Glam Damar</t>
        </is>
      </c>
      <c r="E3822" t="n">
        <v>2</v>
      </c>
      <c r="F3822" t="n">
        <v>0.4186</v>
      </c>
      <c r="G3822" t="n">
        <v>2.73</v>
      </c>
      <c r="H3822" t="n">
        <v>4</v>
      </c>
      <c r="I3822" t="n">
        <v>9</v>
      </c>
      <c r="J3822" t="n">
        <v>1</v>
      </c>
      <c r="K3822" t="n">
        <v>0</v>
      </c>
      <c r="L3822" t="n">
        <v>38628</v>
      </c>
      <c r="M3822" t="n">
        <v>45500</v>
      </c>
      <c r="N3822" t="n">
        <v>91</v>
      </c>
      <c r="O3822" t="n">
        <v>0.91</v>
      </c>
      <c r="P3822" t="n">
        <v>1</v>
      </c>
      <c r="Q3822" t="n">
        <v>0.15</v>
      </c>
      <c r="R3822" t="n">
        <v>1</v>
      </c>
      <c r="S3822" t="n">
        <v>19046.3</v>
      </c>
      <c r="T3822" t="n">
        <v>23</v>
      </c>
      <c r="U3822" t="n">
        <v>25</v>
      </c>
      <c r="V3822" t="n">
        <v>30</v>
      </c>
      <c r="W3822" t="n">
        <v>13</v>
      </c>
      <c r="X3822" t="n">
        <v>4.777830864787386</v>
      </c>
      <c r="Y3822" t="n">
        <v>1</v>
      </c>
      <c r="Z3822" t="n">
        <v>11</v>
      </c>
      <c r="AA3822" t="n">
        <v>2</v>
      </c>
      <c r="AB3822" t="n">
        <v>9</v>
      </c>
      <c r="AC3822" t="n">
        <v>9</v>
      </c>
      <c r="AD3822" t="n">
        <v>77256</v>
      </c>
      <c r="AE3822" t="n">
        <v>347652</v>
      </c>
      <c r="AF3822" t="n">
        <v>9850</v>
      </c>
      <c r="AG3822" t="n">
        <v>116</v>
      </c>
      <c r="AH3822" t="inlineStr">
        <is>
          <t>PT. ENSEVAL PUTERA MEGATRADING - PPN (PDG)</t>
        </is>
      </c>
      <c r="AI3822" t="n">
        <v>116</v>
      </c>
      <c r="AJ3822" t="inlineStr">
        <is>
          <t>NIVEA</t>
        </is>
      </c>
      <c r="AK3822" t="n">
        <v>21</v>
      </c>
      <c r="AL3822" t="inlineStr">
        <is>
          <t>Miss Glam Damar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NIVEA MEN</t>
        </is>
      </c>
      <c r="B3823" s="2">
        <f>"8999777004910"</f>
        <v/>
      </c>
      <c r="C3823" t="inlineStr">
        <is>
          <t>NIVEA Deodorant Cool Kick Cool Blue Spray 48 Jam 150ml</t>
        </is>
      </c>
      <c r="D3823" t="inlineStr">
        <is>
          <t>Miss Glam Damar</t>
        </is>
      </c>
      <c r="E3823" t="n">
        <v>7</v>
      </c>
      <c r="F3823" t="n">
        <v>0.09100000000000001</v>
      </c>
      <c r="G3823" t="n">
        <v>0.91</v>
      </c>
      <c r="H3823" t="n">
        <v>4</v>
      </c>
      <c r="I3823" t="n">
        <v>9</v>
      </c>
      <c r="J3823" t="n">
        <v>3</v>
      </c>
      <c r="K3823" t="n">
        <v>0</v>
      </c>
      <c r="L3823" t="n">
        <v>47863</v>
      </c>
      <c r="M3823" t="n">
        <v>59000</v>
      </c>
      <c r="N3823" t="n">
        <v>91</v>
      </c>
      <c r="O3823" t="n">
        <v>0.91</v>
      </c>
      <c r="P3823" t="n">
        <v>1</v>
      </c>
      <c r="Q3823" t="n">
        <v>0.2</v>
      </c>
      <c r="R3823" t="n">
        <v>2</v>
      </c>
      <c r="S3823" t="n">
        <v>5369.000000000001</v>
      </c>
      <c r="T3823" t="n">
        <v>8</v>
      </c>
      <c r="U3823" t="n">
        <v>9</v>
      </c>
      <c r="V3823" t="n">
        <v>30</v>
      </c>
      <c r="W3823" t="n">
        <v>3</v>
      </c>
      <c r="X3823" t="n">
        <v>76.92307692307692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9855</v>
      </c>
      <c r="AG3823" t="n">
        <v>116</v>
      </c>
      <c r="AH3823" t="inlineStr">
        <is>
          <t>PT. ENSEVAL PUTERA MEGATRADING - PPN (PDG)</t>
        </is>
      </c>
      <c r="AI3823" t="n">
        <v>1226</v>
      </c>
      <c r="AJ3823" t="inlineStr">
        <is>
          <t>NIVEA MEN</t>
        </is>
      </c>
      <c r="AK3823" t="n">
        <v>21</v>
      </c>
      <c r="AL3823" t="inlineStr">
        <is>
          <t>Miss Glam Damar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NIVEA MEN</t>
        </is>
      </c>
      <c r="B3824" s="2">
        <f>"8999777888381"</f>
        <v/>
      </c>
      <c r="C3824" t="inlineStr">
        <is>
          <t>NIVEA MEN Acne Oil Clear Acne Defense Foam 100ml</t>
        </is>
      </c>
      <c r="D3824" t="inlineStr">
        <is>
          <t>Miss Glam Damar</t>
        </is>
      </c>
      <c r="E3824" t="n">
        <v>1</v>
      </c>
      <c r="F3824" t="n">
        <v>0.1092</v>
      </c>
      <c r="G3824" t="n">
        <v>1.82</v>
      </c>
      <c r="H3824" t="n">
        <v>4</v>
      </c>
      <c r="I3824" t="n">
        <v>9</v>
      </c>
      <c r="J3824" t="n">
        <v>3</v>
      </c>
      <c r="K3824" t="n">
        <v>0</v>
      </c>
      <c r="L3824" t="n">
        <v>32438</v>
      </c>
      <c r="M3824" t="n">
        <v>39500</v>
      </c>
      <c r="N3824" t="n">
        <v>91</v>
      </c>
      <c r="O3824" t="n">
        <v>0.91</v>
      </c>
      <c r="P3824" t="n">
        <v>1</v>
      </c>
      <c r="Q3824" t="n">
        <v>0.07000000000000001</v>
      </c>
      <c r="R3824" t="n">
        <v>2</v>
      </c>
      <c r="S3824" t="n">
        <v>4313.400000000001</v>
      </c>
      <c r="T3824" t="n">
        <v>16</v>
      </c>
      <c r="U3824" t="n">
        <v>17</v>
      </c>
      <c r="V3824" t="n">
        <v>30</v>
      </c>
      <c r="W3824" t="n">
        <v>4</v>
      </c>
      <c r="X3824" t="n">
        <v>9.157509157509157</v>
      </c>
      <c r="Y3824" t="n">
        <v>1</v>
      </c>
      <c r="Z3824" t="n">
        <v>3</v>
      </c>
      <c r="AA3824" t="n">
        <v>0</v>
      </c>
      <c r="AB3824" t="n">
        <v>3</v>
      </c>
      <c r="AC3824" t="n">
        <v>3</v>
      </c>
      <c r="AD3824" t="n">
        <v>0</v>
      </c>
      <c r="AE3824" t="n">
        <v>97314</v>
      </c>
      <c r="AF3824" t="n">
        <v>9855</v>
      </c>
      <c r="AG3824" t="n">
        <v>116</v>
      </c>
      <c r="AH3824" t="inlineStr">
        <is>
          <t>PT. ENSEVAL PUTERA MEGATRADING - PPN (PDG)</t>
        </is>
      </c>
      <c r="AI3824" t="n">
        <v>1226</v>
      </c>
      <c r="AJ3824" t="inlineStr">
        <is>
          <t>NIVEA MEN</t>
        </is>
      </c>
      <c r="AK3824" t="n">
        <v>21</v>
      </c>
      <c r="AL3824" t="inlineStr">
        <is>
          <t>Miss Glam Damar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NIVEA MEN</t>
        </is>
      </c>
      <c r="B3825" s="2">
        <f>"8999777000189"</f>
        <v/>
      </c>
      <c r="C3825" t="inlineStr">
        <is>
          <t>NIVEA MEN Anti Shine Foam 100ml</t>
        </is>
      </c>
      <c r="D3825" t="inlineStr">
        <is>
          <t>Miss Glam Damar</t>
        </is>
      </c>
      <c r="E3825" t="n">
        <v>12</v>
      </c>
      <c r="F3825" t="n">
        <v>0.06370000000000001</v>
      </c>
      <c r="G3825" t="n">
        <v>0.91</v>
      </c>
      <c r="H3825" t="n">
        <v>4</v>
      </c>
      <c r="I3825" t="n">
        <v>9</v>
      </c>
      <c r="J3825" t="n">
        <v>3</v>
      </c>
      <c r="K3825" t="n">
        <v>0</v>
      </c>
      <c r="L3825" t="n">
        <v>33287</v>
      </c>
      <c r="M3825" t="n">
        <v>39500</v>
      </c>
      <c r="N3825" t="n">
        <v>91</v>
      </c>
      <c r="O3825" t="n">
        <v>0.91</v>
      </c>
      <c r="P3825" t="n">
        <v>1</v>
      </c>
      <c r="Q3825" t="n">
        <v>0.07000000000000001</v>
      </c>
      <c r="R3825" t="n">
        <v>2</v>
      </c>
      <c r="S3825" t="n">
        <v>2516.15</v>
      </c>
      <c r="T3825" t="n">
        <v>8</v>
      </c>
      <c r="U3825" t="n">
        <v>9</v>
      </c>
      <c r="V3825" t="n">
        <v>30</v>
      </c>
      <c r="W3825" t="n">
        <v>2</v>
      </c>
      <c r="X3825" t="n">
        <v>188.3830455259026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9855</v>
      </c>
      <c r="AG3825" t="n">
        <v>116</v>
      </c>
      <c r="AH3825" t="inlineStr">
        <is>
          <t>PT. ENSEVAL PUTERA MEGATRADING - PPN (PDG)</t>
        </is>
      </c>
      <c r="AI3825" t="n">
        <v>1226</v>
      </c>
      <c r="AJ3825" t="inlineStr">
        <is>
          <t>NIVEA MEN</t>
        </is>
      </c>
      <c r="AK3825" t="n">
        <v>21</v>
      </c>
      <c r="AL3825" t="inlineStr">
        <is>
          <t>Miss Glam Damar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NIVEA MEN</t>
        </is>
      </c>
      <c r="B3826" s="2">
        <f>"8999777000172"</f>
        <v/>
      </c>
      <c r="C3826" t="inlineStr">
        <is>
          <t>NIVEA MEN Anti Shine Foam 50ml</t>
        </is>
      </c>
      <c r="D3826" t="inlineStr">
        <is>
          <t>Miss Glam Damar</t>
        </is>
      </c>
      <c r="E3826" t="n">
        <v>4</v>
      </c>
      <c r="F3826" t="n">
        <v>0.0182</v>
      </c>
      <c r="G3826" t="n">
        <v>0.91</v>
      </c>
      <c r="H3826" t="n">
        <v>4</v>
      </c>
      <c r="I3826" t="n">
        <v>9</v>
      </c>
      <c r="J3826" t="n">
        <v>3</v>
      </c>
      <c r="K3826" t="n">
        <v>0</v>
      </c>
      <c r="L3826" t="n">
        <v>22356</v>
      </c>
      <c r="M3826" t="n">
        <v>28000</v>
      </c>
      <c r="N3826" t="n">
        <v>91</v>
      </c>
      <c r="O3826" t="n">
        <v>0.91</v>
      </c>
      <c r="P3826" t="n">
        <v>1</v>
      </c>
      <c r="Q3826" t="n">
        <v>0.03</v>
      </c>
      <c r="R3826" t="n">
        <v>1</v>
      </c>
      <c r="S3826" t="n">
        <v>509.6</v>
      </c>
      <c r="T3826" t="n">
        <v>9</v>
      </c>
      <c r="U3826" t="n">
        <v>10</v>
      </c>
      <c r="V3826" t="n">
        <v>30</v>
      </c>
      <c r="W3826" t="n">
        <v>1</v>
      </c>
      <c r="X3826" t="n">
        <v>219.7802197802198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9855</v>
      </c>
      <c r="AG3826" t="n">
        <v>116</v>
      </c>
      <c r="AH3826" t="inlineStr">
        <is>
          <t>PT. ENSEVAL PUTERA MEGATRADING - PPN (PDG)</t>
        </is>
      </c>
      <c r="AI3826" t="n">
        <v>1226</v>
      </c>
      <c r="AJ3826" t="inlineStr">
        <is>
          <t>NIVEA MEN</t>
        </is>
      </c>
      <c r="AK3826" t="n">
        <v>21</v>
      </c>
      <c r="AL3826" t="inlineStr">
        <is>
          <t>Miss Glam Damar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NIVEA MEN</t>
        </is>
      </c>
      <c r="B3827" s="2">
        <f>"8999777004583"</f>
        <v/>
      </c>
      <c r="C3827" t="inlineStr">
        <is>
          <t>NIVEA Men Black &amp; White Invisible 25ml</t>
        </is>
      </c>
      <c r="D3827" t="inlineStr">
        <is>
          <t>Miss Glam Damar</t>
        </is>
      </c>
      <c r="E3827" t="n">
        <v>7</v>
      </c>
      <c r="F3827" t="n">
        <v>0.5096000000000001</v>
      </c>
      <c r="G3827" t="n">
        <v>1.82</v>
      </c>
      <c r="H3827" t="n">
        <v>4</v>
      </c>
      <c r="I3827" t="n">
        <v>9</v>
      </c>
      <c r="J3827" t="n">
        <v>3</v>
      </c>
      <c r="K3827" t="n">
        <v>0</v>
      </c>
      <c r="L3827" t="n">
        <v>12075</v>
      </c>
      <c r="M3827" t="n">
        <v>14500</v>
      </c>
      <c r="N3827" t="n">
        <v>91</v>
      </c>
      <c r="O3827" t="n">
        <v>0.91</v>
      </c>
      <c r="P3827" t="n">
        <v>1</v>
      </c>
      <c r="Q3827" t="n">
        <v>0.1</v>
      </c>
      <c r="R3827" t="n">
        <v>1</v>
      </c>
      <c r="S3827" t="n">
        <v>7389.200000000001</v>
      </c>
      <c r="T3827" t="n">
        <v>15</v>
      </c>
      <c r="U3827" t="n">
        <v>18</v>
      </c>
      <c r="V3827" t="n">
        <v>30</v>
      </c>
      <c r="W3827" t="n">
        <v>16</v>
      </c>
      <c r="X3827" t="n">
        <v>13.73626373626374</v>
      </c>
      <c r="Y3827" t="n">
        <v>1</v>
      </c>
      <c r="Z3827" t="n">
        <v>9</v>
      </c>
      <c r="AA3827" t="n">
        <v>0</v>
      </c>
      <c r="AB3827" t="n">
        <v>9</v>
      </c>
      <c r="AC3827" t="n">
        <v>9</v>
      </c>
      <c r="AD3827" t="n">
        <v>0</v>
      </c>
      <c r="AE3827" t="n">
        <v>108675</v>
      </c>
      <c r="AF3827" t="n">
        <v>9855</v>
      </c>
      <c r="AG3827" t="n">
        <v>116</v>
      </c>
      <c r="AH3827" t="inlineStr">
        <is>
          <t>PT. ENSEVAL PUTERA MEGATRADING - PPN (PDG)</t>
        </is>
      </c>
      <c r="AI3827" t="n">
        <v>1226</v>
      </c>
      <c r="AJ3827" t="inlineStr">
        <is>
          <t>NIVEA MEN</t>
        </is>
      </c>
      <c r="AK3827" t="n">
        <v>21</v>
      </c>
      <c r="AL3827" t="inlineStr">
        <is>
          <t>Miss Glam Damar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NIVEA MEN</t>
        </is>
      </c>
      <c r="B3828" s="2">
        <f>"4005808694822"</f>
        <v/>
      </c>
      <c r="C3828" t="inlineStr">
        <is>
          <t>NIVEA MEN Bright 8H Oil Clear Mud Foam 100ml</t>
        </is>
      </c>
      <c r="D3828" t="inlineStr">
        <is>
          <t>Miss Glam Damar</t>
        </is>
      </c>
      <c r="E3828" t="n">
        <v>2</v>
      </c>
      <c r="F3828" t="n">
        <v>0.0728</v>
      </c>
      <c r="G3828" t="n">
        <v>0.91</v>
      </c>
      <c r="H3828" t="n">
        <v>4</v>
      </c>
      <c r="I3828" t="n">
        <v>9</v>
      </c>
      <c r="J3828" t="n">
        <v>3</v>
      </c>
      <c r="K3828" t="n">
        <v>0</v>
      </c>
      <c r="L3828" t="n">
        <v>29226</v>
      </c>
      <c r="M3828" t="n">
        <v>38500</v>
      </c>
      <c r="N3828" t="n">
        <v>91</v>
      </c>
      <c r="O3828" t="n">
        <v>0.91</v>
      </c>
      <c r="P3828" t="n">
        <v>1</v>
      </c>
      <c r="Q3828" t="n">
        <v>0.07000000000000001</v>
      </c>
      <c r="R3828" t="n">
        <v>1</v>
      </c>
      <c r="S3828" t="n">
        <v>2802.8</v>
      </c>
      <c r="T3828" t="n">
        <v>8</v>
      </c>
      <c r="U3828" t="n">
        <v>9</v>
      </c>
      <c r="V3828" t="n">
        <v>30</v>
      </c>
      <c r="W3828" t="n">
        <v>3</v>
      </c>
      <c r="X3828" t="n">
        <v>27.47252747252747</v>
      </c>
      <c r="Y3828" t="n">
        <v>1</v>
      </c>
      <c r="Z3828" t="n">
        <v>1</v>
      </c>
      <c r="AA3828" t="n">
        <v>0</v>
      </c>
      <c r="AB3828" t="n">
        <v>1</v>
      </c>
      <c r="AC3828" t="n">
        <v>3</v>
      </c>
      <c r="AD3828" t="n">
        <v>0</v>
      </c>
      <c r="AE3828" t="n">
        <v>87678</v>
      </c>
      <c r="AF3828" t="n">
        <v>9855</v>
      </c>
      <c r="AG3828" t="n">
        <v>116</v>
      </c>
      <c r="AH3828" t="inlineStr">
        <is>
          <t>PT. ENSEVAL PUTERA MEGATRADING - PPN (PDG)</t>
        </is>
      </c>
      <c r="AI3828" t="n">
        <v>1226</v>
      </c>
      <c r="AJ3828" t="inlineStr">
        <is>
          <t>NIVEA MEN</t>
        </is>
      </c>
      <c r="AK3828" t="n">
        <v>21</v>
      </c>
      <c r="AL3828" t="inlineStr">
        <is>
          <t>Miss Glam Damar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NIVEA MEN</t>
        </is>
      </c>
      <c r="B3829" s="2">
        <f>"8999777004514"</f>
        <v/>
      </c>
      <c r="C3829" t="inlineStr">
        <is>
          <t>NIVEA MEN Cool Kick Extra Dry Deodorant 25ml</t>
        </is>
      </c>
      <c r="D3829" t="inlineStr">
        <is>
          <t>Miss Glam Damar</t>
        </is>
      </c>
      <c r="E3829" t="n">
        <v>1</v>
      </c>
      <c r="F3829" t="n">
        <v>0.4459</v>
      </c>
      <c r="G3829" t="n">
        <v>2.73</v>
      </c>
      <c r="H3829" t="n">
        <v>4</v>
      </c>
      <c r="I3829" t="n">
        <v>9</v>
      </c>
      <c r="J3829" t="n">
        <v>3</v>
      </c>
      <c r="K3829" t="n">
        <v>0</v>
      </c>
      <c r="L3829" t="n">
        <v>12095</v>
      </c>
      <c r="M3829" t="n">
        <v>14500</v>
      </c>
      <c r="N3829" t="n">
        <v>91</v>
      </c>
      <c r="O3829" t="n">
        <v>0.91</v>
      </c>
      <c r="P3829" t="n">
        <v>1</v>
      </c>
      <c r="Q3829" t="n">
        <v>0.22</v>
      </c>
      <c r="R3829" t="n">
        <v>2</v>
      </c>
      <c r="S3829" t="n">
        <v>6465.55</v>
      </c>
      <c r="T3829" t="n">
        <v>23</v>
      </c>
      <c r="U3829" t="n">
        <v>25</v>
      </c>
      <c r="V3829" t="n">
        <v>30</v>
      </c>
      <c r="W3829" t="n">
        <v>14</v>
      </c>
      <c r="X3829" t="n">
        <v>2.242655303879793</v>
      </c>
      <c r="Y3829" t="n">
        <v>1</v>
      </c>
      <c r="Z3829" t="n">
        <v>13</v>
      </c>
      <c r="AA3829" t="n">
        <v>4</v>
      </c>
      <c r="AB3829" t="n">
        <v>9</v>
      </c>
      <c r="AC3829" t="n">
        <v>9</v>
      </c>
      <c r="AD3829" t="n">
        <v>48380</v>
      </c>
      <c r="AE3829" t="n">
        <v>108855</v>
      </c>
      <c r="AF3829" t="n">
        <v>9855</v>
      </c>
      <c r="AG3829" t="n">
        <v>116</v>
      </c>
      <c r="AH3829" t="inlineStr">
        <is>
          <t>PT. ENSEVAL PUTERA MEGATRADING - PPN (PDG)</t>
        </is>
      </c>
      <c r="AI3829" t="n">
        <v>1226</v>
      </c>
      <c r="AJ3829" t="inlineStr">
        <is>
          <t>NIVEA MEN</t>
        </is>
      </c>
      <c r="AK3829" t="n">
        <v>21</v>
      </c>
      <c r="AL3829" t="inlineStr">
        <is>
          <t>Miss Glam Damar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NIVEA MEN</t>
        </is>
      </c>
      <c r="B3830" s="2">
        <f>"8999777888367"</f>
        <v/>
      </c>
      <c r="C3830" t="inlineStr">
        <is>
          <t>NIVEA MEN Dark Spot Minimizer Foam 100ml</t>
        </is>
      </c>
      <c r="D3830" t="inlineStr">
        <is>
          <t>Miss Glam Damar</t>
        </is>
      </c>
      <c r="E3830" t="n">
        <v>3</v>
      </c>
      <c r="F3830" t="n">
        <v>0.04550000000000001</v>
      </c>
      <c r="G3830" t="n">
        <v>0.91</v>
      </c>
      <c r="H3830" t="n">
        <v>4</v>
      </c>
      <c r="I3830" t="n">
        <v>9</v>
      </c>
      <c r="J3830" t="n">
        <v>3</v>
      </c>
      <c r="K3830" t="n">
        <v>0</v>
      </c>
      <c r="L3830" t="n">
        <v>33266</v>
      </c>
      <c r="M3830" t="n">
        <v>39500</v>
      </c>
      <c r="N3830" t="n">
        <v>91</v>
      </c>
      <c r="O3830" t="n">
        <v>0.91</v>
      </c>
      <c r="P3830" t="n">
        <v>1</v>
      </c>
      <c r="Q3830" t="n">
        <v>0.27</v>
      </c>
      <c r="R3830" t="n">
        <v>1</v>
      </c>
      <c r="S3830" t="n">
        <v>1797.25</v>
      </c>
      <c r="T3830" t="n">
        <v>9</v>
      </c>
      <c r="U3830" t="n">
        <v>10</v>
      </c>
      <c r="V3830" t="n">
        <v>30</v>
      </c>
      <c r="W3830" t="n">
        <v>2</v>
      </c>
      <c r="X3830" t="n">
        <v>65.93406593406593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9855</v>
      </c>
      <c r="AG3830" t="n">
        <v>116</v>
      </c>
      <c r="AH3830" t="inlineStr">
        <is>
          <t>PT. ENSEVAL PUTERA MEGATRADING - PPN (PDG)</t>
        </is>
      </c>
      <c r="AI3830" t="n">
        <v>1226</v>
      </c>
      <c r="AJ3830" t="inlineStr">
        <is>
          <t>NIVEA MEN</t>
        </is>
      </c>
      <c r="AK3830" t="n">
        <v>21</v>
      </c>
      <c r="AL3830" t="inlineStr">
        <is>
          <t>Miss Glam Damar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NIVEA MEN</t>
        </is>
      </c>
      <c r="B3831" s="2">
        <f>"8999777888350"</f>
        <v/>
      </c>
      <c r="C3831" t="inlineStr">
        <is>
          <t>NIVEA MEN Dark Spot Minimizer Foam 50ml</t>
        </is>
      </c>
      <c r="D3831" t="inlineStr">
        <is>
          <t>Miss Glam Damar</t>
        </is>
      </c>
      <c r="E3831" t="n">
        <v>4</v>
      </c>
      <c r="F3831" t="n">
        <v>0.2275</v>
      </c>
      <c r="G3831" t="n">
        <v>3.64</v>
      </c>
      <c r="H3831" t="n">
        <v>4</v>
      </c>
      <c r="I3831" t="n">
        <v>9</v>
      </c>
      <c r="J3831" t="n">
        <v>3</v>
      </c>
      <c r="K3831" t="n">
        <v>0</v>
      </c>
      <c r="L3831" t="n">
        <v>22744</v>
      </c>
      <c r="M3831" t="n">
        <v>27000</v>
      </c>
      <c r="N3831" t="n">
        <v>91</v>
      </c>
      <c r="O3831" t="n">
        <v>0.91</v>
      </c>
      <c r="P3831" t="n">
        <v>1</v>
      </c>
      <c r="Q3831" t="n">
        <v>0.03</v>
      </c>
      <c r="R3831" t="n">
        <v>1</v>
      </c>
      <c r="S3831" t="n">
        <v>6142.5</v>
      </c>
      <c r="T3831" t="n">
        <v>32</v>
      </c>
      <c r="U3831" t="n">
        <v>33</v>
      </c>
      <c r="V3831" t="n">
        <v>30</v>
      </c>
      <c r="W3831" t="n">
        <v>7</v>
      </c>
      <c r="X3831" t="n">
        <v>17.58241758241758</v>
      </c>
      <c r="Y3831" t="n">
        <v>1</v>
      </c>
      <c r="Z3831" t="n">
        <v>3</v>
      </c>
      <c r="AA3831" t="n">
        <v>0</v>
      </c>
      <c r="AB3831" t="n">
        <v>3</v>
      </c>
      <c r="AC3831" t="n">
        <v>3</v>
      </c>
      <c r="AD3831" t="n">
        <v>0</v>
      </c>
      <c r="AE3831" t="n">
        <v>68232</v>
      </c>
      <c r="AF3831" t="n">
        <v>9855</v>
      </c>
      <c r="AG3831" t="n">
        <v>116</v>
      </c>
      <c r="AH3831" t="inlineStr">
        <is>
          <t>PT. ENSEVAL PUTERA MEGATRADING - PPN (PDG)</t>
        </is>
      </c>
      <c r="AI3831" t="n">
        <v>1226</v>
      </c>
      <c r="AJ3831" t="inlineStr">
        <is>
          <t>NIVEA MEN</t>
        </is>
      </c>
      <c r="AK3831" t="n">
        <v>21</v>
      </c>
      <c r="AL3831" t="inlineStr">
        <is>
          <t>Miss Glam Damar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NIVEA MEN</t>
        </is>
      </c>
      <c r="B3832" s="2">
        <f>"8999777014315"</f>
        <v/>
      </c>
      <c r="C3832" t="inlineStr">
        <is>
          <t>NIVEA Men Deep Black Charcoal Espresso Roll On 50ml</t>
        </is>
      </c>
      <c r="D3832" t="inlineStr">
        <is>
          <t>Miss Glam Damar</t>
        </is>
      </c>
      <c r="E3832" t="n">
        <v>8</v>
      </c>
      <c r="F3832" t="n">
        <v>0.182</v>
      </c>
      <c r="G3832" t="n">
        <v>1.82</v>
      </c>
      <c r="H3832" t="n">
        <v>4</v>
      </c>
      <c r="I3832" t="n">
        <v>9</v>
      </c>
      <c r="J3832" t="n">
        <v>3</v>
      </c>
      <c r="K3832" t="n">
        <v>0</v>
      </c>
      <c r="L3832" t="n">
        <v>18819</v>
      </c>
      <c r="M3832" t="n">
        <v>22500</v>
      </c>
      <c r="N3832" t="n">
        <v>91</v>
      </c>
      <c r="O3832" t="n">
        <v>0.91</v>
      </c>
      <c r="P3832" t="n">
        <v>1</v>
      </c>
      <c r="Q3832" t="n">
        <v>0.03</v>
      </c>
      <c r="R3832" t="n">
        <v>1</v>
      </c>
      <c r="S3832" t="n">
        <v>4095</v>
      </c>
      <c r="T3832" t="n">
        <v>16</v>
      </c>
      <c r="U3832" t="n">
        <v>17</v>
      </c>
      <c r="V3832" t="n">
        <v>30</v>
      </c>
      <c r="W3832" t="n">
        <v>6</v>
      </c>
      <c r="X3832" t="n">
        <v>43.95604395604395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9855</v>
      </c>
      <c r="AG3832" t="n">
        <v>116</v>
      </c>
      <c r="AH3832" t="inlineStr">
        <is>
          <t>PT. ENSEVAL PUTERA MEGATRADING - PPN (PDG)</t>
        </is>
      </c>
      <c r="AI3832" t="n">
        <v>1226</v>
      </c>
      <c r="AJ3832" t="inlineStr">
        <is>
          <t>NIVEA MEN</t>
        </is>
      </c>
      <c r="AK3832" t="n">
        <v>21</v>
      </c>
      <c r="AL3832" t="inlineStr">
        <is>
          <t>Miss Glam Damar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NIVEA MEN</t>
        </is>
      </c>
      <c r="B3833" s="2">
        <f>"8850029025315"</f>
        <v/>
      </c>
      <c r="C3833" t="inlineStr">
        <is>
          <t>NIVEA MEN Deep Darkwood Maxx Tech Spray 150ml</t>
        </is>
      </c>
      <c r="D3833" t="inlineStr">
        <is>
          <t>Miss Glam Damar</t>
        </is>
      </c>
      <c r="E3833" t="n">
        <v>0</v>
      </c>
      <c r="F3833" t="n">
        <v>0.0728</v>
      </c>
      <c r="G3833" t="n">
        <v>0.91</v>
      </c>
      <c r="H3833" t="n">
        <v>4</v>
      </c>
      <c r="I3833" t="n">
        <v>9</v>
      </c>
      <c r="J3833" t="n">
        <v>3</v>
      </c>
      <c r="K3833" t="n">
        <v>0</v>
      </c>
      <c r="L3833" t="n">
        <v>47465</v>
      </c>
      <c r="M3833" t="n">
        <v>57000</v>
      </c>
      <c r="N3833" t="n">
        <v>91</v>
      </c>
      <c r="O3833" t="n">
        <v>0.91</v>
      </c>
      <c r="P3833" t="n">
        <v>1</v>
      </c>
      <c r="Q3833" t="n">
        <v>0.14</v>
      </c>
      <c r="R3833" t="n">
        <v>1</v>
      </c>
      <c r="S3833" t="n">
        <v>4149.6</v>
      </c>
      <c r="T3833" t="n">
        <v>8</v>
      </c>
      <c r="U3833" t="n">
        <v>9</v>
      </c>
      <c r="V3833" t="n">
        <v>30</v>
      </c>
      <c r="W3833" t="n">
        <v>3</v>
      </c>
      <c r="X3833" t="n">
        <v>0</v>
      </c>
      <c r="Y3833" t="n">
        <v>1</v>
      </c>
      <c r="Z3833" t="n">
        <v>3</v>
      </c>
      <c r="AA3833" t="n">
        <v>1</v>
      </c>
      <c r="AB3833" t="n">
        <v>2</v>
      </c>
      <c r="AC3833" t="n">
        <v>3</v>
      </c>
      <c r="AD3833" t="n">
        <v>47465</v>
      </c>
      <c r="AE3833" t="n">
        <v>142395</v>
      </c>
      <c r="AF3833" t="n">
        <v>9855</v>
      </c>
      <c r="AG3833" t="n">
        <v>116</v>
      </c>
      <c r="AH3833" t="inlineStr">
        <is>
          <t>PT. ENSEVAL PUTERA MEGATRADING - PPN (PDG)</t>
        </is>
      </c>
      <c r="AI3833" t="n">
        <v>1226</v>
      </c>
      <c r="AJ3833" t="inlineStr">
        <is>
          <t>NIVEA MEN</t>
        </is>
      </c>
      <c r="AK3833" t="n">
        <v>21</v>
      </c>
      <c r="AL3833" t="inlineStr">
        <is>
          <t>Miss Glam Damar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NIVEA MEN</t>
        </is>
      </c>
      <c r="B3834" s="2">
        <f>"8999777016784"</f>
        <v/>
      </c>
      <c r="C3834" t="inlineStr">
        <is>
          <t>NIVEA Men Deodorant Cool Kick Freezy Green 50ml</t>
        </is>
      </c>
      <c r="D3834" t="inlineStr">
        <is>
          <t>Miss Glam Damar</t>
        </is>
      </c>
      <c r="E3834" t="n">
        <v>4</v>
      </c>
      <c r="F3834" t="n">
        <v>0.3367</v>
      </c>
      <c r="G3834" t="n">
        <v>3.64</v>
      </c>
      <c r="H3834" t="n">
        <v>4</v>
      </c>
      <c r="I3834" t="n">
        <v>9</v>
      </c>
      <c r="J3834" t="n">
        <v>3</v>
      </c>
      <c r="K3834" t="n">
        <v>0</v>
      </c>
      <c r="L3834" t="n">
        <v>18766</v>
      </c>
      <c r="M3834" t="n">
        <v>22500</v>
      </c>
      <c r="N3834" t="n">
        <v>91</v>
      </c>
      <c r="O3834" t="n">
        <v>0.91</v>
      </c>
      <c r="P3834" t="n">
        <v>1</v>
      </c>
      <c r="Q3834" t="n">
        <v>0.17</v>
      </c>
      <c r="R3834" t="n">
        <v>2</v>
      </c>
      <c r="S3834" t="n">
        <v>7575.75</v>
      </c>
      <c r="T3834" t="n">
        <v>32</v>
      </c>
      <c r="U3834" t="n">
        <v>34</v>
      </c>
      <c r="V3834" t="n">
        <v>30</v>
      </c>
      <c r="W3834" t="n">
        <v>11</v>
      </c>
      <c r="X3834" t="n">
        <v>11.88001188001188</v>
      </c>
      <c r="Y3834" t="n">
        <v>1</v>
      </c>
      <c r="Z3834" t="n">
        <v>7</v>
      </c>
      <c r="AA3834" t="n">
        <v>0</v>
      </c>
      <c r="AB3834" t="n">
        <v>7</v>
      </c>
      <c r="AC3834" t="n">
        <v>7</v>
      </c>
      <c r="AD3834" t="n">
        <v>0</v>
      </c>
      <c r="AE3834" t="n">
        <v>131362</v>
      </c>
      <c r="AF3834" t="n">
        <v>9855</v>
      </c>
      <c r="AG3834" t="n">
        <v>116</v>
      </c>
      <c r="AH3834" t="inlineStr">
        <is>
          <t>PT. ENSEVAL PUTERA MEGATRADING - PPN (PDG)</t>
        </is>
      </c>
      <c r="AI3834" t="n">
        <v>1226</v>
      </c>
      <c r="AJ3834" t="inlineStr">
        <is>
          <t>NIVEA MEN</t>
        </is>
      </c>
      <c r="AK3834" t="n">
        <v>21</v>
      </c>
      <c r="AL3834" t="inlineStr">
        <is>
          <t>Miss Glam Damar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NIVEA MEN</t>
        </is>
      </c>
      <c r="B3835" s="2">
        <f>"8999777010591"</f>
        <v/>
      </c>
      <c r="C3835" t="inlineStr">
        <is>
          <t>NIVEA MEN Deodorant Deep Roll On 25ml</t>
        </is>
      </c>
      <c r="D3835" t="inlineStr">
        <is>
          <t>Miss Glam Damar</t>
        </is>
      </c>
      <c r="E3835" t="n">
        <v>22</v>
      </c>
      <c r="F3835" t="n">
        <v>0.2639</v>
      </c>
      <c r="G3835" t="n">
        <v>3.64</v>
      </c>
      <c r="H3835" t="n">
        <v>4</v>
      </c>
      <c r="I3835" t="n">
        <v>9</v>
      </c>
      <c r="J3835" t="n">
        <v>3</v>
      </c>
      <c r="K3835" t="n">
        <v>0</v>
      </c>
      <c r="L3835" t="n">
        <v>12075</v>
      </c>
      <c r="M3835" t="n">
        <v>14500</v>
      </c>
      <c r="N3835" t="n">
        <v>91</v>
      </c>
      <c r="O3835" t="n">
        <v>0.91</v>
      </c>
      <c r="P3835" t="n">
        <v>1</v>
      </c>
      <c r="Q3835" t="n">
        <v>0.24</v>
      </c>
      <c r="R3835" t="n">
        <v>2</v>
      </c>
      <c r="S3835" t="n">
        <v>3826.55</v>
      </c>
      <c r="T3835" t="n">
        <v>32</v>
      </c>
      <c r="U3835" t="n">
        <v>34</v>
      </c>
      <c r="V3835" t="n">
        <v>30</v>
      </c>
      <c r="W3835" t="n">
        <v>8</v>
      </c>
      <c r="X3835" t="n">
        <v>83.36491095111786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9855</v>
      </c>
      <c r="AG3835" t="n">
        <v>116</v>
      </c>
      <c r="AH3835" t="inlineStr">
        <is>
          <t>PT. ENSEVAL PUTERA MEGATRADING - PPN (PDG)</t>
        </is>
      </c>
      <c r="AI3835" t="n">
        <v>1226</v>
      </c>
      <c r="AJ3835" t="inlineStr">
        <is>
          <t>NIVEA MEN</t>
        </is>
      </c>
      <c r="AK3835" t="n">
        <v>21</v>
      </c>
      <c r="AL3835" t="inlineStr">
        <is>
          <t>Miss Glam Damar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NIVEA MEN</t>
        </is>
      </c>
      <c r="B3836" s="2">
        <f>"11000703157"</f>
        <v/>
      </c>
      <c r="C3836" t="inlineStr">
        <is>
          <t>NIVEA MEN Derma Control Defend Anti-Perspirant Roll On 50ml</t>
        </is>
      </c>
      <c r="D3836" t="inlineStr">
        <is>
          <t>Miss Glam Damar</t>
        </is>
      </c>
      <c r="E3836" t="n">
        <v>1</v>
      </c>
      <c r="F3836" t="n">
        <v>0.2002</v>
      </c>
      <c r="G3836" t="n">
        <v>1.82</v>
      </c>
      <c r="H3836" t="n">
        <v>4</v>
      </c>
      <c r="I3836" t="n">
        <v>9</v>
      </c>
      <c r="J3836" t="n">
        <v>1</v>
      </c>
      <c r="K3836" t="n">
        <v>0</v>
      </c>
      <c r="L3836" t="n">
        <v>19980</v>
      </c>
      <c r="M3836" t="n">
        <v>24000</v>
      </c>
      <c r="N3836" t="n">
        <v>91</v>
      </c>
      <c r="O3836" t="n">
        <v>0.91</v>
      </c>
      <c r="P3836" t="n">
        <v>1</v>
      </c>
      <c r="Q3836" t="n">
        <v>0.14</v>
      </c>
      <c r="R3836" t="n">
        <v>2</v>
      </c>
      <c r="S3836" t="n">
        <v>4804.8</v>
      </c>
      <c r="T3836" t="n">
        <v>16</v>
      </c>
      <c r="U3836" t="n">
        <v>17</v>
      </c>
      <c r="V3836" t="n">
        <v>30</v>
      </c>
      <c r="W3836" t="n">
        <v>7</v>
      </c>
      <c r="X3836" t="n">
        <v>4.995004995004995</v>
      </c>
      <c r="Y3836" t="n">
        <v>1</v>
      </c>
      <c r="Z3836" t="n">
        <v>6</v>
      </c>
      <c r="AA3836" t="n">
        <v>1</v>
      </c>
      <c r="AB3836" t="n">
        <v>5</v>
      </c>
      <c r="AC3836" t="n">
        <v>5</v>
      </c>
      <c r="AD3836" t="n">
        <v>19980</v>
      </c>
      <c r="AE3836" t="n">
        <v>99900</v>
      </c>
      <c r="AF3836" t="n">
        <v>9855</v>
      </c>
      <c r="AG3836" t="n">
        <v>116</v>
      </c>
      <c r="AH3836" t="inlineStr">
        <is>
          <t>PT. ENSEVAL PUTERA MEGATRADING - PPN (PDG)</t>
        </is>
      </c>
      <c r="AI3836" t="n">
        <v>1226</v>
      </c>
      <c r="AJ3836" t="inlineStr">
        <is>
          <t>NIVEA MEN</t>
        </is>
      </c>
      <c r="AK3836" t="n">
        <v>21</v>
      </c>
      <c r="AL3836" t="inlineStr">
        <is>
          <t>Miss Glam Damar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NIVEA MEN</t>
        </is>
      </c>
      <c r="B3837" s="2">
        <f>"8999777007270"</f>
        <v/>
      </c>
      <c r="C3837" t="inlineStr">
        <is>
          <t>NIVEA MEN Dry Impact Deodorant 50ml</t>
        </is>
      </c>
      <c r="D3837" t="inlineStr">
        <is>
          <t>Miss Glam Damar</t>
        </is>
      </c>
      <c r="E3837" t="n">
        <v>2</v>
      </c>
      <c r="F3837" t="n">
        <v>0.0728</v>
      </c>
      <c r="G3837" t="n">
        <v>0.91</v>
      </c>
      <c r="H3837" t="n">
        <v>4</v>
      </c>
      <c r="I3837" t="n">
        <v>9</v>
      </c>
      <c r="J3837" t="n">
        <v>3</v>
      </c>
      <c r="K3837" t="n">
        <v>0</v>
      </c>
      <c r="L3837" t="n">
        <v>18302</v>
      </c>
      <c r="M3837" t="n">
        <v>22000</v>
      </c>
      <c r="N3837" t="n">
        <v>91</v>
      </c>
      <c r="O3837" t="n">
        <v>0.91</v>
      </c>
      <c r="P3837" t="n">
        <v>1</v>
      </c>
      <c r="Q3837" t="n">
        <v>0.07000000000000001</v>
      </c>
      <c r="R3837" t="n">
        <v>1</v>
      </c>
      <c r="S3837" t="n">
        <v>1601.6</v>
      </c>
      <c r="T3837" t="n">
        <v>8</v>
      </c>
      <c r="U3837" t="n">
        <v>9</v>
      </c>
      <c r="V3837" t="n">
        <v>30</v>
      </c>
      <c r="W3837" t="n">
        <v>3</v>
      </c>
      <c r="X3837" t="n">
        <v>27.47252747252747</v>
      </c>
      <c r="Y3837" t="n">
        <v>1</v>
      </c>
      <c r="Z3837" t="n">
        <v>1</v>
      </c>
      <c r="AA3837" t="n">
        <v>0</v>
      </c>
      <c r="AB3837" t="n">
        <v>1</v>
      </c>
      <c r="AC3837" t="n">
        <v>3</v>
      </c>
      <c r="AD3837" t="n">
        <v>0</v>
      </c>
      <c r="AE3837" t="n">
        <v>54906</v>
      </c>
      <c r="AF3837" t="n">
        <v>9855</v>
      </c>
      <c r="AG3837" t="n">
        <v>116</v>
      </c>
      <c r="AH3837" t="inlineStr">
        <is>
          <t>PT. ENSEVAL PUTERA MEGATRADING - PPN (PDG)</t>
        </is>
      </c>
      <c r="AI3837" t="n">
        <v>1226</v>
      </c>
      <c r="AJ3837" t="inlineStr">
        <is>
          <t>NIVEA MEN</t>
        </is>
      </c>
      <c r="AK3837" t="n">
        <v>21</v>
      </c>
      <c r="AL3837" t="inlineStr">
        <is>
          <t>Miss Glam Damar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NIVEA MEN</t>
        </is>
      </c>
      <c r="B3838" s="2">
        <f>"8999777007355"</f>
        <v/>
      </c>
      <c r="C3838" t="inlineStr">
        <is>
          <t>NIVEA MEN Fresh Active Deodorant Roll On 50ml</t>
        </is>
      </c>
      <c r="D3838" t="inlineStr">
        <is>
          <t>Miss Glam Damar</t>
        </is>
      </c>
      <c r="E3838" t="n">
        <v>10</v>
      </c>
      <c r="F3838" t="n">
        <v>0.3549</v>
      </c>
      <c r="G3838" t="n">
        <v>1.82</v>
      </c>
      <c r="H3838" t="n">
        <v>4</v>
      </c>
      <c r="I3838" t="n">
        <v>9</v>
      </c>
      <c r="J3838" t="n">
        <v>3</v>
      </c>
      <c r="K3838" t="n">
        <v>0</v>
      </c>
      <c r="L3838" t="n">
        <v>18819</v>
      </c>
      <c r="M3838" t="n">
        <v>22500</v>
      </c>
      <c r="N3838" t="n">
        <v>91</v>
      </c>
      <c r="O3838" t="n">
        <v>0.91</v>
      </c>
      <c r="P3838" t="n">
        <v>1</v>
      </c>
      <c r="Q3838" t="n">
        <v>0.37</v>
      </c>
      <c r="R3838" t="n">
        <v>2</v>
      </c>
      <c r="S3838" t="n">
        <v>7985.250000000001</v>
      </c>
      <c r="T3838" t="n">
        <v>15</v>
      </c>
      <c r="U3838" t="n">
        <v>17</v>
      </c>
      <c r="V3838" t="n">
        <v>30</v>
      </c>
      <c r="W3838" t="n">
        <v>11</v>
      </c>
      <c r="X3838" t="n">
        <v>28.17695125387433</v>
      </c>
      <c r="Y3838" t="n">
        <v>1</v>
      </c>
      <c r="Z3838" t="n">
        <v>1</v>
      </c>
      <c r="AA3838" t="n">
        <v>0</v>
      </c>
      <c r="AB3838" t="n">
        <v>1</v>
      </c>
      <c r="AC3838" t="n">
        <v>3</v>
      </c>
      <c r="AD3838" t="n">
        <v>0</v>
      </c>
      <c r="AE3838" t="n">
        <v>56457</v>
      </c>
      <c r="AF3838" t="n">
        <v>9855</v>
      </c>
      <c r="AG3838" t="n">
        <v>116</v>
      </c>
      <c r="AH3838" t="inlineStr">
        <is>
          <t>PT. ENSEVAL PUTERA MEGATRADING - PPN (PDG)</t>
        </is>
      </c>
      <c r="AI3838" t="n">
        <v>1226</v>
      </c>
      <c r="AJ3838" t="inlineStr">
        <is>
          <t>NIVEA MEN</t>
        </is>
      </c>
      <c r="AK3838" t="n">
        <v>21</v>
      </c>
      <c r="AL3838" t="inlineStr">
        <is>
          <t>Miss Glam Damar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NIVEA MEN</t>
        </is>
      </c>
      <c r="B3839" s="2">
        <f>"8999777004552"</f>
        <v/>
      </c>
      <c r="C3839" t="inlineStr">
        <is>
          <t>NIVEA MEN Roll On Black &amp; White Invisible Original 50ml</t>
        </is>
      </c>
      <c r="D3839" t="inlineStr">
        <is>
          <t>Miss Glam Damar</t>
        </is>
      </c>
      <c r="E3839" t="n">
        <v>4</v>
      </c>
      <c r="F3839" t="n">
        <v>0.4641</v>
      </c>
      <c r="G3839" t="n">
        <v>1.82</v>
      </c>
      <c r="H3839" t="n">
        <v>4</v>
      </c>
      <c r="I3839" t="n">
        <v>9</v>
      </c>
      <c r="J3839" t="n">
        <v>3</v>
      </c>
      <c r="K3839" t="n">
        <v>0</v>
      </c>
      <c r="L3839" t="n">
        <v>18813</v>
      </c>
      <c r="M3839" t="n">
        <v>23000</v>
      </c>
      <c r="N3839" t="n">
        <v>91</v>
      </c>
      <c r="O3839" t="n">
        <v>0.91</v>
      </c>
      <c r="P3839" t="n">
        <v>1</v>
      </c>
      <c r="Q3839" t="n">
        <v>0.41</v>
      </c>
      <c r="R3839" t="n">
        <v>2</v>
      </c>
      <c r="S3839" t="n">
        <v>10674.3</v>
      </c>
      <c r="T3839" t="n">
        <v>15</v>
      </c>
      <c r="U3839" t="n">
        <v>17</v>
      </c>
      <c r="V3839" t="n">
        <v>30</v>
      </c>
      <c r="W3839" t="n">
        <v>14</v>
      </c>
      <c r="X3839" t="n">
        <v>8.618832148243913</v>
      </c>
      <c r="Y3839" t="n">
        <v>1</v>
      </c>
      <c r="Z3839" t="n">
        <v>10</v>
      </c>
      <c r="AA3839" t="n">
        <v>1</v>
      </c>
      <c r="AB3839" t="n">
        <v>9</v>
      </c>
      <c r="AC3839" t="n">
        <v>9</v>
      </c>
      <c r="AD3839" t="n">
        <v>18813</v>
      </c>
      <c r="AE3839" t="n">
        <v>169317</v>
      </c>
      <c r="AF3839" t="n">
        <v>9855</v>
      </c>
      <c r="AG3839" t="n">
        <v>116</v>
      </c>
      <c r="AH3839" t="inlineStr">
        <is>
          <t>PT. ENSEVAL PUTERA MEGATRADING - PPN (PDG)</t>
        </is>
      </c>
      <c r="AI3839" t="n">
        <v>1226</v>
      </c>
      <c r="AJ3839" t="inlineStr">
        <is>
          <t>NIVEA MEN</t>
        </is>
      </c>
      <c r="AK3839" t="n">
        <v>21</v>
      </c>
      <c r="AL3839" t="inlineStr">
        <is>
          <t>Miss Glam Damar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NIVEA MEN</t>
        </is>
      </c>
      <c r="B3840" s="2">
        <f>"8999777004484"</f>
        <v/>
      </c>
      <c r="C3840" t="inlineStr">
        <is>
          <t>NIVEA MEN Roll On Cool Kick Cool Blue 50ml</t>
        </is>
      </c>
      <c r="D3840" t="inlineStr">
        <is>
          <t>Miss Glam Damar</t>
        </is>
      </c>
      <c r="E3840" t="n">
        <v>3</v>
      </c>
      <c r="F3840" t="n">
        <v>0.14</v>
      </c>
      <c r="G3840" t="n">
        <v>1</v>
      </c>
      <c r="H3840" t="n">
        <v>4</v>
      </c>
      <c r="I3840" t="n">
        <v>9</v>
      </c>
      <c r="J3840" t="n">
        <v>3</v>
      </c>
      <c r="K3840" t="n">
        <v>0</v>
      </c>
      <c r="L3840" t="n">
        <v>18808</v>
      </c>
      <c r="M3840" t="n">
        <v>22500</v>
      </c>
      <c r="N3840" t="n">
        <v>91</v>
      </c>
      <c r="O3840" t="n">
        <v>0.91</v>
      </c>
      <c r="P3840" t="n">
        <v>0</v>
      </c>
      <c r="Q3840" t="n">
        <v>0.14</v>
      </c>
      <c r="R3840" t="n">
        <v>1</v>
      </c>
      <c r="S3840" t="n">
        <v>3150</v>
      </c>
      <c r="T3840" t="n">
        <v>9</v>
      </c>
      <c r="U3840" t="n">
        <v>10</v>
      </c>
      <c r="V3840" t="n">
        <v>30</v>
      </c>
      <c r="W3840" t="n">
        <v>5</v>
      </c>
      <c r="X3840" t="n">
        <v>21.42857142857143</v>
      </c>
      <c r="Y3840" t="n">
        <v>1</v>
      </c>
      <c r="Z3840" t="n">
        <v>2</v>
      </c>
      <c r="AA3840" t="n">
        <v>0</v>
      </c>
      <c r="AB3840" t="n">
        <v>2</v>
      </c>
      <c r="AC3840" t="n">
        <v>3</v>
      </c>
      <c r="AD3840" t="n">
        <v>0</v>
      </c>
      <c r="AE3840" t="n">
        <v>56424</v>
      </c>
      <c r="AF3840" t="n">
        <v>9855</v>
      </c>
      <c r="AG3840" t="n">
        <v>116</v>
      </c>
      <c r="AH3840" t="inlineStr">
        <is>
          <t>PT. ENSEVAL PUTERA MEGATRADING - PPN (PDG)</t>
        </is>
      </c>
      <c r="AI3840" t="n">
        <v>1226</v>
      </c>
      <c r="AJ3840" t="inlineStr">
        <is>
          <t>NIVEA MEN</t>
        </is>
      </c>
      <c r="AK3840" t="n">
        <v>21</v>
      </c>
      <c r="AL3840" t="inlineStr">
        <is>
          <t>Miss Glam Damar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NIVEA MEN</t>
        </is>
      </c>
      <c r="B3841" s="2">
        <f>"8999777010638"</f>
        <v/>
      </c>
      <c r="C3841" t="inlineStr">
        <is>
          <t>NIVEA Men Roll On Deep Darkwood 50ml</t>
        </is>
      </c>
      <c r="D3841" t="inlineStr">
        <is>
          <t>Miss Glam Damar</t>
        </is>
      </c>
      <c r="E3841" t="n">
        <v>4</v>
      </c>
      <c r="F3841" t="n">
        <v>0.3549</v>
      </c>
      <c r="G3841" t="n">
        <v>1.82</v>
      </c>
      <c r="H3841" t="n">
        <v>4</v>
      </c>
      <c r="I3841" t="n">
        <v>9</v>
      </c>
      <c r="J3841" t="n">
        <v>3</v>
      </c>
      <c r="K3841" t="n">
        <v>0</v>
      </c>
      <c r="L3841" t="n">
        <v>18820</v>
      </c>
      <c r="M3841" t="n">
        <v>22500</v>
      </c>
      <c r="N3841" t="n">
        <v>91</v>
      </c>
      <c r="O3841" t="n">
        <v>0.91</v>
      </c>
      <c r="P3841" t="n">
        <v>1</v>
      </c>
      <c r="Q3841" t="n">
        <v>0.17</v>
      </c>
      <c r="R3841" t="n">
        <v>2</v>
      </c>
      <c r="S3841" t="n">
        <v>7985.250000000001</v>
      </c>
      <c r="T3841" t="n">
        <v>15</v>
      </c>
      <c r="U3841" t="n">
        <v>17</v>
      </c>
      <c r="V3841" t="n">
        <v>30</v>
      </c>
      <c r="W3841" t="n">
        <v>11</v>
      </c>
      <c r="X3841" t="n">
        <v>11.27078050154973</v>
      </c>
      <c r="Y3841" t="n">
        <v>1</v>
      </c>
      <c r="Z3841" t="n">
        <v>7</v>
      </c>
      <c r="AA3841" t="n">
        <v>0</v>
      </c>
      <c r="AB3841" t="n">
        <v>7</v>
      </c>
      <c r="AC3841" t="n">
        <v>7</v>
      </c>
      <c r="AD3841" t="n">
        <v>0</v>
      </c>
      <c r="AE3841" t="n">
        <v>131740</v>
      </c>
      <c r="AF3841" t="n">
        <v>9855</v>
      </c>
      <c r="AG3841" t="n">
        <v>116</v>
      </c>
      <c r="AH3841" t="inlineStr">
        <is>
          <t>PT. ENSEVAL PUTERA MEGATRADING - PPN (PDG)</t>
        </is>
      </c>
      <c r="AI3841" t="n">
        <v>1226</v>
      </c>
      <c r="AJ3841" t="inlineStr">
        <is>
          <t>NIVEA MEN</t>
        </is>
      </c>
      <c r="AK3841" t="n">
        <v>21</v>
      </c>
      <c r="AL3841" t="inlineStr">
        <is>
          <t>Miss Glam Damar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NIVEA MEN</t>
        </is>
      </c>
      <c r="B3842" s="2">
        <f>"8999777004613"</f>
        <v/>
      </c>
      <c r="C3842" t="inlineStr">
        <is>
          <t>NIVEA MEN Roll On Silver Protect 50ml</t>
        </is>
      </c>
      <c r="D3842" t="inlineStr">
        <is>
          <t>Miss Glam Damar</t>
        </is>
      </c>
      <c r="E3842" t="n">
        <v>4</v>
      </c>
      <c r="F3842" t="n">
        <v>0.1365</v>
      </c>
      <c r="G3842" t="n">
        <v>1.82</v>
      </c>
      <c r="H3842" t="n">
        <v>4</v>
      </c>
      <c r="I3842" t="n">
        <v>9</v>
      </c>
      <c r="J3842" t="n">
        <v>3</v>
      </c>
      <c r="K3842" t="n">
        <v>0</v>
      </c>
      <c r="L3842" t="n">
        <v>19107</v>
      </c>
      <c r="M3842" t="n">
        <v>22500</v>
      </c>
      <c r="N3842" t="n">
        <v>91</v>
      </c>
      <c r="O3842" t="n">
        <v>0.91</v>
      </c>
      <c r="P3842" t="n">
        <v>1</v>
      </c>
      <c r="Q3842" t="n">
        <v>0.12</v>
      </c>
      <c r="R3842" t="n">
        <v>1</v>
      </c>
      <c r="S3842" t="n">
        <v>3071.25</v>
      </c>
      <c r="T3842" t="n">
        <v>16</v>
      </c>
      <c r="U3842" t="n">
        <v>17</v>
      </c>
      <c r="V3842" t="n">
        <v>30</v>
      </c>
      <c r="W3842" t="n">
        <v>5</v>
      </c>
      <c r="X3842" t="n">
        <v>29.3040293040293</v>
      </c>
      <c r="Y3842" t="n">
        <v>1</v>
      </c>
      <c r="Z3842" t="n">
        <v>1</v>
      </c>
      <c r="AA3842" t="n">
        <v>0</v>
      </c>
      <c r="AB3842" t="n">
        <v>1</v>
      </c>
      <c r="AC3842" t="n">
        <v>3</v>
      </c>
      <c r="AD3842" t="n">
        <v>0</v>
      </c>
      <c r="AE3842" t="n">
        <v>57321</v>
      </c>
      <c r="AF3842" t="n">
        <v>9855</v>
      </c>
      <c r="AG3842" t="n">
        <v>116</v>
      </c>
      <c r="AH3842" t="inlineStr">
        <is>
          <t>PT. ENSEVAL PUTERA MEGATRADING - PPN (PDG)</t>
        </is>
      </c>
      <c r="AI3842" t="n">
        <v>1226</v>
      </c>
      <c r="AJ3842" t="inlineStr">
        <is>
          <t>NIVEA MEN</t>
        </is>
      </c>
      <c r="AK3842" t="n">
        <v>21</v>
      </c>
      <c r="AL3842" t="inlineStr">
        <is>
          <t>Miss Glam Damar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NIVEA MEN</t>
        </is>
      </c>
      <c r="B3843" s="2">
        <f>"8999777002954"</f>
        <v/>
      </c>
      <c r="C3843" t="inlineStr">
        <is>
          <t>NIVEA MEN White Oil Control Facial Scrub 100ml</t>
        </is>
      </c>
      <c r="D3843" t="inlineStr">
        <is>
          <t>Miss Glam Damar</t>
        </is>
      </c>
      <c r="E3843" t="n">
        <v>1</v>
      </c>
      <c r="F3843" t="n">
        <v>0.08</v>
      </c>
      <c r="G3843" t="n">
        <v>1</v>
      </c>
      <c r="H3843" t="n">
        <v>4</v>
      </c>
      <c r="I3843" t="n">
        <v>9</v>
      </c>
      <c r="J3843" t="n">
        <v>3</v>
      </c>
      <c r="K3843" t="n">
        <v>0</v>
      </c>
      <c r="L3843" t="n">
        <v>33287</v>
      </c>
      <c r="M3843" t="n">
        <v>39500</v>
      </c>
      <c r="N3843" t="n">
        <v>91</v>
      </c>
      <c r="O3843" t="n">
        <v>0.91</v>
      </c>
      <c r="P3843" t="n">
        <v>0</v>
      </c>
      <c r="Q3843" t="n">
        <v>0.08</v>
      </c>
      <c r="R3843" t="n">
        <v>1</v>
      </c>
      <c r="S3843" t="n">
        <v>3160</v>
      </c>
      <c r="T3843" t="n">
        <v>9</v>
      </c>
      <c r="U3843" t="n">
        <v>10</v>
      </c>
      <c r="V3843" t="n">
        <v>30</v>
      </c>
      <c r="W3843" t="n">
        <v>3</v>
      </c>
      <c r="X3843" t="n">
        <v>12.5</v>
      </c>
      <c r="Y3843" t="n">
        <v>1</v>
      </c>
      <c r="Z3843" t="n">
        <v>2</v>
      </c>
      <c r="AA3843" t="n">
        <v>0</v>
      </c>
      <c r="AB3843" t="n">
        <v>2</v>
      </c>
      <c r="AC3843" t="n">
        <v>3</v>
      </c>
      <c r="AD3843" t="n">
        <v>0</v>
      </c>
      <c r="AE3843" t="n">
        <v>99861</v>
      </c>
      <c r="AF3843" t="n">
        <v>9855</v>
      </c>
      <c r="AG3843" t="n">
        <v>116</v>
      </c>
      <c r="AH3843" t="inlineStr">
        <is>
          <t>PT. ENSEVAL PUTERA MEGATRADING - PPN (PDG)</t>
        </is>
      </c>
      <c r="AI3843" t="n">
        <v>1226</v>
      </c>
      <c r="AJ3843" t="inlineStr">
        <is>
          <t>NIVEA MEN</t>
        </is>
      </c>
      <c r="AK3843" t="n">
        <v>21</v>
      </c>
      <c r="AL3843" t="inlineStr">
        <is>
          <t>Miss Glam Damar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NIVEA MEN</t>
        </is>
      </c>
      <c r="B3844" s="2">
        <f>"8999777010881"</f>
        <v/>
      </c>
      <c r="C3844" t="inlineStr">
        <is>
          <t>NIVEA MEN-Black &amp; White Invisible Fresh Deodorant Roll On 50ml</t>
        </is>
      </c>
      <c r="D3844" t="inlineStr">
        <is>
          <t>Miss Glam Damar</t>
        </is>
      </c>
      <c r="E3844" t="n">
        <v>8</v>
      </c>
      <c r="F3844" t="n">
        <v>0.3822</v>
      </c>
      <c r="G3844" t="n">
        <v>1.82</v>
      </c>
      <c r="H3844" t="n">
        <v>4</v>
      </c>
      <c r="I3844" t="n">
        <v>9</v>
      </c>
      <c r="J3844" t="n">
        <v>3</v>
      </c>
      <c r="K3844" t="n">
        <v>0</v>
      </c>
      <c r="L3844" t="n">
        <v>18820</v>
      </c>
      <c r="M3844" t="n">
        <v>23000</v>
      </c>
      <c r="N3844" t="n">
        <v>91</v>
      </c>
      <c r="O3844" t="n">
        <v>0.91</v>
      </c>
      <c r="P3844" t="n">
        <v>1</v>
      </c>
      <c r="Q3844" t="n">
        <v>0.29</v>
      </c>
      <c r="R3844" t="n">
        <v>2</v>
      </c>
      <c r="S3844" t="n">
        <v>8790.6</v>
      </c>
      <c r="T3844" t="n">
        <v>15</v>
      </c>
      <c r="U3844" t="n">
        <v>17</v>
      </c>
      <c r="V3844" t="n">
        <v>30</v>
      </c>
      <c r="W3844" t="n">
        <v>12</v>
      </c>
      <c r="X3844" t="n">
        <v>20.93144950287807</v>
      </c>
      <c r="Y3844" t="n">
        <v>1</v>
      </c>
      <c r="Z3844" t="n">
        <v>4</v>
      </c>
      <c r="AA3844" t="n">
        <v>0</v>
      </c>
      <c r="AB3844" t="n">
        <v>4</v>
      </c>
      <c r="AC3844" t="n">
        <v>4</v>
      </c>
      <c r="AD3844" t="n">
        <v>0</v>
      </c>
      <c r="AE3844" t="n">
        <v>75280</v>
      </c>
      <c r="AF3844" t="n">
        <v>9855</v>
      </c>
      <c r="AG3844" t="n">
        <v>116</v>
      </c>
      <c r="AH3844" t="inlineStr">
        <is>
          <t>PT. ENSEVAL PUTERA MEGATRADING - PPN (PDG)</t>
        </is>
      </c>
      <c r="AI3844" t="n">
        <v>1226</v>
      </c>
      <c r="AJ3844" t="inlineStr">
        <is>
          <t>NIVEA MEN</t>
        </is>
      </c>
      <c r="AK3844" t="n">
        <v>21</v>
      </c>
      <c r="AL3844" t="inlineStr">
        <is>
          <t>Miss Glam Damar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NOERA</t>
        </is>
      </c>
      <c r="B3845" s="2">
        <f>"30700101939"</f>
        <v/>
      </c>
      <c r="C3845" t="inlineStr">
        <is>
          <t>NOERA Exfoliating Foot Mask 40gr</t>
        </is>
      </c>
      <c r="D3845" t="inlineStr">
        <is>
          <t>Miss Glam Damar</t>
        </is>
      </c>
      <c r="E3845" t="n">
        <v>9</v>
      </c>
      <c r="F3845" t="n">
        <v>0.06370000000000001</v>
      </c>
      <c r="G3845" t="n">
        <v>0.91</v>
      </c>
      <c r="H3845" t="n">
        <v>4</v>
      </c>
      <c r="I3845" t="n">
        <v>21</v>
      </c>
      <c r="J3845" t="n">
        <v>3</v>
      </c>
      <c r="K3845" t="n">
        <v>9</v>
      </c>
      <c r="L3845" t="n">
        <v>46350</v>
      </c>
      <c r="M3845" t="n">
        <v>75800</v>
      </c>
      <c r="N3845" t="n">
        <v>91</v>
      </c>
      <c r="O3845" t="n">
        <v>0.91</v>
      </c>
      <c r="P3845" t="n">
        <v>1</v>
      </c>
      <c r="Q3845" t="n">
        <v>0.19</v>
      </c>
      <c r="R3845" t="n">
        <v>3</v>
      </c>
      <c r="S3845" t="n">
        <v>4828.460000000001</v>
      </c>
      <c r="T3845" t="n">
        <v>19</v>
      </c>
      <c r="U3845" t="n">
        <v>20</v>
      </c>
      <c r="V3845" t="n">
        <v>30</v>
      </c>
      <c r="W3845" t="n">
        <v>2</v>
      </c>
      <c r="X3845" t="n">
        <v>141.287284144427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7180</v>
      </c>
      <c r="AG3845" t="n">
        <v>1</v>
      </c>
      <c r="AH3845" t="inlineStr">
        <is>
          <t>PT. BERSAMA DISTRIVERSA INDONESIA (DC CIPUTAT)</t>
        </is>
      </c>
      <c r="AI3845" t="n">
        <v>686</v>
      </c>
      <c r="AJ3845" t="inlineStr">
        <is>
          <t>NOERA</t>
        </is>
      </c>
      <c r="AK3845" t="n">
        <v>21</v>
      </c>
      <c r="AL3845" t="inlineStr">
        <is>
          <t>Miss Glam Damar</t>
        </is>
      </c>
      <c r="AM3845" t="n">
        <v>3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NOERA</t>
        </is>
      </c>
      <c r="B3846" s="2">
        <f>"60100211825"</f>
        <v/>
      </c>
      <c r="C3846" t="inlineStr">
        <is>
          <t>NOERA Minuman Serbuk Rasa Stroberi dengan Kolagen 105gr</t>
        </is>
      </c>
      <c r="D3846" t="inlineStr">
        <is>
          <t>Miss Glam Damar</t>
        </is>
      </c>
      <c r="E3846" t="n">
        <v>3</v>
      </c>
      <c r="F3846" t="n">
        <v>0.0273</v>
      </c>
      <c r="G3846" t="n">
        <v>0.91</v>
      </c>
      <c r="H3846" t="n">
        <v>4</v>
      </c>
      <c r="I3846" t="n">
        <v>21</v>
      </c>
      <c r="J3846" t="n">
        <v>3</v>
      </c>
      <c r="K3846" t="n">
        <v>3</v>
      </c>
      <c r="L3846" t="n">
        <v>97850</v>
      </c>
      <c r="M3846" t="n">
        <v>125000</v>
      </c>
      <c r="N3846" t="n">
        <v>91</v>
      </c>
      <c r="O3846" t="n">
        <v>0.91</v>
      </c>
      <c r="P3846" t="n">
        <v>1</v>
      </c>
      <c r="Q3846" t="n">
        <v>0.02</v>
      </c>
      <c r="R3846" t="n">
        <v>1</v>
      </c>
      <c r="S3846" t="n">
        <v>3412.5</v>
      </c>
      <c r="T3846" t="n">
        <v>20</v>
      </c>
      <c r="U3846" t="n">
        <v>21</v>
      </c>
      <c r="V3846" t="n">
        <v>30</v>
      </c>
      <c r="W3846" t="n">
        <v>1</v>
      </c>
      <c r="X3846" t="n">
        <v>109.8901098901099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7180</v>
      </c>
      <c r="AG3846" t="n">
        <v>1</v>
      </c>
      <c r="AH3846" t="inlineStr">
        <is>
          <t>PT. BERSAMA DISTRIVERSA INDONESIA (DC CIPUTAT)</t>
        </is>
      </c>
      <c r="AI3846" t="n">
        <v>686</v>
      </c>
      <c r="AJ3846" t="inlineStr">
        <is>
          <t>NOERA</t>
        </is>
      </c>
      <c r="AK3846" t="n">
        <v>21</v>
      </c>
      <c r="AL3846" t="inlineStr">
        <is>
          <t>Miss Glam Damar</t>
        </is>
      </c>
      <c r="AM3846" t="n">
        <v>3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NOERA</t>
        </is>
      </c>
      <c r="B3847" s="2">
        <f>"8997027257482"</f>
        <v/>
      </c>
      <c r="C3847" t="inlineStr">
        <is>
          <t>NOERA Watermelon Lip Scrub 5gr</t>
        </is>
      </c>
      <c r="D3847" t="inlineStr">
        <is>
          <t>Miss Glam Damar</t>
        </is>
      </c>
      <c r="E3847" t="n">
        <v>20</v>
      </c>
      <c r="F3847" t="n">
        <v>0.1092</v>
      </c>
      <c r="G3847" t="n">
        <v>0.91</v>
      </c>
      <c r="H3847" t="n">
        <v>4</v>
      </c>
      <c r="I3847" t="n">
        <v>21</v>
      </c>
      <c r="J3847" t="n">
        <v>3</v>
      </c>
      <c r="K3847" t="n">
        <v>0</v>
      </c>
      <c r="L3847" t="n">
        <v>45252</v>
      </c>
      <c r="M3847" t="n">
        <v>59000</v>
      </c>
      <c r="N3847" t="n">
        <v>91</v>
      </c>
      <c r="O3847" t="n">
        <v>0.91</v>
      </c>
      <c r="P3847" t="n">
        <v>1</v>
      </c>
      <c r="Q3847" t="n">
        <v>0.05</v>
      </c>
      <c r="R3847" t="n">
        <v>1</v>
      </c>
      <c r="S3847" t="n">
        <v>6442.8</v>
      </c>
      <c r="T3847" t="n">
        <v>19</v>
      </c>
      <c r="U3847" t="n">
        <v>20</v>
      </c>
      <c r="V3847" t="n">
        <v>30</v>
      </c>
      <c r="W3847" t="n">
        <v>4</v>
      </c>
      <c r="X3847" t="n">
        <v>183.1501831501832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7180</v>
      </c>
      <c r="AG3847" t="n">
        <v>1</v>
      </c>
      <c r="AH3847" t="inlineStr">
        <is>
          <t>PT. BERSAMA DISTRIVERSA INDONESIA (DC CIPUTAT)</t>
        </is>
      </c>
      <c r="AI3847" t="n">
        <v>686</v>
      </c>
      <c r="AJ3847" t="inlineStr">
        <is>
          <t>NOERA</t>
        </is>
      </c>
      <c r="AK3847" t="n">
        <v>21</v>
      </c>
      <c r="AL3847" t="inlineStr">
        <is>
          <t>Miss Glam Damar</t>
        </is>
      </c>
      <c r="AM3847" t="n">
        <v>3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NOERA</t>
        </is>
      </c>
      <c r="B3848" s="2">
        <f>"8997027257475"</f>
        <v/>
      </c>
      <c r="C3848" t="inlineStr">
        <is>
          <t>NOERA Watermelon Moisturizing Lip Balm 5gr</t>
        </is>
      </c>
      <c r="D3848" t="inlineStr">
        <is>
          <t>Miss Glam Damar</t>
        </is>
      </c>
      <c r="E3848" t="n">
        <v>1</v>
      </c>
      <c r="F3848" t="n">
        <v>0.1092</v>
      </c>
      <c r="G3848" t="n">
        <v>0.91</v>
      </c>
      <c r="H3848" t="n">
        <v>4</v>
      </c>
      <c r="I3848" t="n">
        <v>21</v>
      </c>
      <c r="J3848" t="n">
        <v>3</v>
      </c>
      <c r="K3848" t="n">
        <v>0</v>
      </c>
      <c r="L3848" t="n">
        <v>45000</v>
      </c>
      <c r="M3848" t="n">
        <v>59000</v>
      </c>
      <c r="N3848" t="n">
        <v>91</v>
      </c>
      <c r="O3848" t="n">
        <v>0.91</v>
      </c>
      <c r="P3848" t="n">
        <v>1</v>
      </c>
      <c r="Q3848" t="n">
        <v>0.19</v>
      </c>
      <c r="R3848" t="n">
        <v>2</v>
      </c>
      <c r="S3848" t="n">
        <v>6442.8</v>
      </c>
      <c r="T3848" t="n">
        <v>19</v>
      </c>
      <c r="U3848" t="n">
        <v>20</v>
      </c>
      <c r="V3848" t="n">
        <v>30</v>
      </c>
      <c r="W3848" t="n">
        <v>4</v>
      </c>
      <c r="X3848" t="n">
        <v>9.157509157509157</v>
      </c>
      <c r="Y3848" t="n">
        <v>1</v>
      </c>
      <c r="Z3848" t="n">
        <v>3</v>
      </c>
      <c r="AA3848" t="n">
        <v>2</v>
      </c>
      <c r="AB3848" t="n">
        <v>1</v>
      </c>
      <c r="AC3848" t="n">
        <v>3</v>
      </c>
      <c r="AD3848" t="n">
        <v>90000</v>
      </c>
      <c r="AE3848" t="n">
        <v>135000</v>
      </c>
      <c r="AF3848" t="n">
        <v>7180</v>
      </c>
      <c r="AG3848" t="n">
        <v>1</v>
      </c>
      <c r="AH3848" t="inlineStr">
        <is>
          <t>PT. BERSAMA DISTRIVERSA INDONESIA (DC CIPUTAT)</t>
        </is>
      </c>
      <c r="AI3848" t="n">
        <v>686</v>
      </c>
      <c r="AJ3848" t="inlineStr">
        <is>
          <t>NOERA</t>
        </is>
      </c>
      <c r="AK3848" t="n">
        <v>21</v>
      </c>
      <c r="AL3848" t="inlineStr">
        <is>
          <t>Miss Glam Damar</t>
        </is>
      </c>
      <c r="AM3848" t="n">
        <v>3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NOSUKU</t>
        </is>
      </c>
      <c r="B3849" s="2">
        <f>"30700301238"</f>
        <v/>
      </c>
      <c r="C3849" t="inlineStr">
        <is>
          <t>NOSUKU Refreshing Foot Spray 60ml</t>
        </is>
      </c>
      <c r="D3849" t="inlineStr">
        <is>
          <t>Miss Glam Damar</t>
        </is>
      </c>
      <c r="E3849" t="n">
        <v>25</v>
      </c>
      <c r="F3849" t="n">
        <v>0.0182</v>
      </c>
      <c r="G3849" t="n">
        <v>0.91</v>
      </c>
      <c r="H3849" t="n">
        <v>4</v>
      </c>
      <c r="I3849" t="n">
        <v>21</v>
      </c>
      <c r="J3849" t="n">
        <v>3</v>
      </c>
      <c r="K3849" t="n">
        <v>0</v>
      </c>
      <c r="L3849" t="n">
        <v>44250</v>
      </c>
      <c r="M3849" t="n">
        <v>59000</v>
      </c>
      <c r="N3849" t="n">
        <v>91</v>
      </c>
      <c r="O3849" t="n">
        <v>0.91</v>
      </c>
      <c r="P3849" t="n">
        <v>1</v>
      </c>
      <c r="Q3849" t="n">
        <v>0.05</v>
      </c>
      <c r="R3849" t="n">
        <v>1</v>
      </c>
      <c r="S3849" t="n">
        <v>1073.8</v>
      </c>
      <c r="T3849" t="n">
        <v>20</v>
      </c>
      <c r="U3849" t="n">
        <v>21</v>
      </c>
      <c r="V3849" t="n">
        <v>30</v>
      </c>
      <c r="W3849" t="n">
        <v>1</v>
      </c>
      <c r="X3849" t="n">
        <v>1373.626373626374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7213</v>
      </c>
      <c r="AG3849" t="n">
        <v>1</v>
      </c>
      <c r="AH3849" t="inlineStr">
        <is>
          <t>PT. BERSAMA DISTRIVERSA INDONESIA (DC CIPUTAT)</t>
        </is>
      </c>
      <c r="AI3849" t="n">
        <v>2192</v>
      </c>
      <c r="AJ3849" t="inlineStr">
        <is>
          <t>NOSUKU</t>
        </is>
      </c>
      <c r="AK3849" t="n">
        <v>21</v>
      </c>
      <c r="AL3849" t="inlineStr">
        <is>
          <t>Miss Glam Damar</t>
        </is>
      </c>
      <c r="AM3849" t="n">
        <v>4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NOSUKU</t>
        </is>
      </c>
      <c r="B3850" s="2">
        <f>"8999999120214"</f>
        <v/>
      </c>
      <c r="C3850" t="inlineStr">
        <is>
          <t>NOSUKU Stay Fresh Deodorant Spray 60ml</t>
        </is>
      </c>
      <c r="D3850" t="inlineStr">
        <is>
          <t>Miss Glam Damar</t>
        </is>
      </c>
      <c r="E3850" t="n">
        <v>8</v>
      </c>
      <c r="F3850" t="n">
        <v>0.0273</v>
      </c>
      <c r="G3850" t="n">
        <v>1.82</v>
      </c>
      <c r="H3850" t="n">
        <v>4</v>
      </c>
      <c r="I3850" t="n">
        <v>21</v>
      </c>
      <c r="J3850" t="n">
        <v>3</v>
      </c>
      <c r="K3850" t="n">
        <v>0</v>
      </c>
      <c r="L3850" t="n">
        <v>44250</v>
      </c>
      <c r="M3850" t="n">
        <v>59000</v>
      </c>
      <c r="N3850" t="n">
        <v>91</v>
      </c>
      <c r="O3850" t="n">
        <v>0.91</v>
      </c>
      <c r="P3850" t="n">
        <v>1</v>
      </c>
      <c r="Q3850" t="n">
        <v>0.03</v>
      </c>
      <c r="R3850" t="n">
        <v>1</v>
      </c>
      <c r="S3850" t="n">
        <v>1610.7</v>
      </c>
      <c r="T3850" t="n">
        <v>39</v>
      </c>
      <c r="U3850" t="n">
        <v>40</v>
      </c>
      <c r="V3850" t="n">
        <v>30</v>
      </c>
      <c r="W3850" t="n">
        <v>1</v>
      </c>
      <c r="X3850" t="n">
        <v>293.040293040293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7213</v>
      </c>
      <c r="AG3850" t="n">
        <v>1</v>
      </c>
      <c r="AH3850" t="inlineStr">
        <is>
          <t>PT. BERSAMA DISTRIVERSA INDONESIA (DC CIPUTAT)</t>
        </is>
      </c>
      <c r="AI3850" t="n">
        <v>2192</v>
      </c>
      <c r="AJ3850" t="inlineStr">
        <is>
          <t>NOSUKU</t>
        </is>
      </c>
      <c r="AK3850" t="n">
        <v>21</v>
      </c>
      <c r="AL3850" t="inlineStr">
        <is>
          <t>Miss Glam Damar</t>
        </is>
      </c>
      <c r="AM3850" t="n">
        <v>4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NOURISH</t>
        </is>
      </c>
      <c r="B3851" s="2">
        <f>"8993347024759"</f>
        <v/>
      </c>
      <c r="C3851" t="inlineStr">
        <is>
          <t>NOURISH Acne Plast Blue 12mm X 12 Patches</t>
        </is>
      </c>
      <c r="D3851" t="inlineStr">
        <is>
          <t>Miss Glam Damar</t>
        </is>
      </c>
      <c r="E3851" t="n">
        <v>6</v>
      </c>
      <c r="F3851" t="n">
        <v>0.2457</v>
      </c>
      <c r="G3851" t="n">
        <v>2.73</v>
      </c>
      <c r="H3851" t="n">
        <v>3</v>
      </c>
      <c r="I3851" t="n">
        <v>4</v>
      </c>
      <c r="J3851" t="n">
        <v>3</v>
      </c>
      <c r="K3851" t="n">
        <v>0</v>
      </c>
      <c r="L3851" t="n">
        <v>13675</v>
      </c>
      <c r="M3851" t="n">
        <v>16500</v>
      </c>
      <c r="N3851" t="n">
        <v>91</v>
      </c>
      <c r="O3851" t="n">
        <v>0.91</v>
      </c>
      <c r="P3851" t="n">
        <v>1</v>
      </c>
      <c r="Q3851" t="n">
        <v>0.08</v>
      </c>
      <c r="R3851" t="n">
        <v>2</v>
      </c>
      <c r="S3851" t="n">
        <v>4054.050000000001</v>
      </c>
      <c r="T3851" t="n">
        <v>11</v>
      </c>
      <c r="U3851" t="n">
        <v>12</v>
      </c>
      <c r="V3851" t="n">
        <v>30</v>
      </c>
      <c r="W3851" t="n">
        <v>8</v>
      </c>
      <c r="X3851" t="n">
        <v>24.42002442002442</v>
      </c>
      <c r="Y3851" t="n">
        <v>1</v>
      </c>
      <c r="Z3851" t="n">
        <v>2</v>
      </c>
      <c r="AA3851" t="n">
        <v>0</v>
      </c>
      <c r="AB3851" t="n">
        <v>2</v>
      </c>
      <c r="AC3851" t="n">
        <v>3</v>
      </c>
      <c r="AD3851" t="n">
        <v>0</v>
      </c>
      <c r="AE3851" t="n">
        <v>41025</v>
      </c>
      <c r="AF3851" t="n">
        <v>2479</v>
      </c>
      <c r="AG3851" t="n">
        <v>3028</v>
      </c>
      <c r="AH3851" t="inlineStr">
        <is>
          <t>PT. ANTARMITRA SEMBADA - PPN (PDG)</t>
        </is>
      </c>
      <c r="AI3851" t="n">
        <v>575</v>
      </c>
      <c r="AJ3851" t="inlineStr">
        <is>
          <t>NOURISH</t>
        </is>
      </c>
      <c r="AK3851" t="n">
        <v>21</v>
      </c>
      <c r="AL3851" t="inlineStr">
        <is>
          <t>Miss Glam Damar</t>
        </is>
      </c>
      <c r="AM3851" t="n">
        <v>3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NOURISH</t>
        </is>
      </c>
      <c r="B3852" s="2">
        <f>"8993347024742"</f>
        <v/>
      </c>
      <c r="C3852" t="inlineStr">
        <is>
          <t>NOURISH Acne Plast Pink 12 mm x 12 patches</t>
        </is>
      </c>
      <c r="D3852" t="inlineStr">
        <is>
          <t>Miss Glam Damar</t>
        </is>
      </c>
      <c r="E3852" t="n">
        <v>19</v>
      </c>
      <c r="F3852" t="n">
        <v>0.2002</v>
      </c>
      <c r="G3852" t="n">
        <v>1.82</v>
      </c>
      <c r="H3852" t="n">
        <v>3</v>
      </c>
      <c r="I3852" t="n">
        <v>4</v>
      </c>
      <c r="J3852" t="n">
        <v>3</v>
      </c>
      <c r="K3852" t="n">
        <v>0</v>
      </c>
      <c r="L3852" t="n">
        <v>13675</v>
      </c>
      <c r="M3852" t="n">
        <v>18000</v>
      </c>
      <c r="N3852" t="n">
        <v>91</v>
      </c>
      <c r="O3852" t="n">
        <v>0.91</v>
      </c>
      <c r="P3852" t="n">
        <v>1</v>
      </c>
      <c r="Q3852" t="n">
        <v>0.27</v>
      </c>
      <c r="R3852" t="n">
        <v>3</v>
      </c>
      <c r="S3852" t="n">
        <v>3603.6</v>
      </c>
      <c r="T3852" t="n">
        <v>7</v>
      </c>
      <c r="U3852" t="n">
        <v>8</v>
      </c>
      <c r="V3852" t="n">
        <v>30</v>
      </c>
      <c r="W3852" t="n">
        <v>7</v>
      </c>
      <c r="X3852" t="n">
        <v>94.9050949050949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2479</v>
      </c>
      <c r="AG3852" t="n">
        <v>3028</v>
      </c>
      <c r="AH3852" t="inlineStr">
        <is>
          <t>PT. ANTARMITRA SEMBADA - PPN (PDG)</t>
        </is>
      </c>
      <c r="AI3852" t="n">
        <v>575</v>
      </c>
      <c r="AJ3852" t="inlineStr">
        <is>
          <t>NOURISH</t>
        </is>
      </c>
      <c r="AK3852" t="n">
        <v>21</v>
      </c>
      <c r="AL3852" t="inlineStr">
        <is>
          <t>Miss Glam Damar</t>
        </is>
      </c>
      <c r="AM3852" t="n">
        <v>3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NPURE</t>
        </is>
      </c>
      <c r="B3853" s="2">
        <f>"10600214151"</f>
        <v/>
      </c>
      <c r="C3853" t="inlineStr">
        <is>
          <t>NPURE Acne Clear Patch Invisible 18 pcs</t>
        </is>
      </c>
      <c r="D3853" t="inlineStr">
        <is>
          <t>Miss Glam Damar</t>
        </is>
      </c>
      <c r="E3853" t="n">
        <v>17</v>
      </c>
      <c r="F3853" t="n">
        <v>0.2457</v>
      </c>
      <c r="G3853" t="n">
        <v>4.55</v>
      </c>
      <c r="H3853" t="n">
        <v>2</v>
      </c>
      <c r="I3853" t="n">
        <v>16</v>
      </c>
      <c r="J3853" t="n">
        <v>1</v>
      </c>
      <c r="K3853" t="n">
        <v>0</v>
      </c>
      <c r="L3853" t="n">
        <v>24000</v>
      </c>
      <c r="M3853" t="n">
        <v>32000</v>
      </c>
      <c r="N3853" t="n">
        <v>91</v>
      </c>
      <c r="O3853" t="n">
        <v>0.91</v>
      </c>
      <c r="P3853" t="n">
        <v>1</v>
      </c>
      <c r="Q3853" t="n">
        <v>0.32</v>
      </c>
      <c r="R3853" t="n">
        <v>2</v>
      </c>
      <c r="S3853" t="n">
        <v>7862.400000000001</v>
      </c>
      <c r="T3853" t="n">
        <v>73</v>
      </c>
      <c r="U3853" t="n">
        <v>74</v>
      </c>
      <c r="V3853" t="n">
        <v>30</v>
      </c>
      <c r="W3853" t="n">
        <v>8</v>
      </c>
      <c r="X3853" t="n">
        <v>69.19006919006918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654</v>
      </c>
      <c r="AG3853" t="n">
        <v>107</v>
      </c>
      <c r="AH3853" t="inlineStr">
        <is>
          <t xml:space="preserve">CV. DAHLIA - PPN (PDG) </t>
        </is>
      </c>
      <c r="AI3853" t="n">
        <v>25</v>
      </c>
      <c r="AJ3853" t="inlineStr">
        <is>
          <t>NPURE</t>
        </is>
      </c>
      <c r="AK3853" t="n">
        <v>21</v>
      </c>
      <c r="AL3853" t="inlineStr">
        <is>
          <t>Miss Glam Damar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NPURE</t>
        </is>
      </c>
      <c r="B3854" s="2">
        <f>"10100721607"</f>
        <v/>
      </c>
      <c r="C3854" t="inlineStr">
        <is>
          <t>NPURE Acne Power Clear Micellar Water 100 ml</t>
        </is>
      </c>
      <c r="D3854" t="inlineStr">
        <is>
          <t>Miss Glam Damar</t>
        </is>
      </c>
      <c r="E3854" t="n">
        <v>31</v>
      </c>
      <c r="F3854" t="n">
        <v>2.639</v>
      </c>
      <c r="G3854" t="n">
        <v>7.28</v>
      </c>
      <c r="H3854" t="n">
        <v>2</v>
      </c>
      <c r="I3854" t="n">
        <v>16</v>
      </c>
      <c r="J3854" t="n">
        <v>1</v>
      </c>
      <c r="K3854" t="n">
        <v>0</v>
      </c>
      <c r="L3854" t="n">
        <v>22125</v>
      </c>
      <c r="M3854" t="n">
        <v>29500</v>
      </c>
      <c r="N3854" t="n">
        <v>91</v>
      </c>
      <c r="O3854" t="n">
        <v>0.91</v>
      </c>
      <c r="P3854" t="n">
        <v>1</v>
      </c>
      <c r="Q3854" t="n">
        <v>1.54</v>
      </c>
      <c r="R3854" t="n">
        <v>6</v>
      </c>
      <c r="S3854" t="n">
        <v>77850.5</v>
      </c>
      <c r="T3854" t="n">
        <v>112</v>
      </c>
      <c r="U3854" t="n">
        <v>118</v>
      </c>
      <c r="V3854" t="n">
        <v>30</v>
      </c>
      <c r="W3854" t="n">
        <v>80</v>
      </c>
      <c r="X3854" t="n">
        <v>11.74687381583933</v>
      </c>
      <c r="Y3854" t="n">
        <v>1</v>
      </c>
      <c r="Z3854" t="n">
        <v>49</v>
      </c>
      <c r="AA3854" t="n">
        <v>12</v>
      </c>
      <c r="AB3854" t="n">
        <v>37</v>
      </c>
      <c r="AC3854" t="n">
        <v>37</v>
      </c>
      <c r="AD3854" t="n">
        <v>265500</v>
      </c>
      <c r="AE3854" t="n">
        <v>818625</v>
      </c>
      <c r="AF3854" t="n">
        <v>654</v>
      </c>
      <c r="AG3854" t="n">
        <v>107</v>
      </c>
      <c r="AH3854" t="inlineStr">
        <is>
          <t xml:space="preserve">CV. DAHLIA - PPN (PDG) </t>
        </is>
      </c>
      <c r="AI3854" t="n">
        <v>25</v>
      </c>
      <c r="AJ3854" t="inlineStr">
        <is>
          <t>NPURE</t>
        </is>
      </c>
      <c r="AK3854" t="n">
        <v>21</v>
      </c>
      <c r="AL3854" t="inlineStr">
        <is>
          <t>Miss Glam Damar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NPURE</t>
        </is>
      </c>
      <c r="B3855" s="2">
        <f>"10100720559"</f>
        <v/>
      </c>
      <c r="C3855" t="inlineStr">
        <is>
          <t>NPURE Acne Power Clear Micellar Water 300ml</t>
        </is>
      </c>
      <c r="D3855" t="inlineStr">
        <is>
          <t>Miss Glam Damar</t>
        </is>
      </c>
      <c r="E3855" t="n">
        <v>63</v>
      </c>
      <c r="F3855" t="n">
        <v>4.8776</v>
      </c>
      <c r="G3855" t="n">
        <v>12.74</v>
      </c>
      <c r="H3855" t="n">
        <v>2</v>
      </c>
      <c r="I3855" t="n">
        <v>16</v>
      </c>
      <c r="J3855" t="n">
        <v>3</v>
      </c>
      <c r="K3855" t="n">
        <v>0</v>
      </c>
      <c r="L3855" t="n">
        <v>36750</v>
      </c>
      <c r="M3855" t="n">
        <v>49000</v>
      </c>
      <c r="N3855" t="n">
        <v>91</v>
      </c>
      <c r="O3855" t="n">
        <v>0.91</v>
      </c>
      <c r="P3855" t="n">
        <v>1</v>
      </c>
      <c r="Q3855" t="n">
        <v>3.88</v>
      </c>
      <c r="R3855" t="n">
        <v>9</v>
      </c>
      <c r="S3855" t="n">
        <v>239002.4</v>
      </c>
      <c r="T3855" t="n">
        <v>195</v>
      </c>
      <c r="U3855" t="n">
        <v>205</v>
      </c>
      <c r="V3855" t="n">
        <v>30</v>
      </c>
      <c r="W3855" t="n">
        <v>147</v>
      </c>
      <c r="X3855" t="n">
        <v>12.91618828932262</v>
      </c>
      <c r="Y3855" t="n">
        <v>1</v>
      </c>
      <c r="Z3855" t="n">
        <v>84</v>
      </c>
      <c r="AA3855" t="n">
        <v>16</v>
      </c>
      <c r="AB3855" t="n">
        <v>68</v>
      </c>
      <c r="AC3855" t="n">
        <v>68</v>
      </c>
      <c r="AD3855" t="n">
        <v>588000</v>
      </c>
      <c r="AE3855" t="n">
        <v>2499000</v>
      </c>
      <c r="AF3855" t="n">
        <v>654</v>
      </c>
      <c r="AG3855" t="n">
        <v>107</v>
      </c>
      <c r="AH3855" t="inlineStr">
        <is>
          <t xml:space="preserve">CV. DAHLIA - PPN (PDG) </t>
        </is>
      </c>
      <c r="AI3855" t="n">
        <v>25</v>
      </c>
      <c r="AJ3855" t="inlineStr">
        <is>
          <t>NPURE</t>
        </is>
      </c>
      <c r="AK3855" t="n">
        <v>21</v>
      </c>
      <c r="AL3855" t="inlineStr">
        <is>
          <t>Miss Glam Damar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NPURE</t>
        </is>
      </c>
      <c r="B3856" s="2">
        <f>"10200222256"</f>
        <v/>
      </c>
      <c r="C3856" t="inlineStr">
        <is>
          <t>NPURE Bundling Cica Beat The Sun Matte + Cica Beat The Sun Spray</t>
        </is>
      </c>
      <c r="D3856" t="inlineStr">
        <is>
          <t>Miss Glam Damar</t>
        </is>
      </c>
      <c r="E3856" t="n">
        <v>5</v>
      </c>
      <c r="F3856" t="n">
        <v>0.1729</v>
      </c>
      <c r="G3856" t="n">
        <v>1.82</v>
      </c>
      <c r="H3856" t="n">
        <v>2</v>
      </c>
      <c r="I3856" t="n">
        <v>16</v>
      </c>
      <c r="J3856" t="n">
        <v>1</v>
      </c>
      <c r="K3856" t="n">
        <v>0</v>
      </c>
      <c r="L3856" t="n">
        <v>86250</v>
      </c>
      <c r="M3856" t="n">
        <v>115000</v>
      </c>
      <c r="N3856" t="n">
        <v>91</v>
      </c>
      <c r="O3856" t="n">
        <v>0.91</v>
      </c>
      <c r="P3856" t="n">
        <v>1</v>
      </c>
      <c r="Q3856" t="n">
        <v>0.12</v>
      </c>
      <c r="R3856" t="n">
        <v>1</v>
      </c>
      <c r="S3856" t="n">
        <v>19883.5</v>
      </c>
      <c r="T3856" t="n">
        <v>29</v>
      </c>
      <c r="U3856" t="n">
        <v>30</v>
      </c>
      <c r="V3856" t="n">
        <v>30</v>
      </c>
      <c r="W3856" t="n">
        <v>6</v>
      </c>
      <c r="X3856" t="n">
        <v>28.91844997108155</v>
      </c>
      <c r="Y3856" t="n">
        <v>1</v>
      </c>
      <c r="Z3856" t="n">
        <v>1</v>
      </c>
      <c r="AA3856" t="n">
        <v>0</v>
      </c>
      <c r="AB3856" t="n">
        <v>1</v>
      </c>
      <c r="AC3856" t="n">
        <v>1</v>
      </c>
      <c r="AD3856" t="n">
        <v>0</v>
      </c>
      <c r="AE3856" t="n">
        <v>86250</v>
      </c>
      <c r="AF3856" t="n">
        <v>654</v>
      </c>
      <c r="AG3856" t="n">
        <v>107</v>
      </c>
      <c r="AH3856" t="inlineStr">
        <is>
          <t xml:space="preserve">CV. DAHLIA - PPN (PDG) </t>
        </is>
      </c>
      <c r="AI3856" t="n">
        <v>25</v>
      </c>
      <c r="AJ3856" t="inlineStr">
        <is>
          <t>NPURE</t>
        </is>
      </c>
      <c r="AK3856" t="n">
        <v>21</v>
      </c>
      <c r="AL3856" t="inlineStr">
        <is>
          <t>Miss Glam Damar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NPURE</t>
        </is>
      </c>
      <c r="B3857" s="2">
        <f>"8997240891272"</f>
        <v/>
      </c>
      <c r="C3857" t="inlineStr">
        <is>
          <t>NPURE Centella Asiatica Acne Clear Barrier Moisturizer 30 gr</t>
        </is>
      </c>
      <c r="D3857" t="inlineStr">
        <is>
          <t>Miss Glam Damar</t>
        </is>
      </c>
      <c r="E3857" t="n">
        <v>9</v>
      </c>
      <c r="F3857" t="n">
        <v>0.1729</v>
      </c>
      <c r="G3857" t="n">
        <v>0.91</v>
      </c>
      <c r="H3857" t="n">
        <v>2</v>
      </c>
      <c r="I3857" t="n">
        <v>16</v>
      </c>
      <c r="J3857" t="n">
        <v>3</v>
      </c>
      <c r="K3857" t="n">
        <v>0</v>
      </c>
      <c r="L3857" t="n">
        <v>75000</v>
      </c>
      <c r="M3857" t="n">
        <v>100000</v>
      </c>
      <c r="N3857" t="n">
        <v>91</v>
      </c>
      <c r="O3857" t="n">
        <v>0.91</v>
      </c>
      <c r="P3857" t="n">
        <v>1</v>
      </c>
      <c r="Q3857" t="n">
        <v>0.12</v>
      </c>
      <c r="R3857" t="n">
        <v>1</v>
      </c>
      <c r="S3857" t="n">
        <v>17290</v>
      </c>
      <c r="T3857" t="n">
        <v>15</v>
      </c>
      <c r="U3857" t="n">
        <v>16</v>
      </c>
      <c r="V3857" t="n">
        <v>30</v>
      </c>
      <c r="W3857" t="n">
        <v>6</v>
      </c>
      <c r="X3857" t="n">
        <v>52.05320994794679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654</v>
      </c>
      <c r="AG3857" t="n">
        <v>107</v>
      </c>
      <c r="AH3857" t="inlineStr">
        <is>
          <t xml:space="preserve">CV. DAHLIA - PPN (PDG) </t>
        </is>
      </c>
      <c r="AI3857" t="n">
        <v>25</v>
      </c>
      <c r="AJ3857" t="inlineStr">
        <is>
          <t>NPURE</t>
        </is>
      </c>
      <c r="AK3857" t="n">
        <v>21</v>
      </c>
      <c r="AL3857" t="inlineStr">
        <is>
          <t>Miss Glam Damar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NPURE</t>
        </is>
      </c>
      <c r="B3858" s="2">
        <f>"8997240891203"</f>
        <v/>
      </c>
      <c r="C3858" t="inlineStr">
        <is>
          <t>NPURE Centella Asiatica Acne Clear Foam Facewash 100ml</t>
        </is>
      </c>
      <c r="D3858" t="inlineStr">
        <is>
          <t>Miss Glam Damar</t>
        </is>
      </c>
      <c r="E3858" t="n">
        <v>6</v>
      </c>
      <c r="F3858" t="n">
        <v>0.5733</v>
      </c>
      <c r="G3858" t="n">
        <v>1.82</v>
      </c>
      <c r="H3858" t="n">
        <v>2</v>
      </c>
      <c r="I3858" t="n">
        <v>16</v>
      </c>
      <c r="J3858" t="n">
        <v>3</v>
      </c>
      <c r="K3858" t="n">
        <v>0</v>
      </c>
      <c r="L3858" t="n">
        <v>67500</v>
      </c>
      <c r="M3858" t="n">
        <v>90000</v>
      </c>
      <c r="N3858" t="n">
        <v>91</v>
      </c>
      <c r="O3858" t="n">
        <v>0.91</v>
      </c>
      <c r="P3858" t="n">
        <v>1</v>
      </c>
      <c r="Q3858" t="n">
        <v>0.32</v>
      </c>
      <c r="R3858" t="n">
        <v>2</v>
      </c>
      <c r="S3858" t="n">
        <v>51597</v>
      </c>
      <c r="T3858" t="n">
        <v>28</v>
      </c>
      <c r="U3858" t="n">
        <v>30</v>
      </c>
      <c r="V3858" t="n">
        <v>30</v>
      </c>
      <c r="W3858" t="n">
        <v>18</v>
      </c>
      <c r="X3858" t="n">
        <v>10.46572475143904</v>
      </c>
      <c r="Y3858" t="n">
        <v>1</v>
      </c>
      <c r="Z3858" t="n">
        <v>12</v>
      </c>
      <c r="AA3858" t="n">
        <v>4</v>
      </c>
      <c r="AB3858" t="n">
        <v>8</v>
      </c>
      <c r="AC3858" t="n">
        <v>8</v>
      </c>
      <c r="AD3858" t="n">
        <v>270000</v>
      </c>
      <c r="AE3858" t="n">
        <v>540000</v>
      </c>
      <c r="AF3858" t="n">
        <v>654</v>
      </c>
      <c r="AG3858" t="n">
        <v>107</v>
      </c>
      <c r="AH3858" t="inlineStr">
        <is>
          <t xml:space="preserve">CV. DAHLIA - PPN (PDG) </t>
        </is>
      </c>
      <c r="AI3858" t="n">
        <v>25</v>
      </c>
      <c r="AJ3858" t="inlineStr">
        <is>
          <t>NPURE</t>
        </is>
      </c>
      <c r="AK3858" t="n">
        <v>21</v>
      </c>
      <c r="AL3858" t="inlineStr">
        <is>
          <t>Miss Glam Damar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NPURE</t>
        </is>
      </c>
      <c r="B3859" s="2">
        <f>"8997240891159"</f>
        <v/>
      </c>
      <c r="C3859" t="inlineStr">
        <is>
          <t>NPURE Centella Asiatica Acne Toner Hydrating &amp; Calming 150ml</t>
        </is>
      </c>
      <c r="D3859" t="inlineStr">
        <is>
          <t>Miss Glam Damar</t>
        </is>
      </c>
      <c r="E3859" t="n">
        <v>33</v>
      </c>
      <c r="F3859" t="n">
        <v>1.82</v>
      </c>
      <c r="G3859" t="n">
        <v>4.55</v>
      </c>
      <c r="H3859" t="n">
        <v>2</v>
      </c>
      <c r="I3859" t="n">
        <v>16</v>
      </c>
      <c r="J3859" t="n">
        <v>3</v>
      </c>
      <c r="K3859" t="n">
        <v>0</v>
      </c>
      <c r="L3859" t="n">
        <v>75000</v>
      </c>
      <c r="M3859" t="n">
        <v>100000</v>
      </c>
      <c r="N3859" t="n">
        <v>91</v>
      </c>
      <c r="O3859" t="n">
        <v>0.91</v>
      </c>
      <c r="P3859" t="n">
        <v>1</v>
      </c>
      <c r="Q3859" t="n">
        <v>1.44</v>
      </c>
      <c r="R3859" t="n">
        <v>6</v>
      </c>
      <c r="S3859" t="n">
        <v>182000</v>
      </c>
      <c r="T3859" t="n">
        <v>70</v>
      </c>
      <c r="U3859" t="n">
        <v>74</v>
      </c>
      <c r="V3859" t="n">
        <v>30</v>
      </c>
      <c r="W3859" t="n">
        <v>55</v>
      </c>
      <c r="X3859" t="n">
        <v>18.13186813186813</v>
      </c>
      <c r="Y3859" t="n">
        <v>1</v>
      </c>
      <c r="Z3859" t="n">
        <v>22</v>
      </c>
      <c r="AA3859" t="n">
        <v>0</v>
      </c>
      <c r="AB3859" t="n">
        <v>22</v>
      </c>
      <c r="AC3859" t="n">
        <v>22</v>
      </c>
      <c r="AD3859" t="n">
        <v>0</v>
      </c>
      <c r="AE3859" t="n">
        <v>1650000</v>
      </c>
      <c r="AF3859" t="n">
        <v>654</v>
      </c>
      <c r="AG3859" t="n">
        <v>107</v>
      </c>
      <c r="AH3859" t="inlineStr">
        <is>
          <t xml:space="preserve">CV. DAHLIA - PPN (PDG) </t>
        </is>
      </c>
      <c r="AI3859" t="n">
        <v>25</v>
      </c>
      <c r="AJ3859" t="inlineStr">
        <is>
          <t>NPURE</t>
        </is>
      </c>
      <c r="AK3859" t="n">
        <v>21</v>
      </c>
      <c r="AL3859" t="inlineStr">
        <is>
          <t>Miss Glam Damar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NPURE</t>
        </is>
      </c>
      <c r="B3860" s="2">
        <f>"8997240890381"</f>
        <v/>
      </c>
      <c r="C3860" t="inlineStr">
        <is>
          <t>NPURE Centella ASiatica Natural Daily Hydrating Face Toner 30ml</t>
        </is>
      </c>
      <c r="D3860" t="inlineStr">
        <is>
          <t>Miss Glam Damar</t>
        </is>
      </c>
      <c r="E3860" t="n">
        <v>25</v>
      </c>
      <c r="F3860" t="n">
        <v>1.9292</v>
      </c>
      <c r="G3860" t="n">
        <v>7.28</v>
      </c>
      <c r="H3860" t="n">
        <v>2</v>
      </c>
      <c r="I3860" t="n">
        <v>16</v>
      </c>
      <c r="J3860" t="n">
        <v>3</v>
      </c>
      <c r="K3860" t="n">
        <v>0</v>
      </c>
      <c r="L3860" t="n">
        <v>18750</v>
      </c>
      <c r="M3860" t="n">
        <v>25000</v>
      </c>
      <c r="N3860" t="n">
        <v>91</v>
      </c>
      <c r="O3860" t="n">
        <v>0.91</v>
      </c>
      <c r="P3860" t="n">
        <v>1</v>
      </c>
      <c r="Q3860" t="n">
        <v>1.29</v>
      </c>
      <c r="R3860" t="n">
        <v>5</v>
      </c>
      <c r="S3860" t="n">
        <v>48230.00000000001</v>
      </c>
      <c r="T3860" t="n">
        <v>113</v>
      </c>
      <c r="U3860" t="n">
        <v>117</v>
      </c>
      <c r="V3860" t="n">
        <v>30</v>
      </c>
      <c r="W3860" t="n">
        <v>58</v>
      </c>
      <c r="X3860" t="n">
        <v>12.95873937383371</v>
      </c>
      <c r="Y3860" t="n">
        <v>1</v>
      </c>
      <c r="Z3860" t="n">
        <v>33</v>
      </c>
      <c r="AA3860" t="n">
        <v>6</v>
      </c>
      <c r="AB3860" t="n">
        <v>27</v>
      </c>
      <c r="AC3860" t="n">
        <v>27</v>
      </c>
      <c r="AD3860" t="n">
        <v>112500</v>
      </c>
      <c r="AE3860" t="n">
        <v>506250</v>
      </c>
      <c r="AF3860" t="n">
        <v>654</v>
      </c>
      <c r="AG3860" t="n">
        <v>107</v>
      </c>
      <c r="AH3860" t="inlineStr">
        <is>
          <t xml:space="preserve">CV. DAHLIA - PPN (PDG) </t>
        </is>
      </c>
      <c r="AI3860" t="n">
        <v>25</v>
      </c>
      <c r="AJ3860" t="inlineStr">
        <is>
          <t>NPURE</t>
        </is>
      </c>
      <c r="AK3860" t="n">
        <v>21</v>
      </c>
      <c r="AL3860" t="inlineStr">
        <is>
          <t>Miss Glam Damar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NPURE</t>
        </is>
      </c>
      <c r="B3861" s="2">
        <f>"8997219891753"</f>
        <v/>
      </c>
      <c r="C3861" t="inlineStr">
        <is>
          <t>NPURE Centella Asiatica Primer Power 15ml</t>
        </is>
      </c>
      <c r="D3861" t="inlineStr">
        <is>
          <t>Miss Glam Damar</t>
        </is>
      </c>
      <c r="E3861" t="n">
        <v>7</v>
      </c>
      <c r="F3861" t="n">
        <v>0.0273</v>
      </c>
      <c r="G3861" t="n">
        <v>0.91</v>
      </c>
      <c r="H3861" t="n">
        <v>2</v>
      </c>
      <c r="I3861" t="n">
        <v>16</v>
      </c>
      <c r="J3861" t="n">
        <v>3</v>
      </c>
      <c r="K3861" t="n">
        <v>0</v>
      </c>
      <c r="L3861" t="n">
        <v>66750</v>
      </c>
      <c r="M3861" t="n">
        <v>89000</v>
      </c>
      <c r="N3861" t="n">
        <v>91</v>
      </c>
      <c r="O3861" t="n">
        <v>0.91</v>
      </c>
      <c r="P3861" t="n">
        <v>1</v>
      </c>
      <c r="Q3861" t="n">
        <v>0.08</v>
      </c>
      <c r="R3861" t="n">
        <v>1</v>
      </c>
      <c r="S3861" t="n">
        <v>2429.7</v>
      </c>
      <c r="T3861" t="n">
        <v>15</v>
      </c>
      <c r="U3861" t="n">
        <v>16</v>
      </c>
      <c r="V3861" t="n">
        <v>30</v>
      </c>
      <c r="W3861" t="n">
        <v>1</v>
      </c>
      <c r="X3861" t="n">
        <v>256.4102564102564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654</v>
      </c>
      <c r="AG3861" t="n">
        <v>107</v>
      </c>
      <c r="AH3861" t="inlineStr">
        <is>
          <t xml:space="preserve">CV. DAHLIA - PPN (PDG) </t>
        </is>
      </c>
      <c r="AI3861" t="n">
        <v>25</v>
      </c>
      <c r="AJ3861" t="inlineStr">
        <is>
          <t>NPURE</t>
        </is>
      </c>
      <c r="AK3861" t="n">
        <v>21</v>
      </c>
      <c r="AL3861" t="inlineStr">
        <is>
          <t>Miss Glam Damar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NPURE</t>
        </is>
      </c>
      <c r="B3862" s="2">
        <f>"8997240891302"</f>
        <v/>
      </c>
      <c r="C3862" t="inlineStr">
        <is>
          <t>NPURE Centella Asiatica Setter Power 100ml</t>
        </is>
      </c>
      <c r="D3862" t="inlineStr">
        <is>
          <t>Miss Glam Damar</t>
        </is>
      </c>
      <c r="E3862" t="n">
        <v>9</v>
      </c>
      <c r="F3862" t="n">
        <v>0.06370000000000001</v>
      </c>
      <c r="G3862" t="n">
        <v>0.91</v>
      </c>
      <c r="H3862" t="n">
        <v>2</v>
      </c>
      <c r="I3862" t="n">
        <v>16</v>
      </c>
      <c r="J3862" t="n">
        <v>3</v>
      </c>
      <c r="K3862" t="n">
        <v>0</v>
      </c>
      <c r="L3862" t="n">
        <v>74250</v>
      </c>
      <c r="M3862" t="n">
        <v>99000</v>
      </c>
      <c r="N3862" t="n">
        <v>91</v>
      </c>
      <c r="O3862" t="n">
        <v>0.91</v>
      </c>
      <c r="P3862" t="n">
        <v>1</v>
      </c>
      <c r="Q3862" t="n">
        <v>0.05</v>
      </c>
      <c r="R3862" t="n">
        <v>1</v>
      </c>
      <c r="S3862" t="n">
        <v>6306.300000000001</v>
      </c>
      <c r="T3862" t="n">
        <v>15</v>
      </c>
      <c r="U3862" t="n">
        <v>16</v>
      </c>
      <c r="V3862" t="n">
        <v>30</v>
      </c>
      <c r="W3862" t="n">
        <v>2</v>
      </c>
      <c r="X3862" t="n">
        <v>141.287284144427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654</v>
      </c>
      <c r="AG3862" t="n">
        <v>107</v>
      </c>
      <c r="AH3862" t="inlineStr">
        <is>
          <t xml:space="preserve">CV. DAHLIA - PPN (PDG) </t>
        </is>
      </c>
      <c r="AI3862" t="n">
        <v>25</v>
      </c>
      <c r="AJ3862" t="inlineStr">
        <is>
          <t>NPURE</t>
        </is>
      </c>
      <c r="AK3862" t="n">
        <v>21</v>
      </c>
      <c r="AL3862" t="inlineStr">
        <is>
          <t>Miss Glam Damar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NPURE</t>
        </is>
      </c>
      <c r="B3863" s="2">
        <f>"8997240890671"</f>
        <v/>
      </c>
      <c r="C3863" t="inlineStr">
        <is>
          <t>NPURE Cica Acne Clear Body Spray 50ml</t>
        </is>
      </c>
      <c r="D3863" t="inlineStr">
        <is>
          <t>Miss Glam Damar</t>
        </is>
      </c>
      <c r="E3863" t="n">
        <v>4</v>
      </c>
      <c r="F3863" t="n">
        <v>0.08</v>
      </c>
      <c r="G3863" t="n">
        <v>1</v>
      </c>
      <c r="H3863" t="n">
        <v>2</v>
      </c>
      <c r="I3863" t="n">
        <v>16</v>
      </c>
      <c r="J3863" t="n">
        <v>3</v>
      </c>
      <c r="K3863" t="n">
        <v>0</v>
      </c>
      <c r="L3863" t="n">
        <v>52500</v>
      </c>
      <c r="M3863" t="n">
        <v>70000</v>
      </c>
      <c r="N3863" t="n">
        <v>91</v>
      </c>
      <c r="O3863" t="n">
        <v>0.91</v>
      </c>
      <c r="P3863" t="n">
        <v>0</v>
      </c>
      <c r="Q3863" t="n">
        <v>0.08</v>
      </c>
      <c r="R3863" t="n">
        <v>1</v>
      </c>
      <c r="S3863" t="n">
        <v>5600</v>
      </c>
      <c r="T3863" t="n">
        <v>16</v>
      </c>
      <c r="U3863" t="n">
        <v>17</v>
      </c>
      <c r="V3863" t="n">
        <v>30</v>
      </c>
      <c r="W3863" t="n">
        <v>3</v>
      </c>
      <c r="X3863" t="n">
        <v>50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654</v>
      </c>
      <c r="AG3863" t="n">
        <v>107</v>
      </c>
      <c r="AH3863" t="inlineStr">
        <is>
          <t xml:space="preserve">CV. DAHLIA - PPN (PDG) </t>
        </is>
      </c>
      <c r="AI3863" t="n">
        <v>25</v>
      </c>
      <c r="AJ3863" t="inlineStr">
        <is>
          <t>NPURE</t>
        </is>
      </c>
      <c r="AK3863" t="n">
        <v>21</v>
      </c>
      <c r="AL3863" t="inlineStr">
        <is>
          <t>Miss Glam Damar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NPURE</t>
        </is>
      </c>
      <c r="B3864" s="2">
        <f>"8997240891128"</f>
        <v/>
      </c>
      <c r="C3864" t="inlineStr">
        <is>
          <t>NPURE Cica Acne Clear Pad Gentle Exfoliation Travel Pack 5+2 Pads 17.5gr</t>
        </is>
      </c>
      <c r="D3864" t="inlineStr">
        <is>
          <t>Miss Glam Damar</t>
        </is>
      </c>
      <c r="E3864" t="n">
        <v>37</v>
      </c>
      <c r="F3864" t="n">
        <v>3.2123</v>
      </c>
      <c r="G3864" t="n">
        <v>9.1</v>
      </c>
      <c r="H3864" t="n">
        <v>2</v>
      </c>
      <c r="I3864" t="n">
        <v>16</v>
      </c>
      <c r="J3864" t="n">
        <v>12</v>
      </c>
      <c r="K3864" t="n">
        <v>0</v>
      </c>
      <c r="L3864" t="n">
        <v>15000</v>
      </c>
      <c r="M3864" t="n">
        <v>20000</v>
      </c>
      <c r="N3864" t="n">
        <v>91</v>
      </c>
      <c r="O3864" t="n">
        <v>0.91</v>
      </c>
      <c r="P3864" t="n">
        <v>1</v>
      </c>
      <c r="Q3864" t="n">
        <v>1.71</v>
      </c>
      <c r="R3864" t="n">
        <v>6</v>
      </c>
      <c r="S3864" t="n">
        <v>64246</v>
      </c>
      <c r="T3864" t="n">
        <v>140</v>
      </c>
      <c r="U3864" t="n">
        <v>147</v>
      </c>
      <c r="V3864" t="n">
        <v>30</v>
      </c>
      <c r="W3864" t="n">
        <v>97</v>
      </c>
      <c r="X3864" t="n">
        <v>11.51822681567724</v>
      </c>
      <c r="Y3864" t="n">
        <v>1</v>
      </c>
      <c r="Z3864" t="n">
        <v>60</v>
      </c>
      <c r="AA3864" t="n">
        <v>15</v>
      </c>
      <c r="AB3864" t="n">
        <v>45</v>
      </c>
      <c r="AC3864" t="n">
        <v>45</v>
      </c>
      <c r="AD3864" t="n">
        <v>225000</v>
      </c>
      <c r="AE3864" t="n">
        <v>675000</v>
      </c>
      <c r="AF3864" t="n">
        <v>654</v>
      </c>
      <c r="AG3864" t="n">
        <v>107</v>
      </c>
      <c r="AH3864" t="inlineStr">
        <is>
          <t xml:space="preserve">CV. DAHLIA - PPN (PDG) </t>
        </is>
      </c>
      <c r="AI3864" t="n">
        <v>25</v>
      </c>
      <c r="AJ3864" t="inlineStr">
        <is>
          <t>NPURE</t>
        </is>
      </c>
      <c r="AK3864" t="n">
        <v>21</v>
      </c>
      <c r="AL3864" t="inlineStr">
        <is>
          <t>Miss Glam Damar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NPURE</t>
        </is>
      </c>
      <c r="B3865" s="2">
        <f>"8997240890091"</f>
        <v/>
      </c>
      <c r="C3865" t="inlineStr">
        <is>
          <t>NPURE Cica Acne Spot 20g</t>
        </is>
      </c>
      <c r="D3865" t="inlineStr">
        <is>
          <t>Miss Glam Damar</t>
        </is>
      </c>
      <c r="E3865" t="n">
        <v>9</v>
      </c>
      <c r="F3865" t="n">
        <v>0.2821</v>
      </c>
      <c r="G3865" t="n">
        <v>2.73</v>
      </c>
      <c r="H3865" t="n">
        <v>2</v>
      </c>
      <c r="I3865" t="n">
        <v>16</v>
      </c>
      <c r="J3865" t="n">
        <v>3</v>
      </c>
      <c r="K3865" t="n">
        <v>0</v>
      </c>
      <c r="L3865" t="n">
        <v>51750</v>
      </c>
      <c r="M3865" t="n">
        <v>69000</v>
      </c>
      <c r="N3865" t="n">
        <v>91</v>
      </c>
      <c r="O3865" t="n">
        <v>0.91</v>
      </c>
      <c r="P3865" t="n">
        <v>1</v>
      </c>
      <c r="Q3865" t="n">
        <v>0.32</v>
      </c>
      <c r="R3865" t="n">
        <v>3</v>
      </c>
      <c r="S3865" t="n">
        <v>19464.9</v>
      </c>
      <c r="T3865" t="n">
        <v>44</v>
      </c>
      <c r="U3865" t="n">
        <v>45</v>
      </c>
      <c r="V3865" t="n">
        <v>30</v>
      </c>
      <c r="W3865" t="n">
        <v>9</v>
      </c>
      <c r="X3865" t="n">
        <v>31.90358029067706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654</v>
      </c>
      <c r="AG3865" t="n">
        <v>107</v>
      </c>
      <c r="AH3865" t="inlineStr">
        <is>
          <t xml:space="preserve">CV. DAHLIA - PPN (PDG) </t>
        </is>
      </c>
      <c r="AI3865" t="n">
        <v>25</v>
      </c>
      <c r="AJ3865" t="inlineStr">
        <is>
          <t>NPURE</t>
        </is>
      </c>
      <c r="AK3865" t="n">
        <v>21</v>
      </c>
      <c r="AL3865" t="inlineStr">
        <is>
          <t>Miss Glam Damar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NPURE</t>
        </is>
      </c>
      <c r="B3866" s="2">
        <f>"8997240891180"</f>
        <v/>
      </c>
      <c r="C3866" t="inlineStr">
        <is>
          <t>NPURE Cica Beat The Sun Glow Spf 50+++ 35ml</t>
        </is>
      </c>
      <c r="D3866" t="inlineStr">
        <is>
          <t>Miss Glam Damar</t>
        </is>
      </c>
      <c r="E3866" t="n">
        <v>11</v>
      </c>
      <c r="F3866" t="n">
        <v>0.6188</v>
      </c>
      <c r="G3866" t="n">
        <v>3.64</v>
      </c>
      <c r="H3866" t="n">
        <v>2</v>
      </c>
      <c r="I3866" t="n">
        <v>16</v>
      </c>
      <c r="J3866" t="n">
        <v>3</v>
      </c>
      <c r="K3866" t="n">
        <v>0</v>
      </c>
      <c r="L3866" t="n">
        <v>59250</v>
      </c>
      <c r="M3866" t="n">
        <v>79000</v>
      </c>
      <c r="N3866" t="n">
        <v>91</v>
      </c>
      <c r="O3866" t="n">
        <v>0.91</v>
      </c>
      <c r="P3866" t="n">
        <v>1</v>
      </c>
      <c r="Q3866" t="n">
        <v>0.47</v>
      </c>
      <c r="R3866" t="n">
        <v>3</v>
      </c>
      <c r="S3866" t="n">
        <v>48885.2</v>
      </c>
      <c r="T3866" t="n">
        <v>58</v>
      </c>
      <c r="U3866" t="n">
        <v>60</v>
      </c>
      <c r="V3866" t="n">
        <v>30</v>
      </c>
      <c r="W3866" t="n">
        <v>19</v>
      </c>
      <c r="X3866" t="n">
        <v>17.77634130575307</v>
      </c>
      <c r="Y3866" t="n">
        <v>1</v>
      </c>
      <c r="Z3866" t="n">
        <v>8</v>
      </c>
      <c r="AA3866" t="n">
        <v>0</v>
      </c>
      <c r="AB3866" t="n">
        <v>8</v>
      </c>
      <c r="AC3866" t="n">
        <v>8</v>
      </c>
      <c r="AD3866" t="n">
        <v>0</v>
      </c>
      <c r="AE3866" t="n">
        <v>474000</v>
      </c>
      <c r="AF3866" t="n">
        <v>654</v>
      </c>
      <c r="AG3866" t="n">
        <v>107</v>
      </c>
      <c r="AH3866" t="inlineStr">
        <is>
          <t xml:space="preserve">CV. DAHLIA - PPN (PDG) </t>
        </is>
      </c>
      <c r="AI3866" t="n">
        <v>25</v>
      </c>
      <c r="AJ3866" t="inlineStr">
        <is>
          <t>NPURE</t>
        </is>
      </c>
      <c r="AK3866" t="n">
        <v>21</v>
      </c>
      <c r="AL3866" t="inlineStr">
        <is>
          <t>Miss Glam Damar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NPURE</t>
        </is>
      </c>
      <c r="B3867" s="2">
        <f>"8997240891166"</f>
        <v/>
      </c>
      <c r="C3867" t="inlineStr">
        <is>
          <t>NPURE Cica Beat The Sun Matte 35ml</t>
        </is>
      </c>
      <c r="D3867" t="inlineStr">
        <is>
          <t>Miss Glam Damar</t>
        </is>
      </c>
      <c r="E3867" t="n">
        <v>9</v>
      </c>
      <c r="F3867" t="n">
        <v>0.5096000000000001</v>
      </c>
      <c r="G3867" t="n">
        <v>2.73</v>
      </c>
      <c r="H3867" t="n">
        <v>2</v>
      </c>
      <c r="I3867" t="n">
        <v>16</v>
      </c>
      <c r="J3867" t="n">
        <v>3</v>
      </c>
      <c r="K3867" t="n">
        <v>0</v>
      </c>
      <c r="L3867" t="n">
        <v>59250</v>
      </c>
      <c r="M3867" t="n">
        <v>79000</v>
      </c>
      <c r="N3867" t="n">
        <v>91</v>
      </c>
      <c r="O3867" t="n">
        <v>0.91</v>
      </c>
      <c r="P3867" t="n">
        <v>1</v>
      </c>
      <c r="Q3867" t="n">
        <v>0.61</v>
      </c>
      <c r="R3867" t="n">
        <v>3</v>
      </c>
      <c r="S3867" t="n">
        <v>40258.4</v>
      </c>
      <c r="T3867" t="n">
        <v>43</v>
      </c>
      <c r="U3867" t="n">
        <v>45</v>
      </c>
      <c r="V3867" t="n">
        <v>30</v>
      </c>
      <c r="W3867" t="n">
        <v>16</v>
      </c>
      <c r="X3867" t="n">
        <v>17.66091051805337</v>
      </c>
      <c r="Y3867" t="n">
        <v>1</v>
      </c>
      <c r="Z3867" t="n">
        <v>7</v>
      </c>
      <c r="AA3867" t="n">
        <v>0</v>
      </c>
      <c r="AB3867" t="n">
        <v>7</v>
      </c>
      <c r="AC3867" t="n">
        <v>7</v>
      </c>
      <c r="AD3867" t="n">
        <v>0</v>
      </c>
      <c r="AE3867" t="n">
        <v>414750</v>
      </c>
      <c r="AF3867" t="n">
        <v>654</v>
      </c>
      <c r="AG3867" t="n">
        <v>107</v>
      </c>
      <c r="AH3867" t="inlineStr">
        <is>
          <t xml:space="preserve">CV. DAHLIA - PPN (PDG) </t>
        </is>
      </c>
      <c r="AI3867" t="n">
        <v>25</v>
      </c>
      <c r="AJ3867" t="inlineStr">
        <is>
          <t>NPURE</t>
        </is>
      </c>
      <c r="AK3867" t="n">
        <v>21</v>
      </c>
      <c r="AL3867" t="inlineStr">
        <is>
          <t>Miss Glam Damar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NPURE</t>
        </is>
      </c>
      <c r="B3868" s="2">
        <f>"8997240890053"</f>
        <v/>
      </c>
      <c r="C3868" t="inlineStr">
        <is>
          <t>NPURE Cica Beat The Sun Powder Spf30 5g</t>
        </is>
      </c>
      <c r="D3868" t="inlineStr">
        <is>
          <t>Miss Glam Damar</t>
        </is>
      </c>
      <c r="E3868" t="n">
        <v>6</v>
      </c>
      <c r="F3868" t="n">
        <v>0.09100000000000001</v>
      </c>
      <c r="G3868" t="n">
        <v>0.91</v>
      </c>
      <c r="H3868" t="n">
        <v>2</v>
      </c>
      <c r="I3868" t="n">
        <v>16</v>
      </c>
      <c r="J3868" t="n">
        <v>3</v>
      </c>
      <c r="K3868" t="n">
        <v>0</v>
      </c>
      <c r="L3868" t="n">
        <v>89250</v>
      </c>
      <c r="M3868" t="n">
        <v>119000</v>
      </c>
      <c r="N3868" t="n">
        <v>91</v>
      </c>
      <c r="O3868" t="n">
        <v>0.91</v>
      </c>
      <c r="P3868" t="n">
        <v>1</v>
      </c>
      <c r="Q3868" t="n">
        <v>0.07000000000000001</v>
      </c>
      <c r="R3868" t="n">
        <v>1</v>
      </c>
      <c r="S3868" t="n">
        <v>10829</v>
      </c>
      <c r="T3868" t="n">
        <v>15</v>
      </c>
      <c r="U3868" t="n">
        <v>16</v>
      </c>
      <c r="V3868" t="n">
        <v>30</v>
      </c>
      <c r="W3868" t="n">
        <v>3</v>
      </c>
      <c r="X3868" t="n">
        <v>65.93406593406593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654</v>
      </c>
      <c r="AG3868" t="n">
        <v>107</v>
      </c>
      <c r="AH3868" t="inlineStr">
        <is>
          <t xml:space="preserve">CV. DAHLIA - PPN (PDG) </t>
        </is>
      </c>
      <c r="AI3868" t="n">
        <v>25</v>
      </c>
      <c r="AJ3868" t="inlineStr">
        <is>
          <t>NPURE</t>
        </is>
      </c>
      <c r="AK3868" t="n">
        <v>21</v>
      </c>
      <c r="AL3868" t="inlineStr">
        <is>
          <t>Miss Glam Damar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NPURE</t>
        </is>
      </c>
      <c r="B3869" s="2">
        <f>"8997240891494"</f>
        <v/>
      </c>
      <c r="C3869" t="inlineStr">
        <is>
          <t>NPURE Cica Beat The Sun Spray SPF 50+ 50ml</t>
        </is>
      </c>
      <c r="D3869" t="inlineStr">
        <is>
          <t>Miss Glam Damar</t>
        </is>
      </c>
      <c r="E3869" t="n">
        <v>4</v>
      </c>
      <c r="F3869" t="n">
        <v>0.0728</v>
      </c>
      <c r="G3869" t="n">
        <v>0.91</v>
      </c>
      <c r="H3869" t="n">
        <v>2</v>
      </c>
      <c r="I3869" t="n">
        <v>16</v>
      </c>
      <c r="J3869" t="n">
        <v>3</v>
      </c>
      <c r="K3869" t="n">
        <v>0</v>
      </c>
      <c r="L3869" t="n">
        <v>59250</v>
      </c>
      <c r="M3869" t="n">
        <v>79000</v>
      </c>
      <c r="N3869" t="n">
        <v>91</v>
      </c>
      <c r="O3869" t="n">
        <v>0.91</v>
      </c>
      <c r="P3869" t="n">
        <v>1</v>
      </c>
      <c r="Q3869" t="n">
        <v>0.12</v>
      </c>
      <c r="R3869" t="n">
        <v>2</v>
      </c>
      <c r="S3869" t="n">
        <v>5751.200000000001</v>
      </c>
      <c r="T3869" t="n">
        <v>15</v>
      </c>
      <c r="U3869" t="n">
        <v>16</v>
      </c>
      <c r="V3869" t="n">
        <v>30</v>
      </c>
      <c r="W3869" t="n">
        <v>3</v>
      </c>
      <c r="X3869" t="n">
        <v>54.94505494505494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654</v>
      </c>
      <c r="AG3869" t="n">
        <v>107</v>
      </c>
      <c r="AH3869" t="inlineStr">
        <is>
          <t xml:space="preserve">CV. DAHLIA - PPN (PDG) </t>
        </is>
      </c>
      <c r="AI3869" t="n">
        <v>25</v>
      </c>
      <c r="AJ3869" t="inlineStr">
        <is>
          <t>NPURE</t>
        </is>
      </c>
      <c r="AK3869" t="n">
        <v>21</v>
      </c>
      <c r="AL3869" t="inlineStr">
        <is>
          <t>Miss Glam Damar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NPURE</t>
        </is>
      </c>
      <c r="B3870" s="2">
        <f>"8997240890374"</f>
        <v/>
      </c>
      <c r="C3870" t="inlineStr">
        <is>
          <t>NPURE Cica Biome Acne Serum Essence 20 ml</t>
        </is>
      </c>
      <c r="D3870" t="inlineStr">
        <is>
          <t>Miss Glam Damar</t>
        </is>
      </c>
      <c r="E3870" t="n">
        <v>5</v>
      </c>
      <c r="F3870" t="n">
        <v>0.04550000000000001</v>
      </c>
      <c r="G3870" t="n">
        <v>0.91</v>
      </c>
      <c r="H3870" t="n">
        <v>2</v>
      </c>
      <c r="I3870" t="n">
        <v>16</v>
      </c>
      <c r="J3870" t="n">
        <v>3</v>
      </c>
      <c r="K3870" t="n">
        <v>0</v>
      </c>
      <c r="L3870" t="n">
        <v>75000</v>
      </c>
      <c r="M3870" t="n">
        <v>100000</v>
      </c>
      <c r="N3870" t="n">
        <v>91</v>
      </c>
      <c r="O3870" t="n">
        <v>0.91</v>
      </c>
      <c r="P3870" t="n">
        <v>1</v>
      </c>
      <c r="Q3870" t="n">
        <v>0.03</v>
      </c>
      <c r="R3870" t="n">
        <v>1</v>
      </c>
      <c r="S3870" t="n">
        <v>4550.000000000001</v>
      </c>
      <c r="T3870" t="n">
        <v>15</v>
      </c>
      <c r="U3870" t="n">
        <v>16</v>
      </c>
      <c r="V3870" t="n">
        <v>30</v>
      </c>
      <c r="W3870" t="n">
        <v>2</v>
      </c>
      <c r="X3870" t="n">
        <v>109.8901098901099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654</v>
      </c>
      <c r="AG3870" t="n">
        <v>107</v>
      </c>
      <c r="AH3870" t="inlineStr">
        <is>
          <t xml:space="preserve">CV. DAHLIA - PPN (PDG) </t>
        </is>
      </c>
      <c r="AI3870" t="n">
        <v>25</v>
      </c>
      <c r="AJ3870" t="inlineStr">
        <is>
          <t>NPURE</t>
        </is>
      </c>
      <c r="AK3870" t="n">
        <v>21</v>
      </c>
      <c r="AL3870" t="inlineStr">
        <is>
          <t>Miss Glam Damar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NPURE</t>
        </is>
      </c>
      <c r="B3871" s="2">
        <f>"8997219892989"</f>
        <v/>
      </c>
      <c r="C3871" t="inlineStr">
        <is>
          <t>NPURE Cica Clear Pad 100gr (40 pads)</t>
        </is>
      </c>
      <c r="D3871" t="inlineStr">
        <is>
          <t>Miss Glam Damar</t>
        </is>
      </c>
      <c r="E3871" t="n">
        <v>8</v>
      </c>
      <c r="F3871" t="n">
        <v>0.2639</v>
      </c>
      <c r="G3871" t="n">
        <v>1.82</v>
      </c>
      <c r="H3871" t="n">
        <v>2</v>
      </c>
      <c r="I3871" t="n">
        <v>16</v>
      </c>
      <c r="J3871" t="n">
        <v>3</v>
      </c>
      <c r="K3871" t="n">
        <v>0</v>
      </c>
      <c r="L3871" t="n">
        <v>74250</v>
      </c>
      <c r="M3871" t="n">
        <v>99000</v>
      </c>
      <c r="N3871" t="n">
        <v>91</v>
      </c>
      <c r="O3871" t="n">
        <v>0.91</v>
      </c>
      <c r="P3871" t="n">
        <v>1</v>
      </c>
      <c r="Q3871" t="n">
        <v>0.41</v>
      </c>
      <c r="R3871" t="n">
        <v>3</v>
      </c>
      <c r="S3871" t="n">
        <v>26126.1</v>
      </c>
      <c r="T3871" t="n">
        <v>29</v>
      </c>
      <c r="U3871" t="n">
        <v>30</v>
      </c>
      <c r="V3871" t="n">
        <v>30</v>
      </c>
      <c r="W3871" t="n">
        <v>8</v>
      </c>
      <c r="X3871" t="n">
        <v>30.31451307313377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654</v>
      </c>
      <c r="AG3871" t="n">
        <v>107</v>
      </c>
      <c r="AH3871" t="inlineStr">
        <is>
          <t xml:space="preserve">CV. DAHLIA - PPN (PDG) </t>
        </is>
      </c>
      <c r="AI3871" t="n">
        <v>25</v>
      </c>
      <c r="AJ3871" t="inlineStr">
        <is>
          <t>NPURE</t>
        </is>
      </c>
      <c r="AK3871" t="n">
        <v>21</v>
      </c>
      <c r="AL3871" t="inlineStr">
        <is>
          <t>Miss Glam Damar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NPURE</t>
        </is>
      </c>
      <c r="B3872" s="2">
        <f>"8997219893382"</f>
        <v/>
      </c>
      <c r="C3872" t="inlineStr">
        <is>
          <t>NPURE Cica Cocomint Clay Mask 50g</t>
        </is>
      </c>
      <c r="D3872" t="inlineStr">
        <is>
          <t>Miss Glam Damar</t>
        </is>
      </c>
      <c r="E3872" t="n">
        <v>4</v>
      </c>
      <c r="F3872" t="n">
        <v>0.0273</v>
      </c>
      <c r="G3872" t="n">
        <v>0.91</v>
      </c>
      <c r="H3872" t="n">
        <v>2</v>
      </c>
      <c r="I3872" t="n">
        <v>16</v>
      </c>
      <c r="J3872" t="n">
        <v>3</v>
      </c>
      <c r="K3872" t="n">
        <v>0</v>
      </c>
      <c r="L3872" t="n">
        <v>66750</v>
      </c>
      <c r="M3872" t="n">
        <v>89000</v>
      </c>
      <c r="N3872" t="n">
        <v>91</v>
      </c>
      <c r="O3872" t="n">
        <v>0.91</v>
      </c>
      <c r="P3872" t="n">
        <v>1</v>
      </c>
      <c r="Q3872" t="n">
        <v>0.12</v>
      </c>
      <c r="R3872" t="n">
        <v>1</v>
      </c>
      <c r="S3872" t="n">
        <v>2429.7</v>
      </c>
      <c r="T3872" t="n">
        <v>15</v>
      </c>
      <c r="U3872" t="n">
        <v>16</v>
      </c>
      <c r="V3872" t="n">
        <v>30</v>
      </c>
      <c r="W3872" t="n">
        <v>1</v>
      </c>
      <c r="X3872" t="n">
        <v>146.5201465201465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654</v>
      </c>
      <c r="AG3872" t="n">
        <v>107</v>
      </c>
      <c r="AH3872" t="inlineStr">
        <is>
          <t xml:space="preserve">CV. DAHLIA - PPN (PDG) </t>
        </is>
      </c>
      <c r="AI3872" t="n">
        <v>25</v>
      </c>
      <c r="AJ3872" t="inlineStr">
        <is>
          <t>NPURE</t>
        </is>
      </c>
      <c r="AK3872" t="n">
        <v>21</v>
      </c>
      <c r="AL3872" t="inlineStr">
        <is>
          <t>Miss Glam Damar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NPURE</t>
        </is>
      </c>
      <c r="B3873" s="2">
        <f>"8997240890046"</f>
        <v/>
      </c>
      <c r="C3873" t="inlineStr">
        <is>
          <t>NPURE Cica Dark Spot 5ml</t>
        </is>
      </c>
      <c r="D3873" t="inlineStr">
        <is>
          <t>Miss Glam Damar</t>
        </is>
      </c>
      <c r="E3873" t="n">
        <v>10</v>
      </c>
      <c r="F3873" t="n">
        <v>0.2639</v>
      </c>
      <c r="G3873" t="n">
        <v>2.73</v>
      </c>
      <c r="H3873" t="n">
        <v>2</v>
      </c>
      <c r="I3873" t="n">
        <v>16</v>
      </c>
      <c r="J3873" t="n">
        <v>3</v>
      </c>
      <c r="K3873" t="n">
        <v>0</v>
      </c>
      <c r="L3873" t="n">
        <v>59250</v>
      </c>
      <c r="M3873" t="n">
        <v>79000</v>
      </c>
      <c r="N3873" t="n">
        <v>91</v>
      </c>
      <c r="O3873" t="n">
        <v>0.91</v>
      </c>
      <c r="P3873" t="n">
        <v>1</v>
      </c>
      <c r="Q3873" t="n">
        <v>0.25</v>
      </c>
      <c r="R3873" t="n">
        <v>2</v>
      </c>
      <c r="S3873" t="n">
        <v>20848.1</v>
      </c>
      <c r="T3873" t="n">
        <v>44</v>
      </c>
      <c r="U3873" t="n">
        <v>45</v>
      </c>
      <c r="V3873" t="n">
        <v>30</v>
      </c>
      <c r="W3873" t="n">
        <v>8</v>
      </c>
      <c r="X3873" t="n">
        <v>37.89314134141721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654</v>
      </c>
      <c r="AG3873" t="n">
        <v>107</v>
      </c>
      <c r="AH3873" t="inlineStr">
        <is>
          <t xml:space="preserve">CV. DAHLIA - PPN (PDG) </t>
        </is>
      </c>
      <c r="AI3873" t="n">
        <v>25</v>
      </c>
      <c r="AJ3873" t="inlineStr">
        <is>
          <t>NPURE</t>
        </is>
      </c>
      <c r="AK3873" t="n">
        <v>21</v>
      </c>
      <c r="AL3873" t="inlineStr">
        <is>
          <t>Miss Glam Damar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NPURE</t>
        </is>
      </c>
      <c r="B3874" s="2">
        <f>"8997240890886"</f>
        <v/>
      </c>
      <c r="C3874" t="inlineStr">
        <is>
          <t>NPURE Cica Face Sheet Mask 20gr New</t>
        </is>
      </c>
      <c r="D3874" t="inlineStr">
        <is>
          <t>Miss Glam Damar</t>
        </is>
      </c>
      <c r="E3874" t="n">
        <v>137</v>
      </c>
      <c r="F3874" t="n">
        <v>4.1769</v>
      </c>
      <c r="G3874" t="n">
        <v>8.19</v>
      </c>
      <c r="H3874" t="n">
        <v>2</v>
      </c>
      <c r="I3874" t="n">
        <v>16</v>
      </c>
      <c r="J3874" t="n">
        <v>24</v>
      </c>
      <c r="K3874" t="n">
        <v>0</v>
      </c>
      <c r="L3874" t="n">
        <v>12675</v>
      </c>
      <c r="M3874" t="n">
        <v>16900</v>
      </c>
      <c r="N3874" t="n">
        <v>91</v>
      </c>
      <c r="O3874" t="n">
        <v>0.91</v>
      </c>
      <c r="P3874" t="n">
        <v>1</v>
      </c>
      <c r="Q3874" t="n">
        <v>6.27</v>
      </c>
      <c r="R3874" t="n">
        <v>16</v>
      </c>
      <c r="S3874" t="n">
        <v>70589.61</v>
      </c>
      <c r="T3874" t="n">
        <v>123</v>
      </c>
      <c r="U3874" t="n">
        <v>132</v>
      </c>
      <c r="V3874" t="n">
        <v>30</v>
      </c>
      <c r="W3874" t="n">
        <v>126</v>
      </c>
      <c r="X3874" t="n">
        <v>32.79944456415045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654</v>
      </c>
      <c r="AG3874" t="n">
        <v>107</v>
      </c>
      <c r="AH3874" t="inlineStr">
        <is>
          <t xml:space="preserve">CV. DAHLIA - PPN (PDG) </t>
        </is>
      </c>
      <c r="AI3874" t="n">
        <v>25</v>
      </c>
      <c r="AJ3874" t="inlineStr">
        <is>
          <t>NPURE</t>
        </is>
      </c>
      <c r="AK3874" t="n">
        <v>21</v>
      </c>
      <c r="AL3874" t="inlineStr">
        <is>
          <t>Miss Glam Damar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NPURE</t>
        </is>
      </c>
      <c r="B3875" s="2">
        <f>"8997240891364"</f>
        <v/>
      </c>
      <c r="C3875" t="inlineStr">
        <is>
          <t>NPURE Cica Powder Almond 10gr</t>
        </is>
      </c>
      <c r="D3875" t="inlineStr">
        <is>
          <t>Miss Glam Damar</t>
        </is>
      </c>
      <c r="E3875" t="n">
        <v>5</v>
      </c>
      <c r="F3875" t="n">
        <v>0.04550000000000001</v>
      </c>
      <c r="G3875" t="n">
        <v>0.91</v>
      </c>
      <c r="H3875" t="n">
        <v>2</v>
      </c>
      <c r="I3875" t="n">
        <v>16</v>
      </c>
      <c r="J3875" t="n">
        <v>3</v>
      </c>
      <c r="K3875" t="n">
        <v>0</v>
      </c>
      <c r="L3875" t="n">
        <v>74250</v>
      </c>
      <c r="M3875" t="n">
        <v>99000</v>
      </c>
      <c r="N3875" t="n">
        <v>91</v>
      </c>
      <c r="O3875" t="n">
        <v>0.91</v>
      </c>
      <c r="P3875" t="n">
        <v>1</v>
      </c>
      <c r="Q3875" t="n">
        <v>0.07000000000000001</v>
      </c>
      <c r="R3875" t="n">
        <v>1</v>
      </c>
      <c r="S3875" t="n">
        <v>4504.500000000001</v>
      </c>
      <c r="T3875" t="n">
        <v>15</v>
      </c>
      <c r="U3875" t="n">
        <v>16</v>
      </c>
      <c r="V3875" t="n">
        <v>30</v>
      </c>
      <c r="W3875" t="n">
        <v>2</v>
      </c>
      <c r="X3875" t="n">
        <v>109.8901098901099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654</v>
      </c>
      <c r="AG3875" t="n">
        <v>107</v>
      </c>
      <c r="AH3875" t="inlineStr">
        <is>
          <t xml:space="preserve">CV. DAHLIA - PPN (PDG) </t>
        </is>
      </c>
      <c r="AI3875" t="n">
        <v>25</v>
      </c>
      <c r="AJ3875" t="inlineStr">
        <is>
          <t>NPURE</t>
        </is>
      </c>
      <c r="AK3875" t="n">
        <v>21</v>
      </c>
      <c r="AL3875" t="inlineStr">
        <is>
          <t>Miss Glam Damar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NPURE</t>
        </is>
      </c>
      <c r="B3876" s="2">
        <f>"8997240891340"</f>
        <v/>
      </c>
      <c r="C3876" t="inlineStr">
        <is>
          <t>NPURE Cica Powder Apricot 10gr</t>
        </is>
      </c>
      <c r="D3876" t="inlineStr">
        <is>
          <t>Miss Glam Damar</t>
        </is>
      </c>
      <c r="E3876" t="n">
        <v>5</v>
      </c>
      <c r="F3876" t="n">
        <v>0.09100000000000001</v>
      </c>
      <c r="G3876" t="n">
        <v>0.91</v>
      </c>
      <c r="H3876" t="n">
        <v>2</v>
      </c>
      <c r="I3876" t="n">
        <v>16</v>
      </c>
      <c r="J3876" t="n">
        <v>3</v>
      </c>
      <c r="K3876" t="n">
        <v>0</v>
      </c>
      <c r="L3876" t="n">
        <v>74250</v>
      </c>
      <c r="M3876" t="n">
        <v>99000</v>
      </c>
      <c r="N3876" t="n">
        <v>91</v>
      </c>
      <c r="O3876" t="n">
        <v>0.91</v>
      </c>
      <c r="P3876" t="n">
        <v>1</v>
      </c>
      <c r="Q3876" t="n">
        <v>0.1</v>
      </c>
      <c r="R3876" t="n">
        <v>1</v>
      </c>
      <c r="S3876" t="n">
        <v>9009.000000000002</v>
      </c>
      <c r="T3876" t="n">
        <v>15</v>
      </c>
      <c r="U3876" t="n">
        <v>16</v>
      </c>
      <c r="V3876" t="n">
        <v>30</v>
      </c>
      <c r="W3876" t="n">
        <v>3</v>
      </c>
      <c r="X3876" t="n">
        <v>54.94505494505494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654</v>
      </c>
      <c r="AG3876" t="n">
        <v>107</v>
      </c>
      <c r="AH3876" t="inlineStr">
        <is>
          <t xml:space="preserve">CV. DAHLIA - PPN (PDG) </t>
        </is>
      </c>
      <c r="AI3876" t="n">
        <v>25</v>
      </c>
      <c r="AJ3876" t="inlineStr">
        <is>
          <t>NPURE</t>
        </is>
      </c>
      <c r="AK3876" t="n">
        <v>21</v>
      </c>
      <c r="AL3876" t="inlineStr">
        <is>
          <t>Miss Glam Damar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NPURE</t>
        </is>
      </c>
      <c r="B3877" s="2">
        <f>"8997240891357"</f>
        <v/>
      </c>
      <c r="C3877" t="inlineStr">
        <is>
          <t>NPURE Cica Powder Banana 10gr</t>
        </is>
      </c>
      <c r="D3877" t="inlineStr">
        <is>
          <t>Miss Glam Damar</t>
        </is>
      </c>
      <c r="E3877" t="n">
        <v>6</v>
      </c>
      <c r="F3877" t="n">
        <v>0.06370000000000001</v>
      </c>
      <c r="G3877" t="n">
        <v>0.91</v>
      </c>
      <c r="H3877" t="n">
        <v>2</v>
      </c>
      <c r="I3877" t="n">
        <v>16</v>
      </c>
      <c r="J3877" t="n">
        <v>3</v>
      </c>
      <c r="K3877" t="n">
        <v>0</v>
      </c>
      <c r="L3877" t="n">
        <v>74250</v>
      </c>
      <c r="M3877" t="n">
        <v>99000</v>
      </c>
      <c r="N3877" t="n">
        <v>91</v>
      </c>
      <c r="O3877" t="n">
        <v>0.91</v>
      </c>
      <c r="P3877" t="n">
        <v>1</v>
      </c>
      <c r="Q3877" t="n">
        <v>0.12</v>
      </c>
      <c r="R3877" t="n">
        <v>1</v>
      </c>
      <c r="S3877" t="n">
        <v>6306.300000000001</v>
      </c>
      <c r="T3877" t="n">
        <v>15</v>
      </c>
      <c r="U3877" t="n">
        <v>16</v>
      </c>
      <c r="V3877" t="n">
        <v>30</v>
      </c>
      <c r="W3877" t="n">
        <v>2</v>
      </c>
      <c r="X3877" t="n">
        <v>94.19152276295132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654</v>
      </c>
      <c r="AG3877" t="n">
        <v>107</v>
      </c>
      <c r="AH3877" t="inlineStr">
        <is>
          <t xml:space="preserve">CV. DAHLIA - PPN (PDG) </t>
        </is>
      </c>
      <c r="AI3877" t="n">
        <v>25</v>
      </c>
      <c r="AJ3877" t="inlineStr">
        <is>
          <t>NPURE</t>
        </is>
      </c>
      <c r="AK3877" t="n">
        <v>21</v>
      </c>
      <c r="AL3877" t="inlineStr">
        <is>
          <t>Miss Glam Damar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NPURE</t>
        </is>
      </c>
      <c r="B3878" s="2">
        <f>"8997240891371"</f>
        <v/>
      </c>
      <c r="C3878" t="inlineStr">
        <is>
          <t>NPURE Cica Powder Cocoa 10gr</t>
        </is>
      </c>
      <c r="D3878" t="inlineStr">
        <is>
          <t>Miss Glam Damar</t>
        </is>
      </c>
      <c r="E3878" t="n">
        <v>2</v>
      </c>
      <c r="F3878" t="n">
        <v>0.0182</v>
      </c>
      <c r="G3878" t="n">
        <v>0.91</v>
      </c>
      <c r="H3878" t="n">
        <v>2</v>
      </c>
      <c r="I3878" t="n">
        <v>16</v>
      </c>
      <c r="J3878" t="n">
        <v>3</v>
      </c>
      <c r="K3878" t="n">
        <v>0</v>
      </c>
      <c r="L3878" t="n">
        <v>74250</v>
      </c>
      <c r="M3878" t="n">
        <v>99000</v>
      </c>
      <c r="N3878" t="n">
        <v>91</v>
      </c>
      <c r="O3878" t="n">
        <v>0.91</v>
      </c>
      <c r="P3878" t="n">
        <v>1</v>
      </c>
      <c r="Q3878" t="n">
        <v>0.03</v>
      </c>
      <c r="R3878" t="n">
        <v>1</v>
      </c>
      <c r="S3878" t="n">
        <v>1801.8</v>
      </c>
      <c r="T3878" t="n">
        <v>15</v>
      </c>
      <c r="U3878" t="n">
        <v>16</v>
      </c>
      <c r="V3878" t="n">
        <v>30</v>
      </c>
      <c r="W3878" t="n">
        <v>1</v>
      </c>
      <c r="X3878" t="n">
        <v>109.8901098901099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654</v>
      </c>
      <c r="AG3878" t="n">
        <v>107</v>
      </c>
      <c r="AH3878" t="inlineStr">
        <is>
          <t xml:space="preserve">CV. DAHLIA - PPN (PDG) </t>
        </is>
      </c>
      <c r="AI3878" t="n">
        <v>25</v>
      </c>
      <c r="AJ3878" t="inlineStr">
        <is>
          <t>NPURE</t>
        </is>
      </c>
      <c r="AK3878" t="n">
        <v>21</v>
      </c>
      <c r="AL3878" t="inlineStr">
        <is>
          <t>Miss Glam Damar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NPURE</t>
        </is>
      </c>
      <c r="B3879" s="2">
        <f>"8997240891333"</f>
        <v/>
      </c>
      <c r="C3879" t="inlineStr">
        <is>
          <t>NPURE Cica Powder Pear 10gr</t>
        </is>
      </c>
      <c r="D3879" t="inlineStr">
        <is>
          <t>Miss Glam Damar</t>
        </is>
      </c>
      <c r="E3879" t="n">
        <v>4</v>
      </c>
      <c r="F3879" t="n">
        <v>0.0273</v>
      </c>
      <c r="G3879" t="n">
        <v>0.91</v>
      </c>
      <c r="H3879" t="n">
        <v>2</v>
      </c>
      <c r="I3879" t="n">
        <v>16</v>
      </c>
      <c r="J3879" t="n">
        <v>3</v>
      </c>
      <c r="K3879" t="n">
        <v>0</v>
      </c>
      <c r="L3879" t="n">
        <v>74250</v>
      </c>
      <c r="M3879" t="n">
        <v>99000</v>
      </c>
      <c r="N3879" t="n">
        <v>91</v>
      </c>
      <c r="O3879" t="n">
        <v>0.91</v>
      </c>
      <c r="P3879" t="n">
        <v>1</v>
      </c>
      <c r="Q3879" t="n">
        <v>0.03</v>
      </c>
      <c r="R3879" t="n">
        <v>1</v>
      </c>
      <c r="S3879" t="n">
        <v>2702.7</v>
      </c>
      <c r="T3879" t="n">
        <v>15</v>
      </c>
      <c r="U3879" t="n">
        <v>16</v>
      </c>
      <c r="V3879" t="n">
        <v>30</v>
      </c>
      <c r="W3879" t="n">
        <v>1</v>
      </c>
      <c r="X3879" t="n">
        <v>146.5201465201465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654</v>
      </c>
      <c r="AG3879" t="n">
        <v>107</v>
      </c>
      <c r="AH3879" t="inlineStr">
        <is>
          <t xml:space="preserve">CV. DAHLIA - PPN (PDG) </t>
        </is>
      </c>
      <c r="AI3879" t="n">
        <v>25</v>
      </c>
      <c r="AJ3879" t="inlineStr">
        <is>
          <t>NPURE</t>
        </is>
      </c>
      <c r="AK3879" t="n">
        <v>21</v>
      </c>
      <c r="AL3879" t="inlineStr">
        <is>
          <t>Miss Glam Damar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NPURE</t>
        </is>
      </c>
      <c r="B3880" s="2">
        <f>"20100486116"</f>
        <v/>
      </c>
      <c r="C3880" t="inlineStr">
        <is>
          <t>NPURE Cushion Bundling (Cushion Power + Refill Cushion)</t>
        </is>
      </c>
      <c r="D3880" t="inlineStr">
        <is>
          <t>Miss Glam Damar</t>
        </is>
      </c>
      <c r="E3880" t="n">
        <v>6</v>
      </c>
      <c r="F3880" t="n">
        <v>0.1274</v>
      </c>
      <c r="G3880" t="n">
        <v>0.91</v>
      </c>
      <c r="H3880" t="n">
        <v>2</v>
      </c>
      <c r="I3880" t="n">
        <v>16</v>
      </c>
      <c r="J3880" t="n">
        <v>1</v>
      </c>
      <c r="K3880" t="n">
        <v>0</v>
      </c>
      <c r="L3880" t="n">
        <v>111750</v>
      </c>
      <c r="M3880" t="n">
        <v>149000</v>
      </c>
      <c r="N3880" t="n">
        <v>91</v>
      </c>
      <c r="O3880" t="n">
        <v>0.91</v>
      </c>
      <c r="P3880" t="n">
        <v>1</v>
      </c>
      <c r="Q3880" t="n">
        <v>0.14</v>
      </c>
      <c r="R3880" t="n">
        <v>1</v>
      </c>
      <c r="S3880" t="n">
        <v>18982.6</v>
      </c>
      <c r="T3880" t="n">
        <v>15</v>
      </c>
      <c r="U3880" t="n">
        <v>16</v>
      </c>
      <c r="V3880" t="n">
        <v>30</v>
      </c>
      <c r="W3880" t="n">
        <v>4</v>
      </c>
      <c r="X3880" t="n">
        <v>47.09576138147566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654</v>
      </c>
      <c r="AG3880" t="n">
        <v>107</v>
      </c>
      <c r="AH3880" t="inlineStr">
        <is>
          <t xml:space="preserve">CV. DAHLIA - PPN (PDG) </t>
        </is>
      </c>
      <c r="AI3880" t="n">
        <v>25</v>
      </c>
      <c r="AJ3880" t="inlineStr">
        <is>
          <t>NPURE</t>
        </is>
      </c>
      <c r="AK3880" t="n">
        <v>21</v>
      </c>
      <c r="AL3880" t="inlineStr">
        <is>
          <t>Miss Glam Damar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NPURE</t>
        </is>
      </c>
      <c r="B3881" s="2">
        <f>"10200416444"</f>
        <v/>
      </c>
      <c r="C3881" t="inlineStr">
        <is>
          <t>NPURE Exfoliating Bundling (Cica Pad + Licorice Pad)</t>
        </is>
      </c>
      <c r="D3881" t="inlineStr">
        <is>
          <t>Miss Glam Damar</t>
        </is>
      </c>
      <c r="E3881" t="n">
        <v>8</v>
      </c>
      <c r="F3881" t="n">
        <v>0.7553</v>
      </c>
      <c r="G3881" t="n">
        <v>2.73</v>
      </c>
      <c r="H3881" t="n">
        <v>2</v>
      </c>
      <c r="I3881" t="n">
        <v>16</v>
      </c>
      <c r="J3881" t="n">
        <v>3</v>
      </c>
      <c r="K3881" t="n">
        <v>0</v>
      </c>
      <c r="L3881" t="n">
        <v>99026</v>
      </c>
      <c r="M3881" t="n">
        <v>129000</v>
      </c>
      <c r="N3881" t="n">
        <v>91</v>
      </c>
      <c r="O3881" t="n">
        <v>0.91</v>
      </c>
      <c r="P3881" t="n">
        <v>1</v>
      </c>
      <c r="Q3881" t="n">
        <v>0.51</v>
      </c>
      <c r="R3881" t="n">
        <v>3</v>
      </c>
      <c r="S3881" t="n">
        <v>97433.7</v>
      </c>
      <c r="T3881" t="n">
        <v>43</v>
      </c>
      <c r="U3881" t="n">
        <v>45</v>
      </c>
      <c r="V3881" t="n">
        <v>30</v>
      </c>
      <c r="W3881" t="n">
        <v>23</v>
      </c>
      <c r="X3881" t="n">
        <v>10.59181782073348</v>
      </c>
      <c r="Y3881" t="n">
        <v>1</v>
      </c>
      <c r="Z3881" t="n">
        <v>15</v>
      </c>
      <c r="AA3881" t="n">
        <v>5</v>
      </c>
      <c r="AB3881" t="n">
        <v>10</v>
      </c>
      <c r="AC3881" t="n">
        <v>10</v>
      </c>
      <c r="AD3881" t="n">
        <v>495130</v>
      </c>
      <c r="AE3881" t="n">
        <v>990260</v>
      </c>
      <c r="AF3881" t="n">
        <v>654</v>
      </c>
      <c r="AG3881" t="n">
        <v>107</v>
      </c>
      <c r="AH3881" t="inlineStr">
        <is>
          <t xml:space="preserve">CV. DAHLIA - PPN (PDG) </t>
        </is>
      </c>
      <c r="AI3881" t="n">
        <v>25</v>
      </c>
      <c r="AJ3881" t="inlineStr">
        <is>
          <t>NPURE</t>
        </is>
      </c>
      <c r="AK3881" t="n">
        <v>21</v>
      </c>
      <c r="AL3881" t="inlineStr">
        <is>
          <t>Miss Glam Damar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NPURE</t>
        </is>
      </c>
      <c r="B3882" s="2">
        <f>"10100726242"</f>
        <v/>
      </c>
      <c r="C3882" t="inlineStr">
        <is>
          <t>NPURE Gentle &amp; Hydrate Power Clear Micellar Water 100ml</t>
        </is>
      </c>
      <c r="D3882" t="inlineStr">
        <is>
          <t>Miss Glam Damar</t>
        </is>
      </c>
      <c r="E3882" t="n">
        <v>9</v>
      </c>
      <c r="F3882" t="n">
        <v>0.1729</v>
      </c>
      <c r="G3882" t="n">
        <v>1.82</v>
      </c>
      <c r="H3882" t="n">
        <v>2</v>
      </c>
      <c r="I3882" t="n">
        <v>16</v>
      </c>
      <c r="J3882" t="n">
        <v>1</v>
      </c>
      <c r="K3882" t="n">
        <v>0</v>
      </c>
      <c r="L3882" t="n">
        <v>22125</v>
      </c>
      <c r="M3882" t="n">
        <v>29500</v>
      </c>
      <c r="N3882" t="n">
        <v>91</v>
      </c>
      <c r="O3882" t="n">
        <v>0.91</v>
      </c>
      <c r="P3882" t="n">
        <v>1</v>
      </c>
      <c r="Q3882" t="n">
        <v>0.15</v>
      </c>
      <c r="R3882" t="n">
        <v>3</v>
      </c>
      <c r="S3882" t="n">
        <v>5100.55</v>
      </c>
      <c r="T3882" t="n">
        <v>29</v>
      </c>
      <c r="U3882" t="n">
        <v>30</v>
      </c>
      <c r="V3882" t="n">
        <v>30</v>
      </c>
      <c r="W3882" t="n">
        <v>6</v>
      </c>
      <c r="X3882" t="n">
        <v>52.05320994794679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654</v>
      </c>
      <c r="AG3882" t="n">
        <v>107</v>
      </c>
      <c r="AH3882" t="inlineStr">
        <is>
          <t xml:space="preserve">CV. DAHLIA - PPN (PDG) </t>
        </is>
      </c>
      <c r="AI3882" t="n">
        <v>25</v>
      </c>
      <c r="AJ3882" t="inlineStr">
        <is>
          <t>NPURE</t>
        </is>
      </c>
      <c r="AK3882" t="n">
        <v>21</v>
      </c>
      <c r="AL3882" t="inlineStr">
        <is>
          <t>Miss Glam Damar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NPURE</t>
        </is>
      </c>
      <c r="B3883" s="2">
        <f>"10100726101"</f>
        <v/>
      </c>
      <c r="C3883" t="inlineStr">
        <is>
          <t>NPURE Gentle &amp; Hydrate Power Clear Micellar Water 300ml</t>
        </is>
      </c>
      <c r="D3883" t="inlineStr">
        <is>
          <t>Miss Glam Damar</t>
        </is>
      </c>
      <c r="E3883" t="n">
        <v>18</v>
      </c>
      <c r="F3883" t="n">
        <v>0.3731</v>
      </c>
      <c r="G3883" t="n">
        <v>2.73</v>
      </c>
      <c r="H3883" t="n">
        <v>2</v>
      </c>
      <c r="I3883" t="n">
        <v>16</v>
      </c>
      <c r="J3883" t="n">
        <v>1</v>
      </c>
      <c r="K3883" t="n">
        <v>0</v>
      </c>
      <c r="L3883" t="n">
        <v>36750</v>
      </c>
      <c r="M3883" t="n">
        <v>49000</v>
      </c>
      <c r="N3883" t="n">
        <v>91</v>
      </c>
      <c r="O3883" t="n">
        <v>0.91</v>
      </c>
      <c r="P3883" t="n">
        <v>1</v>
      </c>
      <c r="Q3883" t="n">
        <v>0.31</v>
      </c>
      <c r="R3883" t="n">
        <v>2</v>
      </c>
      <c r="S3883" t="n">
        <v>18281.9</v>
      </c>
      <c r="T3883" t="n">
        <v>43</v>
      </c>
      <c r="U3883" t="n">
        <v>44</v>
      </c>
      <c r="V3883" t="n">
        <v>30</v>
      </c>
      <c r="W3883" t="n">
        <v>12</v>
      </c>
      <c r="X3883" t="n">
        <v>48.24443848834093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654</v>
      </c>
      <c r="AG3883" t="n">
        <v>107</v>
      </c>
      <c r="AH3883" t="inlineStr">
        <is>
          <t xml:space="preserve">CV. DAHLIA - PPN (PDG) </t>
        </is>
      </c>
      <c r="AI3883" t="n">
        <v>25</v>
      </c>
      <c r="AJ3883" t="inlineStr">
        <is>
          <t>NPURE</t>
        </is>
      </c>
      <c r="AK3883" t="n">
        <v>21</v>
      </c>
      <c r="AL3883" t="inlineStr">
        <is>
          <t>Miss Glam Damar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NPURE</t>
        </is>
      </c>
      <c r="B3884" s="2">
        <f>"8997240890954"</f>
        <v/>
      </c>
      <c r="C3884" t="inlineStr">
        <is>
          <t>NPURE Licorice Advanced Peeling Gel 50ml</t>
        </is>
      </c>
      <c r="D3884" t="inlineStr">
        <is>
          <t>Miss Glam Damar</t>
        </is>
      </c>
      <c r="E3884" t="n">
        <v>8</v>
      </c>
      <c r="F3884" t="n">
        <v>0.1547</v>
      </c>
      <c r="G3884" t="n">
        <v>1.82</v>
      </c>
      <c r="H3884" t="n">
        <v>2</v>
      </c>
      <c r="I3884" t="n">
        <v>16</v>
      </c>
      <c r="J3884" t="n">
        <v>3</v>
      </c>
      <c r="K3884" t="n">
        <v>0</v>
      </c>
      <c r="L3884" t="n">
        <v>48750</v>
      </c>
      <c r="M3884" t="n">
        <v>65000</v>
      </c>
      <c r="N3884" t="n">
        <v>91</v>
      </c>
      <c r="O3884" t="n">
        <v>0.91</v>
      </c>
      <c r="P3884" t="n">
        <v>1</v>
      </c>
      <c r="Q3884" t="n">
        <v>0.34</v>
      </c>
      <c r="R3884" t="n">
        <v>2</v>
      </c>
      <c r="S3884" t="n">
        <v>10055.5</v>
      </c>
      <c r="T3884" t="n">
        <v>29</v>
      </c>
      <c r="U3884" t="n">
        <v>30</v>
      </c>
      <c r="V3884" t="n">
        <v>30</v>
      </c>
      <c r="W3884" t="n">
        <v>5</v>
      </c>
      <c r="X3884" t="n">
        <v>51.71299288946348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654</v>
      </c>
      <c r="AG3884" t="n">
        <v>107</v>
      </c>
      <c r="AH3884" t="inlineStr">
        <is>
          <t xml:space="preserve">CV. DAHLIA - PPN (PDG) </t>
        </is>
      </c>
      <c r="AI3884" t="n">
        <v>25</v>
      </c>
      <c r="AJ3884" t="inlineStr">
        <is>
          <t>NPURE</t>
        </is>
      </c>
      <c r="AK3884" t="n">
        <v>21</v>
      </c>
      <c r="AL3884" t="inlineStr">
        <is>
          <t>Miss Glam Damar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NPURE</t>
        </is>
      </c>
      <c r="B3885" s="2">
        <f>"8997240890534"</f>
        <v/>
      </c>
      <c r="C3885" t="inlineStr">
        <is>
          <t>NPURE Licorice Brightening Pad 100gr</t>
        </is>
      </c>
      <c r="D3885" t="inlineStr">
        <is>
          <t>Miss Glam Damar</t>
        </is>
      </c>
      <c r="E3885" t="n">
        <v>11</v>
      </c>
      <c r="F3885" t="n">
        <v>0.1274</v>
      </c>
      <c r="G3885" t="n">
        <v>0.91</v>
      </c>
      <c r="H3885" t="n">
        <v>2</v>
      </c>
      <c r="I3885" t="n">
        <v>16</v>
      </c>
      <c r="J3885" t="n">
        <v>3</v>
      </c>
      <c r="K3885" t="n">
        <v>0</v>
      </c>
      <c r="L3885" t="n">
        <v>74250</v>
      </c>
      <c r="M3885" t="n">
        <v>99000</v>
      </c>
      <c r="N3885" t="n">
        <v>91</v>
      </c>
      <c r="O3885" t="n">
        <v>0.91</v>
      </c>
      <c r="P3885" t="n">
        <v>1</v>
      </c>
      <c r="Q3885" t="n">
        <v>0.19</v>
      </c>
      <c r="R3885" t="n">
        <v>1</v>
      </c>
      <c r="S3885" t="n">
        <v>12612.6</v>
      </c>
      <c r="T3885" t="n">
        <v>15</v>
      </c>
      <c r="U3885" t="n">
        <v>16</v>
      </c>
      <c r="V3885" t="n">
        <v>30</v>
      </c>
      <c r="W3885" t="n">
        <v>4</v>
      </c>
      <c r="X3885" t="n">
        <v>86.34222919937204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654</v>
      </c>
      <c r="AG3885" t="n">
        <v>107</v>
      </c>
      <c r="AH3885" t="inlineStr">
        <is>
          <t xml:space="preserve">CV. DAHLIA - PPN (PDG) </t>
        </is>
      </c>
      <c r="AI3885" t="n">
        <v>25</v>
      </c>
      <c r="AJ3885" t="inlineStr">
        <is>
          <t>NPURE</t>
        </is>
      </c>
      <c r="AK3885" t="n">
        <v>21</v>
      </c>
      <c r="AL3885" t="inlineStr">
        <is>
          <t>Miss Glam Damar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NPURE</t>
        </is>
      </c>
      <c r="B3886" s="2">
        <f>"8997240890268"</f>
        <v/>
      </c>
      <c r="C3886" t="inlineStr">
        <is>
          <t>NPURE Licorice Bring The Light Cleanser 80gr</t>
        </is>
      </c>
      <c r="D3886" t="inlineStr">
        <is>
          <t>Miss Glam Damar</t>
        </is>
      </c>
      <c r="E3886" t="n">
        <v>9</v>
      </c>
      <c r="F3886" t="n">
        <v>0.1092</v>
      </c>
      <c r="G3886" t="n">
        <v>0.91</v>
      </c>
      <c r="H3886" t="n">
        <v>2</v>
      </c>
      <c r="I3886" t="n">
        <v>16</v>
      </c>
      <c r="J3886" t="n">
        <v>3</v>
      </c>
      <c r="K3886" t="n">
        <v>0</v>
      </c>
      <c r="L3886" t="n">
        <v>51750</v>
      </c>
      <c r="M3886" t="n">
        <v>69000</v>
      </c>
      <c r="N3886" t="n">
        <v>91</v>
      </c>
      <c r="O3886" t="n">
        <v>0.91</v>
      </c>
      <c r="P3886" t="n">
        <v>1</v>
      </c>
      <c r="Q3886" t="n">
        <v>0.14</v>
      </c>
      <c r="R3886" t="n">
        <v>2</v>
      </c>
      <c r="S3886" t="n">
        <v>7534.8</v>
      </c>
      <c r="T3886" t="n">
        <v>15</v>
      </c>
      <c r="U3886" t="n">
        <v>16</v>
      </c>
      <c r="V3886" t="n">
        <v>30</v>
      </c>
      <c r="W3886" t="n">
        <v>4</v>
      </c>
      <c r="X3886" t="n">
        <v>82.41758241758241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654</v>
      </c>
      <c r="AG3886" t="n">
        <v>107</v>
      </c>
      <c r="AH3886" t="inlineStr">
        <is>
          <t xml:space="preserve">CV. DAHLIA - PPN (PDG) </t>
        </is>
      </c>
      <c r="AI3886" t="n">
        <v>25</v>
      </c>
      <c r="AJ3886" t="inlineStr">
        <is>
          <t>NPURE</t>
        </is>
      </c>
      <c r="AK3886" t="n">
        <v>21</v>
      </c>
      <c r="AL3886" t="inlineStr">
        <is>
          <t>Miss Glam Damar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NPURE</t>
        </is>
      </c>
      <c r="B3887" s="2">
        <f>"8997240890466"</f>
        <v/>
      </c>
      <c r="C3887" t="inlineStr">
        <is>
          <t>NPURE Licorice Creamy Light Moisturizer 25gr</t>
        </is>
      </c>
      <c r="D3887" t="inlineStr">
        <is>
          <t>Miss Glam Damar</t>
        </is>
      </c>
      <c r="E3887" t="n">
        <v>6</v>
      </c>
      <c r="F3887" t="n">
        <v>0.2184</v>
      </c>
      <c r="G3887" t="n">
        <v>2.73</v>
      </c>
      <c r="H3887" t="n">
        <v>2</v>
      </c>
      <c r="I3887" t="n">
        <v>16</v>
      </c>
      <c r="J3887" t="n">
        <v>3</v>
      </c>
      <c r="K3887" t="n">
        <v>0</v>
      </c>
      <c r="L3887" t="n">
        <v>75000</v>
      </c>
      <c r="M3887" t="n">
        <v>100000</v>
      </c>
      <c r="N3887" t="n">
        <v>91</v>
      </c>
      <c r="O3887" t="n">
        <v>0.91</v>
      </c>
      <c r="P3887" t="n">
        <v>1</v>
      </c>
      <c r="Q3887" t="n">
        <v>0.34</v>
      </c>
      <c r="R3887" t="n">
        <v>2</v>
      </c>
      <c r="S3887" t="n">
        <v>21840</v>
      </c>
      <c r="T3887" t="n">
        <v>44</v>
      </c>
      <c r="U3887" t="n">
        <v>45</v>
      </c>
      <c r="V3887" t="n">
        <v>30</v>
      </c>
      <c r="W3887" t="n">
        <v>7</v>
      </c>
      <c r="X3887" t="n">
        <v>27.47252747252747</v>
      </c>
      <c r="Y3887" t="n">
        <v>1</v>
      </c>
      <c r="Z3887" t="n">
        <v>1</v>
      </c>
      <c r="AA3887" t="n">
        <v>0</v>
      </c>
      <c r="AB3887" t="n">
        <v>1</v>
      </c>
      <c r="AC3887" t="n">
        <v>3</v>
      </c>
      <c r="AD3887" t="n">
        <v>0</v>
      </c>
      <c r="AE3887" t="n">
        <v>225000</v>
      </c>
      <c r="AF3887" t="n">
        <v>654</v>
      </c>
      <c r="AG3887" t="n">
        <v>107</v>
      </c>
      <c r="AH3887" t="inlineStr">
        <is>
          <t xml:space="preserve">CV. DAHLIA - PPN (PDG) </t>
        </is>
      </c>
      <c r="AI3887" t="n">
        <v>25</v>
      </c>
      <c r="AJ3887" t="inlineStr">
        <is>
          <t>NPURE</t>
        </is>
      </c>
      <c r="AK3887" t="n">
        <v>21</v>
      </c>
      <c r="AL3887" t="inlineStr">
        <is>
          <t>Miss Glam Damar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NPURE</t>
        </is>
      </c>
      <c r="B3888" s="2">
        <f>"8997240891098"</f>
        <v/>
      </c>
      <c r="C3888" t="inlineStr">
        <is>
          <t>NPURE Licorice Light Up Brightening Pad 17.5gr</t>
        </is>
      </c>
      <c r="D3888" t="inlineStr">
        <is>
          <t>Miss Glam Damar</t>
        </is>
      </c>
      <c r="E3888" t="n">
        <v>33</v>
      </c>
      <c r="F3888" t="n">
        <v>1.8837</v>
      </c>
      <c r="G3888" t="n">
        <v>8.19</v>
      </c>
      <c r="H3888" t="n">
        <v>2</v>
      </c>
      <c r="I3888" t="n">
        <v>16</v>
      </c>
      <c r="J3888" t="n">
        <v>3</v>
      </c>
      <c r="K3888" t="n">
        <v>0</v>
      </c>
      <c r="L3888" t="n">
        <v>15000</v>
      </c>
      <c r="M3888" t="n">
        <v>20000</v>
      </c>
      <c r="N3888" t="n">
        <v>91</v>
      </c>
      <c r="O3888" t="n">
        <v>0.91</v>
      </c>
      <c r="P3888" t="n">
        <v>1</v>
      </c>
      <c r="Q3888" t="n">
        <v>1</v>
      </c>
      <c r="R3888" t="n">
        <v>4</v>
      </c>
      <c r="S3888" t="n">
        <v>37674</v>
      </c>
      <c r="T3888" t="n">
        <v>128</v>
      </c>
      <c r="U3888" t="n">
        <v>132</v>
      </c>
      <c r="V3888" t="n">
        <v>30</v>
      </c>
      <c r="W3888" t="n">
        <v>57</v>
      </c>
      <c r="X3888" t="n">
        <v>17.51871317088709</v>
      </c>
      <c r="Y3888" t="n">
        <v>1</v>
      </c>
      <c r="Z3888" t="n">
        <v>24</v>
      </c>
      <c r="AA3888" t="n">
        <v>0</v>
      </c>
      <c r="AB3888" t="n">
        <v>24</v>
      </c>
      <c r="AC3888" t="n">
        <v>24</v>
      </c>
      <c r="AD3888" t="n">
        <v>0</v>
      </c>
      <c r="AE3888" t="n">
        <v>360000</v>
      </c>
      <c r="AF3888" t="n">
        <v>654</v>
      </c>
      <c r="AG3888" t="n">
        <v>107</v>
      </c>
      <c r="AH3888" t="inlineStr">
        <is>
          <t xml:space="preserve">CV. DAHLIA - PPN (PDG) </t>
        </is>
      </c>
      <c r="AI3888" t="n">
        <v>25</v>
      </c>
      <c r="AJ3888" t="inlineStr">
        <is>
          <t>NPURE</t>
        </is>
      </c>
      <c r="AK3888" t="n">
        <v>21</v>
      </c>
      <c r="AL3888" t="inlineStr">
        <is>
          <t>Miss Glam Damar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NPURE</t>
        </is>
      </c>
      <c r="B3889" s="2">
        <f>"8997240890275"</f>
        <v/>
      </c>
      <c r="C3889" t="inlineStr">
        <is>
          <t>NPURE Licorice Milky Spotlight Toner 80ml</t>
        </is>
      </c>
      <c r="D3889" t="inlineStr">
        <is>
          <t>Miss Glam Damar</t>
        </is>
      </c>
      <c r="E3889" t="n">
        <v>6</v>
      </c>
      <c r="F3889" t="n">
        <v>0.0728</v>
      </c>
      <c r="G3889" t="n">
        <v>0.91</v>
      </c>
      <c r="H3889" t="n">
        <v>2</v>
      </c>
      <c r="I3889" t="n">
        <v>16</v>
      </c>
      <c r="J3889" t="n">
        <v>3</v>
      </c>
      <c r="K3889" t="n">
        <v>0</v>
      </c>
      <c r="L3889" t="n">
        <v>75000</v>
      </c>
      <c r="M3889" t="n">
        <v>100000</v>
      </c>
      <c r="N3889" t="n">
        <v>91</v>
      </c>
      <c r="O3889" t="n">
        <v>0.91</v>
      </c>
      <c r="P3889" t="n">
        <v>1</v>
      </c>
      <c r="Q3889" t="n">
        <v>0.1</v>
      </c>
      <c r="R3889" t="n">
        <v>2</v>
      </c>
      <c r="S3889" t="n">
        <v>7280</v>
      </c>
      <c r="T3889" t="n">
        <v>15</v>
      </c>
      <c r="U3889" t="n">
        <v>16</v>
      </c>
      <c r="V3889" t="n">
        <v>30</v>
      </c>
      <c r="W3889" t="n">
        <v>3</v>
      </c>
      <c r="X3889" t="n">
        <v>82.41758241758241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654</v>
      </c>
      <c r="AG3889" t="n">
        <v>107</v>
      </c>
      <c r="AH3889" t="inlineStr">
        <is>
          <t xml:space="preserve">CV. DAHLIA - PPN (PDG) </t>
        </is>
      </c>
      <c r="AI3889" t="n">
        <v>25</v>
      </c>
      <c r="AJ3889" t="inlineStr">
        <is>
          <t>NPURE</t>
        </is>
      </c>
      <c r="AK3889" t="n">
        <v>21</v>
      </c>
      <c r="AL3889" t="inlineStr">
        <is>
          <t>Miss Glam Damar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NPURE</t>
        </is>
      </c>
      <c r="B3890" s="2">
        <f>"8997240890657"</f>
        <v/>
      </c>
      <c r="C3890" t="inlineStr">
        <is>
          <t>NPURE Licorice Potion Of Light Serum 20ml</t>
        </is>
      </c>
      <c r="D3890" t="inlineStr">
        <is>
          <t>Miss Glam Damar</t>
        </is>
      </c>
      <c r="E3890" t="n">
        <v>10</v>
      </c>
      <c r="F3890" t="n">
        <v>0.1547</v>
      </c>
      <c r="G3890" t="n">
        <v>0.91</v>
      </c>
      <c r="H3890" t="n">
        <v>2</v>
      </c>
      <c r="I3890" t="n">
        <v>16</v>
      </c>
      <c r="J3890" t="n">
        <v>3</v>
      </c>
      <c r="K3890" t="n">
        <v>0</v>
      </c>
      <c r="L3890" t="n">
        <v>75000</v>
      </c>
      <c r="M3890" t="n">
        <v>100000</v>
      </c>
      <c r="N3890" t="n">
        <v>91</v>
      </c>
      <c r="O3890" t="n">
        <v>0.91</v>
      </c>
      <c r="P3890" t="n">
        <v>1</v>
      </c>
      <c r="Q3890" t="n">
        <v>0.2</v>
      </c>
      <c r="R3890" t="n">
        <v>3</v>
      </c>
      <c r="S3890" t="n">
        <v>15470</v>
      </c>
      <c r="T3890" t="n">
        <v>15</v>
      </c>
      <c r="U3890" t="n">
        <v>16</v>
      </c>
      <c r="V3890" t="n">
        <v>30</v>
      </c>
      <c r="W3890" t="n">
        <v>5</v>
      </c>
      <c r="X3890" t="n">
        <v>64.64124111182934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654</v>
      </c>
      <c r="AG3890" t="n">
        <v>107</v>
      </c>
      <c r="AH3890" t="inlineStr">
        <is>
          <t xml:space="preserve">CV. DAHLIA - PPN (PDG) </t>
        </is>
      </c>
      <c r="AI3890" t="n">
        <v>25</v>
      </c>
      <c r="AJ3890" t="inlineStr">
        <is>
          <t>NPURE</t>
        </is>
      </c>
      <c r="AK3890" t="n">
        <v>21</v>
      </c>
      <c r="AL3890" t="inlineStr">
        <is>
          <t>Miss Glam Damar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NPURE</t>
        </is>
      </c>
      <c r="B3891" s="2">
        <f>"8997240890725"</f>
        <v/>
      </c>
      <c r="C3891" t="inlineStr">
        <is>
          <t>NPURE Licorice Ultra Light Complete Face Essence Sheet Mask 30gr</t>
        </is>
      </c>
      <c r="D3891" t="inlineStr">
        <is>
          <t>Miss Glam Damar</t>
        </is>
      </c>
      <c r="E3891" t="n">
        <v>128</v>
      </c>
      <c r="F3891" t="n">
        <v>3.9494</v>
      </c>
      <c r="G3891" t="n">
        <v>13.65</v>
      </c>
      <c r="H3891" t="n">
        <v>2</v>
      </c>
      <c r="I3891" t="n">
        <v>16</v>
      </c>
      <c r="J3891" t="n">
        <v>3</v>
      </c>
      <c r="K3891" t="n">
        <v>0</v>
      </c>
      <c r="L3891" t="n">
        <v>12675</v>
      </c>
      <c r="M3891" t="n">
        <v>16900</v>
      </c>
      <c r="N3891" t="n">
        <v>91</v>
      </c>
      <c r="O3891" t="n">
        <v>0.91</v>
      </c>
      <c r="P3891" t="n">
        <v>1</v>
      </c>
      <c r="Q3891" t="n">
        <v>6.15</v>
      </c>
      <c r="R3891" t="n">
        <v>29</v>
      </c>
      <c r="S3891" t="n">
        <v>66744.86</v>
      </c>
      <c r="T3891" t="n">
        <v>211</v>
      </c>
      <c r="U3891" t="n">
        <v>219</v>
      </c>
      <c r="V3891" t="n">
        <v>30</v>
      </c>
      <c r="W3891" t="n">
        <v>119</v>
      </c>
      <c r="X3891" t="n">
        <v>32.40998632703702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654</v>
      </c>
      <c r="AG3891" t="n">
        <v>107</v>
      </c>
      <c r="AH3891" t="inlineStr">
        <is>
          <t xml:space="preserve">CV. DAHLIA - PPN (PDG) </t>
        </is>
      </c>
      <c r="AI3891" t="n">
        <v>25</v>
      </c>
      <c r="AJ3891" t="inlineStr">
        <is>
          <t>NPURE</t>
        </is>
      </c>
      <c r="AK3891" t="n">
        <v>21</v>
      </c>
      <c r="AL3891" t="inlineStr">
        <is>
          <t>Miss Glam Damar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NPURE</t>
        </is>
      </c>
      <c r="B3892" s="2">
        <f>"8997240891319"</f>
        <v/>
      </c>
      <c r="C3892" t="inlineStr">
        <is>
          <t>NPURE Marigold Anti-Aging Youth Defense Face Serum 20ml</t>
        </is>
      </c>
      <c r="D3892" t="inlineStr">
        <is>
          <t>Miss Glam Damar</t>
        </is>
      </c>
      <c r="E3892" t="n">
        <v>7</v>
      </c>
      <c r="F3892" t="n">
        <v>0.06370000000000001</v>
      </c>
      <c r="G3892" t="n">
        <v>0.91</v>
      </c>
      <c r="H3892" t="n">
        <v>2</v>
      </c>
      <c r="I3892" t="n">
        <v>16</v>
      </c>
      <c r="J3892" t="n">
        <v>3</v>
      </c>
      <c r="K3892" t="n">
        <v>0</v>
      </c>
      <c r="L3892" t="n">
        <v>75000</v>
      </c>
      <c r="M3892" t="n">
        <v>100000</v>
      </c>
      <c r="N3892" t="n">
        <v>91</v>
      </c>
      <c r="O3892" t="n">
        <v>0.91</v>
      </c>
      <c r="P3892" t="n">
        <v>1</v>
      </c>
      <c r="Q3892" t="n">
        <v>0.14</v>
      </c>
      <c r="R3892" t="n">
        <v>2</v>
      </c>
      <c r="S3892" t="n">
        <v>6370.000000000001</v>
      </c>
      <c r="T3892" t="n">
        <v>15</v>
      </c>
      <c r="U3892" t="n">
        <v>16</v>
      </c>
      <c r="V3892" t="n">
        <v>30</v>
      </c>
      <c r="W3892" t="n">
        <v>2</v>
      </c>
      <c r="X3892" t="n">
        <v>109.8901098901099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654</v>
      </c>
      <c r="AG3892" t="n">
        <v>107</v>
      </c>
      <c r="AH3892" t="inlineStr">
        <is>
          <t xml:space="preserve">CV. DAHLIA - PPN (PDG) </t>
        </is>
      </c>
      <c r="AI3892" t="n">
        <v>25</v>
      </c>
      <c r="AJ3892" t="inlineStr">
        <is>
          <t>NPURE</t>
        </is>
      </c>
      <c r="AK3892" t="n">
        <v>21</v>
      </c>
      <c r="AL3892" t="inlineStr">
        <is>
          <t>Miss Glam Damar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NPURE</t>
        </is>
      </c>
      <c r="B3893" s="2">
        <f>"8997240891326"</f>
        <v/>
      </c>
      <c r="C3893" t="inlineStr">
        <is>
          <t>NPURE Marigold Anti-Aging Youth Defense Hydrating Toner 150ml</t>
        </is>
      </c>
      <c r="D3893" t="inlineStr">
        <is>
          <t>Miss Glam Damar</t>
        </is>
      </c>
      <c r="E3893" t="n">
        <v>5</v>
      </c>
      <c r="F3893" t="n">
        <v>0.08</v>
      </c>
      <c r="G3893" t="n">
        <v>1</v>
      </c>
      <c r="H3893" t="n">
        <v>2</v>
      </c>
      <c r="I3893" t="n">
        <v>16</v>
      </c>
      <c r="J3893" t="n">
        <v>3</v>
      </c>
      <c r="K3893" t="n">
        <v>0</v>
      </c>
      <c r="L3893" t="n">
        <v>75000</v>
      </c>
      <c r="M3893" t="n">
        <v>100000</v>
      </c>
      <c r="N3893" t="n">
        <v>91</v>
      </c>
      <c r="O3893" t="n">
        <v>0.91</v>
      </c>
      <c r="P3893" t="n">
        <v>0</v>
      </c>
      <c r="Q3893" t="n">
        <v>0.08</v>
      </c>
      <c r="R3893" t="n">
        <v>1</v>
      </c>
      <c r="S3893" t="n">
        <v>8000</v>
      </c>
      <c r="T3893" t="n">
        <v>16</v>
      </c>
      <c r="U3893" t="n">
        <v>17</v>
      </c>
      <c r="V3893" t="n">
        <v>30</v>
      </c>
      <c r="W3893" t="n">
        <v>3</v>
      </c>
      <c r="X3893" t="n">
        <v>62.5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654</v>
      </c>
      <c r="AG3893" t="n">
        <v>107</v>
      </c>
      <c r="AH3893" t="inlineStr">
        <is>
          <t xml:space="preserve">CV. DAHLIA - PPN (PDG) </t>
        </is>
      </c>
      <c r="AI3893" t="n">
        <v>25</v>
      </c>
      <c r="AJ3893" t="inlineStr">
        <is>
          <t>NPURE</t>
        </is>
      </c>
      <c r="AK3893" t="n">
        <v>21</v>
      </c>
      <c r="AL3893" t="inlineStr">
        <is>
          <t>Miss Glam Damar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NPURE</t>
        </is>
      </c>
      <c r="B3894" s="2">
        <f>"8997240890138"</f>
        <v/>
      </c>
      <c r="C3894" t="inlineStr">
        <is>
          <t>NPURE Marigold Deep Cleanse Facial Wash 100ml</t>
        </is>
      </c>
      <c r="D3894" t="inlineStr">
        <is>
          <t>Miss Glam Damar</t>
        </is>
      </c>
      <c r="E3894" t="n">
        <v>2</v>
      </c>
      <c r="F3894" t="n">
        <v>0.1274</v>
      </c>
      <c r="G3894" t="n">
        <v>1.82</v>
      </c>
      <c r="H3894" t="n">
        <v>2</v>
      </c>
      <c r="I3894" t="n">
        <v>16</v>
      </c>
      <c r="J3894" t="n">
        <v>3</v>
      </c>
      <c r="K3894" t="n">
        <v>0</v>
      </c>
      <c r="L3894" t="n">
        <v>60000</v>
      </c>
      <c r="M3894" t="n">
        <v>80000</v>
      </c>
      <c r="N3894" t="n">
        <v>91</v>
      </c>
      <c r="O3894" t="n">
        <v>0.91</v>
      </c>
      <c r="P3894" t="n">
        <v>1</v>
      </c>
      <c r="Q3894" t="n">
        <v>0.1</v>
      </c>
      <c r="R3894" t="n">
        <v>1</v>
      </c>
      <c r="S3894" t="n">
        <v>10192</v>
      </c>
      <c r="T3894" t="n">
        <v>29</v>
      </c>
      <c r="U3894" t="n">
        <v>30</v>
      </c>
      <c r="V3894" t="n">
        <v>30</v>
      </c>
      <c r="W3894" t="n">
        <v>4</v>
      </c>
      <c r="X3894" t="n">
        <v>15.69858712715855</v>
      </c>
      <c r="Y3894" t="n">
        <v>1</v>
      </c>
      <c r="Z3894" t="n">
        <v>2</v>
      </c>
      <c r="AA3894" t="n">
        <v>1</v>
      </c>
      <c r="AB3894" t="n">
        <v>1</v>
      </c>
      <c r="AC3894" t="n">
        <v>3</v>
      </c>
      <c r="AD3894" t="n">
        <v>60000</v>
      </c>
      <c r="AE3894" t="n">
        <v>180000</v>
      </c>
      <c r="AF3894" t="n">
        <v>654</v>
      </c>
      <c r="AG3894" t="n">
        <v>107</v>
      </c>
      <c r="AH3894" t="inlineStr">
        <is>
          <t xml:space="preserve">CV. DAHLIA - PPN (PDG) </t>
        </is>
      </c>
      <c r="AI3894" t="n">
        <v>25</v>
      </c>
      <c r="AJ3894" t="inlineStr">
        <is>
          <t>NPURE</t>
        </is>
      </c>
      <c r="AK3894" t="n">
        <v>21</v>
      </c>
      <c r="AL3894" t="inlineStr">
        <is>
          <t>Miss Glam Damar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NPURE</t>
        </is>
      </c>
      <c r="B3895" s="2">
        <f>"8997240890237"</f>
        <v/>
      </c>
      <c r="C3895" t="inlineStr">
        <is>
          <t>NPURE Marigold Eyemazing Power Serum Concentrate 20ml</t>
        </is>
      </c>
      <c r="D3895" t="inlineStr">
        <is>
          <t>Miss Glam Damar</t>
        </is>
      </c>
      <c r="E3895" t="n">
        <v>7</v>
      </c>
      <c r="F3895" t="n">
        <v>0.0728</v>
      </c>
      <c r="G3895" t="n">
        <v>0.91</v>
      </c>
      <c r="H3895" t="n">
        <v>2</v>
      </c>
      <c r="I3895" t="n">
        <v>16</v>
      </c>
      <c r="J3895" t="n">
        <v>3</v>
      </c>
      <c r="K3895" t="n">
        <v>0</v>
      </c>
      <c r="L3895" t="n">
        <v>59250</v>
      </c>
      <c r="M3895" t="n">
        <v>79000</v>
      </c>
      <c r="N3895" t="n">
        <v>91</v>
      </c>
      <c r="O3895" t="n">
        <v>0.91</v>
      </c>
      <c r="P3895" t="n">
        <v>1</v>
      </c>
      <c r="Q3895" t="n">
        <v>0.22</v>
      </c>
      <c r="R3895" t="n">
        <v>2</v>
      </c>
      <c r="S3895" t="n">
        <v>5751.200000000001</v>
      </c>
      <c r="T3895" t="n">
        <v>15</v>
      </c>
      <c r="U3895" t="n">
        <v>16</v>
      </c>
      <c r="V3895" t="n">
        <v>30</v>
      </c>
      <c r="W3895" t="n">
        <v>3</v>
      </c>
      <c r="X3895" t="n">
        <v>96.15384615384615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654</v>
      </c>
      <c r="AG3895" t="n">
        <v>107</v>
      </c>
      <c r="AH3895" t="inlineStr">
        <is>
          <t xml:space="preserve">CV. DAHLIA - PPN (PDG) </t>
        </is>
      </c>
      <c r="AI3895" t="n">
        <v>25</v>
      </c>
      <c r="AJ3895" t="inlineStr">
        <is>
          <t>NPURE</t>
        </is>
      </c>
      <c r="AK3895" t="n">
        <v>21</v>
      </c>
      <c r="AL3895" t="inlineStr">
        <is>
          <t>Miss Glam Damar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NPURE</t>
        </is>
      </c>
      <c r="B3896" s="2">
        <f>"8997240890763"</f>
        <v/>
      </c>
      <c r="C3896" t="inlineStr">
        <is>
          <t>NPURE Marigold Face Essence Sheet Mask 20 gram</t>
        </is>
      </c>
      <c r="D3896" t="inlineStr">
        <is>
          <t>Miss Glam Damar</t>
        </is>
      </c>
      <c r="E3896" t="n">
        <v>57</v>
      </c>
      <c r="F3896" t="n">
        <v>0.9828000000000001</v>
      </c>
      <c r="G3896" t="n">
        <v>4.55</v>
      </c>
      <c r="H3896" t="n">
        <v>2</v>
      </c>
      <c r="I3896" t="n">
        <v>16</v>
      </c>
      <c r="J3896" t="n">
        <v>3</v>
      </c>
      <c r="K3896" t="n">
        <v>0</v>
      </c>
      <c r="L3896" t="n">
        <v>12675</v>
      </c>
      <c r="M3896" t="n">
        <v>16900</v>
      </c>
      <c r="N3896" t="n">
        <v>91</v>
      </c>
      <c r="O3896" t="n">
        <v>0.91</v>
      </c>
      <c r="P3896" t="n">
        <v>1</v>
      </c>
      <c r="Q3896" t="n">
        <v>2.59</v>
      </c>
      <c r="R3896" t="n">
        <v>9</v>
      </c>
      <c r="S3896" t="n">
        <v>16609.32</v>
      </c>
      <c r="T3896" t="n">
        <v>71</v>
      </c>
      <c r="U3896" t="n">
        <v>73</v>
      </c>
      <c r="V3896" t="n">
        <v>30</v>
      </c>
      <c r="W3896" t="n">
        <v>30</v>
      </c>
      <c r="X3896" t="n">
        <v>57.99755799755799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654</v>
      </c>
      <c r="AG3896" t="n">
        <v>107</v>
      </c>
      <c r="AH3896" t="inlineStr">
        <is>
          <t xml:space="preserve">CV. DAHLIA - PPN (PDG) </t>
        </is>
      </c>
      <c r="AI3896" t="n">
        <v>25</v>
      </c>
      <c r="AJ3896" t="inlineStr">
        <is>
          <t>NPURE</t>
        </is>
      </c>
      <c r="AK3896" t="n">
        <v>21</v>
      </c>
      <c r="AL3896" t="inlineStr">
        <is>
          <t>Miss Glam Damar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NPURE</t>
        </is>
      </c>
      <c r="B3897" s="2">
        <f>"8997240890220"</f>
        <v/>
      </c>
      <c r="C3897" t="inlineStr">
        <is>
          <t>NPURE Marigold Memory Bounce Moisturizer 30gr</t>
        </is>
      </c>
      <c r="D3897" t="inlineStr">
        <is>
          <t>Miss Glam Damar</t>
        </is>
      </c>
      <c r="E3897" t="n">
        <v>10</v>
      </c>
      <c r="F3897" t="n">
        <v>0.2184</v>
      </c>
      <c r="G3897" t="n">
        <v>1.82</v>
      </c>
      <c r="H3897" t="n">
        <v>2</v>
      </c>
      <c r="I3897" t="n">
        <v>16</v>
      </c>
      <c r="J3897" t="n">
        <v>3</v>
      </c>
      <c r="K3897" t="n">
        <v>0</v>
      </c>
      <c r="L3897" t="n">
        <v>75000</v>
      </c>
      <c r="M3897" t="n">
        <v>100000</v>
      </c>
      <c r="N3897" t="n">
        <v>91</v>
      </c>
      <c r="O3897" t="n">
        <v>0.91</v>
      </c>
      <c r="P3897" t="n">
        <v>1</v>
      </c>
      <c r="Q3897" t="n">
        <v>0.25</v>
      </c>
      <c r="R3897" t="n">
        <v>1</v>
      </c>
      <c r="S3897" t="n">
        <v>21840</v>
      </c>
      <c r="T3897" t="n">
        <v>29</v>
      </c>
      <c r="U3897" t="n">
        <v>30</v>
      </c>
      <c r="V3897" t="n">
        <v>30</v>
      </c>
      <c r="W3897" t="n">
        <v>7</v>
      </c>
      <c r="X3897" t="n">
        <v>45.78754578754579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654</v>
      </c>
      <c r="AG3897" t="n">
        <v>107</v>
      </c>
      <c r="AH3897" t="inlineStr">
        <is>
          <t xml:space="preserve">CV. DAHLIA - PPN (PDG) </t>
        </is>
      </c>
      <c r="AI3897" t="n">
        <v>25</v>
      </c>
      <c r="AJ3897" t="inlineStr">
        <is>
          <t>NPURE</t>
        </is>
      </c>
      <c r="AK3897" t="n">
        <v>21</v>
      </c>
      <c r="AL3897" t="inlineStr">
        <is>
          <t>Miss Glam Damar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NPURE</t>
        </is>
      </c>
      <c r="B3898" s="2">
        <f>"8997240890244"</f>
        <v/>
      </c>
      <c r="C3898" t="inlineStr">
        <is>
          <t>NPURE Noni Probiotic Sheet Mask 20gr</t>
        </is>
      </c>
      <c r="D3898" t="inlineStr">
        <is>
          <t>Miss Glam Damar</t>
        </is>
      </c>
      <c r="E3898" t="n">
        <v>37</v>
      </c>
      <c r="F3898" t="n">
        <v>0.9828000000000001</v>
      </c>
      <c r="G3898" t="n">
        <v>6.37</v>
      </c>
      <c r="H3898" t="n">
        <v>2</v>
      </c>
      <c r="I3898" t="n">
        <v>16</v>
      </c>
      <c r="J3898" t="n">
        <v>3</v>
      </c>
      <c r="K3898" t="n">
        <v>0</v>
      </c>
      <c r="L3898" t="n">
        <v>12675</v>
      </c>
      <c r="M3898" t="n">
        <v>16000</v>
      </c>
      <c r="N3898" t="n">
        <v>91</v>
      </c>
      <c r="O3898" t="n">
        <v>0.91</v>
      </c>
      <c r="P3898" t="n">
        <v>1</v>
      </c>
      <c r="Q3898" t="n">
        <v>1.63</v>
      </c>
      <c r="R3898" t="n">
        <v>10</v>
      </c>
      <c r="S3898" t="n">
        <v>15724.8</v>
      </c>
      <c r="T3898" t="n">
        <v>100</v>
      </c>
      <c r="U3898" t="n">
        <v>102</v>
      </c>
      <c r="V3898" t="n">
        <v>30</v>
      </c>
      <c r="W3898" t="n">
        <v>30</v>
      </c>
      <c r="X3898" t="n">
        <v>37.64753764753765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654</v>
      </c>
      <c r="AG3898" t="n">
        <v>107</v>
      </c>
      <c r="AH3898" t="inlineStr">
        <is>
          <t xml:space="preserve">CV. DAHLIA - PPN (PDG) </t>
        </is>
      </c>
      <c r="AI3898" t="n">
        <v>25</v>
      </c>
      <c r="AJ3898" t="inlineStr">
        <is>
          <t>NPURE</t>
        </is>
      </c>
      <c r="AK3898" t="n">
        <v>21</v>
      </c>
      <c r="AL3898" t="inlineStr">
        <is>
          <t>Miss Glam Damar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NPURE</t>
        </is>
      </c>
      <c r="B3899" s="2">
        <f>"8997240890206"</f>
        <v/>
      </c>
      <c r="C3899" t="inlineStr">
        <is>
          <t>NPURE Noni Probiotics Cleanse Me Softly Gel Cleanser 50ml</t>
        </is>
      </c>
      <c r="D3899" t="inlineStr">
        <is>
          <t>Miss Glam Damar</t>
        </is>
      </c>
      <c r="E3899" t="n">
        <v>25</v>
      </c>
      <c r="F3899" t="n">
        <v>1.3104</v>
      </c>
      <c r="G3899" t="n">
        <v>5.46</v>
      </c>
      <c r="H3899" t="n">
        <v>2</v>
      </c>
      <c r="I3899" t="n">
        <v>16</v>
      </c>
      <c r="J3899" t="n">
        <v>3</v>
      </c>
      <c r="K3899" t="n">
        <v>0</v>
      </c>
      <c r="L3899" t="n">
        <v>26250</v>
      </c>
      <c r="M3899" t="n">
        <v>35000</v>
      </c>
      <c r="N3899" t="n">
        <v>91</v>
      </c>
      <c r="O3899" t="n">
        <v>0.91</v>
      </c>
      <c r="P3899" t="n">
        <v>1</v>
      </c>
      <c r="Q3899" t="n">
        <v>0.85</v>
      </c>
      <c r="R3899" t="n">
        <v>5</v>
      </c>
      <c r="S3899" t="n">
        <v>45864</v>
      </c>
      <c r="T3899" t="n">
        <v>85</v>
      </c>
      <c r="U3899" t="n">
        <v>88</v>
      </c>
      <c r="V3899" t="n">
        <v>30</v>
      </c>
      <c r="W3899" t="n">
        <v>40</v>
      </c>
      <c r="X3899" t="n">
        <v>19.07814407814408</v>
      </c>
      <c r="Y3899" t="n">
        <v>1</v>
      </c>
      <c r="Z3899" t="n">
        <v>15</v>
      </c>
      <c r="AA3899" t="n">
        <v>0</v>
      </c>
      <c r="AB3899" t="n">
        <v>15</v>
      </c>
      <c r="AC3899" t="n">
        <v>15</v>
      </c>
      <c r="AD3899" t="n">
        <v>0</v>
      </c>
      <c r="AE3899" t="n">
        <v>393750</v>
      </c>
      <c r="AF3899" t="n">
        <v>654</v>
      </c>
      <c r="AG3899" t="n">
        <v>107</v>
      </c>
      <c r="AH3899" t="inlineStr">
        <is>
          <t xml:space="preserve">CV. DAHLIA - PPN (PDG) </t>
        </is>
      </c>
      <c r="AI3899" t="n">
        <v>25</v>
      </c>
      <c r="AJ3899" t="inlineStr">
        <is>
          <t>NPURE</t>
        </is>
      </c>
      <c r="AK3899" t="n">
        <v>21</v>
      </c>
      <c r="AL3899" t="inlineStr">
        <is>
          <t>Miss Glam Damar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NPURE</t>
        </is>
      </c>
      <c r="B3900" s="2">
        <f>"8997240890022"</f>
        <v/>
      </c>
      <c r="C3900" t="inlineStr">
        <is>
          <t>NPURE Noni Probiotics Cleanse Me Softly Gel Cleanser Sensitive Skin 100ml</t>
        </is>
      </c>
      <c r="D3900" t="inlineStr">
        <is>
          <t>Miss Glam Damar</t>
        </is>
      </c>
      <c r="E3900" t="n">
        <v>19</v>
      </c>
      <c r="F3900" t="n">
        <v>0.8372000000000001</v>
      </c>
      <c r="G3900" t="n">
        <v>2.73</v>
      </c>
      <c r="H3900" t="n">
        <v>2</v>
      </c>
      <c r="I3900" t="n">
        <v>16</v>
      </c>
      <c r="J3900" t="n">
        <v>3</v>
      </c>
      <c r="K3900" t="n">
        <v>0</v>
      </c>
      <c r="L3900" t="n">
        <v>51750</v>
      </c>
      <c r="M3900" t="n">
        <v>69000</v>
      </c>
      <c r="N3900" t="n">
        <v>91</v>
      </c>
      <c r="O3900" t="n">
        <v>0.91</v>
      </c>
      <c r="P3900" t="n">
        <v>1</v>
      </c>
      <c r="Q3900" t="n">
        <v>0.6899999999999999</v>
      </c>
      <c r="R3900" t="n">
        <v>3</v>
      </c>
      <c r="S3900" t="n">
        <v>57766.8</v>
      </c>
      <c r="T3900" t="n">
        <v>43</v>
      </c>
      <c r="U3900" t="n">
        <v>45</v>
      </c>
      <c r="V3900" t="n">
        <v>30</v>
      </c>
      <c r="W3900" t="n">
        <v>26</v>
      </c>
      <c r="X3900" t="n">
        <v>22.69469660774008</v>
      </c>
      <c r="Y3900" t="n">
        <v>1</v>
      </c>
      <c r="Z3900" t="n">
        <v>7</v>
      </c>
      <c r="AA3900" t="n">
        <v>0</v>
      </c>
      <c r="AB3900" t="n">
        <v>7</v>
      </c>
      <c r="AC3900" t="n">
        <v>7</v>
      </c>
      <c r="AD3900" t="n">
        <v>0</v>
      </c>
      <c r="AE3900" t="n">
        <v>362250</v>
      </c>
      <c r="AF3900" t="n">
        <v>654</v>
      </c>
      <c r="AG3900" t="n">
        <v>107</v>
      </c>
      <c r="AH3900" t="inlineStr">
        <is>
          <t xml:space="preserve">CV. DAHLIA - PPN (PDG) </t>
        </is>
      </c>
      <c r="AI3900" t="n">
        <v>25</v>
      </c>
      <c r="AJ3900" t="inlineStr">
        <is>
          <t>NPURE</t>
        </is>
      </c>
      <c r="AK3900" t="n">
        <v>21</v>
      </c>
      <c r="AL3900" t="inlineStr">
        <is>
          <t>Miss Glam Damar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NPURE</t>
        </is>
      </c>
      <c r="B3901" s="2">
        <f>"8997240890039"</f>
        <v/>
      </c>
      <c r="C3901" t="inlineStr">
        <is>
          <t>NPURE Noni Probiotics Comfort Me Moisturizer Sensitive Skin 30ml</t>
        </is>
      </c>
      <c r="D3901" t="inlineStr">
        <is>
          <t>Miss Glam Damar</t>
        </is>
      </c>
      <c r="E3901" t="n">
        <v>2</v>
      </c>
      <c r="F3901" t="n">
        <v>0.0728</v>
      </c>
      <c r="G3901" t="n">
        <v>0.91</v>
      </c>
      <c r="H3901" t="n">
        <v>2</v>
      </c>
      <c r="I3901" t="n">
        <v>16</v>
      </c>
      <c r="J3901" t="n">
        <v>3</v>
      </c>
      <c r="K3901" t="n">
        <v>0</v>
      </c>
      <c r="L3901" t="n">
        <v>66750</v>
      </c>
      <c r="M3901" t="n">
        <v>89000</v>
      </c>
      <c r="N3901" t="n">
        <v>91</v>
      </c>
      <c r="O3901" t="n">
        <v>0.91</v>
      </c>
      <c r="P3901" t="n">
        <v>1</v>
      </c>
      <c r="Q3901" t="n">
        <v>0.07000000000000001</v>
      </c>
      <c r="R3901" t="n">
        <v>1</v>
      </c>
      <c r="S3901" t="n">
        <v>6479.200000000001</v>
      </c>
      <c r="T3901" t="n">
        <v>15</v>
      </c>
      <c r="U3901" t="n">
        <v>16</v>
      </c>
      <c r="V3901" t="n">
        <v>30</v>
      </c>
      <c r="W3901" t="n">
        <v>3</v>
      </c>
      <c r="X3901" t="n">
        <v>27.47252747252747</v>
      </c>
      <c r="Y3901" t="n">
        <v>1</v>
      </c>
      <c r="Z3901" t="n">
        <v>1</v>
      </c>
      <c r="AA3901" t="n">
        <v>0</v>
      </c>
      <c r="AB3901" t="n">
        <v>1</v>
      </c>
      <c r="AC3901" t="n">
        <v>3</v>
      </c>
      <c r="AD3901" t="n">
        <v>0</v>
      </c>
      <c r="AE3901" t="n">
        <v>200250</v>
      </c>
      <c r="AF3901" t="n">
        <v>654</v>
      </c>
      <c r="AG3901" t="n">
        <v>107</v>
      </c>
      <c r="AH3901" t="inlineStr">
        <is>
          <t xml:space="preserve">CV. DAHLIA - PPN (PDG) </t>
        </is>
      </c>
      <c r="AI3901" t="n">
        <v>25</v>
      </c>
      <c r="AJ3901" t="inlineStr">
        <is>
          <t>NPURE</t>
        </is>
      </c>
      <c r="AK3901" t="n">
        <v>21</v>
      </c>
      <c r="AL3901" t="inlineStr">
        <is>
          <t>Miss Glam Damar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NPURE</t>
        </is>
      </c>
      <c r="B3902" s="2">
        <f>"20100464928"</f>
        <v/>
      </c>
      <c r="C3902" t="inlineStr">
        <is>
          <t>NPURE Power Cushion Almond 13gr</t>
        </is>
      </c>
      <c r="D3902" t="inlineStr">
        <is>
          <t>Miss Glam Damar</t>
        </is>
      </c>
      <c r="E3902" t="n">
        <v>7</v>
      </c>
      <c r="F3902" t="n">
        <v>0.02</v>
      </c>
      <c r="G3902" t="n">
        <v>1</v>
      </c>
      <c r="H3902" t="n">
        <v>2</v>
      </c>
      <c r="I3902" t="n">
        <v>16</v>
      </c>
      <c r="J3902" t="n">
        <v>3</v>
      </c>
      <c r="K3902" t="n">
        <v>0</v>
      </c>
      <c r="L3902" t="n">
        <v>111750</v>
      </c>
      <c r="M3902" t="n">
        <v>149000</v>
      </c>
      <c r="N3902" t="n">
        <v>91</v>
      </c>
      <c r="O3902" t="n">
        <v>0.91</v>
      </c>
      <c r="P3902" t="n">
        <v>0</v>
      </c>
      <c r="Q3902" t="n">
        <v>0.02</v>
      </c>
      <c r="R3902" t="n">
        <v>1</v>
      </c>
      <c r="S3902" t="n">
        <v>2980</v>
      </c>
      <c r="T3902" t="n">
        <v>16</v>
      </c>
      <c r="U3902" t="n">
        <v>17</v>
      </c>
      <c r="V3902" t="n">
        <v>30</v>
      </c>
      <c r="W3902" t="n">
        <v>1</v>
      </c>
      <c r="X3902" t="n">
        <v>350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654</v>
      </c>
      <c r="AG3902" t="n">
        <v>107</v>
      </c>
      <c r="AH3902" t="inlineStr">
        <is>
          <t xml:space="preserve">CV. DAHLIA - PPN (PDG) </t>
        </is>
      </c>
      <c r="AI3902" t="n">
        <v>25</v>
      </c>
      <c r="AJ3902" t="inlineStr">
        <is>
          <t>NPURE</t>
        </is>
      </c>
      <c r="AK3902" t="n">
        <v>21</v>
      </c>
      <c r="AL3902" t="inlineStr">
        <is>
          <t>Miss Glam Damar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NPURE</t>
        </is>
      </c>
      <c r="B3903" s="2">
        <f>"20100465015"</f>
        <v/>
      </c>
      <c r="C3903" t="inlineStr">
        <is>
          <t>NPURE Power Cushion Apricot 13gr</t>
        </is>
      </c>
      <c r="D3903" t="inlineStr">
        <is>
          <t>Miss Glam Damar</t>
        </is>
      </c>
      <c r="E3903" t="n">
        <v>6</v>
      </c>
      <c r="F3903" t="n">
        <v>0.0182</v>
      </c>
      <c r="G3903" t="n">
        <v>0.91</v>
      </c>
      <c r="H3903" t="n">
        <v>2</v>
      </c>
      <c r="I3903" t="n">
        <v>16</v>
      </c>
      <c r="J3903" t="n">
        <v>3</v>
      </c>
      <c r="K3903" t="n">
        <v>0</v>
      </c>
      <c r="L3903" t="n">
        <v>111750</v>
      </c>
      <c r="M3903" t="n">
        <v>149000</v>
      </c>
      <c r="N3903" t="n">
        <v>91</v>
      </c>
      <c r="O3903" t="n">
        <v>0.91</v>
      </c>
      <c r="P3903" t="n">
        <v>1</v>
      </c>
      <c r="Q3903" t="n">
        <v>0.05</v>
      </c>
      <c r="R3903" t="n">
        <v>1</v>
      </c>
      <c r="S3903" t="n">
        <v>2711.8</v>
      </c>
      <c r="T3903" t="n">
        <v>15</v>
      </c>
      <c r="U3903" t="n">
        <v>16</v>
      </c>
      <c r="V3903" t="n">
        <v>30</v>
      </c>
      <c r="W3903" t="n">
        <v>1</v>
      </c>
      <c r="X3903" t="n">
        <v>329.6703296703296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654</v>
      </c>
      <c r="AG3903" t="n">
        <v>107</v>
      </c>
      <c r="AH3903" t="inlineStr">
        <is>
          <t xml:space="preserve">CV. DAHLIA - PPN (PDG) </t>
        </is>
      </c>
      <c r="AI3903" t="n">
        <v>25</v>
      </c>
      <c r="AJ3903" t="inlineStr">
        <is>
          <t>NPURE</t>
        </is>
      </c>
      <c r="AK3903" t="n">
        <v>21</v>
      </c>
      <c r="AL3903" t="inlineStr">
        <is>
          <t>Miss Glam Damar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NPURE</t>
        </is>
      </c>
      <c r="B3904" s="2">
        <f>"20100465150"</f>
        <v/>
      </c>
      <c r="C3904" t="inlineStr">
        <is>
          <t>NPURE Power Cushion Banana 13gr</t>
        </is>
      </c>
      <c r="D3904" t="inlineStr">
        <is>
          <t>Miss Glam Damar</t>
        </is>
      </c>
      <c r="E3904" t="n">
        <v>5</v>
      </c>
      <c r="F3904" t="n">
        <v>0.0546</v>
      </c>
      <c r="G3904" t="n">
        <v>0.91</v>
      </c>
      <c r="H3904" t="n">
        <v>2</v>
      </c>
      <c r="I3904" t="n">
        <v>16</v>
      </c>
      <c r="J3904" t="n">
        <v>3</v>
      </c>
      <c r="K3904" t="n">
        <v>0</v>
      </c>
      <c r="L3904" t="n">
        <v>111750</v>
      </c>
      <c r="M3904" t="n">
        <v>149000</v>
      </c>
      <c r="N3904" t="n">
        <v>91</v>
      </c>
      <c r="O3904" t="n">
        <v>0.91</v>
      </c>
      <c r="P3904" t="n">
        <v>1</v>
      </c>
      <c r="Q3904" t="n">
        <v>0.07000000000000001</v>
      </c>
      <c r="R3904" t="n">
        <v>1</v>
      </c>
      <c r="S3904" t="n">
        <v>8135.400000000001</v>
      </c>
      <c r="T3904" t="n">
        <v>15</v>
      </c>
      <c r="U3904" t="n">
        <v>16</v>
      </c>
      <c r="V3904" t="n">
        <v>30</v>
      </c>
      <c r="W3904" t="n">
        <v>2</v>
      </c>
      <c r="X3904" t="n">
        <v>91.57509157509158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654</v>
      </c>
      <c r="AG3904" t="n">
        <v>107</v>
      </c>
      <c r="AH3904" t="inlineStr">
        <is>
          <t xml:space="preserve">CV. DAHLIA - PPN (PDG) </t>
        </is>
      </c>
      <c r="AI3904" t="n">
        <v>25</v>
      </c>
      <c r="AJ3904" t="inlineStr">
        <is>
          <t>NPURE</t>
        </is>
      </c>
      <c r="AK3904" t="n">
        <v>21</v>
      </c>
      <c r="AL3904" t="inlineStr">
        <is>
          <t>Miss Glam Damar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NPURE</t>
        </is>
      </c>
      <c r="B3905" s="2">
        <f>"10700334257"</f>
        <v/>
      </c>
      <c r="C3905" t="inlineStr">
        <is>
          <t>NPURE Power Glow Lip Oil Marigold Peach 3,5gr</t>
        </is>
      </c>
      <c r="D3905" t="inlineStr">
        <is>
          <t>Miss Glam Damar</t>
        </is>
      </c>
      <c r="E3905" t="n">
        <v>5</v>
      </c>
      <c r="F3905" t="n">
        <v>0.04550000000000001</v>
      </c>
      <c r="G3905" t="n">
        <v>0.91</v>
      </c>
      <c r="H3905" t="n">
        <v>2</v>
      </c>
      <c r="I3905" t="n">
        <v>16</v>
      </c>
      <c r="J3905" t="n">
        <v>1</v>
      </c>
      <c r="K3905" t="n">
        <v>0</v>
      </c>
      <c r="L3905" t="n">
        <v>44250</v>
      </c>
      <c r="M3905" t="n">
        <v>59000</v>
      </c>
      <c r="N3905" t="n">
        <v>91</v>
      </c>
      <c r="O3905" t="n">
        <v>0.91</v>
      </c>
      <c r="P3905" t="n">
        <v>1</v>
      </c>
      <c r="Q3905" t="n">
        <v>0.03</v>
      </c>
      <c r="R3905" t="n">
        <v>1</v>
      </c>
      <c r="S3905" t="n">
        <v>2684.5</v>
      </c>
      <c r="T3905" t="n">
        <v>15</v>
      </c>
      <c r="U3905" t="n">
        <v>16</v>
      </c>
      <c r="V3905" t="n">
        <v>30</v>
      </c>
      <c r="W3905" t="n">
        <v>2</v>
      </c>
      <c r="X3905" t="n">
        <v>109.8901098901099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654</v>
      </c>
      <c r="AG3905" t="n">
        <v>107</v>
      </c>
      <c r="AH3905" t="inlineStr">
        <is>
          <t xml:space="preserve">CV. DAHLIA - PPN (PDG) </t>
        </is>
      </c>
      <c r="AI3905" t="n">
        <v>25</v>
      </c>
      <c r="AJ3905" t="inlineStr">
        <is>
          <t>NPURE</t>
        </is>
      </c>
      <c r="AK3905" t="n">
        <v>21</v>
      </c>
      <c r="AL3905" t="inlineStr">
        <is>
          <t>Miss Glam Damar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NPURE</t>
        </is>
      </c>
      <c r="B3906" s="2">
        <f>"10700334123"</f>
        <v/>
      </c>
      <c r="C3906" t="inlineStr">
        <is>
          <t>NPURE Power Glow Lip Oil Rose Pink 3,5g</t>
        </is>
      </c>
      <c r="D3906" t="inlineStr">
        <is>
          <t>Miss Glam Damar</t>
        </is>
      </c>
      <c r="E3906" t="n">
        <v>7</v>
      </c>
      <c r="F3906" t="n">
        <v>0.2184</v>
      </c>
      <c r="G3906" t="n">
        <v>1.82</v>
      </c>
      <c r="H3906" t="n">
        <v>2</v>
      </c>
      <c r="I3906" t="n">
        <v>16</v>
      </c>
      <c r="J3906" t="n">
        <v>1</v>
      </c>
      <c r="K3906" t="n">
        <v>0</v>
      </c>
      <c r="L3906" t="n">
        <v>44250</v>
      </c>
      <c r="M3906" t="n">
        <v>59000</v>
      </c>
      <c r="N3906" t="n">
        <v>91</v>
      </c>
      <c r="O3906" t="n">
        <v>0.91</v>
      </c>
      <c r="P3906" t="n">
        <v>1</v>
      </c>
      <c r="Q3906" t="n">
        <v>0.41</v>
      </c>
      <c r="R3906" t="n">
        <v>2</v>
      </c>
      <c r="S3906" t="n">
        <v>12885.6</v>
      </c>
      <c r="T3906" t="n">
        <v>29</v>
      </c>
      <c r="U3906" t="n">
        <v>30</v>
      </c>
      <c r="V3906" t="n">
        <v>30</v>
      </c>
      <c r="W3906" t="n">
        <v>7</v>
      </c>
      <c r="X3906" t="n">
        <v>32.05128205128205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654</v>
      </c>
      <c r="AG3906" t="n">
        <v>107</v>
      </c>
      <c r="AH3906" t="inlineStr">
        <is>
          <t xml:space="preserve">CV. DAHLIA - PPN (PDG) </t>
        </is>
      </c>
      <c r="AI3906" t="n">
        <v>25</v>
      </c>
      <c r="AJ3906" t="inlineStr">
        <is>
          <t>NPURE</t>
        </is>
      </c>
      <c r="AK3906" t="n">
        <v>21</v>
      </c>
      <c r="AL3906" t="inlineStr">
        <is>
          <t>Miss Glam Damar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NR</t>
        </is>
      </c>
      <c r="B3907" s="2">
        <f>"8997050801515"</f>
        <v/>
      </c>
      <c r="C3907" t="inlineStr">
        <is>
          <t>NR Hair Reactive Tonic 200ml</t>
        </is>
      </c>
      <c r="D3907" t="inlineStr">
        <is>
          <t>Miss Glam Damar</t>
        </is>
      </c>
      <c r="E3907" t="n">
        <v>8</v>
      </c>
      <c r="F3907" t="n">
        <v>0.2002</v>
      </c>
      <c r="G3907" t="n">
        <v>0.91</v>
      </c>
      <c r="H3907" t="n">
        <v>3</v>
      </c>
      <c r="I3907" t="n">
        <v>11</v>
      </c>
      <c r="J3907" t="n">
        <v>3</v>
      </c>
      <c r="K3907" t="n">
        <v>0</v>
      </c>
      <c r="L3907" t="n">
        <v>72856</v>
      </c>
      <c r="M3907" t="n">
        <v>91100</v>
      </c>
      <c r="N3907" t="n">
        <v>91</v>
      </c>
      <c r="O3907" t="n">
        <v>0.91</v>
      </c>
      <c r="P3907" t="n">
        <v>1</v>
      </c>
      <c r="Q3907" t="n">
        <v>0.25</v>
      </c>
      <c r="R3907" t="n">
        <v>2</v>
      </c>
      <c r="S3907" t="n">
        <v>18238.22</v>
      </c>
      <c r="T3907" t="n">
        <v>10</v>
      </c>
      <c r="U3907" t="n">
        <v>11</v>
      </c>
      <c r="V3907" t="n">
        <v>30</v>
      </c>
      <c r="W3907" t="n">
        <v>7</v>
      </c>
      <c r="X3907" t="n">
        <v>39.96003996003996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10144</v>
      </c>
      <c r="AG3907" t="n">
        <v>78</v>
      </c>
      <c r="AH3907" t="inlineStr">
        <is>
          <t>PT. GLORIENTA P.H - PPN (PDG)</t>
        </is>
      </c>
      <c r="AI3907" t="n">
        <v>119</v>
      </c>
      <c r="AJ3907" t="inlineStr">
        <is>
          <t>NR</t>
        </is>
      </c>
      <c r="AK3907" t="n">
        <v>21</v>
      </c>
      <c r="AL3907" t="inlineStr">
        <is>
          <t>Miss Glam Damar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NR</t>
        </is>
      </c>
      <c r="B3908" s="2">
        <f>"8997050801508"</f>
        <v/>
      </c>
      <c r="C3908" t="inlineStr">
        <is>
          <t>NR Hair Tonic 200ml</t>
        </is>
      </c>
      <c r="D3908" t="inlineStr">
        <is>
          <t>Miss Glam Damar</t>
        </is>
      </c>
      <c r="E3908" t="n">
        <v>15</v>
      </c>
      <c r="F3908" t="n">
        <v>0.1092</v>
      </c>
      <c r="G3908" t="n">
        <v>1.82</v>
      </c>
      <c r="H3908" t="n">
        <v>3</v>
      </c>
      <c r="I3908" t="n">
        <v>11</v>
      </c>
      <c r="J3908" t="n">
        <v>3</v>
      </c>
      <c r="K3908" t="n">
        <v>0</v>
      </c>
      <c r="L3908" t="n">
        <v>67104</v>
      </c>
      <c r="M3908" t="n">
        <v>84100</v>
      </c>
      <c r="N3908" t="n">
        <v>91</v>
      </c>
      <c r="O3908" t="n">
        <v>0.91</v>
      </c>
      <c r="P3908" t="n">
        <v>1</v>
      </c>
      <c r="Q3908" t="n">
        <v>0.39</v>
      </c>
      <c r="R3908" t="n">
        <v>2</v>
      </c>
      <c r="S3908" t="n">
        <v>9183.720000000001</v>
      </c>
      <c r="T3908" t="n">
        <v>20</v>
      </c>
      <c r="U3908" t="n">
        <v>21</v>
      </c>
      <c r="V3908" t="n">
        <v>30</v>
      </c>
      <c r="W3908" t="n">
        <v>4</v>
      </c>
      <c r="X3908" t="n">
        <v>137.3626373626373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10144</v>
      </c>
      <c r="AG3908" t="n">
        <v>78</v>
      </c>
      <c r="AH3908" t="inlineStr">
        <is>
          <t>PT. GLORIENTA P.H - PPN (PDG)</t>
        </is>
      </c>
      <c r="AI3908" t="n">
        <v>119</v>
      </c>
      <c r="AJ3908" t="inlineStr">
        <is>
          <t>NR</t>
        </is>
      </c>
      <c r="AK3908" t="n">
        <v>21</v>
      </c>
      <c r="AL3908" t="inlineStr">
        <is>
          <t>Miss Glam Damar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NR</t>
        </is>
      </c>
      <c r="B3909" s="2">
        <f>"8997050806039"</f>
        <v/>
      </c>
      <c r="C3909" t="inlineStr">
        <is>
          <t>NR Hair Tonic 50ml</t>
        </is>
      </c>
      <c r="D3909" t="inlineStr">
        <is>
          <t>Miss Glam Damar</t>
        </is>
      </c>
      <c r="E3909" t="n">
        <v>10</v>
      </c>
      <c r="F3909" t="n">
        <v>0.1547</v>
      </c>
      <c r="G3909" t="n">
        <v>1.82</v>
      </c>
      <c r="H3909" t="n">
        <v>3</v>
      </c>
      <c r="I3909" t="n">
        <v>11</v>
      </c>
      <c r="J3909" t="n">
        <v>3</v>
      </c>
      <c r="K3909" t="n">
        <v>0</v>
      </c>
      <c r="L3909" t="n">
        <v>29970</v>
      </c>
      <c r="M3909" t="n">
        <v>35500</v>
      </c>
      <c r="N3909" t="n">
        <v>91</v>
      </c>
      <c r="O3909" t="n">
        <v>0.91</v>
      </c>
      <c r="P3909" t="n">
        <v>1</v>
      </c>
      <c r="Q3909" t="n">
        <v>0.36</v>
      </c>
      <c r="R3909" t="n">
        <v>3</v>
      </c>
      <c r="S3909" t="n">
        <v>5491.85</v>
      </c>
      <c r="T3909" t="n">
        <v>20</v>
      </c>
      <c r="U3909" t="n">
        <v>21</v>
      </c>
      <c r="V3909" t="n">
        <v>30</v>
      </c>
      <c r="W3909" t="n">
        <v>5</v>
      </c>
      <c r="X3909" t="n">
        <v>64.64124111182934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10144</v>
      </c>
      <c r="AG3909" t="n">
        <v>78</v>
      </c>
      <c r="AH3909" t="inlineStr">
        <is>
          <t>PT. GLORIENTA P.H - PPN (PDG)</t>
        </is>
      </c>
      <c r="AI3909" t="n">
        <v>119</v>
      </c>
      <c r="AJ3909" t="inlineStr">
        <is>
          <t>NR</t>
        </is>
      </c>
      <c r="AK3909" t="n">
        <v>21</v>
      </c>
      <c r="AL3909" t="inlineStr">
        <is>
          <t>Miss Glam Damar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NR</t>
        </is>
      </c>
      <c r="B3910" s="2">
        <f>"8997050801522"</f>
        <v/>
      </c>
      <c r="C3910" t="inlineStr">
        <is>
          <t>NR Shampoo Arnika 200ml</t>
        </is>
      </c>
      <c r="D3910" t="inlineStr">
        <is>
          <t>Miss Glam Damar</t>
        </is>
      </c>
      <c r="E3910" t="n">
        <v>5</v>
      </c>
      <c r="F3910" t="n">
        <v>0.06370000000000001</v>
      </c>
      <c r="G3910" t="n">
        <v>0.91</v>
      </c>
      <c r="H3910" t="n">
        <v>3</v>
      </c>
      <c r="I3910" t="n">
        <v>11</v>
      </c>
      <c r="J3910" t="n">
        <v>3</v>
      </c>
      <c r="K3910" t="n">
        <v>0</v>
      </c>
      <c r="L3910" t="n">
        <v>47931</v>
      </c>
      <c r="M3910" t="n">
        <v>60000</v>
      </c>
      <c r="N3910" t="n">
        <v>91</v>
      </c>
      <c r="O3910" t="n">
        <v>0.91</v>
      </c>
      <c r="P3910" t="n">
        <v>1</v>
      </c>
      <c r="Q3910" t="n">
        <v>0.05</v>
      </c>
      <c r="R3910" t="n">
        <v>1</v>
      </c>
      <c r="S3910" t="n">
        <v>3822</v>
      </c>
      <c r="T3910" t="n">
        <v>10</v>
      </c>
      <c r="U3910" t="n">
        <v>11</v>
      </c>
      <c r="V3910" t="n">
        <v>30</v>
      </c>
      <c r="W3910" t="n">
        <v>2</v>
      </c>
      <c r="X3910" t="n">
        <v>78.49293563579278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10144</v>
      </c>
      <c r="AG3910" t="n">
        <v>78</v>
      </c>
      <c r="AH3910" t="inlineStr">
        <is>
          <t>PT. GLORIENTA P.H - PPN (PDG)</t>
        </is>
      </c>
      <c r="AI3910" t="n">
        <v>119</v>
      </c>
      <c r="AJ3910" t="inlineStr">
        <is>
          <t>NR</t>
        </is>
      </c>
      <c r="AK3910" t="n">
        <v>21</v>
      </c>
      <c r="AL3910" t="inlineStr">
        <is>
          <t>Miss Glam Damar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NR</t>
        </is>
      </c>
      <c r="B3911" s="2">
        <f>"8997050801553"</f>
        <v/>
      </c>
      <c r="C3911" t="inlineStr">
        <is>
          <t>NR Shampoo Protein 200ml</t>
        </is>
      </c>
      <c r="D3911" t="inlineStr">
        <is>
          <t>Miss Glam Damar</t>
        </is>
      </c>
      <c r="E3911" t="n">
        <v>5</v>
      </c>
      <c r="F3911" t="n">
        <v>0.0273</v>
      </c>
      <c r="G3911" t="n">
        <v>0.91</v>
      </c>
      <c r="H3911" t="n">
        <v>3</v>
      </c>
      <c r="I3911" t="n">
        <v>11</v>
      </c>
      <c r="J3911" t="n">
        <v>3</v>
      </c>
      <c r="K3911" t="n">
        <v>0</v>
      </c>
      <c r="L3911" t="n">
        <v>47931</v>
      </c>
      <c r="M3911" t="n">
        <v>57100</v>
      </c>
      <c r="N3911" t="n">
        <v>91</v>
      </c>
      <c r="O3911" t="n">
        <v>0.91</v>
      </c>
      <c r="P3911" t="n">
        <v>1</v>
      </c>
      <c r="Q3911" t="n">
        <v>0.02</v>
      </c>
      <c r="R3911" t="n">
        <v>0</v>
      </c>
      <c r="S3911" t="n">
        <v>1558.83</v>
      </c>
      <c r="T3911" t="n">
        <v>10</v>
      </c>
      <c r="U3911" t="n">
        <v>11</v>
      </c>
      <c r="V3911" t="n">
        <v>30</v>
      </c>
      <c r="W3911" t="n">
        <v>1</v>
      </c>
      <c r="X3911" t="n">
        <v>183.1501831501832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10144</v>
      </c>
      <c r="AG3911" t="n">
        <v>78</v>
      </c>
      <c r="AH3911" t="inlineStr">
        <is>
          <t>PT. GLORIENTA P.H - PPN (PDG)</t>
        </is>
      </c>
      <c r="AI3911" t="n">
        <v>119</v>
      </c>
      <c r="AJ3911" t="inlineStr">
        <is>
          <t>NR</t>
        </is>
      </c>
      <c r="AK3911" t="n">
        <v>21</v>
      </c>
      <c r="AL3911" t="inlineStr">
        <is>
          <t>Miss Glam Damar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NUFACE</t>
        </is>
      </c>
      <c r="B3912" s="2">
        <f>"8997226224360"</f>
        <v/>
      </c>
      <c r="C3912" t="inlineStr">
        <is>
          <t>NUFACE Acne Face Wash Gel</t>
        </is>
      </c>
      <c r="D3912" t="inlineStr">
        <is>
          <t>Miss Glam Damar</t>
        </is>
      </c>
      <c r="E3912" t="n">
        <v>2</v>
      </c>
      <c r="F3912" t="n">
        <v>0.1001</v>
      </c>
      <c r="G3912" t="n">
        <v>0.91</v>
      </c>
      <c r="H3912" t="n">
        <v>3</v>
      </c>
      <c r="I3912" t="n">
        <v>11</v>
      </c>
      <c r="J3912" t="n">
        <v>3</v>
      </c>
      <c r="K3912" t="n">
        <v>0</v>
      </c>
      <c r="L3912" t="n">
        <v>20518</v>
      </c>
      <c r="M3912" t="n">
        <v>27500</v>
      </c>
      <c r="N3912" t="n">
        <v>91</v>
      </c>
      <c r="O3912" t="n">
        <v>0.91</v>
      </c>
      <c r="P3912" t="n">
        <v>1</v>
      </c>
      <c r="Q3912" t="n">
        <v>0.1</v>
      </c>
      <c r="R3912" t="n">
        <v>1</v>
      </c>
      <c r="S3912" t="n">
        <v>2752.75</v>
      </c>
      <c r="T3912" t="n">
        <v>10</v>
      </c>
      <c r="U3912" t="n">
        <v>11</v>
      </c>
      <c r="V3912" t="n">
        <v>30</v>
      </c>
      <c r="W3912" t="n">
        <v>4</v>
      </c>
      <c r="X3912" t="n">
        <v>19.98001998001998</v>
      </c>
      <c r="Y3912" t="n">
        <v>1</v>
      </c>
      <c r="Z3912" t="n">
        <v>2</v>
      </c>
      <c r="AA3912" t="n">
        <v>0</v>
      </c>
      <c r="AB3912" t="n">
        <v>2</v>
      </c>
      <c r="AC3912" t="n">
        <v>3</v>
      </c>
      <c r="AD3912" t="n">
        <v>0</v>
      </c>
      <c r="AE3912" t="n">
        <v>61554</v>
      </c>
      <c r="AF3912" t="n">
        <v>10154</v>
      </c>
      <c r="AG3912" t="n">
        <v>78</v>
      </c>
      <c r="AH3912" t="inlineStr">
        <is>
          <t>PT. GLORIENTA P.H - PPN (PDG)</t>
        </is>
      </c>
      <c r="AI3912" t="n">
        <v>1057</v>
      </c>
      <c r="AJ3912" t="inlineStr">
        <is>
          <t>NUFACE</t>
        </is>
      </c>
      <c r="AK3912" t="n">
        <v>21</v>
      </c>
      <c r="AL3912" t="inlineStr">
        <is>
          <t>Miss Glam Damar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NUFACE</t>
        </is>
      </c>
      <c r="B3913" s="2">
        <f>"8997226223899"</f>
        <v/>
      </c>
      <c r="C3913" t="inlineStr">
        <is>
          <t>NUFACE Acne Spot Gel 15gr</t>
        </is>
      </c>
      <c r="D3913" t="inlineStr">
        <is>
          <t>Miss Glam Damar</t>
        </is>
      </c>
      <c r="E3913" t="n">
        <v>0</v>
      </c>
      <c r="F3913" t="n">
        <v>0.06</v>
      </c>
      <c r="G3913" t="n">
        <v>1</v>
      </c>
      <c r="H3913" t="n">
        <v>3</v>
      </c>
      <c r="I3913" t="n">
        <v>11</v>
      </c>
      <c r="J3913" t="n">
        <v>3</v>
      </c>
      <c r="K3913" t="n">
        <v>0</v>
      </c>
      <c r="L3913" t="n">
        <v>22725</v>
      </c>
      <c r="M3913" t="n">
        <v>29000</v>
      </c>
      <c r="N3913" t="n">
        <v>91</v>
      </c>
      <c r="O3913" t="n">
        <v>0.91</v>
      </c>
      <c r="P3913" t="n">
        <v>0</v>
      </c>
      <c r="Q3913" t="n">
        <v>0.06</v>
      </c>
      <c r="R3913" t="n">
        <v>1</v>
      </c>
      <c r="S3913" t="n">
        <v>1740</v>
      </c>
      <c r="T3913" t="n">
        <v>11</v>
      </c>
      <c r="U3913" t="n">
        <v>12</v>
      </c>
      <c r="V3913" t="n">
        <v>30</v>
      </c>
      <c r="W3913" t="n">
        <v>2</v>
      </c>
      <c r="X3913" t="n">
        <v>0</v>
      </c>
      <c r="Y3913" t="n">
        <v>1</v>
      </c>
      <c r="Z3913" t="n">
        <v>2</v>
      </c>
      <c r="AA3913" t="n">
        <v>1</v>
      </c>
      <c r="AB3913" t="n">
        <v>1</v>
      </c>
      <c r="AC3913" t="n">
        <v>3</v>
      </c>
      <c r="AD3913" t="n">
        <v>22725</v>
      </c>
      <c r="AE3913" t="n">
        <v>68175</v>
      </c>
      <c r="AF3913" t="n">
        <v>10154</v>
      </c>
      <c r="AG3913" t="n">
        <v>78</v>
      </c>
      <c r="AH3913" t="inlineStr">
        <is>
          <t>PT. GLORIENTA P.H - PPN (PDG)</t>
        </is>
      </c>
      <c r="AI3913" t="n">
        <v>1057</v>
      </c>
      <c r="AJ3913" t="inlineStr">
        <is>
          <t>NUFACE</t>
        </is>
      </c>
      <c r="AK3913" t="n">
        <v>21</v>
      </c>
      <c r="AL3913" t="inlineStr">
        <is>
          <t>Miss Glam Damar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NUFACE</t>
        </is>
      </c>
      <c r="B3914" s="2">
        <f>"8997226226807"</f>
        <v/>
      </c>
      <c r="C3914" t="inlineStr">
        <is>
          <t>NUFACE Calendula Essential Moisture Boost Essence 108ml</t>
        </is>
      </c>
      <c r="D3914" t="inlineStr">
        <is>
          <t>Miss Glam Damar</t>
        </is>
      </c>
      <c r="E3914" t="n">
        <v>5</v>
      </c>
      <c r="F3914" t="n">
        <v>0.02</v>
      </c>
      <c r="G3914" t="n">
        <v>1</v>
      </c>
      <c r="H3914" t="n">
        <v>3</v>
      </c>
      <c r="I3914" t="n">
        <v>11</v>
      </c>
      <c r="J3914" t="n">
        <v>3</v>
      </c>
      <c r="K3914" t="n">
        <v>0</v>
      </c>
      <c r="L3914" t="n">
        <v>43920</v>
      </c>
      <c r="M3914" t="n">
        <v>57000</v>
      </c>
      <c r="N3914" t="n">
        <v>91</v>
      </c>
      <c r="O3914" t="n">
        <v>0.91</v>
      </c>
      <c r="P3914" t="n">
        <v>0</v>
      </c>
      <c r="Q3914" t="n">
        <v>0.02</v>
      </c>
      <c r="R3914" t="n">
        <v>1</v>
      </c>
      <c r="S3914" t="n">
        <v>1140</v>
      </c>
      <c r="T3914" t="n">
        <v>11</v>
      </c>
      <c r="U3914" t="n">
        <v>12</v>
      </c>
      <c r="V3914" t="n">
        <v>30</v>
      </c>
      <c r="W3914" t="n">
        <v>1</v>
      </c>
      <c r="X3914" t="n">
        <v>250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10154</v>
      </c>
      <c r="AG3914" t="n">
        <v>78</v>
      </c>
      <c r="AH3914" t="inlineStr">
        <is>
          <t>PT. GLORIENTA P.H - PPN (PDG)</t>
        </is>
      </c>
      <c r="AI3914" t="n">
        <v>1057</v>
      </c>
      <c r="AJ3914" t="inlineStr">
        <is>
          <t>NUFACE</t>
        </is>
      </c>
      <c r="AK3914" t="n">
        <v>21</v>
      </c>
      <c r="AL3914" t="inlineStr">
        <is>
          <t>Miss Glam Damar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NUFACE</t>
        </is>
      </c>
      <c r="B3915" s="2">
        <f>"8997226226784"</f>
        <v/>
      </c>
      <c r="C3915" t="inlineStr">
        <is>
          <t>NUFACE Calendula Essential Moisture Boost Facial Wash 108ml</t>
        </is>
      </c>
      <c r="D3915" t="inlineStr">
        <is>
          <t>Miss Glam Damar</t>
        </is>
      </c>
      <c r="E3915" t="n">
        <v>6</v>
      </c>
      <c r="F3915" t="n">
        <v>0.02</v>
      </c>
      <c r="G3915" t="n">
        <v>1</v>
      </c>
      <c r="H3915" t="n">
        <v>3</v>
      </c>
      <c r="I3915" t="n">
        <v>11</v>
      </c>
      <c r="J3915" t="n">
        <v>3</v>
      </c>
      <c r="K3915" t="n">
        <v>0</v>
      </c>
      <c r="L3915" t="n">
        <v>28920</v>
      </c>
      <c r="M3915" t="n">
        <v>37500</v>
      </c>
      <c r="N3915" t="n">
        <v>91</v>
      </c>
      <c r="O3915" t="n">
        <v>0.91</v>
      </c>
      <c r="P3915" t="n">
        <v>0</v>
      </c>
      <c r="Q3915" t="n">
        <v>0.02</v>
      </c>
      <c r="R3915" t="n">
        <v>1</v>
      </c>
      <c r="S3915" t="n">
        <v>750</v>
      </c>
      <c r="T3915" t="n">
        <v>11</v>
      </c>
      <c r="U3915" t="n">
        <v>12</v>
      </c>
      <c r="V3915" t="n">
        <v>30</v>
      </c>
      <c r="W3915" t="n">
        <v>1</v>
      </c>
      <c r="X3915" t="n">
        <v>300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10154</v>
      </c>
      <c r="AG3915" t="n">
        <v>78</v>
      </c>
      <c r="AH3915" t="inlineStr">
        <is>
          <t>PT. GLORIENTA P.H - PPN (PDG)</t>
        </is>
      </c>
      <c r="AI3915" t="n">
        <v>1057</v>
      </c>
      <c r="AJ3915" t="inlineStr">
        <is>
          <t>NUFACE</t>
        </is>
      </c>
      <c r="AK3915" t="n">
        <v>21</v>
      </c>
      <c r="AL3915" t="inlineStr">
        <is>
          <t>Miss Glam Damar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NUFACE</t>
        </is>
      </c>
      <c r="B3916" s="2">
        <f>"8997226225664"</f>
        <v/>
      </c>
      <c r="C3916" t="inlineStr">
        <is>
          <t>NUFACE Cover Me Sun Shield Watery Sun Protect SPF 30 PA+++ 50gr</t>
        </is>
      </c>
      <c r="D3916" t="inlineStr">
        <is>
          <t>Miss Glam Damar</t>
        </is>
      </c>
      <c r="E3916" t="n">
        <v>7</v>
      </c>
      <c r="F3916" t="n">
        <v>0.04550000000000001</v>
      </c>
      <c r="G3916" t="n">
        <v>0.91</v>
      </c>
      <c r="H3916" t="n">
        <v>3</v>
      </c>
      <c r="I3916" t="n">
        <v>11</v>
      </c>
      <c r="J3916" t="n">
        <v>3</v>
      </c>
      <c r="K3916" t="n">
        <v>0</v>
      </c>
      <c r="L3916" t="n">
        <v>27920</v>
      </c>
      <c r="M3916" t="n">
        <v>36000</v>
      </c>
      <c r="N3916" t="n">
        <v>91</v>
      </c>
      <c r="O3916" t="n">
        <v>0.91</v>
      </c>
      <c r="P3916" t="n">
        <v>1</v>
      </c>
      <c r="Q3916" t="n">
        <v>0.05</v>
      </c>
      <c r="R3916" t="n">
        <v>2</v>
      </c>
      <c r="S3916" t="n">
        <v>1638</v>
      </c>
      <c r="T3916" t="n">
        <v>10</v>
      </c>
      <c r="U3916" t="n">
        <v>11</v>
      </c>
      <c r="V3916" t="n">
        <v>30</v>
      </c>
      <c r="W3916" t="n">
        <v>2</v>
      </c>
      <c r="X3916" t="n">
        <v>153.8461538461538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10154</v>
      </c>
      <c r="AG3916" t="n">
        <v>78</v>
      </c>
      <c r="AH3916" t="inlineStr">
        <is>
          <t>PT. GLORIENTA P.H - PPN (PDG)</t>
        </is>
      </c>
      <c r="AI3916" t="n">
        <v>1057</v>
      </c>
      <c r="AJ3916" t="inlineStr">
        <is>
          <t>NUFACE</t>
        </is>
      </c>
      <c r="AK3916" t="n">
        <v>21</v>
      </c>
      <c r="AL3916" t="inlineStr">
        <is>
          <t>Miss Glam Damar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NUFACE</t>
        </is>
      </c>
      <c r="B3917" s="2">
        <f>"8997226225671"</f>
        <v/>
      </c>
      <c r="C3917" t="inlineStr">
        <is>
          <t>NUFACE Cover Me Sun Shield Watery Sun Protect SPF 30PA++++ Tone Up 50gr</t>
        </is>
      </c>
      <c r="D3917" t="inlineStr">
        <is>
          <t>Miss Glam Damar</t>
        </is>
      </c>
      <c r="E3917" t="n">
        <v>9</v>
      </c>
      <c r="F3917" t="n">
        <v>0.1092</v>
      </c>
      <c r="G3917" t="n">
        <v>1.82</v>
      </c>
      <c r="H3917" t="n">
        <v>3</v>
      </c>
      <c r="I3917" t="n">
        <v>11</v>
      </c>
      <c r="J3917" t="n">
        <v>3</v>
      </c>
      <c r="K3917" t="n">
        <v>0</v>
      </c>
      <c r="L3917" t="n">
        <v>28720</v>
      </c>
      <c r="M3917" t="n">
        <v>37000</v>
      </c>
      <c r="N3917" t="n">
        <v>91</v>
      </c>
      <c r="O3917" t="n">
        <v>0.91</v>
      </c>
      <c r="P3917" t="n">
        <v>1</v>
      </c>
      <c r="Q3917" t="n">
        <v>0.02</v>
      </c>
      <c r="R3917" t="n">
        <v>1</v>
      </c>
      <c r="S3917" t="n">
        <v>4040.4</v>
      </c>
      <c r="T3917" t="n">
        <v>20</v>
      </c>
      <c r="U3917" t="n">
        <v>21</v>
      </c>
      <c r="V3917" t="n">
        <v>30</v>
      </c>
      <c r="W3917" t="n">
        <v>4</v>
      </c>
      <c r="X3917" t="n">
        <v>82.41758241758241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10154</v>
      </c>
      <c r="AG3917" t="n">
        <v>78</v>
      </c>
      <c r="AH3917" t="inlineStr">
        <is>
          <t>PT. GLORIENTA P.H - PPN (PDG)</t>
        </is>
      </c>
      <c r="AI3917" t="n">
        <v>1057</v>
      </c>
      <c r="AJ3917" t="inlineStr">
        <is>
          <t>NUFACE</t>
        </is>
      </c>
      <c r="AK3917" t="n">
        <v>21</v>
      </c>
      <c r="AL3917" t="inlineStr">
        <is>
          <t>Miss Glam Damar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NUFACE</t>
        </is>
      </c>
      <c r="B3918" s="2">
        <f>"8997226225657"</f>
        <v/>
      </c>
      <c r="C3918" t="inlineStr">
        <is>
          <t>NUFACE Cover Me Sun Shield Watery Sun Protection SPF 50 PA++++ 50gr</t>
        </is>
      </c>
      <c r="D3918" t="inlineStr">
        <is>
          <t>Miss Glam Damar</t>
        </is>
      </c>
      <c r="E3918" t="n">
        <v>2</v>
      </c>
      <c r="F3918" t="n">
        <v>0.0728</v>
      </c>
      <c r="G3918" t="n">
        <v>0.91</v>
      </c>
      <c r="H3918" t="n">
        <v>3</v>
      </c>
      <c r="I3918" t="n">
        <v>11</v>
      </c>
      <c r="J3918" t="n">
        <v>3</v>
      </c>
      <c r="K3918" t="n">
        <v>0</v>
      </c>
      <c r="L3918" t="n">
        <v>47920</v>
      </c>
      <c r="M3918" t="n">
        <v>62000</v>
      </c>
      <c r="N3918" t="n">
        <v>91</v>
      </c>
      <c r="O3918" t="n">
        <v>0.91</v>
      </c>
      <c r="P3918" t="n">
        <v>1</v>
      </c>
      <c r="Q3918" t="n">
        <v>0.07000000000000001</v>
      </c>
      <c r="R3918" t="n">
        <v>1</v>
      </c>
      <c r="S3918" t="n">
        <v>4513.6</v>
      </c>
      <c r="T3918" t="n">
        <v>10</v>
      </c>
      <c r="U3918" t="n">
        <v>11</v>
      </c>
      <c r="V3918" t="n">
        <v>30</v>
      </c>
      <c r="W3918" t="n">
        <v>3</v>
      </c>
      <c r="X3918" t="n">
        <v>27.47252747252747</v>
      </c>
      <c r="Y3918" t="n">
        <v>1</v>
      </c>
      <c r="Z3918" t="n">
        <v>1</v>
      </c>
      <c r="AA3918" t="n">
        <v>0</v>
      </c>
      <c r="AB3918" t="n">
        <v>1</v>
      </c>
      <c r="AC3918" t="n">
        <v>3</v>
      </c>
      <c r="AD3918" t="n">
        <v>0</v>
      </c>
      <c r="AE3918" t="n">
        <v>143760</v>
      </c>
      <c r="AF3918" t="n">
        <v>10154</v>
      </c>
      <c r="AG3918" t="n">
        <v>78</v>
      </c>
      <c r="AH3918" t="inlineStr">
        <is>
          <t>PT. GLORIENTA P.H - PPN (PDG)</t>
        </is>
      </c>
      <c r="AI3918" t="n">
        <v>1057</v>
      </c>
      <c r="AJ3918" t="inlineStr">
        <is>
          <t>NUFACE</t>
        </is>
      </c>
      <c r="AK3918" t="n">
        <v>21</v>
      </c>
      <c r="AL3918" t="inlineStr">
        <is>
          <t>Miss Glam Damar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NUFACE</t>
        </is>
      </c>
      <c r="B3919" s="2">
        <f>"8997016370116"</f>
        <v/>
      </c>
      <c r="C3919" t="inlineStr">
        <is>
          <t>NUFACE Face Cotton Korea 30gr</t>
        </is>
      </c>
      <c r="D3919" t="inlineStr">
        <is>
          <t>Miss Glam Damar</t>
        </is>
      </c>
      <c r="E3919" t="n">
        <v>15</v>
      </c>
      <c r="F3919" t="n">
        <v>0.2821</v>
      </c>
      <c r="G3919" t="n">
        <v>1.82</v>
      </c>
      <c r="H3919" t="n">
        <v>3</v>
      </c>
      <c r="I3919" t="n">
        <v>11</v>
      </c>
      <c r="J3919" t="n">
        <v>3</v>
      </c>
      <c r="K3919" t="n">
        <v>0</v>
      </c>
      <c r="L3919" t="n">
        <v>7120</v>
      </c>
      <c r="M3919" t="n">
        <v>9000</v>
      </c>
      <c r="N3919" t="n">
        <v>91</v>
      </c>
      <c r="O3919" t="n">
        <v>0.91</v>
      </c>
      <c r="P3919" t="n">
        <v>1</v>
      </c>
      <c r="Q3919" t="n">
        <v>0.25</v>
      </c>
      <c r="R3919" t="n">
        <v>1</v>
      </c>
      <c r="S3919" t="n">
        <v>2538.9</v>
      </c>
      <c r="T3919" t="n">
        <v>20</v>
      </c>
      <c r="U3919" t="n">
        <v>21</v>
      </c>
      <c r="V3919" t="n">
        <v>30</v>
      </c>
      <c r="W3919" t="n">
        <v>9</v>
      </c>
      <c r="X3919" t="n">
        <v>53.1726338177951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10154</v>
      </c>
      <c r="AG3919" t="n">
        <v>78</v>
      </c>
      <c r="AH3919" t="inlineStr">
        <is>
          <t>PT. GLORIENTA P.H - PPN (PDG)</t>
        </is>
      </c>
      <c r="AI3919" t="n">
        <v>1057</v>
      </c>
      <c r="AJ3919" t="inlineStr">
        <is>
          <t>NUFACE</t>
        </is>
      </c>
      <c r="AK3919" t="n">
        <v>21</v>
      </c>
      <c r="AL3919" t="inlineStr">
        <is>
          <t>Miss Glam Damar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NUFACE</t>
        </is>
      </c>
      <c r="B3920" s="2">
        <f>"20100467717"</f>
        <v/>
      </c>
      <c r="C3920" t="inlineStr">
        <is>
          <t>NUFACE Flawles Serum Cushion 01 Light Beige 12gr</t>
        </is>
      </c>
      <c r="D3920" t="inlineStr">
        <is>
          <t>Miss Glam Damar</t>
        </is>
      </c>
      <c r="E3920" t="n">
        <v>2</v>
      </c>
      <c r="F3920" t="n">
        <v>0.2275</v>
      </c>
      <c r="G3920" t="n">
        <v>2.73</v>
      </c>
      <c r="H3920" t="n">
        <v>3</v>
      </c>
      <c r="I3920" t="n">
        <v>11</v>
      </c>
      <c r="J3920" t="n">
        <v>1</v>
      </c>
      <c r="K3920" t="n">
        <v>0</v>
      </c>
      <c r="L3920" t="n">
        <v>58920</v>
      </c>
      <c r="M3920" t="n">
        <v>74000</v>
      </c>
      <c r="N3920" t="n">
        <v>91</v>
      </c>
      <c r="O3920" t="n">
        <v>0.91</v>
      </c>
      <c r="P3920" t="n">
        <v>1</v>
      </c>
      <c r="Q3920" t="n">
        <v>0.1</v>
      </c>
      <c r="R3920" t="n">
        <v>1</v>
      </c>
      <c r="S3920" t="n">
        <v>16835</v>
      </c>
      <c r="T3920" t="n">
        <v>30</v>
      </c>
      <c r="U3920" t="n">
        <v>31</v>
      </c>
      <c r="V3920" t="n">
        <v>30</v>
      </c>
      <c r="W3920" t="n">
        <v>7</v>
      </c>
      <c r="X3920" t="n">
        <v>8.79120879120879</v>
      </c>
      <c r="Y3920" t="n">
        <v>1</v>
      </c>
      <c r="Z3920" t="n">
        <v>5</v>
      </c>
      <c r="AA3920" t="n">
        <v>1</v>
      </c>
      <c r="AB3920" t="n">
        <v>4</v>
      </c>
      <c r="AC3920" t="n">
        <v>4</v>
      </c>
      <c r="AD3920" t="n">
        <v>58920</v>
      </c>
      <c r="AE3920" t="n">
        <v>235680</v>
      </c>
      <c r="AF3920" t="n">
        <v>10154</v>
      </c>
      <c r="AG3920" t="n">
        <v>78</v>
      </c>
      <c r="AH3920" t="inlineStr">
        <is>
          <t>PT. GLORIENTA P.H - PPN (PDG)</t>
        </is>
      </c>
      <c r="AI3920" t="n">
        <v>1057</v>
      </c>
      <c r="AJ3920" t="inlineStr">
        <is>
          <t>NUFACE</t>
        </is>
      </c>
      <c r="AK3920" t="n">
        <v>21</v>
      </c>
      <c r="AL3920" t="inlineStr">
        <is>
          <t>Miss Glam Damar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NUFACE</t>
        </is>
      </c>
      <c r="B3921" s="2">
        <f>"20100467704"</f>
        <v/>
      </c>
      <c r="C3921" t="inlineStr">
        <is>
          <t>NUFACE Flawles Serum Cushion 02 Medium Beige 12gr</t>
        </is>
      </c>
      <c r="D3921" t="inlineStr">
        <is>
          <t>Miss Glam Damar</t>
        </is>
      </c>
      <c r="E3921" t="n">
        <v>5</v>
      </c>
      <c r="F3921" t="n">
        <v>0.3549</v>
      </c>
      <c r="G3921" t="n">
        <v>2.73</v>
      </c>
      <c r="H3921" t="n">
        <v>3</v>
      </c>
      <c r="I3921" t="n">
        <v>11</v>
      </c>
      <c r="J3921" t="n">
        <v>1</v>
      </c>
      <c r="K3921" t="n">
        <v>0</v>
      </c>
      <c r="L3921" t="n">
        <v>58920</v>
      </c>
      <c r="M3921" t="n">
        <v>74000</v>
      </c>
      <c r="N3921" t="n">
        <v>91</v>
      </c>
      <c r="O3921" t="n">
        <v>0.91</v>
      </c>
      <c r="P3921" t="n">
        <v>1</v>
      </c>
      <c r="Q3921" t="n">
        <v>0.08</v>
      </c>
      <c r="R3921" t="n">
        <v>1</v>
      </c>
      <c r="S3921" t="n">
        <v>26262.6</v>
      </c>
      <c r="T3921" t="n">
        <v>29</v>
      </c>
      <c r="U3921" t="n">
        <v>31</v>
      </c>
      <c r="V3921" t="n">
        <v>30</v>
      </c>
      <c r="W3921" t="n">
        <v>11</v>
      </c>
      <c r="X3921" t="n">
        <v>14.08847562693716</v>
      </c>
      <c r="Y3921" t="n">
        <v>1</v>
      </c>
      <c r="Z3921" t="n">
        <v>6</v>
      </c>
      <c r="AA3921" t="n">
        <v>0</v>
      </c>
      <c r="AB3921" t="n">
        <v>6</v>
      </c>
      <c r="AC3921" t="n">
        <v>6</v>
      </c>
      <c r="AD3921" t="n">
        <v>0</v>
      </c>
      <c r="AE3921" t="n">
        <v>353520</v>
      </c>
      <c r="AF3921" t="n">
        <v>10154</v>
      </c>
      <c r="AG3921" t="n">
        <v>78</v>
      </c>
      <c r="AH3921" t="inlineStr">
        <is>
          <t>PT. GLORIENTA P.H - PPN (PDG)</t>
        </is>
      </c>
      <c r="AI3921" t="n">
        <v>1057</v>
      </c>
      <c r="AJ3921" t="inlineStr">
        <is>
          <t>NUFACE</t>
        </is>
      </c>
      <c r="AK3921" t="n">
        <v>21</v>
      </c>
      <c r="AL3921" t="inlineStr">
        <is>
          <t>Miss Glam Damar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NUFACE</t>
        </is>
      </c>
      <c r="B3922" s="2">
        <f>"20100467736"</f>
        <v/>
      </c>
      <c r="C3922" t="inlineStr">
        <is>
          <t>NUFACE Flawles Serum Cushion 03 Warm Beige 12gr</t>
        </is>
      </c>
      <c r="D3922" t="inlineStr">
        <is>
          <t>Miss Glam Damar</t>
        </is>
      </c>
      <c r="E3922" t="n">
        <v>3</v>
      </c>
      <c r="F3922" t="n">
        <v>0.0728</v>
      </c>
      <c r="G3922" t="n">
        <v>0.91</v>
      </c>
      <c r="H3922" t="n">
        <v>3</v>
      </c>
      <c r="I3922" t="n">
        <v>11</v>
      </c>
      <c r="J3922" t="n">
        <v>1</v>
      </c>
      <c r="K3922" t="n">
        <v>0</v>
      </c>
      <c r="L3922" t="n">
        <v>58920</v>
      </c>
      <c r="M3922" t="n">
        <v>74000</v>
      </c>
      <c r="N3922" t="n">
        <v>91</v>
      </c>
      <c r="O3922" t="n">
        <v>0.91</v>
      </c>
      <c r="P3922" t="n">
        <v>1</v>
      </c>
      <c r="Q3922" t="n">
        <v>0.15</v>
      </c>
      <c r="R3922" t="n">
        <v>1</v>
      </c>
      <c r="S3922" t="n">
        <v>5387.2</v>
      </c>
      <c r="T3922" t="n">
        <v>10</v>
      </c>
      <c r="U3922" t="n">
        <v>11</v>
      </c>
      <c r="V3922" t="n">
        <v>30</v>
      </c>
      <c r="W3922" t="n">
        <v>3</v>
      </c>
      <c r="X3922" t="n">
        <v>41.2087912087912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10154</v>
      </c>
      <c r="AG3922" t="n">
        <v>78</v>
      </c>
      <c r="AH3922" t="inlineStr">
        <is>
          <t>PT. GLORIENTA P.H - PPN (PDG)</t>
        </is>
      </c>
      <c r="AI3922" t="n">
        <v>1057</v>
      </c>
      <c r="AJ3922" t="inlineStr">
        <is>
          <t>NUFACE</t>
        </is>
      </c>
      <c r="AK3922" t="n">
        <v>21</v>
      </c>
      <c r="AL3922" t="inlineStr">
        <is>
          <t>Miss Glam Damar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NUFACE</t>
        </is>
      </c>
      <c r="B3923" s="2">
        <f>"8997016370284"</f>
        <v/>
      </c>
      <c r="C3923" t="inlineStr">
        <is>
          <t>NUFACE Kapas Facial Cotton 50gr</t>
        </is>
      </c>
      <c r="D3923" t="inlineStr">
        <is>
          <t>Miss Glam Damar</t>
        </is>
      </c>
      <c r="E3923" t="n">
        <v>3</v>
      </c>
      <c r="F3923" t="n">
        <v>0.06370000000000001</v>
      </c>
      <c r="G3923" t="n">
        <v>0.91</v>
      </c>
      <c r="H3923" t="n">
        <v>3</v>
      </c>
      <c r="I3923" t="n">
        <v>11</v>
      </c>
      <c r="J3923" t="n">
        <v>3</v>
      </c>
      <c r="K3923" t="n">
        <v>0</v>
      </c>
      <c r="L3923" t="n">
        <v>9687</v>
      </c>
      <c r="M3923" t="n">
        <v>12000</v>
      </c>
      <c r="N3923" t="n">
        <v>91</v>
      </c>
      <c r="O3923" t="n">
        <v>0.91</v>
      </c>
      <c r="P3923" t="n">
        <v>1</v>
      </c>
      <c r="Q3923" t="n">
        <v>0.02</v>
      </c>
      <c r="R3923" t="n">
        <v>1</v>
      </c>
      <c r="S3923" t="n">
        <v>764.4000000000001</v>
      </c>
      <c r="T3923" t="n">
        <v>10</v>
      </c>
      <c r="U3923" t="n">
        <v>11</v>
      </c>
      <c r="V3923" t="n">
        <v>30</v>
      </c>
      <c r="W3923" t="n">
        <v>2</v>
      </c>
      <c r="X3923" t="n">
        <v>47.09576138147566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10154</v>
      </c>
      <c r="AG3923" t="n">
        <v>78</v>
      </c>
      <c r="AH3923" t="inlineStr">
        <is>
          <t>PT. GLORIENTA P.H - PPN (PDG)</t>
        </is>
      </c>
      <c r="AI3923" t="n">
        <v>1057</v>
      </c>
      <c r="AJ3923" t="inlineStr">
        <is>
          <t>NUFACE</t>
        </is>
      </c>
      <c r="AK3923" t="n">
        <v>21</v>
      </c>
      <c r="AL3923" t="inlineStr">
        <is>
          <t>Miss Glam Damar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NUFACE</t>
        </is>
      </c>
      <c r="B3924" s="2">
        <f>"8997226224636"</f>
        <v/>
      </c>
      <c r="C3924" t="inlineStr">
        <is>
          <t>NUFACE Nu Glow Acne Prone Care Toner 100ml</t>
        </is>
      </c>
      <c r="D3924" t="inlineStr">
        <is>
          <t>Miss Glam Damar</t>
        </is>
      </c>
      <c r="E3924" t="n">
        <v>3</v>
      </c>
      <c r="F3924" t="n">
        <v>0.0182</v>
      </c>
      <c r="G3924" t="n">
        <v>0.91</v>
      </c>
      <c r="H3924" t="n">
        <v>3</v>
      </c>
      <c r="I3924" t="n">
        <v>11</v>
      </c>
      <c r="J3924" t="n">
        <v>3</v>
      </c>
      <c r="K3924" t="n">
        <v>0</v>
      </c>
      <c r="L3924" t="n">
        <v>20706</v>
      </c>
      <c r="M3924" t="n">
        <v>26000</v>
      </c>
      <c r="N3924" t="n">
        <v>91</v>
      </c>
      <c r="O3924" t="n">
        <v>0.91</v>
      </c>
      <c r="P3924" t="n">
        <v>1</v>
      </c>
      <c r="Q3924" t="n">
        <v>0.03</v>
      </c>
      <c r="R3924" t="n">
        <v>1</v>
      </c>
      <c r="S3924" t="n">
        <v>473.2</v>
      </c>
      <c r="T3924" t="n">
        <v>10</v>
      </c>
      <c r="U3924" t="n">
        <v>11</v>
      </c>
      <c r="V3924" t="n">
        <v>30</v>
      </c>
      <c r="W3924" t="n">
        <v>1</v>
      </c>
      <c r="X3924" t="n">
        <v>164.8351648351648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10154</v>
      </c>
      <c r="AG3924" t="n">
        <v>78</v>
      </c>
      <c r="AH3924" t="inlineStr">
        <is>
          <t>PT. GLORIENTA P.H - PPN (PDG)</t>
        </is>
      </c>
      <c r="AI3924" t="n">
        <v>1057</v>
      </c>
      <c r="AJ3924" t="inlineStr">
        <is>
          <t>NUFACE</t>
        </is>
      </c>
      <c r="AK3924" t="n">
        <v>21</v>
      </c>
      <c r="AL3924" t="inlineStr">
        <is>
          <t>Miss Glam Damar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NUFACE</t>
        </is>
      </c>
      <c r="B3925" s="2">
        <f>"8997226224629"</f>
        <v/>
      </c>
      <c r="C3925" t="inlineStr">
        <is>
          <t>NUFACE Nu Glow Brighten &amp; Supple Skin Toner 100ml</t>
        </is>
      </c>
      <c r="D3925" t="inlineStr">
        <is>
          <t>Miss Glam Damar</t>
        </is>
      </c>
      <c r="E3925" t="n">
        <v>4</v>
      </c>
      <c r="F3925" t="n">
        <v>0.04550000000000001</v>
      </c>
      <c r="G3925" t="n">
        <v>0.91</v>
      </c>
      <c r="H3925" t="n">
        <v>3</v>
      </c>
      <c r="I3925" t="n">
        <v>11</v>
      </c>
      <c r="J3925" t="n">
        <v>3</v>
      </c>
      <c r="K3925" t="n">
        <v>0</v>
      </c>
      <c r="L3925" t="n">
        <v>20706</v>
      </c>
      <c r="M3925" t="n">
        <v>26000</v>
      </c>
      <c r="N3925" t="n">
        <v>91</v>
      </c>
      <c r="O3925" t="n">
        <v>0.91</v>
      </c>
      <c r="P3925" t="n">
        <v>1</v>
      </c>
      <c r="Q3925" t="n">
        <v>0.03</v>
      </c>
      <c r="R3925" t="n">
        <v>1</v>
      </c>
      <c r="S3925" t="n">
        <v>1183</v>
      </c>
      <c r="T3925" t="n">
        <v>10</v>
      </c>
      <c r="U3925" t="n">
        <v>11</v>
      </c>
      <c r="V3925" t="n">
        <v>30</v>
      </c>
      <c r="W3925" t="n">
        <v>2</v>
      </c>
      <c r="X3925" t="n">
        <v>87.9120879120879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10154</v>
      </c>
      <c r="AG3925" t="n">
        <v>78</v>
      </c>
      <c r="AH3925" t="inlineStr">
        <is>
          <t>PT. GLORIENTA P.H - PPN (PDG)</t>
        </is>
      </c>
      <c r="AI3925" t="n">
        <v>1057</v>
      </c>
      <c r="AJ3925" t="inlineStr">
        <is>
          <t>NUFACE</t>
        </is>
      </c>
      <c r="AK3925" t="n">
        <v>21</v>
      </c>
      <c r="AL3925" t="inlineStr">
        <is>
          <t>Miss Glam Damar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NUFACE</t>
        </is>
      </c>
      <c r="B3926" s="2">
        <f>"8997226225725"</f>
        <v/>
      </c>
      <c r="C3926" t="inlineStr">
        <is>
          <t>NUFACE Nu Glow Brightening Day Cream 48x15gr</t>
        </is>
      </c>
      <c r="D3926" t="inlineStr">
        <is>
          <t>Miss Glam Damar</t>
        </is>
      </c>
      <c r="E3926" t="n">
        <v>11</v>
      </c>
      <c r="F3926" t="n">
        <v>0.06370000000000001</v>
      </c>
      <c r="G3926" t="n">
        <v>0.91</v>
      </c>
      <c r="H3926" t="n">
        <v>3</v>
      </c>
      <c r="I3926" t="n">
        <v>11</v>
      </c>
      <c r="J3926" t="n">
        <v>3</v>
      </c>
      <c r="K3926" t="n">
        <v>0</v>
      </c>
      <c r="L3926" t="n">
        <v>31720</v>
      </c>
      <c r="M3926" t="n">
        <v>42500</v>
      </c>
      <c r="N3926" t="n">
        <v>91</v>
      </c>
      <c r="O3926" t="n">
        <v>0.91</v>
      </c>
      <c r="P3926" t="n">
        <v>1</v>
      </c>
      <c r="Q3926" t="n">
        <v>0.02</v>
      </c>
      <c r="R3926" t="n">
        <v>1</v>
      </c>
      <c r="S3926" t="n">
        <v>2707.25</v>
      </c>
      <c r="T3926" t="n">
        <v>10</v>
      </c>
      <c r="U3926" t="n">
        <v>11</v>
      </c>
      <c r="V3926" t="n">
        <v>30</v>
      </c>
      <c r="W3926" t="n">
        <v>2</v>
      </c>
      <c r="X3926" t="n">
        <v>172.6844583987441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10154</v>
      </c>
      <c r="AG3926" t="n">
        <v>78</v>
      </c>
      <c r="AH3926" t="inlineStr">
        <is>
          <t>PT. GLORIENTA P.H - PPN (PDG)</t>
        </is>
      </c>
      <c r="AI3926" t="n">
        <v>1057</v>
      </c>
      <c r="AJ3926" t="inlineStr">
        <is>
          <t>NUFACE</t>
        </is>
      </c>
      <c r="AK3926" t="n">
        <v>21</v>
      </c>
      <c r="AL3926" t="inlineStr">
        <is>
          <t>Miss Glam Damar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NUFACE</t>
        </is>
      </c>
      <c r="B3927" s="2">
        <f>"8997226225756"</f>
        <v/>
      </c>
      <c r="C3927" t="inlineStr">
        <is>
          <t>NUFACE Nu Glow Brightening Night Cream 48X15gr</t>
        </is>
      </c>
      <c r="D3927" t="inlineStr">
        <is>
          <t>Miss Glam Damar</t>
        </is>
      </c>
      <c r="E3927" t="n">
        <v>6</v>
      </c>
      <c r="F3927" t="n">
        <v>0.04550000000000001</v>
      </c>
      <c r="G3927" t="n">
        <v>0.91</v>
      </c>
      <c r="H3927" t="n">
        <v>3</v>
      </c>
      <c r="I3927" t="n">
        <v>11</v>
      </c>
      <c r="J3927" t="n">
        <v>3</v>
      </c>
      <c r="K3927" t="n">
        <v>0</v>
      </c>
      <c r="L3927" t="n">
        <v>30320</v>
      </c>
      <c r="M3927" t="n">
        <v>40500</v>
      </c>
      <c r="N3927" t="n">
        <v>91</v>
      </c>
      <c r="O3927" t="n">
        <v>0.91</v>
      </c>
      <c r="P3927" t="n">
        <v>1</v>
      </c>
      <c r="Q3927" t="n">
        <v>0.02</v>
      </c>
      <c r="R3927" t="n">
        <v>1</v>
      </c>
      <c r="S3927" t="n">
        <v>1842.75</v>
      </c>
      <c r="T3927" t="n">
        <v>10</v>
      </c>
      <c r="U3927" t="n">
        <v>11</v>
      </c>
      <c r="V3927" t="n">
        <v>30</v>
      </c>
      <c r="W3927" t="n">
        <v>2</v>
      </c>
      <c r="X3927" t="n">
        <v>131.8681318681319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10154</v>
      </c>
      <c r="AG3927" t="n">
        <v>78</v>
      </c>
      <c r="AH3927" t="inlineStr">
        <is>
          <t>PT. GLORIENTA P.H - PPN (PDG)</t>
        </is>
      </c>
      <c r="AI3927" t="n">
        <v>1057</v>
      </c>
      <c r="AJ3927" t="inlineStr">
        <is>
          <t>NUFACE</t>
        </is>
      </c>
      <c r="AK3927" t="n">
        <v>21</v>
      </c>
      <c r="AL3927" t="inlineStr">
        <is>
          <t>Miss Glam Damar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NUFACE</t>
        </is>
      </c>
      <c r="B3928" s="2">
        <f>"8997226224766"</f>
        <v/>
      </c>
      <c r="C3928" t="inlineStr">
        <is>
          <t>NUFACE NuGlow Acne Prone Care Serum 20ml</t>
        </is>
      </c>
      <c r="D3928" t="inlineStr">
        <is>
          <t>Miss Glam Damar</t>
        </is>
      </c>
      <c r="E3928" t="n">
        <v>1</v>
      </c>
      <c r="F3928" t="n">
        <v>0.04550000000000001</v>
      </c>
      <c r="G3928" t="n">
        <v>0.91</v>
      </c>
      <c r="H3928" t="n">
        <v>3</v>
      </c>
      <c r="I3928" t="n">
        <v>11</v>
      </c>
      <c r="J3928" t="n">
        <v>3</v>
      </c>
      <c r="K3928" t="n">
        <v>0</v>
      </c>
      <c r="L3928" t="n">
        <v>20706</v>
      </c>
      <c r="M3928" t="n">
        <v>26500</v>
      </c>
      <c r="N3928" t="n">
        <v>91</v>
      </c>
      <c r="O3928" t="n">
        <v>0.91</v>
      </c>
      <c r="P3928" t="n">
        <v>1</v>
      </c>
      <c r="Q3928" t="n">
        <v>0.08</v>
      </c>
      <c r="R3928" t="n">
        <v>1</v>
      </c>
      <c r="S3928" t="n">
        <v>1205.75</v>
      </c>
      <c r="T3928" t="n">
        <v>10</v>
      </c>
      <c r="U3928" t="n">
        <v>11</v>
      </c>
      <c r="V3928" t="n">
        <v>30</v>
      </c>
      <c r="W3928" t="n">
        <v>2</v>
      </c>
      <c r="X3928" t="n">
        <v>21.97802197802197</v>
      </c>
      <c r="Y3928" t="n">
        <v>1</v>
      </c>
      <c r="Z3928" t="n">
        <v>1</v>
      </c>
      <c r="AA3928" t="n">
        <v>0</v>
      </c>
      <c r="AB3928" t="n">
        <v>1</v>
      </c>
      <c r="AC3928" t="n">
        <v>3</v>
      </c>
      <c r="AD3928" t="n">
        <v>0</v>
      </c>
      <c r="AE3928" t="n">
        <v>62118</v>
      </c>
      <c r="AF3928" t="n">
        <v>10154</v>
      </c>
      <c r="AG3928" t="n">
        <v>78</v>
      </c>
      <c r="AH3928" t="inlineStr">
        <is>
          <t>PT. GLORIENTA P.H - PPN (PDG)</t>
        </is>
      </c>
      <c r="AI3928" t="n">
        <v>1057</v>
      </c>
      <c r="AJ3928" t="inlineStr">
        <is>
          <t>NUFACE</t>
        </is>
      </c>
      <c r="AK3928" t="n">
        <v>21</v>
      </c>
      <c r="AL3928" t="inlineStr">
        <is>
          <t>Miss Glam Damar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NUFACE</t>
        </is>
      </c>
      <c r="B3929" s="2">
        <f>"8997226224773"</f>
        <v/>
      </c>
      <c r="C3929" t="inlineStr">
        <is>
          <t>NUFACE NuGlow Brighten &amp; Supple Skin Serum 20ml</t>
        </is>
      </c>
      <c r="D3929" t="inlineStr">
        <is>
          <t>Miss Glam Damar</t>
        </is>
      </c>
      <c r="E3929" t="n">
        <v>2</v>
      </c>
      <c r="F3929" t="n">
        <v>0.0728</v>
      </c>
      <c r="G3929" t="n">
        <v>1.82</v>
      </c>
      <c r="H3929" t="n">
        <v>3</v>
      </c>
      <c r="I3929" t="n">
        <v>11</v>
      </c>
      <c r="J3929" t="n">
        <v>3</v>
      </c>
      <c r="K3929" t="n">
        <v>0</v>
      </c>
      <c r="L3929" t="n">
        <v>20706</v>
      </c>
      <c r="M3929" t="n">
        <v>27000</v>
      </c>
      <c r="N3929" t="n">
        <v>91</v>
      </c>
      <c r="O3929" t="n">
        <v>0.91</v>
      </c>
      <c r="P3929" t="n">
        <v>1</v>
      </c>
      <c r="Q3929" t="n">
        <v>0.05</v>
      </c>
      <c r="R3929" t="n">
        <v>1</v>
      </c>
      <c r="S3929" t="n">
        <v>1965.6</v>
      </c>
      <c r="T3929" t="n">
        <v>20</v>
      </c>
      <c r="U3929" t="n">
        <v>21</v>
      </c>
      <c r="V3929" t="n">
        <v>30</v>
      </c>
      <c r="W3929" t="n">
        <v>3</v>
      </c>
      <c r="X3929" t="n">
        <v>27.47252747252747</v>
      </c>
      <c r="Y3929" t="n">
        <v>1</v>
      </c>
      <c r="Z3929" t="n">
        <v>1</v>
      </c>
      <c r="AA3929" t="n">
        <v>0</v>
      </c>
      <c r="AB3929" t="n">
        <v>1</v>
      </c>
      <c r="AC3929" t="n">
        <v>3</v>
      </c>
      <c r="AD3929" t="n">
        <v>0</v>
      </c>
      <c r="AE3929" t="n">
        <v>62118</v>
      </c>
      <c r="AF3929" t="n">
        <v>10154</v>
      </c>
      <c r="AG3929" t="n">
        <v>78</v>
      </c>
      <c r="AH3929" t="inlineStr">
        <is>
          <t>PT. GLORIENTA P.H - PPN (PDG)</t>
        </is>
      </c>
      <c r="AI3929" t="n">
        <v>1057</v>
      </c>
      <c r="AJ3929" t="inlineStr">
        <is>
          <t>NUFACE</t>
        </is>
      </c>
      <c r="AK3929" t="n">
        <v>21</v>
      </c>
      <c r="AL3929" t="inlineStr">
        <is>
          <t>Miss Glam Damar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NUFACE</t>
        </is>
      </c>
      <c r="B3930" s="2">
        <f>"10300722837"</f>
        <v/>
      </c>
      <c r="C3930" t="inlineStr">
        <is>
          <t>NUFACE Sat Zett Glowing Moisturizer Cream 30gr</t>
        </is>
      </c>
      <c r="D3930" t="inlineStr">
        <is>
          <t>Miss Glam Damar</t>
        </is>
      </c>
      <c r="E3930" t="n">
        <v>8</v>
      </c>
      <c r="F3930" t="n">
        <v>0.1092</v>
      </c>
      <c r="G3930" t="n">
        <v>1.82</v>
      </c>
      <c r="H3930" t="n">
        <v>3</v>
      </c>
      <c r="I3930" t="n">
        <v>11</v>
      </c>
      <c r="J3930" t="n">
        <v>1</v>
      </c>
      <c r="K3930" t="n">
        <v>0</v>
      </c>
      <c r="L3930" t="n">
        <v>33320</v>
      </c>
      <c r="M3930" t="n">
        <v>42000</v>
      </c>
      <c r="N3930" t="n">
        <v>91</v>
      </c>
      <c r="O3930" t="n">
        <v>0.91</v>
      </c>
      <c r="P3930" t="n">
        <v>1</v>
      </c>
      <c r="Q3930" t="n">
        <v>0.02</v>
      </c>
      <c r="R3930" t="n">
        <v>1</v>
      </c>
      <c r="S3930" t="n">
        <v>4586.400000000001</v>
      </c>
      <c r="T3930" t="n">
        <v>20</v>
      </c>
      <c r="U3930" t="n">
        <v>21</v>
      </c>
      <c r="V3930" t="n">
        <v>30</v>
      </c>
      <c r="W3930" t="n">
        <v>4</v>
      </c>
      <c r="X3930" t="n">
        <v>73.26007326007326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10154</v>
      </c>
      <c r="AG3930" t="n">
        <v>78</v>
      </c>
      <c r="AH3930" t="inlineStr">
        <is>
          <t>PT. GLORIENTA P.H - PPN (PDG)</t>
        </is>
      </c>
      <c r="AI3930" t="n">
        <v>1057</v>
      </c>
      <c r="AJ3930" t="inlineStr">
        <is>
          <t>NUFACE</t>
        </is>
      </c>
      <c r="AK3930" t="n">
        <v>21</v>
      </c>
      <c r="AL3930" t="inlineStr">
        <is>
          <t>Miss Glam Damar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NURILAB</t>
        </is>
      </c>
      <c r="B3931" s="2">
        <f>"101001112649"</f>
        <v/>
      </c>
      <c r="C3931" t="inlineStr">
        <is>
          <t>NURILAB 3X Defense Gentle Cleansing Gel 100ml</t>
        </is>
      </c>
      <c r="D3931" t="inlineStr">
        <is>
          <t>Miss Glam Damar</t>
        </is>
      </c>
      <c r="E3931" t="n">
        <v>4</v>
      </c>
      <c r="F3931" t="n">
        <v>0.02</v>
      </c>
      <c r="G3931" t="n">
        <v>1</v>
      </c>
      <c r="H3931" t="n">
        <v>4</v>
      </c>
      <c r="I3931" t="n">
        <v>21</v>
      </c>
      <c r="J3931" t="n">
        <v>1</v>
      </c>
      <c r="K3931" t="n">
        <v>0</v>
      </c>
      <c r="L3931" t="n">
        <v>62350</v>
      </c>
      <c r="M3931" t="n">
        <v>73500</v>
      </c>
      <c r="N3931" t="n">
        <v>91</v>
      </c>
      <c r="O3931" t="n">
        <v>0.91</v>
      </c>
      <c r="P3931" t="n">
        <v>0</v>
      </c>
      <c r="Q3931" t="n">
        <v>0.02</v>
      </c>
      <c r="R3931" t="n">
        <v>1</v>
      </c>
      <c r="S3931" t="n">
        <v>1470</v>
      </c>
      <c r="T3931" t="n">
        <v>21</v>
      </c>
      <c r="U3931" t="n">
        <v>22</v>
      </c>
      <c r="V3931" t="n">
        <v>30</v>
      </c>
      <c r="W3931" t="n">
        <v>1</v>
      </c>
      <c r="X3931" t="n">
        <v>200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7311</v>
      </c>
      <c r="AG3931" t="n">
        <v>1</v>
      </c>
      <c r="AH3931" t="inlineStr">
        <is>
          <t>PT. BERSAMA DISTRIVERSA INDONESIA (DC CIPUTAT)</t>
        </is>
      </c>
      <c r="AI3931" t="n">
        <v>2277</v>
      </c>
      <c r="AJ3931" t="inlineStr">
        <is>
          <t>NURILAB</t>
        </is>
      </c>
      <c r="AK3931" t="n">
        <v>21</v>
      </c>
      <c r="AL3931" t="inlineStr">
        <is>
          <t>Miss Glam Damar</t>
        </is>
      </c>
      <c r="AM3931" t="n">
        <v>3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NURILAB</t>
        </is>
      </c>
      <c r="B3932" s="2">
        <f>"10600103147"</f>
        <v/>
      </c>
      <c r="C3932" t="inlineStr">
        <is>
          <t>NURILAB Acne Conclearing Spot Drying Lotion 08 Cool 2.5gr</t>
        </is>
      </c>
      <c r="D3932" t="inlineStr">
        <is>
          <t>Miss Glam Damar</t>
        </is>
      </c>
      <c r="E3932" t="n">
        <v>0</v>
      </c>
      <c r="F3932" t="n">
        <v>0.03</v>
      </c>
      <c r="G3932" t="n">
        <v>1</v>
      </c>
      <c r="H3932" t="n">
        <v>4</v>
      </c>
      <c r="I3932" t="n">
        <v>21</v>
      </c>
      <c r="J3932" t="n">
        <v>1</v>
      </c>
      <c r="K3932" t="n">
        <v>0</v>
      </c>
      <c r="L3932" t="n">
        <v>49300</v>
      </c>
      <c r="M3932" t="n">
        <v>63000</v>
      </c>
      <c r="N3932" t="n">
        <v>91</v>
      </c>
      <c r="O3932" t="n">
        <v>0.91</v>
      </c>
      <c r="P3932" t="n">
        <v>0</v>
      </c>
      <c r="Q3932" t="n">
        <v>0.03</v>
      </c>
      <c r="R3932" t="n">
        <v>1</v>
      </c>
      <c r="S3932" t="n">
        <v>1890</v>
      </c>
      <c r="T3932" t="n">
        <v>21</v>
      </c>
      <c r="U3932" t="n">
        <v>22</v>
      </c>
      <c r="V3932" t="n">
        <v>30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n">
        <v>0</v>
      </c>
      <c r="AC3932" t="n">
        <v>0</v>
      </c>
      <c r="AD3932" t="n">
        <v>49300</v>
      </c>
      <c r="AE3932" t="n">
        <v>0</v>
      </c>
      <c r="AF3932" t="n">
        <v>7311</v>
      </c>
      <c r="AG3932" t="n">
        <v>1</v>
      </c>
      <c r="AH3932" t="inlineStr">
        <is>
          <t>PT. BERSAMA DISTRIVERSA INDONESIA (DC CIPUTAT)</t>
        </is>
      </c>
      <c r="AI3932" t="n">
        <v>2277</v>
      </c>
      <c r="AJ3932" t="inlineStr">
        <is>
          <t>NURILAB</t>
        </is>
      </c>
      <c r="AK3932" t="n">
        <v>21</v>
      </c>
      <c r="AL3932" t="inlineStr">
        <is>
          <t>Miss Glam Damar</t>
        </is>
      </c>
      <c r="AM3932" t="n">
        <v>3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NYU</t>
        </is>
      </c>
      <c r="B3933" s="2">
        <f>"8992745560982"</f>
        <v/>
      </c>
      <c r="C3933" t="inlineStr">
        <is>
          <t>NYU Bleaching Rambut</t>
        </is>
      </c>
      <c r="D3933" t="inlineStr">
        <is>
          <t>Miss Glam Damar</t>
        </is>
      </c>
      <c r="E3933" t="n">
        <v>9</v>
      </c>
      <c r="F3933" t="n">
        <v>0.05</v>
      </c>
      <c r="G3933" t="n">
        <v>2</v>
      </c>
      <c r="H3933" t="n">
        <v>4</v>
      </c>
      <c r="I3933" t="n">
        <v>21</v>
      </c>
      <c r="J3933" t="n">
        <v>3</v>
      </c>
      <c r="K3933" t="n">
        <v>0</v>
      </c>
      <c r="L3933" t="n">
        <v>14626</v>
      </c>
      <c r="M3933" t="n">
        <v>17500</v>
      </c>
      <c r="N3933" t="n">
        <v>91</v>
      </c>
      <c r="O3933" t="n">
        <v>0.91</v>
      </c>
      <c r="P3933" t="n">
        <v>0</v>
      </c>
      <c r="Q3933" t="n">
        <v>0.05</v>
      </c>
      <c r="R3933" t="n">
        <v>2</v>
      </c>
      <c r="S3933" t="n">
        <v>875</v>
      </c>
      <c r="T3933" t="n">
        <v>42</v>
      </c>
      <c r="U3933" t="n">
        <v>43</v>
      </c>
      <c r="V3933" t="n">
        <v>30</v>
      </c>
      <c r="W3933" t="n">
        <v>2</v>
      </c>
      <c r="X3933" t="n">
        <v>180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7408</v>
      </c>
      <c r="AG3933" t="n">
        <v>1</v>
      </c>
      <c r="AH3933" t="inlineStr">
        <is>
          <t>PT. BERSAMA DISTRIVERSA INDONESIA (DC CIPUTAT)</t>
        </is>
      </c>
      <c r="AI3933" t="n">
        <v>121</v>
      </c>
      <c r="AJ3933" t="inlineStr">
        <is>
          <t>NYU</t>
        </is>
      </c>
      <c r="AK3933" t="n">
        <v>21</v>
      </c>
      <c r="AL3933" t="inlineStr">
        <is>
          <t>Miss Glam Damar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NYU</t>
        </is>
      </c>
      <c r="B3934" s="2">
        <f>"40200632724"</f>
        <v/>
      </c>
      <c r="C3934" t="inlineStr">
        <is>
          <t>NYU Creme Hair Colour Golden Brown 30ml</t>
        </is>
      </c>
      <c r="D3934" t="inlineStr">
        <is>
          <t>Miss Glam Damar</t>
        </is>
      </c>
      <c r="E3934" t="n">
        <v>11</v>
      </c>
      <c r="F3934" t="n">
        <v>0.0819</v>
      </c>
      <c r="G3934" t="n">
        <v>0.91</v>
      </c>
      <c r="H3934" t="n">
        <v>4</v>
      </c>
      <c r="I3934" t="n">
        <v>21</v>
      </c>
      <c r="J3934" t="n">
        <v>1</v>
      </c>
      <c r="K3934" t="n">
        <v>0</v>
      </c>
      <c r="L3934" t="n">
        <v>14626</v>
      </c>
      <c r="M3934" t="n">
        <v>17500</v>
      </c>
      <c r="N3934" t="n">
        <v>91</v>
      </c>
      <c r="O3934" t="n">
        <v>0.91</v>
      </c>
      <c r="P3934" t="n">
        <v>1</v>
      </c>
      <c r="Q3934" t="n">
        <v>0.14</v>
      </c>
      <c r="R3934" t="n">
        <v>3</v>
      </c>
      <c r="S3934" t="n">
        <v>1433.25</v>
      </c>
      <c r="T3934" t="n">
        <v>19</v>
      </c>
      <c r="U3934" t="n">
        <v>20</v>
      </c>
      <c r="V3934" t="n">
        <v>30</v>
      </c>
      <c r="W3934" t="n">
        <v>3</v>
      </c>
      <c r="X3934" t="n">
        <v>134.3101343101343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7408</v>
      </c>
      <c r="AG3934" t="n">
        <v>1</v>
      </c>
      <c r="AH3934" t="inlineStr">
        <is>
          <t>PT. BERSAMA DISTRIVERSA INDONESIA (DC CIPUTAT)</t>
        </is>
      </c>
      <c r="AI3934" t="n">
        <v>121</v>
      </c>
      <c r="AJ3934" t="inlineStr">
        <is>
          <t>NYU</t>
        </is>
      </c>
      <c r="AK3934" t="n">
        <v>21</v>
      </c>
      <c r="AL3934" t="inlineStr">
        <is>
          <t>Miss Glam Damar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NYU</t>
        </is>
      </c>
      <c r="B3935" s="2">
        <f>"40200631644"</f>
        <v/>
      </c>
      <c r="C3935" t="inlineStr">
        <is>
          <t>NYU Creme Hair Colour Natural Black</t>
        </is>
      </c>
      <c r="D3935" t="inlineStr">
        <is>
          <t>Miss Glam Damar</t>
        </is>
      </c>
      <c r="E3935" t="n">
        <v>11</v>
      </c>
      <c r="F3935" t="n">
        <v>0.1729</v>
      </c>
      <c r="G3935" t="n">
        <v>1.82</v>
      </c>
      <c r="H3935" t="n">
        <v>4</v>
      </c>
      <c r="I3935" t="n">
        <v>21</v>
      </c>
      <c r="J3935" t="n">
        <v>3</v>
      </c>
      <c r="K3935" t="n">
        <v>0</v>
      </c>
      <c r="L3935" t="n">
        <v>14626</v>
      </c>
      <c r="M3935" t="n">
        <v>18000</v>
      </c>
      <c r="N3935" t="n">
        <v>91</v>
      </c>
      <c r="O3935" t="n">
        <v>0.91</v>
      </c>
      <c r="P3935" t="n">
        <v>1</v>
      </c>
      <c r="Q3935" t="n">
        <v>0.08</v>
      </c>
      <c r="R3935" t="n">
        <v>2</v>
      </c>
      <c r="S3935" t="n">
        <v>3112.2</v>
      </c>
      <c r="T3935" t="n">
        <v>38</v>
      </c>
      <c r="U3935" t="n">
        <v>39</v>
      </c>
      <c r="V3935" t="n">
        <v>30</v>
      </c>
      <c r="W3935" t="n">
        <v>6</v>
      </c>
      <c r="X3935" t="n">
        <v>63.62058993637941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7408</v>
      </c>
      <c r="AG3935" t="n">
        <v>1</v>
      </c>
      <c r="AH3935" t="inlineStr">
        <is>
          <t>PT. BERSAMA DISTRIVERSA INDONESIA (DC CIPUTAT)</t>
        </is>
      </c>
      <c r="AI3935" t="n">
        <v>121</v>
      </c>
      <c r="AJ3935" t="inlineStr">
        <is>
          <t>NYU</t>
        </is>
      </c>
      <c r="AK3935" t="n">
        <v>21</v>
      </c>
      <c r="AL3935" t="inlineStr">
        <is>
          <t>Miss Glam Damar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NYU</t>
        </is>
      </c>
      <c r="B3936" s="2">
        <f>"8992745999775"</f>
        <v/>
      </c>
      <c r="C3936" t="inlineStr">
        <is>
          <t>NYU Hair Color Blue Black 30ml</t>
        </is>
      </c>
      <c r="D3936" t="inlineStr">
        <is>
          <t>Miss Glam Damar</t>
        </is>
      </c>
      <c r="E3936" t="n">
        <v>11</v>
      </c>
      <c r="F3936" t="n">
        <v>0.04550000000000001</v>
      </c>
      <c r="G3936" t="n">
        <v>1.82</v>
      </c>
      <c r="H3936" t="n">
        <v>4</v>
      </c>
      <c r="I3936" t="n">
        <v>21</v>
      </c>
      <c r="J3936" t="n">
        <v>3</v>
      </c>
      <c r="K3936" t="n">
        <v>0</v>
      </c>
      <c r="L3936" t="n">
        <v>14626</v>
      </c>
      <c r="M3936" t="n">
        <v>18000</v>
      </c>
      <c r="N3936" t="n">
        <v>91</v>
      </c>
      <c r="O3936" t="n">
        <v>0.91</v>
      </c>
      <c r="P3936" t="n">
        <v>1</v>
      </c>
      <c r="Q3936" t="n">
        <v>0.08</v>
      </c>
      <c r="R3936" t="n">
        <v>2</v>
      </c>
      <c r="S3936" t="n">
        <v>819.0000000000001</v>
      </c>
      <c r="T3936" t="n">
        <v>39</v>
      </c>
      <c r="U3936" t="n">
        <v>40</v>
      </c>
      <c r="V3936" t="n">
        <v>30</v>
      </c>
      <c r="W3936" t="n">
        <v>2</v>
      </c>
      <c r="X3936" t="n">
        <v>241.7582417582417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7408</v>
      </c>
      <c r="AG3936" t="n">
        <v>1</v>
      </c>
      <c r="AH3936" t="inlineStr">
        <is>
          <t>PT. BERSAMA DISTRIVERSA INDONESIA (DC CIPUTAT)</t>
        </is>
      </c>
      <c r="AI3936" t="n">
        <v>121</v>
      </c>
      <c r="AJ3936" t="inlineStr">
        <is>
          <t>NYU</t>
        </is>
      </c>
      <c r="AK3936" t="n">
        <v>21</v>
      </c>
      <c r="AL3936" t="inlineStr">
        <is>
          <t>Miss Glam Damar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NYU</t>
        </is>
      </c>
      <c r="B3937" s="2">
        <f>"8992745999829"</f>
        <v/>
      </c>
      <c r="C3937" t="inlineStr">
        <is>
          <t>NYU Hair Color Burgundy 30m</t>
        </is>
      </c>
      <c r="D3937" t="inlineStr">
        <is>
          <t>Miss Glam Damar</t>
        </is>
      </c>
      <c r="E3937" t="n">
        <v>9</v>
      </c>
      <c r="F3937" t="n">
        <v>0.0728</v>
      </c>
      <c r="G3937" t="n">
        <v>1.82</v>
      </c>
      <c r="H3937" t="n">
        <v>4</v>
      </c>
      <c r="I3937" t="n">
        <v>21</v>
      </c>
      <c r="J3937" t="n">
        <v>3</v>
      </c>
      <c r="K3937" t="n">
        <v>0</v>
      </c>
      <c r="L3937" t="n">
        <v>14626</v>
      </c>
      <c r="M3937" t="n">
        <v>17500</v>
      </c>
      <c r="N3937" t="n">
        <v>91</v>
      </c>
      <c r="O3937" t="n">
        <v>0.91</v>
      </c>
      <c r="P3937" t="n">
        <v>1</v>
      </c>
      <c r="Q3937" t="n">
        <v>0.05</v>
      </c>
      <c r="R3937" t="n">
        <v>2</v>
      </c>
      <c r="S3937" t="n">
        <v>1274</v>
      </c>
      <c r="T3937" t="n">
        <v>38</v>
      </c>
      <c r="U3937" t="n">
        <v>39</v>
      </c>
      <c r="V3937" t="n">
        <v>30</v>
      </c>
      <c r="W3937" t="n">
        <v>3</v>
      </c>
      <c r="X3937" t="n">
        <v>123.6263736263736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7408</v>
      </c>
      <c r="AG3937" t="n">
        <v>1</v>
      </c>
      <c r="AH3937" t="inlineStr">
        <is>
          <t>PT. BERSAMA DISTRIVERSA INDONESIA (DC CIPUTAT)</t>
        </is>
      </c>
      <c r="AI3937" t="n">
        <v>121</v>
      </c>
      <c r="AJ3937" t="inlineStr">
        <is>
          <t>NYU</t>
        </is>
      </c>
      <c r="AK3937" t="n">
        <v>21</v>
      </c>
      <c r="AL3937" t="inlineStr">
        <is>
          <t>Miss Glam Damar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NYU</t>
        </is>
      </c>
      <c r="B3938" s="2">
        <f>"8992745999812"</f>
        <v/>
      </c>
      <c r="C3938" t="inlineStr">
        <is>
          <t>NYU Hair Color Caramel 30ml</t>
        </is>
      </c>
      <c r="D3938" t="inlineStr">
        <is>
          <t>Miss Glam Damar</t>
        </is>
      </c>
      <c r="E3938" t="n">
        <v>10</v>
      </c>
      <c r="F3938" t="n">
        <v>0.04550000000000001</v>
      </c>
      <c r="G3938" t="n">
        <v>0.91</v>
      </c>
      <c r="H3938" t="n">
        <v>4</v>
      </c>
      <c r="I3938" t="n">
        <v>21</v>
      </c>
      <c r="J3938" t="n">
        <v>3</v>
      </c>
      <c r="K3938" t="n">
        <v>0</v>
      </c>
      <c r="L3938" t="n">
        <v>14626</v>
      </c>
      <c r="M3938" t="n">
        <v>18000</v>
      </c>
      <c r="N3938" t="n">
        <v>91</v>
      </c>
      <c r="O3938" t="n">
        <v>0.91</v>
      </c>
      <c r="P3938" t="n">
        <v>1</v>
      </c>
      <c r="Q3938" t="n">
        <v>0.03</v>
      </c>
      <c r="R3938" t="n">
        <v>1</v>
      </c>
      <c r="S3938" t="n">
        <v>819.0000000000001</v>
      </c>
      <c r="T3938" t="n">
        <v>19</v>
      </c>
      <c r="U3938" t="n">
        <v>20</v>
      </c>
      <c r="V3938" t="n">
        <v>30</v>
      </c>
      <c r="W3938" t="n">
        <v>2</v>
      </c>
      <c r="X3938" t="n">
        <v>219.7802197802198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7408</v>
      </c>
      <c r="AG3938" t="n">
        <v>1</v>
      </c>
      <c r="AH3938" t="inlineStr">
        <is>
          <t>PT. BERSAMA DISTRIVERSA INDONESIA (DC CIPUTAT)</t>
        </is>
      </c>
      <c r="AI3938" t="n">
        <v>121</v>
      </c>
      <c r="AJ3938" t="inlineStr">
        <is>
          <t>NYU</t>
        </is>
      </c>
      <c r="AK3938" t="n">
        <v>21</v>
      </c>
      <c r="AL3938" t="inlineStr">
        <is>
          <t>Miss Glam Damar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NYU</t>
        </is>
      </c>
      <c r="B3939" s="2">
        <f>"8992745999690"</f>
        <v/>
      </c>
      <c r="C3939" t="inlineStr">
        <is>
          <t>NYU Hair Color Cherry Red</t>
        </is>
      </c>
      <c r="D3939" t="inlineStr">
        <is>
          <t>Miss Glam Damar</t>
        </is>
      </c>
      <c r="E3939" t="n">
        <v>10</v>
      </c>
      <c r="F3939" t="n">
        <v>0.03</v>
      </c>
      <c r="G3939" t="n">
        <v>0</v>
      </c>
      <c r="H3939" t="n">
        <v>4</v>
      </c>
      <c r="I3939" t="n">
        <v>21</v>
      </c>
      <c r="J3939" t="n">
        <v>3</v>
      </c>
      <c r="K3939" t="n">
        <v>0</v>
      </c>
      <c r="L3939" t="n">
        <v>14626</v>
      </c>
      <c r="M3939" t="n">
        <v>18000</v>
      </c>
      <c r="N3939" t="n">
        <v>91</v>
      </c>
      <c r="O3939" t="n">
        <v>0.91</v>
      </c>
      <c r="P3939" t="n">
        <v>0</v>
      </c>
      <c r="Q3939" t="n">
        <v>0.03</v>
      </c>
      <c r="R3939" t="n">
        <v>0</v>
      </c>
      <c r="S3939" t="n">
        <v>540</v>
      </c>
      <c r="T3939" t="n">
        <v>0</v>
      </c>
      <c r="U3939" t="n">
        <v>1</v>
      </c>
      <c r="V3939" t="n">
        <v>30</v>
      </c>
      <c r="W3939" t="n">
        <v>1</v>
      </c>
      <c r="X3939" t="n">
        <v>333.3333333333334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7408</v>
      </c>
      <c r="AG3939" t="n">
        <v>1</v>
      </c>
      <c r="AH3939" t="inlineStr">
        <is>
          <t>PT. BERSAMA DISTRIVERSA INDONESIA (DC CIPUTAT)</t>
        </is>
      </c>
      <c r="AI3939" t="n">
        <v>121</v>
      </c>
      <c r="AJ3939" t="inlineStr">
        <is>
          <t>NYU</t>
        </is>
      </c>
      <c r="AK3939" t="n">
        <v>21</v>
      </c>
      <c r="AL3939" t="inlineStr">
        <is>
          <t>Miss Glam Damar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NYU</t>
        </is>
      </c>
      <c r="B3940" s="2">
        <f>"8992745999805"</f>
        <v/>
      </c>
      <c r="C3940" t="inlineStr">
        <is>
          <t>NYU Hair Color Coppery Brown 30ml</t>
        </is>
      </c>
      <c r="D3940" t="inlineStr">
        <is>
          <t>Miss Glam Damar</t>
        </is>
      </c>
      <c r="E3940" t="n">
        <v>10</v>
      </c>
      <c r="F3940" t="n">
        <v>0.04550000000000001</v>
      </c>
      <c r="G3940" t="n">
        <v>0.91</v>
      </c>
      <c r="H3940" t="n">
        <v>4</v>
      </c>
      <c r="I3940" t="n">
        <v>21</v>
      </c>
      <c r="J3940" t="n">
        <v>3</v>
      </c>
      <c r="K3940" t="n">
        <v>0</v>
      </c>
      <c r="L3940" t="n">
        <v>14626</v>
      </c>
      <c r="M3940" t="n">
        <v>18000</v>
      </c>
      <c r="N3940" t="n">
        <v>91</v>
      </c>
      <c r="O3940" t="n">
        <v>0.91</v>
      </c>
      <c r="P3940" t="n">
        <v>1</v>
      </c>
      <c r="Q3940" t="n">
        <v>0.03</v>
      </c>
      <c r="R3940" t="n">
        <v>0</v>
      </c>
      <c r="S3940" t="n">
        <v>819.0000000000001</v>
      </c>
      <c r="T3940" t="n">
        <v>19</v>
      </c>
      <c r="U3940" t="n">
        <v>20</v>
      </c>
      <c r="V3940" t="n">
        <v>30</v>
      </c>
      <c r="W3940" t="n">
        <v>2</v>
      </c>
      <c r="X3940" t="n">
        <v>219.7802197802198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7408</v>
      </c>
      <c r="AG3940" t="n">
        <v>1</v>
      </c>
      <c r="AH3940" t="inlineStr">
        <is>
          <t>PT. BERSAMA DISTRIVERSA INDONESIA (DC CIPUTAT)</t>
        </is>
      </c>
      <c r="AI3940" t="n">
        <v>121</v>
      </c>
      <c r="AJ3940" t="inlineStr">
        <is>
          <t>NYU</t>
        </is>
      </c>
      <c r="AK3940" t="n">
        <v>21</v>
      </c>
      <c r="AL3940" t="inlineStr">
        <is>
          <t>Miss Glam Damar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NYU</t>
        </is>
      </c>
      <c r="B3941" s="2">
        <f>"8992745999799"</f>
        <v/>
      </c>
      <c r="C3941" t="inlineStr">
        <is>
          <t>NYU Hair Color Natural Brown 30ml</t>
        </is>
      </c>
      <c r="D3941" t="inlineStr">
        <is>
          <t>Miss Glam Damar</t>
        </is>
      </c>
      <c r="E3941" t="n">
        <v>9</v>
      </c>
      <c r="F3941" t="n">
        <v>0.05</v>
      </c>
      <c r="G3941" t="n">
        <v>2</v>
      </c>
      <c r="H3941" t="n">
        <v>4</v>
      </c>
      <c r="I3941" t="n">
        <v>21</v>
      </c>
      <c r="J3941" t="n">
        <v>3</v>
      </c>
      <c r="K3941" t="n">
        <v>0</v>
      </c>
      <c r="L3941" t="n">
        <v>14626</v>
      </c>
      <c r="M3941" t="n">
        <v>18000</v>
      </c>
      <c r="N3941" t="n">
        <v>91</v>
      </c>
      <c r="O3941" t="n">
        <v>0.91</v>
      </c>
      <c r="P3941" t="n">
        <v>0</v>
      </c>
      <c r="Q3941" t="n">
        <v>0.05</v>
      </c>
      <c r="R3941" t="n">
        <v>2</v>
      </c>
      <c r="S3941" t="n">
        <v>900</v>
      </c>
      <c r="T3941" t="n">
        <v>42</v>
      </c>
      <c r="U3941" t="n">
        <v>43</v>
      </c>
      <c r="V3941" t="n">
        <v>30</v>
      </c>
      <c r="W3941" t="n">
        <v>2</v>
      </c>
      <c r="X3941" t="n">
        <v>180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7408</v>
      </c>
      <c r="AG3941" t="n">
        <v>1</v>
      </c>
      <c r="AH3941" t="inlineStr">
        <is>
          <t>PT. BERSAMA DISTRIVERSA INDONESIA (DC CIPUTAT)</t>
        </is>
      </c>
      <c r="AI3941" t="n">
        <v>121</v>
      </c>
      <c r="AJ3941" t="inlineStr">
        <is>
          <t>NYU</t>
        </is>
      </c>
      <c r="AK3941" t="n">
        <v>21</v>
      </c>
      <c r="AL3941" t="inlineStr">
        <is>
          <t>Miss Glam Damar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NYU</t>
        </is>
      </c>
      <c r="B3942" s="2">
        <f>"40100152247"</f>
        <v/>
      </c>
      <c r="C3942" t="inlineStr">
        <is>
          <t>NYU Henna Shampoo Hair Color Blue Black 20ml</t>
        </is>
      </c>
      <c r="D3942" t="inlineStr">
        <is>
          <t>Miss Glam Damar</t>
        </is>
      </c>
      <c r="E3942" t="n">
        <v>12</v>
      </c>
      <c r="F3942" t="n">
        <v>0.2002</v>
      </c>
      <c r="G3942" t="n">
        <v>2.73</v>
      </c>
      <c r="H3942" t="n">
        <v>4</v>
      </c>
      <c r="I3942" t="n">
        <v>21</v>
      </c>
      <c r="J3942" t="n">
        <v>1</v>
      </c>
      <c r="K3942" t="n">
        <v>0</v>
      </c>
      <c r="L3942" t="n">
        <v>9167</v>
      </c>
      <c r="M3942" t="n">
        <v>12500</v>
      </c>
      <c r="N3942" t="n">
        <v>91</v>
      </c>
      <c r="O3942" t="n">
        <v>0.91</v>
      </c>
      <c r="P3942" t="n">
        <v>1</v>
      </c>
      <c r="Q3942" t="n">
        <v>0.12</v>
      </c>
      <c r="R3942" t="n">
        <v>4</v>
      </c>
      <c r="S3942" t="n">
        <v>2502.5</v>
      </c>
      <c r="T3942" t="n">
        <v>57</v>
      </c>
      <c r="U3942" t="n">
        <v>58</v>
      </c>
      <c r="V3942" t="n">
        <v>30</v>
      </c>
      <c r="W3942" t="n">
        <v>7</v>
      </c>
      <c r="X3942" t="n">
        <v>59.94005994005993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7408</v>
      </c>
      <c r="AG3942" t="n">
        <v>1</v>
      </c>
      <c r="AH3942" t="inlineStr">
        <is>
          <t>PT. BERSAMA DISTRIVERSA INDONESIA (DC CIPUTAT)</t>
        </is>
      </c>
      <c r="AI3942" t="n">
        <v>121</v>
      </c>
      <c r="AJ3942" t="inlineStr">
        <is>
          <t>NYU</t>
        </is>
      </c>
      <c r="AK3942" t="n">
        <v>21</v>
      </c>
      <c r="AL3942" t="inlineStr">
        <is>
          <t>Miss Glam Damar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NYU</t>
        </is>
      </c>
      <c r="B3943" s="2">
        <f>"40100150925"</f>
        <v/>
      </c>
      <c r="C3943" t="inlineStr">
        <is>
          <t>NYU Henna Shampoo Hair Color Natural Black 20ml</t>
        </is>
      </c>
      <c r="D3943" t="inlineStr">
        <is>
          <t>Miss Glam Damar</t>
        </is>
      </c>
      <c r="E3943" t="n">
        <v>7</v>
      </c>
      <c r="F3943" t="n">
        <v>0.08</v>
      </c>
      <c r="G3943" t="n">
        <v>1</v>
      </c>
      <c r="H3943" t="n">
        <v>4</v>
      </c>
      <c r="I3943" t="n">
        <v>21</v>
      </c>
      <c r="J3943" t="n">
        <v>1</v>
      </c>
      <c r="K3943" t="n">
        <v>0</v>
      </c>
      <c r="L3943" t="n">
        <v>9167</v>
      </c>
      <c r="M3943" t="n">
        <v>11500</v>
      </c>
      <c r="N3943" t="n">
        <v>91</v>
      </c>
      <c r="O3943" t="n">
        <v>0.91</v>
      </c>
      <c r="P3943" t="n">
        <v>0</v>
      </c>
      <c r="Q3943" t="n">
        <v>0.08</v>
      </c>
      <c r="R3943" t="n">
        <v>1</v>
      </c>
      <c r="S3943" t="n">
        <v>920</v>
      </c>
      <c r="T3943" t="n">
        <v>21</v>
      </c>
      <c r="U3943" t="n">
        <v>22</v>
      </c>
      <c r="V3943" t="n">
        <v>30</v>
      </c>
      <c r="W3943" t="n">
        <v>3</v>
      </c>
      <c r="X3943" t="n">
        <v>87.5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7408</v>
      </c>
      <c r="AG3943" t="n">
        <v>1</v>
      </c>
      <c r="AH3943" t="inlineStr">
        <is>
          <t>PT. BERSAMA DISTRIVERSA INDONESIA (DC CIPUTAT)</t>
        </is>
      </c>
      <c r="AI3943" t="n">
        <v>121</v>
      </c>
      <c r="AJ3943" t="inlineStr">
        <is>
          <t>NYU</t>
        </is>
      </c>
      <c r="AK3943" t="n">
        <v>21</v>
      </c>
      <c r="AL3943" t="inlineStr">
        <is>
          <t>Miss Glam Damar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NYU</t>
        </is>
      </c>
      <c r="B3944" s="2">
        <f>"40100149713"</f>
        <v/>
      </c>
      <c r="C3944" t="inlineStr">
        <is>
          <t>NYU Henna Shampoo Hair Color Natural Brown 20ml</t>
        </is>
      </c>
      <c r="D3944" t="inlineStr">
        <is>
          <t>Miss Glam Damar</t>
        </is>
      </c>
      <c r="E3944" t="n">
        <v>11</v>
      </c>
      <c r="F3944" t="n">
        <v>0.4459</v>
      </c>
      <c r="G3944" t="n">
        <v>10.92</v>
      </c>
      <c r="H3944" t="n">
        <v>4</v>
      </c>
      <c r="I3944" t="n">
        <v>21</v>
      </c>
      <c r="J3944" t="n">
        <v>3</v>
      </c>
      <c r="K3944" t="n">
        <v>0</v>
      </c>
      <c r="L3944" t="n">
        <v>9167</v>
      </c>
      <c r="M3944" t="n">
        <v>11000</v>
      </c>
      <c r="N3944" t="n">
        <v>91</v>
      </c>
      <c r="O3944" t="n">
        <v>0.91</v>
      </c>
      <c r="P3944" t="n">
        <v>1</v>
      </c>
      <c r="Q3944" t="n">
        <v>0.02</v>
      </c>
      <c r="R3944" t="n">
        <v>0</v>
      </c>
      <c r="S3944" t="n">
        <v>4904.900000000001</v>
      </c>
      <c r="T3944" t="n">
        <v>228</v>
      </c>
      <c r="U3944" t="n">
        <v>230</v>
      </c>
      <c r="V3944" t="n">
        <v>30</v>
      </c>
      <c r="W3944" t="n">
        <v>14</v>
      </c>
      <c r="X3944" t="n">
        <v>24.66920834267773</v>
      </c>
      <c r="Y3944" t="n">
        <v>1</v>
      </c>
      <c r="Z3944" t="n">
        <v>3</v>
      </c>
      <c r="AA3944" t="n">
        <v>0</v>
      </c>
      <c r="AB3944" t="n">
        <v>3</v>
      </c>
      <c r="AC3944" t="n">
        <v>3</v>
      </c>
      <c r="AD3944" t="n">
        <v>0</v>
      </c>
      <c r="AE3944" t="n">
        <v>27501</v>
      </c>
      <c r="AF3944" t="n">
        <v>7408</v>
      </c>
      <c r="AG3944" t="n">
        <v>1</v>
      </c>
      <c r="AH3944" t="inlineStr">
        <is>
          <t>PT. BERSAMA DISTRIVERSA INDONESIA (DC CIPUTAT)</t>
        </is>
      </c>
      <c r="AI3944" t="n">
        <v>121</v>
      </c>
      <c r="AJ3944" t="inlineStr">
        <is>
          <t>NYU</t>
        </is>
      </c>
      <c r="AK3944" t="n">
        <v>21</v>
      </c>
      <c r="AL3944" t="inlineStr">
        <is>
          <t>Miss Glam Damar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O TWO O</t>
        </is>
      </c>
      <c r="B3945" s="2">
        <f>"6973263792019"</f>
        <v/>
      </c>
      <c r="C3945" t="inlineStr">
        <is>
          <t>O TWO O Fine Mist Make Up Setting Spray  50ml</t>
        </is>
      </c>
      <c r="D3945" t="inlineStr">
        <is>
          <t>Miss Glam Damar</t>
        </is>
      </c>
      <c r="E3945" t="n">
        <v>4</v>
      </c>
      <c r="F3945" t="n">
        <v>0.0728</v>
      </c>
      <c r="G3945" t="n">
        <v>1.82</v>
      </c>
      <c r="H3945" t="n">
        <v>4</v>
      </c>
      <c r="I3945" t="n">
        <v>21</v>
      </c>
      <c r="J3945" t="n">
        <v>3</v>
      </c>
      <c r="K3945" t="n">
        <v>0</v>
      </c>
      <c r="L3945" t="n">
        <v>45260</v>
      </c>
      <c r="M3945" t="n">
        <v>68000</v>
      </c>
      <c r="N3945" t="n">
        <v>91</v>
      </c>
      <c r="O3945" t="n">
        <v>0.91</v>
      </c>
      <c r="P3945" t="n">
        <v>1</v>
      </c>
      <c r="Q3945" t="n">
        <v>0.05</v>
      </c>
      <c r="R3945" t="n">
        <v>1</v>
      </c>
      <c r="S3945" t="n">
        <v>4950.400000000001</v>
      </c>
      <c r="T3945" t="n">
        <v>38</v>
      </c>
      <c r="U3945" t="n">
        <v>39</v>
      </c>
      <c r="V3945" t="n">
        <v>30</v>
      </c>
      <c r="W3945" t="n">
        <v>3</v>
      </c>
      <c r="X3945" t="n">
        <v>54.94505494505494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7441</v>
      </c>
      <c r="AG3945" t="n">
        <v>1</v>
      </c>
      <c r="AH3945" t="inlineStr">
        <is>
          <t>PT. BERSAMA DISTRIVERSA INDONESIA (DC CIPUTAT)</t>
        </is>
      </c>
      <c r="AI3945" t="n">
        <v>122</v>
      </c>
      <c r="AJ3945" t="inlineStr">
        <is>
          <t>O TWO O</t>
        </is>
      </c>
      <c r="AK3945" t="n">
        <v>21</v>
      </c>
      <c r="AL3945" t="inlineStr">
        <is>
          <t>Miss Glam Damar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O TWO O</t>
        </is>
      </c>
      <c r="B3946" s="2">
        <f>"6973263791579"</f>
        <v/>
      </c>
      <c r="C3946" t="inlineStr">
        <is>
          <t>O TWO O Lasting Browfun Cushion Eyebrow Powder 02</t>
        </is>
      </c>
      <c r="D3946" t="inlineStr">
        <is>
          <t>Miss Glam Damar</t>
        </is>
      </c>
      <c r="E3946" t="n">
        <v>0</v>
      </c>
      <c r="F3946" t="n">
        <v>0.02</v>
      </c>
      <c r="G3946" t="n">
        <v>1</v>
      </c>
      <c r="H3946" t="n">
        <v>4</v>
      </c>
      <c r="I3946" t="n">
        <v>21</v>
      </c>
      <c r="J3946" t="n">
        <v>3</v>
      </c>
      <c r="K3946" t="n">
        <v>0</v>
      </c>
      <c r="L3946" t="n">
        <v>43069</v>
      </c>
      <c r="M3946" t="n">
        <v>57500</v>
      </c>
      <c r="N3946" t="n">
        <v>91</v>
      </c>
      <c r="O3946" t="n">
        <v>0.91</v>
      </c>
      <c r="P3946" t="n">
        <v>0</v>
      </c>
      <c r="Q3946" t="n">
        <v>0.02</v>
      </c>
      <c r="R3946" t="n">
        <v>1</v>
      </c>
      <c r="S3946" t="n">
        <v>1150</v>
      </c>
      <c r="T3946" t="n">
        <v>21</v>
      </c>
      <c r="U3946" t="n">
        <v>22</v>
      </c>
      <c r="V3946" t="n">
        <v>30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n">
        <v>0</v>
      </c>
      <c r="AC3946" t="n">
        <v>0</v>
      </c>
      <c r="AD3946" t="n">
        <v>43069</v>
      </c>
      <c r="AE3946" t="n">
        <v>0</v>
      </c>
      <c r="AF3946" t="n">
        <v>7441</v>
      </c>
      <c r="AG3946" t="n">
        <v>1</v>
      </c>
      <c r="AH3946" t="inlineStr">
        <is>
          <t>PT. BERSAMA DISTRIVERSA INDONESIA (DC CIPUTAT)</t>
        </is>
      </c>
      <c r="AI3946" t="n">
        <v>122</v>
      </c>
      <c r="AJ3946" t="inlineStr">
        <is>
          <t>O TWO O</t>
        </is>
      </c>
      <c r="AK3946" t="n">
        <v>21</v>
      </c>
      <c r="AL3946" t="inlineStr">
        <is>
          <t>Miss Glam Damar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O TWO O</t>
        </is>
      </c>
      <c r="B3947" s="2">
        <f>"6928495810239"</f>
        <v/>
      </c>
      <c r="C3947" t="inlineStr">
        <is>
          <t>O TWO O Le Culer Black</t>
        </is>
      </c>
      <c r="D3947" t="inlineStr">
        <is>
          <t>Miss Glam Damar</t>
        </is>
      </c>
      <c r="E3947" t="n">
        <v>1</v>
      </c>
      <c r="F3947" t="n">
        <v>0.1365</v>
      </c>
      <c r="G3947" t="n">
        <v>1.82</v>
      </c>
      <c r="H3947" t="n">
        <v>4</v>
      </c>
      <c r="I3947" t="n">
        <v>21</v>
      </c>
      <c r="J3947" t="n">
        <v>3</v>
      </c>
      <c r="K3947" t="n">
        <v>0</v>
      </c>
      <c r="L3947" t="n">
        <v>22480</v>
      </c>
      <c r="M3947" t="n">
        <v>30000</v>
      </c>
      <c r="N3947" t="n">
        <v>91</v>
      </c>
      <c r="O3947" t="n">
        <v>0.91</v>
      </c>
      <c r="P3947" t="n">
        <v>1</v>
      </c>
      <c r="Q3947" t="n">
        <v>0.14</v>
      </c>
      <c r="R3947" t="n">
        <v>1</v>
      </c>
      <c r="S3947" t="n">
        <v>4095</v>
      </c>
      <c r="T3947" t="n">
        <v>38</v>
      </c>
      <c r="U3947" t="n">
        <v>39</v>
      </c>
      <c r="V3947" t="n">
        <v>30</v>
      </c>
      <c r="W3947" t="n">
        <v>5</v>
      </c>
      <c r="X3947" t="n">
        <v>7.326007326007326</v>
      </c>
      <c r="Y3947" t="n">
        <v>1</v>
      </c>
      <c r="Z3947" t="n">
        <v>4</v>
      </c>
      <c r="AA3947" t="n">
        <v>2</v>
      </c>
      <c r="AB3947" t="n">
        <v>2</v>
      </c>
      <c r="AC3947" t="n">
        <v>3</v>
      </c>
      <c r="AD3947" t="n">
        <v>44960</v>
      </c>
      <c r="AE3947" t="n">
        <v>67440</v>
      </c>
      <c r="AF3947" t="n">
        <v>7441</v>
      </c>
      <c r="AG3947" t="n">
        <v>1</v>
      </c>
      <c r="AH3947" t="inlineStr">
        <is>
          <t>PT. BERSAMA DISTRIVERSA INDONESIA (DC CIPUTAT)</t>
        </is>
      </c>
      <c r="AI3947" t="n">
        <v>122</v>
      </c>
      <c r="AJ3947" t="inlineStr">
        <is>
          <t>O TWO O</t>
        </is>
      </c>
      <c r="AK3947" t="n">
        <v>21</v>
      </c>
      <c r="AL3947" t="inlineStr">
        <is>
          <t>Miss Glam Damar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O TWO O</t>
        </is>
      </c>
      <c r="B3948" s="2">
        <f>"6973263793108"</f>
        <v/>
      </c>
      <c r="C3948" t="inlineStr">
        <is>
          <t>O TWO O Lightweight And Seamless Concealer #01 Fair 5gr</t>
        </is>
      </c>
      <c r="D3948" t="inlineStr">
        <is>
          <t>Miss Glam Damar</t>
        </is>
      </c>
      <c r="E3948" t="n">
        <v>3</v>
      </c>
      <c r="F3948" t="n">
        <v>0.04550000000000001</v>
      </c>
      <c r="G3948" t="n">
        <v>0.91</v>
      </c>
      <c r="H3948" t="n">
        <v>4</v>
      </c>
      <c r="I3948" t="n">
        <v>21</v>
      </c>
      <c r="J3948" t="n">
        <v>3</v>
      </c>
      <c r="K3948" t="n">
        <v>0</v>
      </c>
      <c r="L3948" t="n">
        <v>38617</v>
      </c>
      <c r="M3948" t="n">
        <v>48500</v>
      </c>
      <c r="N3948" t="n">
        <v>91</v>
      </c>
      <c r="O3948" t="n">
        <v>0.91</v>
      </c>
      <c r="P3948" t="n">
        <v>1</v>
      </c>
      <c r="Q3948" t="n">
        <v>0.02</v>
      </c>
      <c r="R3948" t="n">
        <v>1</v>
      </c>
      <c r="S3948" t="n">
        <v>2206.75</v>
      </c>
      <c r="T3948" t="n">
        <v>19</v>
      </c>
      <c r="U3948" t="n">
        <v>20</v>
      </c>
      <c r="V3948" t="n">
        <v>30</v>
      </c>
      <c r="W3948" t="n">
        <v>2</v>
      </c>
      <c r="X3948" t="n">
        <v>65.93406593406593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7441</v>
      </c>
      <c r="AG3948" t="n">
        <v>1</v>
      </c>
      <c r="AH3948" t="inlineStr">
        <is>
          <t>PT. BERSAMA DISTRIVERSA INDONESIA (DC CIPUTAT)</t>
        </is>
      </c>
      <c r="AI3948" t="n">
        <v>122</v>
      </c>
      <c r="AJ3948" t="inlineStr">
        <is>
          <t>O TWO O</t>
        </is>
      </c>
      <c r="AK3948" t="n">
        <v>21</v>
      </c>
      <c r="AL3948" t="inlineStr">
        <is>
          <t>Miss Glam Damar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O TWO O</t>
        </is>
      </c>
      <c r="B3949" s="2">
        <f>"6973263793245"</f>
        <v/>
      </c>
      <c r="C3949" t="inlineStr">
        <is>
          <t>O TWO O Love Mark Eyeshadow Palette 01 Sunset Dunes 10gr</t>
        </is>
      </c>
      <c r="D3949" t="inlineStr">
        <is>
          <t>Miss Glam Damar</t>
        </is>
      </c>
      <c r="E3949" t="n">
        <v>0</v>
      </c>
      <c r="F3949" t="n">
        <v>0.04</v>
      </c>
      <c r="G3949" t="n">
        <v>1</v>
      </c>
      <c r="H3949" t="n">
        <v>4</v>
      </c>
      <c r="I3949" t="n">
        <v>21</v>
      </c>
      <c r="J3949" t="n">
        <v>3</v>
      </c>
      <c r="K3949" t="n">
        <v>0</v>
      </c>
      <c r="L3949" t="n">
        <v>86870</v>
      </c>
      <c r="M3949" t="n">
        <v>119000</v>
      </c>
      <c r="N3949" t="n">
        <v>91</v>
      </c>
      <c r="O3949" t="n">
        <v>0.91</v>
      </c>
      <c r="P3949" t="n">
        <v>0</v>
      </c>
      <c r="Q3949" t="n">
        <v>0.04</v>
      </c>
      <c r="R3949" t="n">
        <v>1</v>
      </c>
      <c r="S3949" t="n">
        <v>4760</v>
      </c>
      <c r="T3949" t="n">
        <v>21</v>
      </c>
      <c r="U3949" t="n">
        <v>22</v>
      </c>
      <c r="V3949" t="n">
        <v>30</v>
      </c>
      <c r="W3949" t="n">
        <v>2</v>
      </c>
      <c r="X3949" t="n">
        <v>0</v>
      </c>
      <c r="Y3949" t="n">
        <v>1</v>
      </c>
      <c r="Z3949" t="n">
        <v>2</v>
      </c>
      <c r="AA3949" t="n">
        <v>1</v>
      </c>
      <c r="AB3949" t="n">
        <v>1</v>
      </c>
      <c r="AC3949" t="n">
        <v>3</v>
      </c>
      <c r="AD3949" t="n">
        <v>86870</v>
      </c>
      <c r="AE3949" t="n">
        <v>260610</v>
      </c>
      <c r="AF3949" t="n">
        <v>7441</v>
      </c>
      <c r="AG3949" t="n">
        <v>1</v>
      </c>
      <c r="AH3949" t="inlineStr">
        <is>
          <t>PT. BERSAMA DISTRIVERSA INDONESIA (DC CIPUTAT)</t>
        </is>
      </c>
      <c r="AI3949" t="n">
        <v>122</v>
      </c>
      <c r="AJ3949" t="inlineStr">
        <is>
          <t>O TWO O</t>
        </is>
      </c>
      <c r="AK3949" t="n">
        <v>21</v>
      </c>
      <c r="AL3949" t="inlineStr">
        <is>
          <t>Miss Glam Damar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O TWO O</t>
        </is>
      </c>
      <c r="B3950" s="2">
        <f>"6928495813544"</f>
        <v/>
      </c>
      <c r="C3950" t="inlineStr">
        <is>
          <t>O TWO O Miraculous Cat Eye Stamp Eyeliner Pen</t>
        </is>
      </c>
      <c r="D3950" t="inlineStr">
        <is>
          <t>Miss Glam Damar</t>
        </is>
      </c>
      <c r="E3950" t="n">
        <v>1</v>
      </c>
      <c r="F3950" t="n">
        <v>0.1365</v>
      </c>
      <c r="G3950" t="n">
        <v>0.91</v>
      </c>
      <c r="H3950" t="n">
        <v>4</v>
      </c>
      <c r="I3950" t="n">
        <v>21</v>
      </c>
      <c r="J3950" t="n">
        <v>3</v>
      </c>
      <c r="K3950" t="n">
        <v>0</v>
      </c>
      <c r="L3950" t="n">
        <v>35770</v>
      </c>
      <c r="M3950" t="n">
        <v>48000</v>
      </c>
      <c r="N3950" t="n">
        <v>91</v>
      </c>
      <c r="O3950" t="n">
        <v>0.91</v>
      </c>
      <c r="P3950" t="n">
        <v>1</v>
      </c>
      <c r="Q3950" t="n">
        <v>0.1</v>
      </c>
      <c r="R3950" t="n">
        <v>1</v>
      </c>
      <c r="S3950" t="n">
        <v>6552.000000000001</v>
      </c>
      <c r="T3950" t="n">
        <v>19</v>
      </c>
      <c r="U3950" t="n">
        <v>20</v>
      </c>
      <c r="V3950" t="n">
        <v>30</v>
      </c>
      <c r="W3950" t="n">
        <v>5</v>
      </c>
      <c r="X3950" t="n">
        <v>7.326007326007326</v>
      </c>
      <c r="Y3950" t="n">
        <v>1</v>
      </c>
      <c r="Z3950" t="n">
        <v>4</v>
      </c>
      <c r="AA3950" t="n">
        <v>2</v>
      </c>
      <c r="AB3950" t="n">
        <v>2</v>
      </c>
      <c r="AC3950" t="n">
        <v>3</v>
      </c>
      <c r="AD3950" t="n">
        <v>71540</v>
      </c>
      <c r="AE3950" t="n">
        <v>107310</v>
      </c>
      <c r="AF3950" t="n">
        <v>7441</v>
      </c>
      <c r="AG3950" t="n">
        <v>1</v>
      </c>
      <c r="AH3950" t="inlineStr">
        <is>
          <t>PT. BERSAMA DISTRIVERSA INDONESIA (DC CIPUTAT)</t>
        </is>
      </c>
      <c r="AI3950" t="n">
        <v>122</v>
      </c>
      <c r="AJ3950" t="inlineStr">
        <is>
          <t>O TWO O</t>
        </is>
      </c>
      <c r="AK3950" t="n">
        <v>21</v>
      </c>
      <c r="AL3950" t="inlineStr">
        <is>
          <t>Miss Glam Damar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O TWO O</t>
        </is>
      </c>
      <c r="B3951" s="2">
        <f>"6973263792637"</f>
        <v/>
      </c>
      <c r="C3951" t="inlineStr">
        <is>
          <t>O TWO O Warping Comb Eyelash Curler</t>
        </is>
      </c>
      <c r="D3951" t="inlineStr">
        <is>
          <t>Miss Glam Damar</t>
        </is>
      </c>
      <c r="E3951" t="n">
        <v>0</v>
      </c>
      <c r="F3951" t="n">
        <v>0.1729</v>
      </c>
      <c r="G3951" t="n">
        <v>1.82</v>
      </c>
      <c r="H3951" t="n">
        <v>4</v>
      </c>
      <c r="I3951" t="n">
        <v>21</v>
      </c>
      <c r="J3951" t="n">
        <v>3</v>
      </c>
      <c r="K3951" t="n">
        <v>18</v>
      </c>
      <c r="L3951" t="n">
        <v>28470</v>
      </c>
      <c r="M3951" t="n">
        <v>40000</v>
      </c>
      <c r="N3951" t="n">
        <v>91</v>
      </c>
      <c r="O3951" t="n">
        <v>0.91</v>
      </c>
      <c r="P3951" t="n">
        <v>1</v>
      </c>
      <c r="Q3951" t="n">
        <v>0.61</v>
      </c>
      <c r="R3951" t="n">
        <v>4</v>
      </c>
      <c r="S3951" t="n">
        <v>6916</v>
      </c>
      <c r="T3951" t="n">
        <v>38</v>
      </c>
      <c r="U3951" t="n">
        <v>39</v>
      </c>
      <c r="V3951" t="n">
        <v>30</v>
      </c>
      <c r="W3951" t="n">
        <v>6</v>
      </c>
      <c r="X3951" t="n">
        <v>0</v>
      </c>
      <c r="Y3951" t="n">
        <v>1</v>
      </c>
      <c r="Z3951" t="n">
        <v>0</v>
      </c>
      <c r="AA3951" t="n">
        <v>3</v>
      </c>
      <c r="AB3951" t="n">
        <v>0</v>
      </c>
      <c r="AC3951" t="n">
        <v>0</v>
      </c>
      <c r="AD3951" t="n">
        <v>85410</v>
      </c>
      <c r="AE3951" t="n">
        <v>0</v>
      </c>
      <c r="AF3951" t="n">
        <v>7441</v>
      </c>
      <c r="AG3951" t="n">
        <v>1</v>
      </c>
      <c r="AH3951" t="inlineStr">
        <is>
          <t>PT. BERSAMA DISTRIVERSA INDONESIA (DC CIPUTAT)</t>
        </is>
      </c>
      <c r="AI3951" t="n">
        <v>122</v>
      </c>
      <c r="AJ3951" t="inlineStr">
        <is>
          <t>O TWO O</t>
        </is>
      </c>
      <c r="AK3951" t="n">
        <v>21</v>
      </c>
      <c r="AL3951" t="inlineStr">
        <is>
          <t>Miss Glam Damar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O TWO O</t>
        </is>
      </c>
      <c r="B3952" s="2">
        <f>"6973263792958"</f>
        <v/>
      </c>
      <c r="C3952" t="inlineStr">
        <is>
          <t>O.TWO. O Lolepop Lipstick 02 Milk Tea  2,5gr</t>
        </is>
      </c>
      <c r="D3952" t="inlineStr">
        <is>
          <t>Miss Glam Damar</t>
        </is>
      </c>
      <c r="E3952" t="n">
        <v>3</v>
      </c>
      <c r="F3952" t="n">
        <v>0.0182</v>
      </c>
      <c r="G3952" t="n">
        <v>0.91</v>
      </c>
      <c r="H3952" t="n">
        <v>4</v>
      </c>
      <c r="I3952" t="n">
        <v>21</v>
      </c>
      <c r="J3952" t="n">
        <v>3</v>
      </c>
      <c r="K3952" t="n">
        <v>0</v>
      </c>
      <c r="L3952" t="n">
        <v>44211</v>
      </c>
      <c r="M3952" t="n">
        <v>58000</v>
      </c>
      <c r="N3952" t="n">
        <v>91</v>
      </c>
      <c r="O3952" t="n">
        <v>0.91</v>
      </c>
      <c r="P3952" t="n">
        <v>1</v>
      </c>
      <c r="Q3952" t="n">
        <v>0.02</v>
      </c>
      <c r="R3952" t="n">
        <v>1</v>
      </c>
      <c r="S3952" t="n">
        <v>1055.6</v>
      </c>
      <c r="T3952" t="n">
        <v>20</v>
      </c>
      <c r="U3952" t="n">
        <v>21</v>
      </c>
      <c r="V3952" t="n">
        <v>30</v>
      </c>
      <c r="W3952" t="n">
        <v>1</v>
      </c>
      <c r="X3952" t="n">
        <v>164.8351648351648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7441</v>
      </c>
      <c r="AG3952" t="n">
        <v>1</v>
      </c>
      <c r="AH3952" t="inlineStr">
        <is>
          <t>PT. BERSAMA DISTRIVERSA INDONESIA (DC CIPUTAT)</t>
        </is>
      </c>
      <c r="AI3952" t="n">
        <v>122</v>
      </c>
      <c r="AJ3952" t="inlineStr">
        <is>
          <t>O TWO O</t>
        </is>
      </c>
      <c r="AK3952" t="n">
        <v>21</v>
      </c>
      <c r="AL3952" t="inlineStr">
        <is>
          <t>Miss Glam Damar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O TWO O</t>
        </is>
      </c>
      <c r="B3953" s="2">
        <f>"6973263792941"</f>
        <v/>
      </c>
      <c r="C3953" t="inlineStr">
        <is>
          <t>O.TWO. O Lolepop Lipstick 03 Cocoa Brown 2,5gr</t>
        </is>
      </c>
      <c r="D3953" t="inlineStr">
        <is>
          <t>Miss Glam Damar</t>
        </is>
      </c>
      <c r="E3953" t="n">
        <v>12</v>
      </c>
      <c r="F3953" t="n">
        <v>0.0182</v>
      </c>
      <c r="G3953" t="n">
        <v>0.91</v>
      </c>
      <c r="H3953" t="n">
        <v>4</v>
      </c>
      <c r="I3953" t="n">
        <v>21</v>
      </c>
      <c r="J3953" t="n">
        <v>3</v>
      </c>
      <c r="K3953" t="n">
        <v>0</v>
      </c>
      <c r="L3953" t="n">
        <v>43070</v>
      </c>
      <c r="M3953" t="n">
        <v>58000</v>
      </c>
      <c r="N3953" t="n">
        <v>91</v>
      </c>
      <c r="O3953" t="n">
        <v>0.91</v>
      </c>
      <c r="P3953" t="n">
        <v>1</v>
      </c>
      <c r="Q3953" t="n">
        <v>0.02</v>
      </c>
      <c r="R3953" t="n">
        <v>1</v>
      </c>
      <c r="S3953" t="n">
        <v>1055.6</v>
      </c>
      <c r="T3953" t="n">
        <v>20</v>
      </c>
      <c r="U3953" t="n">
        <v>21</v>
      </c>
      <c r="V3953" t="n">
        <v>30</v>
      </c>
      <c r="W3953" t="n">
        <v>1</v>
      </c>
      <c r="X3953" t="n">
        <v>659.3406593406593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7441</v>
      </c>
      <c r="AG3953" t="n">
        <v>1</v>
      </c>
      <c r="AH3953" t="inlineStr">
        <is>
          <t>PT. BERSAMA DISTRIVERSA INDONESIA (DC CIPUTAT)</t>
        </is>
      </c>
      <c r="AI3953" t="n">
        <v>122</v>
      </c>
      <c r="AJ3953" t="inlineStr">
        <is>
          <t>O TWO O</t>
        </is>
      </c>
      <c r="AK3953" t="n">
        <v>21</v>
      </c>
      <c r="AL3953" t="inlineStr">
        <is>
          <t>Miss Glam Damar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O TWO O</t>
        </is>
      </c>
      <c r="B3954" s="2">
        <f>"6973263792934"</f>
        <v/>
      </c>
      <c r="C3954" t="inlineStr">
        <is>
          <t>O.TWO. O Lolepop Lipstick 04 Pumpkin Brown 2,5gr</t>
        </is>
      </c>
      <c r="D3954" t="inlineStr">
        <is>
          <t>Miss Glam Damar</t>
        </is>
      </c>
      <c r="E3954" t="n">
        <v>0</v>
      </c>
      <c r="F3954" t="n">
        <v>0.0273</v>
      </c>
      <c r="G3954" t="n">
        <v>0.91</v>
      </c>
      <c r="H3954" t="n">
        <v>4</v>
      </c>
      <c r="I3954" t="n">
        <v>21</v>
      </c>
      <c r="J3954" t="n">
        <v>3</v>
      </c>
      <c r="K3954" t="n">
        <v>3</v>
      </c>
      <c r="L3954" t="n">
        <v>43070</v>
      </c>
      <c r="M3954" t="n">
        <v>59000</v>
      </c>
      <c r="N3954" t="n">
        <v>91</v>
      </c>
      <c r="O3954" t="n">
        <v>0.91</v>
      </c>
      <c r="P3954" t="n">
        <v>1</v>
      </c>
      <c r="Q3954" t="n">
        <v>0.04</v>
      </c>
      <c r="R3954" t="n">
        <v>1</v>
      </c>
      <c r="S3954" t="n">
        <v>1610.7</v>
      </c>
      <c r="T3954" t="n">
        <v>20</v>
      </c>
      <c r="U3954" t="n">
        <v>21</v>
      </c>
      <c r="V3954" t="n">
        <v>30</v>
      </c>
      <c r="W3954" t="n">
        <v>1</v>
      </c>
      <c r="X3954" t="n">
        <v>0</v>
      </c>
      <c r="Y3954" t="n">
        <v>1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7441</v>
      </c>
      <c r="AG3954" t="n">
        <v>1</v>
      </c>
      <c r="AH3954" t="inlineStr">
        <is>
          <t>PT. BERSAMA DISTRIVERSA INDONESIA (DC CIPUTAT)</t>
        </is>
      </c>
      <c r="AI3954" t="n">
        <v>122</v>
      </c>
      <c r="AJ3954" t="inlineStr">
        <is>
          <t>O TWO O</t>
        </is>
      </c>
      <c r="AK3954" t="n">
        <v>21</v>
      </c>
      <c r="AL3954" t="inlineStr">
        <is>
          <t>Miss Glam Damar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O TWO O</t>
        </is>
      </c>
      <c r="B3955" s="2">
        <f>"6973263793023"</f>
        <v/>
      </c>
      <c r="C3955" t="inlineStr">
        <is>
          <t>O.TWO. O Lolepop Lipstick 05 Apple Red 2,5g</t>
        </is>
      </c>
      <c r="D3955" t="inlineStr">
        <is>
          <t>Miss Glam Damar</t>
        </is>
      </c>
      <c r="E3955" t="n">
        <v>6</v>
      </c>
      <c r="F3955" t="n">
        <v>0.0182</v>
      </c>
      <c r="G3955" t="n">
        <v>0.91</v>
      </c>
      <c r="H3955" t="n">
        <v>4</v>
      </c>
      <c r="I3955" t="n">
        <v>21</v>
      </c>
      <c r="J3955" t="n">
        <v>3</v>
      </c>
      <c r="K3955" t="n">
        <v>0</v>
      </c>
      <c r="L3955" t="n">
        <v>43070</v>
      </c>
      <c r="M3955" t="n">
        <v>58000</v>
      </c>
      <c r="N3955" t="n">
        <v>91</v>
      </c>
      <c r="O3955" t="n">
        <v>0.91</v>
      </c>
      <c r="P3955" t="n">
        <v>1</v>
      </c>
      <c r="Q3955" t="n">
        <v>0.03</v>
      </c>
      <c r="R3955" t="n">
        <v>2</v>
      </c>
      <c r="S3955" t="n">
        <v>1055.6</v>
      </c>
      <c r="T3955" t="n">
        <v>20</v>
      </c>
      <c r="U3955" t="n">
        <v>21</v>
      </c>
      <c r="V3955" t="n">
        <v>30</v>
      </c>
      <c r="W3955" t="n">
        <v>1</v>
      </c>
      <c r="X3955" t="n">
        <v>329.6703296703296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7441</v>
      </c>
      <c r="AG3955" t="n">
        <v>1</v>
      </c>
      <c r="AH3955" t="inlineStr">
        <is>
          <t>PT. BERSAMA DISTRIVERSA INDONESIA (DC CIPUTAT)</t>
        </is>
      </c>
      <c r="AI3955" t="n">
        <v>122</v>
      </c>
      <c r="AJ3955" t="inlineStr">
        <is>
          <t>O TWO O</t>
        </is>
      </c>
      <c r="AK3955" t="n">
        <v>21</v>
      </c>
      <c r="AL3955" t="inlineStr">
        <is>
          <t>Miss Glam Damar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O TWO O</t>
        </is>
      </c>
      <c r="B3956" s="2">
        <f>"6973263793016"</f>
        <v/>
      </c>
      <c r="C3956" t="inlineStr">
        <is>
          <t>O.TWO. O Lolepop Lipstick 06 Wild Berry 2,5gr</t>
        </is>
      </c>
      <c r="D3956" t="inlineStr">
        <is>
          <t>Miss Glam Damar</t>
        </is>
      </c>
      <c r="E3956" t="n">
        <v>5</v>
      </c>
      <c r="F3956" t="n">
        <v>0.0546</v>
      </c>
      <c r="G3956" t="n">
        <v>0.91</v>
      </c>
      <c r="H3956" t="n">
        <v>4</v>
      </c>
      <c r="I3956" t="n">
        <v>21</v>
      </c>
      <c r="J3956" t="n">
        <v>3</v>
      </c>
      <c r="K3956" t="n">
        <v>0</v>
      </c>
      <c r="L3956" t="n">
        <v>43070</v>
      </c>
      <c r="M3956" t="n">
        <v>58000</v>
      </c>
      <c r="N3956" t="n">
        <v>91</v>
      </c>
      <c r="O3956" t="n">
        <v>0.91</v>
      </c>
      <c r="P3956" t="n">
        <v>1</v>
      </c>
      <c r="Q3956" t="n">
        <v>0.05</v>
      </c>
      <c r="R3956" t="n">
        <v>1</v>
      </c>
      <c r="S3956" t="n">
        <v>3166.8</v>
      </c>
      <c r="T3956" t="n">
        <v>19</v>
      </c>
      <c r="U3956" t="n">
        <v>20</v>
      </c>
      <c r="V3956" t="n">
        <v>30</v>
      </c>
      <c r="W3956" t="n">
        <v>2</v>
      </c>
      <c r="X3956" t="n">
        <v>91.57509157509158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7441</v>
      </c>
      <c r="AG3956" t="n">
        <v>1</v>
      </c>
      <c r="AH3956" t="inlineStr">
        <is>
          <t>PT. BERSAMA DISTRIVERSA INDONESIA (DC CIPUTAT)</t>
        </is>
      </c>
      <c r="AI3956" t="n">
        <v>122</v>
      </c>
      <c r="AJ3956" t="inlineStr">
        <is>
          <t>O TWO O</t>
        </is>
      </c>
      <c r="AK3956" t="n">
        <v>21</v>
      </c>
      <c r="AL3956" t="inlineStr">
        <is>
          <t>Miss Glam Damar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O TWO O</t>
        </is>
      </c>
      <c r="B3957" s="2">
        <f>"6973263793009"</f>
        <v/>
      </c>
      <c r="C3957" t="inlineStr">
        <is>
          <t>O.TWO. O Lolepop Lipstick 07 Pink Rose 2,5gr</t>
        </is>
      </c>
      <c r="D3957" t="inlineStr">
        <is>
          <t>Miss Glam Damar</t>
        </is>
      </c>
      <c r="E3957" t="n">
        <v>3</v>
      </c>
      <c r="F3957" t="n">
        <v>0.0273</v>
      </c>
      <c r="G3957" t="n">
        <v>0.91</v>
      </c>
      <c r="H3957" t="n">
        <v>4</v>
      </c>
      <c r="I3957" t="n">
        <v>21</v>
      </c>
      <c r="J3957" t="n">
        <v>3</v>
      </c>
      <c r="K3957" t="n">
        <v>0</v>
      </c>
      <c r="L3957" t="n">
        <v>43070</v>
      </c>
      <c r="M3957" t="n">
        <v>58000</v>
      </c>
      <c r="N3957" t="n">
        <v>91</v>
      </c>
      <c r="O3957" t="n">
        <v>0.91</v>
      </c>
      <c r="P3957" t="n">
        <v>1</v>
      </c>
      <c r="Q3957" t="n">
        <v>0.03</v>
      </c>
      <c r="R3957" t="n">
        <v>1</v>
      </c>
      <c r="S3957" t="n">
        <v>1583.4</v>
      </c>
      <c r="T3957" t="n">
        <v>20</v>
      </c>
      <c r="U3957" t="n">
        <v>21</v>
      </c>
      <c r="V3957" t="n">
        <v>30</v>
      </c>
      <c r="W3957" t="n">
        <v>1</v>
      </c>
      <c r="X3957" t="n">
        <v>109.8901098901099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7441</v>
      </c>
      <c r="AG3957" t="n">
        <v>1</v>
      </c>
      <c r="AH3957" t="inlineStr">
        <is>
          <t>PT. BERSAMA DISTRIVERSA INDONESIA (DC CIPUTAT)</t>
        </is>
      </c>
      <c r="AI3957" t="n">
        <v>122</v>
      </c>
      <c r="AJ3957" t="inlineStr">
        <is>
          <t>O TWO O</t>
        </is>
      </c>
      <c r="AK3957" t="n">
        <v>21</v>
      </c>
      <c r="AL3957" t="inlineStr">
        <is>
          <t>Miss Glam Damar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O TWO O</t>
        </is>
      </c>
      <c r="B3958" s="2">
        <f>"6973263792514"</f>
        <v/>
      </c>
      <c r="C3958" t="inlineStr">
        <is>
          <t>O.TWO.O Glow Colour Bounce Blush 02 Fervor 7gr</t>
        </is>
      </c>
      <c r="D3958" t="inlineStr">
        <is>
          <t>Miss Glam Damar</t>
        </is>
      </c>
      <c r="E3958" t="n">
        <v>4</v>
      </c>
      <c r="F3958" t="n">
        <v>0.0182</v>
      </c>
      <c r="G3958" t="n">
        <v>0.91</v>
      </c>
      <c r="H3958" t="n">
        <v>4</v>
      </c>
      <c r="I3958" t="n">
        <v>21</v>
      </c>
      <c r="J3958" t="n">
        <v>3</v>
      </c>
      <c r="K3958" t="n">
        <v>0</v>
      </c>
      <c r="L3958" t="n">
        <v>47998</v>
      </c>
      <c r="M3958" t="n">
        <v>69000</v>
      </c>
      <c r="N3958" t="n">
        <v>91</v>
      </c>
      <c r="O3958" t="n">
        <v>0.91</v>
      </c>
      <c r="P3958" t="n">
        <v>1</v>
      </c>
      <c r="Q3958" t="n">
        <v>0.08</v>
      </c>
      <c r="R3958" t="n">
        <v>1</v>
      </c>
      <c r="S3958" t="n">
        <v>1255.8</v>
      </c>
      <c r="T3958" t="n">
        <v>20</v>
      </c>
      <c r="U3958" t="n">
        <v>21</v>
      </c>
      <c r="V3958" t="n">
        <v>30</v>
      </c>
      <c r="W3958" t="n">
        <v>1</v>
      </c>
      <c r="X3958" t="n">
        <v>219.7802197802198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7441</v>
      </c>
      <c r="AG3958" t="n">
        <v>1</v>
      </c>
      <c r="AH3958" t="inlineStr">
        <is>
          <t>PT. BERSAMA DISTRIVERSA INDONESIA (DC CIPUTAT)</t>
        </is>
      </c>
      <c r="AI3958" t="n">
        <v>122</v>
      </c>
      <c r="AJ3958" t="inlineStr">
        <is>
          <t>O TWO O</t>
        </is>
      </c>
      <c r="AK3958" t="n">
        <v>21</v>
      </c>
      <c r="AL3958" t="inlineStr">
        <is>
          <t>Miss Glam Damar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O TWO O</t>
        </is>
      </c>
      <c r="B3959" s="2">
        <f>"6973263792538"</f>
        <v/>
      </c>
      <c r="C3959" t="inlineStr">
        <is>
          <t>O.TWO.O Glow Colour Bounce Blush 04 Subtle 7gr</t>
        </is>
      </c>
      <c r="D3959" t="inlineStr">
        <is>
          <t>Miss Glam Damar</t>
        </is>
      </c>
      <c r="E3959" t="n">
        <v>4</v>
      </c>
      <c r="F3959" t="n">
        <v>0.0273</v>
      </c>
      <c r="G3959" t="n">
        <v>0.91</v>
      </c>
      <c r="H3959" t="n">
        <v>4</v>
      </c>
      <c r="I3959" t="n">
        <v>21</v>
      </c>
      <c r="J3959" t="n">
        <v>3</v>
      </c>
      <c r="K3959" t="n">
        <v>0</v>
      </c>
      <c r="L3959" t="n">
        <v>47085</v>
      </c>
      <c r="M3959" t="n">
        <v>61500</v>
      </c>
      <c r="N3959" t="n">
        <v>91</v>
      </c>
      <c r="O3959" t="n">
        <v>0.91</v>
      </c>
      <c r="P3959" t="n">
        <v>1</v>
      </c>
      <c r="Q3959" t="n">
        <v>0.03</v>
      </c>
      <c r="R3959" t="n">
        <v>1</v>
      </c>
      <c r="S3959" t="n">
        <v>1678.95</v>
      </c>
      <c r="T3959" t="n">
        <v>20</v>
      </c>
      <c r="U3959" t="n">
        <v>21</v>
      </c>
      <c r="V3959" t="n">
        <v>30</v>
      </c>
      <c r="W3959" t="n">
        <v>1</v>
      </c>
      <c r="X3959" t="n">
        <v>146.5201465201465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7441</v>
      </c>
      <c r="AG3959" t="n">
        <v>1</v>
      </c>
      <c r="AH3959" t="inlineStr">
        <is>
          <t>PT. BERSAMA DISTRIVERSA INDONESIA (DC CIPUTAT)</t>
        </is>
      </c>
      <c r="AI3959" t="n">
        <v>122</v>
      </c>
      <c r="AJ3959" t="inlineStr">
        <is>
          <t>O TWO O</t>
        </is>
      </c>
      <c r="AK3959" t="n">
        <v>21</v>
      </c>
      <c r="AL3959" t="inlineStr">
        <is>
          <t>Miss Glam Damar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O TWO O</t>
        </is>
      </c>
      <c r="B3960" s="2">
        <f>"6973263792552"</f>
        <v/>
      </c>
      <c r="C3960" t="inlineStr">
        <is>
          <t>O.TWO.O Glow Colour Bounce Blush 06 7gr</t>
        </is>
      </c>
      <c r="D3960" t="inlineStr">
        <is>
          <t>Miss Glam Damar</t>
        </is>
      </c>
      <c r="E3960" t="n">
        <v>6</v>
      </c>
      <c r="F3960" t="n">
        <v>0.1092</v>
      </c>
      <c r="G3960" t="n">
        <v>1.82</v>
      </c>
      <c r="H3960" t="n">
        <v>4</v>
      </c>
      <c r="I3960" t="n">
        <v>21</v>
      </c>
      <c r="J3960" t="n">
        <v>3</v>
      </c>
      <c r="K3960" t="n">
        <v>0</v>
      </c>
      <c r="L3960" t="n">
        <v>45990</v>
      </c>
      <c r="M3960" t="n">
        <v>61500</v>
      </c>
      <c r="N3960" t="n">
        <v>91</v>
      </c>
      <c r="O3960" t="n">
        <v>0.91</v>
      </c>
      <c r="P3960" t="n">
        <v>1</v>
      </c>
      <c r="Q3960" t="n">
        <v>0.1</v>
      </c>
      <c r="R3960" t="n">
        <v>1</v>
      </c>
      <c r="S3960" t="n">
        <v>6715.8</v>
      </c>
      <c r="T3960" t="n">
        <v>38</v>
      </c>
      <c r="U3960" t="n">
        <v>39</v>
      </c>
      <c r="V3960" t="n">
        <v>30</v>
      </c>
      <c r="W3960" t="n">
        <v>4</v>
      </c>
      <c r="X3960" t="n">
        <v>54.94505494505494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7441</v>
      </c>
      <c r="AG3960" t="n">
        <v>1</v>
      </c>
      <c r="AH3960" t="inlineStr">
        <is>
          <t>PT. BERSAMA DISTRIVERSA INDONESIA (DC CIPUTAT)</t>
        </is>
      </c>
      <c r="AI3960" t="n">
        <v>122</v>
      </c>
      <c r="AJ3960" t="inlineStr">
        <is>
          <t>O TWO O</t>
        </is>
      </c>
      <c r="AK3960" t="n">
        <v>21</v>
      </c>
      <c r="AL3960" t="inlineStr">
        <is>
          <t>Miss Glam Damar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O TWO O</t>
        </is>
      </c>
      <c r="B3961" s="2">
        <f>"6973263793818"</f>
        <v/>
      </c>
      <c r="C3961" t="inlineStr">
        <is>
          <t>O.TWO.O Misty Kiss Lock Color Matte Lipstick M11 Cozy 4gr</t>
        </is>
      </c>
      <c r="D3961" t="inlineStr">
        <is>
          <t>Miss Glam Damar</t>
        </is>
      </c>
      <c r="E3961" t="n">
        <v>4</v>
      </c>
      <c r="F3961" t="n">
        <v>0.0273</v>
      </c>
      <c r="G3961" t="n">
        <v>0.91</v>
      </c>
      <c r="H3961" t="n">
        <v>4</v>
      </c>
      <c r="I3961" t="n">
        <v>21</v>
      </c>
      <c r="J3961" t="n">
        <v>3</v>
      </c>
      <c r="K3961" t="n">
        <v>0</v>
      </c>
      <c r="L3961" t="n">
        <v>62050</v>
      </c>
      <c r="M3961" t="n">
        <v>85000</v>
      </c>
      <c r="N3961" t="n">
        <v>91</v>
      </c>
      <c r="O3961" t="n">
        <v>0.91</v>
      </c>
      <c r="P3961" t="n">
        <v>1</v>
      </c>
      <c r="Q3961" t="n">
        <v>0.08</v>
      </c>
      <c r="R3961" t="n">
        <v>1</v>
      </c>
      <c r="S3961" t="n">
        <v>2320.5</v>
      </c>
      <c r="T3961" t="n">
        <v>20</v>
      </c>
      <c r="U3961" t="n">
        <v>21</v>
      </c>
      <c r="V3961" t="n">
        <v>30</v>
      </c>
      <c r="W3961" t="n">
        <v>1</v>
      </c>
      <c r="X3961" t="n">
        <v>146.5201465201465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7441</v>
      </c>
      <c r="AG3961" t="n">
        <v>1</v>
      </c>
      <c r="AH3961" t="inlineStr">
        <is>
          <t>PT. BERSAMA DISTRIVERSA INDONESIA (DC CIPUTAT)</t>
        </is>
      </c>
      <c r="AI3961" t="n">
        <v>122</v>
      </c>
      <c r="AJ3961" t="inlineStr">
        <is>
          <t>O TWO O</t>
        </is>
      </c>
      <c r="AK3961" t="n">
        <v>21</v>
      </c>
      <c r="AL3961" t="inlineStr">
        <is>
          <t>Miss Glam Damar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O TWO O</t>
        </is>
      </c>
      <c r="B3962" s="2">
        <f>"6973263793863"</f>
        <v/>
      </c>
      <c r="C3962" t="inlineStr">
        <is>
          <t>O.TWO.O Misty Kiss Lock Color Matte Lipstick M16 Wild 4gr</t>
        </is>
      </c>
      <c r="D3962" t="inlineStr">
        <is>
          <t>Miss Glam Damar</t>
        </is>
      </c>
      <c r="E3962" t="n">
        <v>0</v>
      </c>
      <c r="F3962" t="n">
        <v>0.04550000000000001</v>
      </c>
      <c r="G3962" t="n">
        <v>1.82</v>
      </c>
      <c r="H3962" t="n">
        <v>4</v>
      </c>
      <c r="I3962" t="n">
        <v>21</v>
      </c>
      <c r="J3962" t="n">
        <v>3</v>
      </c>
      <c r="K3962" t="n">
        <v>3</v>
      </c>
      <c r="L3962" t="n">
        <v>62050</v>
      </c>
      <c r="M3962" t="n">
        <v>78000</v>
      </c>
      <c r="N3962" t="n">
        <v>91</v>
      </c>
      <c r="O3962" t="n">
        <v>0.91</v>
      </c>
      <c r="P3962" t="n">
        <v>1</v>
      </c>
      <c r="Q3962" t="n">
        <v>0.05</v>
      </c>
      <c r="R3962" t="n">
        <v>1</v>
      </c>
      <c r="S3962" t="n">
        <v>3549</v>
      </c>
      <c r="T3962" t="n">
        <v>39</v>
      </c>
      <c r="U3962" t="n">
        <v>40</v>
      </c>
      <c r="V3962" t="n">
        <v>30</v>
      </c>
      <c r="W3962" t="n">
        <v>2</v>
      </c>
      <c r="X3962" t="n">
        <v>0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7441</v>
      </c>
      <c r="AG3962" t="n">
        <v>1</v>
      </c>
      <c r="AH3962" t="inlineStr">
        <is>
          <t>PT. BERSAMA DISTRIVERSA INDONESIA (DC CIPUTAT)</t>
        </is>
      </c>
      <c r="AI3962" t="n">
        <v>122</v>
      </c>
      <c r="AJ3962" t="inlineStr">
        <is>
          <t>O TWO O</t>
        </is>
      </c>
      <c r="AK3962" t="n">
        <v>21</v>
      </c>
      <c r="AL3962" t="inlineStr">
        <is>
          <t>Miss Glam Damar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O TWO O</t>
        </is>
      </c>
      <c r="B3963" s="2">
        <f>"6973263793870"</f>
        <v/>
      </c>
      <c r="C3963" t="inlineStr">
        <is>
          <t>O.TWO.O Misty Kiss Lock Color Matte Lipstick M17 Revolt 4gr</t>
        </is>
      </c>
      <c r="D3963" t="inlineStr">
        <is>
          <t>Miss Glam Damar</t>
        </is>
      </c>
      <c r="E3963" t="n">
        <v>5</v>
      </c>
      <c r="F3963" t="n">
        <v>0.09100000000000001</v>
      </c>
      <c r="G3963" t="n">
        <v>0.91</v>
      </c>
      <c r="H3963" t="n">
        <v>4</v>
      </c>
      <c r="I3963" t="n">
        <v>21</v>
      </c>
      <c r="J3963" t="n">
        <v>3</v>
      </c>
      <c r="K3963" t="n">
        <v>0</v>
      </c>
      <c r="L3963" t="n">
        <v>62050</v>
      </c>
      <c r="M3963" t="n">
        <v>85000</v>
      </c>
      <c r="N3963" t="n">
        <v>91</v>
      </c>
      <c r="O3963" t="n">
        <v>0.91</v>
      </c>
      <c r="P3963" t="n">
        <v>1</v>
      </c>
      <c r="Q3963" t="n">
        <v>0.03</v>
      </c>
      <c r="R3963" t="n">
        <v>1</v>
      </c>
      <c r="S3963" t="n">
        <v>7735.000000000001</v>
      </c>
      <c r="T3963" t="n">
        <v>19</v>
      </c>
      <c r="U3963" t="n">
        <v>20</v>
      </c>
      <c r="V3963" t="n">
        <v>30</v>
      </c>
      <c r="W3963" t="n">
        <v>3</v>
      </c>
      <c r="X3963" t="n">
        <v>54.94505494505494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7441</v>
      </c>
      <c r="AG3963" t="n">
        <v>1</v>
      </c>
      <c r="AH3963" t="inlineStr">
        <is>
          <t>PT. BERSAMA DISTRIVERSA INDONESIA (DC CIPUTAT)</t>
        </is>
      </c>
      <c r="AI3963" t="n">
        <v>122</v>
      </c>
      <c r="AJ3963" t="inlineStr">
        <is>
          <t>O TWO O</t>
        </is>
      </c>
      <c r="AK3963" t="n">
        <v>21</v>
      </c>
      <c r="AL3963" t="inlineStr">
        <is>
          <t>Miss Glam Damar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O TWO O</t>
        </is>
      </c>
      <c r="B3964" s="2">
        <f>"6973263792392"</f>
        <v/>
      </c>
      <c r="C3964" t="inlineStr">
        <is>
          <t>O.TWO.O Volume and Curling Waterproof Mascara 7gr</t>
        </is>
      </c>
      <c r="D3964" t="inlineStr">
        <is>
          <t>Miss Glam Damar</t>
        </is>
      </c>
      <c r="E3964" t="n">
        <v>8</v>
      </c>
      <c r="F3964" t="n">
        <v>0.0728</v>
      </c>
      <c r="G3964" t="n">
        <v>2.73</v>
      </c>
      <c r="H3964" t="n">
        <v>4</v>
      </c>
      <c r="I3964" t="n">
        <v>21</v>
      </c>
      <c r="J3964" t="n">
        <v>3</v>
      </c>
      <c r="K3964" t="n">
        <v>0</v>
      </c>
      <c r="L3964" t="n">
        <v>50370</v>
      </c>
      <c r="M3964" t="n">
        <v>64000</v>
      </c>
      <c r="N3964" t="n">
        <v>91</v>
      </c>
      <c r="O3964" t="n">
        <v>0.91</v>
      </c>
      <c r="P3964" t="n">
        <v>1</v>
      </c>
      <c r="Q3964" t="n">
        <v>0.39</v>
      </c>
      <c r="R3964" t="n">
        <v>3</v>
      </c>
      <c r="S3964" t="n">
        <v>4659.2</v>
      </c>
      <c r="T3964" t="n">
        <v>58</v>
      </c>
      <c r="U3964" t="n">
        <v>59</v>
      </c>
      <c r="V3964" t="n">
        <v>30</v>
      </c>
      <c r="W3964" t="n">
        <v>3</v>
      </c>
      <c r="X3964" t="n">
        <v>109.8901098901099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7441</v>
      </c>
      <c r="AG3964" t="n">
        <v>1</v>
      </c>
      <c r="AH3964" t="inlineStr">
        <is>
          <t>PT. BERSAMA DISTRIVERSA INDONESIA (DC CIPUTAT)</t>
        </is>
      </c>
      <c r="AI3964" t="n">
        <v>122</v>
      </c>
      <c r="AJ3964" t="inlineStr">
        <is>
          <t>O TWO O</t>
        </is>
      </c>
      <c r="AK3964" t="n">
        <v>21</v>
      </c>
      <c r="AL3964" t="inlineStr">
        <is>
          <t>Miss Glam Damar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O'SWEET</t>
        </is>
      </c>
      <c r="B3965" s="2">
        <f>"8997242550054"</f>
        <v/>
      </c>
      <c r="C3965" t="inlineStr">
        <is>
          <t>O'SWEET Singapore Ginger Daikin Conditioner 100ml</t>
        </is>
      </c>
      <c r="D3965" t="inlineStr">
        <is>
          <t>Miss Glam Damar</t>
        </is>
      </c>
      <c r="E3965" t="n">
        <v>0</v>
      </c>
      <c r="F3965" t="n">
        <v>0.03</v>
      </c>
      <c r="G3965" t="n">
        <v>1</v>
      </c>
      <c r="H3965" t="n">
        <v>4</v>
      </c>
      <c r="I3965" t="n">
        <v>21</v>
      </c>
      <c r="J3965" t="n">
        <v>3</v>
      </c>
      <c r="K3965" t="n">
        <v>0</v>
      </c>
      <c r="L3965" t="n">
        <v>97499</v>
      </c>
      <c r="M3965" t="n">
        <v>128000</v>
      </c>
      <c r="N3965" t="n">
        <v>91</v>
      </c>
      <c r="O3965" t="n">
        <v>0.91</v>
      </c>
      <c r="P3965" t="n">
        <v>0</v>
      </c>
      <c r="Q3965" t="n">
        <v>0.03</v>
      </c>
      <c r="R3965" t="n">
        <v>1</v>
      </c>
      <c r="S3965" t="n">
        <v>3840</v>
      </c>
      <c r="T3965" t="n">
        <v>21</v>
      </c>
      <c r="U3965" t="n">
        <v>22</v>
      </c>
      <c r="V3965" t="n">
        <v>30</v>
      </c>
      <c r="W3965" t="n">
        <v>1</v>
      </c>
      <c r="X3965" t="n">
        <v>0</v>
      </c>
      <c r="Y3965" t="n">
        <v>1</v>
      </c>
      <c r="Z3965" t="n">
        <v>1</v>
      </c>
      <c r="AA3965" t="n">
        <v>1</v>
      </c>
      <c r="AB3965" t="n">
        <v>0</v>
      </c>
      <c r="AC3965" t="n">
        <v>0</v>
      </c>
      <c r="AD3965" t="n">
        <v>97499</v>
      </c>
      <c r="AE3965" t="n">
        <v>0</v>
      </c>
      <c r="AF3965" t="n">
        <v>7474</v>
      </c>
      <c r="AG3965" t="n">
        <v>1</v>
      </c>
      <c r="AH3965" t="inlineStr">
        <is>
          <t>PT. BERSAMA DISTRIVERSA INDONESIA (DC CIPUTAT)</t>
        </is>
      </c>
      <c r="AI3965" t="n">
        <v>1217</v>
      </c>
      <c r="AJ3965" t="inlineStr">
        <is>
          <t>O'SWEET</t>
        </is>
      </c>
      <c r="AK3965" t="n">
        <v>21</v>
      </c>
      <c r="AL3965" t="inlineStr">
        <is>
          <t>Miss Glam Damar</t>
        </is>
      </c>
      <c r="AM3965" t="n">
        <v>4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O'SWEET</t>
        </is>
      </c>
      <c r="B3966" s="2">
        <f>"8997242550023"</f>
        <v/>
      </c>
      <c r="C3966" t="inlineStr">
        <is>
          <t>O'SWEET Singapore Ginger Shampoo 100ml</t>
        </is>
      </c>
      <c r="D3966" t="inlineStr">
        <is>
          <t>Miss Glam Damar</t>
        </is>
      </c>
      <c r="E3966" t="n">
        <v>0</v>
      </c>
      <c r="F3966" t="n">
        <v>0.07000000000000001</v>
      </c>
      <c r="G3966" t="n">
        <v>1</v>
      </c>
      <c r="H3966" t="n">
        <v>4</v>
      </c>
      <c r="I3966" t="n">
        <v>21</v>
      </c>
      <c r="J3966" t="n">
        <v>3</v>
      </c>
      <c r="K3966" t="n">
        <v>0</v>
      </c>
      <c r="L3966" t="n">
        <v>140238</v>
      </c>
      <c r="M3966" t="n">
        <v>165000</v>
      </c>
      <c r="N3966" t="n">
        <v>91</v>
      </c>
      <c r="O3966" t="n">
        <v>0.91</v>
      </c>
      <c r="P3966" t="n">
        <v>0</v>
      </c>
      <c r="Q3966" t="n">
        <v>0.07000000000000001</v>
      </c>
      <c r="R3966" t="n">
        <v>1</v>
      </c>
      <c r="S3966" t="n">
        <v>11550</v>
      </c>
      <c r="T3966" t="n">
        <v>21</v>
      </c>
      <c r="U3966" t="n">
        <v>22</v>
      </c>
      <c r="V3966" t="n">
        <v>30</v>
      </c>
      <c r="W3966" t="n">
        <v>3</v>
      </c>
      <c r="X3966" t="n">
        <v>0</v>
      </c>
      <c r="Y3966" t="n">
        <v>1</v>
      </c>
      <c r="Z3966" t="n">
        <v>3</v>
      </c>
      <c r="AA3966" t="n">
        <v>2</v>
      </c>
      <c r="AB3966" t="n">
        <v>1</v>
      </c>
      <c r="AC3966" t="n">
        <v>3</v>
      </c>
      <c r="AD3966" t="n">
        <v>280476</v>
      </c>
      <c r="AE3966" t="n">
        <v>420714</v>
      </c>
      <c r="AF3966" t="n">
        <v>7474</v>
      </c>
      <c r="AG3966" t="n">
        <v>1</v>
      </c>
      <c r="AH3966" t="inlineStr">
        <is>
          <t>PT. BERSAMA DISTRIVERSA INDONESIA (DC CIPUTAT)</t>
        </is>
      </c>
      <c r="AI3966" t="n">
        <v>1217</v>
      </c>
      <c r="AJ3966" t="inlineStr">
        <is>
          <t>O'SWEET</t>
        </is>
      </c>
      <c r="AK3966" t="n">
        <v>21</v>
      </c>
      <c r="AL3966" t="inlineStr">
        <is>
          <t>Miss Glam Damar</t>
        </is>
      </c>
      <c r="AM3966" t="n">
        <v>4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O'SWEET</t>
        </is>
      </c>
      <c r="B3967" s="2">
        <f>"796554586335"</f>
        <v/>
      </c>
      <c r="C3967" t="inlineStr">
        <is>
          <t>O'SWEET Singapore Ginger Shampoo 250Ml (NEW)</t>
        </is>
      </c>
      <c r="D3967" t="inlineStr">
        <is>
          <t>Miss Glam Damar</t>
        </is>
      </c>
      <c r="E3967" t="n">
        <v>0</v>
      </c>
      <c r="F3967" t="n">
        <v>0.03</v>
      </c>
      <c r="G3967" t="n">
        <v>1</v>
      </c>
      <c r="H3967" t="n">
        <v>4</v>
      </c>
      <c r="I3967" t="n">
        <v>21</v>
      </c>
      <c r="J3967" t="n">
        <v>3</v>
      </c>
      <c r="K3967" t="n">
        <v>0</v>
      </c>
      <c r="L3967" t="n">
        <v>240409</v>
      </c>
      <c r="M3967" t="n">
        <v>283000</v>
      </c>
      <c r="N3967" t="n">
        <v>91</v>
      </c>
      <c r="O3967" t="n">
        <v>0.91</v>
      </c>
      <c r="P3967" t="n">
        <v>0</v>
      </c>
      <c r="Q3967" t="n">
        <v>0.03</v>
      </c>
      <c r="R3967" t="n">
        <v>1</v>
      </c>
      <c r="S3967" t="n">
        <v>8490</v>
      </c>
      <c r="T3967" t="n">
        <v>21</v>
      </c>
      <c r="U3967" t="n">
        <v>22</v>
      </c>
      <c r="V3967" t="n">
        <v>30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n">
        <v>0</v>
      </c>
      <c r="AC3967" t="n">
        <v>0</v>
      </c>
      <c r="AD3967" t="n">
        <v>240409</v>
      </c>
      <c r="AE3967" t="n">
        <v>0</v>
      </c>
      <c r="AF3967" t="n">
        <v>7474</v>
      </c>
      <c r="AG3967" t="n">
        <v>1</v>
      </c>
      <c r="AH3967" t="inlineStr">
        <is>
          <t>PT. BERSAMA DISTRIVERSA INDONESIA (DC CIPUTAT)</t>
        </is>
      </c>
      <c r="AI3967" t="n">
        <v>1217</v>
      </c>
      <c r="AJ3967" t="inlineStr">
        <is>
          <t>O'SWEET</t>
        </is>
      </c>
      <c r="AK3967" t="n">
        <v>21</v>
      </c>
      <c r="AL3967" t="inlineStr">
        <is>
          <t>Miss Glam Damar</t>
        </is>
      </c>
      <c r="AM3967" t="n">
        <v>4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O'SWEET</t>
        </is>
      </c>
      <c r="B3968" s="2">
        <f>"40100146449"</f>
        <v/>
      </c>
      <c r="C3968" t="inlineStr">
        <is>
          <t>O'SWEET Singapore Ginger Shampoo 450ml</t>
        </is>
      </c>
      <c r="D3968" t="inlineStr">
        <is>
          <t>Miss Glam Damar</t>
        </is>
      </c>
      <c r="E3968" t="n">
        <v>0</v>
      </c>
      <c r="F3968" t="n">
        <v>0.0182</v>
      </c>
      <c r="G3968" t="n">
        <v>0.91</v>
      </c>
      <c r="H3968" t="n">
        <v>4</v>
      </c>
      <c r="I3968" t="n">
        <v>21</v>
      </c>
      <c r="J3968" t="n">
        <v>3</v>
      </c>
      <c r="K3968" t="n">
        <v>0</v>
      </c>
      <c r="L3968" t="n">
        <v>249229</v>
      </c>
      <c r="M3968" t="n">
        <v>310000</v>
      </c>
      <c r="N3968" t="n">
        <v>91</v>
      </c>
      <c r="O3968" t="n">
        <v>0.91</v>
      </c>
      <c r="P3968" t="n">
        <v>1</v>
      </c>
      <c r="Q3968" t="n">
        <v>0.02</v>
      </c>
      <c r="R3968" t="n">
        <v>1</v>
      </c>
      <c r="S3968" t="n">
        <v>5642</v>
      </c>
      <c r="T3968" t="n">
        <v>20</v>
      </c>
      <c r="U3968" t="n">
        <v>21</v>
      </c>
      <c r="V3968" t="n">
        <v>30</v>
      </c>
      <c r="W3968" t="n">
        <v>1</v>
      </c>
      <c r="X3968" t="n">
        <v>0</v>
      </c>
      <c r="Y3968" t="n">
        <v>1</v>
      </c>
      <c r="Z3968" t="n">
        <v>1</v>
      </c>
      <c r="AA3968" t="n">
        <v>1</v>
      </c>
      <c r="AB3968" t="n">
        <v>0</v>
      </c>
      <c r="AC3968" t="n">
        <v>0</v>
      </c>
      <c r="AD3968" t="n">
        <v>249229</v>
      </c>
      <c r="AE3968" t="n">
        <v>0</v>
      </c>
      <c r="AF3968" t="n">
        <v>7474</v>
      </c>
      <c r="AG3968" t="n">
        <v>1</v>
      </c>
      <c r="AH3968" t="inlineStr">
        <is>
          <t>PT. BERSAMA DISTRIVERSA INDONESIA (DC CIPUTAT)</t>
        </is>
      </c>
      <c r="AI3968" t="n">
        <v>1217</v>
      </c>
      <c r="AJ3968" t="inlineStr">
        <is>
          <t>O'SWEET</t>
        </is>
      </c>
      <c r="AK3968" t="n">
        <v>21</v>
      </c>
      <c r="AL3968" t="inlineStr">
        <is>
          <t>Miss Glam Damar</t>
        </is>
      </c>
      <c r="AM3968" t="n">
        <v>4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OH MY SKIN</t>
        </is>
      </c>
      <c r="B3969" s="2">
        <f>"10500584743"</f>
        <v/>
      </c>
      <c r="C3969" t="inlineStr">
        <is>
          <t>OH MY SKIN Avocado Organic Mask 25gr</t>
        </is>
      </c>
      <c r="D3969" t="inlineStr">
        <is>
          <t>Miss Glam Damar</t>
        </is>
      </c>
      <c r="E3969" t="n">
        <v>2</v>
      </c>
      <c r="F3969" t="n">
        <v>0.1092</v>
      </c>
      <c r="G3969" t="n">
        <v>2.73</v>
      </c>
      <c r="H3969" t="n">
        <v>4</v>
      </c>
      <c r="I3969" t="n">
        <v>21</v>
      </c>
      <c r="J3969" t="n">
        <v>3</v>
      </c>
      <c r="K3969" t="n">
        <v>0</v>
      </c>
      <c r="L3969" t="n">
        <v>14000</v>
      </c>
      <c r="M3969" t="n">
        <v>22000</v>
      </c>
      <c r="N3969" t="n">
        <v>91</v>
      </c>
      <c r="O3969" t="n">
        <v>0.91</v>
      </c>
      <c r="P3969" t="n">
        <v>1</v>
      </c>
      <c r="Q3969" t="n">
        <v>0.03</v>
      </c>
      <c r="R3969" t="n">
        <v>1</v>
      </c>
      <c r="S3969" t="n">
        <v>2402.4</v>
      </c>
      <c r="T3969" t="n">
        <v>57</v>
      </c>
      <c r="U3969" t="n">
        <v>58</v>
      </c>
      <c r="V3969" t="n">
        <v>30</v>
      </c>
      <c r="W3969" t="n">
        <v>4</v>
      </c>
      <c r="X3969" t="n">
        <v>18.31501831501831</v>
      </c>
      <c r="Y3969" t="n">
        <v>1</v>
      </c>
      <c r="Z3969" t="n">
        <v>2</v>
      </c>
      <c r="AA3969" t="n">
        <v>1</v>
      </c>
      <c r="AB3969" t="n">
        <v>1</v>
      </c>
      <c r="AC3969" t="n">
        <v>3</v>
      </c>
      <c r="AD3969" t="n">
        <v>14000</v>
      </c>
      <c r="AE3969" t="n">
        <v>42000</v>
      </c>
      <c r="AF3969" t="n">
        <v>7507</v>
      </c>
      <c r="AG3969" t="n">
        <v>1</v>
      </c>
      <c r="AH3969" t="inlineStr">
        <is>
          <t>PT. BERSAMA DISTRIVERSA INDONESIA (DC CIPUTAT)</t>
        </is>
      </c>
      <c r="AI3969" t="n">
        <v>289</v>
      </c>
      <c r="AJ3969" t="inlineStr">
        <is>
          <t>OH MY SKIN</t>
        </is>
      </c>
      <c r="AK3969" t="n">
        <v>21</v>
      </c>
      <c r="AL3969" t="inlineStr">
        <is>
          <t>Miss Glam Damar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OH MY SKIN</t>
        </is>
      </c>
      <c r="B3970" s="2">
        <f>"30400250653"</f>
        <v/>
      </c>
      <c r="C3970" t="inlineStr">
        <is>
          <t>OH MY SKIN Eau De Parfume Praha 30ml</t>
        </is>
      </c>
      <c r="D3970" t="inlineStr">
        <is>
          <t>Miss Glam Damar</t>
        </is>
      </c>
      <c r="E3970" t="n">
        <v>6</v>
      </c>
      <c r="F3970" t="n">
        <v>0.0273</v>
      </c>
      <c r="G3970" t="n">
        <v>0.91</v>
      </c>
      <c r="H3970" t="n">
        <v>4</v>
      </c>
      <c r="I3970" t="n">
        <v>21</v>
      </c>
      <c r="J3970" t="n">
        <v>3</v>
      </c>
      <c r="K3970" t="n">
        <v>0</v>
      </c>
      <c r="L3970" t="n">
        <v>13000</v>
      </c>
      <c r="M3970" t="n">
        <v>17000</v>
      </c>
      <c r="N3970" t="n">
        <v>91</v>
      </c>
      <c r="O3970" t="n">
        <v>0.91</v>
      </c>
      <c r="P3970" t="n">
        <v>1</v>
      </c>
      <c r="Q3970" t="n">
        <v>0.03</v>
      </c>
      <c r="R3970" t="n">
        <v>2</v>
      </c>
      <c r="S3970" t="n">
        <v>464.1</v>
      </c>
      <c r="T3970" t="n">
        <v>20</v>
      </c>
      <c r="U3970" t="n">
        <v>21</v>
      </c>
      <c r="V3970" t="n">
        <v>30</v>
      </c>
      <c r="W3970" t="n">
        <v>1</v>
      </c>
      <c r="X3970" t="n">
        <v>219.7802197802198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7507</v>
      </c>
      <c r="AG3970" t="n">
        <v>1</v>
      </c>
      <c r="AH3970" t="inlineStr">
        <is>
          <t>PT. BERSAMA DISTRIVERSA INDONESIA (DC CIPUTAT)</t>
        </is>
      </c>
      <c r="AI3970" t="n">
        <v>289</v>
      </c>
      <c r="AJ3970" t="inlineStr">
        <is>
          <t>OH MY SKIN</t>
        </is>
      </c>
      <c r="AK3970" t="n">
        <v>21</v>
      </c>
      <c r="AL3970" t="inlineStr">
        <is>
          <t>Miss Glam Damar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OH MY SKIN</t>
        </is>
      </c>
      <c r="B3971" s="2">
        <f>"10100815826"</f>
        <v/>
      </c>
      <c r="C3971" t="inlineStr">
        <is>
          <t>OH MY SKIN Gluta Soap Pink Love 60gr</t>
        </is>
      </c>
      <c r="D3971" t="inlineStr">
        <is>
          <t>Miss Glam Damar</t>
        </is>
      </c>
      <c r="E3971" t="n">
        <v>1</v>
      </c>
      <c r="F3971" t="n">
        <v>0.06370000000000001</v>
      </c>
      <c r="G3971" t="n">
        <v>0.91</v>
      </c>
      <c r="H3971" t="n">
        <v>4</v>
      </c>
      <c r="I3971" t="n">
        <v>21</v>
      </c>
      <c r="J3971" t="n">
        <v>3</v>
      </c>
      <c r="K3971" t="n">
        <v>6</v>
      </c>
      <c r="L3971" t="n">
        <v>22571</v>
      </c>
      <c r="M3971" t="n">
        <v>40000</v>
      </c>
      <c r="N3971" t="n">
        <v>91</v>
      </c>
      <c r="O3971" t="n">
        <v>0.91</v>
      </c>
      <c r="P3971" t="n">
        <v>1</v>
      </c>
      <c r="Q3971" t="n">
        <v>0.17</v>
      </c>
      <c r="R3971" t="n">
        <v>3</v>
      </c>
      <c r="S3971" t="n">
        <v>2548</v>
      </c>
      <c r="T3971" t="n">
        <v>19</v>
      </c>
      <c r="U3971" t="n">
        <v>20</v>
      </c>
      <c r="V3971" t="n">
        <v>30</v>
      </c>
      <c r="W3971" t="n">
        <v>2</v>
      </c>
      <c r="X3971" t="n">
        <v>15.69858712715855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7507</v>
      </c>
      <c r="AG3971" t="n">
        <v>1</v>
      </c>
      <c r="AH3971" t="inlineStr">
        <is>
          <t>PT. BERSAMA DISTRIVERSA INDONESIA (DC CIPUTAT)</t>
        </is>
      </c>
      <c r="AI3971" t="n">
        <v>289</v>
      </c>
      <c r="AJ3971" t="inlineStr">
        <is>
          <t>OH MY SKIN</t>
        </is>
      </c>
      <c r="AK3971" t="n">
        <v>21</v>
      </c>
      <c r="AL3971" t="inlineStr">
        <is>
          <t>Miss Glam Damar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OH MY SKIN</t>
        </is>
      </c>
      <c r="B3972" s="2">
        <f>"10500579855"</f>
        <v/>
      </c>
      <c r="C3972" t="inlineStr">
        <is>
          <t>OH MY SKIN Organic Face Mask 25gr Coffee</t>
        </is>
      </c>
      <c r="D3972" t="inlineStr">
        <is>
          <t>Miss Glam Damar</t>
        </is>
      </c>
      <c r="E3972" t="n">
        <v>0</v>
      </c>
      <c r="F3972" t="n">
        <v>0.0273</v>
      </c>
      <c r="G3972" t="n">
        <v>0.91</v>
      </c>
      <c r="H3972" t="n">
        <v>4</v>
      </c>
      <c r="I3972" t="n">
        <v>21</v>
      </c>
      <c r="J3972" t="n">
        <v>3</v>
      </c>
      <c r="K3972" t="n">
        <v>3</v>
      </c>
      <c r="L3972" t="n">
        <v>13000</v>
      </c>
      <c r="M3972" t="n">
        <v>22000</v>
      </c>
      <c r="N3972" t="n">
        <v>91</v>
      </c>
      <c r="O3972" t="n">
        <v>0.91</v>
      </c>
      <c r="P3972" t="n">
        <v>1</v>
      </c>
      <c r="Q3972" t="n">
        <v>0.13</v>
      </c>
      <c r="R3972" t="n">
        <v>2</v>
      </c>
      <c r="S3972" t="n">
        <v>600.6</v>
      </c>
      <c r="T3972" t="n">
        <v>20</v>
      </c>
      <c r="U3972" t="n">
        <v>21</v>
      </c>
      <c r="V3972" t="n">
        <v>30</v>
      </c>
      <c r="W3972" t="n">
        <v>1</v>
      </c>
      <c r="X3972" t="n">
        <v>0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7507</v>
      </c>
      <c r="AG3972" t="n">
        <v>1</v>
      </c>
      <c r="AH3972" t="inlineStr">
        <is>
          <t>PT. BERSAMA DISTRIVERSA INDONESIA (DC CIPUTAT)</t>
        </is>
      </c>
      <c r="AI3972" t="n">
        <v>289</v>
      </c>
      <c r="AJ3972" t="inlineStr">
        <is>
          <t>OH MY SKIN</t>
        </is>
      </c>
      <c r="AK3972" t="n">
        <v>21</v>
      </c>
      <c r="AL3972" t="inlineStr">
        <is>
          <t>Miss Glam Damar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OH MY SKIN</t>
        </is>
      </c>
      <c r="B3973" s="2">
        <f>"10500579705"</f>
        <v/>
      </c>
      <c r="C3973" t="inlineStr">
        <is>
          <t>OH MY SKIN Organic Face Mask 25gr Milk</t>
        </is>
      </c>
      <c r="D3973" t="inlineStr">
        <is>
          <t>Miss Glam Damar</t>
        </is>
      </c>
      <c r="E3973" t="n">
        <v>0</v>
      </c>
      <c r="F3973" t="n">
        <v>0.04550000000000001</v>
      </c>
      <c r="G3973" t="n">
        <v>0.91</v>
      </c>
      <c r="H3973" t="n">
        <v>4</v>
      </c>
      <c r="I3973" t="n">
        <v>21</v>
      </c>
      <c r="J3973" t="n">
        <v>3</v>
      </c>
      <c r="K3973" t="n">
        <v>0</v>
      </c>
      <c r="L3973" t="n">
        <v>13000</v>
      </c>
      <c r="M3973" t="n">
        <v>22000</v>
      </c>
      <c r="N3973" t="n">
        <v>91</v>
      </c>
      <c r="O3973" t="n">
        <v>0.91</v>
      </c>
      <c r="P3973" t="n">
        <v>1</v>
      </c>
      <c r="Q3973" t="n">
        <v>0.03</v>
      </c>
      <c r="R3973" t="n">
        <v>1</v>
      </c>
      <c r="S3973" t="n">
        <v>1001</v>
      </c>
      <c r="T3973" t="n">
        <v>19</v>
      </c>
      <c r="U3973" t="n">
        <v>20</v>
      </c>
      <c r="V3973" t="n">
        <v>30</v>
      </c>
      <c r="W3973" t="n">
        <v>2</v>
      </c>
      <c r="X3973" t="n">
        <v>0</v>
      </c>
      <c r="Y3973" t="n">
        <v>1</v>
      </c>
      <c r="Z3973" t="n">
        <v>2</v>
      </c>
      <c r="AA3973" t="n">
        <v>1</v>
      </c>
      <c r="AB3973" t="n">
        <v>1</v>
      </c>
      <c r="AC3973" t="n">
        <v>3</v>
      </c>
      <c r="AD3973" t="n">
        <v>13000</v>
      </c>
      <c r="AE3973" t="n">
        <v>39000</v>
      </c>
      <c r="AF3973" t="n">
        <v>7507</v>
      </c>
      <c r="AG3973" t="n">
        <v>1</v>
      </c>
      <c r="AH3973" t="inlineStr">
        <is>
          <t>PT. BERSAMA DISTRIVERSA INDONESIA (DC CIPUTAT)</t>
        </is>
      </c>
      <c r="AI3973" t="n">
        <v>289</v>
      </c>
      <c r="AJ3973" t="inlineStr">
        <is>
          <t>OH MY SKIN</t>
        </is>
      </c>
      <c r="AK3973" t="n">
        <v>21</v>
      </c>
      <c r="AL3973" t="inlineStr">
        <is>
          <t>Miss Glam Damar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OH MY SKIN</t>
        </is>
      </c>
      <c r="B3974" s="2">
        <f>"10500583214"</f>
        <v/>
      </c>
      <c r="C3974" t="inlineStr">
        <is>
          <t>OH MY SKIN Organic Face Mask Avocado 65gr</t>
        </is>
      </c>
      <c r="D3974" t="inlineStr">
        <is>
          <t>Miss Glam Damar</t>
        </is>
      </c>
      <c r="E3974" t="n">
        <v>1</v>
      </c>
      <c r="F3974" t="n">
        <v>0.05</v>
      </c>
      <c r="G3974" t="n">
        <v>2</v>
      </c>
      <c r="H3974" t="n">
        <v>4</v>
      </c>
      <c r="I3974" t="n">
        <v>21</v>
      </c>
      <c r="J3974" t="n">
        <v>3</v>
      </c>
      <c r="K3974" t="n">
        <v>0</v>
      </c>
      <c r="L3974" t="n">
        <v>24000</v>
      </c>
      <c r="M3974" t="n">
        <v>30000</v>
      </c>
      <c r="N3974" t="n">
        <v>91</v>
      </c>
      <c r="O3974" t="n">
        <v>0.91</v>
      </c>
      <c r="P3974" t="n">
        <v>0</v>
      </c>
      <c r="Q3974" t="n">
        <v>0.05</v>
      </c>
      <c r="R3974" t="n">
        <v>2</v>
      </c>
      <c r="S3974" t="n">
        <v>1500</v>
      </c>
      <c r="T3974" t="n">
        <v>42</v>
      </c>
      <c r="U3974" t="n">
        <v>43</v>
      </c>
      <c r="V3974" t="n">
        <v>30</v>
      </c>
      <c r="W3974" t="n">
        <v>2</v>
      </c>
      <c r="X3974" t="n">
        <v>20</v>
      </c>
      <c r="Y3974" t="n">
        <v>1</v>
      </c>
      <c r="Z3974" t="n">
        <v>1</v>
      </c>
      <c r="AA3974" t="n">
        <v>1</v>
      </c>
      <c r="AB3974" t="n">
        <v>0</v>
      </c>
      <c r="AC3974" t="n">
        <v>0</v>
      </c>
      <c r="AD3974" t="n">
        <v>24000</v>
      </c>
      <c r="AE3974" t="n">
        <v>0</v>
      </c>
      <c r="AF3974" t="n">
        <v>7507</v>
      </c>
      <c r="AG3974" t="n">
        <v>1</v>
      </c>
      <c r="AH3974" t="inlineStr">
        <is>
          <t>PT. BERSAMA DISTRIVERSA INDONESIA (DC CIPUTAT)</t>
        </is>
      </c>
      <c r="AI3974" t="n">
        <v>289</v>
      </c>
      <c r="AJ3974" t="inlineStr">
        <is>
          <t>OH MY SKIN</t>
        </is>
      </c>
      <c r="AK3974" t="n">
        <v>21</v>
      </c>
      <c r="AL3974" t="inlineStr">
        <is>
          <t>Miss Glam Damar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OH MY SKIN</t>
        </is>
      </c>
      <c r="B3975" s="2">
        <f>"10500580152"</f>
        <v/>
      </c>
      <c r="C3975" t="inlineStr">
        <is>
          <t>OH MY SKIN Organic Face Mask Choco 65gr</t>
        </is>
      </c>
      <c r="D3975" t="inlineStr">
        <is>
          <t>Miss Glam Damar</t>
        </is>
      </c>
      <c r="E3975" t="n">
        <v>0</v>
      </c>
      <c r="F3975" t="n">
        <v>0.12</v>
      </c>
      <c r="G3975" t="n">
        <v>2</v>
      </c>
      <c r="H3975" t="n">
        <v>4</v>
      </c>
      <c r="I3975" t="n">
        <v>21</v>
      </c>
      <c r="J3975" t="n">
        <v>3</v>
      </c>
      <c r="K3975" t="n">
        <v>3</v>
      </c>
      <c r="L3975" t="n">
        <v>22000</v>
      </c>
      <c r="M3975" t="n">
        <v>30000</v>
      </c>
      <c r="N3975" t="n">
        <v>91</v>
      </c>
      <c r="O3975" t="n">
        <v>0.91</v>
      </c>
      <c r="P3975" t="n">
        <v>0</v>
      </c>
      <c r="Q3975" t="n">
        <v>0.12</v>
      </c>
      <c r="R3975" t="n">
        <v>2</v>
      </c>
      <c r="S3975" t="n">
        <v>3600</v>
      </c>
      <c r="T3975" t="n">
        <v>42</v>
      </c>
      <c r="U3975" t="n">
        <v>43</v>
      </c>
      <c r="V3975" t="n">
        <v>30</v>
      </c>
      <c r="W3975" t="n">
        <v>4</v>
      </c>
      <c r="X3975" t="n">
        <v>0</v>
      </c>
      <c r="Y3975" t="n">
        <v>1</v>
      </c>
      <c r="Z3975" t="n">
        <v>1</v>
      </c>
      <c r="AA3975" t="n">
        <v>2</v>
      </c>
      <c r="AB3975" t="n">
        <v>0</v>
      </c>
      <c r="AC3975" t="n">
        <v>0</v>
      </c>
      <c r="AD3975" t="n">
        <v>44000</v>
      </c>
      <c r="AE3975" t="n">
        <v>0</v>
      </c>
      <c r="AF3975" t="n">
        <v>7507</v>
      </c>
      <c r="AG3975" t="n">
        <v>1</v>
      </c>
      <c r="AH3975" t="inlineStr">
        <is>
          <t>PT. BERSAMA DISTRIVERSA INDONESIA (DC CIPUTAT)</t>
        </is>
      </c>
      <c r="AI3975" t="n">
        <v>289</v>
      </c>
      <c r="AJ3975" t="inlineStr">
        <is>
          <t>OH MY SKIN</t>
        </is>
      </c>
      <c r="AK3975" t="n">
        <v>21</v>
      </c>
      <c r="AL3975" t="inlineStr">
        <is>
          <t>Miss Glam Damar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OH MY SKIN</t>
        </is>
      </c>
      <c r="B3976" s="2">
        <f>"10500583305"</f>
        <v/>
      </c>
      <c r="C3976" t="inlineStr">
        <is>
          <t>OH MY SKIN Organic Face Mask Strawberry 65gr</t>
        </is>
      </c>
      <c r="D3976" t="inlineStr">
        <is>
          <t>Miss Glam Damar</t>
        </is>
      </c>
      <c r="E3976" t="n">
        <v>0</v>
      </c>
      <c r="F3976" t="n">
        <v>0.13</v>
      </c>
      <c r="G3976" t="n">
        <v>2</v>
      </c>
      <c r="H3976" t="n">
        <v>4</v>
      </c>
      <c r="I3976" t="n">
        <v>21</v>
      </c>
      <c r="J3976" t="n">
        <v>3</v>
      </c>
      <c r="K3976" t="n">
        <v>3</v>
      </c>
      <c r="L3976" t="n">
        <v>24000</v>
      </c>
      <c r="M3976" t="n">
        <v>30000</v>
      </c>
      <c r="N3976" t="n">
        <v>91</v>
      </c>
      <c r="O3976" t="n">
        <v>0.91</v>
      </c>
      <c r="P3976" t="n">
        <v>0</v>
      </c>
      <c r="Q3976" t="n">
        <v>0.13</v>
      </c>
      <c r="R3976" t="n">
        <v>2</v>
      </c>
      <c r="S3976" t="n">
        <v>3900</v>
      </c>
      <c r="T3976" t="n">
        <v>42</v>
      </c>
      <c r="U3976" t="n">
        <v>43</v>
      </c>
      <c r="V3976" t="n">
        <v>30</v>
      </c>
      <c r="W3976" t="n">
        <v>4</v>
      </c>
      <c r="X3976" t="n">
        <v>0</v>
      </c>
      <c r="Y3976" t="n">
        <v>1</v>
      </c>
      <c r="Z3976" t="n">
        <v>1</v>
      </c>
      <c r="AA3976" t="n">
        <v>2</v>
      </c>
      <c r="AB3976" t="n">
        <v>0</v>
      </c>
      <c r="AC3976" t="n">
        <v>0</v>
      </c>
      <c r="AD3976" t="n">
        <v>48000</v>
      </c>
      <c r="AE3976" t="n">
        <v>0</v>
      </c>
      <c r="AF3976" t="n">
        <v>7507</v>
      </c>
      <c r="AG3976" t="n">
        <v>1</v>
      </c>
      <c r="AH3976" t="inlineStr">
        <is>
          <t>PT. BERSAMA DISTRIVERSA INDONESIA (DC CIPUTAT)</t>
        </is>
      </c>
      <c r="AI3976" t="n">
        <v>289</v>
      </c>
      <c r="AJ3976" t="inlineStr">
        <is>
          <t>OH MY SKIN</t>
        </is>
      </c>
      <c r="AK3976" t="n">
        <v>21</v>
      </c>
      <c r="AL3976" t="inlineStr">
        <is>
          <t>Miss Glam Damar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OH MY SKIN</t>
        </is>
      </c>
      <c r="B3977" s="2">
        <f>"10500584640"</f>
        <v/>
      </c>
      <c r="C3977" t="inlineStr">
        <is>
          <t>OH MY SKIN Organic Mask Strawberry Anti Aging Mask 25gr</t>
        </is>
      </c>
      <c r="D3977" t="inlineStr">
        <is>
          <t>Miss Glam Damar</t>
        </is>
      </c>
      <c r="E3977" t="n">
        <v>0</v>
      </c>
      <c r="F3977" t="n">
        <v>0.1092</v>
      </c>
      <c r="G3977" t="n">
        <v>2.73</v>
      </c>
      <c r="H3977" t="n">
        <v>4</v>
      </c>
      <c r="I3977" t="n">
        <v>21</v>
      </c>
      <c r="J3977" t="n">
        <v>3</v>
      </c>
      <c r="K3977" t="n">
        <v>0</v>
      </c>
      <c r="L3977" t="n">
        <v>14000</v>
      </c>
      <c r="M3977" t="n">
        <v>22000</v>
      </c>
      <c r="N3977" t="n">
        <v>91</v>
      </c>
      <c r="O3977" t="n">
        <v>0.91</v>
      </c>
      <c r="P3977" t="n">
        <v>1</v>
      </c>
      <c r="Q3977" t="n">
        <v>0.02</v>
      </c>
      <c r="R3977" t="n">
        <v>1</v>
      </c>
      <c r="S3977" t="n">
        <v>2402.4</v>
      </c>
      <c r="T3977" t="n">
        <v>57</v>
      </c>
      <c r="U3977" t="n">
        <v>58</v>
      </c>
      <c r="V3977" t="n">
        <v>30</v>
      </c>
      <c r="W3977" t="n">
        <v>4</v>
      </c>
      <c r="X3977" t="n">
        <v>0</v>
      </c>
      <c r="Y3977" t="n">
        <v>1</v>
      </c>
      <c r="Z3977" t="n">
        <v>4</v>
      </c>
      <c r="AA3977" t="n">
        <v>3</v>
      </c>
      <c r="AB3977" t="n">
        <v>1</v>
      </c>
      <c r="AC3977" t="n">
        <v>3</v>
      </c>
      <c r="AD3977" t="n">
        <v>42000</v>
      </c>
      <c r="AE3977" t="n">
        <v>42000</v>
      </c>
      <c r="AF3977" t="n">
        <v>7507</v>
      </c>
      <c r="AG3977" t="n">
        <v>1</v>
      </c>
      <c r="AH3977" t="inlineStr">
        <is>
          <t>PT. BERSAMA DISTRIVERSA INDONESIA (DC CIPUTAT)</t>
        </is>
      </c>
      <c r="AI3977" t="n">
        <v>289</v>
      </c>
      <c r="AJ3977" t="inlineStr">
        <is>
          <t>OH MY SKIN</t>
        </is>
      </c>
      <c r="AK3977" t="n">
        <v>21</v>
      </c>
      <c r="AL3977" t="inlineStr">
        <is>
          <t>Miss Glam Damar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OMG</t>
        </is>
      </c>
      <c r="B3978" s="2">
        <f>"10400617920"</f>
        <v/>
      </c>
      <c r="C3978" t="inlineStr">
        <is>
          <t>OMG Acne &amp; Oil  Control UV Barrier Sunscreen SPF 50 PA++++ 25ml</t>
        </is>
      </c>
      <c r="D3978" t="inlineStr">
        <is>
          <t>Miss Glam Damar</t>
        </is>
      </c>
      <c r="E3978" t="n">
        <v>24</v>
      </c>
      <c r="F3978" t="n">
        <v>1.7927</v>
      </c>
      <c r="G3978" t="n">
        <v>6.37</v>
      </c>
      <c r="H3978" t="n">
        <v>2</v>
      </c>
      <c r="I3978" t="n">
        <v>6</v>
      </c>
      <c r="J3978" t="n">
        <v>1</v>
      </c>
      <c r="K3978" t="n">
        <v>0</v>
      </c>
      <c r="L3978" t="n">
        <v>20332</v>
      </c>
      <c r="M3978" t="n">
        <v>24000</v>
      </c>
      <c r="N3978" t="n">
        <v>91</v>
      </c>
      <c r="O3978" t="n">
        <v>0.91</v>
      </c>
      <c r="P3978" t="n">
        <v>1</v>
      </c>
      <c r="Q3978" t="n">
        <v>0.98</v>
      </c>
      <c r="R3978" t="n">
        <v>5</v>
      </c>
      <c r="S3978" t="n">
        <v>43024.8</v>
      </c>
      <c r="T3978" t="n">
        <v>35</v>
      </c>
      <c r="U3978" t="n">
        <v>39</v>
      </c>
      <c r="V3978" t="n">
        <v>30</v>
      </c>
      <c r="W3978" t="n">
        <v>54</v>
      </c>
      <c r="X3978" t="n">
        <v>13.38762760082557</v>
      </c>
      <c r="Y3978" t="n">
        <v>1</v>
      </c>
      <c r="Z3978" t="n">
        <v>30</v>
      </c>
      <c r="AA3978" t="n">
        <v>0</v>
      </c>
      <c r="AB3978" t="n">
        <v>30</v>
      </c>
      <c r="AC3978" t="n">
        <v>30</v>
      </c>
      <c r="AD3978" t="n">
        <v>0</v>
      </c>
      <c r="AE3978" t="n">
        <v>609960</v>
      </c>
      <c r="AF3978" t="n">
        <v>11715</v>
      </c>
      <c r="AG3978" t="n">
        <v>63</v>
      </c>
      <c r="AH3978" t="inlineStr">
        <is>
          <t>PT. PARAMA GLOBAL INSPIRA - PPN (PDG)</t>
        </is>
      </c>
      <c r="AI3978" t="n">
        <v>563</v>
      </c>
      <c r="AJ3978" t="inlineStr">
        <is>
          <t>OMG</t>
        </is>
      </c>
      <c r="AK3978" t="n">
        <v>21</v>
      </c>
      <c r="AL3978" t="inlineStr">
        <is>
          <t>Miss Glam Damar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OMG</t>
        </is>
      </c>
      <c r="B3979" s="2">
        <f>"203002201220"</f>
        <v/>
      </c>
      <c r="C3979" t="inlineStr">
        <is>
          <t>OMG Colorlast Lip Vinyl 02 FYP Pink 2.5gr</t>
        </is>
      </c>
      <c r="D3979" t="inlineStr">
        <is>
          <t>Miss Glam Damar</t>
        </is>
      </c>
      <c r="E3979" t="n">
        <v>25</v>
      </c>
      <c r="F3979" t="n">
        <v>0.91</v>
      </c>
      <c r="G3979" t="n">
        <v>4.55</v>
      </c>
      <c r="H3979" t="n">
        <v>2</v>
      </c>
      <c r="I3979" t="n">
        <v>6</v>
      </c>
      <c r="J3979" t="n">
        <v>1</v>
      </c>
      <c r="K3979" t="n">
        <v>0</v>
      </c>
      <c r="L3979" t="n">
        <v>28152</v>
      </c>
      <c r="M3979" t="n">
        <v>36000</v>
      </c>
      <c r="N3979" t="n">
        <v>91</v>
      </c>
      <c r="O3979" t="n">
        <v>0.91</v>
      </c>
      <c r="P3979" t="n">
        <v>1</v>
      </c>
      <c r="Q3979" t="n">
        <v>0.93</v>
      </c>
      <c r="R3979" t="n">
        <v>4</v>
      </c>
      <c r="S3979" t="n">
        <v>32760</v>
      </c>
      <c r="T3979" t="n">
        <v>26</v>
      </c>
      <c r="U3979" t="n">
        <v>28</v>
      </c>
      <c r="V3979" t="n">
        <v>30</v>
      </c>
      <c r="W3979" t="n">
        <v>28</v>
      </c>
      <c r="X3979" t="n">
        <v>27.47252747252747</v>
      </c>
      <c r="Y3979" t="n">
        <v>1</v>
      </c>
      <c r="Z3979" t="n">
        <v>3</v>
      </c>
      <c r="AA3979" t="n">
        <v>0</v>
      </c>
      <c r="AB3979" t="n">
        <v>3</v>
      </c>
      <c r="AC3979" t="n">
        <v>3</v>
      </c>
      <c r="AD3979" t="n">
        <v>0</v>
      </c>
      <c r="AE3979" t="n">
        <v>84456</v>
      </c>
      <c r="AF3979" t="n">
        <v>11715</v>
      </c>
      <c r="AG3979" t="n">
        <v>63</v>
      </c>
      <c r="AH3979" t="inlineStr">
        <is>
          <t>PT. PARAMA GLOBAL INSPIRA - PPN (PDG)</t>
        </is>
      </c>
      <c r="AI3979" t="n">
        <v>563</v>
      </c>
      <c r="AJ3979" t="inlineStr">
        <is>
          <t>OMG</t>
        </is>
      </c>
      <c r="AK3979" t="n">
        <v>21</v>
      </c>
      <c r="AL3979" t="inlineStr">
        <is>
          <t>Miss Glam Damar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OMG</t>
        </is>
      </c>
      <c r="B3980" s="2">
        <f>"203002201327"</f>
        <v/>
      </c>
      <c r="C3980" t="inlineStr">
        <is>
          <t>OMG Colorlast Lip Vinyl 04 Gloss Boss 2.5gr</t>
        </is>
      </c>
      <c r="D3980" t="inlineStr">
        <is>
          <t>Miss Glam Damar</t>
        </is>
      </c>
      <c r="E3980" t="n">
        <v>40</v>
      </c>
      <c r="F3980" t="n">
        <v>1.3377</v>
      </c>
      <c r="G3980" t="n">
        <v>5.46</v>
      </c>
      <c r="H3980" t="n">
        <v>2</v>
      </c>
      <c r="I3980" t="n">
        <v>6</v>
      </c>
      <c r="J3980" t="n">
        <v>1</v>
      </c>
      <c r="K3980" t="n">
        <v>0</v>
      </c>
      <c r="L3980" t="n">
        <v>28152</v>
      </c>
      <c r="M3980" t="n">
        <v>36000</v>
      </c>
      <c r="N3980" t="n">
        <v>91</v>
      </c>
      <c r="O3980" t="n">
        <v>0.91</v>
      </c>
      <c r="P3980" t="n">
        <v>1</v>
      </c>
      <c r="Q3980" t="n">
        <v>1.58</v>
      </c>
      <c r="R3980" t="n">
        <v>6</v>
      </c>
      <c r="S3980" t="n">
        <v>48157.2</v>
      </c>
      <c r="T3980" t="n">
        <v>31</v>
      </c>
      <c r="U3980" t="n">
        <v>34</v>
      </c>
      <c r="V3980" t="n">
        <v>30</v>
      </c>
      <c r="W3980" t="n">
        <v>41</v>
      </c>
      <c r="X3980" t="n">
        <v>29.90207071839725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11715</v>
      </c>
      <c r="AG3980" t="n">
        <v>63</v>
      </c>
      <c r="AH3980" t="inlineStr">
        <is>
          <t>PT. PARAMA GLOBAL INSPIRA - PPN (PDG)</t>
        </is>
      </c>
      <c r="AI3980" t="n">
        <v>563</v>
      </c>
      <c r="AJ3980" t="inlineStr">
        <is>
          <t>OMG</t>
        </is>
      </c>
      <c r="AK3980" t="n">
        <v>21</v>
      </c>
      <c r="AL3980" t="inlineStr">
        <is>
          <t>Miss Glam Damar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OMG</t>
        </is>
      </c>
      <c r="B3981" s="2">
        <f>"203002201418"</f>
        <v/>
      </c>
      <c r="C3981" t="inlineStr">
        <is>
          <t>OMG Colorlast Lip Vinyl 05 Scarlet 2.5gr</t>
        </is>
      </c>
      <c r="D3981" t="inlineStr">
        <is>
          <t>Miss Glam Damar</t>
        </is>
      </c>
      <c r="E3981" t="n">
        <v>79</v>
      </c>
      <c r="F3981" t="n">
        <v>4.995900000000001</v>
      </c>
      <c r="G3981" t="n">
        <v>13.65</v>
      </c>
      <c r="H3981" t="n">
        <v>2</v>
      </c>
      <c r="I3981" t="n">
        <v>6</v>
      </c>
      <c r="J3981" t="n">
        <v>1</v>
      </c>
      <c r="K3981" t="n">
        <v>0</v>
      </c>
      <c r="L3981" t="n">
        <v>28152</v>
      </c>
      <c r="M3981" t="n">
        <v>36000</v>
      </c>
      <c r="N3981" t="n">
        <v>91</v>
      </c>
      <c r="O3981" t="n">
        <v>0.91</v>
      </c>
      <c r="P3981" t="n">
        <v>1</v>
      </c>
      <c r="Q3981" t="n">
        <v>4.08</v>
      </c>
      <c r="R3981" t="n">
        <v>8</v>
      </c>
      <c r="S3981" t="n">
        <v>179852.4</v>
      </c>
      <c r="T3981" t="n">
        <v>72</v>
      </c>
      <c r="U3981" t="n">
        <v>82</v>
      </c>
      <c r="V3981" t="n">
        <v>30</v>
      </c>
      <c r="W3981" t="n">
        <v>150</v>
      </c>
      <c r="X3981" t="n">
        <v>15.81296663263876</v>
      </c>
      <c r="Y3981" t="n">
        <v>1</v>
      </c>
      <c r="Z3981" t="n">
        <v>71</v>
      </c>
      <c r="AA3981" t="n">
        <v>0</v>
      </c>
      <c r="AB3981" t="n">
        <v>71</v>
      </c>
      <c r="AC3981" t="n">
        <v>71</v>
      </c>
      <c r="AD3981" t="n">
        <v>0</v>
      </c>
      <c r="AE3981" t="n">
        <v>1998792</v>
      </c>
      <c r="AF3981" t="n">
        <v>11715</v>
      </c>
      <c r="AG3981" t="n">
        <v>63</v>
      </c>
      <c r="AH3981" t="inlineStr">
        <is>
          <t>PT. PARAMA GLOBAL INSPIRA - PPN (PDG)</t>
        </is>
      </c>
      <c r="AI3981" t="n">
        <v>563</v>
      </c>
      <c r="AJ3981" t="inlineStr">
        <is>
          <t>OMG</t>
        </is>
      </c>
      <c r="AK3981" t="n">
        <v>21</v>
      </c>
      <c r="AL3981" t="inlineStr">
        <is>
          <t>Miss Glam Damar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OMG</t>
        </is>
      </c>
      <c r="B3982" s="2">
        <f>"203002201505"</f>
        <v/>
      </c>
      <c r="C3982" t="inlineStr">
        <is>
          <t>OMG Colorlast Lip Vinyl 06 Trendsetter 2.5gr</t>
        </is>
      </c>
      <c r="D3982" t="inlineStr">
        <is>
          <t>Miss Glam Damar</t>
        </is>
      </c>
      <c r="E3982" t="n">
        <v>48</v>
      </c>
      <c r="F3982" t="n">
        <v>1.3286</v>
      </c>
      <c r="G3982" t="n">
        <v>6.37</v>
      </c>
      <c r="H3982" t="n">
        <v>2</v>
      </c>
      <c r="I3982" t="n">
        <v>6</v>
      </c>
      <c r="J3982" t="n">
        <v>1</v>
      </c>
      <c r="K3982" t="n">
        <v>0</v>
      </c>
      <c r="L3982" t="n">
        <v>28152</v>
      </c>
      <c r="M3982" t="n">
        <v>36000</v>
      </c>
      <c r="N3982" t="n">
        <v>91</v>
      </c>
      <c r="O3982" t="n">
        <v>0.91</v>
      </c>
      <c r="P3982" t="n">
        <v>1</v>
      </c>
      <c r="Q3982" t="n">
        <v>1.47</v>
      </c>
      <c r="R3982" t="n">
        <v>6</v>
      </c>
      <c r="S3982" t="n">
        <v>47829.6</v>
      </c>
      <c r="T3982" t="n">
        <v>36</v>
      </c>
      <c r="U3982" t="n">
        <v>39</v>
      </c>
      <c r="V3982" t="n">
        <v>30</v>
      </c>
      <c r="W3982" t="n">
        <v>40</v>
      </c>
      <c r="X3982" t="n">
        <v>36.1282553063375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11715</v>
      </c>
      <c r="AG3982" t="n">
        <v>63</v>
      </c>
      <c r="AH3982" t="inlineStr">
        <is>
          <t>PT. PARAMA GLOBAL INSPIRA - PPN (PDG)</t>
        </is>
      </c>
      <c r="AI3982" t="n">
        <v>563</v>
      </c>
      <c r="AJ3982" t="inlineStr">
        <is>
          <t>OMG</t>
        </is>
      </c>
      <c r="AK3982" t="n">
        <v>21</v>
      </c>
      <c r="AL3982" t="inlineStr">
        <is>
          <t>Miss Glam Damar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OMG</t>
        </is>
      </c>
      <c r="B3983" s="2">
        <f>"203002201608"</f>
        <v/>
      </c>
      <c r="C3983" t="inlineStr">
        <is>
          <t>OMG Colorlast Lip Vinyl 07 Latte Crush 2.5gr</t>
        </is>
      </c>
      <c r="D3983" t="inlineStr">
        <is>
          <t>Miss Glam Damar</t>
        </is>
      </c>
      <c r="E3983" t="n">
        <v>22</v>
      </c>
      <c r="F3983" t="n">
        <v>1.7472</v>
      </c>
      <c r="G3983" t="n">
        <v>5.46</v>
      </c>
      <c r="H3983" t="n">
        <v>2</v>
      </c>
      <c r="I3983" t="n">
        <v>6</v>
      </c>
      <c r="J3983" t="n">
        <v>1</v>
      </c>
      <c r="K3983" t="n">
        <v>0</v>
      </c>
      <c r="L3983" t="n">
        <v>28152</v>
      </c>
      <c r="M3983" t="n">
        <v>36000</v>
      </c>
      <c r="N3983" t="n">
        <v>91</v>
      </c>
      <c r="O3983" t="n">
        <v>0.91</v>
      </c>
      <c r="P3983" t="n">
        <v>1</v>
      </c>
      <c r="Q3983" t="n">
        <v>1.39</v>
      </c>
      <c r="R3983" t="n">
        <v>6</v>
      </c>
      <c r="S3983" t="n">
        <v>62899.2</v>
      </c>
      <c r="T3983" t="n">
        <v>30</v>
      </c>
      <c r="U3983" t="n">
        <v>34</v>
      </c>
      <c r="V3983" t="n">
        <v>30</v>
      </c>
      <c r="W3983" t="n">
        <v>53</v>
      </c>
      <c r="X3983" t="n">
        <v>12.59157509157509</v>
      </c>
      <c r="Y3983" t="n">
        <v>1</v>
      </c>
      <c r="Z3983" t="n">
        <v>31</v>
      </c>
      <c r="AA3983" t="n">
        <v>0</v>
      </c>
      <c r="AB3983" t="n">
        <v>31</v>
      </c>
      <c r="AC3983" t="n">
        <v>31</v>
      </c>
      <c r="AD3983" t="n">
        <v>0</v>
      </c>
      <c r="AE3983" t="n">
        <v>872712</v>
      </c>
      <c r="AF3983" t="n">
        <v>11715</v>
      </c>
      <c r="AG3983" t="n">
        <v>63</v>
      </c>
      <c r="AH3983" t="inlineStr">
        <is>
          <t>PT. PARAMA GLOBAL INSPIRA - PPN (PDG)</t>
        </is>
      </c>
      <c r="AI3983" t="n">
        <v>563</v>
      </c>
      <c r="AJ3983" t="inlineStr">
        <is>
          <t>OMG</t>
        </is>
      </c>
      <c r="AK3983" t="n">
        <v>21</v>
      </c>
      <c r="AL3983" t="inlineStr">
        <is>
          <t>Miss Glam Damar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OMG</t>
        </is>
      </c>
      <c r="B3984" s="2">
        <f>"203002201755"</f>
        <v/>
      </c>
      <c r="C3984" t="inlineStr">
        <is>
          <t>OMG Colorlast Lip Vinyl 08 Hazel Hype 2.5gr</t>
        </is>
      </c>
      <c r="D3984" t="inlineStr">
        <is>
          <t>Miss Glam Damar</t>
        </is>
      </c>
      <c r="E3984" t="n">
        <v>10</v>
      </c>
      <c r="F3984" t="n">
        <v>0.3367</v>
      </c>
      <c r="G3984" t="n">
        <v>1.82</v>
      </c>
      <c r="H3984" t="n">
        <v>2</v>
      </c>
      <c r="I3984" t="n">
        <v>6</v>
      </c>
      <c r="J3984" t="n">
        <v>1</v>
      </c>
      <c r="K3984" t="n">
        <v>0</v>
      </c>
      <c r="L3984" t="n">
        <v>28152</v>
      </c>
      <c r="M3984" t="n">
        <v>36000</v>
      </c>
      <c r="N3984" t="n">
        <v>91</v>
      </c>
      <c r="O3984" t="n">
        <v>0.91</v>
      </c>
      <c r="P3984" t="n">
        <v>1</v>
      </c>
      <c r="Q3984" t="n">
        <v>0.41</v>
      </c>
      <c r="R3984" t="n">
        <v>2</v>
      </c>
      <c r="S3984" t="n">
        <v>12121.2</v>
      </c>
      <c r="T3984" t="n">
        <v>11</v>
      </c>
      <c r="U3984" t="n">
        <v>12</v>
      </c>
      <c r="V3984" t="n">
        <v>30</v>
      </c>
      <c r="W3984" t="n">
        <v>11</v>
      </c>
      <c r="X3984" t="n">
        <v>29.7000297000297</v>
      </c>
      <c r="Y3984" t="n">
        <v>1</v>
      </c>
      <c r="Z3984" t="n">
        <v>1</v>
      </c>
      <c r="AA3984" t="n">
        <v>0</v>
      </c>
      <c r="AB3984" t="n">
        <v>1</v>
      </c>
      <c r="AC3984" t="n">
        <v>1</v>
      </c>
      <c r="AD3984" t="n">
        <v>0</v>
      </c>
      <c r="AE3984" t="n">
        <v>28152</v>
      </c>
      <c r="AF3984" t="n">
        <v>11715</v>
      </c>
      <c r="AG3984" t="n">
        <v>63</v>
      </c>
      <c r="AH3984" t="inlineStr">
        <is>
          <t>PT. PARAMA GLOBAL INSPIRA - PPN (PDG)</t>
        </is>
      </c>
      <c r="AI3984" t="n">
        <v>563</v>
      </c>
      <c r="AJ3984" t="inlineStr">
        <is>
          <t>OMG</t>
        </is>
      </c>
      <c r="AK3984" t="n">
        <v>21</v>
      </c>
      <c r="AL3984" t="inlineStr">
        <is>
          <t>Miss Glam Damar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OMG</t>
        </is>
      </c>
      <c r="B3985" s="2">
        <f>"20100184508"</f>
        <v/>
      </c>
      <c r="C3985" t="inlineStr">
        <is>
          <t>OMG Coverlast Liquid Foundation 10N Porcelain 25ml</t>
        </is>
      </c>
      <c r="D3985" t="inlineStr">
        <is>
          <t>Miss Glam Damar</t>
        </is>
      </c>
      <c r="E3985" t="n">
        <v>18</v>
      </c>
      <c r="F3985" t="n">
        <v>0.04550000000000001</v>
      </c>
      <c r="G3985" t="n">
        <v>0.91</v>
      </c>
      <c r="H3985" t="n">
        <v>2</v>
      </c>
      <c r="I3985" t="n">
        <v>6</v>
      </c>
      <c r="J3985" t="n">
        <v>1</v>
      </c>
      <c r="K3985" t="n">
        <v>0</v>
      </c>
      <c r="L3985" t="n">
        <v>16813</v>
      </c>
      <c r="M3985" t="n">
        <v>17500</v>
      </c>
      <c r="N3985" t="n">
        <v>91</v>
      </c>
      <c r="O3985" t="n">
        <v>0.91</v>
      </c>
      <c r="P3985" t="n">
        <v>1</v>
      </c>
      <c r="Q3985" t="n">
        <v>0.1</v>
      </c>
      <c r="R3985" t="n">
        <v>3</v>
      </c>
      <c r="S3985" t="n">
        <v>796.2500000000001</v>
      </c>
      <c r="T3985" t="n">
        <v>6</v>
      </c>
      <c r="U3985" t="n">
        <v>7</v>
      </c>
      <c r="V3985" t="n">
        <v>30</v>
      </c>
      <c r="W3985" t="n">
        <v>2</v>
      </c>
      <c r="X3985" t="n">
        <v>395.6043956043956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11715</v>
      </c>
      <c r="AG3985" t="n">
        <v>63</v>
      </c>
      <c r="AH3985" t="inlineStr">
        <is>
          <t>PT. PARAMA GLOBAL INSPIRA - PPN (PDG)</t>
        </is>
      </c>
      <c r="AI3985" t="n">
        <v>563</v>
      </c>
      <c r="AJ3985" t="inlineStr">
        <is>
          <t>OMG</t>
        </is>
      </c>
      <c r="AK3985" t="n">
        <v>21</v>
      </c>
      <c r="AL3985" t="inlineStr">
        <is>
          <t>Miss Glam Damar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OMG</t>
        </is>
      </c>
      <c r="B3986" s="2">
        <f>"20100184642"</f>
        <v/>
      </c>
      <c r="C3986" t="inlineStr">
        <is>
          <t>OMG Coverlast Liquid Foundation 20N Vanilla 25ml</t>
        </is>
      </c>
      <c r="D3986" t="inlineStr">
        <is>
          <t>Miss Glam Damar</t>
        </is>
      </c>
      <c r="E3986" t="n">
        <v>14</v>
      </c>
      <c r="F3986" t="n">
        <v>0.2639</v>
      </c>
      <c r="G3986" t="n">
        <v>2.73</v>
      </c>
      <c r="H3986" t="n">
        <v>2</v>
      </c>
      <c r="I3986" t="n">
        <v>6</v>
      </c>
      <c r="J3986" t="n">
        <v>1</v>
      </c>
      <c r="K3986" t="n">
        <v>0</v>
      </c>
      <c r="L3986" t="n">
        <v>16813</v>
      </c>
      <c r="M3986" t="n">
        <v>17500</v>
      </c>
      <c r="N3986" t="n">
        <v>91</v>
      </c>
      <c r="O3986" t="n">
        <v>0.91</v>
      </c>
      <c r="P3986" t="n">
        <v>1</v>
      </c>
      <c r="Q3986" t="n">
        <v>0.17</v>
      </c>
      <c r="R3986" t="n">
        <v>3</v>
      </c>
      <c r="S3986" t="n">
        <v>4618.249999999999</v>
      </c>
      <c r="T3986" t="n">
        <v>16</v>
      </c>
      <c r="U3986" t="n">
        <v>17</v>
      </c>
      <c r="V3986" t="n">
        <v>30</v>
      </c>
      <c r="W3986" t="n">
        <v>8</v>
      </c>
      <c r="X3986" t="n">
        <v>53.05039787798409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11715</v>
      </c>
      <c r="AG3986" t="n">
        <v>63</v>
      </c>
      <c r="AH3986" t="inlineStr">
        <is>
          <t>PT. PARAMA GLOBAL INSPIRA - PPN (PDG)</t>
        </is>
      </c>
      <c r="AI3986" t="n">
        <v>563</v>
      </c>
      <c r="AJ3986" t="inlineStr">
        <is>
          <t>OMG</t>
        </is>
      </c>
      <c r="AK3986" t="n">
        <v>21</v>
      </c>
      <c r="AL3986" t="inlineStr">
        <is>
          <t>Miss Glam Damar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OMG</t>
        </is>
      </c>
      <c r="B3987" s="2">
        <f>"20100184713"</f>
        <v/>
      </c>
      <c r="C3987" t="inlineStr">
        <is>
          <t>OMG Coverlast Liquid Foundation 50N Creme 25ml</t>
        </is>
      </c>
      <c r="D3987" t="inlineStr">
        <is>
          <t>Miss Glam Damar</t>
        </is>
      </c>
      <c r="E3987" t="n">
        <v>22</v>
      </c>
      <c r="F3987" t="n">
        <v>0.1365</v>
      </c>
      <c r="G3987" t="n">
        <v>3.64</v>
      </c>
      <c r="H3987" t="n">
        <v>2</v>
      </c>
      <c r="I3987" t="n">
        <v>6</v>
      </c>
      <c r="J3987" t="n">
        <v>1</v>
      </c>
      <c r="K3987" t="n">
        <v>0</v>
      </c>
      <c r="L3987" t="n">
        <v>16813</v>
      </c>
      <c r="M3987" t="n">
        <v>17500</v>
      </c>
      <c r="N3987" t="n">
        <v>91</v>
      </c>
      <c r="O3987" t="n">
        <v>0.91</v>
      </c>
      <c r="P3987" t="n">
        <v>1</v>
      </c>
      <c r="Q3987" t="n">
        <v>0.03</v>
      </c>
      <c r="R3987" t="n">
        <v>1</v>
      </c>
      <c r="S3987" t="n">
        <v>2388.75</v>
      </c>
      <c r="T3987" t="n">
        <v>22</v>
      </c>
      <c r="U3987" t="n">
        <v>23</v>
      </c>
      <c r="V3987" t="n">
        <v>30</v>
      </c>
      <c r="W3987" t="n">
        <v>5</v>
      </c>
      <c r="X3987" t="n">
        <v>161.1721611721612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11715</v>
      </c>
      <c r="AG3987" t="n">
        <v>63</v>
      </c>
      <c r="AH3987" t="inlineStr">
        <is>
          <t>PT. PARAMA GLOBAL INSPIRA - PPN (PDG)</t>
        </is>
      </c>
      <c r="AI3987" t="n">
        <v>563</v>
      </c>
      <c r="AJ3987" t="inlineStr">
        <is>
          <t>OMG</t>
        </is>
      </c>
      <c r="AK3987" t="n">
        <v>21</v>
      </c>
      <c r="AL3987" t="inlineStr">
        <is>
          <t>Miss Glam Damar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OMG</t>
        </is>
      </c>
      <c r="B3988" s="2">
        <f>"20100579623"</f>
        <v/>
      </c>
      <c r="C3988" t="inlineStr">
        <is>
          <t>OMG Coverlast Two Way Cake 10N Porcelain 12gr</t>
        </is>
      </c>
      <c r="D3988" t="inlineStr">
        <is>
          <t>Miss Glam Damar</t>
        </is>
      </c>
      <c r="E3988" t="n">
        <v>20</v>
      </c>
      <c r="F3988" t="n">
        <v>0.0728</v>
      </c>
      <c r="G3988" t="n">
        <v>0.91</v>
      </c>
      <c r="H3988" t="n">
        <v>2</v>
      </c>
      <c r="I3988" t="n">
        <v>6</v>
      </c>
      <c r="J3988" t="n">
        <v>1</v>
      </c>
      <c r="K3988" t="n">
        <v>0</v>
      </c>
      <c r="L3988" t="n">
        <v>19940</v>
      </c>
      <c r="M3988" t="n">
        <v>22000</v>
      </c>
      <c r="N3988" t="n">
        <v>91</v>
      </c>
      <c r="O3988" t="n">
        <v>0.91</v>
      </c>
      <c r="P3988" t="n">
        <v>1</v>
      </c>
      <c r="Q3988" t="n">
        <v>0.07000000000000001</v>
      </c>
      <c r="R3988" t="n">
        <v>1</v>
      </c>
      <c r="S3988" t="n">
        <v>1601.6</v>
      </c>
      <c r="T3988" t="n">
        <v>6</v>
      </c>
      <c r="U3988" t="n">
        <v>7</v>
      </c>
      <c r="V3988" t="n">
        <v>30</v>
      </c>
      <c r="W3988" t="n">
        <v>3</v>
      </c>
      <c r="X3988" t="n">
        <v>274.7252747252747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11715</v>
      </c>
      <c r="AG3988" t="n">
        <v>63</v>
      </c>
      <c r="AH3988" t="inlineStr">
        <is>
          <t>PT. PARAMA GLOBAL INSPIRA - PPN (PDG)</t>
        </is>
      </c>
      <c r="AI3988" t="n">
        <v>563</v>
      </c>
      <c r="AJ3988" t="inlineStr">
        <is>
          <t>OMG</t>
        </is>
      </c>
      <c r="AK3988" t="n">
        <v>21</v>
      </c>
      <c r="AL3988" t="inlineStr">
        <is>
          <t>Miss Glam Damar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OMG</t>
        </is>
      </c>
      <c r="B3989" s="2">
        <f>"20100579708"</f>
        <v/>
      </c>
      <c r="C3989" t="inlineStr">
        <is>
          <t>OMG Coverlast Two Way Cake 20N Vanilla 12gr</t>
        </is>
      </c>
      <c r="D3989" t="inlineStr">
        <is>
          <t>Miss Glam Damar</t>
        </is>
      </c>
      <c r="E3989" t="n">
        <v>19</v>
      </c>
      <c r="F3989" t="n">
        <v>0.2821</v>
      </c>
      <c r="G3989" t="n">
        <v>4.55</v>
      </c>
      <c r="H3989" t="n">
        <v>2</v>
      </c>
      <c r="I3989" t="n">
        <v>6</v>
      </c>
      <c r="J3989" t="n">
        <v>1</v>
      </c>
      <c r="K3989" t="n">
        <v>0</v>
      </c>
      <c r="L3989" t="n">
        <v>19940</v>
      </c>
      <c r="M3989" t="n">
        <v>22000</v>
      </c>
      <c r="N3989" t="n">
        <v>91</v>
      </c>
      <c r="O3989" t="n">
        <v>0.91</v>
      </c>
      <c r="P3989" t="n">
        <v>1</v>
      </c>
      <c r="Q3989" t="n">
        <v>0.08</v>
      </c>
      <c r="R3989" t="n">
        <v>1</v>
      </c>
      <c r="S3989" t="n">
        <v>6206.200000000001</v>
      </c>
      <c r="T3989" t="n">
        <v>27</v>
      </c>
      <c r="U3989" t="n">
        <v>28</v>
      </c>
      <c r="V3989" t="n">
        <v>30</v>
      </c>
      <c r="W3989" t="n">
        <v>9</v>
      </c>
      <c r="X3989" t="n">
        <v>67.3520028358738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11715</v>
      </c>
      <c r="AG3989" t="n">
        <v>63</v>
      </c>
      <c r="AH3989" t="inlineStr">
        <is>
          <t>PT. PARAMA GLOBAL INSPIRA - PPN (PDG)</t>
        </is>
      </c>
      <c r="AI3989" t="n">
        <v>563</v>
      </c>
      <c r="AJ3989" t="inlineStr">
        <is>
          <t>OMG</t>
        </is>
      </c>
      <c r="AK3989" t="n">
        <v>21</v>
      </c>
      <c r="AL3989" t="inlineStr">
        <is>
          <t>Miss Glam Damar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OMG</t>
        </is>
      </c>
      <c r="B3990" s="2">
        <f>"20200570759"</f>
        <v/>
      </c>
      <c r="C3990" t="inlineStr">
        <is>
          <t>OMG Eye Studio Palette X Bubah Alfian</t>
        </is>
      </c>
      <c r="D3990" t="inlineStr">
        <is>
          <t>Miss Glam Damar</t>
        </is>
      </c>
      <c r="E3990" t="n">
        <v>0</v>
      </c>
      <c r="F3990" t="n">
        <v>0.182</v>
      </c>
      <c r="G3990" t="n">
        <v>2.73</v>
      </c>
      <c r="H3990" t="n">
        <v>2</v>
      </c>
      <c r="I3990" t="n">
        <v>6</v>
      </c>
      <c r="J3990" t="n">
        <v>1</v>
      </c>
      <c r="K3990" t="n">
        <v>0</v>
      </c>
      <c r="L3990" t="n">
        <v>43010</v>
      </c>
      <c r="M3990" t="n">
        <v>55000</v>
      </c>
      <c r="N3990" t="n">
        <v>91</v>
      </c>
      <c r="O3990" t="n">
        <v>0.91</v>
      </c>
      <c r="P3990" t="n">
        <v>1</v>
      </c>
      <c r="Q3990" t="n">
        <v>0.27</v>
      </c>
      <c r="R3990" t="n">
        <v>3</v>
      </c>
      <c r="S3990" t="n">
        <v>10010</v>
      </c>
      <c r="T3990" t="n">
        <v>17</v>
      </c>
      <c r="U3990" t="n">
        <v>18</v>
      </c>
      <c r="V3990" t="n">
        <v>30</v>
      </c>
      <c r="W3990" t="n">
        <v>6</v>
      </c>
      <c r="X3990" t="n">
        <v>0</v>
      </c>
      <c r="Y3990" t="n">
        <v>1</v>
      </c>
      <c r="Z3990" t="n">
        <v>6</v>
      </c>
      <c r="AA3990" t="n">
        <v>2</v>
      </c>
      <c r="AB3990" t="n">
        <v>4</v>
      </c>
      <c r="AC3990" t="n">
        <v>4</v>
      </c>
      <c r="AD3990" t="n">
        <v>86020</v>
      </c>
      <c r="AE3990" t="n">
        <v>172040</v>
      </c>
      <c r="AF3990" t="n">
        <v>11715</v>
      </c>
      <c r="AG3990" t="n">
        <v>63</v>
      </c>
      <c r="AH3990" t="inlineStr">
        <is>
          <t>PT. PARAMA GLOBAL INSPIRA - PPN (PDG)</t>
        </is>
      </c>
      <c r="AI3990" t="n">
        <v>563</v>
      </c>
      <c r="AJ3990" t="inlineStr">
        <is>
          <t>OMG</t>
        </is>
      </c>
      <c r="AK3990" t="n">
        <v>21</v>
      </c>
      <c r="AL3990" t="inlineStr">
        <is>
          <t>Miss Glam Damar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OMG</t>
        </is>
      </c>
      <c r="B3991" s="2">
        <f>"8997241850377"</f>
        <v/>
      </c>
      <c r="C3991" t="inlineStr">
        <is>
          <t>OMG Lashtention Waterproof Mascara 6.5gr</t>
        </is>
      </c>
      <c r="D3991" t="inlineStr">
        <is>
          <t>Miss Glam Damar</t>
        </is>
      </c>
      <c r="E3991" t="n">
        <v>40</v>
      </c>
      <c r="F3991" t="n">
        <v>1.7745</v>
      </c>
      <c r="G3991" t="n">
        <v>6.37</v>
      </c>
      <c r="H3991" t="n">
        <v>2</v>
      </c>
      <c r="I3991" t="n">
        <v>6</v>
      </c>
      <c r="J3991" t="n">
        <v>3</v>
      </c>
      <c r="K3991" t="n">
        <v>0</v>
      </c>
      <c r="L3991" t="n">
        <v>24241</v>
      </c>
      <c r="M3991" t="n">
        <v>28000</v>
      </c>
      <c r="N3991" t="n">
        <v>91</v>
      </c>
      <c r="O3991" t="n">
        <v>0.91</v>
      </c>
      <c r="P3991" t="n">
        <v>1</v>
      </c>
      <c r="Q3991" t="n">
        <v>1.51</v>
      </c>
      <c r="R3991" t="n">
        <v>6</v>
      </c>
      <c r="S3991" t="n">
        <v>49686</v>
      </c>
      <c r="T3991" t="n">
        <v>35</v>
      </c>
      <c r="U3991" t="n">
        <v>39</v>
      </c>
      <c r="V3991" t="n">
        <v>30</v>
      </c>
      <c r="W3991" t="n">
        <v>54</v>
      </c>
      <c r="X3991" t="n">
        <v>22.54156100309946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11715</v>
      </c>
      <c r="AG3991" t="n">
        <v>63</v>
      </c>
      <c r="AH3991" t="inlineStr">
        <is>
          <t>PT. PARAMA GLOBAL INSPIRA - PPN (PDG)</t>
        </is>
      </c>
      <c r="AI3991" t="n">
        <v>563</v>
      </c>
      <c r="AJ3991" t="inlineStr">
        <is>
          <t>OMG</t>
        </is>
      </c>
      <c r="AK3991" t="n">
        <v>21</v>
      </c>
      <c r="AL3991" t="inlineStr">
        <is>
          <t>Miss Glam Damar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OMG</t>
        </is>
      </c>
      <c r="B3992" s="2">
        <f>"8993137710282"</f>
        <v/>
      </c>
      <c r="C3992" t="inlineStr">
        <is>
          <t>OMG Matte Kiss Lip Cream 01 Dreamy 3,5 gr</t>
        </is>
      </c>
      <c r="D3992" t="inlineStr">
        <is>
          <t>Miss Glam Damar</t>
        </is>
      </c>
      <c r="E3992" t="n">
        <v>31</v>
      </c>
      <c r="F3992" t="n">
        <v>2.548</v>
      </c>
      <c r="G3992" t="n">
        <v>10.92</v>
      </c>
      <c r="H3992" t="n">
        <v>2</v>
      </c>
      <c r="I3992" t="n">
        <v>6</v>
      </c>
      <c r="J3992" t="n">
        <v>3</v>
      </c>
      <c r="K3992" t="n">
        <v>0</v>
      </c>
      <c r="L3992" t="n">
        <v>18376</v>
      </c>
      <c r="M3992" t="n">
        <v>21000</v>
      </c>
      <c r="N3992" t="n">
        <v>91</v>
      </c>
      <c r="O3992" t="n">
        <v>0.91</v>
      </c>
      <c r="P3992" t="n">
        <v>1</v>
      </c>
      <c r="Q3992" t="n">
        <v>1.59</v>
      </c>
      <c r="R3992" t="n">
        <v>7</v>
      </c>
      <c r="S3992" t="n">
        <v>53508</v>
      </c>
      <c r="T3992" t="n">
        <v>61</v>
      </c>
      <c r="U3992" t="n">
        <v>67</v>
      </c>
      <c r="V3992" t="n">
        <v>30</v>
      </c>
      <c r="W3992" t="n">
        <v>77</v>
      </c>
      <c r="X3992" t="n">
        <v>12.16640502354788</v>
      </c>
      <c r="Y3992" t="n">
        <v>1</v>
      </c>
      <c r="Z3992" t="n">
        <v>46</v>
      </c>
      <c r="AA3992" t="n">
        <v>0</v>
      </c>
      <c r="AB3992" t="n">
        <v>46</v>
      </c>
      <c r="AC3992" t="n">
        <v>46</v>
      </c>
      <c r="AD3992" t="n">
        <v>0</v>
      </c>
      <c r="AE3992" t="n">
        <v>845296</v>
      </c>
      <c r="AF3992" t="n">
        <v>11715</v>
      </c>
      <c r="AG3992" t="n">
        <v>63</v>
      </c>
      <c r="AH3992" t="inlineStr">
        <is>
          <t>PT. PARAMA GLOBAL INSPIRA - PPN (PDG)</t>
        </is>
      </c>
      <c r="AI3992" t="n">
        <v>563</v>
      </c>
      <c r="AJ3992" t="inlineStr">
        <is>
          <t>OMG</t>
        </is>
      </c>
      <c r="AK3992" t="n">
        <v>21</v>
      </c>
      <c r="AL3992" t="inlineStr">
        <is>
          <t>Miss Glam Damar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OMG</t>
        </is>
      </c>
      <c r="B3993" s="2">
        <f>"8993137710312"</f>
        <v/>
      </c>
      <c r="C3993" t="inlineStr">
        <is>
          <t>OMG Matte Kiss Lip Cream 04 Sunset 3,5 gr</t>
        </is>
      </c>
      <c r="D3993" t="inlineStr">
        <is>
          <t>Miss Glam Damar</t>
        </is>
      </c>
      <c r="E3993" t="n">
        <v>12</v>
      </c>
      <c r="F3993" t="n">
        <v>0.8918</v>
      </c>
      <c r="G3993" t="n">
        <v>3.64</v>
      </c>
      <c r="H3993" t="n">
        <v>2</v>
      </c>
      <c r="I3993" t="n">
        <v>6</v>
      </c>
      <c r="J3993" t="n">
        <v>3</v>
      </c>
      <c r="K3993" t="n">
        <v>0</v>
      </c>
      <c r="L3993" t="n">
        <v>18367</v>
      </c>
      <c r="M3993" t="n">
        <v>21000</v>
      </c>
      <c r="N3993" t="n">
        <v>91</v>
      </c>
      <c r="O3993" t="n">
        <v>0.91</v>
      </c>
      <c r="P3993" t="n">
        <v>1</v>
      </c>
      <c r="Q3993" t="n">
        <v>0.59</v>
      </c>
      <c r="R3993" t="n">
        <v>3</v>
      </c>
      <c r="S3993" t="n">
        <v>18727.8</v>
      </c>
      <c r="T3993" t="n">
        <v>21</v>
      </c>
      <c r="U3993" t="n">
        <v>23</v>
      </c>
      <c r="V3993" t="n">
        <v>30</v>
      </c>
      <c r="W3993" t="n">
        <v>27</v>
      </c>
      <c r="X3993" t="n">
        <v>13.45593182327876</v>
      </c>
      <c r="Y3993" t="n">
        <v>1</v>
      </c>
      <c r="Z3993" t="n">
        <v>15</v>
      </c>
      <c r="AA3993" t="n">
        <v>0</v>
      </c>
      <c r="AB3993" t="n">
        <v>15</v>
      </c>
      <c r="AC3993" t="n">
        <v>15</v>
      </c>
      <c r="AD3993" t="n">
        <v>0</v>
      </c>
      <c r="AE3993" t="n">
        <v>275505</v>
      </c>
      <c r="AF3993" t="n">
        <v>11715</v>
      </c>
      <c r="AG3993" t="n">
        <v>63</v>
      </c>
      <c r="AH3993" t="inlineStr">
        <is>
          <t>PT. PARAMA GLOBAL INSPIRA - PPN (PDG)</t>
        </is>
      </c>
      <c r="AI3993" t="n">
        <v>563</v>
      </c>
      <c r="AJ3993" t="inlineStr">
        <is>
          <t>OMG</t>
        </is>
      </c>
      <c r="AK3993" t="n">
        <v>21</v>
      </c>
      <c r="AL3993" t="inlineStr">
        <is>
          <t>Miss Glam Damar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OMG</t>
        </is>
      </c>
      <c r="B3994" s="2">
        <f>"8993137710374"</f>
        <v/>
      </c>
      <c r="C3994" t="inlineStr">
        <is>
          <t>OMG Matte Kiss Lip Cream 10 Shell 3,5 gr</t>
        </is>
      </c>
      <c r="D3994" t="inlineStr">
        <is>
          <t>Miss Glam Damar</t>
        </is>
      </c>
      <c r="E3994" t="n">
        <v>45</v>
      </c>
      <c r="F3994" t="n">
        <v>3.1486</v>
      </c>
      <c r="G3994" t="n">
        <v>9.1</v>
      </c>
      <c r="H3994" t="n">
        <v>2</v>
      </c>
      <c r="I3994" t="n">
        <v>6</v>
      </c>
      <c r="J3994" t="n">
        <v>3</v>
      </c>
      <c r="K3994" t="n">
        <v>0</v>
      </c>
      <c r="L3994" t="n">
        <v>18377</v>
      </c>
      <c r="M3994" t="n">
        <v>21000</v>
      </c>
      <c r="N3994" t="n">
        <v>91</v>
      </c>
      <c r="O3994" t="n">
        <v>0.91</v>
      </c>
      <c r="P3994" t="n">
        <v>1</v>
      </c>
      <c r="Q3994" t="n">
        <v>1.93</v>
      </c>
      <c r="R3994" t="n">
        <v>8</v>
      </c>
      <c r="S3994" t="n">
        <v>66120.60000000001</v>
      </c>
      <c r="T3994" t="n">
        <v>49</v>
      </c>
      <c r="U3994" t="n">
        <v>56</v>
      </c>
      <c r="V3994" t="n">
        <v>30</v>
      </c>
      <c r="W3994" t="n">
        <v>95</v>
      </c>
      <c r="X3994" t="n">
        <v>14.2920663151877</v>
      </c>
      <c r="Y3994" t="n">
        <v>1</v>
      </c>
      <c r="Z3994" t="n">
        <v>50</v>
      </c>
      <c r="AA3994" t="n">
        <v>0</v>
      </c>
      <c r="AB3994" t="n">
        <v>50</v>
      </c>
      <c r="AC3994" t="n">
        <v>50</v>
      </c>
      <c r="AD3994" t="n">
        <v>0</v>
      </c>
      <c r="AE3994" t="n">
        <v>918850</v>
      </c>
      <c r="AF3994" t="n">
        <v>11715</v>
      </c>
      <c r="AG3994" t="n">
        <v>63</v>
      </c>
      <c r="AH3994" t="inlineStr">
        <is>
          <t>PT. PARAMA GLOBAL INSPIRA - PPN (PDG)</t>
        </is>
      </c>
      <c r="AI3994" t="n">
        <v>563</v>
      </c>
      <c r="AJ3994" t="inlineStr">
        <is>
          <t>OMG</t>
        </is>
      </c>
      <c r="AK3994" t="n">
        <v>21</v>
      </c>
      <c r="AL3994" t="inlineStr">
        <is>
          <t>Miss Glam Damar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OMG</t>
        </is>
      </c>
      <c r="B3995" s="2">
        <f>"8993137710381"</f>
        <v/>
      </c>
      <c r="C3995" t="inlineStr">
        <is>
          <t>OMG Matte Kiss Lip Cream 11 Bumble 3,5 gr</t>
        </is>
      </c>
      <c r="D3995" t="inlineStr">
        <is>
          <t>Miss Glam Damar</t>
        </is>
      </c>
      <c r="E3995" t="n">
        <v>20</v>
      </c>
      <c r="F3995" t="n">
        <v>2.8847</v>
      </c>
      <c r="G3995" t="n">
        <v>9.1</v>
      </c>
      <c r="H3995" t="n">
        <v>2</v>
      </c>
      <c r="I3995" t="n">
        <v>6</v>
      </c>
      <c r="J3995" t="n">
        <v>3</v>
      </c>
      <c r="K3995" t="n">
        <v>0</v>
      </c>
      <c r="L3995" t="n">
        <v>18377</v>
      </c>
      <c r="M3995" t="n">
        <v>21000</v>
      </c>
      <c r="N3995" t="n">
        <v>91</v>
      </c>
      <c r="O3995" t="n">
        <v>0.91</v>
      </c>
      <c r="P3995" t="n">
        <v>1</v>
      </c>
      <c r="Q3995" t="n">
        <v>0.63</v>
      </c>
      <c r="R3995" t="n">
        <v>3</v>
      </c>
      <c r="S3995" t="n">
        <v>60578.7</v>
      </c>
      <c r="T3995" t="n">
        <v>49</v>
      </c>
      <c r="U3995" t="n">
        <v>55</v>
      </c>
      <c r="V3995" t="n">
        <v>30</v>
      </c>
      <c r="W3995" t="n">
        <v>87</v>
      </c>
      <c r="X3995" t="n">
        <v>6.933129961521129</v>
      </c>
      <c r="Y3995" t="n">
        <v>1</v>
      </c>
      <c r="Z3995" t="n">
        <v>67</v>
      </c>
      <c r="AA3995" t="n">
        <v>0</v>
      </c>
      <c r="AB3995" t="n">
        <v>67</v>
      </c>
      <c r="AC3995" t="n">
        <v>67</v>
      </c>
      <c r="AD3995" t="n">
        <v>0</v>
      </c>
      <c r="AE3995" t="n">
        <v>1231259</v>
      </c>
      <c r="AF3995" t="n">
        <v>11715</v>
      </c>
      <c r="AG3995" t="n">
        <v>63</v>
      </c>
      <c r="AH3995" t="inlineStr">
        <is>
          <t>PT. PARAMA GLOBAL INSPIRA - PPN (PDG)</t>
        </is>
      </c>
      <c r="AI3995" t="n">
        <v>563</v>
      </c>
      <c r="AJ3995" t="inlineStr">
        <is>
          <t>OMG</t>
        </is>
      </c>
      <c r="AK3995" t="n">
        <v>21</v>
      </c>
      <c r="AL3995" t="inlineStr">
        <is>
          <t>Miss Glam Damar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OMG</t>
        </is>
      </c>
      <c r="B3996" s="2">
        <f>"8993137710398"</f>
        <v/>
      </c>
      <c r="C3996" t="inlineStr">
        <is>
          <t>OMG Matte Kiss Lip Cream 12 Scarlet 3,5 gr</t>
        </is>
      </c>
      <c r="D3996" t="inlineStr">
        <is>
          <t>Miss Glam Damar</t>
        </is>
      </c>
      <c r="E3996" t="n">
        <v>179</v>
      </c>
      <c r="F3996" t="n">
        <v>14.7784</v>
      </c>
      <c r="G3996" t="n">
        <v>29.12</v>
      </c>
      <c r="H3996" t="n">
        <v>2</v>
      </c>
      <c r="I3996" t="n">
        <v>6</v>
      </c>
      <c r="J3996" t="n">
        <v>12</v>
      </c>
      <c r="K3996" t="n">
        <v>0</v>
      </c>
      <c r="L3996" t="n">
        <v>18377</v>
      </c>
      <c r="M3996" t="n">
        <v>21000</v>
      </c>
      <c r="N3996" t="n">
        <v>91</v>
      </c>
      <c r="O3996" t="n">
        <v>0.91</v>
      </c>
      <c r="P3996" t="n">
        <v>1</v>
      </c>
      <c r="Q3996" t="n">
        <v>9.31</v>
      </c>
      <c r="R3996" t="n">
        <v>20</v>
      </c>
      <c r="S3996" t="n">
        <v>310346.4</v>
      </c>
      <c r="T3996" t="n">
        <v>146</v>
      </c>
      <c r="U3996" t="n">
        <v>176</v>
      </c>
      <c r="V3996" t="n">
        <v>30</v>
      </c>
      <c r="W3996" t="n">
        <v>444</v>
      </c>
      <c r="X3996" t="n">
        <v>12.11227196448871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11715</v>
      </c>
      <c r="AG3996" t="n">
        <v>63</v>
      </c>
      <c r="AH3996" t="inlineStr">
        <is>
          <t>PT. PARAMA GLOBAL INSPIRA - PPN (PDG)</t>
        </is>
      </c>
      <c r="AI3996" t="n">
        <v>563</v>
      </c>
      <c r="AJ3996" t="inlineStr">
        <is>
          <t>OMG</t>
        </is>
      </c>
      <c r="AK3996" t="n">
        <v>21</v>
      </c>
      <c r="AL3996" t="inlineStr">
        <is>
          <t>Miss Glam Damar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OMG</t>
        </is>
      </c>
      <c r="B3997" s="2">
        <f>"8993137718936"</f>
        <v/>
      </c>
      <c r="C3997" t="inlineStr">
        <is>
          <t>OMG Matte Kiss Lip Cream Coffee Edition 13 Latte 3,5gr</t>
        </is>
      </c>
      <c r="D3997" t="inlineStr">
        <is>
          <t>Miss Glam Damar</t>
        </is>
      </c>
      <c r="E3997" t="n">
        <v>237</v>
      </c>
      <c r="F3997" t="n">
        <v>17.4265</v>
      </c>
      <c r="G3997" t="n">
        <v>29.12</v>
      </c>
      <c r="H3997" t="n">
        <v>2</v>
      </c>
      <c r="I3997" t="n">
        <v>6</v>
      </c>
      <c r="J3997" t="n">
        <v>12</v>
      </c>
      <c r="K3997" t="n">
        <v>0</v>
      </c>
      <c r="L3997" t="n">
        <v>18377</v>
      </c>
      <c r="M3997" t="n">
        <v>20200</v>
      </c>
      <c r="N3997" t="n">
        <v>91</v>
      </c>
      <c r="O3997" t="n">
        <v>0.91</v>
      </c>
      <c r="P3997" t="n">
        <v>1</v>
      </c>
      <c r="Q3997" t="n">
        <v>11.88</v>
      </c>
      <c r="R3997" t="n">
        <v>25</v>
      </c>
      <c r="S3997" t="n">
        <v>352015.3</v>
      </c>
      <c r="T3997" t="n">
        <v>140</v>
      </c>
      <c r="U3997" t="n">
        <v>175</v>
      </c>
      <c r="V3997" t="n">
        <v>30</v>
      </c>
      <c r="W3997" t="n">
        <v>523</v>
      </c>
      <c r="X3997" t="n">
        <v>13.59997704645224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11715</v>
      </c>
      <c r="AG3997" t="n">
        <v>63</v>
      </c>
      <c r="AH3997" t="inlineStr">
        <is>
          <t>PT. PARAMA GLOBAL INSPIRA - PPN (PDG)</t>
        </is>
      </c>
      <c r="AI3997" t="n">
        <v>563</v>
      </c>
      <c r="AJ3997" t="inlineStr">
        <is>
          <t>OMG</t>
        </is>
      </c>
      <c r="AK3997" t="n">
        <v>21</v>
      </c>
      <c r="AL3997" t="inlineStr">
        <is>
          <t>Miss Glam Damar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OMG</t>
        </is>
      </c>
      <c r="B3998" s="2">
        <f>"8993137718943"</f>
        <v/>
      </c>
      <c r="C3998" t="inlineStr">
        <is>
          <t>OMG Matte Kiss Lip Cream Coffee Edition 14 Cappuccino 3,5 gr</t>
        </is>
      </c>
      <c r="D3998" t="inlineStr">
        <is>
          <t>Miss Glam Damar</t>
        </is>
      </c>
      <c r="E3998" t="n">
        <v>113</v>
      </c>
      <c r="F3998" t="n">
        <v>8.5267</v>
      </c>
      <c r="G3998" t="n">
        <v>15.47</v>
      </c>
      <c r="H3998" t="n">
        <v>2</v>
      </c>
      <c r="I3998" t="n">
        <v>6</v>
      </c>
      <c r="J3998" t="n">
        <v>3</v>
      </c>
      <c r="K3998" t="n">
        <v>0</v>
      </c>
      <c r="L3998" t="n">
        <v>18377</v>
      </c>
      <c r="M3998" t="n">
        <v>21000</v>
      </c>
      <c r="N3998" t="n">
        <v>91</v>
      </c>
      <c r="O3998" t="n">
        <v>0.91</v>
      </c>
      <c r="P3998" t="n">
        <v>1</v>
      </c>
      <c r="Q3998" t="n">
        <v>4.61</v>
      </c>
      <c r="R3998" t="n">
        <v>14</v>
      </c>
      <c r="S3998" t="n">
        <v>179060.7</v>
      </c>
      <c r="T3998" t="n">
        <v>76</v>
      </c>
      <c r="U3998" t="n">
        <v>94</v>
      </c>
      <c r="V3998" t="n">
        <v>30</v>
      </c>
      <c r="W3998" t="n">
        <v>256</v>
      </c>
      <c r="X3998" t="n">
        <v>13.25248923968241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11715</v>
      </c>
      <c r="AG3998" t="n">
        <v>63</v>
      </c>
      <c r="AH3998" t="inlineStr">
        <is>
          <t>PT. PARAMA GLOBAL INSPIRA - PPN (PDG)</t>
        </is>
      </c>
      <c r="AI3998" t="n">
        <v>563</v>
      </c>
      <c r="AJ3998" t="inlineStr">
        <is>
          <t>OMG</t>
        </is>
      </c>
      <c r="AK3998" t="n">
        <v>21</v>
      </c>
      <c r="AL3998" t="inlineStr">
        <is>
          <t>Miss Glam Damar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OMG</t>
        </is>
      </c>
      <c r="B3999" s="2">
        <f>"8993137718950"</f>
        <v/>
      </c>
      <c r="C3999" t="inlineStr">
        <is>
          <t>OMG Matte Kiss Lip Cream Coffee Edition 15 Espresso 3,5gr</t>
        </is>
      </c>
      <c r="D3999" t="inlineStr">
        <is>
          <t>Miss Glam Damar</t>
        </is>
      </c>
      <c r="E3999" t="n">
        <v>101</v>
      </c>
      <c r="F3999" t="n">
        <v>7.853300000000001</v>
      </c>
      <c r="G3999" t="n">
        <v>20.93</v>
      </c>
      <c r="H3999" t="n">
        <v>2</v>
      </c>
      <c r="I3999" t="n">
        <v>6</v>
      </c>
      <c r="J3999" t="n">
        <v>3</v>
      </c>
      <c r="K3999" t="n">
        <v>0</v>
      </c>
      <c r="L3999" t="n">
        <v>18377</v>
      </c>
      <c r="M3999" t="n">
        <v>21000</v>
      </c>
      <c r="N3999" t="n">
        <v>91</v>
      </c>
      <c r="O3999" t="n">
        <v>0.91</v>
      </c>
      <c r="P3999" t="n">
        <v>1</v>
      </c>
      <c r="Q3999" t="n">
        <v>4.88</v>
      </c>
      <c r="R3999" t="n">
        <v>12</v>
      </c>
      <c r="S3999" t="n">
        <v>164919.3</v>
      </c>
      <c r="T3999" t="n">
        <v>110</v>
      </c>
      <c r="U3999" t="n">
        <v>126</v>
      </c>
      <c r="V3999" t="n">
        <v>30</v>
      </c>
      <c r="W3999" t="n">
        <v>236</v>
      </c>
      <c r="X3999" t="n">
        <v>12.86083557230718</v>
      </c>
      <c r="Y3999" t="n">
        <v>1</v>
      </c>
      <c r="Z3999" t="n">
        <v>135</v>
      </c>
      <c r="AA3999" t="n">
        <v>0</v>
      </c>
      <c r="AB3999" t="n">
        <v>135</v>
      </c>
      <c r="AC3999" t="n">
        <v>135</v>
      </c>
      <c r="AD3999" t="n">
        <v>0</v>
      </c>
      <c r="AE3999" t="n">
        <v>2480895</v>
      </c>
      <c r="AF3999" t="n">
        <v>11715</v>
      </c>
      <c r="AG3999" t="n">
        <v>63</v>
      </c>
      <c r="AH3999" t="inlineStr">
        <is>
          <t>PT. PARAMA GLOBAL INSPIRA - PPN (PDG)</t>
        </is>
      </c>
      <c r="AI3999" t="n">
        <v>563</v>
      </c>
      <c r="AJ3999" t="inlineStr">
        <is>
          <t>OMG</t>
        </is>
      </c>
      <c r="AK3999" t="n">
        <v>21</v>
      </c>
      <c r="AL3999" t="inlineStr">
        <is>
          <t>Miss Glam Damar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OMG</t>
        </is>
      </c>
      <c r="B4000" s="2">
        <f>"8997241850704"</f>
        <v/>
      </c>
      <c r="C4000" t="inlineStr">
        <is>
          <t>OMG Matte Kiss Lip Cream Socialite Edition 18 Luxe 3.5gr</t>
        </is>
      </c>
      <c r="D4000" t="inlineStr">
        <is>
          <t>Miss Glam Damar</t>
        </is>
      </c>
      <c r="E4000" t="n">
        <v>49</v>
      </c>
      <c r="F4000" t="n">
        <v>1.7927</v>
      </c>
      <c r="G4000" t="n">
        <v>6.37</v>
      </c>
      <c r="H4000" t="n">
        <v>2</v>
      </c>
      <c r="I4000" t="n">
        <v>6</v>
      </c>
      <c r="J4000" t="n">
        <v>3</v>
      </c>
      <c r="K4000" t="n">
        <v>0</v>
      </c>
      <c r="L4000" t="n">
        <v>18377</v>
      </c>
      <c r="M4000" t="n">
        <v>21000</v>
      </c>
      <c r="N4000" t="n">
        <v>91</v>
      </c>
      <c r="O4000" t="n">
        <v>0.91</v>
      </c>
      <c r="P4000" t="n">
        <v>1</v>
      </c>
      <c r="Q4000" t="n">
        <v>2.02</v>
      </c>
      <c r="R4000" t="n">
        <v>7</v>
      </c>
      <c r="S4000" t="n">
        <v>37646.7</v>
      </c>
      <c r="T4000" t="n">
        <v>35</v>
      </c>
      <c r="U4000" t="n">
        <v>39</v>
      </c>
      <c r="V4000" t="n">
        <v>30</v>
      </c>
      <c r="W4000" t="n">
        <v>54</v>
      </c>
      <c r="X4000" t="n">
        <v>27.33307301835221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11715</v>
      </c>
      <c r="AG4000" t="n">
        <v>63</v>
      </c>
      <c r="AH4000" t="inlineStr">
        <is>
          <t>PT. PARAMA GLOBAL INSPIRA - PPN (PDG)</t>
        </is>
      </c>
      <c r="AI4000" t="n">
        <v>563</v>
      </c>
      <c r="AJ4000" t="inlineStr">
        <is>
          <t>OMG</t>
        </is>
      </c>
      <c r="AK4000" t="n">
        <v>21</v>
      </c>
      <c r="AL4000" t="inlineStr">
        <is>
          <t>Miss Glam Damar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OMG</t>
        </is>
      </c>
      <c r="B4001" s="2">
        <f>"8997241851121"</f>
        <v/>
      </c>
      <c r="C4001" t="inlineStr">
        <is>
          <t>OMG Matte Last Lip Cream 19 Spiced 2.9gr</t>
        </is>
      </c>
      <c r="D4001" t="inlineStr">
        <is>
          <t>Miss Glam Damar</t>
        </is>
      </c>
      <c r="E4001" t="n">
        <v>38</v>
      </c>
      <c r="F4001" t="n">
        <v>0.8918</v>
      </c>
      <c r="G4001" t="n">
        <v>4.55</v>
      </c>
      <c r="H4001" t="n">
        <v>2</v>
      </c>
      <c r="I4001" t="n">
        <v>6</v>
      </c>
      <c r="J4001" t="n">
        <v>12</v>
      </c>
      <c r="K4001" t="n">
        <v>0</v>
      </c>
      <c r="L4001" t="n">
        <v>18377</v>
      </c>
      <c r="M4001" t="n">
        <v>22500</v>
      </c>
      <c r="N4001" t="n">
        <v>91</v>
      </c>
      <c r="O4001" t="n">
        <v>0.91</v>
      </c>
      <c r="P4001" t="n">
        <v>1</v>
      </c>
      <c r="Q4001" t="n">
        <v>1.46</v>
      </c>
      <c r="R4001" t="n">
        <v>4</v>
      </c>
      <c r="S4001" t="n">
        <v>20065.5</v>
      </c>
      <c r="T4001" t="n">
        <v>26</v>
      </c>
      <c r="U4001" t="n">
        <v>28</v>
      </c>
      <c r="V4001" t="n">
        <v>30</v>
      </c>
      <c r="W4001" t="n">
        <v>27</v>
      </c>
      <c r="X4001" t="n">
        <v>42.61045077371608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11715</v>
      </c>
      <c r="AG4001" t="n">
        <v>63</v>
      </c>
      <c r="AH4001" t="inlineStr">
        <is>
          <t>PT. PARAMA GLOBAL INSPIRA - PPN (PDG)</t>
        </is>
      </c>
      <c r="AI4001" t="n">
        <v>563</v>
      </c>
      <c r="AJ4001" t="inlineStr">
        <is>
          <t>OMG</t>
        </is>
      </c>
      <c r="AK4001" t="n">
        <v>21</v>
      </c>
      <c r="AL4001" t="inlineStr">
        <is>
          <t>Miss Glam Damar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OMG</t>
        </is>
      </c>
      <c r="B4002" s="2">
        <f>"8997241851138"</f>
        <v/>
      </c>
      <c r="C4002" t="inlineStr">
        <is>
          <t>OMG Matte Last Lip Cream 20 Blossom 2.9gr</t>
        </is>
      </c>
      <c r="D4002" t="inlineStr">
        <is>
          <t>Miss Glam Damar</t>
        </is>
      </c>
      <c r="E4002" t="n">
        <v>7</v>
      </c>
      <c r="F4002" t="n">
        <v>1.9474</v>
      </c>
      <c r="G4002" t="n">
        <v>4.55</v>
      </c>
      <c r="H4002" t="n">
        <v>2</v>
      </c>
      <c r="I4002" t="n">
        <v>6</v>
      </c>
      <c r="J4002" t="n">
        <v>3</v>
      </c>
      <c r="K4002" t="n">
        <v>0</v>
      </c>
      <c r="L4002" t="n">
        <v>18377</v>
      </c>
      <c r="M4002" t="n">
        <v>22500</v>
      </c>
      <c r="N4002" t="n">
        <v>91</v>
      </c>
      <c r="O4002" t="n">
        <v>0.91</v>
      </c>
      <c r="P4002" t="n">
        <v>1</v>
      </c>
      <c r="Q4002" t="n">
        <v>0.54</v>
      </c>
      <c r="R4002" t="n">
        <v>2</v>
      </c>
      <c r="S4002" t="n">
        <v>43816.50000000001</v>
      </c>
      <c r="T4002" t="n">
        <v>24</v>
      </c>
      <c r="U4002" t="n">
        <v>28</v>
      </c>
      <c r="V4002" t="n">
        <v>30</v>
      </c>
      <c r="W4002" t="n">
        <v>59</v>
      </c>
      <c r="X4002" t="n">
        <v>3.594536304816678</v>
      </c>
      <c r="Y4002" t="n">
        <v>1</v>
      </c>
      <c r="Z4002" t="n">
        <v>52</v>
      </c>
      <c r="AA4002" t="n">
        <v>5</v>
      </c>
      <c r="AB4002" t="n">
        <v>47</v>
      </c>
      <c r="AC4002" t="n">
        <v>47</v>
      </c>
      <c r="AD4002" t="n">
        <v>91885</v>
      </c>
      <c r="AE4002" t="n">
        <v>863719</v>
      </c>
      <c r="AF4002" t="n">
        <v>11715</v>
      </c>
      <c r="AG4002" t="n">
        <v>63</v>
      </c>
      <c r="AH4002" t="inlineStr">
        <is>
          <t>PT. PARAMA GLOBAL INSPIRA - PPN (PDG)</t>
        </is>
      </c>
      <c r="AI4002" t="n">
        <v>563</v>
      </c>
      <c r="AJ4002" t="inlineStr">
        <is>
          <t>OMG</t>
        </is>
      </c>
      <c r="AK4002" t="n">
        <v>21</v>
      </c>
      <c r="AL4002" t="inlineStr">
        <is>
          <t>Miss Glam Damar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OMG</t>
        </is>
      </c>
      <c r="B4003" s="2">
        <f>"8997241851145"</f>
        <v/>
      </c>
      <c r="C4003" t="inlineStr">
        <is>
          <t>OMG Matte Last Lip Cream 21 Passion 2.9gr</t>
        </is>
      </c>
      <c r="D4003" t="inlineStr">
        <is>
          <t>Miss Glam Damar</t>
        </is>
      </c>
      <c r="E4003" t="n">
        <v>18</v>
      </c>
      <c r="F4003" t="n">
        <v>1.729</v>
      </c>
      <c r="G4003" t="n">
        <v>4.55</v>
      </c>
      <c r="H4003" t="n">
        <v>2</v>
      </c>
      <c r="I4003" t="n">
        <v>6</v>
      </c>
      <c r="J4003" t="n">
        <v>3</v>
      </c>
      <c r="K4003" t="n">
        <v>0</v>
      </c>
      <c r="L4003" t="n">
        <v>18377</v>
      </c>
      <c r="M4003" t="n">
        <v>22500</v>
      </c>
      <c r="N4003" t="n">
        <v>91</v>
      </c>
      <c r="O4003" t="n">
        <v>0.91</v>
      </c>
      <c r="P4003" t="n">
        <v>1</v>
      </c>
      <c r="Q4003" t="n">
        <v>1.1</v>
      </c>
      <c r="R4003" t="n">
        <v>6</v>
      </c>
      <c r="S4003" t="n">
        <v>38902.5</v>
      </c>
      <c r="T4003" t="n">
        <v>24</v>
      </c>
      <c r="U4003" t="n">
        <v>28</v>
      </c>
      <c r="V4003" t="n">
        <v>30</v>
      </c>
      <c r="W4003" t="n">
        <v>52</v>
      </c>
      <c r="X4003" t="n">
        <v>10.41064198958936</v>
      </c>
      <c r="Y4003" t="n">
        <v>1</v>
      </c>
      <c r="Z4003" t="n">
        <v>34</v>
      </c>
      <c r="AA4003" t="n">
        <v>0</v>
      </c>
      <c r="AB4003" t="n">
        <v>34</v>
      </c>
      <c r="AC4003" t="n">
        <v>34</v>
      </c>
      <c r="AD4003" t="n">
        <v>0</v>
      </c>
      <c r="AE4003" t="n">
        <v>624818</v>
      </c>
      <c r="AF4003" t="n">
        <v>11715</v>
      </c>
      <c r="AG4003" t="n">
        <v>63</v>
      </c>
      <c r="AH4003" t="inlineStr">
        <is>
          <t>PT. PARAMA GLOBAL INSPIRA - PPN (PDG)</t>
        </is>
      </c>
      <c r="AI4003" t="n">
        <v>563</v>
      </c>
      <c r="AJ4003" t="inlineStr">
        <is>
          <t>OMG</t>
        </is>
      </c>
      <c r="AK4003" t="n">
        <v>21</v>
      </c>
      <c r="AL4003" t="inlineStr">
        <is>
          <t>Miss Glam Damar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OMG</t>
        </is>
      </c>
      <c r="B4004" s="2">
        <f>"8997241851152"</f>
        <v/>
      </c>
      <c r="C4004" t="inlineStr">
        <is>
          <t>OMG Matte Last Lip Cream 22 Crushed 2.9 gr</t>
        </is>
      </c>
      <c r="D4004" t="inlineStr">
        <is>
          <t>Miss Glam Damar</t>
        </is>
      </c>
      <c r="E4004" t="n">
        <v>22</v>
      </c>
      <c r="F4004" t="n">
        <v>0.8918</v>
      </c>
      <c r="G4004" t="n">
        <v>3.64</v>
      </c>
      <c r="H4004" t="n">
        <v>2</v>
      </c>
      <c r="I4004" t="n">
        <v>6</v>
      </c>
      <c r="J4004" t="n">
        <v>3</v>
      </c>
      <c r="K4004" t="n">
        <v>0</v>
      </c>
      <c r="L4004" t="n">
        <v>18377</v>
      </c>
      <c r="M4004" t="n">
        <v>22500</v>
      </c>
      <c r="N4004" t="n">
        <v>91</v>
      </c>
      <c r="O4004" t="n">
        <v>0.91</v>
      </c>
      <c r="P4004" t="n">
        <v>1</v>
      </c>
      <c r="Q4004" t="n">
        <v>0.88</v>
      </c>
      <c r="R4004" t="n">
        <v>4</v>
      </c>
      <c r="S4004" t="n">
        <v>20065.5</v>
      </c>
      <c r="T4004" t="n">
        <v>21</v>
      </c>
      <c r="U4004" t="n">
        <v>23</v>
      </c>
      <c r="V4004" t="n">
        <v>30</v>
      </c>
      <c r="W4004" t="n">
        <v>27</v>
      </c>
      <c r="X4004" t="n">
        <v>24.66920834267773</v>
      </c>
      <c r="Y4004" t="n">
        <v>1</v>
      </c>
      <c r="Z4004" t="n">
        <v>5</v>
      </c>
      <c r="AA4004" t="n">
        <v>0</v>
      </c>
      <c r="AB4004" t="n">
        <v>5</v>
      </c>
      <c r="AC4004" t="n">
        <v>5</v>
      </c>
      <c r="AD4004" t="n">
        <v>0</v>
      </c>
      <c r="AE4004" t="n">
        <v>91885</v>
      </c>
      <c r="AF4004" t="n">
        <v>11715</v>
      </c>
      <c r="AG4004" t="n">
        <v>63</v>
      </c>
      <c r="AH4004" t="inlineStr">
        <is>
          <t>PT. PARAMA GLOBAL INSPIRA - PPN (PDG)</t>
        </is>
      </c>
      <c r="AI4004" t="n">
        <v>563</v>
      </c>
      <c r="AJ4004" t="inlineStr">
        <is>
          <t>OMG</t>
        </is>
      </c>
      <c r="AK4004" t="n">
        <v>21</v>
      </c>
      <c r="AL4004" t="inlineStr">
        <is>
          <t>Miss Glam Damar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OMG</t>
        </is>
      </c>
      <c r="B4005" s="2">
        <f>"8997241851169"</f>
        <v/>
      </c>
      <c r="C4005" t="inlineStr">
        <is>
          <t>OMG Matte Last Lip Cream 23 Rose 2.9gr</t>
        </is>
      </c>
      <c r="D4005" t="inlineStr">
        <is>
          <t>Miss Glam Damar</t>
        </is>
      </c>
      <c r="E4005" t="n">
        <v>39</v>
      </c>
      <c r="F4005" t="n">
        <v>1.3741</v>
      </c>
      <c r="G4005" t="n">
        <v>5.46</v>
      </c>
      <c r="H4005" t="n">
        <v>2</v>
      </c>
      <c r="I4005" t="n">
        <v>6</v>
      </c>
      <c r="J4005" t="n">
        <v>3</v>
      </c>
      <c r="K4005" t="n">
        <v>0</v>
      </c>
      <c r="L4005" t="n">
        <v>18377</v>
      </c>
      <c r="M4005" t="n">
        <v>22500</v>
      </c>
      <c r="N4005" t="n">
        <v>91</v>
      </c>
      <c r="O4005" t="n">
        <v>0.91</v>
      </c>
      <c r="P4005" t="n">
        <v>1</v>
      </c>
      <c r="Q4005" t="n">
        <v>1.42</v>
      </c>
      <c r="R4005" t="n">
        <v>7</v>
      </c>
      <c r="S4005" t="n">
        <v>30917.25</v>
      </c>
      <c r="T4005" t="n">
        <v>31</v>
      </c>
      <c r="U4005" t="n">
        <v>34</v>
      </c>
      <c r="V4005" t="n">
        <v>30</v>
      </c>
      <c r="W4005" t="n">
        <v>42</v>
      </c>
      <c r="X4005" t="n">
        <v>28.38221381267739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11715</v>
      </c>
      <c r="AG4005" t="n">
        <v>63</v>
      </c>
      <c r="AH4005" t="inlineStr">
        <is>
          <t>PT. PARAMA GLOBAL INSPIRA - PPN (PDG)</t>
        </is>
      </c>
      <c r="AI4005" t="n">
        <v>563</v>
      </c>
      <c r="AJ4005" t="inlineStr">
        <is>
          <t>OMG</t>
        </is>
      </c>
      <c r="AK4005" t="n">
        <v>21</v>
      </c>
      <c r="AL4005" t="inlineStr">
        <is>
          <t>Miss Glam Damar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OMG</t>
        </is>
      </c>
      <c r="B4006" s="2">
        <f>"8997241851176"</f>
        <v/>
      </c>
      <c r="C4006" t="inlineStr">
        <is>
          <t>OMG Matte Last Lip Cream 24 Berry 2.9gr</t>
        </is>
      </c>
      <c r="D4006" t="inlineStr">
        <is>
          <t>Miss Glam Damar</t>
        </is>
      </c>
      <c r="E4006" t="n">
        <v>39</v>
      </c>
      <c r="F4006" t="n">
        <v>1.8837</v>
      </c>
      <c r="G4006" t="n">
        <v>8.19</v>
      </c>
      <c r="H4006" t="n">
        <v>2</v>
      </c>
      <c r="I4006" t="n">
        <v>6</v>
      </c>
      <c r="J4006" t="n">
        <v>3</v>
      </c>
      <c r="K4006" t="n">
        <v>0</v>
      </c>
      <c r="L4006" t="n">
        <v>18377</v>
      </c>
      <c r="M4006" t="n">
        <v>22500</v>
      </c>
      <c r="N4006" t="n">
        <v>91</v>
      </c>
      <c r="O4006" t="n">
        <v>0.91</v>
      </c>
      <c r="P4006" t="n">
        <v>1</v>
      </c>
      <c r="Q4006" t="n">
        <v>1.61</v>
      </c>
      <c r="R4006" t="n">
        <v>5</v>
      </c>
      <c r="S4006" t="n">
        <v>42383.25</v>
      </c>
      <c r="T4006" t="n">
        <v>46</v>
      </c>
      <c r="U4006" t="n">
        <v>50</v>
      </c>
      <c r="V4006" t="n">
        <v>30</v>
      </c>
      <c r="W4006" t="n">
        <v>57</v>
      </c>
      <c r="X4006" t="n">
        <v>20.70393374741201</v>
      </c>
      <c r="Y4006" t="n">
        <v>1</v>
      </c>
      <c r="Z4006" t="n">
        <v>18</v>
      </c>
      <c r="AA4006" t="n">
        <v>0</v>
      </c>
      <c r="AB4006" t="n">
        <v>18</v>
      </c>
      <c r="AC4006" t="n">
        <v>18</v>
      </c>
      <c r="AD4006" t="n">
        <v>0</v>
      </c>
      <c r="AE4006" t="n">
        <v>330786</v>
      </c>
      <c r="AF4006" t="n">
        <v>11715</v>
      </c>
      <c r="AG4006" t="n">
        <v>63</v>
      </c>
      <c r="AH4006" t="inlineStr">
        <is>
          <t>PT. PARAMA GLOBAL INSPIRA - PPN (PDG)</t>
        </is>
      </c>
      <c r="AI4006" t="n">
        <v>563</v>
      </c>
      <c r="AJ4006" t="inlineStr">
        <is>
          <t>OMG</t>
        </is>
      </c>
      <c r="AK4006" t="n">
        <v>21</v>
      </c>
      <c r="AL4006" t="inlineStr">
        <is>
          <t>Miss Glam Damar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OMG</t>
        </is>
      </c>
      <c r="B4007" s="2">
        <f>"8997241851183"</f>
        <v/>
      </c>
      <c r="C4007" t="inlineStr">
        <is>
          <t>OMG Matte Last Lip Cream 25 Ruby 2.9gr</t>
        </is>
      </c>
      <c r="D4007" t="inlineStr">
        <is>
          <t>Miss Glam Damar</t>
        </is>
      </c>
      <c r="E4007" t="n">
        <v>74</v>
      </c>
      <c r="F4007" t="n">
        <v>2.4388</v>
      </c>
      <c r="G4007" t="n">
        <v>6.37</v>
      </c>
      <c r="H4007" t="n">
        <v>2</v>
      </c>
      <c r="I4007" t="n">
        <v>6</v>
      </c>
      <c r="J4007" t="n">
        <v>3</v>
      </c>
      <c r="K4007" t="n">
        <v>0</v>
      </c>
      <c r="L4007" t="n">
        <v>18377</v>
      </c>
      <c r="M4007" t="n">
        <v>22500</v>
      </c>
      <c r="N4007" t="n">
        <v>91</v>
      </c>
      <c r="O4007" t="n">
        <v>0.91</v>
      </c>
      <c r="P4007" t="n">
        <v>1</v>
      </c>
      <c r="Q4007" t="n">
        <v>2.93</v>
      </c>
      <c r="R4007" t="n">
        <v>7</v>
      </c>
      <c r="S4007" t="n">
        <v>54873</v>
      </c>
      <c r="T4007" t="n">
        <v>34</v>
      </c>
      <c r="U4007" t="n">
        <v>39</v>
      </c>
      <c r="V4007" t="n">
        <v>30</v>
      </c>
      <c r="W4007" t="n">
        <v>74</v>
      </c>
      <c r="X4007" t="n">
        <v>30.34279153682139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11715</v>
      </c>
      <c r="AG4007" t="n">
        <v>63</v>
      </c>
      <c r="AH4007" t="inlineStr">
        <is>
          <t>PT. PARAMA GLOBAL INSPIRA - PPN (PDG)</t>
        </is>
      </c>
      <c r="AI4007" t="n">
        <v>563</v>
      </c>
      <c r="AJ4007" t="inlineStr">
        <is>
          <t>OMG</t>
        </is>
      </c>
      <c r="AK4007" t="n">
        <v>21</v>
      </c>
      <c r="AL4007" t="inlineStr">
        <is>
          <t>Miss Glam Damar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OMG</t>
        </is>
      </c>
      <c r="B4008" s="2">
        <f>"8997241851190"</f>
        <v/>
      </c>
      <c r="C4008" t="inlineStr">
        <is>
          <t>OMG Matte Last Lip Cream 26 Extra 2.9gr</t>
        </is>
      </c>
      <c r="D4008" t="inlineStr">
        <is>
          <t>Miss Glam Damar</t>
        </is>
      </c>
      <c r="E4008" t="n">
        <v>13</v>
      </c>
      <c r="F4008" t="n">
        <v>0.6916</v>
      </c>
      <c r="G4008" t="n">
        <v>2.73</v>
      </c>
      <c r="H4008" t="n">
        <v>2</v>
      </c>
      <c r="I4008" t="n">
        <v>6</v>
      </c>
      <c r="J4008" t="n">
        <v>3</v>
      </c>
      <c r="K4008" t="n">
        <v>0</v>
      </c>
      <c r="L4008" t="n">
        <v>18377</v>
      </c>
      <c r="M4008" t="n">
        <v>22500</v>
      </c>
      <c r="N4008" t="n">
        <v>91</v>
      </c>
      <c r="O4008" t="n">
        <v>0.91</v>
      </c>
      <c r="P4008" t="n">
        <v>1</v>
      </c>
      <c r="Q4008" t="n">
        <v>0.95</v>
      </c>
      <c r="R4008" t="n">
        <v>4</v>
      </c>
      <c r="S4008" t="n">
        <v>15561</v>
      </c>
      <c r="T4008" t="n">
        <v>15</v>
      </c>
      <c r="U4008" t="n">
        <v>17</v>
      </c>
      <c r="V4008" t="n">
        <v>30</v>
      </c>
      <c r="W4008" t="n">
        <v>21</v>
      </c>
      <c r="X4008" t="n">
        <v>18.79699248120301</v>
      </c>
      <c r="Y4008" t="n">
        <v>1</v>
      </c>
      <c r="Z4008" t="n">
        <v>8</v>
      </c>
      <c r="AA4008" t="n">
        <v>0</v>
      </c>
      <c r="AB4008" t="n">
        <v>8</v>
      </c>
      <c r="AC4008" t="n">
        <v>8</v>
      </c>
      <c r="AD4008" t="n">
        <v>0</v>
      </c>
      <c r="AE4008" t="n">
        <v>147016</v>
      </c>
      <c r="AF4008" t="n">
        <v>11715</v>
      </c>
      <c r="AG4008" t="n">
        <v>63</v>
      </c>
      <c r="AH4008" t="inlineStr">
        <is>
          <t>PT. PARAMA GLOBAL INSPIRA - PPN (PDG)</t>
        </is>
      </c>
      <c r="AI4008" t="n">
        <v>563</v>
      </c>
      <c r="AJ4008" t="inlineStr">
        <is>
          <t>OMG</t>
        </is>
      </c>
      <c r="AK4008" t="n">
        <v>21</v>
      </c>
      <c r="AL4008" t="inlineStr">
        <is>
          <t>Miss Glam Damar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OMG</t>
        </is>
      </c>
      <c r="B4009" s="2">
        <f>"8997241851206"</f>
        <v/>
      </c>
      <c r="C4009" t="inlineStr">
        <is>
          <t>OMG Matte Last Lip Cream 27 Strike 2.9gr</t>
        </is>
      </c>
      <c r="D4009" t="inlineStr">
        <is>
          <t>Miss Glam Damar</t>
        </is>
      </c>
      <c r="E4009" t="n">
        <v>54</v>
      </c>
      <c r="F4009" t="n">
        <v>3.4671</v>
      </c>
      <c r="G4009" t="n">
        <v>8.19</v>
      </c>
      <c r="H4009" t="n">
        <v>2</v>
      </c>
      <c r="I4009" t="n">
        <v>6</v>
      </c>
      <c r="J4009" t="n">
        <v>3</v>
      </c>
      <c r="K4009" t="n">
        <v>0</v>
      </c>
      <c r="L4009" t="n">
        <v>18377</v>
      </c>
      <c r="M4009" t="n">
        <v>22500</v>
      </c>
      <c r="N4009" t="n">
        <v>91</v>
      </c>
      <c r="O4009" t="n">
        <v>0.91</v>
      </c>
      <c r="P4009" t="n">
        <v>1</v>
      </c>
      <c r="Q4009" t="n">
        <v>2.07</v>
      </c>
      <c r="R4009" t="n">
        <v>6</v>
      </c>
      <c r="S4009" t="n">
        <v>78009.75</v>
      </c>
      <c r="T4009" t="n">
        <v>43</v>
      </c>
      <c r="U4009" t="n">
        <v>50</v>
      </c>
      <c r="V4009" t="n">
        <v>30</v>
      </c>
      <c r="W4009" t="n">
        <v>105</v>
      </c>
      <c r="X4009" t="n">
        <v>15.57497620489746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11715</v>
      </c>
      <c r="AG4009" t="n">
        <v>63</v>
      </c>
      <c r="AH4009" t="inlineStr">
        <is>
          <t>PT. PARAMA GLOBAL INSPIRA - PPN (PDG)</t>
        </is>
      </c>
      <c r="AI4009" t="n">
        <v>563</v>
      </c>
      <c r="AJ4009" t="inlineStr">
        <is>
          <t>OMG</t>
        </is>
      </c>
      <c r="AK4009" t="n">
        <v>21</v>
      </c>
      <c r="AL4009" t="inlineStr">
        <is>
          <t>Miss Glam Damar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OMG</t>
        </is>
      </c>
      <c r="B4010" s="2">
        <f>"8997241851428"</f>
        <v/>
      </c>
      <c r="C4010" t="inlineStr">
        <is>
          <t>OMG Moisture Gel Panthenol+Ceramide 30gr</t>
        </is>
      </c>
      <c r="D4010" t="inlineStr">
        <is>
          <t>Miss Glam Damar</t>
        </is>
      </c>
      <c r="E4010" t="n">
        <v>7</v>
      </c>
      <c r="F4010" t="n">
        <v>0.5733</v>
      </c>
      <c r="G4010" t="n">
        <v>3.64</v>
      </c>
      <c r="H4010" t="n">
        <v>2</v>
      </c>
      <c r="I4010" t="n">
        <v>6</v>
      </c>
      <c r="J4010" t="n">
        <v>3</v>
      </c>
      <c r="K4010" t="n">
        <v>0</v>
      </c>
      <c r="L4010" t="n">
        <v>28126</v>
      </c>
      <c r="M4010" t="n">
        <v>34000</v>
      </c>
      <c r="N4010" t="n">
        <v>91</v>
      </c>
      <c r="O4010" t="n">
        <v>0.91</v>
      </c>
      <c r="P4010" t="n">
        <v>1</v>
      </c>
      <c r="Q4010" t="n">
        <v>0.14</v>
      </c>
      <c r="R4010" t="n">
        <v>1</v>
      </c>
      <c r="S4010" t="n">
        <v>19492.2</v>
      </c>
      <c r="T4010" t="n">
        <v>21</v>
      </c>
      <c r="U4010" t="n">
        <v>23</v>
      </c>
      <c r="V4010" t="n">
        <v>30</v>
      </c>
      <c r="W4010" t="n">
        <v>18</v>
      </c>
      <c r="X4010" t="n">
        <v>12.21001221001221</v>
      </c>
      <c r="Y4010" t="n">
        <v>1</v>
      </c>
      <c r="Z4010" t="n">
        <v>11</v>
      </c>
      <c r="AA4010" t="n">
        <v>0</v>
      </c>
      <c r="AB4010" t="n">
        <v>11</v>
      </c>
      <c r="AC4010" t="n">
        <v>11</v>
      </c>
      <c r="AD4010" t="n">
        <v>0</v>
      </c>
      <c r="AE4010" t="n">
        <v>309386</v>
      </c>
      <c r="AF4010" t="n">
        <v>11715</v>
      </c>
      <c r="AG4010" t="n">
        <v>63</v>
      </c>
      <c r="AH4010" t="inlineStr">
        <is>
          <t>PT. PARAMA GLOBAL INSPIRA - PPN (PDG)</t>
        </is>
      </c>
      <c r="AI4010" t="n">
        <v>563</v>
      </c>
      <c r="AJ4010" t="inlineStr">
        <is>
          <t>OMG</t>
        </is>
      </c>
      <c r="AK4010" t="n">
        <v>21</v>
      </c>
      <c r="AL4010" t="inlineStr">
        <is>
          <t>Miss Glam Damar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OMG</t>
        </is>
      </c>
      <c r="B4011" s="2">
        <f>"8997241850186"</f>
        <v/>
      </c>
      <c r="C4011" t="inlineStr">
        <is>
          <t>OMG Mugwort Acne Serum 20ml</t>
        </is>
      </c>
      <c r="D4011" t="inlineStr">
        <is>
          <t>Miss Glam Damar</t>
        </is>
      </c>
      <c r="E4011" t="n">
        <v>2</v>
      </c>
      <c r="F4011" t="n">
        <v>0.0728</v>
      </c>
      <c r="G4011" t="n">
        <v>0.91</v>
      </c>
      <c r="H4011" t="n">
        <v>2</v>
      </c>
      <c r="I4011" t="n">
        <v>6</v>
      </c>
      <c r="J4011" t="n">
        <v>3</v>
      </c>
      <c r="K4011" t="n">
        <v>0</v>
      </c>
      <c r="L4011" t="n">
        <v>19501</v>
      </c>
      <c r="M4011" t="n">
        <v>24000</v>
      </c>
      <c r="N4011" t="n">
        <v>91</v>
      </c>
      <c r="O4011" t="n">
        <v>0.91</v>
      </c>
      <c r="P4011" t="n">
        <v>1</v>
      </c>
      <c r="Q4011" t="n">
        <v>0.02</v>
      </c>
      <c r="R4011" t="n">
        <v>1</v>
      </c>
      <c r="S4011" t="n">
        <v>1747.2</v>
      </c>
      <c r="T4011" t="n">
        <v>6</v>
      </c>
      <c r="U4011" t="n">
        <v>7</v>
      </c>
      <c r="V4011" t="n">
        <v>30</v>
      </c>
      <c r="W4011" t="n">
        <v>3</v>
      </c>
      <c r="X4011" t="n">
        <v>27.47252747252747</v>
      </c>
      <c r="Y4011" t="n">
        <v>1</v>
      </c>
      <c r="Z4011" t="n">
        <v>1</v>
      </c>
      <c r="AA4011" t="n">
        <v>0</v>
      </c>
      <c r="AB4011" t="n">
        <v>1</v>
      </c>
      <c r="AC4011" t="n">
        <v>3</v>
      </c>
      <c r="AD4011" t="n">
        <v>0</v>
      </c>
      <c r="AE4011" t="n">
        <v>58503</v>
      </c>
      <c r="AF4011" t="n">
        <v>11715</v>
      </c>
      <c r="AG4011" t="n">
        <v>63</v>
      </c>
      <c r="AH4011" t="inlineStr">
        <is>
          <t>PT. PARAMA GLOBAL INSPIRA - PPN (PDG)</t>
        </is>
      </c>
      <c r="AI4011" t="n">
        <v>563</v>
      </c>
      <c r="AJ4011" t="inlineStr">
        <is>
          <t>OMG</t>
        </is>
      </c>
      <c r="AK4011" t="n">
        <v>21</v>
      </c>
      <c r="AL4011" t="inlineStr">
        <is>
          <t>Miss Glam Damar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OMG</t>
        </is>
      </c>
      <c r="B4012" s="2">
        <f>"20300449539"</f>
        <v/>
      </c>
      <c r="C4012" t="inlineStr">
        <is>
          <t>OMG OH MY GLAM Colorlast Lip Vinyl 01 Perfect Match 2.5gr</t>
        </is>
      </c>
      <c r="D4012" t="inlineStr">
        <is>
          <t>Miss Glam Damar</t>
        </is>
      </c>
      <c r="E4012" t="n">
        <v>25</v>
      </c>
      <c r="F4012" t="n">
        <v>0.9282</v>
      </c>
      <c r="G4012" t="n">
        <v>5.46</v>
      </c>
      <c r="H4012" t="n">
        <v>2</v>
      </c>
      <c r="I4012" t="n">
        <v>6</v>
      </c>
      <c r="J4012" t="n">
        <v>1</v>
      </c>
      <c r="K4012" t="n">
        <v>0</v>
      </c>
      <c r="L4012" t="n">
        <v>28152</v>
      </c>
      <c r="M4012" t="n">
        <v>36000</v>
      </c>
      <c r="N4012" t="n">
        <v>91</v>
      </c>
      <c r="O4012" t="n">
        <v>0.91</v>
      </c>
      <c r="P4012" t="n">
        <v>1</v>
      </c>
      <c r="Q4012" t="n">
        <v>0.64</v>
      </c>
      <c r="R4012" t="n">
        <v>3</v>
      </c>
      <c r="S4012" t="n">
        <v>33415.2</v>
      </c>
      <c r="T4012" t="n">
        <v>31</v>
      </c>
      <c r="U4012" t="n">
        <v>33</v>
      </c>
      <c r="V4012" t="n">
        <v>30</v>
      </c>
      <c r="W4012" t="n">
        <v>28</v>
      </c>
      <c r="X4012" t="n">
        <v>26.93385046326223</v>
      </c>
      <c r="Y4012" t="n">
        <v>1</v>
      </c>
      <c r="Z4012" t="n">
        <v>3</v>
      </c>
      <c r="AA4012" t="n">
        <v>0</v>
      </c>
      <c r="AB4012" t="n">
        <v>3</v>
      </c>
      <c r="AC4012" t="n">
        <v>3</v>
      </c>
      <c r="AD4012" t="n">
        <v>0</v>
      </c>
      <c r="AE4012" t="n">
        <v>84456</v>
      </c>
      <c r="AF4012" t="n">
        <v>11715</v>
      </c>
      <c r="AG4012" t="n">
        <v>63</v>
      </c>
      <c r="AH4012" t="inlineStr">
        <is>
          <t>PT. PARAMA GLOBAL INSPIRA - PPN (PDG)</t>
        </is>
      </c>
      <c r="AI4012" t="n">
        <v>563</v>
      </c>
      <c r="AJ4012" t="inlineStr">
        <is>
          <t>OMG</t>
        </is>
      </c>
      <c r="AK4012" t="n">
        <v>21</v>
      </c>
      <c r="AL4012" t="inlineStr">
        <is>
          <t>Miss Glam Damar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OMG</t>
        </is>
      </c>
      <c r="B4013" s="2">
        <f>"20300449616"</f>
        <v/>
      </c>
      <c r="C4013" t="inlineStr">
        <is>
          <t>OMG OH MY GLAM Colorlast Lip Vinyl 03 Diva 2.5gr</t>
        </is>
      </c>
      <c r="D4013" t="inlineStr">
        <is>
          <t>Miss Glam Damar</t>
        </is>
      </c>
      <c r="E4013" t="n">
        <v>52</v>
      </c>
      <c r="F4013" t="n">
        <v>1.4924</v>
      </c>
      <c r="G4013" t="n">
        <v>6.37</v>
      </c>
      <c r="H4013" t="n">
        <v>2</v>
      </c>
      <c r="I4013" t="n">
        <v>6</v>
      </c>
      <c r="J4013" t="n">
        <v>1</v>
      </c>
      <c r="K4013" t="n">
        <v>0</v>
      </c>
      <c r="L4013" t="n">
        <v>28152</v>
      </c>
      <c r="M4013" t="n">
        <v>36000</v>
      </c>
      <c r="N4013" t="n">
        <v>91</v>
      </c>
      <c r="O4013" t="n">
        <v>0.91</v>
      </c>
      <c r="P4013" t="n">
        <v>1</v>
      </c>
      <c r="Q4013" t="n">
        <v>1.44</v>
      </c>
      <c r="R4013" t="n">
        <v>7</v>
      </c>
      <c r="S4013" t="n">
        <v>53726.4</v>
      </c>
      <c r="T4013" t="n">
        <v>36</v>
      </c>
      <c r="U4013" t="n">
        <v>39</v>
      </c>
      <c r="V4013" t="n">
        <v>30</v>
      </c>
      <c r="W4013" t="n">
        <v>45</v>
      </c>
      <c r="X4013" t="n">
        <v>34.84320557491289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11715</v>
      </c>
      <c r="AG4013" t="n">
        <v>63</v>
      </c>
      <c r="AH4013" t="inlineStr">
        <is>
          <t>PT. PARAMA GLOBAL INSPIRA - PPN (PDG)</t>
        </is>
      </c>
      <c r="AI4013" t="n">
        <v>563</v>
      </c>
      <c r="AJ4013" t="inlineStr">
        <is>
          <t>OMG</t>
        </is>
      </c>
      <c r="AK4013" t="n">
        <v>21</v>
      </c>
      <c r="AL4013" t="inlineStr">
        <is>
          <t>Miss Glam Damar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OMG</t>
        </is>
      </c>
      <c r="B4014" s="2">
        <f>"20100462554"</f>
        <v/>
      </c>
      <c r="C4014" t="inlineStr">
        <is>
          <t>OMG Oh My Glam Coverlast Cushion 13C Ivory 15gr</t>
        </is>
      </c>
      <c r="D4014" t="inlineStr">
        <is>
          <t>Miss Glam Damar</t>
        </is>
      </c>
      <c r="E4014" t="n">
        <v>11</v>
      </c>
      <c r="F4014" t="n">
        <v>0.5369</v>
      </c>
      <c r="G4014" t="n">
        <v>2.73</v>
      </c>
      <c r="H4014" t="n">
        <v>2</v>
      </c>
      <c r="I4014" t="n">
        <v>6</v>
      </c>
      <c r="J4014" t="n">
        <v>3</v>
      </c>
      <c r="K4014" t="n">
        <v>0</v>
      </c>
      <c r="L4014" t="n">
        <v>52393</v>
      </c>
      <c r="M4014" t="n">
        <v>65000</v>
      </c>
      <c r="N4014" t="n">
        <v>91</v>
      </c>
      <c r="O4014" t="n">
        <v>0.91</v>
      </c>
      <c r="P4014" t="n">
        <v>1</v>
      </c>
      <c r="Q4014" t="n">
        <v>0.5600000000000001</v>
      </c>
      <c r="R4014" t="n">
        <v>3</v>
      </c>
      <c r="S4014" t="n">
        <v>34898.5</v>
      </c>
      <c r="T4014" t="n">
        <v>16</v>
      </c>
      <c r="U4014" t="n">
        <v>18</v>
      </c>
      <c r="V4014" t="n">
        <v>30</v>
      </c>
      <c r="W4014" t="n">
        <v>17</v>
      </c>
      <c r="X4014" t="n">
        <v>20.4879865896815</v>
      </c>
      <c r="Y4014" t="n">
        <v>1</v>
      </c>
      <c r="Z4014" t="n">
        <v>6</v>
      </c>
      <c r="AA4014" t="n">
        <v>0</v>
      </c>
      <c r="AB4014" t="n">
        <v>6</v>
      </c>
      <c r="AC4014" t="n">
        <v>6</v>
      </c>
      <c r="AD4014" t="n">
        <v>0</v>
      </c>
      <c r="AE4014" t="n">
        <v>314358</v>
      </c>
      <c r="AF4014" t="n">
        <v>11715</v>
      </c>
      <c r="AG4014" t="n">
        <v>63</v>
      </c>
      <c r="AH4014" t="inlineStr">
        <is>
          <t>PT. PARAMA GLOBAL INSPIRA - PPN (PDG)</t>
        </is>
      </c>
      <c r="AI4014" t="n">
        <v>563</v>
      </c>
      <c r="AJ4014" t="inlineStr">
        <is>
          <t>OMG</t>
        </is>
      </c>
      <c r="AK4014" t="n">
        <v>21</v>
      </c>
      <c r="AL4014" t="inlineStr">
        <is>
          <t>Miss Glam Damar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OMG</t>
        </is>
      </c>
      <c r="B4015" s="2">
        <f>"20100462654"</f>
        <v/>
      </c>
      <c r="C4015" t="inlineStr">
        <is>
          <t>OMG Oh My Glam Coverlast Cushion 21W Light 15gr</t>
        </is>
      </c>
      <c r="D4015" t="inlineStr">
        <is>
          <t>Miss Glam Damar</t>
        </is>
      </c>
      <c r="E4015" t="n">
        <v>16</v>
      </c>
      <c r="F4015" t="n">
        <v>1.5379</v>
      </c>
      <c r="G4015" t="n">
        <v>4.55</v>
      </c>
      <c r="H4015" t="n">
        <v>2</v>
      </c>
      <c r="I4015" t="n">
        <v>6</v>
      </c>
      <c r="J4015" t="n">
        <v>3</v>
      </c>
      <c r="K4015" t="n">
        <v>0</v>
      </c>
      <c r="L4015" t="n">
        <v>52376</v>
      </c>
      <c r="M4015" t="n">
        <v>65000</v>
      </c>
      <c r="N4015" t="n">
        <v>91</v>
      </c>
      <c r="O4015" t="n">
        <v>0.91</v>
      </c>
      <c r="P4015" t="n">
        <v>1</v>
      </c>
      <c r="Q4015" t="n">
        <v>1.12</v>
      </c>
      <c r="R4015" t="n">
        <v>5</v>
      </c>
      <c r="S4015" t="n">
        <v>99963.5</v>
      </c>
      <c r="T4015" t="n">
        <v>25</v>
      </c>
      <c r="U4015" t="n">
        <v>29</v>
      </c>
      <c r="V4015" t="n">
        <v>30</v>
      </c>
      <c r="W4015" t="n">
        <v>47</v>
      </c>
      <c r="X4015" t="n">
        <v>10.40379738604591</v>
      </c>
      <c r="Y4015" t="n">
        <v>1</v>
      </c>
      <c r="Z4015" t="n">
        <v>31</v>
      </c>
      <c r="AA4015" t="n">
        <v>0</v>
      </c>
      <c r="AB4015" t="n">
        <v>31</v>
      </c>
      <c r="AC4015" t="n">
        <v>31</v>
      </c>
      <c r="AD4015" t="n">
        <v>0</v>
      </c>
      <c r="AE4015" t="n">
        <v>1623656</v>
      </c>
      <c r="AF4015" t="n">
        <v>11715</v>
      </c>
      <c r="AG4015" t="n">
        <v>63</v>
      </c>
      <c r="AH4015" t="inlineStr">
        <is>
          <t>PT. PARAMA GLOBAL INSPIRA - PPN (PDG)</t>
        </is>
      </c>
      <c r="AI4015" t="n">
        <v>563</v>
      </c>
      <c r="AJ4015" t="inlineStr">
        <is>
          <t>OMG</t>
        </is>
      </c>
      <c r="AK4015" t="n">
        <v>21</v>
      </c>
      <c r="AL4015" t="inlineStr">
        <is>
          <t>Miss Glam Damar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OMG</t>
        </is>
      </c>
      <c r="B4016" s="2">
        <f>"20100462723"</f>
        <v/>
      </c>
      <c r="C4016" t="inlineStr">
        <is>
          <t>OMG Oh My Glam Coverlast Cushion 31W Beige 15gr</t>
        </is>
      </c>
      <c r="D4016" t="inlineStr">
        <is>
          <t>Miss Glam Damar</t>
        </is>
      </c>
      <c r="E4016" t="n">
        <v>21</v>
      </c>
      <c r="F4016" t="n">
        <v>1.3923</v>
      </c>
      <c r="G4016" t="n">
        <v>5.46</v>
      </c>
      <c r="H4016" t="n">
        <v>2</v>
      </c>
      <c r="I4016" t="n">
        <v>6</v>
      </c>
      <c r="J4016" t="n">
        <v>3</v>
      </c>
      <c r="K4016" t="n">
        <v>0</v>
      </c>
      <c r="L4016" t="n">
        <v>52394</v>
      </c>
      <c r="M4016" t="n">
        <v>65000</v>
      </c>
      <c r="N4016" t="n">
        <v>91</v>
      </c>
      <c r="O4016" t="n">
        <v>0.91</v>
      </c>
      <c r="P4016" t="n">
        <v>1</v>
      </c>
      <c r="Q4016" t="n">
        <v>1.24</v>
      </c>
      <c r="R4016" t="n">
        <v>8</v>
      </c>
      <c r="S4016" t="n">
        <v>90499.5</v>
      </c>
      <c r="T4016" t="n">
        <v>30</v>
      </c>
      <c r="U4016" t="n">
        <v>33</v>
      </c>
      <c r="V4016" t="n">
        <v>30</v>
      </c>
      <c r="W4016" t="n">
        <v>42</v>
      </c>
      <c r="X4016" t="n">
        <v>15.08295625942685</v>
      </c>
      <c r="Y4016" t="n">
        <v>1</v>
      </c>
      <c r="Z4016" t="n">
        <v>21</v>
      </c>
      <c r="AA4016" t="n">
        <v>0</v>
      </c>
      <c r="AB4016" t="n">
        <v>21</v>
      </c>
      <c r="AC4016" t="n">
        <v>21</v>
      </c>
      <c r="AD4016" t="n">
        <v>0</v>
      </c>
      <c r="AE4016" t="n">
        <v>1100274</v>
      </c>
      <c r="AF4016" t="n">
        <v>11715</v>
      </c>
      <c r="AG4016" t="n">
        <v>63</v>
      </c>
      <c r="AH4016" t="inlineStr">
        <is>
          <t>PT. PARAMA GLOBAL INSPIRA - PPN (PDG)</t>
        </is>
      </c>
      <c r="AI4016" t="n">
        <v>563</v>
      </c>
      <c r="AJ4016" t="inlineStr">
        <is>
          <t>OMG</t>
        </is>
      </c>
      <c r="AK4016" t="n">
        <v>21</v>
      </c>
      <c r="AL4016" t="inlineStr">
        <is>
          <t>Miss Glam Damar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OMG</t>
        </is>
      </c>
      <c r="B4017" s="2">
        <f>"20100462859"</f>
        <v/>
      </c>
      <c r="C4017" t="inlineStr">
        <is>
          <t>OMG Oh My Glam Coverlast Cushion 32N Natural 15gr</t>
        </is>
      </c>
      <c r="D4017" t="inlineStr">
        <is>
          <t>Miss Glam Damar</t>
        </is>
      </c>
      <c r="E4017" t="n">
        <v>34</v>
      </c>
      <c r="F4017" t="n">
        <v>2.8028</v>
      </c>
      <c r="G4017" t="n">
        <v>8.19</v>
      </c>
      <c r="H4017" t="n">
        <v>2</v>
      </c>
      <c r="I4017" t="n">
        <v>6</v>
      </c>
      <c r="J4017" t="n">
        <v>3</v>
      </c>
      <c r="K4017" t="n">
        <v>0</v>
      </c>
      <c r="L4017" t="n">
        <v>52393</v>
      </c>
      <c r="M4017" t="n">
        <v>65000</v>
      </c>
      <c r="N4017" t="n">
        <v>91</v>
      </c>
      <c r="O4017" t="n">
        <v>0.91</v>
      </c>
      <c r="P4017" t="n">
        <v>1</v>
      </c>
      <c r="Q4017" t="n">
        <v>1.46</v>
      </c>
      <c r="R4017" t="n">
        <v>6</v>
      </c>
      <c r="S4017" t="n">
        <v>182182</v>
      </c>
      <c r="T4017" t="n">
        <v>44</v>
      </c>
      <c r="U4017" t="n">
        <v>50</v>
      </c>
      <c r="V4017" t="n">
        <v>30</v>
      </c>
      <c r="W4017" t="n">
        <v>85</v>
      </c>
      <c r="X4017" t="n">
        <v>12.1307264164407</v>
      </c>
      <c r="Y4017" t="n">
        <v>1</v>
      </c>
      <c r="Z4017" t="n">
        <v>51</v>
      </c>
      <c r="AA4017" t="n">
        <v>0</v>
      </c>
      <c r="AB4017" t="n">
        <v>51</v>
      </c>
      <c r="AC4017" t="n">
        <v>51</v>
      </c>
      <c r="AD4017" t="n">
        <v>0</v>
      </c>
      <c r="AE4017" t="n">
        <v>2672043</v>
      </c>
      <c r="AF4017" t="n">
        <v>11715</v>
      </c>
      <c r="AG4017" t="n">
        <v>63</v>
      </c>
      <c r="AH4017" t="inlineStr">
        <is>
          <t>PT. PARAMA GLOBAL INSPIRA - PPN (PDG)</t>
        </is>
      </c>
      <c r="AI4017" t="n">
        <v>563</v>
      </c>
      <c r="AJ4017" t="inlineStr">
        <is>
          <t>OMG</t>
        </is>
      </c>
      <c r="AK4017" t="n">
        <v>21</v>
      </c>
      <c r="AL4017" t="inlineStr">
        <is>
          <t>Miss Glam Damar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OMG</t>
        </is>
      </c>
      <c r="B4018" s="2">
        <f>"20100462915"</f>
        <v/>
      </c>
      <c r="C4018" t="inlineStr">
        <is>
          <t>OMG Oh My Glam Coverlast Cushion 41W Sand 15gr</t>
        </is>
      </c>
      <c r="D4018" t="inlineStr">
        <is>
          <t>Miss Glam Damar</t>
        </is>
      </c>
      <c r="E4018" t="n">
        <v>26</v>
      </c>
      <c r="F4018" t="n">
        <v>1.1102</v>
      </c>
      <c r="G4018" t="n">
        <v>3.64</v>
      </c>
      <c r="H4018" t="n">
        <v>2</v>
      </c>
      <c r="I4018" t="n">
        <v>6</v>
      </c>
      <c r="J4018" t="n">
        <v>3</v>
      </c>
      <c r="K4018" t="n">
        <v>0</v>
      </c>
      <c r="L4018" t="n">
        <v>52394</v>
      </c>
      <c r="M4018" t="n">
        <v>65000</v>
      </c>
      <c r="N4018" t="n">
        <v>91</v>
      </c>
      <c r="O4018" t="n">
        <v>0.91</v>
      </c>
      <c r="P4018" t="n">
        <v>1</v>
      </c>
      <c r="Q4018" t="n">
        <v>0.88</v>
      </c>
      <c r="R4018" t="n">
        <v>3</v>
      </c>
      <c r="S4018" t="n">
        <v>72163</v>
      </c>
      <c r="T4018" t="n">
        <v>20</v>
      </c>
      <c r="U4018" t="n">
        <v>23</v>
      </c>
      <c r="V4018" t="n">
        <v>30</v>
      </c>
      <c r="W4018" t="n">
        <v>34</v>
      </c>
      <c r="X4018" t="n">
        <v>23.4192037470726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11715</v>
      </c>
      <c r="AG4018" t="n">
        <v>63</v>
      </c>
      <c r="AH4018" t="inlineStr">
        <is>
          <t>PT. PARAMA GLOBAL INSPIRA - PPN (PDG)</t>
        </is>
      </c>
      <c r="AI4018" t="n">
        <v>563</v>
      </c>
      <c r="AJ4018" t="inlineStr">
        <is>
          <t>OMG</t>
        </is>
      </c>
      <c r="AK4018" t="n">
        <v>21</v>
      </c>
      <c r="AL4018" t="inlineStr">
        <is>
          <t>Miss Glam Damar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OMG</t>
        </is>
      </c>
      <c r="B4019" s="2">
        <f>"20100463024"</f>
        <v/>
      </c>
      <c r="C4019" t="inlineStr">
        <is>
          <t>OMG Oh My Glam Coverlast Cushion 50N Creme 15gr</t>
        </is>
      </c>
      <c r="D4019" t="inlineStr">
        <is>
          <t>Miss Glam Damar</t>
        </is>
      </c>
      <c r="E4019" t="n">
        <v>8</v>
      </c>
      <c r="F4019" t="n">
        <v>0.1365</v>
      </c>
      <c r="G4019" t="n">
        <v>0.91</v>
      </c>
      <c r="H4019" t="n">
        <v>2</v>
      </c>
      <c r="I4019" t="n">
        <v>6</v>
      </c>
      <c r="J4019" t="n">
        <v>3</v>
      </c>
      <c r="K4019" t="n">
        <v>0</v>
      </c>
      <c r="L4019" t="n">
        <v>52963</v>
      </c>
      <c r="M4019" t="n">
        <v>65000</v>
      </c>
      <c r="N4019" t="n">
        <v>91</v>
      </c>
      <c r="O4019" t="n">
        <v>0.91</v>
      </c>
      <c r="P4019" t="n">
        <v>1</v>
      </c>
      <c r="Q4019" t="n">
        <v>0.2</v>
      </c>
      <c r="R4019" t="n">
        <v>2</v>
      </c>
      <c r="S4019" t="n">
        <v>8872.5</v>
      </c>
      <c r="T4019" t="n">
        <v>6</v>
      </c>
      <c r="U4019" t="n">
        <v>7</v>
      </c>
      <c r="V4019" t="n">
        <v>30</v>
      </c>
      <c r="W4019" t="n">
        <v>5</v>
      </c>
      <c r="X4019" t="n">
        <v>58.60805860805861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11715</v>
      </c>
      <c r="AG4019" t="n">
        <v>63</v>
      </c>
      <c r="AH4019" t="inlineStr">
        <is>
          <t>PT. PARAMA GLOBAL INSPIRA - PPN (PDG)</t>
        </is>
      </c>
      <c r="AI4019" t="n">
        <v>563</v>
      </c>
      <c r="AJ4019" t="inlineStr">
        <is>
          <t>OMG</t>
        </is>
      </c>
      <c r="AK4019" t="n">
        <v>21</v>
      </c>
      <c r="AL4019" t="inlineStr">
        <is>
          <t>Miss Glam Damar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OMG</t>
        </is>
      </c>
      <c r="B4020" s="2">
        <f>"8993137718998"</f>
        <v/>
      </c>
      <c r="C4020" t="inlineStr">
        <is>
          <t>OMG Oh My Glam Coverlast Liquid Foundation 13 C Ivory 25ml</t>
        </is>
      </c>
      <c r="D4020" t="inlineStr">
        <is>
          <t>Miss Glam Damar</t>
        </is>
      </c>
      <c r="E4020" t="n">
        <v>19</v>
      </c>
      <c r="F4020" t="n">
        <v>1.1557</v>
      </c>
      <c r="G4020" t="n">
        <v>4.55</v>
      </c>
      <c r="H4020" t="n">
        <v>2</v>
      </c>
      <c r="I4020" t="n">
        <v>6</v>
      </c>
      <c r="J4020" t="n">
        <v>3</v>
      </c>
      <c r="K4020" t="n">
        <v>0</v>
      </c>
      <c r="L4020" t="n">
        <v>16813</v>
      </c>
      <c r="M4020" t="n">
        <v>17500</v>
      </c>
      <c r="N4020" t="n">
        <v>91</v>
      </c>
      <c r="O4020" t="n">
        <v>0.91</v>
      </c>
      <c r="P4020" t="n">
        <v>1</v>
      </c>
      <c r="Q4020" t="n">
        <v>1.02</v>
      </c>
      <c r="R4020" t="n">
        <v>4</v>
      </c>
      <c r="S4020" t="n">
        <v>20224.75</v>
      </c>
      <c r="T4020" t="n">
        <v>25</v>
      </c>
      <c r="U4020" t="n">
        <v>28</v>
      </c>
      <c r="V4020" t="n">
        <v>30</v>
      </c>
      <c r="W4020" t="n">
        <v>35</v>
      </c>
      <c r="X4020" t="n">
        <v>16.4402526607251</v>
      </c>
      <c r="Y4020" t="n">
        <v>1</v>
      </c>
      <c r="Z4020" t="n">
        <v>16</v>
      </c>
      <c r="AA4020" t="n">
        <v>0</v>
      </c>
      <c r="AB4020" t="n">
        <v>16</v>
      </c>
      <c r="AC4020" t="n">
        <v>16</v>
      </c>
      <c r="AD4020" t="n">
        <v>0</v>
      </c>
      <c r="AE4020" t="n">
        <v>269008</v>
      </c>
      <c r="AF4020" t="n">
        <v>11715</v>
      </c>
      <c r="AG4020" t="n">
        <v>63</v>
      </c>
      <c r="AH4020" t="inlineStr">
        <is>
          <t>PT. PARAMA GLOBAL INSPIRA - PPN (PDG)</t>
        </is>
      </c>
      <c r="AI4020" t="n">
        <v>563</v>
      </c>
      <c r="AJ4020" t="inlineStr">
        <is>
          <t>OMG</t>
        </is>
      </c>
      <c r="AK4020" t="n">
        <v>21</v>
      </c>
      <c r="AL4020" t="inlineStr">
        <is>
          <t>Miss Glam Damar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OMG</t>
        </is>
      </c>
      <c r="B4021" s="2">
        <f>"8993137719001"</f>
        <v/>
      </c>
      <c r="C4021" t="inlineStr">
        <is>
          <t>OMG Oh My Glam Coverlast Liquid Foundation 21 W Light 25ml</t>
        </is>
      </c>
      <c r="D4021" t="inlineStr">
        <is>
          <t>Miss Glam Damar</t>
        </is>
      </c>
      <c r="E4021" t="n">
        <v>31</v>
      </c>
      <c r="F4021" t="n">
        <v>1.7927</v>
      </c>
      <c r="G4021" t="n">
        <v>6.37</v>
      </c>
      <c r="H4021" t="n">
        <v>2</v>
      </c>
      <c r="I4021" t="n">
        <v>6</v>
      </c>
      <c r="J4021" t="n">
        <v>3</v>
      </c>
      <c r="K4021" t="n">
        <v>0</v>
      </c>
      <c r="L4021" t="n">
        <v>16813</v>
      </c>
      <c r="M4021" t="n">
        <v>17500</v>
      </c>
      <c r="N4021" t="n">
        <v>91</v>
      </c>
      <c r="O4021" t="n">
        <v>0.91</v>
      </c>
      <c r="P4021" t="n">
        <v>1</v>
      </c>
      <c r="Q4021" t="n">
        <v>1.36</v>
      </c>
      <c r="R4021" t="n">
        <v>5</v>
      </c>
      <c r="S4021" t="n">
        <v>31372.25</v>
      </c>
      <c r="T4021" t="n">
        <v>35</v>
      </c>
      <c r="U4021" t="n">
        <v>39</v>
      </c>
      <c r="V4021" t="n">
        <v>30</v>
      </c>
      <c r="W4021" t="n">
        <v>54</v>
      </c>
      <c r="X4021" t="n">
        <v>17.29235231773303</v>
      </c>
      <c r="Y4021" t="n">
        <v>1</v>
      </c>
      <c r="Z4021" t="n">
        <v>23</v>
      </c>
      <c r="AA4021" t="n">
        <v>0</v>
      </c>
      <c r="AB4021" t="n">
        <v>23</v>
      </c>
      <c r="AC4021" t="n">
        <v>23</v>
      </c>
      <c r="AD4021" t="n">
        <v>0</v>
      </c>
      <c r="AE4021" t="n">
        <v>386699</v>
      </c>
      <c r="AF4021" t="n">
        <v>11715</v>
      </c>
      <c r="AG4021" t="n">
        <v>63</v>
      </c>
      <c r="AH4021" t="inlineStr">
        <is>
          <t>PT. PARAMA GLOBAL INSPIRA - PPN (PDG)</t>
        </is>
      </c>
      <c r="AI4021" t="n">
        <v>563</v>
      </c>
      <c r="AJ4021" t="inlineStr">
        <is>
          <t>OMG</t>
        </is>
      </c>
      <c r="AK4021" t="n">
        <v>21</v>
      </c>
      <c r="AL4021" t="inlineStr">
        <is>
          <t>Miss Glam Damar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OMG</t>
        </is>
      </c>
      <c r="B4022" s="2">
        <f>"8993137719025"</f>
        <v/>
      </c>
      <c r="C4022" t="inlineStr">
        <is>
          <t>OMG Oh My Glam Coverlast Liquid Foundation 32 N Natural 25ml</t>
        </is>
      </c>
      <c r="D4022" t="inlineStr">
        <is>
          <t>Miss Glam Damar</t>
        </is>
      </c>
      <c r="E4022" t="n">
        <v>81</v>
      </c>
      <c r="F4022" t="n">
        <v>4.6774</v>
      </c>
      <c r="G4022" t="n">
        <v>12.74</v>
      </c>
      <c r="H4022" t="n">
        <v>2</v>
      </c>
      <c r="I4022" t="n">
        <v>6</v>
      </c>
      <c r="J4022" t="n">
        <v>3</v>
      </c>
      <c r="K4022" t="n">
        <v>0</v>
      </c>
      <c r="L4022" t="n">
        <v>16812</v>
      </c>
      <c r="M4022" t="n">
        <v>17500</v>
      </c>
      <c r="N4022" t="n">
        <v>91</v>
      </c>
      <c r="O4022" t="n">
        <v>0.91</v>
      </c>
      <c r="P4022" t="n">
        <v>1</v>
      </c>
      <c r="Q4022" t="n">
        <v>3.2</v>
      </c>
      <c r="R4022" t="n">
        <v>14</v>
      </c>
      <c r="S4022" t="n">
        <v>81854.49999999999</v>
      </c>
      <c r="T4022" t="n">
        <v>68</v>
      </c>
      <c r="U4022" t="n">
        <v>78</v>
      </c>
      <c r="V4022" t="n">
        <v>30</v>
      </c>
      <c r="W4022" t="n">
        <v>141</v>
      </c>
      <c r="X4022" t="n">
        <v>17.3173130371574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11715</v>
      </c>
      <c r="AG4022" t="n">
        <v>63</v>
      </c>
      <c r="AH4022" t="inlineStr">
        <is>
          <t>PT. PARAMA GLOBAL INSPIRA - PPN (PDG)</t>
        </is>
      </c>
      <c r="AI4022" t="n">
        <v>563</v>
      </c>
      <c r="AJ4022" t="inlineStr">
        <is>
          <t>OMG</t>
        </is>
      </c>
      <c r="AK4022" t="n">
        <v>21</v>
      </c>
      <c r="AL4022" t="inlineStr">
        <is>
          <t>Miss Glam Damar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OMG</t>
        </is>
      </c>
      <c r="B4023" s="2">
        <f>"8993137719032"</f>
        <v/>
      </c>
      <c r="C4023" t="inlineStr">
        <is>
          <t>OMG Oh My Glam Coverlast Liquid Foundation 41 W Sand 25ml</t>
        </is>
      </c>
      <c r="D4023" t="inlineStr">
        <is>
          <t>Miss Glam Damar</t>
        </is>
      </c>
      <c r="E4023" t="n">
        <v>21</v>
      </c>
      <c r="F4023" t="n">
        <v>1.3377</v>
      </c>
      <c r="G4023" t="n">
        <v>4.55</v>
      </c>
      <c r="H4023" t="n">
        <v>2</v>
      </c>
      <c r="I4023" t="n">
        <v>6</v>
      </c>
      <c r="J4023" t="n">
        <v>3</v>
      </c>
      <c r="K4023" t="n">
        <v>0</v>
      </c>
      <c r="L4023" t="n">
        <v>16811</v>
      </c>
      <c r="M4023" t="n">
        <v>17500</v>
      </c>
      <c r="N4023" t="n">
        <v>91</v>
      </c>
      <c r="O4023" t="n">
        <v>0.91</v>
      </c>
      <c r="P4023" t="n">
        <v>1</v>
      </c>
      <c r="Q4023" t="n">
        <v>1.12</v>
      </c>
      <c r="R4023" t="n">
        <v>4</v>
      </c>
      <c r="S4023" t="n">
        <v>23409.75</v>
      </c>
      <c r="T4023" t="n">
        <v>25</v>
      </c>
      <c r="U4023" t="n">
        <v>28</v>
      </c>
      <c r="V4023" t="n">
        <v>30</v>
      </c>
      <c r="W4023" t="n">
        <v>41</v>
      </c>
      <c r="X4023" t="n">
        <v>15.69858712715855</v>
      </c>
      <c r="Y4023" t="n">
        <v>1</v>
      </c>
      <c r="Z4023" t="n">
        <v>20</v>
      </c>
      <c r="AA4023" t="n">
        <v>0</v>
      </c>
      <c r="AB4023" t="n">
        <v>20</v>
      </c>
      <c r="AC4023" t="n">
        <v>20</v>
      </c>
      <c r="AD4023" t="n">
        <v>0</v>
      </c>
      <c r="AE4023" t="n">
        <v>336220</v>
      </c>
      <c r="AF4023" t="n">
        <v>11715</v>
      </c>
      <c r="AG4023" t="n">
        <v>63</v>
      </c>
      <c r="AH4023" t="inlineStr">
        <is>
          <t>PT. PARAMA GLOBAL INSPIRA - PPN (PDG)</t>
        </is>
      </c>
      <c r="AI4023" t="n">
        <v>563</v>
      </c>
      <c r="AJ4023" t="inlineStr">
        <is>
          <t>OMG</t>
        </is>
      </c>
      <c r="AK4023" t="n">
        <v>21</v>
      </c>
      <c r="AL4023" t="inlineStr">
        <is>
          <t>Miss Glam Damar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OMG</t>
        </is>
      </c>
      <c r="B4024" s="2">
        <f>"8993137719049"</f>
        <v/>
      </c>
      <c r="C4024" t="inlineStr">
        <is>
          <t>OMG Oh My Glam Coverlast Liquid Foundation 52 N Caramel 25ml</t>
        </is>
      </c>
      <c r="D4024" t="inlineStr">
        <is>
          <t>Miss Glam Damar</t>
        </is>
      </c>
      <c r="E4024" t="n">
        <v>1</v>
      </c>
      <c r="F4024" t="n">
        <v>0.3185</v>
      </c>
      <c r="G4024" t="n">
        <v>1.82</v>
      </c>
      <c r="H4024" t="n">
        <v>2</v>
      </c>
      <c r="I4024" t="n">
        <v>6</v>
      </c>
      <c r="J4024" t="n">
        <v>3</v>
      </c>
      <c r="K4024" t="n">
        <v>0</v>
      </c>
      <c r="L4024" t="n">
        <v>16769</v>
      </c>
      <c r="M4024" t="n">
        <v>17500</v>
      </c>
      <c r="N4024" t="n">
        <v>91</v>
      </c>
      <c r="O4024" t="n">
        <v>0.91</v>
      </c>
      <c r="P4024" t="n">
        <v>1</v>
      </c>
      <c r="Q4024" t="n">
        <v>0.29</v>
      </c>
      <c r="R4024" t="n">
        <v>3</v>
      </c>
      <c r="S4024" t="n">
        <v>5573.75</v>
      </c>
      <c r="T4024" t="n">
        <v>11</v>
      </c>
      <c r="U4024" t="n">
        <v>12</v>
      </c>
      <c r="V4024" t="n">
        <v>30</v>
      </c>
      <c r="W4024" t="n">
        <v>10</v>
      </c>
      <c r="X4024" t="n">
        <v>3.139717425431711</v>
      </c>
      <c r="Y4024" t="n">
        <v>1</v>
      </c>
      <c r="Z4024" t="n">
        <v>9</v>
      </c>
      <c r="AA4024" t="n">
        <v>1</v>
      </c>
      <c r="AB4024" t="n">
        <v>8</v>
      </c>
      <c r="AC4024" t="n">
        <v>8</v>
      </c>
      <c r="AD4024" t="n">
        <v>16769</v>
      </c>
      <c r="AE4024" t="n">
        <v>134152</v>
      </c>
      <c r="AF4024" t="n">
        <v>11715</v>
      </c>
      <c r="AG4024" t="n">
        <v>63</v>
      </c>
      <c r="AH4024" t="inlineStr">
        <is>
          <t>PT. PARAMA GLOBAL INSPIRA - PPN (PDG)</t>
        </is>
      </c>
      <c r="AI4024" t="n">
        <v>563</v>
      </c>
      <c r="AJ4024" t="inlineStr">
        <is>
          <t>OMG</t>
        </is>
      </c>
      <c r="AK4024" t="n">
        <v>21</v>
      </c>
      <c r="AL4024" t="inlineStr">
        <is>
          <t>Miss Glam Damar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OMG</t>
        </is>
      </c>
      <c r="B4025" s="2">
        <f>"20100570020"</f>
        <v/>
      </c>
      <c r="C4025" t="inlineStr">
        <is>
          <t>OMG Oh My Glam Coverlast Two Way Cake 32N Natural 12gr TK</t>
        </is>
      </c>
      <c r="D4025" t="inlineStr">
        <is>
          <t>Miss Glam Damar</t>
        </is>
      </c>
      <c r="E4025" t="n">
        <v>112</v>
      </c>
      <c r="F4025" t="n">
        <v>8.899799999999999</v>
      </c>
      <c r="G4025" t="n">
        <v>17.29</v>
      </c>
      <c r="H4025" t="n">
        <v>2</v>
      </c>
      <c r="I4025" t="n">
        <v>6</v>
      </c>
      <c r="J4025" t="n">
        <v>3</v>
      </c>
      <c r="K4025" t="n">
        <v>0</v>
      </c>
      <c r="L4025" t="n">
        <v>19940</v>
      </c>
      <c r="M4025" t="n">
        <v>22000</v>
      </c>
      <c r="N4025" t="n">
        <v>91</v>
      </c>
      <c r="O4025" t="n">
        <v>0.91</v>
      </c>
      <c r="P4025" t="n">
        <v>1</v>
      </c>
      <c r="Q4025" t="n">
        <v>4.83</v>
      </c>
      <c r="R4025" t="n">
        <v>13</v>
      </c>
      <c r="S4025" t="n">
        <v>195795.6</v>
      </c>
      <c r="T4025" t="n">
        <v>86</v>
      </c>
      <c r="U4025" t="n">
        <v>104</v>
      </c>
      <c r="V4025" t="n">
        <v>30</v>
      </c>
      <c r="W4025" t="n">
        <v>267</v>
      </c>
      <c r="X4025" t="n">
        <v>12.58455246185308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11715</v>
      </c>
      <c r="AG4025" t="n">
        <v>63</v>
      </c>
      <c r="AH4025" t="inlineStr">
        <is>
          <t>PT. PARAMA GLOBAL INSPIRA - PPN (PDG)</t>
        </is>
      </c>
      <c r="AI4025" t="n">
        <v>563</v>
      </c>
      <c r="AJ4025" t="inlineStr">
        <is>
          <t>OMG</t>
        </is>
      </c>
      <c r="AK4025" t="n">
        <v>21</v>
      </c>
      <c r="AL4025" t="inlineStr">
        <is>
          <t>Miss Glam Damar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OMG</t>
        </is>
      </c>
      <c r="B4026" s="2">
        <f>"20101210429"</f>
        <v/>
      </c>
      <c r="C4026" t="inlineStr">
        <is>
          <t>OMG OH MY GLAM Fix &amp; Lock Matte Setting Spray 60ml</t>
        </is>
      </c>
      <c r="D4026" t="inlineStr">
        <is>
          <t>Miss Glam Damar</t>
        </is>
      </c>
      <c r="E4026" t="n">
        <v>32</v>
      </c>
      <c r="F4026" t="n">
        <v>1.9474</v>
      </c>
      <c r="G4026" t="n">
        <v>6.37</v>
      </c>
      <c r="H4026" t="n">
        <v>2</v>
      </c>
      <c r="I4026" t="n">
        <v>6</v>
      </c>
      <c r="J4026" t="n">
        <v>1</v>
      </c>
      <c r="K4026" t="n">
        <v>0</v>
      </c>
      <c r="L4026" t="n">
        <v>28934</v>
      </c>
      <c r="M4026" t="n">
        <v>37000</v>
      </c>
      <c r="N4026" t="n">
        <v>91</v>
      </c>
      <c r="O4026" t="n">
        <v>0.91</v>
      </c>
      <c r="P4026" t="n">
        <v>1</v>
      </c>
      <c r="Q4026" t="n">
        <v>1.41</v>
      </c>
      <c r="R4026" t="n">
        <v>7</v>
      </c>
      <c r="S4026" t="n">
        <v>72053.8</v>
      </c>
      <c r="T4026" t="n">
        <v>35</v>
      </c>
      <c r="U4026" t="n">
        <v>39</v>
      </c>
      <c r="V4026" t="n">
        <v>30</v>
      </c>
      <c r="W4026" t="n">
        <v>59</v>
      </c>
      <c r="X4026" t="n">
        <v>16.43216596487624</v>
      </c>
      <c r="Y4026" t="n">
        <v>1</v>
      </c>
      <c r="Z4026" t="n">
        <v>27</v>
      </c>
      <c r="AA4026" t="n">
        <v>0</v>
      </c>
      <c r="AB4026" t="n">
        <v>27</v>
      </c>
      <c r="AC4026" t="n">
        <v>27</v>
      </c>
      <c r="AD4026" t="n">
        <v>0</v>
      </c>
      <c r="AE4026" t="n">
        <v>781218</v>
      </c>
      <c r="AF4026" t="n">
        <v>11715</v>
      </c>
      <c r="AG4026" t="n">
        <v>63</v>
      </c>
      <c r="AH4026" t="inlineStr">
        <is>
          <t>PT. PARAMA GLOBAL INSPIRA - PPN (PDG)</t>
        </is>
      </c>
      <c r="AI4026" t="n">
        <v>563</v>
      </c>
      <c r="AJ4026" t="inlineStr">
        <is>
          <t>OMG</t>
        </is>
      </c>
      <c r="AK4026" t="n">
        <v>21</v>
      </c>
      <c r="AL4026" t="inlineStr">
        <is>
          <t>Miss Glam Damar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OMG</t>
        </is>
      </c>
      <c r="B4027" s="2">
        <f>"8997241850988"</f>
        <v/>
      </c>
      <c r="C4027" t="inlineStr">
        <is>
          <t>OMG Oh My Glam Glassy Lip Tin 01 Crepe 2gr</t>
        </is>
      </c>
      <c r="D4027" t="inlineStr">
        <is>
          <t>Miss Glam Damar</t>
        </is>
      </c>
      <c r="E4027" t="n">
        <v>29</v>
      </c>
      <c r="F4027" t="n">
        <v>1.638</v>
      </c>
      <c r="G4027" t="n">
        <v>4.55</v>
      </c>
      <c r="H4027" t="n">
        <v>2</v>
      </c>
      <c r="I4027" t="n">
        <v>6</v>
      </c>
      <c r="J4027" t="n">
        <v>3</v>
      </c>
      <c r="K4027" t="n">
        <v>0</v>
      </c>
      <c r="L4027" t="n">
        <v>17985</v>
      </c>
      <c r="M4027" t="n">
        <v>22000</v>
      </c>
      <c r="N4027" t="n">
        <v>91</v>
      </c>
      <c r="O4027" t="n">
        <v>0.91</v>
      </c>
      <c r="P4027" t="n">
        <v>1</v>
      </c>
      <c r="Q4027" t="n">
        <v>1.22</v>
      </c>
      <c r="R4027" t="n">
        <v>4</v>
      </c>
      <c r="S4027" t="n">
        <v>36036</v>
      </c>
      <c r="T4027" t="n">
        <v>25</v>
      </c>
      <c r="U4027" t="n">
        <v>29</v>
      </c>
      <c r="V4027" t="n">
        <v>30</v>
      </c>
      <c r="W4027" t="n">
        <v>50</v>
      </c>
      <c r="X4027" t="n">
        <v>17.7045177045177</v>
      </c>
      <c r="Y4027" t="n">
        <v>1</v>
      </c>
      <c r="Z4027" t="n">
        <v>21</v>
      </c>
      <c r="AA4027" t="n">
        <v>0</v>
      </c>
      <c r="AB4027" t="n">
        <v>21</v>
      </c>
      <c r="AC4027" t="n">
        <v>21</v>
      </c>
      <c r="AD4027" t="n">
        <v>0</v>
      </c>
      <c r="AE4027" t="n">
        <v>377685</v>
      </c>
      <c r="AF4027" t="n">
        <v>11715</v>
      </c>
      <c r="AG4027" t="n">
        <v>63</v>
      </c>
      <c r="AH4027" t="inlineStr">
        <is>
          <t>PT. PARAMA GLOBAL INSPIRA - PPN (PDG)</t>
        </is>
      </c>
      <c r="AI4027" t="n">
        <v>563</v>
      </c>
      <c r="AJ4027" t="inlineStr">
        <is>
          <t>OMG</t>
        </is>
      </c>
      <c r="AK4027" t="n">
        <v>21</v>
      </c>
      <c r="AL4027" t="inlineStr">
        <is>
          <t>Miss Glam Damar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OMG</t>
        </is>
      </c>
      <c r="B4028" s="2">
        <f>"8997241850995"</f>
        <v/>
      </c>
      <c r="C4028" t="inlineStr">
        <is>
          <t>OMG Oh My Glam Glassy Lip Tin 02 Siena 2gr</t>
        </is>
      </c>
      <c r="D4028" t="inlineStr">
        <is>
          <t>Miss Glam Damar</t>
        </is>
      </c>
      <c r="E4028" t="n">
        <v>34</v>
      </c>
      <c r="F4028" t="n">
        <v>2.2477</v>
      </c>
      <c r="G4028" t="n">
        <v>7.28</v>
      </c>
      <c r="H4028" t="n">
        <v>2</v>
      </c>
      <c r="I4028" t="n">
        <v>6</v>
      </c>
      <c r="J4028" t="n">
        <v>3</v>
      </c>
      <c r="K4028" t="n">
        <v>0</v>
      </c>
      <c r="L4028" t="n">
        <v>17985</v>
      </c>
      <c r="M4028" t="n">
        <v>22000</v>
      </c>
      <c r="N4028" t="n">
        <v>91</v>
      </c>
      <c r="O4028" t="n">
        <v>0.91</v>
      </c>
      <c r="P4028" t="n">
        <v>1</v>
      </c>
      <c r="Q4028" t="n">
        <v>1.41</v>
      </c>
      <c r="R4028" t="n">
        <v>4</v>
      </c>
      <c r="S4028" t="n">
        <v>49449.40000000001</v>
      </c>
      <c r="T4028" t="n">
        <v>40</v>
      </c>
      <c r="U4028" t="n">
        <v>45</v>
      </c>
      <c r="V4028" t="n">
        <v>30</v>
      </c>
      <c r="W4028" t="n">
        <v>68</v>
      </c>
      <c r="X4028" t="n">
        <v>15.12657383102727</v>
      </c>
      <c r="Y4028" t="n">
        <v>1</v>
      </c>
      <c r="Z4028" t="n">
        <v>34</v>
      </c>
      <c r="AA4028" t="n">
        <v>0</v>
      </c>
      <c r="AB4028" t="n">
        <v>34</v>
      </c>
      <c r="AC4028" t="n">
        <v>34</v>
      </c>
      <c r="AD4028" t="n">
        <v>0</v>
      </c>
      <c r="AE4028" t="n">
        <v>611490</v>
      </c>
      <c r="AF4028" t="n">
        <v>11715</v>
      </c>
      <c r="AG4028" t="n">
        <v>63</v>
      </c>
      <c r="AH4028" t="inlineStr">
        <is>
          <t>PT. PARAMA GLOBAL INSPIRA - PPN (PDG)</t>
        </is>
      </c>
      <c r="AI4028" t="n">
        <v>563</v>
      </c>
      <c r="AJ4028" t="inlineStr">
        <is>
          <t>OMG</t>
        </is>
      </c>
      <c r="AK4028" t="n">
        <v>21</v>
      </c>
      <c r="AL4028" t="inlineStr">
        <is>
          <t>Miss Glam Damar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OMG</t>
        </is>
      </c>
      <c r="B4029" s="2">
        <f>"8997241851008"</f>
        <v/>
      </c>
      <c r="C4029" t="inlineStr">
        <is>
          <t>OMG Oh My Glam Glassy Lip Tin 03 Spring 2gr</t>
        </is>
      </c>
      <c r="D4029" t="inlineStr">
        <is>
          <t>Miss Glam Damar</t>
        </is>
      </c>
      <c r="E4029" t="n">
        <v>10</v>
      </c>
      <c r="F4029" t="n">
        <v>0.5551</v>
      </c>
      <c r="G4029" t="n">
        <v>2.73</v>
      </c>
      <c r="H4029" t="n">
        <v>2</v>
      </c>
      <c r="I4029" t="n">
        <v>6</v>
      </c>
      <c r="J4029" t="n">
        <v>3</v>
      </c>
      <c r="K4029" t="n">
        <v>0</v>
      </c>
      <c r="L4029" t="n">
        <v>17985</v>
      </c>
      <c r="M4029" t="n">
        <v>22000</v>
      </c>
      <c r="N4029" t="n">
        <v>91</v>
      </c>
      <c r="O4029" t="n">
        <v>0.91</v>
      </c>
      <c r="P4029" t="n">
        <v>1</v>
      </c>
      <c r="Q4029" t="n">
        <v>0.27</v>
      </c>
      <c r="R4029" t="n">
        <v>2</v>
      </c>
      <c r="S4029" t="n">
        <v>12212.2</v>
      </c>
      <c r="T4029" t="n">
        <v>16</v>
      </c>
      <c r="U4029" t="n">
        <v>18</v>
      </c>
      <c r="V4029" t="n">
        <v>30</v>
      </c>
      <c r="W4029" t="n">
        <v>17</v>
      </c>
      <c r="X4029" t="n">
        <v>18.01477211313277</v>
      </c>
      <c r="Y4029" t="n">
        <v>1</v>
      </c>
      <c r="Z4029" t="n">
        <v>7</v>
      </c>
      <c r="AA4029" t="n">
        <v>0</v>
      </c>
      <c r="AB4029" t="n">
        <v>7</v>
      </c>
      <c r="AC4029" t="n">
        <v>7</v>
      </c>
      <c r="AD4029" t="n">
        <v>0</v>
      </c>
      <c r="AE4029" t="n">
        <v>125895</v>
      </c>
      <c r="AF4029" t="n">
        <v>11715</v>
      </c>
      <c r="AG4029" t="n">
        <v>63</v>
      </c>
      <c r="AH4029" t="inlineStr">
        <is>
          <t>PT. PARAMA GLOBAL INSPIRA - PPN (PDG)</t>
        </is>
      </c>
      <c r="AI4029" t="n">
        <v>563</v>
      </c>
      <c r="AJ4029" t="inlineStr">
        <is>
          <t>OMG</t>
        </is>
      </c>
      <c r="AK4029" t="n">
        <v>21</v>
      </c>
      <c r="AL4029" t="inlineStr">
        <is>
          <t>Miss Glam Damar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OMG</t>
        </is>
      </c>
      <c r="B4030" s="2">
        <f>"8997241851015"</f>
        <v/>
      </c>
      <c r="C4030" t="inlineStr">
        <is>
          <t>OMG Oh My Glam Glassy Lip Tin 04 Burgundy 2gr</t>
        </is>
      </c>
      <c r="D4030" t="inlineStr">
        <is>
          <t>Miss Glam Damar</t>
        </is>
      </c>
      <c r="E4030" t="n">
        <v>23</v>
      </c>
      <c r="F4030" t="n">
        <v>0.8644999999999999</v>
      </c>
      <c r="G4030" t="n">
        <v>3.64</v>
      </c>
      <c r="H4030" t="n">
        <v>2</v>
      </c>
      <c r="I4030" t="n">
        <v>6</v>
      </c>
      <c r="J4030" t="n">
        <v>3</v>
      </c>
      <c r="K4030" t="n">
        <v>0</v>
      </c>
      <c r="L4030" t="n">
        <v>17986</v>
      </c>
      <c r="M4030" t="n">
        <v>22000</v>
      </c>
      <c r="N4030" t="n">
        <v>91</v>
      </c>
      <c r="O4030" t="n">
        <v>0.91</v>
      </c>
      <c r="P4030" t="n">
        <v>1</v>
      </c>
      <c r="Q4030" t="n">
        <v>1</v>
      </c>
      <c r="R4030" t="n">
        <v>3</v>
      </c>
      <c r="S4030" t="n">
        <v>19019</v>
      </c>
      <c r="T4030" t="n">
        <v>21</v>
      </c>
      <c r="U4030" t="n">
        <v>23</v>
      </c>
      <c r="V4030" t="n">
        <v>30</v>
      </c>
      <c r="W4030" t="n">
        <v>26</v>
      </c>
      <c r="X4030" t="n">
        <v>26.60497397339503</v>
      </c>
      <c r="Y4030" t="n">
        <v>1</v>
      </c>
      <c r="Z4030" t="n">
        <v>3</v>
      </c>
      <c r="AA4030" t="n">
        <v>0</v>
      </c>
      <c r="AB4030" t="n">
        <v>3</v>
      </c>
      <c r="AC4030" t="n">
        <v>3</v>
      </c>
      <c r="AD4030" t="n">
        <v>0</v>
      </c>
      <c r="AE4030" t="n">
        <v>53958</v>
      </c>
      <c r="AF4030" t="n">
        <v>11715</v>
      </c>
      <c r="AG4030" t="n">
        <v>63</v>
      </c>
      <c r="AH4030" t="inlineStr">
        <is>
          <t>PT. PARAMA GLOBAL INSPIRA - PPN (PDG)</t>
        </is>
      </c>
      <c r="AI4030" t="n">
        <v>563</v>
      </c>
      <c r="AJ4030" t="inlineStr">
        <is>
          <t>OMG</t>
        </is>
      </c>
      <c r="AK4030" t="n">
        <v>21</v>
      </c>
      <c r="AL4030" t="inlineStr">
        <is>
          <t>Miss Glam Damar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OMG</t>
        </is>
      </c>
      <c r="B4031" s="2">
        <f>"8997241851022"</f>
        <v/>
      </c>
      <c r="C4031" t="inlineStr">
        <is>
          <t>OMG Oh My Glam Glassy Lip Tin 05 Caramel 2gr</t>
        </is>
      </c>
      <c r="D4031" t="inlineStr">
        <is>
          <t>Miss Glam Damar</t>
        </is>
      </c>
      <c r="E4031" t="n">
        <v>6</v>
      </c>
      <c r="F4031" t="n">
        <v>0.3549</v>
      </c>
      <c r="G4031" t="n">
        <v>2.73</v>
      </c>
      <c r="H4031" t="n">
        <v>2</v>
      </c>
      <c r="I4031" t="n">
        <v>6</v>
      </c>
      <c r="J4031" t="n">
        <v>3</v>
      </c>
      <c r="K4031" t="n">
        <v>0</v>
      </c>
      <c r="L4031" t="n">
        <v>17985</v>
      </c>
      <c r="M4031" t="n">
        <v>22000</v>
      </c>
      <c r="N4031" t="n">
        <v>91</v>
      </c>
      <c r="O4031" t="n">
        <v>0.91</v>
      </c>
      <c r="P4031" t="n">
        <v>1</v>
      </c>
      <c r="Q4031" t="n">
        <v>0.29</v>
      </c>
      <c r="R4031" t="n">
        <v>3</v>
      </c>
      <c r="S4031" t="n">
        <v>7807.800000000001</v>
      </c>
      <c r="T4031" t="n">
        <v>16</v>
      </c>
      <c r="U4031" t="n">
        <v>17</v>
      </c>
      <c r="V4031" t="n">
        <v>30</v>
      </c>
      <c r="W4031" t="n">
        <v>11</v>
      </c>
      <c r="X4031" t="n">
        <v>16.90617075232459</v>
      </c>
      <c r="Y4031" t="n">
        <v>1</v>
      </c>
      <c r="Z4031" t="n">
        <v>5</v>
      </c>
      <c r="AA4031" t="n">
        <v>0</v>
      </c>
      <c r="AB4031" t="n">
        <v>5</v>
      </c>
      <c r="AC4031" t="n">
        <v>5</v>
      </c>
      <c r="AD4031" t="n">
        <v>0</v>
      </c>
      <c r="AE4031" t="n">
        <v>89925</v>
      </c>
      <c r="AF4031" t="n">
        <v>11715</v>
      </c>
      <c r="AG4031" t="n">
        <v>63</v>
      </c>
      <c r="AH4031" t="inlineStr">
        <is>
          <t>PT. PARAMA GLOBAL INSPIRA - PPN (PDG)</t>
        </is>
      </c>
      <c r="AI4031" t="n">
        <v>563</v>
      </c>
      <c r="AJ4031" t="inlineStr">
        <is>
          <t>OMG</t>
        </is>
      </c>
      <c r="AK4031" t="n">
        <v>21</v>
      </c>
      <c r="AL4031" t="inlineStr">
        <is>
          <t>Miss Glam Damar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OMG</t>
        </is>
      </c>
      <c r="B4032" s="2">
        <f>"203003101811"</f>
        <v/>
      </c>
      <c r="C4032" t="inlineStr">
        <is>
          <t>OMG OH MY GLAM Glassy Lip Tint 06 Latte Love 2gr</t>
        </is>
      </c>
      <c r="D4032" t="inlineStr">
        <is>
          <t>Miss Glam Damar</t>
        </is>
      </c>
      <c r="E4032" t="n">
        <v>9</v>
      </c>
      <c r="F4032" t="n">
        <v>0.06370000000000001</v>
      </c>
      <c r="G4032" t="n">
        <v>0.91</v>
      </c>
      <c r="H4032" t="n">
        <v>2</v>
      </c>
      <c r="I4032" t="n">
        <v>6</v>
      </c>
      <c r="J4032" t="n">
        <v>1</v>
      </c>
      <c r="K4032" t="n">
        <v>0</v>
      </c>
      <c r="L4032" t="n">
        <v>17985</v>
      </c>
      <c r="M4032" t="n">
        <v>22000</v>
      </c>
      <c r="N4032" t="n">
        <v>91</v>
      </c>
      <c r="O4032" t="n">
        <v>0.91</v>
      </c>
      <c r="P4032" t="n">
        <v>1</v>
      </c>
      <c r="Q4032" t="n">
        <v>0.08</v>
      </c>
      <c r="R4032" t="n">
        <v>2</v>
      </c>
      <c r="S4032" t="n">
        <v>1401.4</v>
      </c>
      <c r="T4032" t="n">
        <v>6</v>
      </c>
      <c r="U4032" t="n">
        <v>7</v>
      </c>
      <c r="V4032" t="n">
        <v>30</v>
      </c>
      <c r="W4032" t="n">
        <v>2</v>
      </c>
      <c r="X4032" t="n">
        <v>141.287284144427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11715</v>
      </c>
      <c r="AG4032" t="n">
        <v>63</v>
      </c>
      <c r="AH4032" t="inlineStr">
        <is>
          <t>PT. PARAMA GLOBAL INSPIRA - PPN (PDG)</t>
        </is>
      </c>
      <c r="AI4032" t="n">
        <v>563</v>
      </c>
      <c r="AJ4032" t="inlineStr">
        <is>
          <t>OMG</t>
        </is>
      </c>
      <c r="AK4032" t="n">
        <v>21</v>
      </c>
      <c r="AL4032" t="inlineStr">
        <is>
          <t>Miss Glam Damar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OMG</t>
        </is>
      </c>
      <c r="B4033" s="2">
        <f>"203003101936"</f>
        <v/>
      </c>
      <c r="C4033" t="inlineStr">
        <is>
          <t>OMG OH MY GLAM Glassy Lip Tint 07 Secret Crush 2gr</t>
        </is>
      </c>
      <c r="D4033" t="inlineStr">
        <is>
          <t>Miss Glam Damar</t>
        </is>
      </c>
      <c r="E4033" t="n">
        <v>8</v>
      </c>
      <c r="F4033" t="n">
        <v>0.2184</v>
      </c>
      <c r="G4033" t="n">
        <v>1.82</v>
      </c>
      <c r="H4033" t="n">
        <v>2</v>
      </c>
      <c r="I4033" t="n">
        <v>6</v>
      </c>
      <c r="J4033" t="n">
        <v>1</v>
      </c>
      <c r="K4033" t="n">
        <v>0</v>
      </c>
      <c r="L4033" t="n">
        <v>17986</v>
      </c>
      <c r="M4033" t="n">
        <v>22000</v>
      </c>
      <c r="N4033" t="n">
        <v>91</v>
      </c>
      <c r="O4033" t="n">
        <v>0.91</v>
      </c>
      <c r="P4033" t="n">
        <v>1</v>
      </c>
      <c r="Q4033" t="n">
        <v>0.25</v>
      </c>
      <c r="R4033" t="n">
        <v>2</v>
      </c>
      <c r="S4033" t="n">
        <v>4804.8</v>
      </c>
      <c r="T4033" t="n">
        <v>11</v>
      </c>
      <c r="U4033" t="n">
        <v>12</v>
      </c>
      <c r="V4033" t="n">
        <v>30</v>
      </c>
      <c r="W4033" t="n">
        <v>7</v>
      </c>
      <c r="X4033" t="n">
        <v>36.63003663003663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11715</v>
      </c>
      <c r="AG4033" t="n">
        <v>63</v>
      </c>
      <c r="AH4033" t="inlineStr">
        <is>
          <t>PT. PARAMA GLOBAL INSPIRA - PPN (PDG)</t>
        </is>
      </c>
      <c r="AI4033" t="n">
        <v>563</v>
      </c>
      <c r="AJ4033" t="inlineStr">
        <is>
          <t>OMG</t>
        </is>
      </c>
      <c r="AK4033" t="n">
        <v>21</v>
      </c>
      <c r="AL4033" t="inlineStr">
        <is>
          <t>Miss Glam Damar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OMG</t>
        </is>
      </c>
      <c r="B4034" s="2">
        <f>"203003102017"</f>
        <v/>
      </c>
      <c r="C4034" t="inlineStr">
        <is>
          <t>OMG OH MY GLAM Glassy Lip Tint 08 CEO Chic 2gr</t>
        </is>
      </c>
      <c r="D4034" t="inlineStr">
        <is>
          <t>Miss Glam Damar</t>
        </is>
      </c>
      <c r="E4034" t="n">
        <v>5</v>
      </c>
      <c r="F4034" t="n">
        <v>0.2457</v>
      </c>
      <c r="G4034" t="n">
        <v>1.82</v>
      </c>
      <c r="H4034" t="n">
        <v>2</v>
      </c>
      <c r="I4034" t="n">
        <v>6</v>
      </c>
      <c r="J4034" t="n">
        <v>1</v>
      </c>
      <c r="K4034" t="n">
        <v>0</v>
      </c>
      <c r="L4034" t="n">
        <v>17986</v>
      </c>
      <c r="M4034" t="n">
        <v>22000</v>
      </c>
      <c r="N4034" t="n">
        <v>91</v>
      </c>
      <c r="O4034" t="n">
        <v>0.91</v>
      </c>
      <c r="P4034" t="n">
        <v>1</v>
      </c>
      <c r="Q4034" t="n">
        <v>0.19</v>
      </c>
      <c r="R4034" t="n">
        <v>1</v>
      </c>
      <c r="S4034" t="n">
        <v>5405.400000000001</v>
      </c>
      <c r="T4034" t="n">
        <v>11</v>
      </c>
      <c r="U4034" t="n">
        <v>12</v>
      </c>
      <c r="V4034" t="n">
        <v>30</v>
      </c>
      <c r="W4034" t="n">
        <v>8</v>
      </c>
      <c r="X4034" t="n">
        <v>20.35002035002035</v>
      </c>
      <c r="Y4034" t="n">
        <v>1</v>
      </c>
      <c r="Z4034" t="n">
        <v>3</v>
      </c>
      <c r="AA4034" t="n">
        <v>0</v>
      </c>
      <c r="AB4034" t="n">
        <v>3</v>
      </c>
      <c r="AC4034" t="n">
        <v>3</v>
      </c>
      <c r="AD4034" t="n">
        <v>0</v>
      </c>
      <c r="AE4034" t="n">
        <v>53958</v>
      </c>
      <c r="AF4034" t="n">
        <v>11715</v>
      </c>
      <c r="AG4034" t="n">
        <v>63</v>
      </c>
      <c r="AH4034" t="inlineStr">
        <is>
          <t>PT. PARAMA GLOBAL INSPIRA - PPN (PDG)</t>
        </is>
      </c>
      <c r="AI4034" t="n">
        <v>563</v>
      </c>
      <c r="AJ4034" t="inlineStr">
        <is>
          <t>OMG</t>
        </is>
      </c>
      <c r="AK4034" t="n">
        <v>21</v>
      </c>
      <c r="AL4034" t="inlineStr">
        <is>
          <t>Miss Glam Damar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OMG</t>
        </is>
      </c>
      <c r="B4035" s="2">
        <f>"203003102113"</f>
        <v/>
      </c>
      <c r="C4035" t="inlineStr">
        <is>
          <t>OMG OH MY GLAM Glassy Lip Tint 09 Boss Babe 2gr</t>
        </is>
      </c>
      <c r="D4035" t="inlineStr">
        <is>
          <t>Miss Glam Damar</t>
        </is>
      </c>
      <c r="E4035" t="n">
        <v>5</v>
      </c>
      <c r="F4035" t="n">
        <v>0.2184</v>
      </c>
      <c r="G4035" t="n">
        <v>0.91</v>
      </c>
      <c r="H4035" t="n">
        <v>2</v>
      </c>
      <c r="I4035" t="n">
        <v>6</v>
      </c>
      <c r="J4035" t="n">
        <v>1</v>
      </c>
      <c r="K4035" t="n">
        <v>0</v>
      </c>
      <c r="L4035" t="n">
        <v>17986</v>
      </c>
      <c r="M4035" t="n">
        <v>22000</v>
      </c>
      <c r="N4035" t="n">
        <v>91</v>
      </c>
      <c r="O4035" t="n">
        <v>0.91</v>
      </c>
      <c r="P4035" t="n">
        <v>1</v>
      </c>
      <c r="Q4035" t="n">
        <v>0.1</v>
      </c>
      <c r="R4035" t="n">
        <v>1</v>
      </c>
      <c r="S4035" t="n">
        <v>4804.8</v>
      </c>
      <c r="T4035" t="n">
        <v>6</v>
      </c>
      <c r="U4035" t="n">
        <v>7</v>
      </c>
      <c r="V4035" t="n">
        <v>30</v>
      </c>
      <c r="W4035" t="n">
        <v>7</v>
      </c>
      <c r="X4035" t="n">
        <v>22.89377289377289</v>
      </c>
      <c r="Y4035" t="n">
        <v>1</v>
      </c>
      <c r="Z4035" t="n">
        <v>2</v>
      </c>
      <c r="AA4035" t="n">
        <v>0</v>
      </c>
      <c r="AB4035" t="n">
        <v>2</v>
      </c>
      <c r="AC4035" t="n">
        <v>2</v>
      </c>
      <c r="AD4035" t="n">
        <v>0</v>
      </c>
      <c r="AE4035" t="n">
        <v>35972</v>
      </c>
      <c r="AF4035" t="n">
        <v>11715</v>
      </c>
      <c r="AG4035" t="n">
        <v>63</v>
      </c>
      <c r="AH4035" t="inlineStr">
        <is>
          <t>PT. PARAMA GLOBAL INSPIRA - PPN (PDG)</t>
        </is>
      </c>
      <c r="AI4035" t="n">
        <v>563</v>
      </c>
      <c r="AJ4035" t="inlineStr">
        <is>
          <t>OMG</t>
        </is>
      </c>
      <c r="AK4035" t="n">
        <v>21</v>
      </c>
      <c r="AL4035" t="inlineStr">
        <is>
          <t>Miss Glam Damar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OMG</t>
        </is>
      </c>
      <c r="B4036" s="2">
        <f>"8997241851435"</f>
        <v/>
      </c>
      <c r="C4036" t="inlineStr">
        <is>
          <t>OMG Oh My Glam Gloss Lip Finish Vinyl 2,7gr</t>
        </is>
      </c>
      <c r="D4036" t="inlineStr">
        <is>
          <t>Miss Glam Damar</t>
        </is>
      </c>
      <c r="E4036" t="n">
        <v>63</v>
      </c>
      <c r="F4036" t="n">
        <v>4.7957</v>
      </c>
      <c r="G4036" t="n">
        <v>11.83</v>
      </c>
      <c r="H4036" t="n">
        <v>2</v>
      </c>
      <c r="I4036" t="n">
        <v>6</v>
      </c>
      <c r="J4036" t="n">
        <v>3</v>
      </c>
      <c r="K4036" t="n">
        <v>0</v>
      </c>
      <c r="L4036" t="n">
        <v>18377</v>
      </c>
      <c r="M4036" t="n">
        <v>22000</v>
      </c>
      <c r="N4036" t="n">
        <v>91</v>
      </c>
      <c r="O4036" t="n">
        <v>0.91</v>
      </c>
      <c r="P4036" t="n">
        <v>1</v>
      </c>
      <c r="Q4036" t="n">
        <v>3.44</v>
      </c>
      <c r="R4036" t="n">
        <v>11</v>
      </c>
      <c r="S4036" t="n">
        <v>105505.4</v>
      </c>
      <c r="T4036" t="n">
        <v>62</v>
      </c>
      <c r="U4036" t="n">
        <v>72</v>
      </c>
      <c r="V4036" t="n">
        <v>30</v>
      </c>
      <c r="W4036" t="n">
        <v>144</v>
      </c>
      <c r="X4036" t="n">
        <v>13.13676835498467</v>
      </c>
      <c r="Y4036" t="n">
        <v>1</v>
      </c>
      <c r="Z4036" t="n">
        <v>81</v>
      </c>
      <c r="AA4036" t="n">
        <v>0</v>
      </c>
      <c r="AB4036" t="n">
        <v>81</v>
      </c>
      <c r="AC4036" t="n">
        <v>81</v>
      </c>
      <c r="AD4036" t="n">
        <v>0</v>
      </c>
      <c r="AE4036" t="n">
        <v>1488537</v>
      </c>
      <c r="AF4036" t="n">
        <v>11715</v>
      </c>
      <c r="AG4036" t="n">
        <v>63</v>
      </c>
      <c r="AH4036" t="inlineStr">
        <is>
          <t>PT. PARAMA GLOBAL INSPIRA - PPN (PDG)</t>
        </is>
      </c>
      <c r="AI4036" t="n">
        <v>563</v>
      </c>
      <c r="AJ4036" t="inlineStr">
        <is>
          <t>OMG</t>
        </is>
      </c>
      <c r="AK4036" t="n">
        <v>21</v>
      </c>
      <c r="AL4036" t="inlineStr">
        <is>
          <t>Miss Glam Damar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OMG</t>
        </is>
      </c>
      <c r="B4037" s="2">
        <f>"203002184830"</f>
        <v/>
      </c>
      <c r="C4037" t="inlineStr">
        <is>
          <t>OMG OH MY GLAM Mattelast Lip Cream 28 Cromboloni 2.9gr</t>
        </is>
      </c>
      <c r="D4037" t="inlineStr">
        <is>
          <t>Miss Glam Damar</t>
        </is>
      </c>
      <c r="E4037" t="n">
        <v>27</v>
      </c>
      <c r="F4037" t="n">
        <v>2.002</v>
      </c>
      <c r="G4037" t="n">
        <v>10.92</v>
      </c>
      <c r="H4037" t="n">
        <v>2</v>
      </c>
      <c r="I4037" t="n">
        <v>6</v>
      </c>
      <c r="J4037" t="n">
        <v>1</v>
      </c>
      <c r="K4037" t="n">
        <v>0</v>
      </c>
      <c r="L4037" t="n">
        <v>18374</v>
      </c>
      <c r="M4037" t="n">
        <v>21500</v>
      </c>
      <c r="N4037" t="n">
        <v>91</v>
      </c>
      <c r="O4037" t="n">
        <v>0.91</v>
      </c>
      <c r="P4037" t="n">
        <v>1</v>
      </c>
      <c r="Q4037" t="n">
        <v>1.36</v>
      </c>
      <c r="R4037" t="n">
        <v>5</v>
      </c>
      <c r="S4037" t="n">
        <v>43043.00000000001</v>
      </c>
      <c r="T4037" t="n">
        <v>62</v>
      </c>
      <c r="U4037" t="n">
        <v>67</v>
      </c>
      <c r="V4037" t="n">
        <v>30</v>
      </c>
      <c r="W4037" t="n">
        <v>61</v>
      </c>
      <c r="X4037" t="n">
        <v>13.48651348651348</v>
      </c>
      <c r="Y4037" t="n">
        <v>1</v>
      </c>
      <c r="Z4037" t="n">
        <v>34</v>
      </c>
      <c r="AA4037" t="n">
        <v>0</v>
      </c>
      <c r="AB4037" t="n">
        <v>34</v>
      </c>
      <c r="AC4037" t="n">
        <v>34</v>
      </c>
      <c r="AD4037" t="n">
        <v>0</v>
      </c>
      <c r="AE4037" t="n">
        <v>624716</v>
      </c>
      <c r="AF4037" t="n">
        <v>11715</v>
      </c>
      <c r="AG4037" t="n">
        <v>63</v>
      </c>
      <c r="AH4037" t="inlineStr">
        <is>
          <t>PT. PARAMA GLOBAL INSPIRA - PPN (PDG)</t>
        </is>
      </c>
      <c r="AI4037" t="n">
        <v>563</v>
      </c>
      <c r="AJ4037" t="inlineStr">
        <is>
          <t>OMG</t>
        </is>
      </c>
      <c r="AK4037" t="n">
        <v>21</v>
      </c>
      <c r="AL4037" t="inlineStr">
        <is>
          <t>Miss Glam Damar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OMG</t>
        </is>
      </c>
      <c r="B4038" s="2">
        <f>"203002184934"</f>
        <v/>
      </c>
      <c r="C4038" t="inlineStr">
        <is>
          <t>OMG OH MY GLAM Mattelast Lip Cream 29 Berry Pancake 2.9gr</t>
        </is>
      </c>
      <c r="D4038" t="inlineStr">
        <is>
          <t>Miss Glam Damar</t>
        </is>
      </c>
      <c r="E4038" t="n">
        <v>19</v>
      </c>
      <c r="F4038" t="n">
        <v>0.7280000000000001</v>
      </c>
      <c r="G4038" t="n">
        <v>1.82</v>
      </c>
      <c r="H4038" t="n">
        <v>2</v>
      </c>
      <c r="I4038" t="n">
        <v>6</v>
      </c>
      <c r="J4038" t="n">
        <v>1</v>
      </c>
      <c r="K4038" t="n">
        <v>0</v>
      </c>
      <c r="L4038" t="n">
        <v>18376</v>
      </c>
      <c r="M4038" t="n">
        <v>21500</v>
      </c>
      <c r="N4038" t="n">
        <v>91</v>
      </c>
      <c r="O4038" t="n">
        <v>0.91</v>
      </c>
      <c r="P4038" t="n">
        <v>1</v>
      </c>
      <c r="Q4038" t="n">
        <v>1</v>
      </c>
      <c r="R4038" t="n">
        <v>4</v>
      </c>
      <c r="S4038" t="n">
        <v>15652</v>
      </c>
      <c r="T4038" t="n">
        <v>10</v>
      </c>
      <c r="U4038" t="n">
        <v>12</v>
      </c>
      <c r="V4038" t="n">
        <v>30</v>
      </c>
      <c r="W4038" t="n">
        <v>22</v>
      </c>
      <c r="X4038" t="n">
        <v>26.09890109890109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11715</v>
      </c>
      <c r="AG4038" t="n">
        <v>63</v>
      </c>
      <c r="AH4038" t="inlineStr">
        <is>
          <t>PT. PARAMA GLOBAL INSPIRA - PPN (PDG)</t>
        </is>
      </c>
      <c r="AI4038" t="n">
        <v>563</v>
      </c>
      <c r="AJ4038" t="inlineStr">
        <is>
          <t>OMG</t>
        </is>
      </c>
      <c r="AK4038" t="n">
        <v>21</v>
      </c>
      <c r="AL4038" t="inlineStr">
        <is>
          <t>Miss Glam Damar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OMG</t>
        </is>
      </c>
      <c r="B4039" s="2">
        <f>"203002185046"</f>
        <v/>
      </c>
      <c r="C4039" t="inlineStr">
        <is>
          <t>OMG OH MY GLAM Mattelast Lip Cream 30 Cookie Bomb 2.9gr</t>
        </is>
      </c>
      <c r="D4039" t="inlineStr">
        <is>
          <t>Miss Glam Damar</t>
        </is>
      </c>
      <c r="E4039" t="n">
        <v>22</v>
      </c>
      <c r="F4039" t="n">
        <v>0.66</v>
      </c>
      <c r="G4039" t="n">
        <v>4</v>
      </c>
      <c r="H4039" t="n">
        <v>2</v>
      </c>
      <c r="I4039" t="n">
        <v>6</v>
      </c>
      <c r="J4039" t="n">
        <v>1</v>
      </c>
      <c r="K4039" t="n">
        <v>0</v>
      </c>
      <c r="L4039" t="n">
        <v>18377</v>
      </c>
      <c r="M4039" t="n">
        <v>21500</v>
      </c>
      <c r="N4039" t="n">
        <v>91</v>
      </c>
      <c r="O4039" t="n">
        <v>0.91</v>
      </c>
      <c r="P4039" t="n">
        <v>0</v>
      </c>
      <c r="Q4039" t="n">
        <v>0.66</v>
      </c>
      <c r="R4039" t="n">
        <v>4</v>
      </c>
      <c r="S4039" t="n">
        <v>14190</v>
      </c>
      <c r="T4039" t="n">
        <v>23</v>
      </c>
      <c r="U4039" t="n">
        <v>25</v>
      </c>
      <c r="V4039" t="n">
        <v>30</v>
      </c>
      <c r="W4039" t="n">
        <v>20</v>
      </c>
      <c r="X4039" t="n">
        <v>33.33333333333333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11715</v>
      </c>
      <c r="AG4039" t="n">
        <v>63</v>
      </c>
      <c r="AH4039" t="inlineStr">
        <is>
          <t>PT. PARAMA GLOBAL INSPIRA - PPN (PDG)</t>
        </is>
      </c>
      <c r="AI4039" t="n">
        <v>563</v>
      </c>
      <c r="AJ4039" t="inlineStr">
        <is>
          <t>OMG</t>
        </is>
      </c>
      <c r="AK4039" t="n">
        <v>21</v>
      </c>
      <c r="AL4039" t="inlineStr">
        <is>
          <t>Miss Glam Damar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OMG</t>
        </is>
      </c>
      <c r="B4040" s="2">
        <f>"10300514351"</f>
        <v/>
      </c>
      <c r="C4040" t="inlineStr">
        <is>
          <t>OMG Oh My Glow 2% Cica-B5 Calming Moisture Gel 45 g</t>
        </is>
      </c>
      <c r="D4040" t="inlineStr">
        <is>
          <t>Miss Glam Damar</t>
        </is>
      </c>
      <c r="E4040" t="n">
        <v>8</v>
      </c>
      <c r="F4040" t="n">
        <v>0.0728</v>
      </c>
      <c r="G4040" t="n">
        <v>0.91</v>
      </c>
      <c r="H4040" t="n">
        <v>2</v>
      </c>
      <c r="I4040" t="n">
        <v>6</v>
      </c>
      <c r="J4040" t="n">
        <v>1</v>
      </c>
      <c r="K4040" t="n">
        <v>0</v>
      </c>
      <c r="L4040" t="n">
        <v>28151</v>
      </c>
      <c r="M4040" t="n">
        <v>33500</v>
      </c>
      <c r="N4040" t="n">
        <v>91</v>
      </c>
      <c r="O4040" t="n">
        <v>0.91</v>
      </c>
      <c r="P4040" t="n">
        <v>1</v>
      </c>
      <c r="Q4040" t="n">
        <v>0.07000000000000001</v>
      </c>
      <c r="R4040" t="n">
        <v>1</v>
      </c>
      <c r="S4040" t="n">
        <v>2438.8</v>
      </c>
      <c r="T4040" t="n">
        <v>6</v>
      </c>
      <c r="U4040" t="n">
        <v>7</v>
      </c>
      <c r="V4040" t="n">
        <v>30</v>
      </c>
      <c r="W4040" t="n">
        <v>3</v>
      </c>
      <c r="X4040" t="n">
        <v>109.8901098901099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11715</v>
      </c>
      <c r="AG4040" t="n">
        <v>63</v>
      </c>
      <c r="AH4040" t="inlineStr">
        <is>
          <t>PT. PARAMA GLOBAL INSPIRA - PPN (PDG)</t>
        </is>
      </c>
      <c r="AI4040" t="n">
        <v>563</v>
      </c>
      <c r="AJ4040" t="inlineStr">
        <is>
          <t>OMG</t>
        </is>
      </c>
      <c r="AK4040" t="n">
        <v>21</v>
      </c>
      <c r="AL4040" t="inlineStr">
        <is>
          <t>Miss Glam Damar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OMG</t>
        </is>
      </c>
      <c r="B4041" s="2">
        <f>"10300514420"</f>
        <v/>
      </c>
      <c r="C4041" t="inlineStr">
        <is>
          <t>OMG Oh My Glow 5% Niacinamide Bright Barrier Moisture Gel 45 g</t>
        </is>
      </c>
      <c r="D4041" t="inlineStr">
        <is>
          <t>Miss Glam Damar</t>
        </is>
      </c>
      <c r="E4041" t="n">
        <v>15</v>
      </c>
      <c r="F4041" t="n">
        <v>0.4823000000000001</v>
      </c>
      <c r="G4041" t="n">
        <v>2.73</v>
      </c>
      <c r="H4041" t="n">
        <v>2</v>
      </c>
      <c r="I4041" t="n">
        <v>6</v>
      </c>
      <c r="J4041" t="n">
        <v>1</v>
      </c>
      <c r="K4041" t="n">
        <v>0</v>
      </c>
      <c r="L4041" t="n">
        <v>28152</v>
      </c>
      <c r="M4041" t="n">
        <v>33500</v>
      </c>
      <c r="N4041" t="n">
        <v>91</v>
      </c>
      <c r="O4041" t="n">
        <v>0.91</v>
      </c>
      <c r="P4041" t="n">
        <v>1</v>
      </c>
      <c r="Q4041" t="n">
        <v>0.31</v>
      </c>
      <c r="R4041" t="n">
        <v>2</v>
      </c>
      <c r="S4041" t="n">
        <v>16157.05</v>
      </c>
      <c r="T4041" t="n">
        <v>16</v>
      </c>
      <c r="U4041" t="n">
        <v>17</v>
      </c>
      <c r="V4041" t="n">
        <v>30</v>
      </c>
      <c r="W4041" t="n">
        <v>15</v>
      </c>
      <c r="X4041" t="n">
        <v>31.10097449720091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11715</v>
      </c>
      <c r="AG4041" t="n">
        <v>63</v>
      </c>
      <c r="AH4041" t="inlineStr">
        <is>
          <t>PT. PARAMA GLOBAL INSPIRA - PPN (PDG)</t>
        </is>
      </c>
      <c r="AI4041" t="n">
        <v>563</v>
      </c>
      <c r="AJ4041" t="inlineStr">
        <is>
          <t>OMG</t>
        </is>
      </c>
      <c r="AK4041" t="n">
        <v>21</v>
      </c>
      <c r="AL4041" t="inlineStr">
        <is>
          <t>Miss Glam Damar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OMG</t>
        </is>
      </c>
      <c r="B4042" s="2">
        <f>"8997241851640"</f>
        <v/>
      </c>
      <c r="C4042" t="inlineStr">
        <is>
          <t>OMG Oh My Glow Bright Booster Face Wash 100ml</t>
        </is>
      </c>
      <c r="D4042" t="inlineStr">
        <is>
          <t>Miss Glam Damar</t>
        </is>
      </c>
      <c r="E4042" t="n">
        <v>45</v>
      </c>
      <c r="F4042" t="n">
        <v>5.5328</v>
      </c>
      <c r="G4042" t="n">
        <v>11.83</v>
      </c>
      <c r="H4042" t="n">
        <v>2</v>
      </c>
      <c r="I4042" t="n">
        <v>6</v>
      </c>
      <c r="J4042" t="n">
        <v>6</v>
      </c>
      <c r="K4042" t="n">
        <v>0</v>
      </c>
      <c r="L4042" t="n">
        <v>17595</v>
      </c>
      <c r="M4042" t="n">
        <v>20000</v>
      </c>
      <c r="N4042" t="n">
        <v>91</v>
      </c>
      <c r="O4042" t="n">
        <v>0.91</v>
      </c>
      <c r="P4042" t="n">
        <v>1</v>
      </c>
      <c r="Q4042" t="n">
        <v>2.53</v>
      </c>
      <c r="R4042" t="n">
        <v>6</v>
      </c>
      <c r="S4042" t="n">
        <v>110656</v>
      </c>
      <c r="T4042" t="n">
        <v>60</v>
      </c>
      <c r="U4042" t="n">
        <v>72</v>
      </c>
      <c r="V4042" t="n">
        <v>30</v>
      </c>
      <c r="W4042" t="n">
        <v>166</v>
      </c>
      <c r="X4042" t="n">
        <v>8.133314054366686</v>
      </c>
      <c r="Y4042" t="n">
        <v>1</v>
      </c>
      <c r="Z4042" t="n">
        <v>121</v>
      </c>
      <c r="AA4042" t="n">
        <v>0</v>
      </c>
      <c r="AB4042" t="n">
        <v>121</v>
      </c>
      <c r="AC4042" t="n">
        <v>121</v>
      </c>
      <c r="AD4042" t="n">
        <v>0</v>
      </c>
      <c r="AE4042" t="n">
        <v>2128995</v>
      </c>
      <c r="AF4042" t="n">
        <v>11715</v>
      </c>
      <c r="AG4042" t="n">
        <v>63</v>
      </c>
      <c r="AH4042" t="inlineStr">
        <is>
          <t>PT. PARAMA GLOBAL INSPIRA - PPN (PDG)</t>
        </is>
      </c>
      <c r="AI4042" t="n">
        <v>563</v>
      </c>
      <c r="AJ4042" t="inlineStr">
        <is>
          <t>OMG</t>
        </is>
      </c>
      <c r="AK4042" t="n">
        <v>21</v>
      </c>
      <c r="AL4042" t="inlineStr">
        <is>
          <t>Miss Glam Damar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OMG</t>
        </is>
      </c>
      <c r="B4043" s="2">
        <f>"8997241850025"</f>
        <v/>
      </c>
      <c r="C4043" t="inlineStr">
        <is>
          <t>OMG Oh My Glow Bright Booster Face Wash 50ml</t>
        </is>
      </c>
      <c r="D4043" t="inlineStr">
        <is>
          <t>Miss Glam Damar</t>
        </is>
      </c>
      <c r="E4043" t="n">
        <v>26</v>
      </c>
      <c r="F4043" t="n">
        <v>1.8837</v>
      </c>
      <c r="G4043" t="n">
        <v>6.37</v>
      </c>
      <c r="H4043" t="n">
        <v>2</v>
      </c>
      <c r="I4043" t="n">
        <v>6</v>
      </c>
      <c r="J4043" t="n">
        <v>3</v>
      </c>
      <c r="K4043" t="n">
        <v>0</v>
      </c>
      <c r="L4043" t="n">
        <v>11730</v>
      </c>
      <c r="M4043" t="n">
        <v>14300</v>
      </c>
      <c r="N4043" t="n">
        <v>91</v>
      </c>
      <c r="O4043" t="n">
        <v>0.91</v>
      </c>
      <c r="P4043" t="n">
        <v>1</v>
      </c>
      <c r="Q4043" t="n">
        <v>1.12</v>
      </c>
      <c r="R4043" t="n">
        <v>4</v>
      </c>
      <c r="S4043" t="n">
        <v>26936.91</v>
      </c>
      <c r="T4043" t="n">
        <v>35</v>
      </c>
      <c r="U4043" t="n">
        <v>39</v>
      </c>
      <c r="V4043" t="n">
        <v>30</v>
      </c>
      <c r="W4043" t="n">
        <v>57</v>
      </c>
      <c r="X4043" t="n">
        <v>13.80262249827467</v>
      </c>
      <c r="Y4043" t="n">
        <v>1</v>
      </c>
      <c r="Z4043" t="n">
        <v>31</v>
      </c>
      <c r="AA4043" t="n">
        <v>0</v>
      </c>
      <c r="AB4043" t="n">
        <v>31</v>
      </c>
      <c r="AC4043" t="n">
        <v>31</v>
      </c>
      <c r="AD4043" t="n">
        <v>0</v>
      </c>
      <c r="AE4043" t="n">
        <v>363630</v>
      </c>
      <c r="AF4043" t="n">
        <v>11715</v>
      </c>
      <c r="AG4043" t="n">
        <v>63</v>
      </c>
      <c r="AH4043" t="inlineStr">
        <is>
          <t>PT. PARAMA GLOBAL INSPIRA - PPN (PDG)</t>
        </is>
      </c>
      <c r="AI4043" t="n">
        <v>563</v>
      </c>
      <c r="AJ4043" t="inlineStr">
        <is>
          <t>OMG</t>
        </is>
      </c>
      <c r="AK4043" t="n">
        <v>21</v>
      </c>
      <c r="AL4043" t="inlineStr">
        <is>
          <t>Miss Glam Damar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OMG</t>
        </is>
      </c>
      <c r="B4044" s="2">
        <f>"10100723654"</f>
        <v/>
      </c>
      <c r="C4044" t="inlineStr">
        <is>
          <t>OMG Oh My Glow Hydrapower Micellar Water 300 ml</t>
        </is>
      </c>
      <c r="D4044" t="inlineStr">
        <is>
          <t>Miss Glam Damar</t>
        </is>
      </c>
      <c r="E4044" t="n">
        <v>17</v>
      </c>
      <c r="F4044" t="n">
        <v>0.6006</v>
      </c>
      <c r="G4044" t="n">
        <v>2.73</v>
      </c>
      <c r="H4044" t="n">
        <v>2</v>
      </c>
      <c r="I4044" t="n">
        <v>6</v>
      </c>
      <c r="J4044" t="n">
        <v>1</v>
      </c>
      <c r="K4044" t="n">
        <v>0</v>
      </c>
      <c r="L4044" t="n">
        <v>35190</v>
      </c>
      <c r="M4044" t="n">
        <v>41500</v>
      </c>
      <c r="N4044" t="n">
        <v>91</v>
      </c>
      <c r="O4044" t="n">
        <v>0.91</v>
      </c>
      <c r="P4044" t="n">
        <v>1</v>
      </c>
      <c r="Q4044" t="n">
        <v>0.6899999999999999</v>
      </c>
      <c r="R4044" t="n">
        <v>3</v>
      </c>
      <c r="S4044" t="n">
        <v>24924.9</v>
      </c>
      <c r="T4044" t="n">
        <v>16</v>
      </c>
      <c r="U4044" t="n">
        <v>18</v>
      </c>
      <c r="V4044" t="n">
        <v>30</v>
      </c>
      <c r="W4044" t="n">
        <v>19</v>
      </c>
      <c r="X4044" t="n">
        <v>28.3050283050283</v>
      </c>
      <c r="Y4044" t="n">
        <v>1</v>
      </c>
      <c r="Z4044" t="n">
        <v>2</v>
      </c>
      <c r="AA4044" t="n">
        <v>0</v>
      </c>
      <c r="AB4044" t="n">
        <v>2</v>
      </c>
      <c r="AC4044" t="n">
        <v>2</v>
      </c>
      <c r="AD4044" t="n">
        <v>0</v>
      </c>
      <c r="AE4044" t="n">
        <v>70380</v>
      </c>
      <c r="AF4044" t="n">
        <v>11715</v>
      </c>
      <c r="AG4044" t="n">
        <v>63</v>
      </c>
      <c r="AH4044" t="inlineStr">
        <is>
          <t>PT. PARAMA GLOBAL INSPIRA - PPN (PDG)</t>
        </is>
      </c>
      <c r="AI4044" t="n">
        <v>563</v>
      </c>
      <c r="AJ4044" t="inlineStr">
        <is>
          <t>OMG</t>
        </is>
      </c>
      <c r="AK4044" t="n">
        <v>21</v>
      </c>
      <c r="AL4044" t="inlineStr">
        <is>
          <t>Miss Glam Damar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OMG</t>
        </is>
      </c>
      <c r="B4045" s="2">
        <f>"10100723147"</f>
        <v/>
      </c>
      <c r="C4045" t="inlineStr">
        <is>
          <t>OMG Oh My Glow HydraPower Micellar Water 65ml</t>
        </is>
      </c>
      <c r="D4045" t="inlineStr">
        <is>
          <t>Miss Glam Damar</t>
        </is>
      </c>
      <c r="E4045" t="n">
        <v>23</v>
      </c>
      <c r="F4045" t="n">
        <v>2.548</v>
      </c>
      <c r="G4045" t="n">
        <v>7.28</v>
      </c>
      <c r="H4045" t="n">
        <v>2</v>
      </c>
      <c r="I4045" t="n">
        <v>6</v>
      </c>
      <c r="J4045" t="n">
        <v>1</v>
      </c>
      <c r="K4045" t="n">
        <v>0</v>
      </c>
      <c r="L4045" t="n">
        <v>9775</v>
      </c>
      <c r="M4045" t="n">
        <v>12500</v>
      </c>
      <c r="N4045" t="n">
        <v>91</v>
      </c>
      <c r="O4045" t="n">
        <v>0.91</v>
      </c>
      <c r="P4045" t="n">
        <v>1</v>
      </c>
      <c r="Q4045" t="n">
        <v>1.2</v>
      </c>
      <c r="R4045" t="n">
        <v>4</v>
      </c>
      <c r="S4045" t="n">
        <v>31850</v>
      </c>
      <c r="T4045" t="n">
        <v>39</v>
      </c>
      <c r="U4045" t="n">
        <v>45</v>
      </c>
      <c r="V4045" t="n">
        <v>30</v>
      </c>
      <c r="W4045" t="n">
        <v>77</v>
      </c>
      <c r="X4045" t="n">
        <v>9.026687598116169</v>
      </c>
      <c r="Y4045" t="n">
        <v>1</v>
      </c>
      <c r="Z4045" t="n">
        <v>54</v>
      </c>
      <c r="AA4045" t="n">
        <v>0</v>
      </c>
      <c r="AB4045" t="n">
        <v>54</v>
      </c>
      <c r="AC4045" t="n">
        <v>54</v>
      </c>
      <c r="AD4045" t="n">
        <v>0</v>
      </c>
      <c r="AE4045" t="n">
        <v>527850</v>
      </c>
      <c r="AF4045" t="n">
        <v>11715</v>
      </c>
      <c r="AG4045" t="n">
        <v>63</v>
      </c>
      <c r="AH4045" t="inlineStr">
        <is>
          <t>PT. PARAMA GLOBAL INSPIRA - PPN (PDG)</t>
        </is>
      </c>
      <c r="AI4045" t="n">
        <v>563</v>
      </c>
      <c r="AJ4045" t="inlineStr">
        <is>
          <t>OMG</t>
        </is>
      </c>
      <c r="AK4045" t="n">
        <v>21</v>
      </c>
      <c r="AL4045" t="inlineStr">
        <is>
          <t>Miss Glam Damar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OMG</t>
        </is>
      </c>
      <c r="B4046" s="2">
        <f>"8997241850049"</f>
        <v/>
      </c>
      <c r="C4046" t="inlineStr">
        <is>
          <t>OMG Oh My Glow Peach Glowing Cream 25gr</t>
        </is>
      </c>
      <c r="D4046" t="inlineStr">
        <is>
          <t>Miss Glam Damar</t>
        </is>
      </c>
      <c r="E4046" t="n">
        <v>12</v>
      </c>
      <c r="F4046" t="n">
        <v>1.6835</v>
      </c>
      <c r="G4046" t="n">
        <v>5.46</v>
      </c>
      <c r="H4046" t="n">
        <v>2</v>
      </c>
      <c r="I4046" t="n">
        <v>6</v>
      </c>
      <c r="J4046" t="n">
        <v>3</v>
      </c>
      <c r="K4046" t="n">
        <v>0</v>
      </c>
      <c r="L4046" t="n">
        <v>14466</v>
      </c>
      <c r="M4046" t="n">
        <v>17500</v>
      </c>
      <c r="N4046" t="n">
        <v>91</v>
      </c>
      <c r="O4046" t="n">
        <v>0.91</v>
      </c>
      <c r="P4046" t="n">
        <v>1</v>
      </c>
      <c r="Q4046" t="n">
        <v>0.78</v>
      </c>
      <c r="R4046" t="n">
        <v>4</v>
      </c>
      <c r="S4046" t="n">
        <v>29461.25</v>
      </c>
      <c r="T4046" t="n">
        <v>30</v>
      </c>
      <c r="U4046" t="n">
        <v>34</v>
      </c>
      <c r="V4046" t="n">
        <v>30</v>
      </c>
      <c r="W4046" t="n">
        <v>51</v>
      </c>
      <c r="X4046" t="n">
        <v>7.128007128007127</v>
      </c>
      <c r="Y4046" t="n">
        <v>1</v>
      </c>
      <c r="Z4046" t="n">
        <v>39</v>
      </c>
      <c r="AA4046" t="n">
        <v>0</v>
      </c>
      <c r="AB4046" t="n">
        <v>39</v>
      </c>
      <c r="AC4046" t="n">
        <v>39</v>
      </c>
      <c r="AD4046" t="n">
        <v>0</v>
      </c>
      <c r="AE4046" t="n">
        <v>564174</v>
      </c>
      <c r="AF4046" t="n">
        <v>11715</v>
      </c>
      <c r="AG4046" t="n">
        <v>63</v>
      </c>
      <c r="AH4046" t="inlineStr">
        <is>
          <t>PT. PARAMA GLOBAL INSPIRA - PPN (PDG)</t>
        </is>
      </c>
      <c r="AI4046" t="n">
        <v>563</v>
      </c>
      <c r="AJ4046" t="inlineStr">
        <is>
          <t>OMG</t>
        </is>
      </c>
      <c r="AK4046" t="n">
        <v>21</v>
      </c>
      <c r="AL4046" t="inlineStr">
        <is>
          <t>Miss Glam Damar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OMG</t>
        </is>
      </c>
      <c r="B4047" s="2">
        <f>"101001118738"</f>
        <v/>
      </c>
      <c r="C4047" t="inlineStr">
        <is>
          <t>OMG OH MY GLOW Salicylic Acid Cica Low pH Gel Cleanser 70ml</t>
        </is>
      </c>
      <c r="D4047" t="inlineStr">
        <is>
          <t>Miss Glam Damar</t>
        </is>
      </c>
      <c r="E4047" t="n">
        <v>23</v>
      </c>
      <c r="F4047" t="n">
        <v>0.06370000000000001</v>
      </c>
      <c r="G4047" t="n">
        <v>0.91</v>
      </c>
      <c r="H4047" t="n">
        <v>2</v>
      </c>
      <c r="I4047" t="n">
        <v>6</v>
      </c>
      <c r="J4047" t="n">
        <v>1</v>
      </c>
      <c r="K4047" t="n">
        <v>0</v>
      </c>
      <c r="L4047" t="n">
        <v>19550</v>
      </c>
      <c r="M4047" t="n">
        <v>23000</v>
      </c>
      <c r="N4047" t="n">
        <v>91</v>
      </c>
      <c r="O4047" t="n">
        <v>0.91</v>
      </c>
      <c r="P4047" t="n">
        <v>1</v>
      </c>
      <c r="Q4047" t="n">
        <v>0.02</v>
      </c>
      <c r="R4047" t="n">
        <v>1</v>
      </c>
      <c r="S4047" t="n">
        <v>1465.1</v>
      </c>
      <c r="T4047" t="n">
        <v>6</v>
      </c>
      <c r="U4047" t="n">
        <v>7</v>
      </c>
      <c r="V4047" t="n">
        <v>30</v>
      </c>
      <c r="W4047" t="n">
        <v>2</v>
      </c>
      <c r="X4047" t="n">
        <v>361.0675039246468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11715</v>
      </c>
      <c r="AG4047" t="n">
        <v>63</v>
      </c>
      <c r="AH4047" t="inlineStr">
        <is>
          <t>PT. PARAMA GLOBAL INSPIRA - PPN (PDG)</t>
        </is>
      </c>
      <c r="AI4047" t="n">
        <v>563</v>
      </c>
      <c r="AJ4047" t="inlineStr">
        <is>
          <t>OMG</t>
        </is>
      </c>
      <c r="AK4047" t="n">
        <v>21</v>
      </c>
      <c r="AL4047" t="inlineStr">
        <is>
          <t>Miss Glam Damar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OMG</t>
        </is>
      </c>
      <c r="B4048" s="2">
        <f>"8997241850193"</f>
        <v/>
      </c>
      <c r="C4048" t="inlineStr">
        <is>
          <t>OMG Peach Glowing Serum 20ml</t>
        </is>
      </c>
      <c r="D4048" t="inlineStr">
        <is>
          <t>Miss Glam Damar</t>
        </is>
      </c>
      <c r="E4048" t="n">
        <v>6</v>
      </c>
      <c r="F4048" t="n">
        <v>0.1365</v>
      </c>
      <c r="G4048" t="n">
        <v>0.91</v>
      </c>
      <c r="H4048" t="n">
        <v>2</v>
      </c>
      <c r="I4048" t="n">
        <v>6</v>
      </c>
      <c r="J4048" t="n">
        <v>3</v>
      </c>
      <c r="K4048" t="n">
        <v>0</v>
      </c>
      <c r="L4048" t="n">
        <v>19541</v>
      </c>
      <c r="M4048" t="n">
        <v>24000</v>
      </c>
      <c r="N4048" t="n">
        <v>91</v>
      </c>
      <c r="O4048" t="n">
        <v>0.91</v>
      </c>
      <c r="P4048" t="n">
        <v>1</v>
      </c>
      <c r="Q4048" t="n">
        <v>0.14</v>
      </c>
      <c r="R4048" t="n">
        <v>2</v>
      </c>
      <c r="S4048" t="n">
        <v>3276</v>
      </c>
      <c r="T4048" t="n">
        <v>6</v>
      </c>
      <c r="U4048" t="n">
        <v>7</v>
      </c>
      <c r="V4048" t="n">
        <v>30</v>
      </c>
      <c r="W4048" t="n">
        <v>5</v>
      </c>
      <c r="X4048" t="n">
        <v>43.95604395604396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11715</v>
      </c>
      <c r="AG4048" t="n">
        <v>63</v>
      </c>
      <c r="AH4048" t="inlineStr">
        <is>
          <t>PT. PARAMA GLOBAL INSPIRA - PPN (PDG)</t>
        </is>
      </c>
      <c r="AI4048" t="n">
        <v>563</v>
      </c>
      <c r="AJ4048" t="inlineStr">
        <is>
          <t>OMG</t>
        </is>
      </c>
      <c r="AK4048" t="n">
        <v>21</v>
      </c>
      <c r="AL4048" t="inlineStr">
        <is>
          <t>Miss Glam Damar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OMG</t>
        </is>
      </c>
      <c r="B4049" s="2">
        <f>"8997241850209"</f>
        <v/>
      </c>
      <c r="C4049" t="inlineStr">
        <is>
          <t>OMG Peach Glowing Serum 7.5gr</t>
        </is>
      </c>
      <c r="D4049" t="inlineStr">
        <is>
          <t>Miss Glam Damar</t>
        </is>
      </c>
      <c r="E4049" t="n">
        <v>4</v>
      </c>
      <c r="F4049" t="n">
        <v>0.2</v>
      </c>
      <c r="G4049" t="n">
        <v>2</v>
      </c>
      <c r="H4049" t="n">
        <v>2</v>
      </c>
      <c r="I4049" t="n">
        <v>6</v>
      </c>
      <c r="J4049" t="n">
        <v>3</v>
      </c>
      <c r="K4049" t="n">
        <v>0</v>
      </c>
      <c r="L4049" t="n">
        <v>7820</v>
      </c>
      <c r="M4049" t="n">
        <v>10500</v>
      </c>
      <c r="N4049" t="n">
        <v>91</v>
      </c>
      <c r="O4049" t="n">
        <v>0.91</v>
      </c>
      <c r="P4049" t="n">
        <v>0</v>
      </c>
      <c r="Q4049" t="n">
        <v>0.2</v>
      </c>
      <c r="R4049" t="n">
        <v>2</v>
      </c>
      <c r="S4049" t="n">
        <v>2100</v>
      </c>
      <c r="T4049" t="n">
        <v>12</v>
      </c>
      <c r="U4049" t="n">
        <v>13</v>
      </c>
      <c r="V4049" t="n">
        <v>30</v>
      </c>
      <c r="W4049" t="n">
        <v>6</v>
      </c>
      <c r="X4049" t="n">
        <v>20</v>
      </c>
      <c r="Y4049" t="n">
        <v>1</v>
      </c>
      <c r="Z4049" t="n">
        <v>2</v>
      </c>
      <c r="AA4049" t="n">
        <v>0</v>
      </c>
      <c r="AB4049" t="n">
        <v>2</v>
      </c>
      <c r="AC4049" t="n">
        <v>3</v>
      </c>
      <c r="AD4049" t="n">
        <v>0</v>
      </c>
      <c r="AE4049" t="n">
        <v>23460</v>
      </c>
      <c r="AF4049" t="n">
        <v>11715</v>
      </c>
      <c r="AG4049" t="n">
        <v>63</v>
      </c>
      <c r="AH4049" t="inlineStr">
        <is>
          <t>PT. PARAMA GLOBAL INSPIRA - PPN (PDG)</t>
        </is>
      </c>
      <c r="AI4049" t="n">
        <v>563</v>
      </c>
      <c r="AJ4049" t="inlineStr">
        <is>
          <t>OMG</t>
        </is>
      </c>
      <c r="AK4049" t="n">
        <v>21</v>
      </c>
      <c r="AL4049" t="inlineStr">
        <is>
          <t>Miss Glam Damar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OMG</t>
        </is>
      </c>
      <c r="B4050" s="2">
        <f>"20200465820"</f>
        <v/>
      </c>
      <c r="C4050" t="inlineStr">
        <is>
          <t>OMG Precise Matic Eyebrow 01 Dark Brown 0.07gr</t>
        </is>
      </c>
      <c r="D4050" t="inlineStr">
        <is>
          <t>Miss Glam Damar</t>
        </is>
      </c>
      <c r="E4050" t="n">
        <v>22</v>
      </c>
      <c r="F4050" t="n">
        <v>0.5369</v>
      </c>
      <c r="G4050" t="n">
        <v>3.64</v>
      </c>
      <c r="H4050" t="n">
        <v>2</v>
      </c>
      <c r="I4050" t="n">
        <v>6</v>
      </c>
      <c r="J4050" t="n">
        <v>1</v>
      </c>
      <c r="K4050" t="n">
        <v>0</v>
      </c>
      <c r="L4050" t="n">
        <v>20332</v>
      </c>
      <c r="M4050" t="n">
        <v>23500</v>
      </c>
      <c r="N4050" t="n">
        <v>91</v>
      </c>
      <c r="O4050" t="n">
        <v>0.91</v>
      </c>
      <c r="P4050" t="n">
        <v>1</v>
      </c>
      <c r="Q4050" t="n">
        <v>0.66</v>
      </c>
      <c r="R4050" t="n">
        <v>4</v>
      </c>
      <c r="S4050" t="n">
        <v>12617.15</v>
      </c>
      <c r="T4050" t="n">
        <v>21</v>
      </c>
      <c r="U4050" t="n">
        <v>23</v>
      </c>
      <c r="V4050" t="n">
        <v>30</v>
      </c>
      <c r="W4050" t="n">
        <v>17</v>
      </c>
      <c r="X4050" t="n">
        <v>40.97597317936301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11715</v>
      </c>
      <c r="AG4050" t="n">
        <v>63</v>
      </c>
      <c r="AH4050" t="inlineStr">
        <is>
          <t>PT. PARAMA GLOBAL INSPIRA - PPN (PDG)</t>
        </is>
      </c>
      <c r="AI4050" t="n">
        <v>563</v>
      </c>
      <c r="AJ4050" t="inlineStr">
        <is>
          <t>OMG</t>
        </is>
      </c>
      <c r="AK4050" t="n">
        <v>21</v>
      </c>
      <c r="AL4050" t="inlineStr">
        <is>
          <t>Miss Glam Damar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OMG</t>
        </is>
      </c>
      <c r="B4051" s="2">
        <f>"20200465906"</f>
        <v/>
      </c>
      <c r="C4051" t="inlineStr">
        <is>
          <t>OMG Precise Matic Eyebrow 02 Grey Brown 0.07gr</t>
        </is>
      </c>
      <c r="D4051" t="inlineStr">
        <is>
          <t>Miss Glam Damar</t>
        </is>
      </c>
      <c r="E4051" t="n">
        <v>20</v>
      </c>
      <c r="F4051" t="n">
        <v>0.2184</v>
      </c>
      <c r="G4051" t="n">
        <v>1.82</v>
      </c>
      <c r="H4051" t="n">
        <v>2</v>
      </c>
      <c r="I4051" t="n">
        <v>6</v>
      </c>
      <c r="J4051" t="n">
        <v>1</v>
      </c>
      <c r="K4051" t="n">
        <v>0</v>
      </c>
      <c r="L4051" t="n">
        <v>20330</v>
      </c>
      <c r="M4051" t="n">
        <v>23500</v>
      </c>
      <c r="N4051" t="n">
        <v>91</v>
      </c>
      <c r="O4051" t="n">
        <v>0.91</v>
      </c>
      <c r="P4051" t="n">
        <v>1</v>
      </c>
      <c r="Q4051" t="n">
        <v>0.8100000000000001</v>
      </c>
      <c r="R4051" t="n">
        <v>4</v>
      </c>
      <c r="S4051" t="n">
        <v>5132.400000000001</v>
      </c>
      <c r="T4051" t="n">
        <v>11</v>
      </c>
      <c r="U4051" t="n">
        <v>12</v>
      </c>
      <c r="V4051" t="n">
        <v>30</v>
      </c>
      <c r="W4051" t="n">
        <v>7</v>
      </c>
      <c r="X4051" t="n">
        <v>91.57509157509158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11715</v>
      </c>
      <c r="AG4051" t="n">
        <v>63</v>
      </c>
      <c r="AH4051" t="inlineStr">
        <is>
          <t>PT. PARAMA GLOBAL INSPIRA - PPN (PDG)</t>
        </is>
      </c>
      <c r="AI4051" t="n">
        <v>563</v>
      </c>
      <c r="AJ4051" t="inlineStr">
        <is>
          <t>OMG</t>
        </is>
      </c>
      <c r="AK4051" t="n">
        <v>21</v>
      </c>
      <c r="AL4051" t="inlineStr">
        <is>
          <t>Miss Glam Damar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OMG</t>
        </is>
      </c>
      <c r="B4052" s="2">
        <f>"8997241850414"</f>
        <v/>
      </c>
      <c r="C4052" t="inlineStr">
        <is>
          <t>OMG Two Way Cake 21W Light 12gr</t>
        </is>
      </c>
      <c r="D4052" t="inlineStr">
        <is>
          <t>Miss Glam Damar</t>
        </is>
      </c>
      <c r="E4052" t="n">
        <v>55</v>
      </c>
      <c r="F4052" t="n">
        <v>2.8847</v>
      </c>
      <c r="G4052" t="n">
        <v>9.1</v>
      </c>
      <c r="H4052" t="n">
        <v>2</v>
      </c>
      <c r="I4052" t="n">
        <v>6</v>
      </c>
      <c r="J4052" t="n">
        <v>3</v>
      </c>
      <c r="K4052" t="n">
        <v>0</v>
      </c>
      <c r="L4052" t="n">
        <v>19940</v>
      </c>
      <c r="M4052" t="n">
        <v>22000</v>
      </c>
      <c r="N4052" t="n">
        <v>91</v>
      </c>
      <c r="O4052" t="n">
        <v>0.91</v>
      </c>
      <c r="P4052" t="n">
        <v>1</v>
      </c>
      <c r="Q4052" t="n">
        <v>2.78</v>
      </c>
      <c r="R4052" t="n">
        <v>8</v>
      </c>
      <c r="S4052" t="n">
        <v>63463.4</v>
      </c>
      <c r="T4052" t="n">
        <v>49</v>
      </c>
      <c r="U4052" t="n">
        <v>55</v>
      </c>
      <c r="V4052" t="n">
        <v>30</v>
      </c>
      <c r="W4052" t="n">
        <v>87</v>
      </c>
      <c r="X4052" t="n">
        <v>19.0661073941831</v>
      </c>
      <c r="Y4052" t="n">
        <v>1</v>
      </c>
      <c r="Z4052" t="n">
        <v>32</v>
      </c>
      <c r="AA4052" t="n">
        <v>0</v>
      </c>
      <c r="AB4052" t="n">
        <v>32</v>
      </c>
      <c r="AC4052" t="n">
        <v>32</v>
      </c>
      <c r="AD4052" t="n">
        <v>0</v>
      </c>
      <c r="AE4052" t="n">
        <v>638080</v>
      </c>
      <c r="AF4052" t="n">
        <v>11715</v>
      </c>
      <c r="AG4052" t="n">
        <v>63</v>
      </c>
      <c r="AH4052" t="inlineStr">
        <is>
          <t>PT. PARAMA GLOBAL INSPIRA - PPN (PDG)</t>
        </is>
      </c>
      <c r="AI4052" t="n">
        <v>563</v>
      </c>
      <c r="AJ4052" t="inlineStr">
        <is>
          <t>OMG</t>
        </is>
      </c>
      <c r="AK4052" t="n">
        <v>21</v>
      </c>
      <c r="AL4052" t="inlineStr">
        <is>
          <t>Miss Glam Damar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OMG</t>
        </is>
      </c>
      <c r="B4053" s="2">
        <f>"8997241850438"</f>
        <v/>
      </c>
      <c r="C4053" t="inlineStr">
        <is>
          <t>OMG Two Way Cake 41W Sand 12gr</t>
        </is>
      </c>
      <c r="D4053" t="inlineStr">
        <is>
          <t>Miss Glam Damar</t>
        </is>
      </c>
      <c r="E4053" t="n">
        <v>36</v>
      </c>
      <c r="F4053" t="n">
        <v>2.1749</v>
      </c>
      <c r="G4053" t="n">
        <v>7.28</v>
      </c>
      <c r="H4053" t="n">
        <v>2</v>
      </c>
      <c r="I4053" t="n">
        <v>6</v>
      </c>
      <c r="J4053" t="n">
        <v>3</v>
      </c>
      <c r="K4053" t="n">
        <v>0</v>
      </c>
      <c r="L4053" t="n">
        <v>19940</v>
      </c>
      <c r="M4053" t="n">
        <v>22000</v>
      </c>
      <c r="N4053" t="n">
        <v>91</v>
      </c>
      <c r="O4053" t="n">
        <v>0.91</v>
      </c>
      <c r="P4053" t="n">
        <v>1</v>
      </c>
      <c r="Q4053" t="n">
        <v>1.31</v>
      </c>
      <c r="R4053" t="n">
        <v>5</v>
      </c>
      <c r="S4053" t="n">
        <v>47847.8</v>
      </c>
      <c r="T4053" t="n">
        <v>40</v>
      </c>
      <c r="U4053" t="n">
        <v>45</v>
      </c>
      <c r="V4053" t="n">
        <v>30</v>
      </c>
      <c r="W4053" t="n">
        <v>66</v>
      </c>
      <c r="X4053" t="n">
        <v>16.55248517173203</v>
      </c>
      <c r="Y4053" t="n">
        <v>1</v>
      </c>
      <c r="Z4053" t="n">
        <v>30</v>
      </c>
      <c r="AA4053" t="n">
        <v>0</v>
      </c>
      <c r="AB4053" t="n">
        <v>30</v>
      </c>
      <c r="AC4053" t="n">
        <v>30</v>
      </c>
      <c r="AD4053" t="n">
        <v>0</v>
      </c>
      <c r="AE4053" t="n">
        <v>598200</v>
      </c>
      <c r="AF4053" t="n">
        <v>11715</v>
      </c>
      <c r="AG4053" t="n">
        <v>63</v>
      </c>
      <c r="AH4053" t="inlineStr">
        <is>
          <t>PT. PARAMA GLOBAL INSPIRA - PPN (PDG)</t>
        </is>
      </c>
      <c r="AI4053" t="n">
        <v>563</v>
      </c>
      <c r="AJ4053" t="inlineStr">
        <is>
          <t>OMG</t>
        </is>
      </c>
      <c r="AK4053" t="n">
        <v>21</v>
      </c>
      <c r="AL4053" t="inlineStr">
        <is>
          <t>Miss Glam Damar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OMG</t>
        </is>
      </c>
      <c r="B4054" s="2">
        <f>"8997241850766"</f>
        <v/>
      </c>
      <c r="C4054" t="inlineStr">
        <is>
          <t>OMG Uv Barrier Sunscreen Spf 50 PA++++ 25ml</t>
        </is>
      </c>
      <c r="D4054" t="inlineStr">
        <is>
          <t>Miss Glam Damar</t>
        </is>
      </c>
      <c r="E4054" t="n">
        <v>79</v>
      </c>
      <c r="F4054" t="n">
        <v>6.2426</v>
      </c>
      <c r="G4054" t="n">
        <v>14.56</v>
      </c>
      <c r="H4054" t="n">
        <v>2</v>
      </c>
      <c r="I4054" t="n">
        <v>6</v>
      </c>
      <c r="J4054" t="n">
        <v>3</v>
      </c>
      <c r="K4054" t="n">
        <v>0</v>
      </c>
      <c r="L4054" t="n">
        <v>20331</v>
      </c>
      <c r="M4054" t="n">
        <v>25000</v>
      </c>
      <c r="N4054" t="n">
        <v>91</v>
      </c>
      <c r="O4054" t="n">
        <v>0.91</v>
      </c>
      <c r="P4054" t="n">
        <v>1</v>
      </c>
      <c r="Q4054" t="n">
        <v>3.49</v>
      </c>
      <c r="R4054" t="n">
        <v>10</v>
      </c>
      <c r="S4054" t="n">
        <v>156065</v>
      </c>
      <c r="T4054" t="n">
        <v>75</v>
      </c>
      <c r="U4054" t="n">
        <v>88</v>
      </c>
      <c r="V4054" t="n">
        <v>30</v>
      </c>
      <c r="W4054" t="n">
        <v>188</v>
      </c>
      <c r="X4054" t="n">
        <v>12.65498350046455</v>
      </c>
      <c r="Y4054" t="n">
        <v>1</v>
      </c>
      <c r="Z4054" t="n">
        <v>109</v>
      </c>
      <c r="AA4054" t="n">
        <v>0</v>
      </c>
      <c r="AB4054" t="n">
        <v>109</v>
      </c>
      <c r="AC4054" t="n">
        <v>109</v>
      </c>
      <c r="AD4054" t="n">
        <v>0</v>
      </c>
      <c r="AE4054" t="n">
        <v>2216079</v>
      </c>
      <c r="AF4054" t="n">
        <v>11715</v>
      </c>
      <c r="AG4054" t="n">
        <v>63</v>
      </c>
      <c r="AH4054" t="inlineStr">
        <is>
          <t>PT. PARAMA GLOBAL INSPIRA - PPN (PDG)</t>
        </is>
      </c>
      <c r="AI4054" t="n">
        <v>563</v>
      </c>
      <c r="AJ4054" t="inlineStr">
        <is>
          <t>OMG</t>
        </is>
      </c>
      <c r="AK4054" t="n">
        <v>21</v>
      </c>
      <c r="AL4054" t="inlineStr">
        <is>
          <t>Miss Glam Damar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ORAL-B</t>
        </is>
      </c>
      <c r="B4055" s="2">
        <f>"4902430678421"</f>
        <v/>
      </c>
      <c r="C4055" t="inlineStr">
        <is>
          <t>ORAL-B Ultra Thin Green Tea Sikat Gigi 3 pcs</t>
        </is>
      </c>
      <c r="D4055" t="inlineStr">
        <is>
          <t>Miss Glam Damar</t>
        </is>
      </c>
      <c r="E4055" t="n">
        <v>10</v>
      </c>
      <c r="F4055" t="n">
        <v>0.03</v>
      </c>
      <c r="G4055" t="n">
        <v>1</v>
      </c>
      <c r="H4055" t="n">
        <v>5</v>
      </c>
      <c r="I4055" t="n">
        <v>6</v>
      </c>
      <c r="J4055" t="n">
        <v>3</v>
      </c>
      <c r="K4055" t="n">
        <v>0</v>
      </c>
      <c r="L4055" t="n">
        <v>51886</v>
      </c>
      <c r="M4055" t="n">
        <v>59500</v>
      </c>
      <c r="N4055" t="n">
        <v>91</v>
      </c>
      <c r="O4055" t="n">
        <v>0.91</v>
      </c>
      <c r="P4055" t="n">
        <v>0</v>
      </c>
      <c r="Q4055" t="n">
        <v>0.03</v>
      </c>
      <c r="R4055" t="n">
        <v>1</v>
      </c>
      <c r="S4055" t="n">
        <v>1785</v>
      </c>
      <c r="T4055" t="n">
        <v>6</v>
      </c>
      <c r="U4055" t="n">
        <v>7</v>
      </c>
      <c r="V4055" t="n">
        <v>30</v>
      </c>
      <c r="W4055" t="n">
        <v>1</v>
      </c>
      <c r="X4055" t="n">
        <v>333.3333333333334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11393</v>
      </c>
      <c r="AG4055" t="n">
        <v>561</v>
      </c>
      <c r="AH4055" t="inlineStr">
        <is>
          <t>PT. PANCA PILAR TANGGUH - PPN (PDG)</t>
        </is>
      </c>
      <c r="AI4055" t="n">
        <v>1771</v>
      </c>
      <c r="AJ4055" t="inlineStr">
        <is>
          <t>ORAL-B</t>
        </is>
      </c>
      <c r="AK4055" t="n">
        <v>21</v>
      </c>
      <c r="AL4055" t="inlineStr">
        <is>
          <t>Miss Glam Damar</t>
        </is>
      </c>
      <c r="AM4055" t="n">
        <v>5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ORINESIA</t>
        </is>
      </c>
      <c r="B4056" s="2">
        <f>"40100203801"</f>
        <v/>
      </c>
      <c r="C4056" t="inlineStr">
        <is>
          <t>ORINESIA Dry Shampoo Non Aerosol Hair Powder 32gr</t>
        </is>
      </c>
      <c r="D4056" t="inlineStr">
        <is>
          <t>Miss Glam Damar</t>
        </is>
      </c>
      <c r="E4056" t="n">
        <v>4</v>
      </c>
      <c r="F4056" t="n">
        <v>0.0182</v>
      </c>
      <c r="G4056" t="n">
        <v>0.91</v>
      </c>
      <c r="H4056" t="n">
        <v>4</v>
      </c>
      <c r="I4056" t="n">
        <v>21</v>
      </c>
      <c r="J4056" t="n">
        <v>3</v>
      </c>
      <c r="K4056" t="n">
        <v>0</v>
      </c>
      <c r="L4056" t="n">
        <v>87430</v>
      </c>
      <c r="M4056" t="n">
        <v>125000</v>
      </c>
      <c r="N4056" t="n">
        <v>91</v>
      </c>
      <c r="O4056" t="n">
        <v>0.91</v>
      </c>
      <c r="P4056" t="n">
        <v>1</v>
      </c>
      <c r="Q4056" t="n">
        <v>0.02</v>
      </c>
      <c r="R4056" t="n">
        <v>1</v>
      </c>
      <c r="S4056" t="n">
        <v>2275</v>
      </c>
      <c r="T4056" t="n">
        <v>20</v>
      </c>
      <c r="U4056" t="n">
        <v>21</v>
      </c>
      <c r="V4056" t="n">
        <v>30</v>
      </c>
      <c r="W4056" t="n">
        <v>1</v>
      </c>
      <c r="X4056" t="n">
        <v>219.7802197802198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7573</v>
      </c>
      <c r="AG4056" t="n">
        <v>1</v>
      </c>
      <c r="AH4056" t="inlineStr">
        <is>
          <t>PT. BERSAMA DISTRIVERSA INDONESIA (DC CIPUTAT)</t>
        </is>
      </c>
      <c r="AI4056" t="n">
        <v>2236</v>
      </c>
      <c r="AJ4056" t="inlineStr">
        <is>
          <t>ORINESIA</t>
        </is>
      </c>
      <c r="AK4056" t="n">
        <v>21</v>
      </c>
      <c r="AL4056" t="inlineStr">
        <is>
          <t>Miss Glam Damar</t>
        </is>
      </c>
      <c r="AM4056" t="n">
        <v>3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OURDAYLEE</t>
        </is>
      </c>
      <c r="B4057" s="2">
        <f>"10500583740"</f>
        <v/>
      </c>
      <c r="C4057" t="inlineStr">
        <is>
          <t>OURDAYLEE Ice On Me Wash Off Mask 50gr</t>
        </is>
      </c>
      <c r="D4057" t="inlineStr">
        <is>
          <t>Miss Glam Damar</t>
        </is>
      </c>
      <c r="E4057" t="n">
        <v>5</v>
      </c>
      <c r="F4057" t="n">
        <v>0.02</v>
      </c>
      <c r="G4057" t="n">
        <v>1</v>
      </c>
      <c r="H4057" t="n">
        <v>4</v>
      </c>
      <c r="I4057" t="n">
        <v>21</v>
      </c>
      <c r="J4057" t="n">
        <v>3</v>
      </c>
      <c r="K4057" t="n">
        <v>0</v>
      </c>
      <c r="L4057" t="n">
        <v>92500</v>
      </c>
      <c r="M4057" t="n">
        <v>125000</v>
      </c>
      <c r="N4057" t="n">
        <v>91</v>
      </c>
      <c r="O4057" t="n">
        <v>0.91</v>
      </c>
      <c r="P4057" t="n">
        <v>0</v>
      </c>
      <c r="Q4057" t="n">
        <v>0.02</v>
      </c>
      <c r="R4057" t="n">
        <v>1</v>
      </c>
      <c r="S4057" t="n">
        <v>2500</v>
      </c>
      <c r="T4057" t="n">
        <v>21</v>
      </c>
      <c r="U4057" t="n">
        <v>22</v>
      </c>
      <c r="V4057" t="n">
        <v>30</v>
      </c>
      <c r="W4057" t="n">
        <v>1</v>
      </c>
      <c r="X4057" t="n">
        <v>250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7606</v>
      </c>
      <c r="AG4057" t="n">
        <v>1</v>
      </c>
      <c r="AH4057" t="inlineStr">
        <is>
          <t>PT. BERSAMA DISTRIVERSA INDONESIA (DC CIPUTAT)</t>
        </is>
      </c>
      <c r="AI4057" t="n">
        <v>1854</v>
      </c>
      <c r="AJ4057" t="inlineStr">
        <is>
          <t>OURDAYLEE</t>
        </is>
      </c>
      <c r="AK4057" t="n">
        <v>21</v>
      </c>
      <c r="AL4057" t="inlineStr">
        <is>
          <t>Miss Glam Damar</t>
        </is>
      </c>
      <c r="AM4057" t="n">
        <v>4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PANTENE</t>
        </is>
      </c>
      <c r="B4058" s="2">
        <f>"4987176076649"</f>
        <v/>
      </c>
      <c r="C4058" t="inlineStr">
        <is>
          <t>PANTENE 3 Minutes Miracles Conditioner 70 ml</t>
        </is>
      </c>
      <c r="D4058" t="inlineStr">
        <is>
          <t>Miss Glam Damar</t>
        </is>
      </c>
      <c r="E4058" t="n">
        <v>6</v>
      </c>
      <c r="F4058" t="n">
        <v>0.5551</v>
      </c>
      <c r="G4058" t="n">
        <v>3.64</v>
      </c>
      <c r="H4058" t="n">
        <v>5</v>
      </c>
      <c r="I4058" t="n">
        <v>6</v>
      </c>
      <c r="J4058" t="n">
        <v>3</v>
      </c>
      <c r="K4058" t="n">
        <v>0</v>
      </c>
      <c r="L4058" t="n">
        <v>18159</v>
      </c>
      <c r="M4058" t="n">
        <v>21500</v>
      </c>
      <c r="N4058" t="n">
        <v>91</v>
      </c>
      <c r="O4058" t="n">
        <v>0.91</v>
      </c>
      <c r="P4058" t="n">
        <v>1</v>
      </c>
      <c r="Q4058" t="n">
        <v>0.37</v>
      </c>
      <c r="R4058" t="n">
        <v>2</v>
      </c>
      <c r="S4058" t="n">
        <v>11934.65</v>
      </c>
      <c r="T4058" t="n">
        <v>20</v>
      </c>
      <c r="U4058" t="n">
        <v>23</v>
      </c>
      <c r="V4058" t="n">
        <v>30</v>
      </c>
      <c r="W4058" t="n">
        <v>17</v>
      </c>
      <c r="X4058" t="n">
        <v>10.80886326787966</v>
      </c>
      <c r="Y4058" t="n">
        <v>1</v>
      </c>
      <c r="Z4058" t="n">
        <v>11</v>
      </c>
      <c r="AA4058" t="n">
        <v>0</v>
      </c>
      <c r="AB4058" t="n">
        <v>11</v>
      </c>
      <c r="AC4058" t="n">
        <v>11</v>
      </c>
      <c r="AD4058" t="n">
        <v>0</v>
      </c>
      <c r="AE4058" t="n">
        <v>199749</v>
      </c>
      <c r="AF4058" t="n">
        <v>11395</v>
      </c>
      <c r="AG4058" t="n">
        <v>561</v>
      </c>
      <c r="AH4058" t="inlineStr">
        <is>
          <t>PT. PANCA PILAR TANGGUH - PPN (PDG)</t>
        </is>
      </c>
      <c r="AI4058" t="n">
        <v>919</v>
      </c>
      <c r="AJ4058" t="inlineStr">
        <is>
          <t>PANTENE</t>
        </is>
      </c>
      <c r="AK4058" t="n">
        <v>21</v>
      </c>
      <c r="AL4058" t="inlineStr">
        <is>
          <t>Miss Glam Damar</t>
        </is>
      </c>
      <c r="AM4058" t="n">
        <v>4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PANTENE</t>
        </is>
      </c>
      <c r="B4059" s="2">
        <f>"4902430919449"</f>
        <v/>
      </c>
      <c r="C4059" t="inlineStr">
        <is>
          <t>PANTENE Micellar Detox &amp; Hydrate Pose Water Extract Light Conditioner 300ml</t>
        </is>
      </c>
      <c r="D4059" t="inlineStr">
        <is>
          <t>Miss Glam Damar</t>
        </is>
      </c>
      <c r="E4059" t="n">
        <v>2</v>
      </c>
      <c r="F4059" t="n">
        <v>0.02</v>
      </c>
      <c r="G4059" t="n">
        <v>1</v>
      </c>
      <c r="H4059" t="n">
        <v>5</v>
      </c>
      <c r="I4059" t="n">
        <v>6</v>
      </c>
      <c r="J4059" t="n">
        <v>3</v>
      </c>
      <c r="K4059" t="n">
        <v>0</v>
      </c>
      <c r="L4059" t="n">
        <v>76747</v>
      </c>
      <c r="M4059" t="n">
        <v>99000</v>
      </c>
      <c r="N4059" t="n">
        <v>91</v>
      </c>
      <c r="O4059" t="n">
        <v>0.91</v>
      </c>
      <c r="P4059" t="n">
        <v>0</v>
      </c>
      <c r="Q4059" t="n">
        <v>0.02</v>
      </c>
      <c r="R4059" t="n">
        <v>1</v>
      </c>
      <c r="S4059" t="n">
        <v>1980</v>
      </c>
      <c r="T4059" t="n">
        <v>6</v>
      </c>
      <c r="U4059" t="n">
        <v>7</v>
      </c>
      <c r="V4059" t="n">
        <v>30</v>
      </c>
      <c r="W4059" t="n">
        <v>1</v>
      </c>
      <c r="X4059" t="n">
        <v>100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11395</v>
      </c>
      <c r="AG4059" t="n">
        <v>561</v>
      </c>
      <c r="AH4059" t="inlineStr">
        <is>
          <t>PT. PANCA PILAR TANGGUH - PPN (PDG)</t>
        </is>
      </c>
      <c r="AI4059" t="n">
        <v>919</v>
      </c>
      <c r="AJ4059" t="inlineStr">
        <is>
          <t>PANTENE</t>
        </is>
      </c>
      <c r="AK4059" t="n">
        <v>21</v>
      </c>
      <c r="AL4059" t="inlineStr">
        <is>
          <t>Miss Glam Damar</t>
        </is>
      </c>
      <c r="AM4059" t="n">
        <v>4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PANTENE</t>
        </is>
      </c>
      <c r="B4060" s="2">
        <f>"4987176076632"</f>
        <v/>
      </c>
      <c r="C4060" t="inlineStr">
        <is>
          <t>PANTENE Miracles Biotin Strength Conditioner 70ml</t>
        </is>
      </c>
      <c r="D4060" t="inlineStr">
        <is>
          <t>Miss Glam Damar</t>
        </is>
      </c>
      <c r="E4060" t="n">
        <v>2</v>
      </c>
      <c r="F4060" t="n">
        <v>0.4823000000000001</v>
      </c>
      <c r="G4060" t="n">
        <v>1.82</v>
      </c>
      <c r="H4060" t="n">
        <v>5</v>
      </c>
      <c r="I4060" t="n">
        <v>6</v>
      </c>
      <c r="J4060" t="n">
        <v>3</v>
      </c>
      <c r="K4060" t="n">
        <v>0</v>
      </c>
      <c r="L4060" t="n">
        <v>18226</v>
      </c>
      <c r="M4060" t="n">
        <v>21500</v>
      </c>
      <c r="N4060" t="n">
        <v>91</v>
      </c>
      <c r="O4060" t="n">
        <v>0.91</v>
      </c>
      <c r="P4060" t="n">
        <v>1</v>
      </c>
      <c r="Q4060" t="n">
        <v>0.46</v>
      </c>
      <c r="R4060" t="n">
        <v>3</v>
      </c>
      <c r="S4060" t="n">
        <v>10369.45</v>
      </c>
      <c r="T4060" t="n">
        <v>9</v>
      </c>
      <c r="U4060" t="n">
        <v>12</v>
      </c>
      <c r="V4060" t="n">
        <v>30</v>
      </c>
      <c r="W4060" t="n">
        <v>15</v>
      </c>
      <c r="X4060" t="n">
        <v>4.146796599626787</v>
      </c>
      <c r="Y4060" t="n">
        <v>1</v>
      </c>
      <c r="Z4060" t="n">
        <v>13</v>
      </c>
      <c r="AA4060" t="n">
        <v>1</v>
      </c>
      <c r="AB4060" t="n">
        <v>12</v>
      </c>
      <c r="AC4060" t="n">
        <v>12</v>
      </c>
      <c r="AD4060" t="n">
        <v>18226</v>
      </c>
      <c r="AE4060" t="n">
        <v>218712</v>
      </c>
      <c r="AF4060" t="n">
        <v>11395</v>
      </c>
      <c r="AG4060" t="n">
        <v>561</v>
      </c>
      <c r="AH4060" t="inlineStr">
        <is>
          <t>PT. PANCA PILAR TANGGUH - PPN (PDG)</t>
        </is>
      </c>
      <c r="AI4060" t="n">
        <v>919</v>
      </c>
      <c r="AJ4060" t="inlineStr">
        <is>
          <t>PANTENE</t>
        </is>
      </c>
      <c r="AK4060" t="n">
        <v>21</v>
      </c>
      <c r="AL4060" t="inlineStr">
        <is>
          <t>Miss Glam Damar</t>
        </is>
      </c>
      <c r="AM4060" t="n">
        <v>4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PANTENE</t>
        </is>
      </c>
      <c r="B4061" s="2">
        <f>"4987176076656"</f>
        <v/>
      </c>
      <c r="C4061" t="inlineStr">
        <is>
          <t>PANTENE Miracles Biotin Strength Supplement Conditioner Pro-v 150ml</t>
        </is>
      </c>
      <c r="D4061" t="inlineStr">
        <is>
          <t>Miss Glam Damar</t>
        </is>
      </c>
      <c r="E4061" t="n">
        <v>2</v>
      </c>
      <c r="F4061" t="n">
        <v>0.2184</v>
      </c>
      <c r="G4061" t="n">
        <v>0.91</v>
      </c>
      <c r="H4061" t="n">
        <v>5</v>
      </c>
      <c r="I4061" t="n">
        <v>6</v>
      </c>
      <c r="J4061" t="n">
        <v>3</v>
      </c>
      <c r="K4061" t="n">
        <v>0</v>
      </c>
      <c r="L4061" t="n">
        <v>33709</v>
      </c>
      <c r="M4061" t="n">
        <v>40000</v>
      </c>
      <c r="N4061" t="n">
        <v>91</v>
      </c>
      <c r="O4061" t="n">
        <v>0.91</v>
      </c>
      <c r="P4061" t="n">
        <v>1</v>
      </c>
      <c r="Q4061" t="n">
        <v>0.17</v>
      </c>
      <c r="R4061" t="n">
        <v>1</v>
      </c>
      <c r="S4061" t="n">
        <v>8736</v>
      </c>
      <c r="T4061" t="n">
        <v>5</v>
      </c>
      <c r="U4061" t="n">
        <v>7</v>
      </c>
      <c r="V4061" t="n">
        <v>30</v>
      </c>
      <c r="W4061" t="n">
        <v>7</v>
      </c>
      <c r="X4061" t="n">
        <v>9.157509157509157</v>
      </c>
      <c r="Y4061" t="n">
        <v>1</v>
      </c>
      <c r="Z4061" t="n">
        <v>5</v>
      </c>
      <c r="AA4061" t="n">
        <v>0</v>
      </c>
      <c r="AB4061" t="n">
        <v>5</v>
      </c>
      <c r="AC4061" t="n">
        <v>5</v>
      </c>
      <c r="AD4061" t="n">
        <v>0</v>
      </c>
      <c r="AE4061" t="n">
        <v>168545</v>
      </c>
      <c r="AF4061" t="n">
        <v>11395</v>
      </c>
      <c r="AG4061" t="n">
        <v>561</v>
      </c>
      <c r="AH4061" t="inlineStr">
        <is>
          <t>PT. PANCA PILAR TANGGUH - PPN (PDG)</t>
        </is>
      </c>
      <c r="AI4061" t="n">
        <v>919</v>
      </c>
      <c r="AJ4061" t="inlineStr">
        <is>
          <t>PANTENE</t>
        </is>
      </c>
      <c r="AK4061" t="n">
        <v>21</v>
      </c>
      <c r="AL4061" t="inlineStr">
        <is>
          <t>Miss Glam Damar</t>
        </is>
      </c>
      <c r="AM4061" t="n">
        <v>4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PANTENE</t>
        </is>
      </c>
      <c r="B4062" s="2">
        <f>"4987176076663"</f>
        <v/>
      </c>
      <c r="C4062" t="inlineStr">
        <is>
          <t>PANTENE Miracles Collagen Repair Supplement Conditioner Pro-v 150ml</t>
        </is>
      </c>
      <c r="D4062" t="inlineStr">
        <is>
          <t>Miss Glam Damar</t>
        </is>
      </c>
      <c r="E4062" t="n">
        <v>0</v>
      </c>
      <c r="F4062" t="n">
        <v>0.31</v>
      </c>
      <c r="G4062" t="n">
        <v>2</v>
      </c>
      <c r="H4062" t="n">
        <v>5</v>
      </c>
      <c r="I4062" t="n">
        <v>6</v>
      </c>
      <c r="J4062" t="n">
        <v>3</v>
      </c>
      <c r="K4062" t="n">
        <v>0</v>
      </c>
      <c r="L4062" t="n">
        <v>33709</v>
      </c>
      <c r="M4062" t="n">
        <v>40000</v>
      </c>
      <c r="N4062" t="n">
        <v>91</v>
      </c>
      <c r="O4062" t="n">
        <v>0.91</v>
      </c>
      <c r="P4062" t="n">
        <v>0</v>
      </c>
      <c r="Q4062" t="n">
        <v>0.31</v>
      </c>
      <c r="R4062" t="n">
        <v>2</v>
      </c>
      <c r="S4062" t="n">
        <v>12400</v>
      </c>
      <c r="T4062" t="n">
        <v>11</v>
      </c>
      <c r="U4062" t="n">
        <v>13</v>
      </c>
      <c r="V4062" t="n">
        <v>30</v>
      </c>
      <c r="W4062" t="n">
        <v>10</v>
      </c>
      <c r="X4062" t="n">
        <v>0</v>
      </c>
      <c r="Y4062" t="n">
        <v>1</v>
      </c>
      <c r="Z4062" t="n">
        <v>10</v>
      </c>
      <c r="AA4062" t="n">
        <v>2</v>
      </c>
      <c r="AB4062" t="n">
        <v>8</v>
      </c>
      <c r="AC4062" t="n">
        <v>8</v>
      </c>
      <c r="AD4062" t="n">
        <v>67418</v>
      </c>
      <c r="AE4062" t="n">
        <v>269672</v>
      </c>
      <c r="AF4062" t="n">
        <v>11395</v>
      </c>
      <c r="AG4062" t="n">
        <v>561</v>
      </c>
      <c r="AH4062" t="inlineStr">
        <is>
          <t>PT. PANCA PILAR TANGGUH - PPN (PDG)</t>
        </is>
      </c>
      <c r="AI4062" t="n">
        <v>919</v>
      </c>
      <c r="AJ4062" t="inlineStr">
        <is>
          <t>PANTENE</t>
        </is>
      </c>
      <c r="AK4062" t="n">
        <v>21</v>
      </c>
      <c r="AL4062" t="inlineStr">
        <is>
          <t>Miss Glam Damar</t>
        </is>
      </c>
      <c r="AM4062" t="n">
        <v>4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PANTENE</t>
        </is>
      </c>
      <c r="B4063" s="2">
        <f>"4987176109279"</f>
        <v/>
      </c>
      <c r="C4063" t="inlineStr">
        <is>
          <t>PANTENE Miracles Keratin Glow 150ml</t>
        </is>
      </c>
      <c r="D4063" t="inlineStr">
        <is>
          <t>Miss Glam Damar</t>
        </is>
      </c>
      <c r="E4063" t="n">
        <v>5</v>
      </c>
      <c r="F4063" t="n">
        <v>0.182</v>
      </c>
      <c r="G4063" t="n">
        <v>1.82</v>
      </c>
      <c r="H4063" t="n">
        <v>5</v>
      </c>
      <c r="I4063" t="n">
        <v>6</v>
      </c>
      <c r="J4063" t="n">
        <v>3</v>
      </c>
      <c r="K4063" t="n">
        <v>0</v>
      </c>
      <c r="L4063" t="n">
        <v>33709</v>
      </c>
      <c r="M4063" t="n">
        <v>40000</v>
      </c>
      <c r="N4063" t="n">
        <v>91</v>
      </c>
      <c r="O4063" t="n">
        <v>0.91</v>
      </c>
      <c r="P4063" t="n">
        <v>1</v>
      </c>
      <c r="Q4063" t="n">
        <v>0.1</v>
      </c>
      <c r="R4063" t="n">
        <v>1</v>
      </c>
      <c r="S4063" t="n">
        <v>7280.000000000001</v>
      </c>
      <c r="T4063" t="n">
        <v>11</v>
      </c>
      <c r="U4063" t="n">
        <v>12</v>
      </c>
      <c r="V4063" t="n">
        <v>30</v>
      </c>
      <c r="W4063" t="n">
        <v>6</v>
      </c>
      <c r="X4063" t="n">
        <v>27.47252747252747</v>
      </c>
      <c r="Y4063" t="n">
        <v>1</v>
      </c>
      <c r="Z4063" t="n">
        <v>1</v>
      </c>
      <c r="AA4063" t="n">
        <v>0</v>
      </c>
      <c r="AB4063" t="n">
        <v>1</v>
      </c>
      <c r="AC4063" t="n">
        <v>3</v>
      </c>
      <c r="AD4063" t="n">
        <v>0</v>
      </c>
      <c r="AE4063" t="n">
        <v>101127</v>
      </c>
      <c r="AF4063" t="n">
        <v>11395</v>
      </c>
      <c r="AG4063" t="n">
        <v>561</v>
      </c>
      <c r="AH4063" t="inlineStr">
        <is>
          <t>PT. PANCA PILAR TANGGUH - PPN (PDG)</t>
        </is>
      </c>
      <c r="AI4063" t="n">
        <v>919</v>
      </c>
      <c r="AJ4063" t="inlineStr">
        <is>
          <t>PANTENE</t>
        </is>
      </c>
      <c r="AK4063" t="n">
        <v>21</v>
      </c>
      <c r="AL4063" t="inlineStr">
        <is>
          <t>Miss Glam Damar</t>
        </is>
      </c>
      <c r="AM4063" t="n">
        <v>4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PASEO</t>
        </is>
      </c>
      <c r="B4064" s="2">
        <f>"10100507354"</f>
        <v/>
      </c>
      <c r="C4064" t="inlineStr">
        <is>
          <t>PASEO Baby Pure Soft Facial Tissue 50 Sheets</t>
        </is>
      </c>
      <c r="D4064" t="inlineStr">
        <is>
          <t>Miss Glam Damar</t>
        </is>
      </c>
      <c r="E4064" t="n">
        <v>19</v>
      </c>
      <c r="F4064" t="n">
        <v>0.3094</v>
      </c>
      <c r="G4064" t="n">
        <v>1.82</v>
      </c>
      <c r="H4064" t="n">
        <v>7</v>
      </c>
      <c r="I4064" t="n">
        <v>19</v>
      </c>
      <c r="J4064" t="n">
        <v>1</v>
      </c>
      <c r="K4064" t="n">
        <v>0</v>
      </c>
      <c r="L4064" t="n">
        <v>6979</v>
      </c>
      <c r="M4064" t="n">
        <v>9500</v>
      </c>
      <c r="N4064" t="n">
        <v>91</v>
      </c>
      <c r="O4064" t="n">
        <v>0.91</v>
      </c>
      <c r="P4064" t="n">
        <v>1</v>
      </c>
      <c r="Q4064" t="n">
        <v>0.25</v>
      </c>
      <c r="R4064" t="n">
        <v>4</v>
      </c>
      <c r="S4064" t="n">
        <v>2939.3</v>
      </c>
      <c r="T4064" t="n">
        <v>33</v>
      </c>
      <c r="U4064" t="n">
        <v>36</v>
      </c>
      <c r="V4064" t="n">
        <v>30</v>
      </c>
      <c r="W4064" t="n">
        <v>10</v>
      </c>
      <c r="X4064" t="n">
        <v>61.40917905623787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97</v>
      </c>
      <c r="AG4064" t="n">
        <v>102</v>
      </c>
      <c r="AH4064" t="inlineStr">
        <is>
          <t>CV  ANUGERAH WAHYUDI SEJAHTERA - PPN (PDG)</t>
        </is>
      </c>
      <c r="AI4064" t="n">
        <v>1731</v>
      </c>
      <c r="AJ4064" t="inlineStr">
        <is>
          <t>PASEO</t>
        </is>
      </c>
      <c r="AK4064" t="n">
        <v>21</v>
      </c>
      <c r="AL4064" t="inlineStr">
        <is>
          <t>Miss Glam Damar</t>
        </is>
      </c>
      <c r="AM4064" t="n">
        <v>4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PASEO</t>
        </is>
      </c>
      <c r="B4065" s="2">
        <f>"8993053641103"</f>
        <v/>
      </c>
      <c r="C4065" t="inlineStr">
        <is>
          <t>PASEO Cleansing Wipes Anti Bacterial Alcohol Free 25 Sheets</t>
        </is>
      </c>
      <c r="D4065" t="inlineStr">
        <is>
          <t>Miss Glam Damar</t>
        </is>
      </c>
      <c r="E4065" t="n">
        <v>31</v>
      </c>
      <c r="F4065" t="n">
        <v>0.4823000000000001</v>
      </c>
      <c r="G4065" t="n">
        <v>4.55</v>
      </c>
      <c r="H4065" t="n">
        <v>7</v>
      </c>
      <c r="I4065" t="n">
        <v>19</v>
      </c>
      <c r="J4065" t="n">
        <v>3</v>
      </c>
      <c r="K4065" t="n">
        <v>0</v>
      </c>
      <c r="L4065" t="n">
        <v>7770</v>
      </c>
      <c r="M4065" t="n">
        <v>9500</v>
      </c>
      <c r="N4065" t="n">
        <v>91</v>
      </c>
      <c r="O4065" t="n">
        <v>0.91</v>
      </c>
      <c r="P4065" t="n">
        <v>1</v>
      </c>
      <c r="Q4065" t="n">
        <v>1.44</v>
      </c>
      <c r="R4065" t="n">
        <v>6</v>
      </c>
      <c r="S4065" t="n">
        <v>4581.85</v>
      </c>
      <c r="T4065" t="n">
        <v>84</v>
      </c>
      <c r="U4065" t="n">
        <v>88</v>
      </c>
      <c r="V4065" t="n">
        <v>30</v>
      </c>
      <c r="W4065" t="n">
        <v>15</v>
      </c>
      <c r="X4065" t="n">
        <v>64.27534729421521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97</v>
      </c>
      <c r="AG4065" t="n">
        <v>102</v>
      </c>
      <c r="AH4065" t="inlineStr">
        <is>
          <t>CV  ANUGERAH WAHYUDI SEJAHTERA - PPN (PDG)</t>
        </is>
      </c>
      <c r="AI4065" t="n">
        <v>1731</v>
      </c>
      <c r="AJ4065" t="inlineStr">
        <is>
          <t>PASEO</t>
        </is>
      </c>
      <c r="AK4065" t="n">
        <v>21</v>
      </c>
      <c r="AL4065" t="inlineStr">
        <is>
          <t>Miss Glam Damar</t>
        </is>
      </c>
      <c r="AM4065" t="n">
        <v>4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PASEO</t>
        </is>
      </c>
      <c r="B4066" s="2">
        <f>"8993053121391"</f>
        <v/>
      </c>
      <c r="C4066" t="inlineStr">
        <is>
          <t>PASEO Facial Tissue Luxurious 3 Ply 100 Sheets</t>
        </is>
      </c>
      <c r="D4066" t="inlineStr">
        <is>
          <t>Miss Glam Damar</t>
        </is>
      </c>
      <c r="E4066" t="n">
        <v>0</v>
      </c>
      <c r="F4066" t="n">
        <v>0.4004</v>
      </c>
      <c r="G4066" t="n">
        <v>4.55</v>
      </c>
      <c r="H4066" t="n">
        <v>7</v>
      </c>
      <c r="I4066" t="n">
        <v>19</v>
      </c>
      <c r="J4066" t="n">
        <v>3</v>
      </c>
      <c r="K4066" t="n">
        <v>0</v>
      </c>
      <c r="L4066" t="n">
        <v>12103</v>
      </c>
      <c r="M4066" t="n">
        <v>14500</v>
      </c>
      <c r="N4066" t="n">
        <v>91</v>
      </c>
      <c r="O4066" t="n">
        <v>0.91</v>
      </c>
      <c r="P4066" t="n">
        <v>1</v>
      </c>
      <c r="Q4066" t="n">
        <v>0.25</v>
      </c>
      <c r="R4066" t="n">
        <v>3</v>
      </c>
      <c r="S4066" t="n">
        <v>5805.8</v>
      </c>
      <c r="T4066" t="n">
        <v>84</v>
      </c>
      <c r="U4066" t="n">
        <v>87</v>
      </c>
      <c r="V4066" t="n">
        <v>30</v>
      </c>
      <c r="W4066" t="n">
        <v>13</v>
      </c>
      <c r="X4066" t="n">
        <v>0</v>
      </c>
      <c r="Y4066" t="n">
        <v>1</v>
      </c>
      <c r="Z4066" t="n">
        <v>13</v>
      </c>
      <c r="AA4066" t="n">
        <v>8</v>
      </c>
      <c r="AB4066" t="n">
        <v>5</v>
      </c>
      <c r="AC4066" t="n">
        <v>5</v>
      </c>
      <c r="AD4066" t="n">
        <v>96824</v>
      </c>
      <c r="AE4066" t="n">
        <v>60515</v>
      </c>
      <c r="AF4066" t="n">
        <v>97</v>
      </c>
      <c r="AG4066" t="n">
        <v>102</v>
      </c>
      <c r="AH4066" t="inlineStr">
        <is>
          <t>CV  ANUGERAH WAHYUDI SEJAHTERA - PPN (PDG)</t>
        </is>
      </c>
      <c r="AI4066" t="n">
        <v>1731</v>
      </c>
      <c r="AJ4066" t="inlineStr">
        <is>
          <t>PASEO</t>
        </is>
      </c>
      <c r="AK4066" t="n">
        <v>21</v>
      </c>
      <c r="AL4066" t="inlineStr">
        <is>
          <t>Miss Glam Damar</t>
        </is>
      </c>
      <c r="AM4066" t="n">
        <v>4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PASEO</t>
        </is>
      </c>
      <c r="B4067" s="2">
        <f>"8993053121018"</f>
        <v/>
      </c>
      <c r="C4067" t="inlineStr">
        <is>
          <t>PASEO Luxuriously Soft Facial Tissue 2 Ply 250 Sheets</t>
        </is>
      </c>
      <c r="D4067" t="inlineStr">
        <is>
          <t>Miss Glam Damar</t>
        </is>
      </c>
      <c r="E4067" t="n">
        <v>4</v>
      </c>
      <c r="F4067" t="n">
        <v>0.2639</v>
      </c>
      <c r="G4067" t="n">
        <v>1.82</v>
      </c>
      <c r="H4067" t="n">
        <v>7</v>
      </c>
      <c r="I4067" t="n">
        <v>19</v>
      </c>
      <c r="J4067" t="n">
        <v>3</v>
      </c>
      <c r="K4067" t="n">
        <v>0</v>
      </c>
      <c r="L4067" t="n">
        <v>16900</v>
      </c>
      <c r="M4067" t="n">
        <v>20000</v>
      </c>
      <c r="N4067" t="n">
        <v>91</v>
      </c>
      <c r="O4067" t="n">
        <v>0.91</v>
      </c>
      <c r="P4067" t="n">
        <v>1</v>
      </c>
      <c r="Q4067" t="n">
        <v>0.24</v>
      </c>
      <c r="R4067" t="n">
        <v>2</v>
      </c>
      <c r="S4067" t="n">
        <v>5277.999999999999</v>
      </c>
      <c r="T4067" t="n">
        <v>33</v>
      </c>
      <c r="U4067" t="n">
        <v>35</v>
      </c>
      <c r="V4067" t="n">
        <v>30</v>
      </c>
      <c r="W4067" t="n">
        <v>8</v>
      </c>
      <c r="X4067" t="n">
        <v>15.15725653656688</v>
      </c>
      <c r="Y4067" t="n">
        <v>1</v>
      </c>
      <c r="Z4067" t="n">
        <v>4</v>
      </c>
      <c r="AA4067" t="n">
        <v>2</v>
      </c>
      <c r="AB4067" t="n">
        <v>2</v>
      </c>
      <c r="AC4067" t="n">
        <v>3</v>
      </c>
      <c r="AD4067" t="n">
        <v>33800</v>
      </c>
      <c r="AE4067" t="n">
        <v>50700</v>
      </c>
      <c r="AF4067" t="n">
        <v>97</v>
      </c>
      <c r="AG4067" t="n">
        <v>102</v>
      </c>
      <c r="AH4067" t="inlineStr">
        <is>
          <t>CV  ANUGERAH WAHYUDI SEJAHTERA - PPN (PDG)</t>
        </is>
      </c>
      <c r="AI4067" t="n">
        <v>1731</v>
      </c>
      <c r="AJ4067" t="inlineStr">
        <is>
          <t>PASEO</t>
        </is>
      </c>
      <c r="AK4067" t="n">
        <v>21</v>
      </c>
      <c r="AL4067" t="inlineStr">
        <is>
          <t>Miss Glam Damar</t>
        </is>
      </c>
      <c r="AM4067" t="n">
        <v>4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PASEO</t>
        </is>
      </c>
      <c r="B4068" s="2">
        <f>"8993053121407"</f>
        <v/>
      </c>
      <c r="C4068" t="inlineStr">
        <is>
          <t>PASEO Smart Facial Tissue 3 Ply 500+40 ply</t>
        </is>
      </c>
      <c r="D4068" t="inlineStr">
        <is>
          <t>Miss Glam Damar</t>
        </is>
      </c>
      <c r="E4068" t="n">
        <v>35</v>
      </c>
      <c r="F4068" t="n">
        <v>1.03</v>
      </c>
      <c r="G4068" t="n">
        <v>5</v>
      </c>
      <c r="H4068" t="n">
        <v>7</v>
      </c>
      <c r="I4068" t="n">
        <v>19</v>
      </c>
      <c r="J4068" t="n">
        <v>3</v>
      </c>
      <c r="K4068" t="n">
        <v>0</v>
      </c>
      <c r="L4068" t="n">
        <v>9788</v>
      </c>
      <c r="M4068" t="n">
        <v>12000</v>
      </c>
      <c r="N4068" t="n">
        <v>91</v>
      </c>
      <c r="O4068" t="n">
        <v>0.91</v>
      </c>
      <c r="P4068" t="n">
        <v>0</v>
      </c>
      <c r="Q4068" t="n">
        <v>1.03</v>
      </c>
      <c r="R4068" t="n">
        <v>5</v>
      </c>
      <c r="S4068" t="n">
        <v>12360</v>
      </c>
      <c r="T4068" t="n">
        <v>88</v>
      </c>
      <c r="U4068" t="n">
        <v>96</v>
      </c>
      <c r="V4068" t="n">
        <v>30</v>
      </c>
      <c r="W4068" t="n">
        <v>31</v>
      </c>
      <c r="X4068" t="n">
        <v>33.98058252427185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97</v>
      </c>
      <c r="AG4068" t="n">
        <v>102</v>
      </c>
      <c r="AH4068" t="inlineStr">
        <is>
          <t>CV  ANUGERAH WAHYUDI SEJAHTERA - PPN (PDG)</t>
        </is>
      </c>
      <c r="AI4068" t="n">
        <v>1731</v>
      </c>
      <c r="AJ4068" t="inlineStr">
        <is>
          <t>PASEO</t>
        </is>
      </c>
      <c r="AK4068" t="n">
        <v>21</v>
      </c>
      <c r="AL4068" t="inlineStr">
        <is>
          <t>Miss Glam Damar</t>
        </is>
      </c>
      <c r="AM4068" t="n">
        <v>4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PASEO</t>
        </is>
      </c>
      <c r="B4069" s="2">
        <f>"8993053131246"</f>
        <v/>
      </c>
      <c r="C4069" t="inlineStr">
        <is>
          <t>PASEO Ultra Soft Facial Tissues 3 Ply 40 Sheets</t>
        </is>
      </c>
      <c r="D4069" t="inlineStr">
        <is>
          <t>Miss Glam Damar</t>
        </is>
      </c>
      <c r="E4069" t="n">
        <v>23</v>
      </c>
      <c r="F4069" t="n">
        <v>0.3731</v>
      </c>
      <c r="G4069" t="n">
        <v>3.64</v>
      </c>
      <c r="H4069" t="n">
        <v>7</v>
      </c>
      <c r="I4069" t="n">
        <v>19</v>
      </c>
      <c r="J4069" t="n">
        <v>3</v>
      </c>
      <c r="K4069" t="n">
        <v>0</v>
      </c>
      <c r="L4069" t="n">
        <v>5029</v>
      </c>
      <c r="M4069" t="n">
        <v>6500</v>
      </c>
      <c r="N4069" t="n">
        <v>91</v>
      </c>
      <c r="O4069" t="n">
        <v>0.91</v>
      </c>
      <c r="P4069" t="n">
        <v>1</v>
      </c>
      <c r="Q4069" t="n">
        <v>0.63</v>
      </c>
      <c r="R4069" t="n">
        <v>3</v>
      </c>
      <c r="S4069" t="n">
        <v>2425.15</v>
      </c>
      <c r="T4069" t="n">
        <v>67</v>
      </c>
      <c r="U4069" t="n">
        <v>70</v>
      </c>
      <c r="V4069" t="n">
        <v>30</v>
      </c>
      <c r="W4069" t="n">
        <v>12</v>
      </c>
      <c r="X4069" t="n">
        <v>61.64567140176896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97</v>
      </c>
      <c r="AG4069" t="n">
        <v>102</v>
      </c>
      <c r="AH4069" t="inlineStr">
        <is>
          <t>CV  ANUGERAH WAHYUDI SEJAHTERA - PPN (PDG)</t>
        </is>
      </c>
      <c r="AI4069" t="n">
        <v>1731</v>
      </c>
      <c r="AJ4069" t="inlineStr">
        <is>
          <t>PASEO</t>
        </is>
      </c>
      <c r="AK4069" t="n">
        <v>21</v>
      </c>
      <c r="AL4069" t="inlineStr">
        <is>
          <t>Miss Glam Damar</t>
        </is>
      </c>
      <c r="AM4069" t="n">
        <v>4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PEPSODENT</t>
        </is>
      </c>
      <c r="B4070" s="2">
        <f>"8999999534769"</f>
        <v/>
      </c>
      <c r="C4070" t="inlineStr">
        <is>
          <t>PEPSODENT Charcoal Whitening 160gr</t>
        </is>
      </c>
      <c r="D4070" t="inlineStr">
        <is>
          <t>Miss Glam Damar</t>
        </is>
      </c>
      <c r="E4070" t="n">
        <v>9</v>
      </c>
      <c r="F4070" t="n">
        <v>0.182</v>
      </c>
      <c r="G4070" t="n">
        <v>0.91</v>
      </c>
      <c r="H4070" t="n">
        <v>3</v>
      </c>
      <c r="I4070" t="n">
        <v>5</v>
      </c>
      <c r="J4070" t="n">
        <v>3</v>
      </c>
      <c r="K4070" t="n">
        <v>0</v>
      </c>
      <c r="L4070" t="n">
        <v>21149</v>
      </c>
      <c r="M4070" t="n">
        <v>25000</v>
      </c>
      <c r="N4070" t="n">
        <v>91</v>
      </c>
      <c r="O4070" t="n">
        <v>0.91</v>
      </c>
      <c r="P4070" t="n">
        <v>1</v>
      </c>
      <c r="Q4070" t="n">
        <v>0.32</v>
      </c>
      <c r="R4070" t="n">
        <v>2</v>
      </c>
      <c r="S4070" t="n">
        <v>4550.000000000001</v>
      </c>
      <c r="T4070" t="n">
        <v>5</v>
      </c>
      <c r="U4070" t="n">
        <v>6</v>
      </c>
      <c r="V4070" t="n">
        <v>30</v>
      </c>
      <c r="W4070" t="n">
        <v>6</v>
      </c>
      <c r="X4070" t="n">
        <v>49.45054945054945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1551</v>
      </c>
      <c r="AG4070" t="n">
        <v>361</v>
      </c>
      <c r="AH4070" t="inlineStr">
        <is>
          <t>CV. SERBA SERBI - PPN (PDG)</t>
        </is>
      </c>
      <c r="AI4070" t="n">
        <v>1737</v>
      </c>
      <c r="AJ4070" t="inlineStr">
        <is>
          <t>PEPSODENT</t>
        </is>
      </c>
      <c r="AK4070" t="n">
        <v>21</v>
      </c>
      <c r="AL4070" t="inlineStr">
        <is>
          <t>Miss Glam Damar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PEPSODENT</t>
        </is>
      </c>
      <c r="B4071" s="2">
        <f>"8999999547387"</f>
        <v/>
      </c>
      <c r="C4071" t="inlineStr">
        <is>
          <t>PEPSODENT Gentle Care Soft Sikat Gigi 1 pcs</t>
        </is>
      </c>
      <c r="D4071" t="inlineStr">
        <is>
          <t>Miss Glam Damar</t>
        </is>
      </c>
      <c r="E4071" t="n">
        <v>42</v>
      </c>
      <c r="F4071" t="n">
        <v>2.25</v>
      </c>
      <c r="G4071" t="n">
        <v>7</v>
      </c>
      <c r="H4071" t="n">
        <v>3</v>
      </c>
      <c r="I4071" t="n">
        <v>5</v>
      </c>
      <c r="J4071" t="n">
        <v>3</v>
      </c>
      <c r="K4071" t="n">
        <v>0</v>
      </c>
      <c r="L4071" t="n">
        <v>8131</v>
      </c>
      <c r="M4071" t="n">
        <v>10000</v>
      </c>
      <c r="N4071" t="n">
        <v>91</v>
      </c>
      <c r="O4071" t="n">
        <v>0.91</v>
      </c>
      <c r="P4071" t="n">
        <v>0</v>
      </c>
      <c r="Q4071" t="n">
        <v>2.25</v>
      </c>
      <c r="R4071" t="n">
        <v>7</v>
      </c>
      <c r="S4071" t="n">
        <v>22500</v>
      </c>
      <c r="T4071" t="n">
        <v>29</v>
      </c>
      <c r="U4071" t="n">
        <v>36</v>
      </c>
      <c r="V4071" t="n">
        <v>30</v>
      </c>
      <c r="W4071" t="n">
        <v>68</v>
      </c>
      <c r="X4071" t="n">
        <v>18.66666666666667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1551</v>
      </c>
      <c r="AG4071" t="n">
        <v>361</v>
      </c>
      <c r="AH4071" t="inlineStr">
        <is>
          <t>CV. SERBA SERBI - PPN (PDG)</t>
        </is>
      </c>
      <c r="AI4071" t="n">
        <v>1737</v>
      </c>
      <c r="AJ4071" t="inlineStr">
        <is>
          <t>PEPSODENT</t>
        </is>
      </c>
      <c r="AK4071" t="n">
        <v>21</v>
      </c>
      <c r="AL4071" t="inlineStr">
        <is>
          <t>Miss Glam Damar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PEPSODENT</t>
        </is>
      </c>
      <c r="B4072" s="2">
        <f>"8999999710866"</f>
        <v/>
      </c>
      <c r="C4072" t="inlineStr">
        <is>
          <t>PEPSODENT Herbal 190gr</t>
        </is>
      </c>
      <c r="D4072" t="inlineStr">
        <is>
          <t>Miss Glam Damar</t>
        </is>
      </c>
      <c r="E4072" t="n">
        <v>1</v>
      </c>
      <c r="F4072" t="n">
        <v>0.2275</v>
      </c>
      <c r="G4072" t="n">
        <v>2.73</v>
      </c>
      <c r="H4072" t="n">
        <v>3</v>
      </c>
      <c r="I4072" t="n">
        <v>5</v>
      </c>
      <c r="J4072" t="n">
        <v>3</v>
      </c>
      <c r="K4072" t="n">
        <v>0</v>
      </c>
      <c r="L4072" t="n">
        <v>19699</v>
      </c>
      <c r="M4072" t="n">
        <v>23500</v>
      </c>
      <c r="N4072" t="n">
        <v>91</v>
      </c>
      <c r="O4072" t="n">
        <v>0.91</v>
      </c>
      <c r="P4072" t="n">
        <v>1</v>
      </c>
      <c r="Q4072" t="n">
        <v>0.14</v>
      </c>
      <c r="R4072" t="n">
        <v>1</v>
      </c>
      <c r="S4072" t="n">
        <v>5346.25</v>
      </c>
      <c r="T4072" t="n">
        <v>13</v>
      </c>
      <c r="U4072" t="n">
        <v>14</v>
      </c>
      <c r="V4072" t="n">
        <v>30</v>
      </c>
      <c r="W4072" t="n">
        <v>7</v>
      </c>
      <c r="X4072" t="n">
        <v>4.395604395604395</v>
      </c>
      <c r="Y4072" t="n">
        <v>1</v>
      </c>
      <c r="Z4072" t="n">
        <v>6</v>
      </c>
      <c r="AA4072" t="n">
        <v>1</v>
      </c>
      <c r="AB4072" t="n">
        <v>5</v>
      </c>
      <c r="AC4072" t="n">
        <v>5</v>
      </c>
      <c r="AD4072" t="n">
        <v>19699</v>
      </c>
      <c r="AE4072" t="n">
        <v>98495</v>
      </c>
      <c r="AF4072" t="n">
        <v>1551</v>
      </c>
      <c r="AG4072" t="n">
        <v>361</v>
      </c>
      <c r="AH4072" t="inlineStr">
        <is>
          <t>CV. SERBA SERBI - PPN (PDG)</t>
        </is>
      </c>
      <c r="AI4072" t="n">
        <v>1737</v>
      </c>
      <c r="AJ4072" t="inlineStr">
        <is>
          <t>PEPSODENT</t>
        </is>
      </c>
      <c r="AK4072" t="n">
        <v>21</v>
      </c>
      <c r="AL4072" t="inlineStr">
        <is>
          <t>Miss Glam Damar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PEPSODENT</t>
        </is>
      </c>
      <c r="B4073" s="2">
        <f>"8999999710873"</f>
        <v/>
      </c>
      <c r="C4073" t="inlineStr">
        <is>
          <t>PEPSODENT Herbal Complete 120gr</t>
        </is>
      </c>
      <c r="D4073" t="inlineStr">
        <is>
          <t>Miss Glam Damar</t>
        </is>
      </c>
      <c r="E4073" t="n">
        <v>4</v>
      </c>
      <c r="F4073" t="n">
        <v>0.4823000000000001</v>
      </c>
      <c r="G4073" t="n">
        <v>2.73</v>
      </c>
      <c r="H4073" t="n">
        <v>3</v>
      </c>
      <c r="I4073" t="n">
        <v>5</v>
      </c>
      <c r="J4073" t="n">
        <v>3</v>
      </c>
      <c r="K4073" t="n">
        <v>0</v>
      </c>
      <c r="L4073" t="n">
        <v>14055</v>
      </c>
      <c r="M4073" t="n">
        <v>17000</v>
      </c>
      <c r="N4073" t="n">
        <v>91</v>
      </c>
      <c r="O4073" t="n">
        <v>0.91</v>
      </c>
      <c r="P4073" t="n">
        <v>1</v>
      </c>
      <c r="Q4073" t="n">
        <v>0.36</v>
      </c>
      <c r="R4073" t="n">
        <v>2</v>
      </c>
      <c r="S4073" t="n">
        <v>8199.1</v>
      </c>
      <c r="T4073" t="n">
        <v>13</v>
      </c>
      <c r="U4073" t="n">
        <v>15</v>
      </c>
      <c r="V4073" t="n">
        <v>30</v>
      </c>
      <c r="W4073" t="n">
        <v>15</v>
      </c>
      <c r="X4073" t="n">
        <v>8.293593199253575</v>
      </c>
      <c r="Y4073" t="n">
        <v>1</v>
      </c>
      <c r="Z4073" t="n">
        <v>11</v>
      </c>
      <c r="AA4073" t="n">
        <v>0</v>
      </c>
      <c r="AB4073" t="n">
        <v>11</v>
      </c>
      <c r="AC4073" t="n">
        <v>11</v>
      </c>
      <c r="AD4073" t="n">
        <v>0</v>
      </c>
      <c r="AE4073" t="n">
        <v>154605</v>
      </c>
      <c r="AF4073" t="n">
        <v>1551</v>
      </c>
      <c r="AG4073" t="n">
        <v>361</v>
      </c>
      <c r="AH4073" t="inlineStr">
        <is>
          <t>CV. SERBA SERBI - PPN (PDG)</t>
        </is>
      </c>
      <c r="AI4073" t="n">
        <v>1737</v>
      </c>
      <c r="AJ4073" t="inlineStr">
        <is>
          <t>PEPSODENT</t>
        </is>
      </c>
      <c r="AK4073" t="n">
        <v>21</v>
      </c>
      <c r="AL4073" t="inlineStr">
        <is>
          <t>Miss Glam Damar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PEPSODENT</t>
        </is>
      </c>
      <c r="B4074" s="2">
        <f>"8999999717643"</f>
        <v/>
      </c>
      <c r="C4074" t="inlineStr">
        <is>
          <t>PEPSODENT Nanosoft Clean Soft Sikat Gigi 1 Pcs</t>
        </is>
      </c>
      <c r="D4074" t="inlineStr">
        <is>
          <t>Miss Glam Damar</t>
        </is>
      </c>
      <c r="E4074" t="n">
        <v>4</v>
      </c>
      <c r="F4074" t="n">
        <v>0.1547</v>
      </c>
      <c r="G4074" t="n">
        <v>1.82</v>
      </c>
      <c r="H4074" t="n">
        <v>3</v>
      </c>
      <c r="I4074" t="n">
        <v>5</v>
      </c>
      <c r="J4074" t="n">
        <v>3</v>
      </c>
      <c r="K4074" t="n">
        <v>0</v>
      </c>
      <c r="L4074" t="n">
        <v>13783</v>
      </c>
      <c r="M4074" t="n">
        <v>16500</v>
      </c>
      <c r="N4074" t="n">
        <v>91</v>
      </c>
      <c r="O4074" t="n">
        <v>0.91</v>
      </c>
      <c r="P4074" t="n">
        <v>1</v>
      </c>
      <c r="Q4074" t="n">
        <v>0.17</v>
      </c>
      <c r="R4074" t="n">
        <v>2</v>
      </c>
      <c r="S4074" t="n">
        <v>2552.55</v>
      </c>
      <c r="T4074" t="n">
        <v>9</v>
      </c>
      <c r="U4074" t="n">
        <v>10</v>
      </c>
      <c r="V4074" t="n">
        <v>30</v>
      </c>
      <c r="W4074" t="n">
        <v>5</v>
      </c>
      <c r="X4074" t="n">
        <v>25.85649644473174</v>
      </c>
      <c r="Y4074" t="n">
        <v>1</v>
      </c>
      <c r="Z4074" t="n">
        <v>1</v>
      </c>
      <c r="AA4074" t="n">
        <v>0</v>
      </c>
      <c r="AB4074" t="n">
        <v>1</v>
      </c>
      <c r="AC4074" t="n">
        <v>3</v>
      </c>
      <c r="AD4074" t="n">
        <v>0</v>
      </c>
      <c r="AE4074" t="n">
        <v>41349</v>
      </c>
      <c r="AF4074" t="n">
        <v>1551</v>
      </c>
      <c r="AG4074" t="n">
        <v>361</v>
      </c>
      <c r="AH4074" t="inlineStr">
        <is>
          <t>CV. SERBA SERBI - PPN (PDG)</t>
        </is>
      </c>
      <c r="AI4074" t="n">
        <v>1737</v>
      </c>
      <c r="AJ4074" t="inlineStr">
        <is>
          <t>PEPSODENT</t>
        </is>
      </c>
      <c r="AK4074" t="n">
        <v>21</v>
      </c>
      <c r="AL4074" t="inlineStr">
        <is>
          <t>Miss Glam Damar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PEPSODENT</t>
        </is>
      </c>
      <c r="B4075" s="2">
        <f>"8999999706661"</f>
        <v/>
      </c>
      <c r="C4075" t="inlineStr">
        <is>
          <t>PEPSODENT Nanosoft Sensitive Sikat Gigi 1 Pcs</t>
        </is>
      </c>
      <c r="D4075" t="inlineStr">
        <is>
          <t>Miss Glam Damar</t>
        </is>
      </c>
      <c r="E4075" t="n">
        <v>11</v>
      </c>
      <c r="F4075" t="n">
        <v>0.4641</v>
      </c>
      <c r="G4075" t="n">
        <v>3.64</v>
      </c>
      <c r="H4075" t="n">
        <v>3</v>
      </c>
      <c r="I4075" t="n">
        <v>5</v>
      </c>
      <c r="J4075" t="n">
        <v>3</v>
      </c>
      <c r="K4075" t="n">
        <v>0</v>
      </c>
      <c r="L4075" t="n">
        <v>13783</v>
      </c>
      <c r="M4075" t="n">
        <v>16500</v>
      </c>
      <c r="N4075" t="n">
        <v>91</v>
      </c>
      <c r="O4075" t="n">
        <v>0.91</v>
      </c>
      <c r="P4075" t="n">
        <v>1</v>
      </c>
      <c r="Q4075" t="n">
        <v>0.46</v>
      </c>
      <c r="R4075" t="n">
        <v>3</v>
      </c>
      <c r="S4075" t="n">
        <v>7657.650000000001</v>
      </c>
      <c r="T4075" t="n">
        <v>17</v>
      </c>
      <c r="U4075" t="n">
        <v>19</v>
      </c>
      <c r="V4075" t="n">
        <v>30</v>
      </c>
      <c r="W4075" t="n">
        <v>14</v>
      </c>
      <c r="X4075" t="n">
        <v>23.70178840767076</v>
      </c>
      <c r="Y4075" t="n">
        <v>1</v>
      </c>
      <c r="Z4075" t="n">
        <v>3</v>
      </c>
      <c r="AA4075" t="n">
        <v>0</v>
      </c>
      <c r="AB4075" t="n">
        <v>3</v>
      </c>
      <c r="AC4075" t="n">
        <v>3</v>
      </c>
      <c r="AD4075" t="n">
        <v>0</v>
      </c>
      <c r="AE4075" t="n">
        <v>41349</v>
      </c>
      <c r="AF4075" t="n">
        <v>1551</v>
      </c>
      <c r="AG4075" t="n">
        <v>361</v>
      </c>
      <c r="AH4075" t="inlineStr">
        <is>
          <t>CV. SERBA SERBI - PPN (PDG)</t>
        </is>
      </c>
      <c r="AI4075" t="n">
        <v>1737</v>
      </c>
      <c r="AJ4075" t="inlineStr">
        <is>
          <t>PEPSODENT</t>
        </is>
      </c>
      <c r="AK4075" t="n">
        <v>21</v>
      </c>
      <c r="AL4075" t="inlineStr">
        <is>
          <t>Miss Glam Damar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PEPSODENT</t>
        </is>
      </c>
      <c r="B4076" s="2">
        <f>"8999999706173"</f>
        <v/>
      </c>
      <c r="C4076" t="inlineStr">
        <is>
          <t>PEPSODENT Pencegah Gigi Berlubang 120gr</t>
        </is>
      </c>
      <c r="D4076" t="inlineStr">
        <is>
          <t>Miss Glam Damar</t>
        </is>
      </c>
      <c r="E4076" t="n">
        <v>12</v>
      </c>
      <c r="F4076" t="n">
        <v>1.3377</v>
      </c>
      <c r="G4076" t="n">
        <v>4.55</v>
      </c>
      <c r="H4076" t="n">
        <v>3</v>
      </c>
      <c r="I4076" t="n">
        <v>5</v>
      </c>
      <c r="J4076" t="n">
        <v>3</v>
      </c>
      <c r="K4076" t="n">
        <v>0</v>
      </c>
      <c r="L4076" t="n">
        <v>8775</v>
      </c>
      <c r="M4076" t="n">
        <v>10500</v>
      </c>
      <c r="N4076" t="n">
        <v>91</v>
      </c>
      <c r="O4076" t="n">
        <v>0.91</v>
      </c>
      <c r="P4076" t="n">
        <v>1</v>
      </c>
      <c r="Q4076" t="n">
        <v>0.92</v>
      </c>
      <c r="R4076" t="n">
        <v>4</v>
      </c>
      <c r="S4076" t="n">
        <v>14045.85</v>
      </c>
      <c r="T4076" t="n">
        <v>19</v>
      </c>
      <c r="U4076" t="n">
        <v>24</v>
      </c>
      <c r="V4076" t="n">
        <v>30</v>
      </c>
      <c r="W4076" t="n">
        <v>41</v>
      </c>
      <c r="X4076" t="n">
        <v>8.970621215519174</v>
      </c>
      <c r="Y4076" t="n">
        <v>1</v>
      </c>
      <c r="Z4076" t="n">
        <v>29</v>
      </c>
      <c r="AA4076" t="n">
        <v>0</v>
      </c>
      <c r="AB4076" t="n">
        <v>29</v>
      </c>
      <c r="AC4076" t="n">
        <v>29</v>
      </c>
      <c r="AD4076" t="n">
        <v>0</v>
      </c>
      <c r="AE4076" t="n">
        <v>254475</v>
      </c>
      <c r="AF4076" t="n">
        <v>1551</v>
      </c>
      <c r="AG4076" t="n">
        <v>361</v>
      </c>
      <c r="AH4076" t="inlineStr">
        <is>
          <t>CV. SERBA SERBI - PPN (PDG)</t>
        </is>
      </c>
      <c r="AI4076" t="n">
        <v>1737</v>
      </c>
      <c r="AJ4076" t="inlineStr">
        <is>
          <t>PEPSODENT</t>
        </is>
      </c>
      <c r="AK4076" t="n">
        <v>21</v>
      </c>
      <c r="AL4076" t="inlineStr">
        <is>
          <t>Miss Glam Damar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PEPSODENT</t>
        </is>
      </c>
      <c r="B4077" s="2">
        <f>"8999999567125"</f>
        <v/>
      </c>
      <c r="C4077" t="inlineStr">
        <is>
          <t>PEPSODENT Sikat Gigi Siwak Soft</t>
        </is>
      </c>
      <c r="D4077" t="inlineStr">
        <is>
          <t>Miss Glam Damar</t>
        </is>
      </c>
      <c r="E4077" t="n">
        <v>0</v>
      </c>
      <c r="F4077" t="n">
        <v>0.4186</v>
      </c>
      <c r="G4077" t="n">
        <v>3.64</v>
      </c>
      <c r="H4077" t="n">
        <v>3</v>
      </c>
      <c r="I4077" t="n">
        <v>5</v>
      </c>
      <c r="J4077" t="n">
        <v>3</v>
      </c>
      <c r="K4077" t="n">
        <v>0</v>
      </c>
      <c r="L4077" t="n">
        <v>12321</v>
      </c>
      <c r="M4077" t="n">
        <v>16000</v>
      </c>
      <c r="N4077" t="n">
        <v>91</v>
      </c>
      <c r="O4077" t="n">
        <v>0.91</v>
      </c>
      <c r="P4077" t="n">
        <v>1</v>
      </c>
      <c r="Q4077" t="n">
        <v>0.33</v>
      </c>
      <c r="R4077" t="n">
        <v>3</v>
      </c>
      <c r="S4077" t="n">
        <v>6697.6</v>
      </c>
      <c r="T4077" t="n">
        <v>17</v>
      </c>
      <c r="U4077" t="n">
        <v>19</v>
      </c>
      <c r="V4077" t="n">
        <v>30</v>
      </c>
      <c r="W4077" t="n">
        <v>13</v>
      </c>
      <c r="X4077" t="n">
        <v>0</v>
      </c>
      <c r="Y4077" t="n">
        <v>1</v>
      </c>
      <c r="Z4077" t="n">
        <v>13</v>
      </c>
      <c r="AA4077" t="n">
        <v>3</v>
      </c>
      <c r="AB4077" t="n">
        <v>10</v>
      </c>
      <c r="AC4077" t="n">
        <v>10</v>
      </c>
      <c r="AD4077" t="n">
        <v>36963</v>
      </c>
      <c r="AE4077" t="n">
        <v>123210</v>
      </c>
      <c r="AF4077" t="n">
        <v>1551</v>
      </c>
      <c r="AG4077" t="n">
        <v>361</v>
      </c>
      <c r="AH4077" t="inlineStr">
        <is>
          <t>CV. SERBA SERBI - PPN (PDG)</t>
        </is>
      </c>
      <c r="AI4077" t="n">
        <v>1737</v>
      </c>
      <c r="AJ4077" t="inlineStr">
        <is>
          <t>PEPSODENT</t>
        </is>
      </c>
      <c r="AK4077" t="n">
        <v>21</v>
      </c>
      <c r="AL4077" t="inlineStr">
        <is>
          <t>Miss Glam Damar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PEPSODENT</t>
        </is>
      </c>
      <c r="B4078" s="2">
        <f>"8999999547455"</f>
        <v/>
      </c>
      <c r="C4078" t="inlineStr">
        <is>
          <t>PEPSODENT Travel Kit 25gr</t>
        </is>
      </c>
      <c r="D4078" t="inlineStr">
        <is>
          <t>Miss Glam Damar</t>
        </is>
      </c>
      <c r="E4078" t="n">
        <v>18</v>
      </c>
      <c r="F4078" t="n">
        <v>0.8463000000000001</v>
      </c>
      <c r="G4078" t="n">
        <v>3.64</v>
      </c>
      <c r="H4078" t="n">
        <v>3</v>
      </c>
      <c r="I4078" t="n">
        <v>5</v>
      </c>
      <c r="J4078" t="n">
        <v>3</v>
      </c>
      <c r="K4078" t="n">
        <v>0</v>
      </c>
      <c r="L4078" t="n">
        <v>16281</v>
      </c>
      <c r="M4078" t="n">
        <v>19500</v>
      </c>
      <c r="N4078" t="n">
        <v>91</v>
      </c>
      <c r="O4078" t="n">
        <v>0.91</v>
      </c>
      <c r="P4078" t="n">
        <v>1</v>
      </c>
      <c r="Q4078" t="n">
        <v>1.14</v>
      </c>
      <c r="R4078" t="n">
        <v>5</v>
      </c>
      <c r="S4078" t="n">
        <v>16502.85</v>
      </c>
      <c r="T4078" t="n">
        <v>16</v>
      </c>
      <c r="U4078" t="n">
        <v>19</v>
      </c>
      <c r="V4078" t="n">
        <v>30</v>
      </c>
      <c r="W4078" t="n">
        <v>26</v>
      </c>
      <c r="X4078" t="n">
        <v>21.26905352711804</v>
      </c>
      <c r="Y4078" t="n">
        <v>1</v>
      </c>
      <c r="Z4078" t="n">
        <v>8</v>
      </c>
      <c r="AA4078" t="n">
        <v>0</v>
      </c>
      <c r="AB4078" t="n">
        <v>8</v>
      </c>
      <c r="AC4078" t="n">
        <v>8</v>
      </c>
      <c r="AD4078" t="n">
        <v>0</v>
      </c>
      <c r="AE4078" t="n">
        <v>130248</v>
      </c>
      <c r="AF4078" t="n">
        <v>1551</v>
      </c>
      <c r="AG4078" t="n">
        <v>361</v>
      </c>
      <c r="AH4078" t="inlineStr">
        <is>
          <t>CV. SERBA SERBI - PPN (PDG)</t>
        </is>
      </c>
      <c r="AI4078" t="n">
        <v>1737</v>
      </c>
      <c r="AJ4078" t="inlineStr">
        <is>
          <t>PEPSODENT</t>
        </is>
      </c>
      <c r="AK4078" t="n">
        <v>21</v>
      </c>
      <c r="AL4078" t="inlineStr">
        <is>
          <t>Miss Glam Damar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PERFECT WHITE</t>
        </is>
      </c>
      <c r="B4079" s="2">
        <f>"30200422037"</f>
        <v/>
      </c>
      <c r="C4079" t="inlineStr">
        <is>
          <t>PERFECT WHITE Aha Body Serum 100ml</t>
        </is>
      </c>
      <c r="D4079" t="inlineStr">
        <is>
          <t>Miss Glam Damar</t>
        </is>
      </c>
      <c r="E4079" t="n">
        <v>5</v>
      </c>
      <c r="F4079" t="n">
        <v>0.12</v>
      </c>
      <c r="G4079" t="n">
        <v>2</v>
      </c>
      <c r="H4079" t="n">
        <v>4</v>
      </c>
      <c r="I4079" t="n">
        <v>21</v>
      </c>
      <c r="J4079" t="n">
        <v>3</v>
      </c>
      <c r="K4079" t="n">
        <v>6</v>
      </c>
      <c r="L4079" t="n">
        <v>40685</v>
      </c>
      <c r="M4079" t="n">
        <v>60000</v>
      </c>
      <c r="N4079" t="n">
        <v>91</v>
      </c>
      <c r="O4079" t="n">
        <v>0.91</v>
      </c>
      <c r="P4079" t="n">
        <v>0</v>
      </c>
      <c r="Q4079" t="n">
        <v>0.12</v>
      </c>
      <c r="R4079" t="n">
        <v>2</v>
      </c>
      <c r="S4079" t="n">
        <v>7200</v>
      </c>
      <c r="T4079" t="n">
        <v>42</v>
      </c>
      <c r="U4079" t="n">
        <v>43</v>
      </c>
      <c r="V4079" t="n">
        <v>30</v>
      </c>
      <c r="W4079" t="n">
        <v>4</v>
      </c>
      <c r="X4079" t="n">
        <v>41.66666666666667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7639</v>
      </c>
      <c r="AG4079" t="n">
        <v>1</v>
      </c>
      <c r="AH4079" t="inlineStr">
        <is>
          <t>PT. BERSAMA DISTRIVERSA INDONESIA (DC CIPUTAT)</t>
        </is>
      </c>
      <c r="AI4079" t="n">
        <v>1414</v>
      </c>
      <c r="AJ4079" t="inlineStr">
        <is>
          <t>PERFECT WHITE</t>
        </is>
      </c>
      <c r="AK4079" t="n">
        <v>21</v>
      </c>
      <c r="AL4079" t="inlineStr">
        <is>
          <t>Miss Glam Damar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PERFECT WHITE</t>
        </is>
      </c>
      <c r="B4080" s="2">
        <f>"30200407509"</f>
        <v/>
      </c>
      <c r="C4080" t="inlineStr">
        <is>
          <t>PERFECT WHITE Aha Body Serum 50ml</t>
        </is>
      </c>
      <c r="D4080" t="inlineStr">
        <is>
          <t>Miss Glam Damar</t>
        </is>
      </c>
      <c r="E4080" t="n">
        <v>6</v>
      </c>
      <c r="F4080" t="n">
        <v>0.1274</v>
      </c>
      <c r="G4080" t="n">
        <v>1.82</v>
      </c>
      <c r="H4080" t="n">
        <v>4</v>
      </c>
      <c r="I4080" t="n">
        <v>21</v>
      </c>
      <c r="J4080" t="n">
        <v>3</v>
      </c>
      <c r="K4080" t="n">
        <v>6</v>
      </c>
      <c r="L4080" t="n">
        <v>27810</v>
      </c>
      <c r="M4080" t="n">
        <v>40000</v>
      </c>
      <c r="N4080" t="n">
        <v>91</v>
      </c>
      <c r="O4080" t="n">
        <v>0.91</v>
      </c>
      <c r="P4080" t="n">
        <v>1</v>
      </c>
      <c r="Q4080" t="n">
        <v>0.08</v>
      </c>
      <c r="R4080" t="n">
        <v>3</v>
      </c>
      <c r="S4080" t="n">
        <v>5096.000000000001</v>
      </c>
      <c r="T4080" t="n">
        <v>38</v>
      </c>
      <c r="U4080" t="n">
        <v>39</v>
      </c>
      <c r="V4080" t="n">
        <v>30</v>
      </c>
      <c r="W4080" t="n">
        <v>4</v>
      </c>
      <c r="X4080" t="n">
        <v>47.09576138147566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7639</v>
      </c>
      <c r="AG4080" t="n">
        <v>1</v>
      </c>
      <c r="AH4080" t="inlineStr">
        <is>
          <t>PT. BERSAMA DISTRIVERSA INDONESIA (DC CIPUTAT)</t>
        </is>
      </c>
      <c r="AI4080" t="n">
        <v>1414</v>
      </c>
      <c r="AJ4080" t="inlineStr">
        <is>
          <t>PERFECT WHITE</t>
        </is>
      </c>
      <c r="AK4080" t="n">
        <v>21</v>
      </c>
      <c r="AL4080" t="inlineStr">
        <is>
          <t>Miss Glam Damar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PIGEON TEENS</t>
        </is>
      </c>
      <c r="B4081" s="2">
        <f>"8992771008014"</f>
        <v/>
      </c>
      <c r="C4081" t="inlineStr">
        <is>
          <t>PIGEON Face Pow Jjb &amp; Cmm Transculent 12gr</t>
        </is>
      </c>
      <c r="D4081" t="inlineStr">
        <is>
          <t>Miss Glam Damar</t>
        </is>
      </c>
      <c r="E4081" t="n">
        <v>6</v>
      </c>
      <c r="F4081" t="n">
        <v>0.1092</v>
      </c>
      <c r="G4081" t="n">
        <v>1.82</v>
      </c>
      <c r="H4081" t="n">
        <v>4</v>
      </c>
      <c r="I4081" t="n">
        <v>21</v>
      </c>
      <c r="J4081" t="n">
        <v>3</v>
      </c>
      <c r="K4081" t="n">
        <v>12</v>
      </c>
      <c r="L4081" t="n">
        <v>25864</v>
      </c>
      <c r="M4081" t="n">
        <v>31500</v>
      </c>
      <c r="N4081" t="n">
        <v>91</v>
      </c>
      <c r="O4081" t="n">
        <v>0.91</v>
      </c>
      <c r="P4081" t="n">
        <v>1</v>
      </c>
      <c r="Q4081" t="n">
        <v>0.08</v>
      </c>
      <c r="R4081" t="n">
        <v>2</v>
      </c>
      <c r="S4081" t="n">
        <v>3439.8</v>
      </c>
      <c r="T4081" t="n">
        <v>38</v>
      </c>
      <c r="U4081" t="n">
        <v>39</v>
      </c>
      <c r="V4081" t="n">
        <v>30</v>
      </c>
      <c r="W4081" t="n">
        <v>4</v>
      </c>
      <c r="X4081" t="n">
        <v>54.94505494505494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7672</v>
      </c>
      <c r="AG4081" t="n">
        <v>1</v>
      </c>
      <c r="AH4081" t="inlineStr">
        <is>
          <t>PT. BERSAMA DISTRIVERSA INDONESIA (DC CIPUTAT)</t>
        </is>
      </c>
      <c r="AI4081" t="n">
        <v>126</v>
      </c>
      <c r="AJ4081" t="inlineStr">
        <is>
          <t>PIGEON TEENS</t>
        </is>
      </c>
      <c r="AK4081" t="n">
        <v>21</v>
      </c>
      <c r="AL4081" t="inlineStr">
        <is>
          <t>Miss Glam Damar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PIGEON TEENS</t>
        </is>
      </c>
      <c r="B4082" s="2">
        <f>"8992771010093"</f>
        <v/>
      </c>
      <c r="C4082" t="inlineStr">
        <is>
          <t>PIGEON Facial Foam 40ml</t>
        </is>
      </c>
      <c r="D4082" t="inlineStr">
        <is>
          <t>Miss Glam Damar</t>
        </is>
      </c>
      <c r="E4082" t="n">
        <v>22</v>
      </c>
      <c r="F4082" t="n">
        <v>0.5096000000000001</v>
      </c>
      <c r="G4082" t="n">
        <v>2.73</v>
      </c>
      <c r="H4082" t="n">
        <v>4</v>
      </c>
      <c r="I4082" t="n">
        <v>21</v>
      </c>
      <c r="J4082" t="n">
        <v>3</v>
      </c>
      <c r="K4082" t="n">
        <v>0</v>
      </c>
      <c r="L4082" t="n">
        <v>10613</v>
      </c>
      <c r="M4082" t="n">
        <v>14000</v>
      </c>
      <c r="N4082" t="n">
        <v>91</v>
      </c>
      <c r="O4082" t="n">
        <v>0.91</v>
      </c>
      <c r="P4082" t="n">
        <v>1</v>
      </c>
      <c r="Q4082" t="n">
        <v>0.32</v>
      </c>
      <c r="R4082" t="n">
        <v>2</v>
      </c>
      <c r="S4082" t="n">
        <v>7134.400000000001</v>
      </c>
      <c r="T4082" t="n">
        <v>56</v>
      </c>
      <c r="U4082" t="n">
        <v>59</v>
      </c>
      <c r="V4082" t="n">
        <v>30</v>
      </c>
      <c r="W4082" t="n">
        <v>16</v>
      </c>
      <c r="X4082" t="n">
        <v>43.17111459968602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7672</v>
      </c>
      <c r="AG4082" t="n">
        <v>1</v>
      </c>
      <c r="AH4082" t="inlineStr">
        <is>
          <t>PT. BERSAMA DISTRIVERSA INDONESIA (DC CIPUTAT)</t>
        </is>
      </c>
      <c r="AI4082" t="n">
        <v>126</v>
      </c>
      <c r="AJ4082" t="inlineStr">
        <is>
          <t>PIGEON TEENS</t>
        </is>
      </c>
      <c r="AK4082" t="n">
        <v>21</v>
      </c>
      <c r="AL4082" t="inlineStr">
        <is>
          <t>Miss Glam Damar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PIGEON TEENS</t>
        </is>
      </c>
      <c r="B4083" s="2">
        <f>"8992771010321"</f>
        <v/>
      </c>
      <c r="C4083" t="inlineStr">
        <is>
          <t>PIGEON TEENS Acne Ranger Gel 15ml</t>
        </is>
      </c>
      <c r="D4083" t="inlineStr">
        <is>
          <t>Miss Glam Damar</t>
        </is>
      </c>
      <c r="E4083" t="n">
        <v>0</v>
      </c>
      <c r="F4083" t="n">
        <v>0.04550000000000001</v>
      </c>
      <c r="G4083" t="n">
        <v>0.91</v>
      </c>
      <c r="H4083" t="n">
        <v>4</v>
      </c>
      <c r="I4083" t="n">
        <v>21</v>
      </c>
      <c r="J4083" t="n">
        <v>3</v>
      </c>
      <c r="K4083" t="n">
        <v>3</v>
      </c>
      <c r="L4083" t="n">
        <v>28000</v>
      </c>
      <c r="M4083" t="n">
        <v>35000</v>
      </c>
      <c r="N4083" t="n">
        <v>91</v>
      </c>
      <c r="O4083" t="n">
        <v>0.91</v>
      </c>
      <c r="P4083" t="n">
        <v>1</v>
      </c>
      <c r="Q4083" t="n">
        <v>0.11</v>
      </c>
      <c r="R4083" t="n">
        <v>2</v>
      </c>
      <c r="S4083" t="n">
        <v>1592.5</v>
      </c>
      <c r="T4083" t="n">
        <v>19</v>
      </c>
      <c r="U4083" t="n">
        <v>20</v>
      </c>
      <c r="V4083" t="n">
        <v>30</v>
      </c>
      <c r="W4083" t="n">
        <v>2</v>
      </c>
      <c r="X4083" t="n">
        <v>0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7672</v>
      </c>
      <c r="AG4083" t="n">
        <v>1</v>
      </c>
      <c r="AH4083" t="inlineStr">
        <is>
          <t>PT. BERSAMA DISTRIVERSA INDONESIA (DC CIPUTAT)</t>
        </is>
      </c>
      <c r="AI4083" t="n">
        <v>126</v>
      </c>
      <c r="AJ4083" t="inlineStr">
        <is>
          <t>PIGEON TEENS</t>
        </is>
      </c>
      <c r="AK4083" t="n">
        <v>21</v>
      </c>
      <c r="AL4083" t="inlineStr">
        <is>
          <t>Miss Glam Damar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PIGEON TEENS</t>
        </is>
      </c>
      <c r="B4084" s="2">
        <f>"8992771010369"</f>
        <v/>
      </c>
      <c r="C4084" t="inlineStr">
        <is>
          <t>PIGEON TEENS Acne Ranger Loose Powder</t>
        </is>
      </c>
      <c r="D4084" t="inlineStr">
        <is>
          <t>Miss Glam Damar</t>
        </is>
      </c>
      <c r="E4084" t="n">
        <v>7</v>
      </c>
      <c r="F4084" t="n">
        <v>0.2275</v>
      </c>
      <c r="G4084" t="n">
        <v>1.82</v>
      </c>
      <c r="H4084" t="n">
        <v>4</v>
      </c>
      <c r="I4084" t="n">
        <v>21</v>
      </c>
      <c r="J4084" t="n">
        <v>3</v>
      </c>
      <c r="K4084" t="n">
        <v>4</v>
      </c>
      <c r="L4084" t="n">
        <v>27372</v>
      </c>
      <c r="M4084" t="n">
        <v>34000</v>
      </c>
      <c r="N4084" t="n">
        <v>91</v>
      </c>
      <c r="O4084" t="n">
        <v>0.91</v>
      </c>
      <c r="P4084" t="n">
        <v>1</v>
      </c>
      <c r="Q4084" t="n">
        <v>0.19</v>
      </c>
      <c r="R4084" t="n">
        <v>3</v>
      </c>
      <c r="S4084" t="n">
        <v>7735</v>
      </c>
      <c r="T4084" t="n">
        <v>38</v>
      </c>
      <c r="U4084" t="n">
        <v>39</v>
      </c>
      <c r="V4084" t="n">
        <v>30</v>
      </c>
      <c r="W4084" t="n">
        <v>7</v>
      </c>
      <c r="X4084" t="n">
        <v>30.76923076923077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7672</v>
      </c>
      <c r="AG4084" t="n">
        <v>1</v>
      </c>
      <c r="AH4084" t="inlineStr">
        <is>
          <t>PT. BERSAMA DISTRIVERSA INDONESIA (DC CIPUTAT)</t>
        </is>
      </c>
      <c r="AI4084" t="n">
        <v>126</v>
      </c>
      <c r="AJ4084" t="inlineStr">
        <is>
          <t>PIGEON TEENS</t>
        </is>
      </c>
      <c r="AK4084" t="n">
        <v>21</v>
      </c>
      <c r="AL4084" t="inlineStr">
        <is>
          <t>Miss Glam Damar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PIGEON TEENS</t>
        </is>
      </c>
      <c r="B4085" s="2">
        <f>"8992771010376"</f>
        <v/>
      </c>
      <c r="C4085" t="inlineStr">
        <is>
          <t>PIGEON TEENS Acne Ranger Moisturizer 20ml</t>
        </is>
      </c>
      <c r="D4085" t="inlineStr">
        <is>
          <t>Miss Glam Damar</t>
        </is>
      </c>
      <c r="E4085" t="n">
        <v>12</v>
      </c>
      <c r="F4085" t="n">
        <v>0.1729</v>
      </c>
      <c r="G4085" t="n">
        <v>1.82</v>
      </c>
      <c r="H4085" t="n">
        <v>4</v>
      </c>
      <c r="I4085" t="n">
        <v>21</v>
      </c>
      <c r="J4085" t="n">
        <v>3</v>
      </c>
      <c r="K4085" t="n">
        <v>0</v>
      </c>
      <c r="L4085" t="n">
        <v>17108</v>
      </c>
      <c r="M4085" t="n">
        <v>23000</v>
      </c>
      <c r="N4085" t="n">
        <v>91</v>
      </c>
      <c r="O4085" t="n">
        <v>0.91</v>
      </c>
      <c r="P4085" t="n">
        <v>1</v>
      </c>
      <c r="Q4085" t="n">
        <v>0.05</v>
      </c>
      <c r="R4085" t="n">
        <v>1</v>
      </c>
      <c r="S4085" t="n">
        <v>3976.7</v>
      </c>
      <c r="T4085" t="n">
        <v>38</v>
      </c>
      <c r="U4085" t="n">
        <v>39</v>
      </c>
      <c r="V4085" t="n">
        <v>30</v>
      </c>
      <c r="W4085" t="n">
        <v>6</v>
      </c>
      <c r="X4085" t="n">
        <v>69.40427993059572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7672</v>
      </c>
      <c r="AG4085" t="n">
        <v>1</v>
      </c>
      <c r="AH4085" t="inlineStr">
        <is>
          <t>PT. BERSAMA DISTRIVERSA INDONESIA (DC CIPUTAT)</t>
        </is>
      </c>
      <c r="AI4085" t="n">
        <v>126</v>
      </c>
      <c r="AJ4085" t="inlineStr">
        <is>
          <t>PIGEON TEENS</t>
        </is>
      </c>
      <c r="AK4085" t="n">
        <v>21</v>
      </c>
      <c r="AL4085" t="inlineStr">
        <is>
          <t>Miss Glam Damar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PIGEON TEENS</t>
        </is>
      </c>
      <c r="B4086" s="2">
        <f>"8992771010383"</f>
        <v/>
      </c>
      <c r="C4086" t="inlineStr">
        <is>
          <t>PIGEON TEENS Acne Ranger Moisturizer 50ml</t>
        </is>
      </c>
      <c r="D4086" t="inlineStr">
        <is>
          <t>Miss Glam Damar</t>
        </is>
      </c>
      <c r="E4086" t="n">
        <v>1</v>
      </c>
      <c r="F4086" t="n">
        <v>0.1365</v>
      </c>
      <c r="G4086" t="n">
        <v>1.82</v>
      </c>
      <c r="H4086" t="n">
        <v>4</v>
      </c>
      <c r="I4086" t="n">
        <v>21</v>
      </c>
      <c r="J4086" t="n">
        <v>3</v>
      </c>
      <c r="K4086" t="n">
        <v>9</v>
      </c>
      <c r="L4086" t="n">
        <v>34114</v>
      </c>
      <c r="M4086" t="n">
        <v>47500</v>
      </c>
      <c r="N4086" t="n">
        <v>91</v>
      </c>
      <c r="O4086" t="n">
        <v>0.91</v>
      </c>
      <c r="P4086" t="n">
        <v>1</v>
      </c>
      <c r="Q4086" t="n">
        <v>0.07000000000000001</v>
      </c>
      <c r="R4086" t="n">
        <v>1</v>
      </c>
      <c r="S4086" t="n">
        <v>6483.750000000001</v>
      </c>
      <c r="T4086" t="n">
        <v>38</v>
      </c>
      <c r="U4086" t="n">
        <v>39</v>
      </c>
      <c r="V4086" t="n">
        <v>30</v>
      </c>
      <c r="W4086" t="n">
        <v>5</v>
      </c>
      <c r="X4086" t="n">
        <v>7.326007326007326</v>
      </c>
      <c r="Y4086" t="n">
        <v>1</v>
      </c>
      <c r="Z4086" t="n">
        <v>0</v>
      </c>
      <c r="AA4086" t="n">
        <v>1</v>
      </c>
      <c r="AB4086" t="n">
        <v>0</v>
      </c>
      <c r="AC4086" t="n">
        <v>0</v>
      </c>
      <c r="AD4086" t="n">
        <v>34114</v>
      </c>
      <c r="AE4086" t="n">
        <v>0</v>
      </c>
      <c r="AF4086" t="n">
        <v>7672</v>
      </c>
      <c r="AG4086" t="n">
        <v>1</v>
      </c>
      <c r="AH4086" t="inlineStr">
        <is>
          <t>PT. BERSAMA DISTRIVERSA INDONESIA (DC CIPUTAT)</t>
        </is>
      </c>
      <c r="AI4086" t="n">
        <v>126</v>
      </c>
      <c r="AJ4086" t="inlineStr">
        <is>
          <t>PIGEON TEENS</t>
        </is>
      </c>
      <c r="AK4086" t="n">
        <v>21</v>
      </c>
      <c r="AL4086" t="inlineStr">
        <is>
          <t>Miss Glam Damar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PIGEON TEENS</t>
        </is>
      </c>
      <c r="B4087" s="2">
        <f>"8992771010420"</f>
        <v/>
      </c>
      <c r="C4087" t="inlineStr">
        <is>
          <t>PIGEON TEENS Acne Ranger Serum 20ml</t>
        </is>
      </c>
      <c r="D4087" t="inlineStr">
        <is>
          <t>Miss Glam Damar</t>
        </is>
      </c>
      <c r="E4087" t="n">
        <v>10</v>
      </c>
      <c r="F4087" t="n">
        <v>0.1274</v>
      </c>
      <c r="G4087" t="n">
        <v>0.91</v>
      </c>
      <c r="H4087" t="n">
        <v>4</v>
      </c>
      <c r="I4087" t="n">
        <v>21</v>
      </c>
      <c r="J4087" t="n">
        <v>3</v>
      </c>
      <c r="K4087" t="n">
        <v>18</v>
      </c>
      <c r="L4087" t="n">
        <v>29565</v>
      </c>
      <c r="M4087" t="n">
        <v>38000</v>
      </c>
      <c r="N4087" t="n">
        <v>91</v>
      </c>
      <c r="O4087" t="n">
        <v>0.91</v>
      </c>
      <c r="P4087" t="n">
        <v>1</v>
      </c>
      <c r="Q4087" t="n">
        <v>0.12</v>
      </c>
      <c r="R4087" t="n">
        <v>2</v>
      </c>
      <c r="S4087" t="n">
        <v>4841.200000000001</v>
      </c>
      <c r="T4087" t="n">
        <v>19</v>
      </c>
      <c r="U4087" t="n">
        <v>20</v>
      </c>
      <c r="V4087" t="n">
        <v>30</v>
      </c>
      <c r="W4087" t="n">
        <v>4</v>
      </c>
      <c r="X4087" t="n">
        <v>78.49293563579278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7672</v>
      </c>
      <c r="AG4087" t="n">
        <v>1</v>
      </c>
      <c r="AH4087" t="inlineStr">
        <is>
          <t>PT. BERSAMA DISTRIVERSA INDONESIA (DC CIPUTAT)</t>
        </is>
      </c>
      <c r="AI4087" t="n">
        <v>126</v>
      </c>
      <c r="AJ4087" t="inlineStr">
        <is>
          <t>PIGEON TEENS</t>
        </is>
      </c>
      <c r="AK4087" t="n">
        <v>21</v>
      </c>
      <c r="AL4087" t="inlineStr">
        <is>
          <t>Miss Glam Damar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PIGEON TEENS</t>
        </is>
      </c>
      <c r="B4088" s="2">
        <f>"8992771010390"</f>
        <v/>
      </c>
      <c r="C4088" t="inlineStr">
        <is>
          <t>PIGEON TEENS Acne Ranger Toner 95ml</t>
        </is>
      </c>
      <c r="D4088" t="inlineStr">
        <is>
          <t>Miss Glam Damar</t>
        </is>
      </c>
      <c r="E4088" t="n">
        <v>3</v>
      </c>
      <c r="F4088" t="n">
        <v>0.04550000000000001</v>
      </c>
      <c r="G4088" t="n">
        <v>1.82</v>
      </c>
      <c r="H4088" t="n">
        <v>4</v>
      </c>
      <c r="I4088" t="n">
        <v>21</v>
      </c>
      <c r="J4088" t="n">
        <v>3</v>
      </c>
      <c r="K4088" t="n">
        <v>16</v>
      </c>
      <c r="L4088" t="n">
        <v>26533</v>
      </c>
      <c r="M4088" t="n">
        <v>35000</v>
      </c>
      <c r="N4088" t="n">
        <v>91</v>
      </c>
      <c r="O4088" t="n">
        <v>0.91</v>
      </c>
      <c r="P4088" t="n">
        <v>1</v>
      </c>
      <c r="Q4088" t="n">
        <v>0.1</v>
      </c>
      <c r="R4088" t="n">
        <v>2</v>
      </c>
      <c r="S4088" t="n">
        <v>1592.5</v>
      </c>
      <c r="T4088" t="n">
        <v>39</v>
      </c>
      <c r="U4088" t="n">
        <v>40</v>
      </c>
      <c r="V4088" t="n">
        <v>30</v>
      </c>
      <c r="W4088" t="n">
        <v>2</v>
      </c>
      <c r="X4088" t="n">
        <v>65.93406593406593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7672</v>
      </c>
      <c r="AG4088" t="n">
        <v>1</v>
      </c>
      <c r="AH4088" t="inlineStr">
        <is>
          <t>PT. BERSAMA DISTRIVERSA INDONESIA (DC CIPUTAT)</t>
        </is>
      </c>
      <c r="AI4088" t="n">
        <v>126</v>
      </c>
      <c r="AJ4088" t="inlineStr">
        <is>
          <t>PIGEON TEENS</t>
        </is>
      </c>
      <c r="AK4088" t="n">
        <v>21</v>
      </c>
      <c r="AL4088" t="inlineStr">
        <is>
          <t>Miss Glam Damar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PIGEON TEENS</t>
        </is>
      </c>
      <c r="B4089" s="2">
        <f>"10500210407"</f>
        <v/>
      </c>
      <c r="C4089" t="inlineStr">
        <is>
          <t>PIGEON TEENS Berry Good Jelly Mask 60ml</t>
        </is>
      </c>
      <c r="D4089" t="inlineStr">
        <is>
          <t>Miss Glam Damar</t>
        </is>
      </c>
      <c r="E4089" t="n">
        <v>8</v>
      </c>
      <c r="F4089" t="n">
        <v>0.182</v>
      </c>
      <c r="G4089" t="n">
        <v>2.73</v>
      </c>
      <c r="H4089" t="n">
        <v>4</v>
      </c>
      <c r="I4089" t="n">
        <v>21</v>
      </c>
      <c r="J4089" t="n">
        <v>1</v>
      </c>
      <c r="K4089" t="n">
        <v>0</v>
      </c>
      <c r="L4089" t="n">
        <v>27022</v>
      </c>
      <c r="M4089" t="n">
        <v>33000</v>
      </c>
      <c r="N4089" t="n">
        <v>91</v>
      </c>
      <c r="O4089" t="n">
        <v>0.91</v>
      </c>
      <c r="P4089" t="n">
        <v>1</v>
      </c>
      <c r="Q4089" t="n">
        <v>0.41</v>
      </c>
      <c r="R4089" t="n">
        <v>4</v>
      </c>
      <c r="S4089" t="n">
        <v>6006.000000000001</v>
      </c>
      <c r="T4089" t="n">
        <v>57</v>
      </c>
      <c r="U4089" t="n">
        <v>58</v>
      </c>
      <c r="V4089" t="n">
        <v>30</v>
      </c>
      <c r="W4089" t="n">
        <v>6</v>
      </c>
      <c r="X4089" t="n">
        <v>43.95604395604395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7672</v>
      </c>
      <c r="AG4089" t="n">
        <v>1</v>
      </c>
      <c r="AH4089" t="inlineStr">
        <is>
          <t>PT. BERSAMA DISTRIVERSA INDONESIA (DC CIPUTAT)</t>
        </is>
      </c>
      <c r="AI4089" t="n">
        <v>126</v>
      </c>
      <c r="AJ4089" t="inlineStr">
        <is>
          <t>PIGEON TEENS</t>
        </is>
      </c>
      <c r="AK4089" t="n">
        <v>21</v>
      </c>
      <c r="AL4089" t="inlineStr">
        <is>
          <t>Miss Glam Damar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PIGEON TEENS</t>
        </is>
      </c>
      <c r="B4090" s="2">
        <f>"8992771010604"</f>
        <v/>
      </c>
      <c r="C4090" t="inlineStr">
        <is>
          <t>PIGEON TEENS Bright Heroes Body Serum 100ml</t>
        </is>
      </c>
      <c r="D4090" t="inlineStr">
        <is>
          <t>Miss Glam Damar</t>
        </is>
      </c>
      <c r="E4090" t="n">
        <v>8</v>
      </c>
      <c r="F4090" t="n">
        <v>0.3549</v>
      </c>
      <c r="G4090" t="n">
        <v>1.82</v>
      </c>
      <c r="H4090" t="n">
        <v>4</v>
      </c>
      <c r="I4090" t="n">
        <v>21</v>
      </c>
      <c r="J4090" t="n">
        <v>3</v>
      </c>
      <c r="K4090" t="n">
        <v>56</v>
      </c>
      <c r="L4090" t="n">
        <v>26984</v>
      </c>
      <c r="M4090" t="n">
        <v>33500</v>
      </c>
      <c r="N4090" t="n">
        <v>91</v>
      </c>
      <c r="O4090" t="n">
        <v>0.91</v>
      </c>
      <c r="P4090" t="n">
        <v>1</v>
      </c>
      <c r="Q4090" t="n">
        <v>0.46</v>
      </c>
      <c r="R4090" t="n">
        <v>4</v>
      </c>
      <c r="S4090" t="n">
        <v>11889.15</v>
      </c>
      <c r="T4090" t="n">
        <v>37</v>
      </c>
      <c r="U4090" t="n">
        <v>39</v>
      </c>
      <c r="V4090" t="n">
        <v>30</v>
      </c>
      <c r="W4090" t="n">
        <v>11</v>
      </c>
      <c r="X4090" t="n">
        <v>22.54156100309946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7672</v>
      </c>
      <c r="AG4090" t="n">
        <v>1</v>
      </c>
      <c r="AH4090" t="inlineStr">
        <is>
          <t>PT. BERSAMA DISTRIVERSA INDONESIA (DC CIPUTAT)</t>
        </is>
      </c>
      <c r="AI4090" t="n">
        <v>126</v>
      </c>
      <c r="AJ4090" t="inlineStr">
        <is>
          <t>PIGEON TEENS</t>
        </is>
      </c>
      <c r="AK4090" t="n">
        <v>21</v>
      </c>
      <c r="AL4090" t="inlineStr">
        <is>
          <t>Miss Glam Damar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PIGEON TEENS</t>
        </is>
      </c>
      <c r="B4091" s="2">
        <f>"20100638340"</f>
        <v/>
      </c>
      <c r="C4091" t="inlineStr">
        <is>
          <t>PIGEON TEENS Bright Heroes Loose Powder 12gr</t>
        </is>
      </c>
      <c r="D4091" t="inlineStr">
        <is>
          <t>Miss Glam Damar</t>
        </is>
      </c>
      <c r="E4091" t="n">
        <v>20</v>
      </c>
      <c r="F4091" t="n">
        <v>0.04550000000000001</v>
      </c>
      <c r="G4091" t="n">
        <v>1.82</v>
      </c>
      <c r="H4091" t="n">
        <v>4</v>
      </c>
      <c r="I4091" t="n">
        <v>21</v>
      </c>
      <c r="J4091" t="n">
        <v>3</v>
      </c>
      <c r="K4091" t="n">
        <v>0</v>
      </c>
      <c r="L4091" t="n">
        <v>24875</v>
      </c>
      <c r="M4091" t="n">
        <v>31000</v>
      </c>
      <c r="N4091" t="n">
        <v>91</v>
      </c>
      <c r="O4091" t="n">
        <v>0.91</v>
      </c>
      <c r="P4091" t="n">
        <v>1</v>
      </c>
      <c r="Q4091" t="n">
        <v>0.27</v>
      </c>
      <c r="R4091" t="n">
        <v>4</v>
      </c>
      <c r="S4091" t="n">
        <v>1410.5</v>
      </c>
      <c r="T4091" t="n">
        <v>39</v>
      </c>
      <c r="U4091" t="n">
        <v>40</v>
      </c>
      <c r="V4091" t="n">
        <v>30</v>
      </c>
      <c r="W4091" t="n">
        <v>2</v>
      </c>
      <c r="X4091" t="n">
        <v>439.5604395604395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7672</v>
      </c>
      <c r="AG4091" t="n">
        <v>1</v>
      </c>
      <c r="AH4091" t="inlineStr">
        <is>
          <t>PT. BERSAMA DISTRIVERSA INDONESIA (DC CIPUTAT)</t>
        </is>
      </c>
      <c r="AI4091" t="n">
        <v>126</v>
      </c>
      <c r="AJ4091" t="inlineStr">
        <is>
          <t>PIGEON TEENS</t>
        </is>
      </c>
      <c r="AK4091" t="n">
        <v>21</v>
      </c>
      <c r="AL4091" t="inlineStr">
        <is>
          <t>Miss Glam Damar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PIGEON TEENS</t>
        </is>
      </c>
      <c r="B4092" s="2">
        <f>"10100721247"</f>
        <v/>
      </c>
      <c r="C4092" t="inlineStr">
        <is>
          <t>PIGEON TEENS Bright Heroes Micellar Oil 100ml</t>
        </is>
      </c>
      <c r="D4092" t="inlineStr">
        <is>
          <t>Miss Glam Damar</t>
        </is>
      </c>
      <c r="E4092" t="n">
        <v>4</v>
      </c>
      <c r="F4092" t="n">
        <v>0.4186</v>
      </c>
      <c r="G4092" t="n">
        <v>2.73</v>
      </c>
      <c r="H4092" t="n">
        <v>4</v>
      </c>
      <c r="I4092" t="n">
        <v>21</v>
      </c>
      <c r="J4092" t="n">
        <v>3</v>
      </c>
      <c r="K4092" t="n">
        <v>48</v>
      </c>
      <c r="L4092" t="n">
        <v>26533</v>
      </c>
      <c r="M4092" t="n">
        <v>33500</v>
      </c>
      <c r="N4092" t="n">
        <v>91</v>
      </c>
      <c r="O4092" t="n">
        <v>0.91</v>
      </c>
      <c r="P4092" t="n">
        <v>1</v>
      </c>
      <c r="Q4092" t="n">
        <v>0.37</v>
      </c>
      <c r="R4092" t="n">
        <v>3</v>
      </c>
      <c r="S4092" t="n">
        <v>14023.1</v>
      </c>
      <c r="T4092" t="n">
        <v>56</v>
      </c>
      <c r="U4092" t="n">
        <v>58</v>
      </c>
      <c r="V4092" t="n">
        <v>30</v>
      </c>
      <c r="W4092" t="n">
        <v>13</v>
      </c>
      <c r="X4092" t="n">
        <v>9.555661729574773</v>
      </c>
      <c r="Y4092" t="n">
        <v>1</v>
      </c>
      <c r="Z4092" t="n">
        <v>0</v>
      </c>
      <c r="AA4092" t="n">
        <v>4</v>
      </c>
      <c r="AB4092" t="n">
        <v>0</v>
      </c>
      <c r="AC4092" t="n">
        <v>0</v>
      </c>
      <c r="AD4092" t="n">
        <v>106132</v>
      </c>
      <c r="AE4092" t="n">
        <v>0</v>
      </c>
      <c r="AF4092" t="n">
        <v>7672</v>
      </c>
      <c r="AG4092" t="n">
        <v>1</v>
      </c>
      <c r="AH4092" t="inlineStr">
        <is>
          <t>PT. BERSAMA DISTRIVERSA INDONESIA (DC CIPUTAT)</t>
        </is>
      </c>
      <c r="AI4092" t="n">
        <v>126</v>
      </c>
      <c r="AJ4092" t="inlineStr">
        <is>
          <t>PIGEON TEENS</t>
        </is>
      </c>
      <c r="AK4092" t="n">
        <v>21</v>
      </c>
      <c r="AL4092" t="inlineStr">
        <is>
          <t>Miss Glam Damar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PIGEON TEENS</t>
        </is>
      </c>
      <c r="B4093" s="2">
        <f>"8992771010697"</f>
        <v/>
      </c>
      <c r="C4093" t="inlineStr">
        <is>
          <t>PIGEON TEENS Bright Heroes Moisturizer 20ml</t>
        </is>
      </c>
      <c r="D4093" t="inlineStr">
        <is>
          <t>Miss Glam Damar</t>
        </is>
      </c>
      <c r="E4093" t="n">
        <v>1</v>
      </c>
      <c r="F4093" t="n">
        <v>0.04550000000000001</v>
      </c>
      <c r="G4093" t="n">
        <v>1.82</v>
      </c>
      <c r="H4093" t="n">
        <v>4</v>
      </c>
      <c r="I4093" t="n">
        <v>21</v>
      </c>
      <c r="J4093" t="n">
        <v>3</v>
      </c>
      <c r="K4093" t="n">
        <v>9</v>
      </c>
      <c r="L4093" t="n">
        <v>15635</v>
      </c>
      <c r="M4093" t="n">
        <v>19500</v>
      </c>
      <c r="N4093" t="n">
        <v>91</v>
      </c>
      <c r="O4093" t="n">
        <v>0.91</v>
      </c>
      <c r="P4093" t="n">
        <v>1</v>
      </c>
      <c r="Q4093" t="n">
        <v>0.1</v>
      </c>
      <c r="R4093" t="n">
        <v>1</v>
      </c>
      <c r="S4093" t="n">
        <v>887.2500000000001</v>
      </c>
      <c r="T4093" t="n">
        <v>39</v>
      </c>
      <c r="U4093" t="n">
        <v>40</v>
      </c>
      <c r="V4093" t="n">
        <v>30</v>
      </c>
      <c r="W4093" t="n">
        <v>2</v>
      </c>
      <c r="X4093" t="n">
        <v>21.97802197802197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7672</v>
      </c>
      <c r="AG4093" t="n">
        <v>1</v>
      </c>
      <c r="AH4093" t="inlineStr">
        <is>
          <t>PT. BERSAMA DISTRIVERSA INDONESIA (DC CIPUTAT)</t>
        </is>
      </c>
      <c r="AI4093" t="n">
        <v>126</v>
      </c>
      <c r="AJ4093" t="inlineStr">
        <is>
          <t>PIGEON TEENS</t>
        </is>
      </c>
      <c r="AK4093" t="n">
        <v>21</v>
      </c>
      <c r="AL4093" t="inlineStr">
        <is>
          <t>Miss Glam Damar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PIGEON TEENS</t>
        </is>
      </c>
      <c r="B4094" s="2">
        <f>"8992771010703"</f>
        <v/>
      </c>
      <c r="C4094" t="inlineStr">
        <is>
          <t>PIGEON TEENS Bright Heroes Moisturizer 50ml</t>
        </is>
      </c>
      <c r="D4094" t="inlineStr">
        <is>
          <t>Miss Glam Damar</t>
        </is>
      </c>
      <c r="E4094" t="n">
        <v>14</v>
      </c>
      <c r="F4094" t="n">
        <v>0.0182</v>
      </c>
      <c r="G4094" t="n">
        <v>0.91</v>
      </c>
      <c r="H4094" t="n">
        <v>4</v>
      </c>
      <c r="I4094" t="n">
        <v>21</v>
      </c>
      <c r="J4094" t="n">
        <v>3</v>
      </c>
      <c r="K4094" t="n">
        <v>0</v>
      </c>
      <c r="L4094" t="n">
        <v>29849</v>
      </c>
      <c r="M4094" t="n">
        <v>37500</v>
      </c>
      <c r="N4094" t="n">
        <v>91</v>
      </c>
      <c r="O4094" t="n">
        <v>0.91</v>
      </c>
      <c r="P4094" t="n">
        <v>1</v>
      </c>
      <c r="Q4094" t="n">
        <v>0.17</v>
      </c>
      <c r="R4094" t="n">
        <v>2</v>
      </c>
      <c r="S4094" t="n">
        <v>682.5</v>
      </c>
      <c r="T4094" t="n">
        <v>20</v>
      </c>
      <c r="U4094" t="n">
        <v>21</v>
      </c>
      <c r="V4094" t="n">
        <v>30</v>
      </c>
      <c r="W4094" t="n">
        <v>1</v>
      </c>
      <c r="X4094" t="n">
        <v>769.2307692307692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7672</v>
      </c>
      <c r="AG4094" t="n">
        <v>1</v>
      </c>
      <c r="AH4094" t="inlineStr">
        <is>
          <t>PT. BERSAMA DISTRIVERSA INDONESIA (DC CIPUTAT)</t>
        </is>
      </c>
      <c r="AI4094" t="n">
        <v>126</v>
      </c>
      <c r="AJ4094" t="inlineStr">
        <is>
          <t>PIGEON TEENS</t>
        </is>
      </c>
      <c r="AK4094" t="n">
        <v>21</v>
      </c>
      <c r="AL4094" t="inlineStr">
        <is>
          <t>Miss Glam Damar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PIGEON TEENS</t>
        </is>
      </c>
      <c r="B4095" s="2">
        <f>"8992771010406"</f>
        <v/>
      </c>
      <c r="C4095" t="inlineStr">
        <is>
          <t>PIGEON TEENS Bright Heroes Serum 20ml</t>
        </is>
      </c>
      <c r="D4095" t="inlineStr">
        <is>
          <t>Miss Glam Damar</t>
        </is>
      </c>
      <c r="E4095" t="n">
        <v>11</v>
      </c>
      <c r="F4095" t="n">
        <v>0.5277999999999999</v>
      </c>
      <c r="G4095" t="n">
        <v>1.82</v>
      </c>
      <c r="H4095" t="n">
        <v>4</v>
      </c>
      <c r="I4095" t="n">
        <v>21</v>
      </c>
      <c r="J4095" t="n">
        <v>3</v>
      </c>
      <c r="K4095" t="n">
        <v>0</v>
      </c>
      <c r="L4095" t="n">
        <v>29566</v>
      </c>
      <c r="M4095" t="n">
        <v>36000</v>
      </c>
      <c r="N4095" t="n">
        <v>91</v>
      </c>
      <c r="O4095" t="n">
        <v>0.91</v>
      </c>
      <c r="P4095" t="n">
        <v>1</v>
      </c>
      <c r="Q4095" t="n">
        <v>0.31</v>
      </c>
      <c r="R4095" t="n">
        <v>2</v>
      </c>
      <c r="S4095" t="n">
        <v>19000.8</v>
      </c>
      <c r="T4095" t="n">
        <v>37</v>
      </c>
      <c r="U4095" t="n">
        <v>40</v>
      </c>
      <c r="V4095" t="n">
        <v>30</v>
      </c>
      <c r="W4095" t="n">
        <v>16</v>
      </c>
      <c r="X4095" t="n">
        <v>20.84122773777947</v>
      </c>
      <c r="Y4095" t="n">
        <v>1</v>
      </c>
      <c r="Z4095" t="n">
        <v>5</v>
      </c>
      <c r="AA4095" t="n">
        <v>1</v>
      </c>
      <c r="AB4095" t="n">
        <v>4</v>
      </c>
      <c r="AC4095" t="n">
        <v>4</v>
      </c>
      <c r="AD4095" t="n">
        <v>29566</v>
      </c>
      <c r="AE4095" t="n">
        <v>118264</v>
      </c>
      <c r="AF4095" t="n">
        <v>7672</v>
      </c>
      <c r="AG4095" t="n">
        <v>1</v>
      </c>
      <c r="AH4095" t="inlineStr">
        <is>
          <t>PT. BERSAMA DISTRIVERSA INDONESIA (DC CIPUTAT)</t>
        </is>
      </c>
      <c r="AI4095" t="n">
        <v>126</v>
      </c>
      <c r="AJ4095" t="inlineStr">
        <is>
          <t>PIGEON TEENS</t>
        </is>
      </c>
      <c r="AK4095" t="n">
        <v>21</v>
      </c>
      <c r="AL4095" t="inlineStr">
        <is>
          <t>Miss Glam Damar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PIGEON TEENS</t>
        </is>
      </c>
      <c r="B4096" s="2">
        <f>"8992771010710"</f>
        <v/>
      </c>
      <c r="C4096" t="inlineStr">
        <is>
          <t>PIGEON TEENS Bright Heroes Sleeping Mask 30ml</t>
        </is>
      </c>
      <c r="D4096" t="inlineStr">
        <is>
          <t>Miss Glam Damar</t>
        </is>
      </c>
      <c r="E4096" t="n">
        <v>7</v>
      </c>
      <c r="F4096" t="n">
        <v>0.2912</v>
      </c>
      <c r="G4096" t="n">
        <v>1.82</v>
      </c>
      <c r="H4096" t="n">
        <v>4</v>
      </c>
      <c r="I4096" t="n">
        <v>21</v>
      </c>
      <c r="J4096" t="n">
        <v>3</v>
      </c>
      <c r="K4096" t="n">
        <v>48</v>
      </c>
      <c r="L4096" t="n">
        <v>27947</v>
      </c>
      <c r="M4096" t="n">
        <v>34500</v>
      </c>
      <c r="N4096" t="n">
        <v>91</v>
      </c>
      <c r="O4096" t="n">
        <v>0.91</v>
      </c>
      <c r="P4096" t="n">
        <v>1</v>
      </c>
      <c r="Q4096" t="n">
        <v>0.25</v>
      </c>
      <c r="R4096" t="n">
        <v>2</v>
      </c>
      <c r="S4096" t="n">
        <v>10046.4</v>
      </c>
      <c r="T4096" t="n">
        <v>38</v>
      </c>
      <c r="U4096" t="n">
        <v>40</v>
      </c>
      <c r="V4096" t="n">
        <v>30</v>
      </c>
      <c r="W4096" t="n">
        <v>9</v>
      </c>
      <c r="X4096" t="n">
        <v>24.03846153846154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7672</v>
      </c>
      <c r="AG4096" t="n">
        <v>1</v>
      </c>
      <c r="AH4096" t="inlineStr">
        <is>
          <t>PT. BERSAMA DISTRIVERSA INDONESIA (DC CIPUTAT)</t>
        </is>
      </c>
      <c r="AI4096" t="n">
        <v>126</v>
      </c>
      <c r="AJ4096" t="inlineStr">
        <is>
          <t>PIGEON TEENS</t>
        </is>
      </c>
      <c r="AK4096" t="n">
        <v>21</v>
      </c>
      <c r="AL4096" t="inlineStr">
        <is>
          <t>Miss Glam Damar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PIGEON TEENS</t>
        </is>
      </c>
      <c r="B4097" s="2">
        <f>"8992771010666"</f>
        <v/>
      </c>
      <c r="C4097" t="inlineStr">
        <is>
          <t>PIGEON TEENS Bright Heroes Toner 100ml</t>
        </is>
      </c>
      <c r="D4097" t="inlineStr">
        <is>
          <t>Miss Glam Damar</t>
        </is>
      </c>
      <c r="E4097" t="n">
        <v>0</v>
      </c>
      <c r="F4097" t="n">
        <v>0.04550000000000001</v>
      </c>
      <c r="G4097" t="n">
        <v>0.91</v>
      </c>
      <c r="H4097" t="n">
        <v>4</v>
      </c>
      <c r="I4097" t="n">
        <v>21</v>
      </c>
      <c r="J4097" t="n">
        <v>3</v>
      </c>
      <c r="K4097" t="n">
        <v>12</v>
      </c>
      <c r="L4097" t="n">
        <v>27717</v>
      </c>
      <c r="M4097" t="n">
        <v>34500</v>
      </c>
      <c r="N4097" t="n">
        <v>91</v>
      </c>
      <c r="O4097" t="n">
        <v>0.91</v>
      </c>
      <c r="P4097" t="n">
        <v>1</v>
      </c>
      <c r="Q4097" t="n">
        <v>0.08</v>
      </c>
      <c r="R4097" t="n">
        <v>1</v>
      </c>
      <c r="S4097" t="n">
        <v>1569.75</v>
      </c>
      <c r="T4097" t="n">
        <v>19</v>
      </c>
      <c r="U4097" t="n">
        <v>20</v>
      </c>
      <c r="V4097" t="n">
        <v>30</v>
      </c>
      <c r="W4097" t="n">
        <v>2</v>
      </c>
      <c r="X4097" t="n">
        <v>0</v>
      </c>
      <c r="Y4097" t="n">
        <v>1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7672</v>
      </c>
      <c r="AG4097" t="n">
        <v>1</v>
      </c>
      <c r="AH4097" t="inlineStr">
        <is>
          <t>PT. BERSAMA DISTRIVERSA INDONESIA (DC CIPUTAT)</t>
        </is>
      </c>
      <c r="AI4097" t="n">
        <v>126</v>
      </c>
      <c r="AJ4097" t="inlineStr">
        <is>
          <t>PIGEON TEENS</t>
        </is>
      </c>
      <c r="AK4097" t="n">
        <v>21</v>
      </c>
      <c r="AL4097" t="inlineStr">
        <is>
          <t>Miss Glam Damar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PIGEON TEENS</t>
        </is>
      </c>
      <c r="B4098" s="2">
        <f>"8992771010635"</f>
        <v/>
      </c>
      <c r="C4098" t="inlineStr">
        <is>
          <t>PIGEON TEENS Calm Fairy Body Serum 100ml</t>
        </is>
      </c>
      <c r="D4098" t="inlineStr">
        <is>
          <t>Miss Glam Damar</t>
        </is>
      </c>
      <c r="E4098" t="n">
        <v>4</v>
      </c>
      <c r="F4098" t="n">
        <v>0.0182</v>
      </c>
      <c r="G4098" t="n">
        <v>0.91</v>
      </c>
      <c r="H4098" t="n">
        <v>4</v>
      </c>
      <c r="I4098" t="n">
        <v>21</v>
      </c>
      <c r="J4098" t="n">
        <v>3</v>
      </c>
      <c r="K4098" t="n">
        <v>6</v>
      </c>
      <c r="L4098" t="n">
        <v>28000</v>
      </c>
      <c r="M4098" t="n">
        <v>33500</v>
      </c>
      <c r="N4098" t="n">
        <v>91</v>
      </c>
      <c r="O4098" t="n">
        <v>0.91</v>
      </c>
      <c r="P4098" t="n">
        <v>1</v>
      </c>
      <c r="Q4098" t="n">
        <v>0.02</v>
      </c>
      <c r="R4098" t="n">
        <v>1</v>
      </c>
      <c r="S4098" t="n">
        <v>609.7</v>
      </c>
      <c r="T4098" t="n">
        <v>20</v>
      </c>
      <c r="U4098" t="n">
        <v>21</v>
      </c>
      <c r="V4098" t="n">
        <v>30</v>
      </c>
      <c r="W4098" t="n">
        <v>1</v>
      </c>
      <c r="X4098" t="n">
        <v>219.7802197802198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7672</v>
      </c>
      <c r="AG4098" t="n">
        <v>1</v>
      </c>
      <c r="AH4098" t="inlineStr">
        <is>
          <t>PT. BERSAMA DISTRIVERSA INDONESIA (DC CIPUTAT)</t>
        </is>
      </c>
      <c r="AI4098" t="n">
        <v>126</v>
      </c>
      <c r="AJ4098" t="inlineStr">
        <is>
          <t>PIGEON TEENS</t>
        </is>
      </c>
      <c r="AK4098" t="n">
        <v>21</v>
      </c>
      <c r="AL4098" t="inlineStr">
        <is>
          <t>Miss Glam Damar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PIGEON TEENS</t>
        </is>
      </c>
      <c r="B4099" s="2">
        <f>"8992771010598"</f>
        <v/>
      </c>
      <c r="C4099" t="inlineStr">
        <is>
          <t>PIGEON TEENS Calm Fairy Serum 20ml</t>
        </is>
      </c>
      <c r="D4099" t="inlineStr">
        <is>
          <t>Miss Glam Damar</t>
        </is>
      </c>
      <c r="E4099" t="n">
        <v>2</v>
      </c>
      <c r="F4099" t="n">
        <v>0.02</v>
      </c>
      <c r="G4099" t="n">
        <v>2</v>
      </c>
      <c r="H4099" t="n">
        <v>4</v>
      </c>
      <c r="I4099" t="n">
        <v>21</v>
      </c>
      <c r="J4099" t="n">
        <v>3</v>
      </c>
      <c r="K4099" t="n">
        <v>6</v>
      </c>
      <c r="L4099" t="n">
        <v>31200</v>
      </c>
      <c r="M4099" t="n">
        <v>38000</v>
      </c>
      <c r="N4099" t="n">
        <v>91</v>
      </c>
      <c r="O4099" t="n">
        <v>0.91</v>
      </c>
      <c r="P4099" t="n">
        <v>0</v>
      </c>
      <c r="Q4099" t="n">
        <v>0.02</v>
      </c>
      <c r="R4099" t="n">
        <v>2</v>
      </c>
      <c r="S4099" t="n">
        <v>760</v>
      </c>
      <c r="T4099" t="n">
        <v>42</v>
      </c>
      <c r="U4099" t="n">
        <v>43</v>
      </c>
      <c r="V4099" t="n">
        <v>30</v>
      </c>
      <c r="W4099" t="n">
        <v>1</v>
      </c>
      <c r="X4099" t="n">
        <v>100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7672</v>
      </c>
      <c r="AG4099" t="n">
        <v>1</v>
      </c>
      <c r="AH4099" t="inlineStr">
        <is>
          <t>PT. BERSAMA DISTRIVERSA INDONESIA (DC CIPUTAT)</t>
        </is>
      </c>
      <c r="AI4099" t="n">
        <v>126</v>
      </c>
      <c r="AJ4099" t="inlineStr">
        <is>
          <t>PIGEON TEENS</t>
        </is>
      </c>
      <c r="AK4099" t="n">
        <v>21</v>
      </c>
      <c r="AL4099" t="inlineStr">
        <is>
          <t>Miss Glam Damar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PIGEON TEENS</t>
        </is>
      </c>
      <c r="B4100" s="2">
        <f>"8992771008922"</f>
        <v/>
      </c>
      <c r="C4100" t="inlineStr">
        <is>
          <t>PIGEON TEENS Compact Powder + Uv  White 14gr</t>
        </is>
      </c>
      <c r="D4100" t="inlineStr">
        <is>
          <t>Miss Glam Damar</t>
        </is>
      </c>
      <c r="E4100" t="n">
        <v>1</v>
      </c>
      <c r="F4100" t="n">
        <v>0.1274</v>
      </c>
      <c r="G4100" t="n">
        <v>0.91</v>
      </c>
      <c r="H4100" t="n">
        <v>4</v>
      </c>
      <c r="I4100" t="n">
        <v>21</v>
      </c>
      <c r="J4100" t="n">
        <v>3</v>
      </c>
      <c r="K4100" t="n">
        <v>6</v>
      </c>
      <c r="L4100" t="n">
        <v>34114</v>
      </c>
      <c r="M4100" t="n">
        <v>42500</v>
      </c>
      <c r="N4100" t="n">
        <v>91</v>
      </c>
      <c r="O4100" t="n">
        <v>0.91</v>
      </c>
      <c r="P4100" t="n">
        <v>1</v>
      </c>
      <c r="Q4100" t="n">
        <v>0.07000000000000001</v>
      </c>
      <c r="R4100" t="n">
        <v>1</v>
      </c>
      <c r="S4100" t="n">
        <v>5414.500000000001</v>
      </c>
      <c r="T4100" t="n">
        <v>19</v>
      </c>
      <c r="U4100" t="n">
        <v>20</v>
      </c>
      <c r="V4100" t="n">
        <v>30</v>
      </c>
      <c r="W4100" t="n">
        <v>4</v>
      </c>
      <c r="X4100" t="n">
        <v>7.849293563579277</v>
      </c>
      <c r="Y4100" t="n">
        <v>1</v>
      </c>
      <c r="Z4100" t="n">
        <v>0</v>
      </c>
      <c r="AA4100" t="n">
        <v>1</v>
      </c>
      <c r="AB4100" t="n">
        <v>0</v>
      </c>
      <c r="AC4100" t="n">
        <v>0</v>
      </c>
      <c r="AD4100" t="n">
        <v>34114</v>
      </c>
      <c r="AE4100" t="n">
        <v>0</v>
      </c>
      <c r="AF4100" t="n">
        <v>7672</v>
      </c>
      <c r="AG4100" t="n">
        <v>1</v>
      </c>
      <c r="AH4100" t="inlineStr">
        <is>
          <t>PT. BERSAMA DISTRIVERSA INDONESIA (DC CIPUTAT)</t>
        </is>
      </c>
      <c r="AI4100" t="n">
        <v>126</v>
      </c>
      <c r="AJ4100" t="inlineStr">
        <is>
          <t>PIGEON TEENS</t>
        </is>
      </c>
      <c r="AK4100" t="n">
        <v>21</v>
      </c>
      <c r="AL4100" t="inlineStr">
        <is>
          <t>Miss Glam Damar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PIGEON TEENS</t>
        </is>
      </c>
      <c r="B4101" s="2">
        <f>"8992771008953"</f>
        <v/>
      </c>
      <c r="C4101" t="inlineStr">
        <is>
          <t>PIGEON TEENS Compact Powder + Uv Natural 14gr</t>
        </is>
      </c>
      <c r="D4101" t="inlineStr">
        <is>
          <t>Miss Glam Damar</t>
        </is>
      </c>
      <c r="E4101" t="n">
        <v>2</v>
      </c>
      <c r="F4101" t="n">
        <v>0.2002</v>
      </c>
      <c r="G4101" t="n">
        <v>2.73</v>
      </c>
      <c r="H4101" t="n">
        <v>4</v>
      </c>
      <c r="I4101" t="n">
        <v>21</v>
      </c>
      <c r="J4101" t="n">
        <v>3</v>
      </c>
      <c r="K4101" t="n">
        <v>3</v>
      </c>
      <c r="L4101" t="n">
        <v>34114</v>
      </c>
      <c r="M4101" t="n">
        <v>42500</v>
      </c>
      <c r="N4101" t="n">
        <v>91</v>
      </c>
      <c r="O4101" t="n">
        <v>0.91</v>
      </c>
      <c r="P4101" t="n">
        <v>1</v>
      </c>
      <c r="Q4101" t="n">
        <v>0.2</v>
      </c>
      <c r="R4101" t="n">
        <v>1</v>
      </c>
      <c r="S4101" t="n">
        <v>8508.5</v>
      </c>
      <c r="T4101" t="n">
        <v>57</v>
      </c>
      <c r="U4101" t="n">
        <v>58</v>
      </c>
      <c r="V4101" t="n">
        <v>30</v>
      </c>
      <c r="W4101" t="n">
        <v>7</v>
      </c>
      <c r="X4101" t="n">
        <v>9.990009990009989</v>
      </c>
      <c r="Y4101" t="n">
        <v>1</v>
      </c>
      <c r="Z4101" t="n">
        <v>2</v>
      </c>
      <c r="AA4101" t="n">
        <v>2</v>
      </c>
      <c r="AB4101" t="n">
        <v>0</v>
      </c>
      <c r="AC4101" t="n">
        <v>0</v>
      </c>
      <c r="AD4101" t="n">
        <v>68228</v>
      </c>
      <c r="AE4101" t="n">
        <v>0</v>
      </c>
      <c r="AF4101" t="n">
        <v>7672</v>
      </c>
      <c r="AG4101" t="n">
        <v>1</v>
      </c>
      <c r="AH4101" t="inlineStr">
        <is>
          <t>PT. BERSAMA DISTRIVERSA INDONESIA (DC CIPUTAT)</t>
        </is>
      </c>
      <c r="AI4101" t="n">
        <v>126</v>
      </c>
      <c r="AJ4101" t="inlineStr">
        <is>
          <t>PIGEON TEENS</t>
        </is>
      </c>
      <c r="AK4101" t="n">
        <v>21</v>
      </c>
      <c r="AL4101" t="inlineStr">
        <is>
          <t>Miss Glam Damar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PIGEON TEENS</t>
        </is>
      </c>
      <c r="B4102" s="2">
        <f>"8992771008946"</f>
        <v/>
      </c>
      <c r="C4102" t="inlineStr">
        <is>
          <t>PIGEON TEENS Compact Powder + Uv Pink 14gr</t>
        </is>
      </c>
      <c r="D4102" t="inlineStr">
        <is>
          <t>Miss Glam Damar</t>
        </is>
      </c>
      <c r="E4102" t="n">
        <v>4</v>
      </c>
      <c r="F4102" t="n">
        <v>0.0182</v>
      </c>
      <c r="G4102" t="n">
        <v>0.91</v>
      </c>
      <c r="H4102" t="n">
        <v>4</v>
      </c>
      <c r="I4102" t="n">
        <v>21</v>
      </c>
      <c r="J4102" t="n">
        <v>3</v>
      </c>
      <c r="K4102" t="n">
        <v>3</v>
      </c>
      <c r="L4102" t="n">
        <v>34585</v>
      </c>
      <c r="M4102" t="n">
        <v>42500</v>
      </c>
      <c r="N4102" t="n">
        <v>91</v>
      </c>
      <c r="O4102" t="n">
        <v>0.91</v>
      </c>
      <c r="P4102" t="n">
        <v>1</v>
      </c>
      <c r="Q4102" t="n">
        <v>0.07000000000000001</v>
      </c>
      <c r="R4102" t="n">
        <v>1</v>
      </c>
      <c r="S4102" t="n">
        <v>773.5</v>
      </c>
      <c r="T4102" t="n">
        <v>20</v>
      </c>
      <c r="U4102" t="n">
        <v>21</v>
      </c>
      <c r="V4102" t="n">
        <v>30</v>
      </c>
      <c r="W4102" t="n">
        <v>1</v>
      </c>
      <c r="X4102" t="n">
        <v>219.7802197802198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7672</v>
      </c>
      <c r="AG4102" t="n">
        <v>1</v>
      </c>
      <c r="AH4102" t="inlineStr">
        <is>
          <t>PT. BERSAMA DISTRIVERSA INDONESIA (DC CIPUTAT)</t>
        </is>
      </c>
      <c r="AI4102" t="n">
        <v>126</v>
      </c>
      <c r="AJ4102" t="inlineStr">
        <is>
          <t>PIGEON TEENS</t>
        </is>
      </c>
      <c r="AK4102" t="n">
        <v>21</v>
      </c>
      <c r="AL4102" t="inlineStr">
        <is>
          <t>Miss Glam Damar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PIGEON TEENS</t>
        </is>
      </c>
      <c r="B4103" s="2">
        <f>"8992771008977"</f>
        <v/>
      </c>
      <c r="C4103" t="inlineStr">
        <is>
          <t>PIGEON TEENS Compact Powder + Uv Sand 14gr</t>
        </is>
      </c>
      <c r="D4103" t="inlineStr">
        <is>
          <t>Miss Glam Damar</t>
        </is>
      </c>
      <c r="E4103" t="n">
        <v>4</v>
      </c>
      <c r="F4103" t="n">
        <v>0.0273</v>
      </c>
      <c r="G4103" t="n">
        <v>0.91</v>
      </c>
      <c r="H4103" t="n">
        <v>4</v>
      </c>
      <c r="I4103" t="n">
        <v>21</v>
      </c>
      <c r="J4103" t="n">
        <v>3</v>
      </c>
      <c r="K4103" t="n">
        <v>9</v>
      </c>
      <c r="L4103" t="n">
        <v>36000</v>
      </c>
      <c r="M4103" t="n">
        <v>42500</v>
      </c>
      <c r="N4103" t="n">
        <v>91</v>
      </c>
      <c r="O4103" t="n">
        <v>0.91</v>
      </c>
      <c r="P4103" t="n">
        <v>1</v>
      </c>
      <c r="Q4103" t="n">
        <v>0.02</v>
      </c>
      <c r="R4103" t="n">
        <v>1</v>
      </c>
      <c r="S4103" t="n">
        <v>1160.25</v>
      </c>
      <c r="T4103" t="n">
        <v>20</v>
      </c>
      <c r="U4103" t="n">
        <v>21</v>
      </c>
      <c r="V4103" t="n">
        <v>30</v>
      </c>
      <c r="W4103" t="n">
        <v>1</v>
      </c>
      <c r="X4103" t="n">
        <v>146.5201465201465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7672</v>
      </c>
      <c r="AG4103" t="n">
        <v>1</v>
      </c>
      <c r="AH4103" t="inlineStr">
        <is>
          <t>PT. BERSAMA DISTRIVERSA INDONESIA (DC CIPUTAT)</t>
        </is>
      </c>
      <c r="AI4103" t="n">
        <v>126</v>
      </c>
      <c r="AJ4103" t="inlineStr">
        <is>
          <t>PIGEON TEENS</t>
        </is>
      </c>
      <c r="AK4103" t="n">
        <v>21</v>
      </c>
      <c r="AL4103" t="inlineStr">
        <is>
          <t>Miss Glam Damar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PIGEON TEENS</t>
        </is>
      </c>
      <c r="B4104" s="2">
        <f>"8992771008441"</f>
        <v/>
      </c>
      <c r="C4104" t="inlineStr">
        <is>
          <t>PIGEON TEENS Compact Powder Beige 14gr</t>
        </is>
      </c>
      <c r="D4104" t="inlineStr">
        <is>
          <t>Miss Glam Damar</t>
        </is>
      </c>
      <c r="E4104" t="n">
        <v>0</v>
      </c>
      <c r="F4104" t="n">
        <v>0.14</v>
      </c>
      <c r="G4104" t="n">
        <v>1</v>
      </c>
      <c r="H4104" t="n">
        <v>4</v>
      </c>
      <c r="I4104" t="n">
        <v>21</v>
      </c>
      <c r="J4104" t="n">
        <v>3</v>
      </c>
      <c r="K4104" t="n">
        <v>16</v>
      </c>
      <c r="L4104" t="n">
        <v>36000</v>
      </c>
      <c r="M4104" t="n">
        <v>42500</v>
      </c>
      <c r="N4104" t="n">
        <v>91</v>
      </c>
      <c r="O4104" t="n">
        <v>0.91</v>
      </c>
      <c r="P4104" t="n">
        <v>0</v>
      </c>
      <c r="Q4104" t="n">
        <v>0.14</v>
      </c>
      <c r="R4104" t="n">
        <v>1</v>
      </c>
      <c r="S4104" t="n">
        <v>5950.000000000001</v>
      </c>
      <c r="T4104" t="n">
        <v>21</v>
      </c>
      <c r="U4104" t="n">
        <v>22</v>
      </c>
      <c r="V4104" t="n">
        <v>30</v>
      </c>
      <c r="W4104" t="n">
        <v>5</v>
      </c>
      <c r="X4104" t="n">
        <v>0</v>
      </c>
      <c r="Y4104" t="n">
        <v>1</v>
      </c>
      <c r="Z4104" t="n">
        <v>0</v>
      </c>
      <c r="AA4104" t="n">
        <v>2</v>
      </c>
      <c r="AB4104" t="n">
        <v>0</v>
      </c>
      <c r="AC4104" t="n">
        <v>0</v>
      </c>
      <c r="AD4104" t="n">
        <v>72000</v>
      </c>
      <c r="AE4104" t="n">
        <v>0</v>
      </c>
      <c r="AF4104" t="n">
        <v>7672</v>
      </c>
      <c r="AG4104" t="n">
        <v>1</v>
      </c>
      <c r="AH4104" t="inlineStr">
        <is>
          <t>PT. BERSAMA DISTRIVERSA INDONESIA (DC CIPUTAT)</t>
        </is>
      </c>
      <c r="AI4104" t="n">
        <v>126</v>
      </c>
      <c r="AJ4104" t="inlineStr">
        <is>
          <t>PIGEON TEENS</t>
        </is>
      </c>
      <c r="AK4104" t="n">
        <v>21</v>
      </c>
      <c r="AL4104" t="inlineStr">
        <is>
          <t>Miss Glam Damar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PIGEON TEENS</t>
        </is>
      </c>
      <c r="B4105" s="2">
        <f>"8992771008939"</f>
        <v/>
      </c>
      <c r="C4105" t="inlineStr">
        <is>
          <t>PIGEON TEENS Compact Powder Hypoalgenic Beige</t>
        </is>
      </c>
      <c r="D4105" t="inlineStr">
        <is>
          <t>Miss Glam Damar</t>
        </is>
      </c>
      <c r="E4105" t="n">
        <v>2</v>
      </c>
      <c r="F4105" t="n">
        <v>0.03</v>
      </c>
      <c r="G4105" t="n">
        <v>1</v>
      </c>
      <c r="H4105" t="n">
        <v>4</v>
      </c>
      <c r="I4105" t="n">
        <v>21</v>
      </c>
      <c r="J4105" t="n">
        <v>3</v>
      </c>
      <c r="K4105" t="n">
        <v>0</v>
      </c>
      <c r="L4105" t="n">
        <v>34114</v>
      </c>
      <c r="M4105" t="n">
        <v>42900</v>
      </c>
      <c r="N4105" t="n">
        <v>91</v>
      </c>
      <c r="O4105" t="n">
        <v>0.91</v>
      </c>
      <c r="P4105" t="n">
        <v>0</v>
      </c>
      <c r="Q4105" t="n">
        <v>0.03</v>
      </c>
      <c r="R4105" t="n">
        <v>1</v>
      </c>
      <c r="S4105" t="n">
        <v>1287</v>
      </c>
      <c r="T4105" t="n">
        <v>21</v>
      </c>
      <c r="U4105" t="n">
        <v>22</v>
      </c>
      <c r="V4105" t="n">
        <v>30</v>
      </c>
      <c r="W4105" t="n">
        <v>1</v>
      </c>
      <c r="X4105" t="n">
        <v>66.66666666666667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7672</v>
      </c>
      <c r="AG4105" t="n">
        <v>1</v>
      </c>
      <c r="AH4105" t="inlineStr">
        <is>
          <t>PT. BERSAMA DISTRIVERSA INDONESIA (DC CIPUTAT)</t>
        </is>
      </c>
      <c r="AI4105" t="n">
        <v>126</v>
      </c>
      <c r="AJ4105" t="inlineStr">
        <is>
          <t>PIGEON TEENS</t>
        </is>
      </c>
      <c r="AK4105" t="n">
        <v>21</v>
      </c>
      <c r="AL4105" t="inlineStr">
        <is>
          <t>Miss Glam Damar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PIGEON TEENS</t>
        </is>
      </c>
      <c r="B4106" s="2">
        <f>"8992771008465"</f>
        <v/>
      </c>
      <c r="C4106" t="inlineStr">
        <is>
          <t>PIGEON TEENS Compact Powder Natural 14gr</t>
        </is>
      </c>
      <c r="D4106" t="inlineStr">
        <is>
          <t>Miss Glam Damar</t>
        </is>
      </c>
      <c r="E4106" t="n">
        <v>0</v>
      </c>
      <c r="F4106" t="n">
        <v>0.3094</v>
      </c>
      <c r="G4106" t="n">
        <v>1.82</v>
      </c>
      <c r="H4106" t="n">
        <v>4</v>
      </c>
      <c r="I4106" t="n">
        <v>21</v>
      </c>
      <c r="J4106" t="n">
        <v>3</v>
      </c>
      <c r="K4106" t="n">
        <v>9</v>
      </c>
      <c r="L4106" t="n">
        <v>34114</v>
      </c>
      <c r="M4106" t="n">
        <v>42500</v>
      </c>
      <c r="N4106" t="n">
        <v>91</v>
      </c>
      <c r="O4106" t="n">
        <v>0.91</v>
      </c>
      <c r="P4106" t="n">
        <v>1</v>
      </c>
      <c r="Q4106" t="n">
        <v>0.16</v>
      </c>
      <c r="R4106" t="n">
        <v>1</v>
      </c>
      <c r="S4106" t="n">
        <v>13149.5</v>
      </c>
      <c r="T4106" t="n">
        <v>37</v>
      </c>
      <c r="U4106" t="n">
        <v>39</v>
      </c>
      <c r="V4106" t="n">
        <v>30</v>
      </c>
      <c r="W4106" t="n">
        <v>10</v>
      </c>
      <c r="X4106" t="n">
        <v>0</v>
      </c>
      <c r="Y4106" t="n">
        <v>1</v>
      </c>
      <c r="Z4106" t="n">
        <v>1</v>
      </c>
      <c r="AA4106" t="n">
        <v>6</v>
      </c>
      <c r="AB4106" t="n">
        <v>0</v>
      </c>
      <c r="AC4106" t="n">
        <v>0</v>
      </c>
      <c r="AD4106" t="n">
        <v>204684</v>
      </c>
      <c r="AE4106" t="n">
        <v>0</v>
      </c>
      <c r="AF4106" t="n">
        <v>7672</v>
      </c>
      <c r="AG4106" t="n">
        <v>1</v>
      </c>
      <c r="AH4106" t="inlineStr">
        <is>
          <t>PT. BERSAMA DISTRIVERSA INDONESIA (DC CIPUTAT)</t>
        </is>
      </c>
      <c r="AI4106" t="n">
        <v>126</v>
      </c>
      <c r="AJ4106" t="inlineStr">
        <is>
          <t>PIGEON TEENS</t>
        </is>
      </c>
      <c r="AK4106" t="n">
        <v>21</v>
      </c>
      <c r="AL4106" t="inlineStr">
        <is>
          <t>Miss Glam Damar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PIGEON TEENS</t>
        </is>
      </c>
      <c r="B4107" s="2">
        <f>"8992771008434"</f>
        <v/>
      </c>
      <c r="C4107" t="inlineStr">
        <is>
          <t>PIGEON TEENS Compact Powder Pure White 14gr</t>
        </is>
      </c>
      <c r="D4107" t="inlineStr">
        <is>
          <t>Miss Glam Damar</t>
        </is>
      </c>
      <c r="E4107" t="n">
        <v>5</v>
      </c>
      <c r="F4107" t="n">
        <v>0.09100000000000001</v>
      </c>
      <c r="G4107" t="n">
        <v>0.91</v>
      </c>
      <c r="H4107" t="n">
        <v>4</v>
      </c>
      <c r="I4107" t="n">
        <v>21</v>
      </c>
      <c r="J4107" t="n">
        <v>3</v>
      </c>
      <c r="K4107" t="n">
        <v>6</v>
      </c>
      <c r="L4107" t="n">
        <v>35292</v>
      </c>
      <c r="M4107" t="n">
        <v>42500</v>
      </c>
      <c r="N4107" t="n">
        <v>91</v>
      </c>
      <c r="O4107" t="n">
        <v>0.91</v>
      </c>
      <c r="P4107" t="n">
        <v>1</v>
      </c>
      <c r="Q4107" t="n">
        <v>0.08</v>
      </c>
      <c r="R4107" t="n">
        <v>1</v>
      </c>
      <c r="S4107" t="n">
        <v>3867.5</v>
      </c>
      <c r="T4107" t="n">
        <v>19</v>
      </c>
      <c r="U4107" t="n">
        <v>20</v>
      </c>
      <c r="V4107" t="n">
        <v>30</v>
      </c>
      <c r="W4107" t="n">
        <v>3</v>
      </c>
      <c r="X4107" t="n">
        <v>54.94505494505494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7672</v>
      </c>
      <c r="AG4107" t="n">
        <v>1</v>
      </c>
      <c r="AH4107" t="inlineStr">
        <is>
          <t>PT. BERSAMA DISTRIVERSA INDONESIA (DC CIPUTAT)</t>
        </is>
      </c>
      <c r="AI4107" t="n">
        <v>126</v>
      </c>
      <c r="AJ4107" t="inlineStr">
        <is>
          <t>PIGEON TEENS</t>
        </is>
      </c>
      <c r="AK4107" t="n">
        <v>21</v>
      </c>
      <c r="AL4107" t="inlineStr">
        <is>
          <t>Miss Glam Damar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PIGEON TEENS</t>
        </is>
      </c>
      <c r="B4108" s="2">
        <f>"8992771008489"</f>
        <v/>
      </c>
      <c r="C4108" t="inlineStr">
        <is>
          <t>PIGEON TEENS Compact Powder Sand 14gr</t>
        </is>
      </c>
      <c r="D4108" t="inlineStr">
        <is>
          <t>Miss Glam Damar</t>
        </is>
      </c>
      <c r="E4108" t="n">
        <v>3</v>
      </c>
      <c r="F4108" t="n">
        <v>0.0546</v>
      </c>
      <c r="G4108" t="n">
        <v>0.91</v>
      </c>
      <c r="H4108" t="n">
        <v>4</v>
      </c>
      <c r="I4108" t="n">
        <v>21</v>
      </c>
      <c r="J4108" t="n">
        <v>3</v>
      </c>
      <c r="K4108" t="n">
        <v>0</v>
      </c>
      <c r="L4108" t="n">
        <v>34114</v>
      </c>
      <c r="M4108" t="n">
        <v>42500</v>
      </c>
      <c r="N4108" t="n">
        <v>91</v>
      </c>
      <c r="O4108" t="n">
        <v>0.91</v>
      </c>
      <c r="P4108" t="n">
        <v>1</v>
      </c>
      <c r="Q4108" t="n">
        <v>0.05</v>
      </c>
      <c r="R4108" t="n">
        <v>1</v>
      </c>
      <c r="S4108" t="n">
        <v>2320.5</v>
      </c>
      <c r="T4108" t="n">
        <v>19</v>
      </c>
      <c r="U4108" t="n">
        <v>20</v>
      </c>
      <c r="V4108" t="n">
        <v>30</v>
      </c>
      <c r="W4108" t="n">
        <v>2</v>
      </c>
      <c r="X4108" t="n">
        <v>54.94505494505494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7672</v>
      </c>
      <c r="AG4108" t="n">
        <v>1</v>
      </c>
      <c r="AH4108" t="inlineStr">
        <is>
          <t>PT. BERSAMA DISTRIVERSA INDONESIA (DC CIPUTAT)</t>
        </is>
      </c>
      <c r="AI4108" t="n">
        <v>126</v>
      </c>
      <c r="AJ4108" t="inlineStr">
        <is>
          <t>PIGEON TEENS</t>
        </is>
      </c>
      <c r="AK4108" t="n">
        <v>21</v>
      </c>
      <c r="AL4108" t="inlineStr">
        <is>
          <t>Miss Glam Damar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PIGEON TEENS</t>
        </is>
      </c>
      <c r="B4109" s="2">
        <f>"8992771003224"</f>
        <v/>
      </c>
      <c r="C4109" t="inlineStr">
        <is>
          <t>PIGEON TEENS Cotton Swab Baby 100pcs</t>
        </is>
      </c>
      <c r="D4109" t="inlineStr">
        <is>
          <t>Miss Glam Damar</t>
        </is>
      </c>
      <c r="E4109" t="n">
        <v>1</v>
      </c>
      <c r="F4109" t="n">
        <v>1.3741</v>
      </c>
      <c r="G4109" t="n">
        <v>5.46</v>
      </c>
      <c r="H4109" t="n">
        <v>4</v>
      </c>
      <c r="I4109" t="n">
        <v>21</v>
      </c>
      <c r="J4109" t="n">
        <v>3</v>
      </c>
      <c r="K4109" t="n">
        <v>36</v>
      </c>
      <c r="L4109" t="n">
        <v>7770</v>
      </c>
      <c r="M4109" t="n">
        <v>9500</v>
      </c>
      <c r="N4109" t="n">
        <v>91</v>
      </c>
      <c r="O4109" t="n">
        <v>0.91</v>
      </c>
      <c r="P4109" t="n">
        <v>1</v>
      </c>
      <c r="Q4109" t="n">
        <v>0.98</v>
      </c>
      <c r="R4109" t="n">
        <v>9</v>
      </c>
      <c r="S4109" t="n">
        <v>13053.95</v>
      </c>
      <c r="T4109" t="n">
        <v>110</v>
      </c>
      <c r="U4109" t="n">
        <v>116</v>
      </c>
      <c r="V4109" t="n">
        <v>30</v>
      </c>
      <c r="W4109" t="n">
        <v>42</v>
      </c>
      <c r="X4109" t="n">
        <v>0.727749072119933</v>
      </c>
      <c r="Y4109" t="n">
        <v>1</v>
      </c>
      <c r="Z4109" t="n">
        <v>5</v>
      </c>
      <c r="AA4109" t="n">
        <v>27</v>
      </c>
      <c r="AB4109" t="n">
        <v>0</v>
      </c>
      <c r="AC4109" t="n">
        <v>0</v>
      </c>
      <c r="AD4109" t="n">
        <v>209790</v>
      </c>
      <c r="AE4109" t="n">
        <v>0</v>
      </c>
      <c r="AF4109" t="n">
        <v>7672</v>
      </c>
      <c r="AG4109" t="n">
        <v>1</v>
      </c>
      <c r="AH4109" t="inlineStr">
        <is>
          <t>PT. BERSAMA DISTRIVERSA INDONESIA (DC CIPUTAT)</t>
        </is>
      </c>
      <c r="AI4109" t="n">
        <v>126</v>
      </c>
      <c r="AJ4109" t="inlineStr">
        <is>
          <t>PIGEON TEENS</t>
        </is>
      </c>
      <c r="AK4109" t="n">
        <v>21</v>
      </c>
      <c r="AL4109" t="inlineStr">
        <is>
          <t>Miss Glam Damar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PIGEON TEENS</t>
        </is>
      </c>
      <c r="B4110" s="2">
        <f>"8992771003248"</f>
        <v/>
      </c>
      <c r="C4110" t="inlineStr">
        <is>
          <t>PIGEON TEENS Cotton Swab MIX2</t>
        </is>
      </c>
      <c r="D4110" t="inlineStr">
        <is>
          <t>Miss Glam Damar</t>
        </is>
      </c>
      <c r="E4110" t="n">
        <v>0</v>
      </c>
      <c r="F4110" t="n">
        <v>0.04550000000000001</v>
      </c>
      <c r="G4110" t="n">
        <v>1.82</v>
      </c>
      <c r="H4110" t="n">
        <v>4</v>
      </c>
      <c r="I4110" t="n">
        <v>21</v>
      </c>
      <c r="J4110" t="n">
        <v>3</v>
      </c>
      <c r="K4110" t="n">
        <v>12</v>
      </c>
      <c r="L4110" t="n">
        <v>26418</v>
      </c>
      <c r="M4110" t="n">
        <v>31100</v>
      </c>
      <c r="N4110" t="n">
        <v>91</v>
      </c>
      <c r="O4110" t="n">
        <v>0.91</v>
      </c>
      <c r="P4110" t="n">
        <v>1</v>
      </c>
      <c r="Q4110" t="n">
        <v>0.15</v>
      </c>
      <c r="R4110" t="n">
        <v>2</v>
      </c>
      <c r="S4110" t="n">
        <v>1415.05</v>
      </c>
      <c r="T4110" t="n">
        <v>39</v>
      </c>
      <c r="U4110" t="n">
        <v>40</v>
      </c>
      <c r="V4110" t="n">
        <v>30</v>
      </c>
      <c r="W4110" t="n">
        <v>2</v>
      </c>
      <c r="X4110" t="n">
        <v>0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7672</v>
      </c>
      <c r="AG4110" t="n">
        <v>1</v>
      </c>
      <c r="AH4110" t="inlineStr">
        <is>
          <t>PT. BERSAMA DISTRIVERSA INDONESIA (DC CIPUTAT)</t>
        </is>
      </c>
      <c r="AI4110" t="n">
        <v>126</v>
      </c>
      <c r="AJ4110" t="inlineStr">
        <is>
          <t>PIGEON TEENS</t>
        </is>
      </c>
      <c r="AK4110" t="n">
        <v>21</v>
      </c>
      <c r="AL4110" t="inlineStr">
        <is>
          <t>Miss Glam Damar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PIGEON TEENS</t>
        </is>
      </c>
      <c r="B4111" s="2">
        <f>"8992771010727"</f>
        <v/>
      </c>
      <c r="C4111" t="inlineStr">
        <is>
          <t>PIGEON TEENS Everyday Sunscreen SPF 35/PA+++ 60ml</t>
        </is>
      </c>
      <c r="D4111" t="inlineStr">
        <is>
          <t>Miss Glam Damar</t>
        </is>
      </c>
      <c r="E4111" t="n">
        <v>5</v>
      </c>
      <c r="F4111" t="n">
        <v>0.2821</v>
      </c>
      <c r="G4111" t="n">
        <v>2.73</v>
      </c>
      <c r="H4111" t="n">
        <v>4</v>
      </c>
      <c r="I4111" t="n">
        <v>21</v>
      </c>
      <c r="J4111" t="n">
        <v>3</v>
      </c>
      <c r="K4111" t="n">
        <v>48</v>
      </c>
      <c r="L4111" t="n">
        <v>55200</v>
      </c>
      <c r="M4111" t="n">
        <v>74000</v>
      </c>
      <c r="N4111" t="n">
        <v>91</v>
      </c>
      <c r="O4111" t="n">
        <v>0.91</v>
      </c>
      <c r="P4111" t="n">
        <v>1</v>
      </c>
      <c r="Q4111" t="n">
        <v>0.32</v>
      </c>
      <c r="R4111" t="n">
        <v>2</v>
      </c>
      <c r="S4111" t="n">
        <v>20875.4</v>
      </c>
      <c r="T4111" t="n">
        <v>57</v>
      </c>
      <c r="U4111" t="n">
        <v>59</v>
      </c>
      <c r="V4111" t="n">
        <v>30</v>
      </c>
      <c r="W4111" t="n">
        <v>9</v>
      </c>
      <c r="X4111" t="n">
        <v>17.72421127259837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7672</v>
      </c>
      <c r="AG4111" t="n">
        <v>1</v>
      </c>
      <c r="AH4111" t="inlineStr">
        <is>
          <t>PT. BERSAMA DISTRIVERSA INDONESIA (DC CIPUTAT)</t>
        </is>
      </c>
      <c r="AI4111" t="n">
        <v>126</v>
      </c>
      <c r="AJ4111" t="inlineStr">
        <is>
          <t>PIGEON TEENS</t>
        </is>
      </c>
      <c r="AK4111" t="n">
        <v>21</v>
      </c>
      <c r="AL4111" t="inlineStr">
        <is>
          <t>Miss Glam Damar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PIGEON TEENS</t>
        </is>
      </c>
      <c r="B4112" s="2">
        <f>"8992771010338"</f>
        <v/>
      </c>
      <c r="C4112" t="inlineStr">
        <is>
          <t>PIGEON TEENS Everyday Sunscreen SPF35 PA+++ 30ml</t>
        </is>
      </c>
      <c r="D4112" t="inlineStr">
        <is>
          <t>Miss Glam Damar</t>
        </is>
      </c>
      <c r="E4112" t="n">
        <v>23</v>
      </c>
      <c r="F4112" t="n">
        <v>1.4833</v>
      </c>
      <c r="G4112" t="n">
        <v>5.46</v>
      </c>
      <c r="H4112" t="n">
        <v>4</v>
      </c>
      <c r="I4112" t="n">
        <v>21</v>
      </c>
      <c r="J4112" t="n">
        <v>3</v>
      </c>
      <c r="K4112" t="n">
        <v>0</v>
      </c>
      <c r="L4112" t="n">
        <v>30780</v>
      </c>
      <c r="M4112" t="n">
        <v>40000</v>
      </c>
      <c r="N4112" t="n">
        <v>91</v>
      </c>
      <c r="O4112" t="n">
        <v>0.91</v>
      </c>
      <c r="P4112" t="n">
        <v>1</v>
      </c>
      <c r="Q4112" t="n">
        <v>1.25</v>
      </c>
      <c r="R4112" t="n">
        <v>4</v>
      </c>
      <c r="S4112" t="n">
        <v>59332</v>
      </c>
      <c r="T4112" t="n">
        <v>109</v>
      </c>
      <c r="U4112" t="n">
        <v>115</v>
      </c>
      <c r="V4112" t="n">
        <v>30</v>
      </c>
      <c r="W4112" t="n">
        <v>45</v>
      </c>
      <c r="X4112" t="n">
        <v>15.50596642621182</v>
      </c>
      <c r="Y4112" t="n">
        <v>1</v>
      </c>
      <c r="Z4112" t="n">
        <v>22</v>
      </c>
      <c r="AA4112" t="n">
        <v>9</v>
      </c>
      <c r="AB4112" t="n">
        <v>13</v>
      </c>
      <c r="AC4112" t="n">
        <v>13</v>
      </c>
      <c r="AD4112" t="n">
        <v>277020</v>
      </c>
      <c r="AE4112" t="n">
        <v>400140</v>
      </c>
      <c r="AF4112" t="n">
        <v>7672</v>
      </c>
      <c r="AG4112" t="n">
        <v>1</v>
      </c>
      <c r="AH4112" t="inlineStr">
        <is>
          <t>PT. BERSAMA DISTRIVERSA INDONESIA (DC CIPUTAT)</t>
        </is>
      </c>
      <c r="AI4112" t="n">
        <v>126</v>
      </c>
      <c r="AJ4112" t="inlineStr">
        <is>
          <t>PIGEON TEENS</t>
        </is>
      </c>
      <c r="AK4112" t="n">
        <v>21</v>
      </c>
      <c r="AL4112" t="inlineStr">
        <is>
          <t>Miss Glam Damar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PIGEON TEENS</t>
        </is>
      </c>
      <c r="B4113" s="2">
        <f>"10800505749"</f>
        <v/>
      </c>
      <c r="C4113" t="inlineStr">
        <is>
          <t>PIGEON TEENS Eyes On You Eye Serum 16ml</t>
        </is>
      </c>
      <c r="D4113" t="inlineStr">
        <is>
          <t>Miss Glam Damar</t>
        </is>
      </c>
      <c r="E4113" t="n">
        <v>3</v>
      </c>
      <c r="F4113" t="n">
        <v>0.09100000000000001</v>
      </c>
      <c r="G4113" t="n">
        <v>0.91</v>
      </c>
      <c r="H4113" t="n">
        <v>4</v>
      </c>
      <c r="I4113" t="n">
        <v>21</v>
      </c>
      <c r="J4113" t="n">
        <v>1</v>
      </c>
      <c r="K4113" t="n">
        <v>6</v>
      </c>
      <c r="L4113" t="n">
        <v>37420</v>
      </c>
      <c r="M4113" t="n">
        <v>46500</v>
      </c>
      <c r="N4113" t="n">
        <v>91</v>
      </c>
      <c r="O4113" t="n">
        <v>0.91</v>
      </c>
      <c r="P4113" t="n">
        <v>1</v>
      </c>
      <c r="Q4113" t="n">
        <v>0.2</v>
      </c>
      <c r="R4113" t="n">
        <v>2</v>
      </c>
      <c r="S4113" t="n">
        <v>4231.500000000001</v>
      </c>
      <c r="T4113" t="n">
        <v>19</v>
      </c>
      <c r="U4113" t="n">
        <v>20</v>
      </c>
      <c r="V4113" t="n">
        <v>30</v>
      </c>
      <c r="W4113" t="n">
        <v>3</v>
      </c>
      <c r="X4113" t="n">
        <v>32.96703296703296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7672</v>
      </c>
      <c r="AG4113" t="n">
        <v>1</v>
      </c>
      <c r="AH4113" t="inlineStr">
        <is>
          <t>PT. BERSAMA DISTRIVERSA INDONESIA (DC CIPUTAT)</t>
        </is>
      </c>
      <c r="AI4113" t="n">
        <v>126</v>
      </c>
      <c r="AJ4113" t="inlineStr">
        <is>
          <t>PIGEON TEENS</t>
        </is>
      </c>
      <c r="AK4113" t="n">
        <v>21</v>
      </c>
      <c r="AL4113" t="inlineStr">
        <is>
          <t>Miss Glam Damar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PIGEON TEENS</t>
        </is>
      </c>
      <c r="B4114" s="2">
        <f>"8992771010147"</f>
        <v/>
      </c>
      <c r="C4114" t="inlineStr">
        <is>
          <t>PIGEON TEENS Facial Foam 100ml</t>
        </is>
      </c>
      <c r="D4114" t="inlineStr">
        <is>
          <t>Miss Glam Damar</t>
        </is>
      </c>
      <c r="E4114" t="n">
        <v>18</v>
      </c>
      <c r="F4114" t="n">
        <v>0.1365</v>
      </c>
      <c r="G4114" t="n">
        <v>2.73</v>
      </c>
      <c r="H4114" t="n">
        <v>4</v>
      </c>
      <c r="I4114" t="n">
        <v>21</v>
      </c>
      <c r="J4114" t="n">
        <v>3</v>
      </c>
      <c r="K4114" t="n">
        <v>0</v>
      </c>
      <c r="L4114" t="n">
        <v>18573</v>
      </c>
      <c r="M4114" t="n">
        <v>25000</v>
      </c>
      <c r="N4114" t="n">
        <v>91</v>
      </c>
      <c r="O4114" t="n">
        <v>0.91</v>
      </c>
      <c r="P4114" t="n">
        <v>1</v>
      </c>
      <c r="Q4114" t="n">
        <v>0.53</v>
      </c>
      <c r="R4114" t="n">
        <v>5</v>
      </c>
      <c r="S4114" t="n">
        <v>3412.5</v>
      </c>
      <c r="T4114" t="n">
        <v>57</v>
      </c>
      <c r="U4114" t="n">
        <v>58</v>
      </c>
      <c r="V4114" t="n">
        <v>30</v>
      </c>
      <c r="W4114" t="n">
        <v>5</v>
      </c>
      <c r="X4114" t="n">
        <v>131.8681318681319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7672</v>
      </c>
      <c r="AG4114" t="n">
        <v>1</v>
      </c>
      <c r="AH4114" t="inlineStr">
        <is>
          <t>PT. BERSAMA DISTRIVERSA INDONESIA (DC CIPUTAT)</t>
        </is>
      </c>
      <c r="AI4114" t="n">
        <v>126</v>
      </c>
      <c r="AJ4114" t="inlineStr">
        <is>
          <t>PIGEON TEENS</t>
        </is>
      </c>
      <c r="AK4114" t="n">
        <v>21</v>
      </c>
      <c r="AL4114" t="inlineStr">
        <is>
          <t>Miss Glam Damar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PIGEON TEENS</t>
        </is>
      </c>
      <c r="B4115" s="2">
        <f>"8992771010239"</f>
        <v/>
      </c>
      <c r="C4115" t="inlineStr">
        <is>
          <t>PIGEON TEENS Facial Foam Acne Care 100gr</t>
        </is>
      </c>
      <c r="D4115" t="inlineStr">
        <is>
          <t>Miss Glam Damar</t>
        </is>
      </c>
      <c r="E4115" t="n">
        <v>14</v>
      </c>
      <c r="F4115" t="n">
        <v>0.3276</v>
      </c>
      <c r="G4115" t="n">
        <v>1.82</v>
      </c>
      <c r="H4115" t="n">
        <v>4</v>
      </c>
      <c r="I4115" t="n">
        <v>21</v>
      </c>
      <c r="J4115" t="n">
        <v>3</v>
      </c>
      <c r="K4115" t="n">
        <v>0</v>
      </c>
      <c r="L4115" t="n">
        <v>24106</v>
      </c>
      <c r="M4115" t="n">
        <v>30000</v>
      </c>
      <c r="N4115" t="n">
        <v>91</v>
      </c>
      <c r="O4115" t="n">
        <v>0.91</v>
      </c>
      <c r="P4115" t="n">
        <v>1</v>
      </c>
      <c r="Q4115" t="n">
        <v>0.27</v>
      </c>
      <c r="R4115" t="n">
        <v>3</v>
      </c>
      <c r="S4115" t="n">
        <v>9828</v>
      </c>
      <c r="T4115" t="n">
        <v>37</v>
      </c>
      <c r="U4115" t="n">
        <v>39</v>
      </c>
      <c r="V4115" t="n">
        <v>30</v>
      </c>
      <c r="W4115" t="n">
        <v>10</v>
      </c>
      <c r="X4115" t="n">
        <v>42.73504273504273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7672</v>
      </c>
      <c r="AG4115" t="n">
        <v>1</v>
      </c>
      <c r="AH4115" t="inlineStr">
        <is>
          <t>PT. BERSAMA DISTRIVERSA INDONESIA (DC CIPUTAT)</t>
        </is>
      </c>
      <c r="AI4115" t="n">
        <v>126</v>
      </c>
      <c r="AJ4115" t="inlineStr">
        <is>
          <t>PIGEON TEENS</t>
        </is>
      </c>
      <c r="AK4115" t="n">
        <v>21</v>
      </c>
      <c r="AL4115" t="inlineStr">
        <is>
          <t>Miss Glam Damar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PIGEON TEENS</t>
        </is>
      </c>
      <c r="B4116" s="2">
        <f>"8992771010345"</f>
        <v/>
      </c>
      <c r="C4116" t="inlineStr">
        <is>
          <t>PIGEON TEENS Facial Foam Acne Care 40gr</t>
        </is>
      </c>
      <c r="D4116" t="inlineStr">
        <is>
          <t>Miss Glam Damar</t>
        </is>
      </c>
      <c r="E4116" t="n">
        <v>6</v>
      </c>
      <c r="F4116" t="n">
        <v>0.2639</v>
      </c>
      <c r="G4116" t="n">
        <v>1.82</v>
      </c>
      <c r="H4116" t="n">
        <v>4</v>
      </c>
      <c r="I4116" t="n">
        <v>21</v>
      </c>
      <c r="J4116" t="n">
        <v>3</v>
      </c>
      <c r="K4116" t="n">
        <v>9</v>
      </c>
      <c r="L4116" t="n">
        <v>14252</v>
      </c>
      <c r="M4116" t="n">
        <v>18000</v>
      </c>
      <c r="N4116" t="n">
        <v>91</v>
      </c>
      <c r="O4116" t="n">
        <v>0.91</v>
      </c>
      <c r="P4116" t="n">
        <v>1</v>
      </c>
      <c r="Q4116" t="n">
        <v>0.15</v>
      </c>
      <c r="R4116" t="n">
        <v>2</v>
      </c>
      <c r="S4116" t="n">
        <v>4750.2</v>
      </c>
      <c r="T4116" t="n">
        <v>38</v>
      </c>
      <c r="U4116" t="n">
        <v>40</v>
      </c>
      <c r="V4116" t="n">
        <v>30</v>
      </c>
      <c r="W4116" t="n">
        <v>8</v>
      </c>
      <c r="X4116" t="n">
        <v>22.73588480485033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7672</v>
      </c>
      <c r="AG4116" t="n">
        <v>1</v>
      </c>
      <c r="AH4116" t="inlineStr">
        <is>
          <t>PT. BERSAMA DISTRIVERSA INDONESIA (DC CIPUTAT)</t>
        </is>
      </c>
      <c r="AI4116" t="n">
        <v>126</v>
      </c>
      <c r="AJ4116" t="inlineStr">
        <is>
          <t>PIGEON TEENS</t>
        </is>
      </c>
      <c r="AK4116" t="n">
        <v>21</v>
      </c>
      <c r="AL4116" t="inlineStr">
        <is>
          <t>Miss Glam Damar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PIGEON TEENS</t>
        </is>
      </c>
      <c r="B4117" s="2">
        <f>"8992771010215"</f>
        <v/>
      </c>
      <c r="C4117" t="inlineStr">
        <is>
          <t>PIGEON TEENS Facial Foam Daily Mild Cleansing 100gr</t>
        </is>
      </c>
      <c r="D4117" t="inlineStr">
        <is>
          <t>Miss Glam Damar</t>
        </is>
      </c>
      <c r="E4117" t="n">
        <v>26</v>
      </c>
      <c r="F4117" t="n">
        <v>0.6461</v>
      </c>
      <c r="G4117" t="n">
        <v>2.73</v>
      </c>
      <c r="H4117" t="n">
        <v>4</v>
      </c>
      <c r="I4117" t="n">
        <v>21</v>
      </c>
      <c r="J4117" t="n">
        <v>3</v>
      </c>
      <c r="K4117" t="n">
        <v>0</v>
      </c>
      <c r="L4117" t="n">
        <v>20923</v>
      </c>
      <c r="M4117" t="n">
        <v>26000</v>
      </c>
      <c r="N4117" t="n">
        <v>91</v>
      </c>
      <c r="O4117" t="n">
        <v>0.91</v>
      </c>
      <c r="P4117" t="n">
        <v>1</v>
      </c>
      <c r="Q4117" t="n">
        <v>0.92</v>
      </c>
      <c r="R4117" t="n">
        <v>5</v>
      </c>
      <c r="S4117" t="n">
        <v>16798.6</v>
      </c>
      <c r="T4117" t="n">
        <v>55</v>
      </c>
      <c r="U4117" t="n">
        <v>58</v>
      </c>
      <c r="V4117" t="n">
        <v>30</v>
      </c>
      <c r="W4117" t="n">
        <v>20</v>
      </c>
      <c r="X4117" t="n">
        <v>40.24144869215291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7672</v>
      </c>
      <c r="AG4117" t="n">
        <v>1</v>
      </c>
      <c r="AH4117" t="inlineStr">
        <is>
          <t>PT. BERSAMA DISTRIVERSA INDONESIA (DC CIPUTAT)</t>
        </is>
      </c>
      <c r="AI4117" t="n">
        <v>126</v>
      </c>
      <c r="AJ4117" t="inlineStr">
        <is>
          <t>PIGEON TEENS</t>
        </is>
      </c>
      <c r="AK4117" t="n">
        <v>21</v>
      </c>
      <c r="AL4117" t="inlineStr">
        <is>
          <t>Miss Glam Damar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PIGEON TEENS</t>
        </is>
      </c>
      <c r="B4118" s="2">
        <f>"8992771010222"</f>
        <v/>
      </c>
      <c r="C4118" t="inlineStr">
        <is>
          <t>PIGEON TEENS Facial Foam Daily Mild Cleansing 40gr</t>
        </is>
      </c>
      <c r="D4118" t="inlineStr">
        <is>
          <t>Miss Glam Damar</t>
        </is>
      </c>
      <c r="E4118" t="n">
        <v>1</v>
      </c>
      <c r="F4118" t="n">
        <v>1.0465</v>
      </c>
      <c r="G4118" t="n">
        <v>4.55</v>
      </c>
      <c r="H4118" t="n">
        <v>4</v>
      </c>
      <c r="I4118" t="n">
        <v>21</v>
      </c>
      <c r="J4118" t="n">
        <v>3</v>
      </c>
      <c r="K4118" t="n">
        <v>68</v>
      </c>
      <c r="L4118" t="n">
        <v>12053</v>
      </c>
      <c r="M4118" t="n">
        <v>15000</v>
      </c>
      <c r="N4118" t="n">
        <v>91</v>
      </c>
      <c r="O4118" t="n">
        <v>0.91</v>
      </c>
      <c r="P4118" t="n">
        <v>1</v>
      </c>
      <c r="Q4118" t="n">
        <v>0.66</v>
      </c>
      <c r="R4118" t="n">
        <v>5</v>
      </c>
      <c r="S4118" t="n">
        <v>15697.5</v>
      </c>
      <c r="T4118" t="n">
        <v>92</v>
      </c>
      <c r="U4118" t="n">
        <v>97</v>
      </c>
      <c r="V4118" t="n">
        <v>30</v>
      </c>
      <c r="W4118" t="n">
        <v>32</v>
      </c>
      <c r="X4118" t="n">
        <v>0.9555661729574774</v>
      </c>
      <c r="Y4118" t="n">
        <v>1</v>
      </c>
      <c r="Z4118" t="n">
        <v>0</v>
      </c>
      <c r="AA4118" t="n">
        <v>20</v>
      </c>
      <c r="AB4118" t="n">
        <v>0</v>
      </c>
      <c r="AC4118" t="n">
        <v>0</v>
      </c>
      <c r="AD4118" t="n">
        <v>241060</v>
      </c>
      <c r="AE4118" t="n">
        <v>0</v>
      </c>
      <c r="AF4118" t="n">
        <v>7672</v>
      </c>
      <c r="AG4118" t="n">
        <v>1</v>
      </c>
      <c r="AH4118" t="inlineStr">
        <is>
          <t>PT. BERSAMA DISTRIVERSA INDONESIA (DC CIPUTAT)</t>
        </is>
      </c>
      <c r="AI4118" t="n">
        <v>126</v>
      </c>
      <c r="AJ4118" t="inlineStr">
        <is>
          <t>PIGEON TEENS</t>
        </is>
      </c>
      <c r="AK4118" t="n">
        <v>21</v>
      </c>
      <c r="AL4118" t="inlineStr">
        <is>
          <t>Miss Glam Damar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PIGEON TEENS</t>
        </is>
      </c>
      <c r="B4119" s="2">
        <f>"8992771010253"</f>
        <v/>
      </c>
      <c r="C4119" t="inlineStr">
        <is>
          <t>PIGEON TEENS Facial Foam Deep Cleansing &amp; Oil Control 100gr</t>
        </is>
      </c>
      <c r="D4119" t="inlineStr">
        <is>
          <t>Miss Glam Damar</t>
        </is>
      </c>
      <c r="E4119" t="n">
        <v>0</v>
      </c>
      <c r="F4119" t="n">
        <v>0.3822</v>
      </c>
      <c r="G4119" t="n">
        <v>3.64</v>
      </c>
      <c r="H4119" t="n">
        <v>4</v>
      </c>
      <c r="I4119" t="n">
        <v>21</v>
      </c>
      <c r="J4119" t="n">
        <v>3</v>
      </c>
      <c r="K4119" t="n">
        <v>36</v>
      </c>
      <c r="L4119" t="n">
        <v>25440</v>
      </c>
      <c r="M4119" t="n">
        <v>30000</v>
      </c>
      <c r="N4119" t="n">
        <v>91</v>
      </c>
      <c r="O4119" t="n">
        <v>0.91</v>
      </c>
      <c r="P4119" t="n">
        <v>1</v>
      </c>
      <c r="Q4119" t="n">
        <v>0.37</v>
      </c>
      <c r="R4119" t="n">
        <v>4</v>
      </c>
      <c r="S4119" t="n">
        <v>11466</v>
      </c>
      <c r="T4119" t="n">
        <v>75</v>
      </c>
      <c r="U4119" t="n">
        <v>77</v>
      </c>
      <c r="V4119" t="n">
        <v>30</v>
      </c>
      <c r="W4119" t="n">
        <v>12</v>
      </c>
      <c r="X4119" t="n">
        <v>0</v>
      </c>
      <c r="Y4119" t="n">
        <v>1</v>
      </c>
      <c r="Z4119" t="n">
        <v>0</v>
      </c>
      <c r="AA4119" t="n">
        <v>8</v>
      </c>
      <c r="AB4119" t="n">
        <v>0</v>
      </c>
      <c r="AC4119" t="n">
        <v>0</v>
      </c>
      <c r="AD4119" t="n">
        <v>203520</v>
      </c>
      <c r="AE4119" t="n">
        <v>0</v>
      </c>
      <c r="AF4119" t="n">
        <v>7672</v>
      </c>
      <c r="AG4119" t="n">
        <v>1</v>
      </c>
      <c r="AH4119" t="inlineStr">
        <is>
          <t>PT. BERSAMA DISTRIVERSA INDONESIA (DC CIPUTAT)</t>
        </is>
      </c>
      <c r="AI4119" t="n">
        <v>126</v>
      </c>
      <c r="AJ4119" t="inlineStr">
        <is>
          <t>PIGEON TEENS</t>
        </is>
      </c>
      <c r="AK4119" t="n">
        <v>21</v>
      </c>
      <c r="AL4119" t="inlineStr">
        <is>
          <t>Miss Glam Damar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PIGEON TEENS</t>
        </is>
      </c>
      <c r="B4120" s="2">
        <f>"8992771010352"</f>
        <v/>
      </c>
      <c r="C4120" t="inlineStr">
        <is>
          <t>PIGEON TEENS Facial Foam Deep Cleansing and Oil Control 40gr</t>
        </is>
      </c>
      <c r="D4120" t="inlineStr">
        <is>
          <t>Miss Glam Damar</t>
        </is>
      </c>
      <c r="E4120" t="n">
        <v>3</v>
      </c>
      <c r="F4120" t="n">
        <v>0.3731</v>
      </c>
      <c r="G4120" t="n">
        <v>2.73</v>
      </c>
      <c r="H4120" t="n">
        <v>4</v>
      </c>
      <c r="I4120" t="n">
        <v>21</v>
      </c>
      <c r="J4120" t="n">
        <v>3</v>
      </c>
      <c r="K4120" t="n">
        <v>6</v>
      </c>
      <c r="L4120" t="n">
        <v>14252</v>
      </c>
      <c r="M4120" t="n">
        <v>18000</v>
      </c>
      <c r="N4120" t="n">
        <v>91</v>
      </c>
      <c r="O4120" t="n">
        <v>0.91</v>
      </c>
      <c r="P4120" t="n">
        <v>1</v>
      </c>
      <c r="Q4120" t="n">
        <v>0.27</v>
      </c>
      <c r="R4120" t="n">
        <v>3</v>
      </c>
      <c r="S4120" t="n">
        <v>6715.8</v>
      </c>
      <c r="T4120" t="n">
        <v>56</v>
      </c>
      <c r="U4120" t="n">
        <v>58</v>
      </c>
      <c r="V4120" t="n">
        <v>30</v>
      </c>
      <c r="W4120" t="n">
        <v>12</v>
      </c>
      <c r="X4120" t="n">
        <v>8.040739748056822</v>
      </c>
      <c r="Y4120" t="n">
        <v>1</v>
      </c>
      <c r="Z4120" t="n">
        <v>3</v>
      </c>
      <c r="AA4120" t="n">
        <v>4</v>
      </c>
      <c r="AB4120" t="n">
        <v>0</v>
      </c>
      <c r="AC4120" t="n">
        <v>0</v>
      </c>
      <c r="AD4120" t="n">
        <v>57008</v>
      </c>
      <c r="AE4120" t="n">
        <v>0</v>
      </c>
      <c r="AF4120" t="n">
        <v>7672</v>
      </c>
      <c r="AG4120" t="n">
        <v>1</v>
      </c>
      <c r="AH4120" t="inlineStr">
        <is>
          <t>PT. BERSAMA DISTRIVERSA INDONESIA (DC CIPUTAT)</t>
        </is>
      </c>
      <c r="AI4120" t="n">
        <v>126</v>
      </c>
      <c r="AJ4120" t="inlineStr">
        <is>
          <t>PIGEON TEENS</t>
        </is>
      </c>
      <c r="AK4120" t="n">
        <v>21</v>
      </c>
      <c r="AL4120" t="inlineStr">
        <is>
          <t>Miss Glam Damar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PIGEON TEENS</t>
        </is>
      </c>
      <c r="B4121" s="2">
        <f>"8992771010611"</f>
        <v/>
      </c>
      <c r="C4121" t="inlineStr">
        <is>
          <t>PIGEON TEENS Hydra Squad Body Serum 100ml</t>
        </is>
      </c>
      <c r="D4121" t="inlineStr">
        <is>
          <t>Miss Glam Damar</t>
        </is>
      </c>
      <c r="E4121" t="n">
        <v>15</v>
      </c>
      <c r="F4121" t="n">
        <v>0.0273</v>
      </c>
      <c r="G4121" t="n">
        <v>0.91</v>
      </c>
      <c r="H4121" t="n">
        <v>4</v>
      </c>
      <c r="I4121" t="n">
        <v>21</v>
      </c>
      <c r="J4121" t="n">
        <v>3</v>
      </c>
      <c r="K4121" t="n">
        <v>24</v>
      </c>
      <c r="L4121" t="n">
        <v>26533</v>
      </c>
      <c r="M4121" t="n">
        <v>33500</v>
      </c>
      <c r="N4121" t="n">
        <v>91</v>
      </c>
      <c r="O4121" t="n">
        <v>0.91</v>
      </c>
      <c r="P4121" t="n">
        <v>1</v>
      </c>
      <c r="Q4121" t="n">
        <v>0.19</v>
      </c>
      <c r="R4121" t="n">
        <v>2</v>
      </c>
      <c r="S4121" t="n">
        <v>914.5500000000001</v>
      </c>
      <c r="T4121" t="n">
        <v>20</v>
      </c>
      <c r="U4121" t="n">
        <v>21</v>
      </c>
      <c r="V4121" t="n">
        <v>30</v>
      </c>
      <c r="W4121" t="n">
        <v>1</v>
      </c>
      <c r="X4121" t="n">
        <v>549.4505494505494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7672</v>
      </c>
      <c r="AG4121" t="n">
        <v>1</v>
      </c>
      <c r="AH4121" t="inlineStr">
        <is>
          <t>PT. BERSAMA DISTRIVERSA INDONESIA (DC CIPUTAT)</t>
        </is>
      </c>
      <c r="AI4121" t="n">
        <v>126</v>
      </c>
      <c r="AJ4121" t="inlineStr">
        <is>
          <t>PIGEON TEENS</t>
        </is>
      </c>
      <c r="AK4121" t="n">
        <v>21</v>
      </c>
      <c r="AL4121" t="inlineStr">
        <is>
          <t>Miss Glam Damar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PIGEON TEENS</t>
        </is>
      </c>
      <c r="B4122" s="2">
        <f>"10300318125"</f>
        <v/>
      </c>
      <c r="C4122" t="inlineStr">
        <is>
          <t>PIGEON TEENS Hydra Squad Face Mist 50ml</t>
        </is>
      </c>
      <c r="D4122" t="inlineStr">
        <is>
          <t>Miss Glam Damar</t>
        </is>
      </c>
      <c r="E4122" t="n">
        <v>0</v>
      </c>
      <c r="F4122" t="n">
        <v>0.0273</v>
      </c>
      <c r="G4122" t="n">
        <v>0.91</v>
      </c>
      <c r="H4122" t="n">
        <v>4</v>
      </c>
      <c r="I4122" t="n">
        <v>21</v>
      </c>
      <c r="J4122" t="n">
        <v>3</v>
      </c>
      <c r="K4122" t="n">
        <v>12</v>
      </c>
      <c r="L4122" t="n">
        <v>20610</v>
      </c>
      <c r="M4122" t="n">
        <v>26000</v>
      </c>
      <c r="N4122" t="n">
        <v>91</v>
      </c>
      <c r="O4122" t="n">
        <v>0.91</v>
      </c>
      <c r="P4122" t="n">
        <v>1</v>
      </c>
      <c r="Q4122" t="n">
        <v>0.08</v>
      </c>
      <c r="R4122" t="n">
        <v>1</v>
      </c>
      <c r="S4122" t="n">
        <v>709.8000000000001</v>
      </c>
      <c r="T4122" t="n">
        <v>20</v>
      </c>
      <c r="U4122" t="n">
        <v>21</v>
      </c>
      <c r="V4122" t="n">
        <v>30</v>
      </c>
      <c r="W4122" t="n">
        <v>1</v>
      </c>
      <c r="X4122" t="n">
        <v>0</v>
      </c>
      <c r="Y4122" t="n">
        <v>1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7672</v>
      </c>
      <c r="AG4122" t="n">
        <v>1</v>
      </c>
      <c r="AH4122" t="inlineStr">
        <is>
          <t>PT. BERSAMA DISTRIVERSA INDONESIA (DC CIPUTAT)</t>
        </is>
      </c>
      <c r="AI4122" t="n">
        <v>126</v>
      </c>
      <c r="AJ4122" t="inlineStr">
        <is>
          <t>PIGEON TEENS</t>
        </is>
      </c>
      <c r="AK4122" t="n">
        <v>21</v>
      </c>
      <c r="AL4122" t="inlineStr">
        <is>
          <t>Miss Glam Damar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PIGEON TEENS</t>
        </is>
      </c>
      <c r="B4123" s="2">
        <f>"10200158938"</f>
        <v/>
      </c>
      <c r="C4123" t="inlineStr">
        <is>
          <t>PIGEON TEENS Hydra Squad Face Toner 100ml</t>
        </is>
      </c>
      <c r="D4123" t="inlineStr">
        <is>
          <t>Miss Glam Damar</t>
        </is>
      </c>
      <c r="E4123" t="n">
        <v>9</v>
      </c>
      <c r="F4123" t="n">
        <v>0.1729</v>
      </c>
      <c r="G4123" t="n">
        <v>0.91</v>
      </c>
      <c r="H4123" t="n">
        <v>4</v>
      </c>
      <c r="I4123" t="n">
        <v>21</v>
      </c>
      <c r="J4123" t="n">
        <v>3</v>
      </c>
      <c r="K4123" t="n">
        <v>24</v>
      </c>
      <c r="L4123" t="n">
        <v>26250</v>
      </c>
      <c r="M4123" t="n">
        <v>31000</v>
      </c>
      <c r="N4123" t="n">
        <v>91</v>
      </c>
      <c r="O4123" t="n">
        <v>0.91</v>
      </c>
      <c r="P4123" t="n">
        <v>1</v>
      </c>
      <c r="Q4123" t="n">
        <v>0.05</v>
      </c>
      <c r="R4123" t="n">
        <v>1</v>
      </c>
      <c r="S4123" t="n">
        <v>5359.9</v>
      </c>
      <c r="T4123" t="n">
        <v>19</v>
      </c>
      <c r="U4123" t="n">
        <v>20</v>
      </c>
      <c r="V4123" t="n">
        <v>30</v>
      </c>
      <c r="W4123" t="n">
        <v>6</v>
      </c>
      <c r="X4123" t="n">
        <v>52.05320994794679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7672</v>
      </c>
      <c r="AG4123" t="n">
        <v>1</v>
      </c>
      <c r="AH4123" t="inlineStr">
        <is>
          <t>PT. BERSAMA DISTRIVERSA INDONESIA (DC CIPUTAT)</t>
        </is>
      </c>
      <c r="AI4123" t="n">
        <v>126</v>
      </c>
      <c r="AJ4123" t="inlineStr">
        <is>
          <t>PIGEON TEENS</t>
        </is>
      </c>
      <c r="AK4123" t="n">
        <v>21</v>
      </c>
      <c r="AL4123" t="inlineStr">
        <is>
          <t>Miss Glam Damar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PIGEON TEENS</t>
        </is>
      </c>
      <c r="B4124" s="2">
        <f>"10300721523"</f>
        <v/>
      </c>
      <c r="C4124" t="inlineStr">
        <is>
          <t>PIGEON TEENS Hydra Squad Moisturizer 20ml</t>
        </is>
      </c>
      <c r="D4124" t="inlineStr">
        <is>
          <t>Miss Glam Damar</t>
        </is>
      </c>
      <c r="E4124" t="n">
        <v>0</v>
      </c>
      <c r="F4124" t="n">
        <v>0.0273</v>
      </c>
      <c r="G4124" t="n">
        <v>0.91</v>
      </c>
      <c r="H4124" t="n">
        <v>4</v>
      </c>
      <c r="I4124" t="n">
        <v>21</v>
      </c>
      <c r="J4124" t="n">
        <v>3</v>
      </c>
      <c r="K4124" t="n">
        <v>9</v>
      </c>
      <c r="L4124" t="n">
        <v>14214</v>
      </c>
      <c r="M4124" t="n">
        <v>18000</v>
      </c>
      <c r="N4124" t="n">
        <v>91</v>
      </c>
      <c r="O4124" t="n">
        <v>0.91</v>
      </c>
      <c r="P4124" t="n">
        <v>1</v>
      </c>
      <c r="Q4124" t="n">
        <v>0.07000000000000001</v>
      </c>
      <c r="R4124" t="n">
        <v>1</v>
      </c>
      <c r="S4124" t="n">
        <v>491.4</v>
      </c>
      <c r="T4124" t="n">
        <v>20</v>
      </c>
      <c r="U4124" t="n">
        <v>21</v>
      </c>
      <c r="V4124" t="n">
        <v>30</v>
      </c>
      <c r="W4124" t="n">
        <v>1</v>
      </c>
      <c r="X4124" t="n">
        <v>0</v>
      </c>
      <c r="Y4124" t="n">
        <v>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7672</v>
      </c>
      <c r="AG4124" t="n">
        <v>1</v>
      </c>
      <c r="AH4124" t="inlineStr">
        <is>
          <t>PT. BERSAMA DISTRIVERSA INDONESIA (DC CIPUTAT)</t>
        </is>
      </c>
      <c r="AI4124" t="n">
        <v>126</v>
      </c>
      <c r="AJ4124" t="inlineStr">
        <is>
          <t>PIGEON TEENS</t>
        </is>
      </c>
      <c r="AK4124" t="n">
        <v>21</v>
      </c>
      <c r="AL4124" t="inlineStr">
        <is>
          <t>Miss Glam Damar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PIGEON TEENS</t>
        </is>
      </c>
      <c r="B4125" s="2">
        <f>"10300721607"</f>
        <v/>
      </c>
      <c r="C4125" t="inlineStr">
        <is>
          <t>PIGEON TEENS Hydra Squad Moisturizer 50ml</t>
        </is>
      </c>
      <c r="D4125" t="inlineStr">
        <is>
          <t>Miss Glam Damar</t>
        </is>
      </c>
      <c r="E4125" t="n">
        <v>1</v>
      </c>
      <c r="F4125" t="n">
        <v>0.0182</v>
      </c>
      <c r="G4125" t="n">
        <v>0.91</v>
      </c>
      <c r="H4125" t="n">
        <v>4</v>
      </c>
      <c r="I4125" t="n">
        <v>21</v>
      </c>
      <c r="J4125" t="n">
        <v>3</v>
      </c>
      <c r="K4125" t="n">
        <v>9</v>
      </c>
      <c r="L4125" t="n">
        <v>28428</v>
      </c>
      <c r="M4125" t="n">
        <v>35500</v>
      </c>
      <c r="N4125" t="n">
        <v>91</v>
      </c>
      <c r="O4125" t="n">
        <v>0.91</v>
      </c>
      <c r="P4125" t="n">
        <v>1</v>
      </c>
      <c r="Q4125" t="n">
        <v>0.05</v>
      </c>
      <c r="R4125" t="n">
        <v>1</v>
      </c>
      <c r="S4125" t="n">
        <v>646.1</v>
      </c>
      <c r="T4125" t="n">
        <v>20</v>
      </c>
      <c r="U4125" t="n">
        <v>21</v>
      </c>
      <c r="V4125" t="n">
        <v>30</v>
      </c>
      <c r="W4125" t="n">
        <v>1</v>
      </c>
      <c r="X4125" t="n">
        <v>54.94505494505494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7672</v>
      </c>
      <c r="AG4125" t="n">
        <v>1</v>
      </c>
      <c r="AH4125" t="inlineStr">
        <is>
          <t>PT. BERSAMA DISTRIVERSA INDONESIA (DC CIPUTAT)</t>
        </is>
      </c>
      <c r="AI4125" t="n">
        <v>126</v>
      </c>
      <c r="AJ4125" t="inlineStr">
        <is>
          <t>PIGEON TEENS</t>
        </is>
      </c>
      <c r="AK4125" t="n">
        <v>21</v>
      </c>
      <c r="AL4125" t="inlineStr">
        <is>
          <t>Miss Glam Damar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PIGEON TEENS</t>
        </is>
      </c>
      <c r="B4126" s="2">
        <f>"8992771010413"</f>
        <v/>
      </c>
      <c r="C4126" t="inlineStr">
        <is>
          <t>PIGEON TEENS Hydra Squad Serum 20ml</t>
        </is>
      </c>
      <c r="D4126" t="inlineStr">
        <is>
          <t>Miss Glam Damar</t>
        </is>
      </c>
      <c r="E4126" t="n">
        <v>2</v>
      </c>
      <c r="F4126" t="n">
        <v>0.06370000000000001</v>
      </c>
      <c r="G4126" t="n">
        <v>0.91</v>
      </c>
      <c r="H4126" t="n">
        <v>4</v>
      </c>
      <c r="I4126" t="n">
        <v>21</v>
      </c>
      <c r="J4126" t="n">
        <v>3</v>
      </c>
      <c r="K4126" t="n">
        <v>9</v>
      </c>
      <c r="L4126" t="n">
        <v>31200</v>
      </c>
      <c r="M4126" t="n">
        <v>38000</v>
      </c>
      <c r="N4126" t="n">
        <v>91</v>
      </c>
      <c r="O4126" t="n">
        <v>0.91</v>
      </c>
      <c r="P4126" t="n">
        <v>1</v>
      </c>
      <c r="Q4126" t="n">
        <v>0.15</v>
      </c>
      <c r="R4126" t="n">
        <v>1</v>
      </c>
      <c r="S4126" t="n">
        <v>2420.6</v>
      </c>
      <c r="T4126" t="n">
        <v>19</v>
      </c>
      <c r="U4126" t="n">
        <v>20</v>
      </c>
      <c r="V4126" t="n">
        <v>30</v>
      </c>
      <c r="W4126" t="n">
        <v>2</v>
      </c>
      <c r="X4126" t="n">
        <v>31.39717425431711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7672</v>
      </c>
      <c r="AG4126" t="n">
        <v>1</v>
      </c>
      <c r="AH4126" t="inlineStr">
        <is>
          <t>PT. BERSAMA DISTRIVERSA INDONESIA (DC CIPUTAT)</t>
        </is>
      </c>
      <c r="AI4126" t="n">
        <v>126</v>
      </c>
      <c r="AJ4126" t="inlineStr">
        <is>
          <t>PIGEON TEENS</t>
        </is>
      </c>
      <c r="AK4126" t="n">
        <v>21</v>
      </c>
      <c r="AL4126" t="inlineStr">
        <is>
          <t>Miss Glam Damar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PIGEON TEENS</t>
        </is>
      </c>
      <c r="B4127" s="2">
        <f>"8992771010437"</f>
        <v/>
      </c>
      <c r="C4127" t="inlineStr">
        <is>
          <t>PIGEON TEENS Jelly Glow Sleeping Mask 30gr</t>
        </is>
      </c>
      <c r="D4127" t="inlineStr">
        <is>
          <t>Miss Glam Damar</t>
        </is>
      </c>
      <c r="E4127" t="n">
        <v>4</v>
      </c>
      <c r="F4127" t="n">
        <v>0.1092</v>
      </c>
      <c r="G4127" t="n">
        <v>1.82</v>
      </c>
      <c r="H4127" t="n">
        <v>4</v>
      </c>
      <c r="I4127" t="n">
        <v>21</v>
      </c>
      <c r="J4127" t="n">
        <v>3</v>
      </c>
      <c r="K4127" t="n">
        <v>36</v>
      </c>
      <c r="L4127" t="n">
        <v>30400</v>
      </c>
      <c r="M4127" t="n">
        <v>36000</v>
      </c>
      <c r="N4127" t="n">
        <v>91</v>
      </c>
      <c r="O4127" t="n">
        <v>0.91</v>
      </c>
      <c r="P4127" t="n">
        <v>1</v>
      </c>
      <c r="Q4127" t="n">
        <v>0.2</v>
      </c>
      <c r="R4127" t="n">
        <v>2</v>
      </c>
      <c r="S4127" t="n">
        <v>3931.2</v>
      </c>
      <c r="T4127" t="n">
        <v>38</v>
      </c>
      <c r="U4127" t="n">
        <v>39</v>
      </c>
      <c r="V4127" t="n">
        <v>30</v>
      </c>
      <c r="W4127" t="n">
        <v>4</v>
      </c>
      <c r="X4127" t="n">
        <v>36.63003663003663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7672</v>
      </c>
      <c r="AG4127" t="n">
        <v>1</v>
      </c>
      <c r="AH4127" t="inlineStr">
        <is>
          <t>PT. BERSAMA DISTRIVERSA INDONESIA (DC CIPUTAT)</t>
        </is>
      </c>
      <c r="AI4127" t="n">
        <v>126</v>
      </c>
      <c r="AJ4127" t="inlineStr">
        <is>
          <t>PIGEON TEENS</t>
        </is>
      </c>
      <c r="AK4127" t="n">
        <v>21</v>
      </c>
      <c r="AL4127" t="inlineStr">
        <is>
          <t>Miss Glam Damar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PIGEON TEENS</t>
        </is>
      </c>
      <c r="B4128" s="2">
        <f>"10500210330"</f>
        <v/>
      </c>
      <c r="C4128" t="inlineStr">
        <is>
          <t>PIGEON TEENS Kiwi Be Friends Jelly Mask 60ml</t>
        </is>
      </c>
      <c r="D4128" t="inlineStr">
        <is>
          <t>Miss Glam Damar</t>
        </is>
      </c>
      <c r="E4128" t="n">
        <v>6</v>
      </c>
      <c r="F4128" t="n">
        <v>0.04550000000000001</v>
      </c>
      <c r="G4128" t="n">
        <v>0.91</v>
      </c>
      <c r="H4128" t="n">
        <v>4</v>
      </c>
      <c r="I4128" t="n">
        <v>21</v>
      </c>
      <c r="J4128" t="n">
        <v>1</v>
      </c>
      <c r="K4128" t="n">
        <v>12</v>
      </c>
      <c r="L4128" t="n">
        <v>28000</v>
      </c>
      <c r="M4128" t="n">
        <v>33000</v>
      </c>
      <c r="N4128" t="n">
        <v>91</v>
      </c>
      <c r="O4128" t="n">
        <v>0.91</v>
      </c>
      <c r="P4128" t="n">
        <v>1</v>
      </c>
      <c r="Q4128" t="n">
        <v>0.05</v>
      </c>
      <c r="R4128" t="n">
        <v>1</v>
      </c>
      <c r="S4128" t="n">
        <v>1501.5</v>
      </c>
      <c r="T4128" t="n">
        <v>19</v>
      </c>
      <c r="U4128" t="n">
        <v>20</v>
      </c>
      <c r="V4128" t="n">
        <v>30</v>
      </c>
      <c r="W4128" t="n">
        <v>2</v>
      </c>
      <c r="X4128" t="n">
        <v>131.8681318681319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7672</v>
      </c>
      <c r="AG4128" t="n">
        <v>1</v>
      </c>
      <c r="AH4128" t="inlineStr">
        <is>
          <t>PT. BERSAMA DISTRIVERSA INDONESIA (DC CIPUTAT)</t>
        </is>
      </c>
      <c r="AI4128" t="n">
        <v>126</v>
      </c>
      <c r="AJ4128" t="inlineStr">
        <is>
          <t>PIGEON TEENS</t>
        </is>
      </c>
      <c r="AK4128" t="n">
        <v>21</v>
      </c>
      <c r="AL4128" t="inlineStr">
        <is>
          <t>Miss Glam Damar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PIGEON TEENS</t>
        </is>
      </c>
      <c r="B4129" s="2">
        <f>"8992771010550"</f>
        <v/>
      </c>
      <c r="C4129" t="inlineStr">
        <is>
          <t>PIGEON TEENS Lightening Deo Serum 30ml</t>
        </is>
      </c>
      <c r="D4129" t="inlineStr">
        <is>
          <t>Miss Glam Damar</t>
        </is>
      </c>
      <c r="E4129" t="n">
        <v>0</v>
      </c>
      <c r="F4129" t="n">
        <v>0.1365</v>
      </c>
      <c r="G4129" t="n">
        <v>1.82</v>
      </c>
      <c r="H4129" t="n">
        <v>4</v>
      </c>
      <c r="I4129" t="n">
        <v>21</v>
      </c>
      <c r="J4129" t="n">
        <v>3</v>
      </c>
      <c r="K4129" t="n">
        <v>6</v>
      </c>
      <c r="L4129" t="n">
        <v>29565</v>
      </c>
      <c r="M4129" t="n">
        <v>39000</v>
      </c>
      <c r="N4129" t="n">
        <v>91</v>
      </c>
      <c r="O4129" t="n">
        <v>0.91</v>
      </c>
      <c r="P4129" t="n">
        <v>1</v>
      </c>
      <c r="Q4129" t="n">
        <v>0.23</v>
      </c>
      <c r="R4129" t="n">
        <v>1</v>
      </c>
      <c r="S4129" t="n">
        <v>5323.5</v>
      </c>
      <c r="T4129" t="n">
        <v>38</v>
      </c>
      <c r="U4129" t="n">
        <v>39</v>
      </c>
      <c r="V4129" t="n">
        <v>30</v>
      </c>
      <c r="W4129" t="n">
        <v>5</v>
      </c>
      <c r="X4129" t="n">
        <v>0</v>
      </c>
      <c r="Y4129" t="n">
        <v>1</v>
      </c>
      <c r="Z4129" t="n">
        <v>0</v>
      </c>
      <c r="AA4129" t="n">
        <v>2</v>
      </c>
      <c r="AB4129" t="n">
        <v>0</v>
      </c>
      <c r="AC4129" t="n">
        <v>0</v>
      </c>
      <c r="AD4129" t="n">
        <v>59130</v>
      </c>
      <c r="AE4129" t="n">
        <v>0</v>
      </c>
      <c r="AF4129" t="n">
        <v>7672</v>
      </c>
      <c r="AG4129" t="n">
        <v>1</v>
      </c>
      <c r="AH4129" t="inlineStr">
        <is>
          <t>PT. BERSAMA DISTRIVERSA INDONESIA (DC CIPUTAT)</t>
        </is>
      </c>
      <c r="AI4129" t="n">
        <v>126</v>
      </c>
      <c r="AJ4129" t="inlineStr">
        <is>
          <t>PIGEON TEENS</t>
        </is>
      </c>
      <c r="AK4129" t="n">
        <v>21</v>
      </c>
      <c r="AL4129" t="inlineStr">
        <is>
          <t>Miss Glam Damar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PIGEON TEENS</t>
        </is>
      </c>
      <c r="B4130" s="2">
        <f>"8992771010314"</f>
        <v/>
      </c>
      <c r="C4130" t="inlineStr">
        <is>
          <t>PIGEON TEENS Moisturizer 50ml</t>
        </is>
      </c>
      <c r="D4130" t="inlineStr">
        <is>
          <t>Miss Glam Damar</t>
        </is>
      </c>
      <c r="E4130" t="n">
        <v>4</v>
      </c>
      <c r="F4130" t="n">
        <v>0.0728</v>
      </c>
      <c r="G4130" t="n">
        <v>1.82</v>
      </c>
      <c r="H4130" t="n">
        <v>4</v>
      </c>
      <c r="I4130" t="n">
        <v>21</v>
      </c>
      <c r="J4130" t="n">
        <v>3</v>
      </c>
      <c r="K4130" t="n">
        <v>6</v>
      </c>
      <c r="L4130" t="n">
        <v>32855</v>
      </c>
      <c r="M4130" t="n">
        <v>40000</v>
      </c>
      <c r="N4130" t="n">
        <v>91</v>
      </c>
      <c r="O4130" t="n">
        <v>0.91</v>
      </c>
      <c r="P4130" t="n">
        <v>1</v>
      </c>
      <c r="Q4130" t="n">
        <v>0.22</v>
      </c>
      <c r="R4130" t="n">
        <v>2</v>
      </c>
      <c r="S4130" t="n">
        <v>2912</v>
      </c>
      <c r="T4130" t="n">
        <v>38</v>
      </c>
      <c r="U4130" t="n">
        <v>39</v>
      </c>
      <c r="V4130" t="n">
        <v>30</v>
      </c>
      <c r="W4130" t="n">
        <v>3</v>
      </c>
      <c r="X4130" t="n">
        <v>54.94505494505494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7672</v>
      </c>
      <c r="AG4130" t="n">
        <v>1</v>
      </c>
      <c r="AH4130" t="inlineStr">
        <is>
          <t>PT. BERSAMA DISTRIVERSA INDONESIA (DC CIPUTAT)</t>
        </is>
      </c>
      <c r="AI4130" t="n">
        <v>126</v>
      </c>
      <c r="AJ4130" t="inlineStr">
        <is>
          <t>PIGEON TEENS</t>
        </is>
      </c>
      <c r="AK4130" t="n">
        <v>21</v>
      </c>
      <c r="AL4130" t="inlineStr">
        <is>
          <t>Miss Glam Damar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PIGEON TEENS</t>
        </is>
      </c>
      <c r="B4131" s="2">
        <f>"8992771010062"</f>
        <v/>
      </c>
      <c r="C4131" t="inlineStr">
        <is>
          <t>PIGEON TEENS Moisturizer For All Skin Type 20ml</t>
        </is>
      </c>
      <c r="D4131" t="inlineStr">
        <is>
          <t>Miss Glam Damar</t>
        </is>
      </c>
      <c r="E4131" t="n">
        <v>13</v>
      </c>
      <c r="F4131" t="n">
        <v>0.8190000000000001</v>
      </c>
      <c r="G4131" t="n">
        <v>3.64</v>
      </c>
      <c r="H4131" t="n">
        <v>4</v>
      </c>
      <c r="I4131" t="n">
        <v>21</v>
      </c>
      <c r="J4131" t="n">
        <v>3</v>
      </c>
      <c r="K4131" t="n">
        <v>0</v>
      </c>
      <c r="L4131" t="n">
        <v>16782</v>
      </c>
      <c r="M4131" t="n">
        <v>20000</v>
      </c>
      <c r="N4131" t="n">
        <v>91</v>
      </c>
      <c r="O4131" t="n">
        <v>0.91</v>
      </c>
      <c r="P4131" t="n">
        <v>1</v>
      </c>
      <c r="Q4131" t="n">
        <v>0.49</v>
      </c>
      <c r="R4131" t="n">
        <v>3</v>
      </c>
      <c r="S4131" t="n">
        <v>16380</v>
      </c>
      <c r="T4131" t="n">
        <v>74</v>
      </c>
      <c r="U4131" t="n">
        <v>78</v>
      </c>
      <c r="V4131" t="n">
        <v>30</v>
      </c>
      <c r="W4131" t="n">
        <v>25</v>
      </c>
      <c r="X4131" t="n">
        <v>15.87301587301587</v>
      </c>
      <c r="Y4131" t="n">
        <v>1</v>
      </c>
      <c r="Z4131" t="n">
        <v>12</v>
      </c>
      <c r="AA4131" t="n">
        <v>5</v>
      </c>
      <c r="AB4131" t="n">
        <v>7</v>
      </c>
      <c r="AC4131" t="n">
        <v>7</v>
      </c>
      <c r="AD4131" t="n">
        <v>83910</v>
      </c>
      <c r="AE4131" t="n">
        <v>117474</v>
      </c>
      <c r="AF4131" t="n">
        <v>7672</v>
      </c>
      <c r="AG4131" t="n">
        <v>1</v>
      </c>
      <c r="AH4131" t="inlineStr">
        <is>
          <t>PT. BERSAMA DISTRIVERSA INDONESIA (DC CIPUTAT)</t>
        </is>
      </c>
      <c r="AI4131" t="n">
        <v>126</v>
      </c>
      <c r="AJ4131" t="inlineStr">
        <is>
          <t>PIGEON TEENS</t>
        </is>
      </c>
      <c r="AK4131" t="n">
        <v>21</v>
      </c>
      <c r="AL4131" t="inlineStr">
        <is>
          <t>Miss Glam Damar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PIGEON TEENS</t>
        </is>
      </c>
      <c r="B4132" s="2">
        <f>"10500210522"</f>
        <v/>
      </c>
      <c r="C4132" t="inlineStr">
        <is>
          <t>PIGEON TEENS Peach Jelly Mask 60ml</t>
        </is>
      </c>
      <c r="D4132" t="inlineStr">
        <is>
          <t>Miss Glam Damar</t>
        </is>
      </c>
      <c r="E4132" t="n">
        <v>0</v>
      </c>
      <c r="F4132" t="n">
        <v>0.04550000000000001</v>
      </c>
      <c r="G4132" t="n">
        <v>0.91</v>
      </c>
      <c r="H4132" t="n">
        <v>4</v>
      </c>
      <c r="I4132" t="n">
        <v>21</v>
      </c>
      <c r="J4132" t="n">
        <v>1</v>
      </c>
      <c r="K4132" t="n">
        <v>12</v>
      </c>
      <c r="L4132" t="n">
        <v>28000</v>
      </c>
      <c r="M4132" t="n">
        <v>33000</v>
      </c>
      <c r="N4132" t="n">
        <v>91</v>
      </c>
      <c r="O4132" t="n">
        <v>0.91</v>
      </c>
      <c r="P4132" t="n">
        <v>1</v>
      </c>
      <c r="Q4132" t="n">
        <v>0.18</v>
      </c>
      <c r="R4132" t="n">
        <v>2</v>
      </c>
      <c r="S4132" t="n">
        <v>1501.5</v>
      </c>
      <c r="T4132" t="n">
        <v>19</v>
      </c>
      <c r="U4132" t="n">
        <v>20</v>
      </c>
      <c r="V4132" t="n">
        <v>30</v>
      </c>
      <c r="W4132" t="n">
        <v>2</v>
      </c>
      <c r="X4132" t="n">
        <v>0</v>
      </c>
      <c r="Y4132" t="n">
        <v>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7672</v>
      </c>
      <c r="AG4132" t="n">
        <v>1</v>
      </c>
      <c r="AH4132" t="inlineStr">
        <is>
          <t>PT. BERSAMA DISTRIVERSA INDONESIA (DC CIPUTAT)</t>
        </is>
      </c>
      <c r="AI4132" t="n">
        <v>126</v>
      </c>
      <c r="AJ4132" t="inlineStr">
        <is>
          <t>PIGEON TEENS</t>
        </is>
      </c>
      <c r="AK4132" t="n">
        <v>21</v>
      </c>
      <c r="AL4132" t="inlineStr">
        <is>
          <t>Miss Glam Damar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PIGEON TEENS</t>
        </is>
      </c>
      <c r="B4133" s="2">
        <f>"8992771010574"</f>
        <v/>
      </c>
      <c r="C4133" t="inlineStr">
        <is>
          <t>PIGEON TEENS Poreless Warrior Serum 20ml</t>
        </is>
      </c>
      <c r="D4133" t="inlineStr">
        <is>
          <t>Miss Glam Damar</t>
        </is>
      </c>
      <c r="E4133" t="n">
        <v>0</v>
      </c>
      <c r="F4133" t="n">
        <v>0.04550000000000001</v>
      </c>
      <c r="G4133" t="n">
        <v>0.91</v>
      </c>
      <c r="H4133" t="n">
        <v>4</v>
      </c>
      <c r="I4133" t="n">
        <v>21</v>
      </c>
      <c r="J4133" t="n">
        <v>3</v>
      </c>
      <c r="K4133" t="n">
        <v>6</v>
      </c>
      <c r="L4133" t="n">
        <v>31200</v>
      </c>
      <c r="M4133" t="n">
        <v>38000</v>
      </c>
      <c r="N4133" t="n">
        <v>91</v>
      </c>
      <c r="O4133" t="n">
        <v>0.91</v>
      </c>
      <c r="P4133" t="n">
        <v>1</v>
      </c>
      <c r="Q4133" t="n">
        <v>0.04</v>
      </c>
      <c r="R4133" t="n">
        <v>1</v>
      </c>
      <c r="S4133" t="n">
        <v>1729</v>
      </c>
      <c r="T4133" t="n">
        <v>19</v>
      </c>
      <c r="U4133" t="n">
        <v>20</v>
      </c>
      <c r="V4133" t="n">
        <v>30</v>
      </c>
      <c r="W4133" t="n">
        <v>2</v>
      </c>
      <c r="X4133" t="n">
        <v>0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7672</v>
      </c>
      <c r="AG4133" t="n">
        <v>1</v>
      </c>
      <c r="AH4133" t="inlineStr">
        <is>
          <t>PT. BERSAMA DISTRIVERSA INDONESIA (DC CIPUTAT)</t>
        </is>
      </c>
      <c r="AI4133" t="n">
        <v>126</v>
      </c>
      <c r="AJ4133" t="inlineStr">
        <is>
          <t>PIGEON TEENS</t>
        </is>
      </c>
      <c r="AK4133" t="n">
        <v>21</v>
      </c>
      <c r="AL4133" t="inlineStr">
        <is>
          <t>Miss Glam Damar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PIGEON TEENS</t>
        </is>
      </c>
      <c r="B4134" s="2">
        <f>"8992771010000"</f>
        <v/>
      </c>
      <c r="C4134" t="inlineStr">
        <is>
          <t>PIGEON TEENS Reffil Compact Powder + UV Pink 14gr</t>
        </is>
      </c>
      <c r="D4134" t="inlineStr">
        <is>
          <t>Miss Glam Damar</t>
        </is>
      </c>
      <c r="E4134" t="n">
        <v>3</v>
      </c>
      <c r="F4134" t="n">
        <v>0.06370000000000001</v>
      </c>
      <c r="G4134" t="n">
        <v>1.82</v>
      </c>
      <c r="H4134" t="n">
        <v>4</v>
      </c>
      <c r="I4134" t="n">
        <v>21</v>
      </c>
      <c r="J4134" t="n">
        <v>3</v>
      </c>
      <c r="K4134" t="n">
        <v>24</v>
      </c>
      <c r="L4134" t="n">
        <v>25622</v>
      </c>
      <c r="M4134" t="n">
        <v>32000</v>
      </c>
      <c r="N4134" t="n">
        <v>91</v>
      </c>
      <c r="O4134" t="n">
        <v>0.91</v>
      </c>
      <c r="P4134" t="n">
        <v>1</v>
      </c>
      <c r="Q4134" t="n">
        <v>0.08</v>
      </c>
      <c r="R4134" t="n">
        <v>1</v>
      </c>
      <c r="S4134" t="n">
        <v>2038.4</v>
      </c>
      <c r="T4134" t="n">
        <v>38</v>
      </c>
      <c r="U4134" t="n">
        <v>39</v>
      </c>
      <c r="V4134" t="n">
        <v>30</v>
      </c>
      <c r="W4134" t="n">
        <v>2</v>
      </c>
      <c r="X4134" t="n">
        <v>47.09576138147566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7672</v>
      </c>
      <c r="AG4134" t="n">
        <v>1</v>
      </c>
      <c r="AH4134" t="inlineStr">
        <is>
          <t>PT. BERSAMA DISTRIVERSA INDONESIA (DC CIPUTAT)</t>
        </is>
      </c>
      <c r="AI4134" t="n">
        <v>126</v>
      </c>
      <c r="AJ4134" t="inlineStr">
        <is>
          <t>PIGEON TEENS</t>
        </is>
      </c>
      <c r="AK4134" t="n">
        <v>21</v>
      </c>
      <c r="AL4134" t="inlineStr">
        <is>
          <t>Miss Glam Damar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PIGEON TEENS</t>
        </is>
      </c>
      <c r="B4135" s="2">
        <f>"8992771008991"</f>
        <v/>
      </c>
      <c r="C4135" t="inlineStr">
        <is>
          <t>PIGEON TEENS Refill Compact Powder + Uv Beige 14gr</t>
        </is>
      </c>
      <c r="D4135" t="inlineStr">
        <is>
          <t>Miss Glam Damar</t>
        </is>
      </c>
      <c r="E4135" t="n">
        <v>1</v>
      </c>
      <c r="F4135" t="n">
        <v>0.09100000000000001</v>
      </c>
      <c r="G4135" t="n">
        <v>1.82</v>
      </c>
      <c r="H4135" t="n">
        <v>4</v>
      </c>
      <c r="I4135" t="n">
        <v>21</v>
      </c>
      <c r="J4135" t="n">
        <v>3</v>
      </c>
      <c r="K4135" t="n">
        <v>6</v>
      </c>
      <c r="L4135" t="n">
        <v>27040</v>
      </c>
      <c r="M4135" t="n">
        <v>32000</v>
      </c>
      <c r="N4135" t="n">
        <v>91</v>
      </c>
      <c r="O4135" t="n">
        <v>0.91</v>
      </c>
      <c r="P4135" t="n">
        <v>1</v>
      </c>
      <c r="Q4135" t="n">
        <v>0.08</v>
      </c>
      <c r="R4135" t="n">
        <v>1</v>
      </c>
      <c r="S4135" t="n">
        <v>2912</v>
      </c>
      <c r="T4135" t="n">
        <v>38</v>
      </c>
      <c r="U4135" t="n">
        <v>39</v>
      </c>
      <c r="V4135" t="n">
        <v>30</v>
      </c>
      <c r="W4135" t="n">
        <v>3</v>
      </c>
      <c r="X4135" t="n">
        <v>10.98901098901099</v>
      </c>
      <c r="Y4135" t="n">
        <v>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7672</v>
      </c>
      <c r="AG4135" t="n">
        <v>1</v>
      </c>
      <c r="AH4135" t="inlineStr">
        <is>
          <t>PT. BERSAMA DISTRIVERSA INDONESIA (DC CIPUTAT)</t>
        </is>
      </c>
      <c r="AI4135" t="n">
        <v>126</v>
      </c>
      <c r="AJ4135" t="inlineStr">
        <is>
          <t>PIGEON TEENS</t>
        </is>
      </c>
      <c r="AK4135" t="n">
        <v>21</v>
      </c>
      <c r="AL4135" t="inlineStr">
        <is>
          <t>Miss Glam Damar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PIGEON TEENS</t>
        </is>
      </c>
      <c r="B4136" s="2">
        <f>"8992771010017"</f>
        <v/>
      </c>
      <c r="C4136" t="inlineStr">
        <is>
          <t>PIGEON TEENS Refill Compact Powder + Uv Natural 14gr</t>
        </is>
      </c>
      <c r="D4136" t="inlineStr">
        <is>
          <t>Miss Glam Damar</t>
        </is>
      </c>
      <c r="E4136" t="n">
        <v>6</v>
      </c>
      <c r="F4136" t="n">
        <v>0.2457</v>
      </c>
      <c r="G4136" t="n">
        <v>2.73</v>
      </c>
      <c r="H4136" t="n">
        <v>4</v>
      </c>
      <c r="I4136" t="n">
        <v>21</v>
      </c>
      <c r="J4136" t="n">
        <v>3</v>
      </c>
      <c r="K4136" t="n">
        <v>24</v>
      </c>
      <c r="L4136" t="n">
        <v>25622</v>
      </c>
      <c r="M4136" t="n">
        <v>32000</v>
      </c>
      <c r="N4136" t="n">
        <v>91</v>
      </c>
      <c r="O4136" t="n">
        <v>0.91</v>
      </c>
      <c r="P4136" t="n">
        <v>1</v>
      </c>
      <c r="Q4136" t="n">
        <v>0.14</v>
      </c>
      <c r="R4136" t="n">
        <v>2</v>
      </c>
      <c r="S4136" t="n">
        <v>7862.400000000001</v>
      </c>
      <c r="T4136" t="n">
        <v>57</v>
      </c>
      <c r="U4136" t="n">
        <v>58</v>
      </c>
      <c r="V4136" t="n">
        <v>30</v>
      </c>
      <c r="W4136" t="n">
        <v>8</v>
      </c>
      <c r="X4136" t="n">
        <v>24.42002442002442</v>
      </c>
      <c r="Y4136" t="n">
        <v>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7672</v>
      </c>
      <c r="AG4136" t="n">
        <v>1</v>
      </c>
      <c r="AH4136" t="inlineStr">
        <is>
          <t>PT. BERSAMA DISTRIVERSA INDONESIA (DC CIPUTAT)</t>
        </is>
      </c>
      <c r="AI4136" t="n">
        <v>126</v>
      </c>
      <c r="AJ4136" t="inlineStr">
        <is>
          <t>PIGEON TEENS</t>
        </is>
      </c>
      <c r="AK4136" t="n">
        <v>21</v>
      </c>
      <c r="AL4136" t="inlineStr">
        <is>
          <t>Miss Glam Damar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PIGEON TEENS</t>
        </is>
      </c>
      <c r="B4137" s="2">
        <f>"8992771010031"</f>
        <v/>
      </c>
      <c r="C4137" t="inlineStr">
        <is>
          <t>PIGEON TEENS Refill Compact Powder + Uv Sand 14gr</t>
        </is>
      </c>
      <c r="D4137" t="inlineStr">
        <is>
          <t>Miss Glam Damar</t>
        </is>
      </c>
      <c r="E4137" t="n">
        <v>1</v>
      </c>
      <c r="F4137" t="n">
        <v>0.04550000000000001</v>
      </c>
      <c r="G4137" t="n">
        <v>0.91</v>
      </c>
      <c r="H4137" t="n">
        <v>4</v>
      </c>
      <c r="I4137" t="n">
        <v>21</v>
      </c>
      <c r="J4137" t="n">
        <v>3</v>
      </c>
      <c r="K4137" t="n">
        <v>6</v>
      </c>
      <c r="L4137" t="n">
        <v>27040</v>
      </c>
      <c r="M4137" t="n">
        <v>32000</v>
      </c>
      <c r="N4137" t="n">
        <v>91</v>
      </c>
      <c r="O4137" t="n">
        <v>0.91</v>
      </c>
      <c r="P4137" t="n">
        <v>1</v>
      </c>
      <c r="Q4137" t="n">
        <v>0.08</v>
      </c>
      <c r="R4137" t="n">
        <v>1</v>
      </c>
      <c r="S4137" t="n">
        <v>1456</v>
      </c>
      <c r="T4137" t="n">
        <v>19</v>
      </c>
      <c r="U4137" t="n">
        <v>20</v>
      </c>
      <c r="V4137" t="n">
        <v>30</v>
      </c>
      <c r="W4137" t="n">
        <v>2</v>
      </c>
      <c r="X4137" t="n">
        <v>21.97802197802197</v>
      </c>
      <c r="Y4137" t="n">
        <v>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7672</v>
      </c>
      <c r="AG4137" t="n">
        <v>1</v>
      </c>
      <c r="AH4137" t="inlineStr">
        <is>
          <t>PT. BERSAMA DISTRIVERSA INDONESIA (DC CIPUTAT)</t>
        </is>
      </c>
      <c r="AI4137" t="n">
        <v>126</v>
      </c>
      <c r="AJ4137" t="inlineStr">
        <is>
          <t>PIGEON TEENS</t>
        </is>
      </c>
      <c r="AK4137" t="n">
        <v>21</v>
      </c>
      <c r="AL4137" t="inlineStr">
        <is>
          <t>Miss Glam Damar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PIGEON TEENS</t>
        </is>
      </c>
      <c r="B4138" s="2">
        <f>"8992771008564"</f>
        <v/>
      </c>
      <c r="C4138" t="inlineStr">
        <is>
          <t>PIGEON TEENS Refill Compact Powder Beige 14gr</t>
        </is>
      </c>
      <c r="D4138" t="inlineStr">
        <is>
          <t>Miss Glam Damar</t>
        </is>
      </c>
      <c r="E4138" t="n">
        <v>0</v>
      </c>
      <c r="F4138" t="n">
        <v>0.04550000000000001</v>
      </c>
      <c r="G4138" t="n">
        <v>0.91</v>
      </c>
      <c r="H4138" t="n">
        <v>4</v>
      </c>
      <c r="I4138" t="n">
        <v>21</v>
      </c>
      <c r="J4138" t="n">
        <v>3</v>
      </c>
      <c r="K4138" t="n">
        <v>6</v>
      </c>
      <c r="L4138" t="n">
        <v>25622</v>
      </c>
      <c r="M4138" t="n">
        <v>32200</v>
      </c>
      <c r="N4138" t="n">
        <v>91</v>
      </c>
      <c r="O4138" t="n">
        <v>0.91</v>
      </c>
      <c r="P4138" t="n">
        <v>1</v>
      </c>
      <c r="Q4138" t="n">
        <v>0.11</v>
      </c>
      <c r="R4138" t="n">
        <v>2</v>
      </c>
      <c r="S4138" t="n">
        <v>1465.1</v>
      </c>
      <c r="T4138" t="n">
        <v>19</v>
      </c>
      <c r="U4138" t="n">
        <v>20</v>
      </c>
      <c r="V4138" t="n">
        <v>30</v>
      </c>
      <c r="W4138" t="n">
        <v>2</v>
      </c>
      <c r="X4138" t="n">
        <v>0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7672</v>
      </c>
      <c r="AG4138" t="n">
        <v>1</v>
      </c>
      <c r="AH4138" t="inlineStr">
        <is>
          <t>PT. BERSAMA DISTRIVERSA INDONESIA (DC CIPUTAT)</t>
        </is>
      </c>
      <c r="AI4138" t="n">
        <v>126</v>
      </c>
      <c r="AJ4138" t="inlineStr">
        <is>
          <t>PIGEON TEENS</t>
        </is>
      </c>
      <c r="AK4138" t="n">
        <v>21</v>
      </c>
      <c r="AL4138" t="inlineStr">
        <is>
          <t>Miss Glam Damar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PIGEON TEENS</t>
        </is>
      </c>
      <c r="B4139" s="2">
        <f>"8992771008588"</f>
        <v/>
      </c>
      <c r="C4139" t="inlineStr">
        <is>
          <t>PIGEON TEENS Refill Compact Powder Natural 14gr</t>
        </is>
      </c>
      <c r="D4139" t="inlineStr">
        <is>
          <t>Miss Glam Damar</t>
        </is>
      </c>
      <c r="E4139" t="n">
        <v>4</v>
      </c>
      <c r="F4139" t="n">
        <v>0.4823000000000001</v>
      </c>
      <c r="G4139" t="n">
        <v>1.82</v>
      </c>
      <c r="H4139" t="n">
        <v>4</v>
      </c>
      <c r="I4139" t="n">
        <v>21</v>
      </c>
      <c r="J4139" t="n">
        <v>3</v>
      </c>
      <c r="K4139" t="n">
        <v>12</v>
      </c>
      <c r="L4139" t="n">
        <v>25622</v>
      </c>
      <c r="M4139" t="n">
        <v>32000</v>
      </c>
      <c r="N4139" t="n">
        <v>91</v>
      </c>
      <c r="O4139" t="n">
        <v>0.91</v>
      </c>
      <c r="P4139" t="n">
        <v>1</v>
      </c>
      <c r="Q4139" t="n">
        <v>0.1</v>
      </c>
      <c r="R4139" t="n">
        <v>2</v>
      </c>
      <c r="S4139" t="n">
        <v>15433.6</v>
      </c>
      <c r="T4139" t="n">
        <v>37</v>
      </c>
      <c r="U4139" t="n">
        <v>39</v>
      </c>
      <c r="V4139" t="n">
        <v>30</v>
      </c>
      <c r="W4139" t="n">
        <v>15</v>
      </c>
      <c r="X4139" t="n">
        <v>8.293593199253575</v>
      </c>
      <c r="Y4139" t="n">
        <v>1</v>
      </c>
      <c r="Z4139" t="n">
        <v>0</v>
      </c>
      <c r="AA4139" t="n">
        <v>6</v>
      </c>
      <c r="AB4139" t="n">
        <v>0</v>
      </c>
      <c r="AC4139" t="n">
        <v>0</v>
      </c>
      <c r="AD4139" t="n">
        <v>153732</v>
      </c>
      <c r="AE4139" t="n">
        <v>0</v>
      </c>
      <c r="AF4139" t="n">
        <v>7672</v>
      </c>
      <c r="AG4139" t="n">
        <v>1</v>
      </c>
      <c r="AH4139" t="inlineStr">
        <is>
          <t>PT. BERSAMA DISTRIVERSA INDONESIA (DC CIPUTAT)</t>
        </is>
      </c>
      <c r="AI4139" t="n">
        <v>126</v>
      </c>
      <c r="AJ4139" t="inlineStr">
        <is>
          <t>PIGEON TEENS</t>
        </is>
      </c>
      <c r="AK4139" t="n">
        <v>21</v>
      </c>
      <c r="AL4139" t="inlineStr">
        <is>
          <t>Miss Glam Damar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PIGEON TEENS</t>
        </is>
      </c>
      <c r="B4140" s="2">
        <f>"8992771008557"</f>
        <v/>
      </c>
      <c r="C4140" t="inlineStr">
        <is>
          <t>PIGEON TEENS Refill Compact Powder Pure White 14gr</t>
        </is>
      </c>
      <c r="D4140" t="inlineStr">
        <is>
          <t>Miss Glam Damar</t>
        </is>
      </c>
      <c r="E4140" t="n">
        <v>2</v>
      </c>
      <c r="F4140" t="n">
        <v>0.04550000000000001</v>
      </c>
      <c r="G4140" t="n">
        <v>0.91</v>
      </c>
      <c r="H4140" t="n">
        <v>4</v>
      </c>
      <c r="I4140" t="n">
        <v>21</v>
      </c>
      <c r="J4140" t="n">
        <v>3</v>
      </c>
      <c r="K4140" t="n">
        <v>9</v>
      </c>
      <c r="L4140" t="n">
        <v>25622</v>
      </c>
      <c r="M4140" t="n">
        <v>32000</v>
      </c>
      <c r="N4140" t="n">
        <v>91</v>
      </c>
      <c r="O4140" t="n">
        <v>0.91</v>
      </c>
      <c r="P4140" t="n">
        <v>1</v>
      </c>
      <c r="Q4140" t="n">
        <v>0.03</v>
      </c>
      <c r="R4140" t="n">
        <v>1</v>
      </c>
      <c r="S4140" t="n">
        <v>1456</v>
      </c>
      <c r="T4140" t="n">
        <v>19</v>
      </c>
      <c r="U4140" t="n">
        <v>20</v>
      </c>
      <c r="V4140" t="n">
        <v>30</v>
      </c>
      <c r="W4140" t="n">
        <v>2</v>
      </c>
      <c r="X4140" t="n">
        <v>43.95604395604395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7672</v>
      </c>
      <c r="AG4140" t="n">
        <v>1</v>
      </c>
      <c r="AH4140" t="inlineStr">
        <is>
          <t>PT. BERSAMA DISTRIVERSA INDONESIA (DC CIPUTAT)</t>
        </is>
      </c>
      <c r="AI4140" t="n">
        <v>126</v>
      </c>
      <c r="AJ4140" t="inlineStr">
        <is>
          <t>PIGEON TEENS</t>
        </is>
      </c>
      <c r="AK4140" t="n">
        <v>21</v>
      </c>
      <c r="AL4140" t="inlineStr">
        <is>
          <t>Miss Glam Damar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PIGEON TEENS</t>
        </is>
      </c>
      <c r="B4141" s="2">
        <f>"8992771008601"</f>
        <v/>
      </c>
      <c r="C4141" t="inlineStr">
        <is>
          <t>PIGEON TEENS Refill Compact Powder Sand 14gr</t>
        </is>
      </c>
      <c r="D4141" t="inlineStr">
        <is>
          <t>Miss Glam Damar</t>
        </is>
      </c>
      <c r="E4141" t="n">
        <v>8</v>
      </c>
      <c r="F4141" t="n">
        <v>0.0728</v>
      </c>
      <c r="G4141" t="n">
        <v>1.82</v>
      </c>
      <c r="H4141" t="n">
        <v>4</v>
      </c>
      <c r="I4141" t="n">
        <v>21</v>
      </c>
      <c r="J4141" t="n">
        <v>3</v>
      </c>
      <c r="K4141" t="n">
        <v>6</v>
      </c>
      <c r="L4141" t="n">
        <v>25622</v>
      </c>
      <c r="M4141" t="n">
        <v>32000</v>
      </c>
      <c r="N4141" t="n">
        <v>91</v>
      </c>
      <c r="O4141" t="n">
        <v>0.91</v>
      </c>
      <c r="P4141" t="n">
        <v>1</v>
      </c>
      <c r="Q4141" t="n">
        <v>0.14</v>
      </c>
      <c r="R4141" t="n">
        <v>2</v>
      </c>
      <c r="S4141" t="n">
        <v>2329.6</v>
      </c>
      <c r="T4141" t="n">
        <v>38</v>
      </c>
      <c r="U4141" t="n">
        <v>39</v>
      </c>
      <c r="V4141" t="n">
        <v>30</v>
      </c>
      <c r="W4141" t="n">
        <v>3</v>
      </c>
      <c r="X4141" t="n">
        <v>109.8901098901099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7672</v>
      </c>
      <c r="AG4141" t="n">
        <v>1</v>
      </c>
      <c r="AH4141" t="inlineStr">
        <is>
          <t>PT. BERSAMA DISTRIVERSA INDONESIA (DC CIPUTAT)</t>
        </is>
      </c>
      <c r="AI4141" t="n">
        <v>126</v>
      </c>
      <c r="AJ4141" t="inlineStr">
        <is>
          <t>PIGEON TEENS</t>
        </is>
      </c>
      <c r="AK4141" t="n">
        <v>21</v>
      </c>
      <c r="AL4141" t="inlineStr">
        <is>
          <t>Miss Glam Damar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PIGEON TEENS</t>
        </is>
      </c>
      <c r="B4142" s="2">
        <f>"8992771008984"</f>
        <v/>
      </c>
      <c r="C4142" t="inlineStr">
        <is>
          <t>PIGEON TEENS Refill Compact Powder+Uv White 14gr</t>
        </is>
      </c>
      <c r="D4142" t="inlineStr">
        <is>
          <t>Miss Glam Damar</t>
        </is>
      </c>
      <c r="E4142" t="n">
        <v>6</v>
      </c>
      <c r="F4142" t="n">
        <v>0.1092</v>
      </c>
      <c r="G4142" t="n">
        <v>0.91</v>
      </c>
      <c r="H4142" t="n">
        <v>4</v>
      </c>
      <c r="I4142" t="n">
        <v>21</v>
      </c>
      <c r="J4142" t="n">
        <v>3</v>
      </c>
      <c r="K4142" t="n">
        <v>18</v>
      </c>
      <c r="L4142" t="n">
        <v>25622</v>
      </c>
      <c r="M4142" t="n">
        <v>32200</v>
      </c>
      <c r="N4142" t="n">
        <v>91</v>
      </c>
      <c r="O4142" t="n">
        <v>0.91</v>
      </c>
      <c r="P4142" t="n">
        <v>1</v>
      </c>
      <c r="Q4142" t="n">
        <v>0.08</v>
      </c>
      <c r="R4142" t="n">
        <v>2</v>
      </c>
      <c r="S4142" t="n">
        <v>3516.24</v>
      </c>
      <c r="T4142" t="n">
        <v>19</v>
      </c>
      <c r="U4142" t="n">
        <v>20</v>
      </c>
      <c r="V4142" t="n">
        <v>30</v>
      </c>
      <c r="W4142" t="n">
        <v>4</v>
      </c>
      <c r="X4142" t="n">
        <v>54.94505494505494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7672</v>
      </c>
      <c r="AG4142" t="n">
        <v>1</v>
      </c>
      <c r="AH4142" t="inlineStr">
        <is>
          <t>PT. BERSAMA DISTRIVERSA INDONESIA (DC CIPUTAT)</t>
        </is>
      </c>
      <c r="AI4142" t="n">
        <v>126</v>
      </c>
      <c r="AJ4142" t="inlineStr">
        <is>
          <t>PIGEON TEENS</t>
        </is>
      </c>
      <c r="AK4142" t="n">
        <v>21</v>
      </c>
      <c r="AL4142" t="inlineStr">
        <is>
          <t>Miss Glam Damar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PIGEON TEENS</t>
        </is>
      </c>
      <c r="B4143" s="2">
        <f>"8992771008908"</f>
        <v/>
      </c>
      <c r="C4143" t="inlineStr">
        <is>
          <t>PIGEON TEENS Refill Two Way Cake 14gr Teens Beige New</t>
        </is>
      </c>
      <c r="D4143" t="inlineStr">
        <is>
          <t>Miss Glam Damar</t>
        </is>
      </c>
      <c r="E4143" t="n">
        <v>2</v>
      </c>
      <c r="F4143" t="n">
        <v>0.09100000000000001</v>
      </c>
      <c r="G4143" t="n">
        <v>1.82</v>
      </c>
      <c r="H4143" t="n">
        <v>4</v>
      </c>
      <c r="I4143" t="n">
        <v>21</v>
      </c>
      <c r="J4143" t="n">
        <v>3</v>
      </c>
      <c r="K4143" t="n">
        <v>3</v>
      </c>
      <c r="L4143" t="n">
        <v>36640</v>
      </c>
      <c r="M4143" t="n">
        <v>43500</v>
      </c>
      <c r="N4143" t="n">
        <v>91</v>
      </c>
      <c r="O4143" t="n">
        <v>0.91</v>
      </c>
      <c r="P4143" t="n">
        <v>1</v>
      </c>
      <c r="Q4143" t="n">
        <v>0.05</v>
      </c>
      <c r="R4143" t="n">
        <v>1</v>
      </c>
      <c r="S4143" t="n">
        <v>3958.5</v>
      </c>
      <c r="T4143" t="n">
        <v>38</v>
      </c>
      <c r="U4143" t="n">
        <v>39</v>
      </c>
      <c r="V4143" t="n">
        <v>30</v>
      </c>
      <c r="W4143" t="n">
        <v>3</v>
      </c>
      <c r="X4143" t="n">
        <v>21.97802197802197</v>
      </c>
      <c r="Y4143" t="n">
        <v>1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7672</v>
      </c>
      <c r="AG4143" t="n">
        <v>1</v>
      </c>
      <c r="AH4143" t="inlineStr">
        <is>
          <t>PT. BERSAMA DISTRIVERSA INDONESIA (DC CIPUTAT)</t>
        </is>
      </c>
      <c r="AI4143" t="n">
        <v>126</v>
      </c>
      <c r="AJ4143" t="inlineStr">
        <is>
          <t>PIGEON TEENS</t>
        </is>
      </c>
      <c r="AK4143" t="n">
        <v>21</v>
      </c>
      <c r="AL4143" t="inlineStr">
        <is>
          <t>Miss Glam Damar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PIGEON TEENS</t>
        </is>
      </c>
      <c r="B4144" s="2">
        <f>"8992771008892"</f>
        <v/>
      </c>
      <c r="C4144" t="inlineStr">
        <is>
          <t>PIGEON TEENS Refill Two Way Cake 14gr Teens Natural New</t>
        </is>
      </c>
      <c r="D4144" t="inlineStr">
        <is>
          <t>Miss Glam Damar</t>
        </is>
      </c>
      <c r="E4144" t="n">
        <v>10</v>
      </c>
      <c r="F4144" t="n">
        <v>0.1365</v>
      </c>
      <c r="G4144" t="n">
        <v>2.73</v>
      </c>
      <c r="H4144" t="n">
        <v>4</v>
      </c>
      <c r="I4144" t="n">
        <v>21</v>
      </c>
      <c r="J4144" t="n">
        <v>3</v>
      </c>
      <c r="K4144" t="n">
        <v>9</v>
      </c>
      <c r="L4144" t="n">
        <v>34720</v>
      </c>
      <c r="M4144" t="n">
        <v>43500</v>
      </c>
      <c r="N4144" t="n">
        <v>91</v>
      </c>
      <c r="O4144" t="n">
        <v>0.91</v>
      </c>
      <c r="P4144" t="n">
        <v>1</v>
      </c>
      <c r="Q4144" t="n">
        <v>0.17</v>
      </c>
      <c r="R4144" t="n">
        <v>2</v>
      </c>
      <c r="S4144" t="n">
        <v>5937.75</v>
      </c>
      <c r="T4144" t="n">
        <v>57</v>
      </c>
      <c r="U4144" t="n">
        <v>58</v>
      </c>
      <c r="V4144" t="n">
        <v>30</v>
      </c>
      <c r="W4144" t="n">
        <v>5</v>
      </c>
      <c r="X4144" t="n">
        <v>73.26007326007326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7672</v>
      </c>
      <c r="AG4144" t="n">
        <v>1</v>
      </c>
      <c r="AH4144" t="inlineStr">
        <is>
          <t>PT. BERSAMA DISTRIVERSA INDONESIA (DC CIPUTAT)</t>
        </is>
      </c>
      <c r="AI4144" t="n">
        <v>126</v>
      </c>
      <c r="AJ4144" t="inlineStr">
        <is>
          <t>PIGEON TEENS</t>
        </is>
      </c>
      <c r="AK4144" t="n">
        <v>21</v>
      </c>
      <c r="AL4144" t="inlineStr">
        <is>
          <t>Miss Glam Damar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PIGEON TEENS</t>
        </is>
      </c>
      <c r="B4145" s="2">
        <f>"8992771008915"</f>
        <v/>
      </c>
      <c r="C4145" t="inlineStr">
        <is>
          <t>PIGEON TEENS Two Way Cake  Sand New 14gr-Refill</t>
        </is>
      </c>
      <c r="D4145" t="inlineStr">
        <is>
          <t>Miss Glam Damar</t>
        </is>
      </c>
      <c r="E4145" t="n">
        <v>0</v>
      </c>
      <c r="F4145" t="n">
        <v>0.0182</v>
      </c>
      <c r="G4145" t="n">
        <v>0.91</v>
      </c>
      <c r="H4145" t="n">
        <v>4</v>
      </c>
      <c r="I4145" t="n">
        <v>21</v>
      </c>
      <c r="J4145" t="n">
        <v>3</v>
      </c>
      <c r="K4145" t="n">
        <v>3</v>
      </c>
      <c r="L4145" t="n">
        <v>36640</v>
      </c>
      <c r="M4145" t="n">
        <v>43500</v>
      </c>
      <c r="N4145" t="n">
        <v>91</v>
      </c>
      <c r="O4145" t="n">
        <v>0.91</v>
      </c>
      <c r="P4145" t="n">
        <v>1</v>
      </c>
      <c r="Q4145" t="n">
        <v>0.13</v>
      </c>
      <c r="R4145" t="n">
        <v>1</v>
      </c>
      <c r="S4145" t="n">
        <v>791.7</v>
      </c>
      <c r="T4145" t="n">
        <v>20</v>
      </c>
      <c r="U4145" t="n">
        <v>21</v>
      </c>
      <c r="V4145" t="n">
        <v>30</v>
      </c>
      <c r="W4145" t="n">
        <v>1</v>
      </c>
      <c r="X4145" t="n">
        <v>0</v>
      </c>
      <c r="Y4145" t="n">
        <v>1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7672</v>
      </c>
      <c r="AG4145" t="n">
        <v>1</v>
      </c>
      <c r="AH4145" t="inlineStr">
        <is>
          <t>PT. BERSAMA DISTRIVERSA INDONESIA (DC CIPUTAT)</t>
        </is>
      </c>
      <c r="AI4145" t="n">
        <v>126</v>
      </c>
      <c r="AJ4145" t="inlineStr">
        <is>
          <t>PIGEON TEENS</t>
        </is>
      </c>
      <c r="AK4145" t="n">
        <v>21</v>
      </c>
      <c r="AL4145" t="inlineStr">
        <is>
          <t>Miss Glam Damar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PIGEON TEENS</t>
        </is>
      </c>
      <c r="B4146" s="2">
        <f>"8992771008861"</f>
        <v/>
      </c>
      <c r="C4146" t="inlineStr">
        <is>
          <t>PIGEON TEENS Two Way Cake 14gr Teens Beige New</t>
        </is>
      </c>
      <c r="D4146" t="inlineStr">
        <is>
          <t>Miss Glam Damar</t>
        </is>
      </c>
      <c r="E4146" t="n">
        <v>3</v>
      </c>
      <c r="F4146" t="n">
        <v>0.0182</v>
      </c>
      <c r="G4146" t="n">
        <v>0.91</v>
      </c>
      <c r="H4146" t="n">
        <v>4</v>
      </c>
      <c r="I4146" t="n">
        <v>21</v>
      </c>
      <c r="J4146" t="n">
        <v>3</v>
      </c>
      <c r="K4146" t="n">
        <v>6</v>
      </c>
      <c r="L4146" t="n">
        <v>46622</v>
      </c>
      <c r="M4146" t="n">
        <v>58000</v>
      </c>
      <c r="N4146" t="n">
        <v>91</v>
      </c>
      <c r="O4146" t="n">
        <v>0.91</v>
      </c>
      <c r="P4146" t="n">
        <v>1</v>
      </c>
      <c r="Q4146" t="n">
        <v>0.05</v>
      </c>
      <c r="R4146" t="n">
        <v>1</v>
      </c>
      <c r="S4146" t="n">
        <v>1055.6</v>
      </c>
      <c r="T4146" t="n">
        <v>20</v>
      </c>
      <c r="U4146" t="n">
        <v>21</v>
      </c>
      <c r="V4146" t="n">
        <v>30</v>
      </c>
      <c r="W4146" t="n">
        <v>1</v>
      </c>
      <c r="X4146" t="n">
        <v>164.8351648351648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7672</v>
      </c>
      <c r="AG4146" t="n">
        <v>1</v>
      </c>
      <c r="AH4146" t="inlineStr">
        <is>
          <t>PT. BERSAMA DISTRIVERSA INDONESIA (DC CIPUTAT)</t>
        </is>
      </c>
      <c r="AI4146" t="n">
        <v>126</v>
      </c>
      <c r="AJ4146" t="inlineStr">
        <is>
          <t>PIGEON TEENS</t>
        </is>
      </c>
      <c r="AK4146" t="n">
        <v>21</v>
      </c>
      <c r="AL4146" t="inlineStr">
        <is>
          <t>Miss Glam Damar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PIGEON TEENS</t>
        </is>
      </c>
      <c r="B4147" s="2">
        <f>"8992771008854"</f>
        <v/>
      </c>
      <c r="C4147" t="inlineStr">
        <is>
          <t>PIGEON TEENS Two Way Cake 14gr Teens Natural New</t>
        </is>
      </c>
      <c r="D4147" t="inlineStr">
        <is>
          <t>Miss Glam Damar</t>
        </is>
      </c>
      <c r="E4147" t="n">
        <v>0</v>
      </c>
      <c r="F4147" t="n">
        <v>0.04550000000000001</v>
      </c>
      <c r="G4147" t="n">
        <v>0.91</v>
      </c>
      <c r="H4147" t="n">
        <v>4</v>
      </c>
      <c r="I4147" t="n">
        <v>21</v>
      </c>
      <c r="J4147" t="n">
        <v>3</v>
      </c>
      <c r="K4147" t="n">
        <v>24</v>
      </c>
      <c r="L4147" t="n">
        <v>49200</v>
      </c>
      <c r="M4147" t="n">
        <v>58000</v>
      </c>
      <c r="N4147" t="n">
        <v>91</v>
      </c>
      <c r="O4147" t="n">
        <v>0.91</v>
      </c>
      <c r="P4147" t="n">
        <v>1</v>
      </c>
      <c r="Q4147" t="n">
        <v>0.22</v>
      </c>
      <c r="R4147" t="n">
        <v>3</v>
      </c>
      <c r="S4147" t="n">
        <v>2639</v>
      </c>
      <c r="T4147" t="n">
        <v>19</v>
      </c>
      <c r="U4147" t="n">
        <v>20</v>
      </c>
      <c r="V4147" t="n">
        <v>30</v>
      </c>
      <c r="W4147" t="n">
        <v>2</v>
      </c>
      <c r="X4147" t="n">
        <v>0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7672</v>
      </c>
      <c r="AG4147" t="n">
        <v>1</v>
      </c>
      <c r="AH4147" t="inlineStr">
        <is>
          <t>PT. BERSAMA DISTRIVERSA INDONESIA (DC CIPUTAT)</t>
        </is>
      </c>
      <c r="AI4147" t="n">
        <v>126</v>
      </c>
      <c r="AJ4147" t="inlineStr">
        <is>
          <t>PIGEON TEENS</t>
        </is>
      </c>
      <c r="AK4147" t="n">
        <v>21</v>
      </c>
      <c r="AL4147" t="inlineStr">
        <is>
          <t>Miss Glam Damar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PIGEON TEENS</t>
        </is>
      </c>
      <c r="B4148" s="2">
        <f>"20100572952"</f>
        <v/>
      </c>
      <c r="C4148" t="inlineStr">
        <is>
          <t>PIGEON TEENS Two Way Cake Teens Sand 14gr New</t>
        </is>
      </c>
      <c r="D4148" t="inlineStr">
        <is>
          <t>Miss Glam Damar</t>
        </is>
      </c>
      <c r="E4148" t="n">
        <v>1</v>
      </c>
      <c r="F4148" t="n">
        <v>0.0364</v>
      </c>
      <c r="G4148" t="n">
        <v>0.91</v>
      </c>
      <c r="H4148" t="n">
        <v>4</v>
      </c>
      <c r="I4148" t="n">
        <v>21</v>
      </c>
      <c r="J4148" t="n">
        <v>1</v>
      </c>
      <c r="K4148" t="n">
        <v>4</v>
      </c>
      <c r="L4148" t="n">
        <v>46622</v>
      </c>
      <c r="M4148" t="n">
        <v>55000</v>
      </c>
      <c r="N4148" t="n">
        <v>91</v>
      </c>
      <c r="O4148" t="n">
        <v>0.91</v>
      </c>
      <c r="P4148" t="n">
        <v>1</v>
      </c>
      <c r="Q4148" t="n">
        <v>0.05</v>
      </c>
      <c r="R4148" t="n">
        <v>2</v>
      </c>
      <c r="S4148" t="n">
        <v>2002</v>
      </c>
      <c r="T4148" t="n">
        <v>19</v>
      </c>
      <c r="U4148" t="n">
        <v>20</v>
      </c>
      <c r="V4148" t="n">
        <v>30</v>
      </c>
      <c r="W4148" t="n">
        <v>2</v>
      </c>
      <c r="X4148" t="n">
        <v>27.47252747252747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7672</v>
      </c>
      <c r="AG4148" t="n">
        <v>1</v>
      </c>
      <c r="AH4148" t="inlineStr">
        <is>
          <t>PT. BERSAMA DISTRIVERSA INDONESIA (DC CIPUTAT)</t>
        </is>
      </c>
      <c r="AI4148" t="n">
        <v>126</v>
      </c>
      <c r="AJ4148" t="inlineStr">
        <is>
          <t>PIGEON TEENS</t>
        </is>
      </c>
      <c r="AK4148" t="n">
        <v>21</v>
      </c>
      <c r="AL4148" t="inlineStr">
        <is>
          <t>Miss Glam Damar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PIGEON TEENS</t>
        </is>
      </c>
      <c r="B4149" s="2">
        <f>"10500210636"</f>
        <v/>
      </c>
      <c r="C4149" t="inlineStr">
        <is>
          <t>PIGEON TEENS What a Melon Jelly Mask 60ml</t>
        </is>
      </c>
      <c r="D4149" t="inlineStr">
        <is>
          <t>Miss Glam Damar</t>
        </is>
      </c>
      <c r="E4149" t="n">
        <v>0</v>
      </c>
      <c r="F4149" t="n">
        <v>0.1729</v>
      </c>
      <c r="G4149" t="n">
        <v>0.91</v>
      </c>
      <c r="H4149" t="n">
        <v>4</v>
      </c>
      <c r="I4149" t="n">
        <v>21</v>
      </c>
      <c r="J4149" t="n">
        <v>1</v>
      </c>
      <c r="K4149" t="n">
        <v>12</v>
      </c>
      <c r="L4149" t="n">
        <v>27266</v>
      </c>
      <c r="M4149" t="n">
        <v>33000</v>
      </c>
      <c r="N4149" t="n">
        <v>91</v>
      </c>
      <c r="O4149" t="n">
        <v>0.91</v>
      </c>
      <c r="P4149" t="n">
        <v>1</v>
      </c>
      <c r="Q4149" t="n">
        <v>0.32</v>
      </c>
      <c r="R4149" t="n">
        <v>2</v>
      </c>
      <c r="S4149" t="n">
        <v>5705.7</v>
      </c>
      <c r="T4149" t="n">
        <v>19</v>
      </c>
      <c r="U4149" t="n">
        <v>20</v>
      </c>
      <c r="V4149" t="n">
        <v>30</v>
      </c>
      <c r="W4149" t="n">
        <v>6</v>
      </c>
      <c r="X4149" t="n">
        <v>0</v>
      </c>
      <c r="Y4149" t="n">
        <v>1</v>
      </c>
      <c r="Z4149" t="n">
        <v>0</v>
      </c>
      <c r="AA4149" t="n">
        <v>3</v>
      </c>
      <c r="AB4149" t="n">
        <v>0</v>
      </c>
      <c r="AC4149" t="n">
        <v>0</v>
      </c>
      <c r="AD4149" t="n">
        <v>81798</v>
      </c>
      <c r="AE4149" t="n">
        <v>0</v>
      </c>
      <c r="AF4149" t="n">
        <v>7672</v>
      </c>
      <c r="AG4149" t="n">
        <v>1</v>
      </c>
      <c r="AH4149" t="inlineStr">
        <is>
          <t>PT. BERSAMA DISTRIVERSA INDONESIA (DC CIPUTAT)</t>
        </is>
      </c>
      <c r="AI4149" t="n">
        <v>126</v>
      </c>
      <c r="AJ4149" t="inlineStr">
        <is>
          <t>PIGEON TEENS</t>
        </is>
      </c>
      <c r="AK4149" t="n">
        <v>21</v>
      </c>
      <c r="AL4149" t="inlineStr">
        <is>
          <t>Miss Glam Damar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PIGEON TEENS</t>
        </is>
      </c>
      <c r="B4150" s="2">
        <f>"8992771010581"</f>
        <v/>
      </c>
      <c r="C4150" t="inlineStr">
        <is>
          <t>PIGEON TEENS X-Foliate Army Serum 20ml</t>
        </is>
      </c>
      <c r="D4150" t="inlineStr">
        <is>
          <t>Miss Glam Damar</t>
        </is>
      </c>
      <c r="E4150" t="n">
        <v>2</v>
      </c>
      <c r="F4150" t="n">
        <v>0.04550000000000001</v>
      </c>
      <c r="G4150" t="n">
        <v>0.91</v>
      </c>
      <c r="H4150" t="n">
        <v>4</v>
      </c>
      <c r="I4150" t="n">
        <v>21</v>
      </c>
      <c r="J4150" t="n">
        <v>3</v>
      </c>
      <c r="K4150" t="n">
        <v>3</v>
      </c>
      <c r="L4150" t="n">
        <v>29566</v>
      </c>
      <c r="M4150" t="n">
        <v>39000</v>
      </c>
      <c r="N4150" t="n">
        <v>91</v>
      </c>
      <c r="O4150" t="n">
        <v>0.91</v>
      </c>
      <c r="P4150" t="n">
        <v>1</v>
      </c>
      <c r="Q4150" t="n">
        <v>0.1</v>
      </c>
      <c r="R4150" t="n">
        <v>1</v>
      </c>
      <c r="S4150" t="n">
        <v>1774.5</v>
      </c>
      <c r="T4150" t="n">
        <v>19</v>
      </c>
      <c r="U4150" t="n">
        <v>20</v>
      </c>
      <c r="V4150" t="n">
        <v>30</v>
      </c>
      <c r="W4150" t="n">
        <v>2</v>
      </c>
      <c r="X4150" t="n">
        <v>43.95604395604395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7672</v>
      </c>
      <c r="AG4150" t="n">
        <v>1</v>
      </c>
      <c r="AH4150" t="inlineStr">
        <is>
          <t>PT. BERSAMA DISTRIVERSA INDONESIA (DC CIPUTAT)</t>
        </is>
      </c>
      <c r="AI4150" t="n">
        <v>126</v>
      </c>
      <c r="AJ4150" t="inlineStr">
        <is>
          <t>PIGEON TEENS</t>
        </is>
      </c>
      <c r="AK4150" t="n">
        <v>21</v>
      </c>
      <c r="AL4150" t="inlineStr">
        <is>
          <t>Miss Glam Damar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PINKFLASH</t>
        </is>
      </c>
      <c r="B4151" s="2">
        <f>"6941845808571"</f>
        <v/>
      </c>
      <c r="C4151" t="inlineStr">
        <is>
          <t>PINKFLASH 01 Lasting Matte Lipcream P03</t>
        </is>
      </c>
      <c r="D4151" t="inlineStr">
        <is>
          <t>Miss Glam Damar</t>
        </is>
      </c>
      <c r="E4151" t="n">
        <v>18</v>
      </c>
      <c r="F4151" t="n">
        <v>0.2912</v>
      </c>
      <c r="G4151" t="n">
        <v>2.73</v>
      </c>
      <c r="H4151" t="n">
        <v>2</v>
      </c>
      <c r="I4151" t="n">
        <v>5</v>
      </c>
      <c r="J4151" t="n">
        <v>3</v>
      </c>
      <c r="K4151" t="n">
        <v>0</v>
      </c>
      <c r="L4151" t="n">
        <v>12546</v>
      </c>
      <c r="M4151" t="n">
        <v>15000</v>
      </c>
      <c r="N4151" t="n">
        <v>91</v>
      </c>
      <c r="O4151" t="n">
        <v>0.91</v>
      </c>
      <c r="P4151" t="n">
        <v>1</v>
      </c>
      <c r="Q4151" t="n">
        <v>0.32</v>
      </c>
      <c r="R4151" t="n">
        <v>3</v>
      </c>
      <c r="S4151" t="n">
        <v>4368</v>
      </c>
      <c r="T4151" t="n">
        <v>14</v>
      </c>
      <c r="U4151" t="n">
        <v>15</v>
      </c>
      <c r="V4151" t="n">
        <v>30</v>
      </c>
      <c r="W4151" t="n">
        <v>9</v>
      </c>
      <c r="X4151" t="n">
        <v>61.81318681318681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12515</v>
      </c>
      <c r="AG4151" t="n">
        <v>3501</v>
      </c>
      <c r="AH4151" t="inlineStr">
        <is>
          <t>PT. SAI - PPN - PF/FC (PDG)</t>
        </is>
      </c>
      <c r="AI4151" t="n">
        <v>838</v>
      </c>
      <c r="AJ4151" t="inlineStr">
        <is>
          <t>PINKFLASH</t>
        </is>
      </c>
      <c r="AK4151" t="n">
        <v>21</v>
      </c>
      <c r="AL4151" t="inlineStr">
        <is>
          <t>Miss Glam Damar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PINKFLASH</t>
        </is>
      </c>
      <c r="B4152" s="2">
        <f>"6974908111691"</f>
        <v/>
      </c>
      <c r="C4152" t="inlineStr">
        <is>
          <t>PINKFLASH 3 Pan Eyeshadow Easy To Blend BR03</t>
        </is>
      </c>
      <c r="D4152" t="inlineStr">
        <is>
          <t>Miss Glam Damar</t>
        </is>
      </c>
      <c r="E4152" t="n">
        <v>0</v>
      </c>
      <c r="F4152" t="n">
        <v>0.1274</v>
      </c>
      <c r="G4152" t="n">
        <v>1.82</v>
      </c>
      <c r="H4152" t="n">
        <v>2</v>
      </c>
      <c r="I4152" t="n">
        <v>5</v>
      </c>
      <c r="J4152" t="n">
        <v>3</v>
      </c>
      <c r="K4152" t="n">
        <v>0</v>
      </c>
      <c r="L4152" t="n">
        <v>33782</v>
      </c>
      <c r="M4152" t="n">
        <v>40500</v>
      </c>
      <c r="N4152" t="n">
        <v>91</v>
      </c>
      <c r="O4152" t="n">
        <v>0.91</v>
      </c>
      <c r="P4152" t="n">
        <v>1</v>
      </c>
      <c r="Q4152" t="n">
        <v>0.21</v>
      </c>
      <c r="R4152" t="n">
        <v>2</v>
      </c>
      <c r="S4152" t="n">
        <v>5159.700000000001</v>
      </c>
      <c r="T4152" t="n">
        <v>9</v>
      </c>
      <c r="U4152" t="n">
        <v>10</v>
      </c>
      <c r="V4152" t="n">
        <v>30</v>
      </c>
      <c r="W4152" t="n">
        <v>4</v>
      </c>
      <c r="X4152" t="n">
        <v>0</v>
      </c>
      <c r="Y4152" t="n">
        <v>1</v>
      </c>
      <c r="Z4152" t="n">
        <v>4</v>
      </c>
      <c r="AA4152" t="n">
        <v>1</v>
      </c>
      <c r="AB4152" t="n">
        <v>3</v>
      </c>
      <c r="AC4152" t="n">
        <v>3</v>
      </c>
      <c r="AD4152" t="n">
        <v>33782</v>
      </c>
      <c r="AE4152" t="n">
        <v>101346</v>
      </c>
      <c r="AF4152" t="n">
        <v>12515</v>
      </c>
      <c r="AG4152" t="n">
        <v>3501</v>
      </c>
      <c r="AH4152" t="inlineStr">
        <is>
          <t>PT. SAI - PPN - PF/FC (PDG)</t>
        </is>
      </c>
      <c r="AI4152" t="n">
        <v>838</v>
      </c>
      <c r="AJ4152" t="inlineStr">
        <is>
          <t>PINKFLASH</t>
        </is>
      </c>
      <c r="AK4152" t="n">
        <v>21</v>
      </c>
      <c r="AL4152" t="inlineStr">
        <is>
          <t>Miss Glam Damar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PINKFLASH</t>
        </is>
      </c>
      <c r="B4153" s="2">
        <f>"6974908111714"</f>
        <v/>
      </c>
      <c r="C4153" t="inlineStr">
        <is>
          <t>PINKFLASH 3 Pan Eyeshadow Easy To Blend BR05</t>
        </is>
      </c>
      <c r="D4153" t="inlineStr">
        <is>
          <t>Miss Glam Damar</t>
        </is>
      </c>
      <c r="E4153" t="n">
        <v>0</v>
      </c>
      <c r="F4153" t="n">
        <v>0.0182</v>
      </c>
      <c r="G4153" t="n">
        <v>0.91</v>
      </c>
      <c r="H4153" t="n">
        <v>2</v>
      </c>
      <c r="I4153" t="n">
        <v>5</v>
      </c>
      <c r="J4153" t="n">
        <v>3</v>
      </c>
      <c r="K4153" t="n">
        <v>0</v>
      </c>
      <c r="L4153" t="n">
        <v>33782</v>
      </c>
      <c r="M4153" t="n">
        <v>40500</v>
      </c>
      <c r="N4153" t="n">
        <v>91</v>
      </c>
      <c r="O4153" t="n">
        <v>0.91</v>
      </c>
      <c r="P4153" t="n">
        <v>1</v>
      </c>
      <c r="Q4153" t="n">
        <v>0.08</v>
      </c>
      <c r="R4153" t="n">
        <v>1</v>
      </c>
      <c r="S4153" t="n">
        <v>737.1</v>
      </c>
      <c r="T4153" t="n">
        <v>5</v>
      </c>
      <c r="U4153" t="n">
        <v>6</v>
      </c>
      <c r="V4153" t="n">
        <v>30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n">
        <v>0</v>
      </c>
      <c r="AC4153" t="n">
        <v>0</v>
      </c>
      <c r="AD4153" t="n">
        <v>33782</v>
      </c>
      <c r="AE4153" t="n">
        <v>0</v>
      </c>
      <c r="AF4153" t="n">
        <v>12515</v>
      </c>
      <c r="AG4153" t="n">
        <v>3501</v>
      </c>
      <c r="AH4153" t="inlineStr">
        <is>
          <t>PT. SAI - PPN - PF/FC (PDG)</t>
        </is>
      </c>
      <c r="AI4153" t="n">
        <v>838</v>
      </c>
      <c r="AJ4153" t="inlineStr">
        <is>
          <t>PINKFLASH</t>
        </is>
      </c>
      <c r="AK4153" t="n">
        <v>21</v>
      </c>
      <c r="AL4153" t="inlineStr">
        <is>
          <t>Miss Glam Damar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PINKFLASH</t>
        </is>
      </c>
      <c r="B4154" s="2">
        <f>"6974908111653"</f>
        <v/>
      </c>
      <c r="C4154" t="inlineStr">
        <is>
          <t>PINKFLASH 3 Pan Eyeshadow Easy To Blend GT01</t>
        </is>
      </c>
      <c r="D4154" t="inlineStr">
        <is>
          <t>Miss Glam Damar</t>
        </is>
      </c>
      <c r="E4154" t="n">
        <v>0</v>
      </c>
      <c r="F4154" t="n">
        <v>0.0182</v>
      </c>
      <c r="G4154" t="n">
        <v>0.91</v>
      </c>
      <c r="H4154" t="n">
        <v>2</v>
      </c>
      <c r="I4154" t="n">
        <v>5</v>
      </c>
      <c r="J4154" t="n">
        <v>3</v>
      </c>
      <c r="K4154" t="n">
        <v>0</v>
      </c>
      <c r="L4154" t="n">
        <v>33782</v>
      </c>
      <c r="M4154" t="n">
        <v>40500</v>
      </c>
      <c r="N4154" t="n">
        <v>91</v>
      </c>
      <c r="O4154" t="n">
        <v>0.91</v>
      </c>
      <c r="P4154" t="n">
        <v>1</v>
      </c>
      <c r="Q4154" t="n">
        <v>0.13</v>
      </c>
      <c r="R4154" t="n">
        <v>2</v>
      </c>
      <c r="S4154" t="n">
        <v>737.1</v>
      </c>
      <c r="T4154" t="n">
        <v>5</v>
      </c>
      <c r="U4154" t="n">
        <v>6</v>
      </c>
      <c r="V4154" t="n">
        <v>30</v>
      </c>
      <c r="W4154" t="n">
        <v>1</v>
      </c>
      <c r="X4154" t="n">
        <v>0</v>
      </c>
      <c r="Y4154" t="n">
        <v>1</v>
      </c>
      <c r="Z4154" t="n">
        <v>1</v>
      </c>
      <c r="AA4154" t="n">
        <v>1</v>
      </c>
      <c r="AB4154" t="n">
        <v>0</v>
      </c>
      <c r="AC4154" t="n">
        <v>0</v>
      </c>
      <c r="AD4154" t="n">
        <v>33782</v>
      </c>
      <c r="AE4154" t="n">
        <v>0</v>
      </c>
      <c r="AF4154" t="n">
        <v>12515</v>
      </c>
      <c r="AG4154" t="n">
        <v>3501</v>
      </c>
      <c r="AH4154" t="inlineStr">
        <is>
          <t>PT. SAI - PPN - PF/FC (PDG)</t>
        </is>
      </c>
      <c r="AI4154" t="n">
        <v>838</v>
      </c>
      <c r="AJ4154" t="inlineStr">
        <is>
          <t>PINKFLASH</t>
        </is>
      </c>
      <c r="AK4154" t="n">
        <v>21</v>
      </c>
      <c r="AL4154" t="inlineStr">
        <is>
          <t>Miss Glam Damar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PINKFLASH</t>
        </is>
      </c>
      <c r="B4155" s="2">
        <f>"6974908111646"</f>
        <v/>
      </c>
      <c r="C4155" t="inlineStr">
        <is>
          <t>PINKFLASH 3 Pan Eyeshadow Easy To Blend PK02</t>
        </is>
      </c>
      <c r="D4155" t="inlineStr">
        <is>
          <t>Miss Glam Damar</t>
        </is>
      </c>
      <c r="E4155" t="n">
        <v>16</v>
      </c>
      <c r="F4155" t="n">
        <v>0.2457</v>
      </c>
      <c r="G4155" t="n">
        <v>1.82</v>
      </c>
      <c r="H4155" t="n">
        <v>2</v>
      </c>
      <c r="I4155" t="n">
        <v>5</v>
      </c>
      <c r="J4155" t="n">
        <v>3</v>
      </c>
      <c r="K4155" t="n">
        <v>0</v>
      </c>
      <c r="L4155" t="n">
        <v>33782</v>
      </c>
      <c r="M4155" t="n">
        <v>40500</v>
      </c>
      <c r="N4155" t="n">
        <v>91</v>
      </c>
      <c r="O4155" t="n">
        <v>0.91</v>
      </c>
      <c r="P4155" t="n">
        <v>1</v>
      </c>
      <c r="Q4155" t="n">
        <v>0.78</v>
      </c>
      <c r="R4155" t="n">
        <v>3</v>
      </c>
      <c r="S4155" t="n">
        <v>9950.85</v>
      </c>
      <c r="T4155" t="n">
        <v>9</v>
      </c>
      <c r="U4155" t="n">
        <v>10</v>
      </c>
      <c r="V4155" t="n">
        <v>30</v>
      </c>
      <c r="W4155" t="n">
        <v>8</v>
      </c>
      <c r="X4155" t="n">
        <v>65.12006512006511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12515</v>
      </c>
      <c r="AG4155" t="n">
        <v>3501</v>
      </c>
      <c r="AH4155" t="inlineStr">
        <is>
          <t>PT. SAI - PPN - PF/FC (PDG)</t>
        </is>
      </c>
      <c r="AI4155" t="n">
        <v>838</v>
      </c>
      <c r="AJ4155" t="inlineStr">
        <is>
          <t>PINKFLASH</t>
        </is>
      </c>
      <c r="AK4155" t="n">
        <v>21</v>
      </c>
      <c r="AL4155" t="inlineStr">
        <is>
          <t>Miss Glam Damar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PINKFLASH</t>
        </is>
      </c>
      <c r="B4156" s="2">
        <f>"6974908111622"</f>
        <v/>
      </c>
      <c r="C4156" t="inlineStr">
        <is>
          <t>PINKFLASH 3 Pan Eyeshadow Easy To Blend RD02</t>
        </is>
      </c>
      <c r="D4156" t="inlineStr">
        <is>
          <t>Miss Glam Damar</t>
        </is>
      </c>
      <c r="E4156" t="n">
        <v>22</v>
      </c>
      <c r="F4156" t="n">
        <v>0.8372000000000001</v>
      </c>
      <c r="G4156" t="n">
        <v>3.64</v>
      </c>
      <c r="H4156" t="n">
        <v>2</v>
      </c>
      <c r="I4156" t="n">
        <v>5</v>
      </c>
      <c r="J4156" t="n">
        <v>3</v>
      </c>
      <c r="K4156" t="n">
        <v>0</v>
      </c>
      <c r="L4156" t="n">
        <v>33782</v>
      </c>
      <c r="M4156" t="n">
        <v>40500</v>
      </c>
      <c r="N4156" t="n">
        <v>91</v>
      </c>
      <c r="O4156" t="n">
        <v>0.91</v>
      </c>
      <c r="P4156" t="n">
        <v>1</v>
      </c>
      <c r="Q4156" t="n">
        <v>0.53</v>
      </c>
      <c r="R4156" t="n">
        <v>4</v>
      </c>
      <c r="S4156" t="n">
        <v>33906.60000000001</v>
      </c>
      <c r="T4156" t="n">
        <v>17</v>
      </c>
      <c r="U4156" t="n">
        <v>19</v>
      </c>
      <c r="V4156" t="n">
        <v>30</v>
      </c>
      <c r="W4156" t="n">
        <v>26</v>
      </c>
      <c r="X4156" t="n">
        <v>26.27806975633062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12515</v>
      </c>
      <c r="AG4156" t="n">
        <v>3501</v>
      </c>
      <c r="AH4156" t="inlineStr">
        <is>
          <t>PT. SAI - PPN - PF/FC (PDG)</t>
        </is>
      </c>
      <c r="AI4156" t="n">
        <v>838</v>
      </c>
      <c r="AJ4156" t="inlineStr">
        <is>
          <t>PINKFLASH</t>
        </is>
      </c>
      <c r="AK4156" t="n">
        <v>21</v>
      </c>
      <c r="AL4156" t="inlineStr">
        <is>
          <t>Miss Glam Damar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PINKFLASH</t>
        </is>
      </c>
      <c r="B4157" s="2">
        <f>"6941845815753"</f>
        <v/>
      </c>
      <c r="C4157" t="inlineStr">
        <is>
          <t>PINKFLASH 3 Pan Eyeshadow PF-E23 BR07 1gr</t>
        </is>
      </c>
      <c r="D4157" t="inlineStr">
        <is>
          <t>Miss Glam Damar</t>
        </is>
      </c>
      <c r="E4157" t="n">
        <v>5</v>
      </c>
      <c r="F4157" t="n">
        <v>0.0273</v>
      </c>
      <c r="G4157" t="n">
        <v>0.91</v>
      </c>
      <c r="H4157" t="n">
        <v>2</v>
      </c>
      <c r="I4157" t="n">
        <v>5</v>
      </c>
      <c r="J4157" t="n">
        <v>3</v>
      </c>
      <c r="K4157" t="n">
        <v>0</v>
      </c>
      <c r="L4157" t="n">
        <v>33782</v>
      </c>
      <c r="M4157" t="n">
        <v>40500</v>
      </c>
      <c r="N4157" t="n">
        <v>91</v>
      </c>
      <c r="O4157" t="n">
        <v>0.91</v>
      </c>
      <c r="P4157" t="n">
        <v>1</v>
      </c>
      <c r="Q4157" t="n">
        <v>0.15</v>
      </c>
      <c r="R4157" t="n">
        <v>2</v>
      </c>
      <c r="S4157" t="n">
        <v>1105.65</v>
      </c>
      <c r="T4157" t="n">
        <v>5</v>
      </c>
      <c r="U4157" t="n">
        <v>6</v>
      </c>
      <c r="V4157" t="n">
        <v>30</v>
      </c>
      <c r="W4157" t="n">
        <v>1</v>
      </c>
      <c r="X4157" t="n">
        <v>183.1501831501832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12515</v>
      </c>
      <c r="AG4157" t="n">
        <v>3501</v>
      </c>
      <c r="AH4157" t="inlineStr">
        <is>
          <t>PT. SAI - PPN - PF/FC (PDG)</t>
        </is>
      </c>
      <c r="AI4157" t="n">
        <v>838</v>
      </c>
      <c r="AJ4157" t="inlineStr">
        <is>
          <t>PINKFLASH</t>
        </is>
      </c>
      <c r="AK4157" t="n">
        <v>21</v>
      </c>
      <c r="AL4157" t="inlineStr">
        <is>
          <t>Miss Glam Damar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PINKFLASH</t>
        </is>
      </c>
      <c r="B4158" s="2">
        <f>"6941845805549"</f>
        <v/>
      </c>
      <c r="C4158" t="inlineStr">
        <is>
          <t>PINKFLASH Care Plus Lip Oil PF-L12 4ml</t>
        </is>
      </c>
      <c r="D4158" t="inlineStr">
        <is>
          <t>Miss Glam Damar</t>
        </is>
      </c>
      <c r="E4158" t="n">
        <v>2</v>
      </c>
      <c r="F4158" t="n">
        <v>0.0273</v>
      </c>
      <c r="G4158" t="n">
        <v>0.91</v>
      </c>
      <c r="H4158" t="n">
        <v>2</v>
      </c>
      <c r="I4158" t="n">
        <v>5</v>
      </c>
      <c r="J4158" t="n">
        <v>3</v>
      </c>
      <c r="K4158" t="n">
        <v>0</v>
      </c>
      <c r="L4158" t="n">
        <v>13969</v>
      </c>
      <c r="M4158" t="n">
        <v>17000</v>
      </c>
      <c r="N4158" t="n">
        <v>91</v>
      </c>
      <c r="O4158" t="n">
        <v>0.91</v>
      </c>
      <c r="P4158" t="n">
        <v>1</v>
      </c>
      <c r="Q4158" t="n">
        <v>0.02</v>
      </c>
      <c r="R4158" t="n">
        <v>1</v>
      </c>
      <c r="S4158" t="n">
        <v>464.1</v>
      </c>
      <c r="T4158" t="n">
        <v>5</v>
      </c>
      <c r="U4158" t="n">
        <v>6</v>
      </c>
      <c r="V4158" t="n">
        <v>30</v>
      </c>
      <c r="W4158" t="n">
        <v>1</v>
      </c>
      <c r="X4158" t="n">
        <v>73.26007326007326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12515</v>
      </c>
      <c r="AG4158" t="n">
        <v>3501</v>
      </c>
      <c r="AH4158" t="inlineStr">
        <is>
          <t>PT. SAI - PPN - PF/FC (PDG)</t>
        </is>
      </c>
      <c r="AI4158" t="n">
        <v>838</v>
      </c>
      <c r="AJ4158" t="inlineStr">
        <is>
          <t>PINKFLASH</t>
        </is>
      </c>
      <c r="AK4158" t="n">
        <v>21</v>
      </c>
      <c r="AL4158" t="inlineStr">
        <is>
          <t>Miss Glam Damar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PINKFLASH</t>
        </is>
      </c>
      <c r="B4159" s="2">
        <f>"20100968654"</f>
        <v/>
      </c>
      <c r="C4159" t="inlineStr">
        <is>
          <t>PINKFLASH Dewy Blush Stick PK02 3.5gr</t>
        </is>
      </c>
      <c r="D4159" t="inlineStr">
        <is>
          <t>Miss Glam Damar</t>
        </is>
      </c>
      <c r="E4159" t="n">
        <v>24</v>
      </c>
      <c r="F4159" t="n">
        <v>0.1092</v>
      </c>
      <c r="G4159" t="n">
        <v>1.82</v>
      </c>
      <c r="H4159" t="n">
        <v>2</v>
      </c>
      <c r="I4159" t="n">
        <v>5</v>
      </c>
      <c r="J4159" t="n">
        <v>1</v>
      </c>
      <c r="K4159" t="n">
        <v>0</v>
      </c>
      <c r="L4159" t="n">
        <v>27173</v>
      </c>
      <c r="M4159" t="n">
        <v>32000</v>
      </c>
      <c r="N4159" t="n">
        <v>91</v>
      </c>
      <c r="O4159" t="n">
        <v>0.91</v>
      </c>
      <c r="P4159" t="n">
        <v>1</v>
      </c>
      <c r="Q4159" t="n">
        <v>0.1</v>
      </c>
      <c r="R4159" t="n">
        <v>2</v>
      </c>
      <c r="S4159" t="n">
        <v>3494.4</v>
      </c>
      <c r="T4159" t="n">
        <v>9</v>
      </c>
      <c r="U4159" t="n">
        <v>10</v>
      </c>
      <c r="V4159" t="n">
        <v>30</v>
      </c>
      <c r="W4159" t="n">
        <v>4</v>
      </c>
      <c r="X4159" t="n">
        <v>219.7802197802198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12515</v>
      </c>
      <c r="AG4159" t="n">
        <v>3501</v>
      </c>
      <c r="AH4159" t="inlineStr">
        <is>
          <t>PT. SAI - PPN - PF/FC (PDG)</t>
        </is>
      </c>
      <c r="AI4159" t="n">
        <v>838</v>
      </c>
      <c r="AJ4159" t="inlineStr">
        <is>
          <t>PINKFLASH</t>
        </is>
      </c>
      <c r="AK4159" t="n">
        <v>21</v>
      </c>
      <c r="AL4159" t="inlineStr">
        <is>
          <t>Miss Glam Damar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PINKFLASH</t>
        </is>
      </c>
      <c r="B4160" s="2">
        <f>"20101210821"</f>
        <v/>
      </c>
      <c r="C4160" t="inlineStr">
        <is>
          <t>PINKFLASH Dewy Set Setting Spray 80ml</t>
        </is>
      </c>
      <c r="D4160" t="inlineStr">
        <is>
          <t>Miss Glam Damar</t>
        </is>
      </c>
      <c r="E4160" t="n">
        <v>0</v>
      </c>
      <c r="F4160" t="n">
        <v>0.06</v>
      </c>
      <c r="G4160" t="n">
        <v>2</v>
      </c>
      <c r="H4160" t="n">
        <v>2</v>
      </c>
      <c r="I4160" t="n">
        <v>5</v>
      </c>
      <c r="J4160" t="n">
        <v>1</v>
      </c>
      <c r="K4160" t="n">
        <v>0</v>
      </c>
      <c r="L4160" t="n">
        <v>41608</v>
      </c>
      <c r="M4160" t="n">
        <v>49000</v>
      </c>
      <c r="N4160" t="n">
        <v>91</v>
      </c>
      <c r="O4160" t="n">
        <v>0.91</v>
      </c>
      <c r="P4160" t="n">
        <v>0</v>
      </c>
      <c r="Q4160" t="n">
        <v>0.06</v>
      </c>
      <c r="R4160" t="n">
        <v>2</v>
      </c>
      <c r="S4160" t="n">
        <v>2940</v>
      </c>
      <c r="T4160" t="n">
        <v>10</v>
      </c>
      <c r="U4160" t="n">
        <v>11</v>
      </c>
      <c r="V4160" t="n">
        <v>30</v>
      </c>
      <c r="W4160" t="n">
        <v>2</v>
      </c>
      <c r="X4160" t="n">
        <v>0</v>
      </c>
      <c r="Y4160" t="n">
        <v>1</v>
      </c>
      <c r="Z4160" t="n">
        <v>2</v>
      </c>
      <c r="AA4160" t="n">
        <v>1</v>
      </c>
      <c r="AB4160" t="n">
        <v>1</v>
      </c>
      <c r="AC4160" t="n">
        <v>1</v>
      </c>
      <c r="AD4160" t="n">
        <v>41608</v>
      </c>
      <c r="AE4160" t="n">
        <v>41608</v>
      </c>
      <c r="AF4160" t="n">
        <v>12515</v>
      </c>
      <c r="AG4160" t="n">
        <v>3501</v>
      </c>
      <c r="AH4160" t="inlineStr">
        <is>
          <t>PT. SAI - PPN - PF/FC (PDG)</t>
        </is>
      </c>
      <c r="AI4160" t="n">
        <v>838</v>
      </c>
      <c r="AJ4160" t="inlineStr">
        <is>
          <t>PINKFLASH</t>
        </is>
      </c>
      <c r="AK4160" t="n">
        <v>21</v>
      </c>
      <c r="AL4160" t="inlineStr">
        <is>
          <t>Miss Glam Damar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PINKFLASH</t>
        </is>
      </c>
      <c r="B4161" s="2">
        <f>"6941845809981"</f>
        <v/>
      </c>
      <c r="C4161" t="inlineStr">
        <is>
          <t>PINKFLASH Duo Effect Pressed Powder PF-F17 YL01 9gr</t>
        </is>
      </c>
      <c r="D4161" t="inlineStr">
        <is>
          <t>Miss Glam Damar</t>
        </is>
      </c>
      <c r="E4161" t="n">
        <v>1</v>
      </c>
      <c r="F4161" t="n">
        <v>0.02</v>
      </c>
      <c r="G4161" t="n">
        <v>1</v>
      </c>
      <c r="H4161" t="n">
        <v>2</v>
      </c>
      <c r="I4161" t="n">
        <v>5</v>
      </c>
      <c r="J4161" t="n">
        <v>3</v>
      </c>
      <c r="K4161" t="n">
        <v>0</v>
      </c>
      <c r="L4161" t="n">
        <v>42104</v>
      </c>
      <c r="M4161" t="n">
        <v>50500</v>
      </c>
      <c r="N4161" t="n">
        <v>91</v>
      </c>
      <c r="O4161" t="n">
        <v>0.91</v>
      </c>
      <c r="P4161" t="n">
        <v>0</v>
      </c>
      <c r="Q4161" t="n">
        <v>0.02</v>
      </c>
      <c r="R4161" t="n">
        <v>1</v>
      </c>
      <c r="S4161" t="n">
        <v>1010</v>
      </c>
      <c r="T4161" t="n">
        <v>5</v>
      </c>
      <c r="U4161" t="n">
        <v>6</v>
      </c>
      <c r="V4161" t="n">
        <v>30</v>
      </c>
      <c r="W4161" t="n">
        <v>1</v>
      </c>
      <c r="X4161" t="n">
        <v>50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12515</v>
      </c>
      <c r="AG4161" t="n">
        <v>3501</v>
      </c>
      <c r="AH4161" t="inlineStr">
        <is>
          <t>PT. SAI - PPN - PF/FC (PDG)</t>
        </is>
      </c>
      <c r="AI4161" t="n">
        <v>838</v>
      </c>
      <c r="AJ4161" t="inlineStr">
        <is>
          <t>PINKFLASH</t>
        </is>
      </c>
      <c r="AK4161" t="n">
        <v>21</v>
      </c>
      <c r="AL4161" t="inlineStr">
        <is>
          <t>Miss Glam Damar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PINKFLASH</t>
        </is>
      </c>
      <c r="B4162" s="2">
        <f>"6941845809998"</f>
        <v/>
      </c>
      <c r="C4162" t="inlineStr">
        <is>
          <t>PINKFLASH Duo Effect Pressed Powder PF-F17 YL02 9gr</t>
        </is>
      </c>
      <c r="D4162" t="inlineStr">
        <is>
          <t>Miss Glam Damar</t>
        </is>
      </c>
      <c r="E4162" t="n">
        <v>4</v>
      </c>
      <c r="F4162" t="n">
        <v>0.0182</v>
      </c>
      <c r="G4162" t="n">
        <v>0.91</v>
      </c>
      <c r="H4162" t="n">
        <v>2</v>
      </c>
      <c r="I4162" t="n">
        <v>5</v>
      </c>
      <c r="J4162" t="n">
        <v>3</v>
      </c>
      <c r="K4162" t="n">
        <v>0</v>
      </c>
      <c r="L4162" t="n">
        <v>42104</v>
      </c>
      <c r="M4162" t="n">
        <v>50500</v>
      </c>
      <c r="N4162" t="n">
        <v>91</v>
      </c>
      <c r="O4162" t="n">
        <v>0.91</v>
      </c>
      <c r="P4162" t="n">
        <v>1</v>
      </c>
      <c r="Q4162" t="n">
        <v>0.03</v>
      </c>
      <c r="R4162" t="n">
        <v>1</v>
      </c>
      <c r="S4162" t="n">
        <v>919.1</v>
      </c>
      <c r="T4162" t="n">
        <v>5</v>
      </c>
      <c r="U4162" t="n">
        <v>6</v>
      </c>
      <c r="V4162" t="n">
        <v>30</v>
      </c>
      <c r="W4162" t="n">
        <v>1</v>
      </c>
      <c r="X4162" t="n">
        <v>219.7802197802198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12515</v>
      </c>
      <c r="AG4162" t="n">
        <v>3501</v>
      </c>
      <c r="AH4162" t="inlineStr">
        <is>
          <t>PT. SAI - PPN - PF/FC (PDG)</t>
        </is>
      </c>
      <c r="AI4162" t="n">
        <v>838</v>
      </c>
      <c r="AJ4162" t="inlineStr">
        <is>
          <t>PINKFLASH</t>
        </is>
      </c>
      <c r="AK4162" t="n">
        <v>21</v>
      </c>
      <c r="AL4162" t="inlineStr">
        <is>
          <t>Miss Glam Damar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PINKFLASH</t>
        </is>
      </c>
      <c r="B4163" s="2">
        <f>"6974908111998"</f>
        <v/>
      </c>
      <c r="C4163" t="inlineStr">
        <is>
          <t>PINKFLASH Duo Lipgloss D01</t>
        </is>
      </c>
      <c r="D4163" t="inlineStr">
        <is>
          <t>Miss Glam Damar</t>
        </is>
      </c>
      <c r="E4163" t="n">
        <v>2</v>
      </c>
      <c r="F4163" t="n">
        <v>0.0182</v>
      </c>
      <c r="G4163" t="n">
        <v>0.91</v>
      </c>
      <c r="H4163" t="n">
        <v>2</v>
      </c>
      <c r="I4163" t="n">
        <v>5</v>
      </c>
      <c r="J4163" t="n">
        <v>3</v>
      </c>
      <c r="K4163" t="n">
        <v>0</v>
      </c>
      <c r="L4163" t="n">
        <v>24866</v>
      </c>
      <c r="M4163" t="n">
        <v>30000</v>
      </c>
      <c r="N4163" t="n">
        <v>91</v>
      </c>
      <c r="O4163" t="n">
        <v>0.91</v>
      </c>
      <c r="P4163" t="n">
        <v>1</v>
      </c>
      <c r="Q4163" t="n">
        <v>0.03</v>
      </c>
      <c r="R4163" t="n">
        <v>1</v>
      </c>
      <c r="S4163" t="n">
        <v>546</v>
      </c>
      <c r="T4163" t="n">
        <v>5</v>
      </c>
      <c r="U4163" t="n">
        <v>6</v>
      </c>
      <c r="V4163" t="n">
        <v>30</v>
      </c>
      <c r="W4163" t="n">
        <v>1</v>
      </c>
      <c r="X4163" t="n">
        <v>109.8901098901099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12515</v>
      </c>
      <c r="AG4163" t="n">
        <v>3501</v>
      </c>
      <c r="AH4163" t="inlineStr">
        <is>
          <t>PT. SAI - PPN - PF/FC (PDG)</t>
        </is>
      </c>
      <c r="AI4163" t="n">
        <v>838</v>
      </c>
      <c r="AJ4163" t="inlineStr">
        <is>
          <t>PINKFLASH</t>
        </is>
      </c>
      <c r="AK4163" t="n">
        <v>21</v>
      </c>
      <c r="AL4163" t="inlineStr">
        <is>
          <t>Miss Glam Damar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PINKFLASH</t>
        </is>
      </c>
      <c r="B4164" s="2">
        <f>"6974908112001"</f>
        <v/>
      </c>
      <c r="C4164" t="inlineStr">
        <is>
          <t>PINKFLASH Duo Lipgloss D02</t>
        </is>
      </c>
      <c r="D4164" t="inlineStr">
        <is>
          <t>Miss Glam Damar</t>
        </is>
      </c>
      <c r="E4164" t="n">
        <v>3</v>
      </c>
      <c r="F4164" t="n">
        <v>0.0182</v>
      </c>
      <c r="G4164" t="n">
        <v>0.91</v>
      </c>
      <c r="H4164" t="n">
        <v>2</v>
      </c>
      <c r="I4164" t="n">
        <v>5</v>
      </c>
      <c r="J4164" t="n">
        <v>3</v>
      </c>
      <c r="K4164" t="n">
        <v>0</v>
      </c>
      <c r="L4164" t="n">
        <v>24866</v>
      </c>
      <c r="M4164" t="n">
        <v>30000</v>
      </c>
      <c r="N4164" t="n">
        <v>91</v>
      </c>
      <c r="O4164" t="n">
        <v>0.91</v>
      </c>
      <c r="P4164" t="n">
        <v>1</v>
      </c>
      <c r="Q4164" t="n">
        <v>0.02</v>
      </c>
      <c r="R4164" t="n">
        <v>1</v>
      </c>
      <c r="S4164" t="n">
        <v>546</v>
      </c>
      <c r="T4164" t="n">
        <v>5</v>
      </c>
      <c r="U4164" t="n">
        <v>6</v>
      </c>
      <c r="V4164" t="n">
        <v>30</v>
      </c>
      <c r="W4164" t="n">
        <v>1</v>
      </c>
      <c r="X4164" t="n">
        <v>164.8351648351648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12515</v>
      </c>
      <c r="AG4164" t="n">
        <v>3501</v>
      </c>
      <c r="AH4164" t="inlineStr">
        <is>
          <t>PT. SAI - PPN - PF/FC (PDG)</t>
        </is>
      </c>
      <c r="AI4164" t="n">
        <v>838</v>
      </c>
      <c r="AJ4164" t="inlineStr">
        <is>
          <t>PINKFLASH</t>
        </is>
      </c>
      <c r="AK4164" t="n">
        <v>21</v>
      </c>
      <c r="AL4164" t="inlineStr">
        <is>
          <t>Miss Glam Damar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PINKFLASH</t>
        </is>
      </c>
      <c r="B4165" s="2">
        <f>"6974908112018"</f>
        <v/>
      </c>
      <c r="C4165" t="inlineStr">
        <is>
          <t>PINKFLASH Duo Lipgloss M01</t>
        </is>
      </c>
      <c r="D4165" t="inlineStr">
        <is>
          <t>Miss Glam Damar</t>
        </is>
      </c>
      <c r="E4165" t="n">
        <v>5</v>
      </c>
      <c r="F4165" t="n">
        <v>0.0273</v>
      </c>
      <c r="G4165" t="n">
        <v>0.91</v>
      </c>
      <c r="H4165" t="n">
        <v>2</v>
      </c>
      <c r="I4165" t="n">
        <v>5</v>
      </c>
      <c r="J4165" t="n">
        <v>3</v>
      </c>
      <c r="K4165" t="n">
        <v>0</v>
      </c>
      <c r="L4165" t="n">
        <v>23681</v>
      </c>
      <c r="M4165" t="n">
        <v>30000</v>
      </c>
      <c r="N4165" t="n">
        <v>91</v>
      </c>
      <c r="O4165" t="n">
        <v>0.91</v>
      </c>
      <c r="P4165" t="n">
        <v>1</v>
      </c>
      <c r="Q4165" t="n">
        <v>0.02</v>
      </c>
      <c r="R4165" t="n">
        <v>1</v>
      </c>
      <c r="S4165" t="n">
        <v>819</v>
      </c>
      <c r="T4165" t="n">
        <v>5</v>
      </c>
      <c r="U4165" t="n">
        <v>6</v>
      </c>
      <c r="V4165" t="n">
        <v>30</v>
      </c>
      <c r="W4165" t="n">
        <v>1</v>
      </c>
      <c r="X4165" t="n">
        <v>183.1501831501832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12515</v>
      </c>
      <c r="AG4165" t="n">
        <v>3501</v>
      </c>
      <c r="AH4165" t="inlineStr">
        <is>
          <t>PT. SAI - PPN - PF/FC (PDG)</t>
        </is>
      </c>
      <c r="AI4165" t="n">
        <v>838</v>
      </c>
      <c r="AJ4165" t="inlineStr">
        <is>
          <t>PINKFLASH</t>
        </is>
      </c>
      <c r="AK4165" t="n">
        <v>21</v>
      </c>
      <c r="AL4165" t="inlineStr">
        <is>
          <t>Miss Glam Damar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PINKFLASH</t>
        </is>
      </c>
      <c r="B4166" s="2">
        <f>"6974908112025"</f>
        <v/>
      </c>
      <c r="C4166" t="inlineStr">
        <is>
          <t>PINKFLASH Duo Lipgloss M02</t>
        </is>
      </c>
      <c r="D4166" t="inlineStr">
        <is>
          <t>Miss Glam Damar</t>
        </is>
      </c>
      <c r="E4166" t="n">
        <v>2</v>
      </c>
      <c r="F4166" t="n">
        <v>0.06370000000000001</v>
      </c>
      <c r="G4166" t="n">
        <v>1.82</v>
      </c>
      <c r="H4166" t="n">
        <v>2</v>
      </c>
      <c r="I4166" t="n">
        <v>5</v>
      </c>
      <c r="J4166" t="n">
        <v>3</v>
      </c>
      <c r="K4166" t="n">
        <v>0</v>
      </c>
      <c r="L4166" t="n">
        <v>24866</v>
      </c>
      <c r="M4166" t="n">
        <v>30000</v>
      </c>
      <c r="N4166" t="n">
        <v>91</v>
      </c>
      <c r="O4166" t="n">
        <v>0.91</v>
      </c>
      <c r="P4166" t="n">
        <v>1</v>
      </c>
      <c r="Q4166" t="n">
        <v>0.03</v>
      </c>
      <c r="R4166" t="n">
        <v>1</v>
      </c>
      <c r="S4166" t="n">
        <v>1911</v>
      </c>
      <c r="T4166" t="n">
        <v>9</v>
      </c>
      <c r="U4166" t="n">
        <v>10</v>
      </c>
      <c r="V4166" t="n">
        <v>30</v>
      </c>
      <c r="W4166" t="n">
        <v>2</v>
      </c>
      <c r="X4166" t="n">
        <v>31.39717425431711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12515</v>
      </c>
      <c r="AG4166" t="n">
        <v>3501</v>
      </c>
      <c r="AH4166" t="inlineStr">
        <is>
          <t>PT. SAI - PPN - PF/FC (PDG)</t>
        </is>
      </c>
      <c r="AI4166" t="n">
        <v>838</v>
      </c>
      <c r="AJ4166" t="inlineStr">
        <is>
          <t>PINKFLASH</t>
        </is>
      </c>
      <c r="AK4166" t="n">
        <v>21</v>
      </c>
      <c r="AL4166" t="inlineStr">
        <is>
          <t>Miss Glam Damar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PINKFLASH</t>
        </is>
      </c>
      <c r="B4167" s="2">
        <f>"6974908112049"</f>
        <v/>
      </c>
      <c r="C4167" t="inlineStr">
        <is>
          <t>PINKFLASH Duo Lipgloss V01</t>
        </is>
      </c>
      <c r="D4167" t="inlineStr">
        <is>
          <t>Miss Glam Damar</t>
        </is>
      </c>
      <c r="E4167" t="n">
        <v>6</v>
      </c>
      <c r="F4167" t="n">
        <v>0.06370000000000001</v>
      </c>
      <c r="G4167" t="n">
        <v>0.91</v>
      </c>
      <c r="H4167" t="n">
        <v>2</v>
      </c>
      <c r="I4167" t="n">
        <v>5</v>
      </c>
      <c r="J4167" t="n">
        <v>3</v>
      </c>
      <c r="K4167" t="n">
        <v>0</v>
      </c>
      <c r="L4167" t="n">
        <v>24866</v>
      </c>
      <c r="M4167" t="n">
        <v>30000</v>
      </c>
      <c r="N4167" t="n">
        <v>91</v>
      </c>
      <c r="O4167" t="n">
        <v>0.91</v>
      </c>
      <c r="P4167" t="n">
        <v>1</v>
      </c>
      <c r="Q4167" t="n">
        <v>0.07000000000000001</v>
      </c>
      <c r="R4167" t="n">
        <v>1</v>
      </c>
      <c r="S4167" t="n">
        <v>1911</v>
      </c>
      <c r="T4167" t="n">
        <v>5</v>
      </c>
      <c r="U4167" t="n">
        <v>6</v>
      </c>
      <c r="V4167" t="n">
        <v>30</v>
      </c>
      <c r="W4167" t="n">
        <v>2</v>
      </c>
      <c r="X4167" t="n">
        <v>94.19152276295132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12515</v>
      </c>
      <c r="AG4167" t="n">
        <v>3501</v>
      </c>
      <c r="AH4167" t="inlineStr">
        <is>
          <t>PT. SAI - PPN - PF/FC (PDG)</t>
        </is>
      </c>
      <c r="AI4167" t="n">
        <v>838</v>
      </c>
      <c r="AJ4167" t="inlineStr">
        <is>
          <t>PINKFLASH</t>
        </is>
      </c>
      <c r="AK4167" t="n">
        <v>21</v>
      </c>
      <c r="AL4167" t="inlineStr">
        <is>
          <t>Miss Glam Damar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PINKFLASH</t>
        </is>
      </c>
      <c r="B4168" s="2">
        <f>"6974908112056"</f>
        <v/>
      </c>
      <c r="C4168" t="inlineStr">
        <is>
          <t>PINKFLASH Duo Lipgloss V02</t>
        </is>
      </c>
      <c r="D4168" t="inlineStr">
        <is>
          <t>Miss Glam Damar</t>
        </is>
      </c>
      <c r="E4168" t="n">
        <v>15</v>
      </c>
      <c r="F4168" t="n">
        <v>0.182</v>
      </c>
      <c r="G4168" t="n">
        <v>1.82</v>
      </c>
      <c r="H4168" t="n">
        <v>2</v>
      </c>
      <c r="I4168" t="n">
        <v>5</v>
      </c>
      <c r="J4168" t="n">
        <v>3</v>
      </c>
      <c r="K4168" t="n">
        <v>0</v>
      </c>
      <c r="L4168" t="n">
        <v>24866</v>
      </c>
      <c r="M4168" t="n">
        <v>30000</v>
      </c>
      <c r="N4168" t="n">
        <v>91</v>
      </c>
      <c r="O4168" t="n">
        <v>0.91</v>
      </c>
      <c r="P4168" t="n">
        <v>1</v>
      </c>
      <c r="Q4168" t="n">
        <v>0.22</v>
      </c>
      <c r="R4168" t="n">
        <v>3</v>
      </c>
      <c r="S4168" t="n">
        <v>5460.000000000001</v>
      </c>
      <c r="T4168" t="n">
        <v>9</v>
      </c>
      <c r="U4168" t="n">
        <v>10</v>
      </c>
      <c r="V4168" t="n">
        <v>30</v>
      </c>
      <c r="W4168" t="n">
        <v>6</v>
      </c>
      <c r="X4168" t="n">
        <v>82.41758241758241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12515</v>
      </c>
      <c r="AG4168" t="n">
        <v>3501</v>
      </c>
      <c r="AH4168" t="inlineStr">
        <is>
          <t>PT. SAI - PPN - PF/FC (PDG)</t>
        </is>
      </c>
      <c r="AI4168" t="n">
        <v>838</v>
      </c>
      <c r="AJ4168" t="inlineStr">
        <is>
          <t>PINKFLASH</t>
        </is>
      </c>
      <c r="AK4168" t="n">
        <v>21</v>
      </c>
      <c r="AL4168" t="inlineStr">
        <is>
          <t>Miss Glam Damar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PINKFLASH</t>
        </is>
      </c>
      <c r="B4169" s="2">
        <f>"6974908112087"</f>
        <v/>
      </c>
      <c r="C4169" t="inlineStr">
        <is>
          <t>PINKFLASH Duo LipGloss V05 1.3gr</t>
        </is>
      </c>
      <c r="D4169" t="inlineStr">
        <is>
          <t>Miss Glam Damar</t>
        </is>
      </c>
      <c r="E4169" t="n">
        <v>10</v>
      </c>
      <c r="F4169" t="n">
        <v>0.09100000000000001</v>
      </c>
      <c r="G4169" t="n">
        <v>0.91</v>
      </c>
      <c r="H4169" t="n">
        <v>2</v>
      </c>
      <c r="I4169" t="n">
        <v>5</v>
      </c>
      <c r="J4169" t="n">
        <v>3</v>
      </c>
      <c r="K4169" t="n">
        <v>0</v>
      </c>
      <c r="L4169" t="n">
        <v>24866</v>
      </c>
      <c r="M4169" t="n">
        <v>30000</v>
      </c>
      <c r="N4169" t="n">
        <v>91</v>
      </c>
      <c r="O4169" t="n">
        <v>0.91</v>
      </c>
      <c r="P4169" t="n">
        <v>1</v>
      </c>
      <c r="Q4169" t="n">
        <v>0.12</v>
      </c>
      <c r="R4169" t="n">
        <v>2</v>
      </c>
      <c r="S4169" t="n">
        <v>2730</v>
      </c>
      <c r="T4169" t="n">
        <v>5</v>
      </c>
      <c r="U4169" t="n">
        <v>6</v>
      </c>
      <c r="V4169" t="n">
        <v>30</v>
      </c>
      <c r="W4169" t="n">
        <v>3</v>
      </c>
      <c r="X4169" t="n">
        <v>109.8901098901099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12515</v>
      </c>
      <c r="AG4169" t="n">
        <v>3501</v>
      </c>
      <c r="AH4169" t="inlineStr">
        <is>
          <t>PT. SAI - PPN - PF/FC (PDG)</t>
        </is>
      </c>
      <c r="AI4169" t="n">
        <v>838</v>
      </c>
      <c r="AJ4169" t="inlineStr">
        <is>
          <t>PINKFLASH</t>
        </is>
      </c>
      <c r="AK4169" t="n">
        <v>21</v>
      </c>
      <c r="AL4169" t="inlineStr">
        <is>
          <t>Miss Glam Damar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PINKFLASH</t>
        </is>
      </c>
      <c r="B4170" s="2">
        <f>"6974908112100"</f>
        <v/>
      </c>
      <c r="C4170" t="inlineStr">
        <is>
          <t>PINKFLASH Duo Lipgloss V07</t>
        </is>
      </c>
      <c r="D4170" t="inlineStr">
        <is>
          <t>Miss Glam Damar</t>
        </is>
      </c>
      <c r="E4170" t="n">
        <v>17</v>
      </c>
      <c r="F4170" t="n">
        <v>0.6916</v>
      </c>
      <c r="G4170" t="n">
        <v>2.73</v>
      </c>
      <c r="H4170" t="n">
        <v>2</v>
      </c>
      <c r="I4170" t="n">
        <v>5</v>
      </c>
      <c r="J4170" t="n">
        <v>3</v>
      </c>
      <c r="K4170" t="n">
        <v>0</v>
      </c>
      <c r="L4170" t="n">
        <v>24866</v>
      </c>
      <c r="M4170" t="n">
        <v>30000</v>
      </c>
      <c r="N4170" t="n">
        <v>91</v>
      </c>
      <c r="O4170" t="n">
        <v>0.91</v>
      </c>
      <c r="P4170" t="n">
        <v>1</v>
      </c>
      <c r="Q4170" t="n">
        <v>0.37</v>
      </c>
      <c r="R4170" t="n">
        <v>3</v>
      </c>
      <c r="S4170" t="n">
        <v>20748</v>
      </c>
      <c r="T4170" t="n">
        <v>13</v>
      </c>
      <c r="U4170" t="n">
        <v>15</v>
      </c>
      <c r="V4170" t="n">
        <v>30</v>
      </c>
      <c r="W4170" t="n">
        <v>21</v>
      </c>
      <c r="X4170" t="n">
        <v>24.58068247541932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12515</v>
      </c>
      <c r="AG4170" t="n">
        <v>3501</v>
      </c>
      <c r="AH4170" t="inlineStr">
        <is>
          <t>PT. SAI - PPN - PF/FC (PDG)</t>
        </is>
      </c>
      <c r="AI4170" t="n">
        <v>838</v>
      </c>
      <c r="AJ4170" t="inlineStr">
        <is>
          <t>PINKFLASH</t>
        </is>
      </c>
      <c r="AK4170" t="n">
        <v>21</v>
      </c>
      <c r="AL4170" t="inlineStr">
        <is>
          <t>Miss Glam Damar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PINKFLASH</t>
        </is>
      </c>
      <c r="B4171" s="2">
        <f>"6974908111943"</f>
        <v/>
      </c>
      <c r="C4171" t="inlineStr">
        <is>
          <t>PINKFLASH Duo Makeup Stick PF-F21-BH01 4 6gr</t>
        </is>
      </c>
      <c r="D4171" t="inlineStr">
        <is>
          <t>Miss Glam Damar</t>
        </is>
      </c>
      <c r="E4171" t="n">
        <v>2</v>
      </c>
      <c r="F4171" t="n">
        <v>0.0273</v>
      </c>
      <c r="G4171" t="n">
        <v>0.91</v>
      </c>
      <c r="H4171" t="n">
        <v>2</v>
      </c>
      <c r="I4171" t="n">
        <v>5</v>
      </c>
      <c r="J4171" t="n">
        <v>3</v>
      </c>
      <c r="K4171" t="n">
        <v>0</v>
      </c>
      <c r="L4171" t="n">
        <v>28829</v>
      </c>
      <c r="M4171" t="n">
        <v>37000</v>
      </c>
      <c r="N4171" t="n">
        <v>91</v>
      </c>
      <c r="O4171" t="n">
        <v>0.91</v>
      </c>
      <c r="P4171" t="n">
        <v>1</v>
      </c>
      <c r="Q4171" t="n">
        <v>0.02</v>
      </c>
      <c r="R4171" t="n">
        <v>1</v>
      </c>
      <c r="S4171" t="n">
        <v>1010.1</v>
      </c>
      <c r="T4171" t="n">
        <v>5</v>
      </c>
      <c r="U4171" t="n">
        <v>6</v>
      </c>
      <c r="V4171" t="n">
        <v>30</v>
      </c>
      <c r="W4171" t="n">
        <v>1</v>
      </c>
      <c r="X4171" t="n">
        <v>73.26007326007326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12515</v>
      </c>
      <c r="AG4171" t="n">
        <v>3501</v>
      </c>
      <c r="AH4171" t="inlineStr">
        <is>
          <t>PT. SAI - PPN - PF/FC (PDG)</t>
        </is>
      </c>
      <c r="AI4171" t="n">
        <v>838</v>
      </c>
      <c r="AJ4171" t="inlineStr">
        <is>
          <t>PINKFLASH</t>
        </is>
      </c>
      <c r="AK4171" t="n">
        <v>21</v>
      </c>
      <c r="AL4171" t="inlineStr">
        <is>
          <t>Miss Glam Damar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PINKFLASH</t>
        </is>
      </c>
      <c r="B4172" s="2">
        <f>"6941845808359"</f>
        <v/>
      </c>
      <c r="C4172" t="inlineStr">
        <is>
          <t>PINKFLASH E08 Oil Curl Mascara #2 Long</t>
        </is>
      </c>
      <c r="D4172" t="inlineStr">
        <is>
          <t>Miss Glam Damar</t>
        </is>
      </c>
      <c r="E4172" t="n">
        <v>35</v>
      </c>
      <c r="F4172" t="n">
        <v>4.1314</v>
      </c>
      <c r="G4172" t="n">
        <v>10.01</v>
      </c>
      <c r="H4172" t="n">
        <v>2</v>
      </c>
      <c r="I4172" t="n">
        <v>5</v>
      </c>
      <c r="J4172" t="n">
        <v>3</v>
      </c>
      <c r="K4172" t="n">
        <v>0</v>
      </c>
      <c r="L4172" t="n">
        <v>20148</v>
      </c>
      <c r="M4172" t="n">
        <v>24000</v>
      </c>
      <c r="N4172" t="n">
        <v>91</v>
      </c>
      <c r="O4172" t="n">
        <v>0.91</v>
      </c>
      <c r="P4172" t="n">
        <v>1</v>
      </c>
      <c r="Q4172" t="n">
        <v>1.34</v>
      </c>
      <c r="R4172" t="n">
        <v>5</v>
      </c>
      <c r="S4172" t="n">
        <v>99153.60000000001</v>
      </c>
      <c r="T4172" t="n">
        <v>42</v>
      </c>
      <c r="U4172" t="n">
        <v>51</v>
      </c>
      <c r="V4172" t="n">
        <v>30</v>
      </c>
      <c r="W4172" t="n">
        <v>124</v>
      </c>
      <c r="X4172" t="n">
        <v>8.471704506946796</v>
      </c>
      <c r="Y4172" t="n">
        <v>1</v>
      </c>
      <c r="Z4172" t="n">
        <v>89</v>
      </c>
      <c r="AA4172" t="n">
        <v>0</v>
      </c>
      <c r="AB4172" t="n">
        <v>89</v>
      </c>
      <c r="AC4172" t="n">
        <v>89</v>
      </c>
      <c r="AD4172" t="n">
        <v>0</v>
      </c>
      <c r="AE4172" t="n">
        <v>1793172</v>
      </c>
      <c r="AF4172" t="n">
        <v>12515</v>
      </c>
      <c r="AG4172" t="n">
        <v>3501</v>
      </c>
      <c r="AH4172" t="inlineStr">
        <is>
          <t>PT. SAI - PPN - PF/FC (PDG)</t>
        </is>
      </c>
      <c r="AI4172" t="n">
        <v>838</v>
      </c>
      <c r="AJ4172" t="inlineStr">
        <is>
          <t>PINKFLASH</t>
        </is>
      </c>
      <c r="AK4172" t="n">
        <v>21</v>
      </c>
      <c r="AL4172" t="inlineStr">
        <is>
          <t>Miss Glam Damar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PINKFLASH</t>
        </is>
      </c>
      <c r="B4173" s="2">
        <f>"6941845805303"</f>
        <v/>
      </c>
      <c r="C4173" t="inlineStr">
        <is>
          <t>PINKFLASH E09 Auto Eyebrow Pencil #02 Chocolate Brown</t>
        </is>
      </c>
      <c r="D4173" t="inlineStr">
        <is>
          <t>Miss Glam Damar</t>
        </is>
      </c>
      <c r="E4173" t="n">
        <v>30</v>
      </c>
      <c r="F4173" t="n">
        <v>1.0374</v>
      </c>
      <c r="G4173" t="n">
        <v>4.55</v>
      </c>
      <c r="H4173" t="n">
        <v>2</v>
      </c>
      <c r="I4173" t="n">
        <v>5</v>
      </c>
      <c r="J4173" t="n">
        <v>3</v>
      </c>
      <c r="K4173" t="n">
        <v>0</v>
      </c>
      <c r="L4173" t="n">
        <v>14551</v>
      </c>
      <c r="M4173" t="n">
        <v>17500</v>
      </c>
      <c r="N4173" t="n">
        <v>91</v>
      </c>
      <c r="O4173" t="n">
        <v>0.91</v>
      </c>
      <c r="P4173" t="n">
        <v>1</v>
      </c>
      <c r="Q4173" t="n">
        <v>1.29</v>
      </c>
      <c r="R4173" t="n">
        <v>6</v>
      </c>
      <c r="S4173" t="n">
        <v>18154.5</v>
      </c>
      <c r="T4173" t="n">
        <v>21</v>
      </c>
      <c r="U4173" t="n">
        <v>24</v>
      </c>
      <c r="V4173" t="n">
        <v>30</v>
      </c>
      <c r="W4173" t="n">
        <v>32</v>
      </c>
      <c r="X4173" t="n">
        <v>28.91844997108155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12515</v>
      </c>
      <c r="AG4173" t="n">
        <v>3501</v>
      </c>
      <c r="AH4173" t="inlineStr">
        <is>
          <t>PT. SAI - PPN - PF/FC (PDG)</t>
        </is>
      </c>
      <c r="AI4173" t="n">
        <v>838</v>
      </c>
      <c r="AJ4173" t="inlineStr">
        <is>
          <t>PINKFLASH</t>
        </is>
      </c>
      <c r="AK4173" t="n">
        <v>21</v>
      </c>
      <c r="AL4173" t="inlineStr">
        <is>
          <t>Miss Glam Damar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PINKFLASH</t>
        </is>
      </c>
      <c r="B4174" s="2">
        <f>"6941845808403"</f>
        <v/>
      </c>
      <c r="C4174" t="inlineStr">
        <is>
          <t>PINKFLASH F01 Soft Pigment Blush 002 1.7gr</t>
        </is>
      </c>
      <c r="D4174" t="inlineStr">
        <is>
          <t>Miss Glam Damar</t>
        </is>
      </c>
      <c r="E4174" t="n">
        <v>10</v>
      </c>
      <c r="F4174" t="n">
        <v>0.41</v>
      </c>
      <c r="G4174" t="n">
        <v>4</v>
      </c>
      <c r="H4174" t="n">
        <v>2</v>
      </c>
      <c r="I4174" t="n">
        <v>5</v>
      </c>
      <c r="J4174" t="n">
        <v>3</v>
      </c>
      <c r="K4174" t="n">
        <v>0</v>
      </c>
      <c r="L4174" t="n">
        <v>15318</v>
      </c>
      <c r="M4174" t="n">
        <v>18500</v>
      </c>
      <c r="N4174" t="n">
        <v>91</v>
      </c>
      <c r="O4174" t="n">
        <v>0.91</v>
      </c>
      <c r="P4174" t="n">
        <v>0</v>
      </c>
      <c r="Q4174" t="n">
        <v>0.41</v>
      </c>
      <c r="R4174" t="n">
        <v>4</v>
      </c>
      <c r="S4174" t="n">
        <v>7585</v>
      </c>
      <c r="T4174" t="n">
        <v>20</v>
      </c>
      <c r="U4174" t="n">
        <v>21</v>
      </c>
      <c r="V4174" t="n">
        <v>30</v>
      </c>
      <c r="W4174" t="n">
        <v>13</v>
      </c>
      <c r="X4174" t="n">
        <v>24.39024390243902</v>
      </c>
      <c r="Y4174" t="n">
        <v>1</v>
      </c>
      <c r="Z4174" t="n">
        <v>3</v>
      </c>
      <c r="AA4174" t="n">
        <v>0</v>
      </c>
      <c r="AB4174" t="n">
        <v>3</v>
      </c>
      <c r="AC4174" t="n">
        <v>3</v>
      </c>
      <c r="AD4174" t="n">
        <v>0</v>
      </c>
      <c r="AE4174" t="n">
        <v>45954</v>
      </c>
      <c r="AF4174" t="n">
        <v>12515</v>
      </c>
      <c r="AG4174" t="n">
        <v>3501</v>
      </c>
      <c r="AH4174" t="inlineStr">
        <is>
          <t>PT. SAI - PPN - PF/FC (PDG)</t>
        </is>
      </c>
      <c r="AI4174" t="n">
        <v>838</v>
      </c>
      <c r="AJ4174" t="inlineStr">
        <is>
          <t>PINKFLASH</t>
        </is>
      </c>
      <c r="AK4174" t="n">
        <v>21</v>
      </c>
      <c r="AL4174" t="inlineStr">
        <is>
          <t>Miss Glam Damar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PINKFLASH</t>
        </is>
      </c>
      <c r="B4175" s="2">
        <f>"6941845808427"</f>
        <v/>
      </c>
      <c r="C4175" t="inlineStr">
        <is>
          <t>PINKFLASH F01 Soft Pigment Blush 003 1.7gr</t>
        </is>
      </c>
      <c r="D4175" t="inlineStr">
        <is>
          <t>Miss Glam Damar</t>
        </is>
      </c>
      <c r="E4175" t="n">
        <v>47</v>
      </c>
      <c r="F4175" t="n">
        <v>0.8827</v>
      </c>
      <c r="G4175" t="n">
        <v>4.55</v>
      </c>
      <c r="H4175" t="n">
        <v>2</v>
      </c>
      <c r="I4175" t="n">
        <v>5</v>
      </c>
      <c r="J4175" t="n">
        <v>3</v>
      </c>
      <c r="K4175" t="n">
        <v>0</v>
      </c>
      <c r="L4175" t="n">
        <v>15318</v>
      </c>
      <c r="M4175" t="n">
        <v>18500</v>
      </c>
      <c r="N4175" t="n">
        <v>91</v>
      </c>
      <c r="O4175" t="n">
        <v>0.91</v>
      </c>
      <c r="P4175" t="n">
        <v>1</v>
      </c>
      <c r="Q4175" t="n">
        <v>1.81</v>
      </c>
      <c r="R4175" t="n">
        <v>6</v>
      </c>
      <c r="S4175" t="n">
        <v>16329.95</v>
      </c>
      <c r="T4175" t="n">
        <v>21</v>
      </c>
      <c r="U4175" t="n">
        <v>23</v>
      </c>
      <c r="V4175" t="n">
        <v>30</v>
      </c>
      <c r="W4175" t="n">
        <v>27</v>
      </c>
      <c r="X4175" t="n">
        <v>53.24572334881613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12515</v>
      </c>
      <c r="AG4175" t="n">
        <v>3501</v>
      </c>
      <c r="AH4175" t="inlineStr">
        <is>
          <t>PT. SAI - PPN - PF/FC (PDG)</t>
        </is>
      </c>
      <c r="AI4175" t="n">
        <v>838</v>
      </c>
      <c r="AJ4175" t="inlineStr">
        <is>
          <t>PINKFLASH</t>
        </is>
      </c>
      <c r="AK4175" t="n">
        <v>21</v>
      </c>
      <c r="AL4175" t="inlineStr">
        <is>
          <t>Miss Glam Damar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PINKFLASH</t>
        </is>
      </c>
      <c r="B4176" s="2">
        <f>"6941845805501"</f>
        <v/>
      </c>
      <c r="C4176" t="inlineStr">
        <is>
          <t>PINKFLASH F02 Soft Pigment Face Contour-S02</t>
        </is>
      </c>
      <c r="D4176" t="inlineStr">
        <is>
          <t>Miss Glam Damar</t>
        </is>
      </c>
      <c r="E4176" t="n">
        <v>15</v>
      </c>
      <c r="F4176" t="n">
        <v>0.51</v>
      </c>
      <c r="G4176" t="n">
        <v>4</v>
      </c>
      <c r="H4176" t="n">
        <v>2</v>
      </c>
      <c r="I4176" t="n">
        <v>5</v>
      </c>
      <c r="J4176" t="n">
        <v>3</v>
      </c>
      <c r="K4176" t="n">
        <v>0</v>
      </c>
      <c r="L4176" t="n">
        <v>15318</v>
      </c>
      <c r="M4176" t="n">
        <v>18500</v>
      </c>
      <c r="N4176" t="n">
        <v>91</v>
      </c>
      <c r="O4176" t="n">
        <v>0.91</v>
      </c>
      <c r="P4176" t="n">
        <v>0</v>
      </c>
      <c r="Q4176" t="n">
        <v>0.51</v>
      </c>
      <c r="R4176" t="n">
        <v>4</v>
      </c>
      <c r="S4176" t="n">
        <v>9435</v>
      </c>
      <c r="T4176" t="n">
        <v>19</v>
      </c>
      <c r="U4176" t="n">
        <v>21</v>
      </c>
      <c r="V4176" t="n">
        <v>30</v>
      </c>
      <c r="W4176" t="n">
        <v>16</v>
      </c>
      <c r="X4176" t="n">
        <v>29.41176470588235</v>
      </c>
      <c r="Y4176" t="n">
        <v>1</v>
      </c>
      <c r="Z4176" t="n">
        <v>1</v>
      </c>
      <c r="AA4176" t="n">
        <v>0</v>
      </c>
      <c r="AB4176" t="n">
        <v>1</v>
      </c>
      <c r="AC4176" t="n">
        <v>3</v>
      </c>
      <c r="AD4176" t="n">
        <v>0</v>
      </c>
      <c r="AE4176" t="n">
        <v>45954</v>
      </c>
      <c r="AF4176" t="n">
        <v>12515</v>
      </c>
      <c r="AG4176" t="n">
        <v>3501</v>
      </c>
      <c r="AH4176" t="inlineStr">
        <is>
          <t>PT. SAI - PPN - PF/FC (PDG)</t>
        </is>
      </c>
      <c r="AI4176" t="n">
        <v>838</v>
      </c>
      <c r="AJ4176" t="inlineStr">
        <is>
          <t>PINKFLASH</t>
        </is>
      </c>
      <c r="AK4176" t="n">
        <v>21</v>
      </c>
      <c r="AL4176" t="inlineStr">
        <is>
          <t>Miss Glam Damar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PINKFLASH</t>
        </is>
      </c>
      <c r="B4177" s="2">
        <f>"6941845806812"</f>
        <v/>
      </c>
      <c r="C4177" t="inlineStr">
        <is>
          <t>PINKFLASH F04 Lasting Matte Concealer #2</t>
        </is>
      </c>
      <c r="D4177" t="inlineStr">
        <is>
          <t>Miss Glam Damar</t>
        </is>
      </c>
      <c r="E4177" t="n">
        <v>7</v>
      </c>
      <c r="F4177" t="n">
        <v>0.09100000000000001</v>
      </c>
      <c r="G4177" t="n">
        <v>1.82</v>
      </c>
      <c r="H4177" t="n">
        <v>2</v>
      </c>
      <c r="I4177" t="n">
        <v>5</v>
      </c>
      <c r="J4177" t="n">
        <v>3</v>
      </c>
      <c r="K4177" t="n">
        <v>0</v>
      </c>
      <c r="L4177" t="n">
        <v>17088</v>
      </c>
      <c r="M4177" t="n">
        <v>20500</v>
      </c>
      <c r="N4177" t="n">
        <v>91</v>
      </c>
      <c r="O4177" t="n">
        <v>0.91</v>
      </c>
      <c r="P4177" t="n">
        <v>1</v>
      </c>
      <c r="Q4177" t="n">
        <v>0.2</v>
      </c>
      <c r="R4177" t="n">
        <v>2</v>
      </c>
      <c r="S4177" t="n">
        <v>1865.5</v>
      </c>
      <c r="T4177" t="n">
        <v>9</v>
      </c>
      <c r="U4177" t="n">
        <v>10</v>
      </c>
      <c r="V4177" t="n">
        <v>30</v>
      </c>
      <c r="W4177" t="n">
        <v>3</v>
      </c>
      <c r="X4177" t="n">
        <v>76.92307692307692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12515</v>
      </c>
      <c r="AG4177" t="n">
        <v>3501</v>
      </c>
      <c r="AH4177" t="inlineStr">
        <is>
          <t>PT. SAI - PPN - PF/FC (PDG)</t>
        </is>
      </c>
      <c r="AI4177" t="n">
        <v>838</v>
      </c>
      <c r="AJ4177" t="inlineStr">
        <is>
          <t>PINKFLASH</t>
        </is>
      </c>
      <c r="AK4177" t="n">
        <v>21</v>
      </c>
      <c r="AL4177" t="inlineStr">
        <is>
          <t>Miss Glam Damar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PINKFLASH</t>
        </is>
      </c>
      <c r="B4178" s="2">
        <f>"6941845806799"</f>
        <v/>
      </c>
      <c r="C4178" t="inlineStr">
        <is>
          <t>PINKFLASH F04 Lasting Matte Concealer #4</t>
        </is>
      </c>
      <c r="D4178" t="inlineStr">
        <is>
          <t>Miss Glam Damar</t>
        </is>
      </c>
      <c r="E4178" t="n">
        <v>7</v>
      </c>
      <c r="F4178" t="n">
        <v>0.0273</v>
      </c>
      <c r="G4178" t="n">
        <v>0.91</v>
      </c>
      <c r="H4178" t="n">
        <v>2</v>
      </c>
      <c r="I4178" t="n">
        <v>5</v>
      </c>
      <c r="J4178" t="n">
        <v>3</v>
      </c>
      <c r="K4178" t="n">
        <v>0</v>
      </c>
      <c r="L4178" t="n">
        <v>17088</v>
      </c>
      <c r="M4178" t="n">
        <v>20500</v>
      </c>
      <c r="N4178" t="n">
        <v>91</v>
      </c>
      <c r="O4178" t="n">
        <v>0.91</v>
      </c>
      <c r="P4178" t="n">
        <v>1</v>
      </c>
      <c r="Q4178" t="n">
        <v>0.08</v>
      </c>
      <c r="R4178" t="n">
        <v>2</v>
      </c>
      <c r="S4178" t="n">
        <v>559.65</v>
      </c>
      <c r="T4178" t="n">
        <v>5</v>
      </c>
      <c r="U4178" t="n">
        <v>6</v>
      </c>
      <c r="V4178" t="n">
        <v>30</v>
      </c>
      <c r="W4178" t="n">
        <v>1</v>
      </c>
      <c r="X4178" t="n">
        <v>256.4102564102564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12515</v>
      </c>
      <c r="AG4178" t="n">
        <v>3501</v>
      </c>
      <c r="AH4178" t="inlineStr">
        <is>
          <t>PT. SAI - PPN - PF/FC (PDG)</t>
        </is>
      </c>
      <c r="AI4178" t="n">
        <v>838</v>
      </c>
      <c r="AJ4178" t="inlineStr">
        <is>
          <t>PINKFLASH</t>
        </is>
      </c>
      <c r="AK4178" t="n">
        <v>21</v>
      </c>
      <c r="AL4178" t="inlineStr">
        <is>
          <t>Miss Glam Damar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PINKFLASH</t>
        </is>
      </c>
      <c r="B4179" s="2">
        <f>"6941845805471"</f>
        <v/>
      </c>
      <c r="C4179" t="inlineStr">
        <is>
          <t>PINKFLASH F08 Lasting Matte Pressed Powder #111</t>
        </is>
      </c>
      <c r="D4179" t="inlineStr">
        <is>
          <t>Miss Glam Damar</t>
        </is>
      </c>
      <c r="E4179" t="n">
        <v>5</v>
      </c>
      <c r="F4179" t="n">
        <v>0.1</v>
      </c>
      <c r="G4179" t="n">
        <v>1</v>
      </c>
      <c r="H4179" t="n">
        <v>2</v>
      </c>
      <c r="I4179" t="n">
        <v>5</v>
      </c>
      <c r="J4179" t="n">
        <v>3</v>
      </c>
      <c r="K4179" t="n">
        <v>0</v>
      </c>
      <c r="L4179" t="n">
        <v>19401</v>
      </c>
      <c r="M4179" t="n">
        <v>23500</v>
      </c>
      <c r="N4179" t="n">
        <v>91</v>
      </c>
      <c r="O4179" t="n">
        <v>0.91</v>
      </c>
      <c r="P4179" t="n">
        <v>0</v>
      </c>
      <c r="Q4179" t="n">
        <v>0.1</v>
      </c>
      <c r="R4179" t="n">
        <v>1</v>
      </c>
      <c r="S4179" t="n">
        <v>2350</v>
      </c>
      <c r="T4179" t="n">
        <v>5</v>
      </c>
      <c r="U4179" t="n">
        <v>6</v>
      </c>
      <c r="V4179" t="n">
        <v>30</v>
      </c>
      <c r="W4179" t="n">
        <v>3</v>
      </c>
      <c r="X4179" t="n">
        <v>50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12515</v>
      </c>
      <c r="AG4179" t="n">
        <v>3501</v>
      </c>
      <c r="AH4179" t="inlineStr">
        <is>
          <t>PT. SAI - PPN - PF/FC (PDG)</t>
        </is>
      </c>
      <c r="AI4179" t="n">
        <v>838</v>
      </c>
      <c r="AJ4179" t="inlineStr">
        <is>
          <t>PINKFLASH</t>
        </is>
      </c>
      <c r="AK4179" t="n">
        <v>21</v>
      </c>
      <c r="AL4179" t="inlineStr">
        <is>
          <t>Miss Glam Damar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PINKFLASH</t>
        </is>
      </c>
      <c r="B4180" s="2">
        <f>"6941845805563"</f>
        <v/>
      </c>
      <c r="C4180" t="inlineStr">
        <is>
          <t>PINKFLASH Face Pallet PF M02-02</t>
        </is>
      </c>
      <c r="D4180" t="inlineStr">
        <is>
          <t>Miss Glam Damar</t>
        </is>
      </c>
      <c r="E4180" t="n">
        <v>17</v>
      </c>
      <c r="F4180" t="n">
        <v>1.1921</v>
      </c>
      <c r="G4180" t="n">
        <v>4.55</v>
      </c>
      <c r="H4180" t="n">
        <v>2</v>
      </c>
      <c r="I4180" t="n">
        <v>5</v>
      </c>
      <c r="J4180" t="n">
        <v>12</v>
      </c>
      <c r="K4180" t="n">
        <v>0</v>
      </c>
      <c r="L4180" t="n">
        <v>44027</v>
      </c>
      <c r="M4180" t="n">
        <v>52500</v>
      </c>
      <c r="N4180" t="n">
        <v>91</v>
      </c>
      <c r="O4180" t="n">
        <v>0.91</v>
      </c>
      <c r="P4180" t="n">
        <v>1</v>
      </c>
      <c r="Q4180" t="n">
        <v>0.68</v>
      </c>
      <c r="R4180" t="n">
        <v>3</v>
      </c>
      <c r="S4180" t="n">
        <v>62585.25000000001</v>
      </c>
      <c r="T4180" t="n">
        <v>21</v>
      </c>
      <c r="U4180" t="n">
        <v>24</v>
      </c>
      <c r="V4180" t="n">
        <v>30</v>
      </c>
      <c r="W4180" t="n">
        <v>36</v>
      </c>
      <c r="X4180" t="n">
        <v>14.26054861169365</v>
      </c>
      <c r="Y4180" t="n">
        <v>1</v>
      </c>
      <c r="Z4180" t="n">
        <v>19</v>
      </c>
      <c r="AA4180" t="n">
        <v>0</v>
      </c>
      <c r="AB4180" t="n">
        <v>19</v>
      </c>
      <c r="AC4180" t="n">
        <v>19</v>
      </c>
      <c r="AD4180" t="n">
        <v>0</v>
      </c>
      <c r="AE4180" t="n">
        <v>836513</v>
      </c>
      <c r="AF4180" t="n">
        <v>12515</v>
      </c>
      <c r="AG4180" t="n">
        <v>3501</v>
      </c>
      <c r="AH4180" t="inlineStr">
        <is>
          <t>PT. SAI - PPN - PF/FC (PDG)</t>
        </is>
      </c>
      <c r="AI4180" t="n">
        <v>838</v>
      </c>
      <c r="AJ4180" t="inlineStr">
        <is>
          <t>PINKFLASH</t>
        </is>
      </c>
      <c r="AK4180" t="n">
        <v>21</v>
      </c>
      <c r="AL4180" t="inlineStr">
        <is>
          <t>Miss Glam Damar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PINKFLASH</t>
        </is>
      </c>
      <c r="B4181" s="2">
        <f>"6941845805556"</f>
        <v/>
      </c>
      <c r="C4181" t="inlineStr">
        <is>
          <t>PINKFLASH Face Pallet PF M02-03</t>
        </is>
      </c>
      <c r="D4181" t="inlineStr">
        <is>
          <t>Miss Glam Damar</t>
        </is>
      </c>
      <c r="E4181" t="n">
        <v>23</v>
      </c>
      <c r="F4181" t="n">
        <v>0.6825</v>
      </c>
      <c r="G4181" t="n">
        <v>3.64</v>
      </c>
      <c r="H4181" t="n">
        <v>2</v>
      </c>
      <c r="I4181" t="n">
        <v>5</v>
      </c>
      <c r="J4181" t="n">
        <v>3</v>
      </c>
      <c r="K4181" t="n">
        <v>0</v>
      </c>
      <c r="L4181" t="n">
        <v>44027</v>
      </c>
      <c r="M4181" t="n">
        <v>52500</v>
      </c>
      <c r="N4181" t="n">
        <v>91</v>
      </c>
      <c r="O4181" t="n">
        <v>0.91</v>
      </c>
      <c r="P4181" t="n">
        <v>1</v>
      </c>
      <c r="Q4181" t="n">
        <v>0.76</v>
      </c>
      <c r="R4181" t="n">
        <v>4</v>
      </c>
      <c r="S4181" t="n">
        <v>35831.25</v>
      </c>
      <c r="T4181" t="n">
        <v>17</v>
      </c>
      <c r="U4181" t="n">
        <v>19</v>
      </c>
      <c r="V4181" t="n">
        <v>30</v>
      </c>
      <c r="W4181" t="n">
        <v>21</v>
      </c>
      <c r="X4181" t="n">
        <v>33.6996336996337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12515</v>
      </c>
      <c r="AG4181" t="n">
        <v>3501</v>
      </c>
      <c r="AH4181" t="inlineStr">
        <is>
          <t>PT. SAI - PPN - PF/FC (PDG)</t>
        </is>
      </c>
      <c r="AI4181" t="n">
        <v>838</v>
      </c>
      <c r="AJ4181" t="inlineStr">
        <is>
          <t>PINKFLASH</t>
        </is>
      </c>
      <c r="AK4181" t="n">
        <v>21</v>
      </c>
      <c r="AL4181" t="inlineStr">
        <is>
          <t>Miss Glam Damar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PINKFLASH</t>
        </is>
      </c>
      <c r="B4182" s="2">
        <f>"10700331331"</f>
        <v/>
      </c>
      <c r="C4182" t="inlineStr">
        <is>
          <t>PINKFLASH Glossy Balm PK01 1.6gr</t>
        </is>
      </c>
      <c r="D4182" t="inlineStr">
        <is>
          <t>Miss Glam Damar</t>
        </is>
      </c>
      <c r="E4182" t="n">
        <v>6</v>
      </c>
      <c r="F4182" t="n">
        <v>0.0728</v>
      </c>
      <c r="G4182" t="n">
        <v>0.91</v>
      </c>
      <c r="H4182" t="n">
        <v>2</v>
      </c>
      <c r="I4182" t="n">
        <v>5</v>
      </c>
      <c r="J4182" t="n">
        <v>1</v>
      </c>
      <c r="K4182" t="n">
        <v>0</v>
      </c>
      <c r="L4182" t="n">
        <v>28116</v>
      </c>
      <c r="M4182" t="n">
        <v>35500</v>
      </c>
      <c r="N4182" t="n">
        <v>91</v>
      </c>
      <c r="O4182" t="n">
        <v>0.91</v>
      </c>
      <c r="P4182" t="n">
        <v>1</v>
      </c>
      <c r="Q4182" t="n">
        <v>0.2</v>
      </c>
      <c r="R4182" t="n">
        <v>2</v>
      </c>
      <c r="S4182" t="n">
        <v>2584.4</v>
      </c>
      <c r="T4182" t="n">
        <v>5</v>
      </c>
      <c r="U4182" t="n">
        <v>6</v>
      </c>
      <c r="V4182" t="n">
        <v>30</v>
      </c>
      <c r="W4182" t="n">
        <v>3</v>
      </c>
      <c r="X4182" t="n">
        <v>82.41758241758241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12515</v>
      </c>
      <c r="AG4182" t="n">
        <v>3501</v>
      </c>
      <c r="AH4182" t="inlineStr">
        <is>
          <t>PT. SAI - PPN - PF/FC (PDG)</t>
        </is>
      </c>
      <c r="AI4182" t="n">
        <v>838</v>
      </c>
      <c r="AJ4182" t="inlineStr">
        <is>
          <t>PINKFLASH</t>
        </is>
      </c>
      <c r="AK4182" t="n">
        <v>21</v>
      </c>
      <c r="AL4182" t="inlineStr">
        <is>
          <t>Miss Glam Damar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PINKFLASH</t>
        </is>
      </c>
      <c r="B4183" s="2">
        <f>"6941845824359"</f>
        <v/>
      </c>
      <c r="C4183" t="inlineStr">
        <is>
          <t>PINKFLASH Inked Brow Smudge Proof Brow Pomade PF-E16 BR01</t>
        </is>
      </c>
      <c r="D4183" t="inlineStr">
        <is>
          <t>Miss Glam Damar</t>
        </is>
      </c>
      <c r="E4183" t="n">
        <v>8</v>
      </c>
      <c r="F4183" t="n">
        <v>0.09100000000000001</v>
      </c>
      <c r="G4183" t="n">
        <v>0.91</v>
      </c>
      <c r="H4183" t="n">
        <v>2</v>
      </c>
      <c r="I4183" t="n">
        <v>5</v>
      </c>
      <c r="J4183" t="n">
        <v>3</v>
      </c>
      <c r="K4183" t="n">
        <v>0</v>
      </c>
      <c r="L4183" t="n">
        <v>25262</v>
      </c>
      <c r="M4183" t="n">
        <v>30500</v>
      </c>
      <c r="N4183" t="n">
        <v>91</v>
      </c>
      <c r="O4183" t="n">
        <v>0.91</v>
      </c>
      <c r="P4183" t="n">
        <v>1</v>
      </c>
      <c r="Q4183" t="n">
        <v>0.08</v>
      </c>
      <c r="R4183" t="n">
        <v>2</v>
      </c>
      <c r="S4183" t="n">
        <v>2775.5</v>
      </c>
      <c r="T4183" t="n">
        <v>5</v>
      </c>
      <c r="U4183" t="n">
        <v>6</v>
      </c>
      <c r="V4183" t="n">
        <v>30</v>
      </c>
      <c r="W4183" t="n">
        <v>3</v>
      </c>
      <c r="X4183" t="n">
        <v>87.9120879120879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12515</v>
      </c>
      <c r="AG4183" t="n">
        <v>3501</v>
      </c>
      <c r="AH4183" t="inlineStr">
        <is>
          <t>PT. SAI - PPN - PF/FC (PDG)</t>
        </is>
      </c>
      <c r="AI4183" t="n">
        <v>838</v>
      </c>
      <c r="AJ4183" t="inlineStr">
        <is>
          <t>PINKFLASH</t>
        </is>
      </c>
      <c r="AK4183" t="n">
        <v>21</v>
      </c>
      <c r="AL4183" t="inlineStr">
        <is>
          <t>Miss Glam Damar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PINKFLASH</t>
        </is>
      </c>
      <c r="B4184" s="2">
        <f>"6941845824373"</f>
        <v/>
      </c>
      <c r="C4184" t="inlineStr">
        <is>
          <t>PINKFLASH Inked Brow Smudge Proof Brow Pomade PF-E16 BR03 1.4gr</t>
        </is>
      </c>
      <c r="D4184" t="inlineStr">
        <is>
          <t>Miss Glam Damar</t>
        </is>
      </c>
      <c r="E4184" t="n">
        <v>5</v>
      </c>
      <c r="F4184" t="n">
        <v>0.0273</v>
      </c>
      <c r="G4184" t="n">
        <v>0.91</v>
      </c>
      <c r="H4184" t="n">
        <v>2</v>
      </c>
      <c r="I4184" t="n">
        <v>5</v>
      </c>
      <c r="J4184" t="n">
        <v>3</v>
      </c>
      <c r="K4184" t="n">
        <v>0</v>
      </c>
      <c r="L4184" t="n">
        <v>25262</v>
      </c>
      <c r="M4184" t="n">
        <v>30500</v>
      </c>
      <c r="N4184" t="n">
        <v>91</v>
      </c>
      <c r="O4184" t="n">
        <v>0.91</v>
      </c>
      <c r="P4184" t="n">
        <v>1</v>
      </c>
      <c r="Q4184" t="n">
        <v>0.05</v>
      </c>
      <c r="R4184" t="n">
        <v>1</v>
      </c>
      <c r="S4184" t="n">
        <v>832.6500000000001</v>
      </c>
      <c r="T4184" t="n">
        <v>5</v>
      </c>
      <c r="U4184" t="n">
        <v>6</v>
      </c>
      <c r="V4184" t="n">
        <v>30</v>
      </c>
      <c r="W4184" t="n">
        <v>1</v>
      </c>
      <c r="X4184" t="n">
        <v>183.1501831501832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12515</v>
      </c>
      <c r="AG4184" t="n">
        <v>3501</v>
      </c>
      <c r="AH4184" t="inlineStr">
        <is>
          <t>PT. SAI - PPN - PF/FC (PDG)</t>
        </is>
      </c>
      <c r="AI4184" t="n">
        <v>838</v>
      </c>
      <c r="AJ4184" t="inlineStr">
        <is>
          <t>PINKFLASH</t>
        </is>
      </c>
      <c r="AK4184" t="n">
        <v>21</v>
      </c>
      <c r="AL4184" t="inlineStr">
        <is>
          <t>Miss Glam Damar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PINKFLASH</t>
        </is>
      </c>
      <c r="B4185" s="2">
        <f>"6941845808656"</f>
        <v/>
      </c>
      <c r="C4185" t="inlineStr">
        <is>
          <t>PINKFLASH L01 Lasting Matte Lip Cream - PK05 NEW</t>
        </is>
      </c>
      <c r="D4185" t="inlineStr">
        <is>
          <t>Miss Glam Damar</t>
        </is>
      </c>
      <c r="E4185" t="n">
        <v>5</v>
      </c>
      <c r="F4185" t="n">
        <v>0.07000000000000001</v>
      </c>
      <c r="G4185" t="n">
        <v>2</v>
      </c>
      <c r="H4185" t="n">
        <v>2</v>
      </c>
      <c r="I4185" t="n">
        <v>5</v>
      </c>
      <c r="J4185" t="n">
        <v>3</v>
      </c>
      <c r="K4185" t="n">
        <v>0</v>
      </c>
      <c r="L4185" t="n">
        <v>11967</v>
      </c>
      <c r="M4185" t="n">
        <v>14500</v>
      </c>
      <c r="N4185" t="n">
        <v>91</v>
      </c>
      <c r="O4185" t="n">
        <v>0.91</v>
      </c>
      <c r="P4185" t="n">
        <v>0</v>
      </c>
      <c r="Q4185" t="n">
        <v>0.07000000000000001</v>
      </c>
      <c r="R4185" t="n">
        <v>2</v>
      </c>
      <c r="S4185" t="n">
        <v>1015</v>
      </c>
      <c r="T4185" t="n">
        <v>10</v>
      </c>
      <c r="U4185" t="n">
        <v>11</v>
      </c>
      <c r="V4185" t="n">
        <v>30</v>
      </c>
      <c r="W4185" t="n">
        <v>3</v>
      </c>
      <c r="X4185" t="n">
        <v>71.42857142857142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12515</v>
      </c>
      <c r="AG4185" t="n">
        <v>3501</v>
      </c>
      <c r="AH4185" t="inlineStr">
        <is>
          <t>PT. SAI - PPN - PF/FC (PDG)</t>
        </is>
      </c>
      <c r="AI4185" t="n">
        <v>838</v>
      </c>
      <c r="AJ4185" t="inlineStr">
        <is>
          <t>PINKFLASH</t>
        </is>
      </c>
      <c r="AK4185" t="n">
        <v>21</v>
      </c>
      <c r="AL4185" t="inlineStr">
        <is>
          <t>Miss Glam Damar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PINKFLASH</t>
        </is>
      </c>
      <c r="B4186" s="2">
        <f>"6941845808342"</f>
        <v/>
      </c>
      <c r="C4186" t="inlineStr">
        <is>
          <t>PINKFLASH L01 Lasting Matte Lipcream #N01</t>
        </is>
      </c>
      <c r="D4186" t="inlineStr">
        <is>
          <t>Miss Glam Damar</t>
        </is>
      </c>
      <c r="E4186" t="n">
        <v>4</v>
      </c>
      <c r="F4186" t="n">
        <v>0.1092</v>
      </c>
      <c r="G4186" t="n">
        <v>2.73</v>
      </c>
      <c r="H4186" t="n">
        <v>2</v>
      </c>
      <c r="I4186" t="n">
        <v>5</v>
      </c>
      <c r="J4186" t="n">
        <v>3</v>
      </c>
      <c r="K4186" t="n">
        <v>0</v>
      </c>
      <c r="L4186" t="n">
        <v>12416</v>
      </c>
      <c r="M4186" t="n">
        <v>15000</v>
      </c>
      <c r="N4186" t="n">
        <v>91</v>
      </c>
      <c r="O4186" t="n">
        <v>0.91</v>
      </c>
      <c r="P4186" t="n">
        <v>1</v>
      </c>
      <c r="Q4186" t="n">
        <v>0.14</v>
      </c>
      <c r="R4186" t="n">
        <v>2</v>
      </c>
      <c r="S4186" t="n">
        <v>1638</v>
      </c>
      <c r="T4186" t="n">
        <v>14</v>
      </c>
      <c r="U4186" t="n">
        <v>15</v>
      </c>
      <c r="V4186" t="n">
        <v>30</v>
      </c>
      <c r="W4186" t="n">
        <v>4</v>
      </c>
      <c r="X4186" t="n">
        <v>36.63003663003663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12515</v>
      </c>
      <c r="AG4186" t="n">
        <v>3501</v>
      </c>
      <c r="AH4186" t="inlineStr">
        <is>
          <t>PT. SAI - PPN - PF/FC (PDG)</t>
        </is>
      </c>
      <c r="AI4186" t="n">
        <v>838</v>
      </c>
      <c r="AJ4186" t="inlineStr">
        <is>
          <t>PINKFLASH</t>
        </is>
      </c>
      <c r="AK4186" t="n">
        <v>21</v>
      </c>
      <c r="AL4186" t="inlineStr">
        <is>
          <t>Miss Glam Damar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PINKFLASH</t>
        </is>
      </c>
      <c r="B4187" s="2">
        <f>"6941845808366"</f>
        <v/>
      </c>
      <c r="C4187" t="inlineStr">
        <is>
          <t>PINKFLASH L01 Lasting Matte Lipcream N02</t>
        </is>
      </c>
      <c r="D4187" t="inlineStr">
        <is>
          <t>Miss Glam Damar</t>
        </is>
      </c>
      <c r="E4187" t="n">
        <v>2</v>
      </c>
      <c r="F4187" t="n">
        <v>0.0182</v>
      </c>
      <c r="G4187" t="n">
        <v>0.91</v>
      </c>
      <c r="H4187" t="n">
        <v>2</v>
      </c>
      <c r="I4187" t="n">
        <v>5</v>
      </c>
      <c r="J4187" t="n">
        <v>3</v>
      </c>
      <c r="K4187" t="n">
        <v>0</v>
      </c>
      <c r="L4187" t="n">
        <v>11967</v>
      </c>
      <c r="M4187" t="n">
        <v>16000</v>
      </c>
      <c r="N4187" t="n">
        <v>91</v>
      </c>
      <c r="O4187" t="n">
        <v>0.91</v>
      </c>
      <c r="P4187" t="n">
        <v>1</v>
      </c>
      <c r="Q4187" t="n">
        <v>0.08</v>
      </c>
      <c r="R4187" t="n">
        <v>1</v>
      </c>
      <c r="S4187" t="n">
        <v>291.2</v>
      </c>
      <c r="T4187" t="n">
        <v>5</v>
      </c>
      <c r="U4187" t="n">
        <v>6</v>
      </c>
      <c r="V4187" t="n">
        <v>30</v>
      </c>
      <c r="W4187" t="n">
        <v>1</v>
      </c>
      <c r="X4187" t="n">
        <v>109.8901098901099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12515</v>
      </c>
      <c r="AG4187" t="n">
        <v>3501</v>
      </c>
      <c r="AH4187" t="inlineStr">
        <is>
          <t>PT. SAI - PPN - PF/FC (PDG)</t>
        </is>
      </c>
      <c r="AI4187" t="n">
        <v>838</v>
      </c>
      <c r="AJ4187" t="inlineStr">
        <is>
          <t>PINKFLASH</t>
        </is>
      </c>
      <c r="AK4187" t="n">
        <v>21</v>
      </c>
      <c r="AL4187" t="inlineStr">
        <is>
          <t>Miss Glam Damar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PINKFLASH</t>
        </is>
      </c>
      <c r="B4188" s="2">
        <f>"6941845808373"</f>
        <v/>
      </c>
      <c r="C4188" t="inlineStr">
        <is>
          <t>PINKFLASH L01 Lasting Matte Lipcream N03 2.3ml</t>
        </is>
      </c>
      <c r="D4188" t="inlineStr">
        <is>
          <t>Miss Glam Damar</t>
        </is>
      </c>
      <c r="E4188" t="n">
        <v>7</v>
      </c>
      <c r="F4188" t="n">
        <v>0.1729</v>
      </c>
      <c r="G4188" t="n">
        <v>1.82</v>
      </c>
      <c r="H4188" t="n">
        <v>2</v>
      </c>
      <c r="I4188" t="n">
        <v>5</v>
      </c>
      <c r="J4188" t="n">
        <v>3</v>
      </c>
      <c r="K4188" t="n">
        <v>0</v>
      </c>
      <c r="L4188" t="n">
        <v>12341</v>
      </c>
      <c r="M4188" t="n">
        <v>15000</v>
      </c>
      <c r="N4188" t="n">
        <v>91</v>
      </c>
      <c r="O4188" t="n">
        <v>0.91</v>
      </c>
      <c r="P4188" t="n">
        <v>1</v>
      </c>
      <c r="Q4188" t="n">
        <v>0.12</v>
      </c>
      <c r="R4188" t="n">
        <v>1</v>
      </c>
      <c r="S4188" t="n">
        <v>2593.5</v>
      </c>
      <c r="T4188" t="n">
        <v>9</v>
      </c>
      <c r="U4188" t="n">
        <v>10</v>
      </c>
      <c r="V4188" t="n">
        <v>30</v>
      </c>
      <c r="W4188" t="n">
        <v>6</v>
      </c>
      <c r="X4188" t="n">
        <v>40.48582995951417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12515</v>
      </c>
      <c r="AG4188" t="n">
        <v>3501</v>
      </c>
      <c r="AH4188" t="inlineStr">
        <is>
          <t>PT. SAI - PPN - PF/FC (PDG)</t>
        </is>
      </c>
      <c r="AI4188" t="n">
        <v>838</v>
      </c>
      <c r="AJ4188" t="inlineStr">
        <is>
          <t>PINKFLASH</t>
        </is>
      </c>
      <c r="AK4188" t="n">
        <v>21</v>
      </c>
      <c r="AL4188" t="inlineStr">
        <is>
          <t>Miss Glam Damar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PINKFLASH</t>
        </is>
      </c>
      <c r="B4189" s="2">
        <f>"6941845808533"</f>
        <v/>
      </c>
      <c r="C4189" t="inlineStr">
        <is>
          <t>PINKFLASH L01 Lasting Matte Lipcream P01</t>
        </is>
      </c>
      <c r="D4189" t="inlineStr">
        <is>
          <t>Miss Glam Damar</t>
        </is>
      </c>
      <c r="E4189" t="n">
        <v>6</v>
      </c>
      <c r="F4189" t="n">
        <v>0.1092</v>
      </c>
      <c r="G4189" t="n">
        <v>1.82</v>
      </c>
      <c r="H4189" t="n">
        <v>2</v>
      </c>
      <c r="I4189" t="n">
        <v>5</v>
      </c>
      <c r="J4189" t="n">
        <v>3</v>
      </c>
      <c r="K4189" t="n">
        <v>0</v>
      </c>
      <c r="L4189" t="n">
        <v>12366</v>
      </c>
      <c r="M4189" t="n">
        <v>15000</v>
      </c>
      <c r="N4189" t="n">
        <v>91</v>
      </c>
      <c r="O4189" t="n">
        <v>0.91</v>
      </c>
      <c r="P4189" t="n">
        <v>1</v>
      </c>
      <c r="Q4189" t="n">
        <v>0.1</v>
      </c>
      <c r="R4189" t="n">
        <v>1</v>
      </c>
      <c r="S4189" t="n">
        <v>1638</v>
      </c>
      <c r="T4189" t="n">
        <v>9</v>
      </c>
      <c r="U4189" t="n">
        <v>10</v>
      </c>
      <c r="V4189" t="n">
        <v>30</v>
      </c>
      <c r="W4189" t="n">
        <v>4</v>
      </c>
      <c r="X4189" t="n">
        <v>54.94505494505494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12515</v>
      </c>
      <c r="AG4189" t="n">
        <v>3501</v>
      </c>
      <c r="AH4189" t="inlineStr">
        <is>
          <t>PT. SAI - PPN - PF/FC (PDG)</t>
        </is>
      </c>
      <c r="AI4189" t="n">
        <v>838</v>
      </c>
      <c r="AJ4189" t="inlineStr">
        <is>
          <t>PINKFLASH</t>
        </is>
      </c>
      <c r="AK4189" t="n">
        <v>21</v>
      </c>
      <c r="AL4189" t="inlineStr">
        <is>
          <t>Miss Glam Damar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PINKFLASH</t>
        </is>
      </c>
      <c r="B4190" s="2">
        <f>"6941845808618"</f>
        <v/>
      </c>
      <c r="C4190" t="inlineStr">
        <is>
          <t>PINKFLASH L01 Lasting Matte Lipcream R02 2,3ml</t>
        </is>
      </c>
      <c r="D4190" t="inlineStr">
        <is>
          <t>Miss Glam Damar</t>
        </is>
      </c>
      <c r="E4190" t="n">
        <v>3</v>
      </c>
      <c r="F4190" t="n">
        <v>0.2457</v>
      </c>
      <c r="G4190" t="n">
        <v>2.73</v>
      </c>
      <c r="H4190" t="n">
        <v>2</v>
      </c>
      <c r="I4190" t="n">
        <v>5</v>
      </c>
      <c r="J4190" t="n">
        <v>3</v>
      </c>
      <c r="K4190" t="n">
        <v>0</v>
      </c>
      <c r="L4190" t="n">
        <v>11967</v>
      </c>
      <c r="M4190" t="n">
        <v>14500</v>
      </c>
      <c r="N4190" t="n">
        <v>91</v>
      </c>
      <c r="O4190" t="n">
        <v>0.91</v>
      </c>
      <c r="P4190" t="n">
        <v>1</v>
      </c>
      <c r="Q4190" t="n">
        <v>0.08</v>
      </c>
      <c r="R4190" t="n">
        <v>1</v>
      </c>
      <c r="S4190" t="n">
        <v>3562.650000000001</v>
      </c>
      <c r="T4190" t="n">
        <v>14</v>
      </c>
      <c r="U4190" t="n">
        <v>15</v>
      </c>
      <c r="V4190" t="n">
        <v>30</v>
      </c>
      <c r="W4190" t="n">
        <v>8</v>
      </c>
      <c r="X4190" t="n">
        <v>12.21001221001221</v>
      </c>
      <c r="Y4190" t="n">
        <v>1</v>
      </c>
      <c r="Z4190" t="n">
        <v>5</v>
      </c>
      <c r="AA4190" t="n">
        <v>0</v>
      </c>
      <c r="AB4190" t="n">
        <v>5</v>
      </c>
      <c r="AC4190" t="n">
        <v>5</v>
      </c>
      <c r="AD4190" t="n">
        <v>0</v>
      </c>
      <c r="AE4190" t="n">
        <v>59835</v>
      </c>
      <c r="AF4190" t="n">
        <v>12515</v>
      </c>
      <c r="AG4190" t="n">
        <v>3501</v>
      </c>
      <c r="AH4190" t="inlineStr">
        <is>
          <t>PT. SAI - PPN - PF/FC (PDG)</t>
        </is>
      </c>
      <c r="AI4190" t="n">
        <v>838</v>
      </c>
      <c r="AJ4190" t="inlineStr">
        <is>
          <t>PINKFLASH</t>
        </is>
      </c>
      <c r="AK4190" t="n">
        <v>21</v>
      </c>
      <c r="AL4190" t="inlineStr">
        <is>
          <t>Miss Glam Damar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PINKFLASH</t>
        </is>
      </c>
      <c r="B4191" s="2">
        <f>"6941845805402"</f>
        <v/>
      </c>
      <c r="C4191" t="inlineStr">
        <is>
          <t>PINKFLASH L02 Lasting Glossy Lipgloss #S02</t>
        </is>
      </c>
      <c r="D4191" t="inlineStr">
        <is>
          <t>Miss Glam Damar</t>
        </is>
      </c>
      <c r="E4191" t="n">
        <v>19</v>
      </c>
      <c r="F4191" t="n">
        <v>0.6825</v>
      </c>
      <c r="G4191" t="n">
        <v>2.73</v>
      </c>
      <c r="H4191" t="n">
        <v>2</v>
      </c>
      <c r="I4191" t="n">
        <v>5</v>
      </c>
      <c r="J4191" t="n">
        <v>3</v>
      </c>
      <c r="K4191" t="n">
        <v>0</v>
      </c>
      <c r="L4191" t="n">
        <v>11967</v>
      </c>
      <c r="M4191" t="n">
        <v>14500</v>
      </c>
      <c r="N4191" t="n">
        <v>91</v>
      </c>
      <c r="O4191" t="n">
        <v>0.91</v>
      </c>
      <c r="P4191" t="n">
        <v>1</v>
      </c>
      <c r="Q4191" t="n">
        <v>0.68</v>
      </c>
      <c r="R4191" t="n">
        <v>3</v>
      </c>
      <c r="S4191" t="n">
        <v>9896.25</v>
      </c>
      <c r="T4191" t="n">
        <v>13</v>
      </c>
      <c r="U4191" t="n">
        <v>15</v>
      </c>
      <c r="V4191" t="n">
        <v>30</v>
      </c>
      <c r="W4191" t="n">
        <v>21</v>
      </c>
      <c r="X4191" t="n">
        <v>27.83882783882784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12515</v>
      </c>
      <c r="AG4191" t="n">
        <v>3501</v>
      </c>
      <c r="AH4191" t="inlineStr">
        <is>
          <t>PT. SAI - PPN - PF/FC (PDG)</t>
        </is>
      </c>
      <c r="AI4191" t="n">
        <v>838</v>
      </c>
      <c r="AJ4191" t="inlineStr">
        <is>
          <t>PINKFLASH</t>
        </is>
      </c>
      <c r="AK4191" t="n">
        <v>21</v>
      </c>
      <c r="AL4191" t="inlineStr">
        <is>
          <t>Miss Glam Damar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PINKFLASH</t>
        </is>
      </c>
      <c r="B4192" s="2">
        <f>"6941845805426"</f>
        <v/>
      </c>
      <c r="C4192" t="inlineStr">
        <is>
          <t>PINKFLASH L02 Lasting Glossy Lipgloss C01 2.3ml</t>
        </is>
      </c>
      <c r="D4192" t="inlineStr">
        <is>
          <t>Miss Glam Damar</t>
        </is>
      </c>
      <c r="E4192" t="n">
        <v>43</v>
      </c>
      <c r="F4192" t="n">
        <v>2.4206</v>
      </c>
      <c r="G4192" t="n">
        <v>7.28</v>
      </c>
      <c r="H4192" t="n">
        <v>2</v>
      </c>
      <c r="I4192" t="n">
        <v>5</v>
      </c>
      <c r="J4192" t="n">
        <v>3</v>
      </c>
      <c r="K4192" t="n">
        <v>0</v>
      </c>
      <c r="L4192" t="n">
        <v>11967</v>
      </c>
      <c r="M4192" t="n">
        <v>14500</v>
      </c>
      <c r="N4192" t="n">
        <v>91</v>
      </c>
      <c r="O4192" t="n">
        <v>0.91</v>
      </c>
      <c r="P4192" t="n">
        <v>1</v>
      </c>
      <c r="Q4192" t="n">
        <v>1.85</v>
      </c>
      <c r="R4192" t="n">
        <v>5</v>
      </c>
      <c r="S4192" t="n">
        <v>35098.7</v>
      </c>
      <c r="T4192" t="n">
        <v>32</v>
      </c>
      <c r="U4192" t="n">
        <v>37</v>
      </c>
      <c r="V4192" t="n">
        <v>30</v>
      </c>
      <c r="W4192" t="n">
        <v>73</v>
      </c>
      <c r="X4192" t="n">
        <v>17.76419069652152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12515</v>
      </c>
      <c r="AG4192" t="n">
        <v>3501</v>
      </c>
      <c r="AH4192" t="inlineStr">
        <is>
          <t>PT. SAI - PPN - PF/FC (PDG)</t>
        </is>
      </c>
      <c r="AI4192" t="n">
        <v>838</v>
      </c>
      <c r="AJ4192" t="inlineStr">
        <is>
          <t>PINKFLASH</t>
        </is>
      </c>
      <c r="AK4192" t="n">
        <v>21</v>
      </c>
      <c r="AL4192" t="inlineStr">
        <is>
          <t>Miss Glam Damar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PINKFLASH</t>
        </is>
      </c>
      <c r="B4193" s="2">
        <f>"6941845805334"</f>
        <v/>
      </c>
      <c r="C4193" t="inlineStr">
        <is>
          <t>PINKFLASH L02 Lasting Glossy Lipgloss G05 2,3ml</t>
        </is>
      </c>
      <c r="D4193" t="inlineStr">
        <is>
          <t>Miss Glam Damar</t>
        </is>
      </c>
      <c r="E4193" t="n">
        <v>6</v>
      </c>
      <c r="F4193" t="n">
        <v>0.04550000000000001</v>
      </c>
      <c r="G4193" t="n">
        <v>0.91</v>
      </c>
      <c r="H4193" t="n">
        <v>2</v>
      </c>
      <c r="I4193" t="n">
        <v>5</v>
      </c>
      <c r="J4193" t="n">
        <v>3</v>
      </c>
      <c r="K4193" t="n">
        <v>0</v>
      </c>
      <c r="L4193" t="n">
        <v>11967</v>
      </c>
      <c r="M4193" t="n">
        <v>14500</v>
      </c>
      <c r="N4193" t="n">
        <v>91</v>
      </c>
      <c r="O4193" t="n">
        <v>0.91</v>
      </c>
      <c r="P4193" t="n">
        <v>1</v>
      </c>
      <c r="Q4193" t="n">
        <v>0.12</v>
      </c>
      <c r="R4193" t="n">
        <v>2</v>
      </c>
      <c r="S4193" t="n">
        <v>659.7500000000001</v>
      </c>
      <c r="T4193" t="n">
        <v>5</v>
      </c>
      <c r="U4193" t="n">
        <v>6</v>
      </c>
      <c r="V4193" t="n">
        <v>30</v>
      </c>
      <c r="W4193" t="n">
        <v>2</v>
      </c>
      <c r="X4193" t="n">
        <v>131.8681318681319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12515</v>
      </c>
      <c r="AG4193" t="n">
        <v>3501</v>
      </c>
      <c r="AH4193" t="inlineStr">
        <is>
          <t>PT. SAI - PPN - PF/FC (PDG)</t>
        </is>
      </c>
      <c r="AI4193" t="n">
        <v>838</v>
      </c>
      <c r="AJ4193" t="inlineStr">
        <is>
          <t>PINKFLASH</t>
        </is>
      </c>
      <c r="AK4193" t="n">
        <v>21</v>
      </c>
      <c r="AL4193" t="inlineStr">
        <is>
          <t>Miss Glam Damar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PINKFLASH</t>
        </is>
      </c>
      <c r="B4194" s="2">
        <f>"6941845805396"</f>
        <v/>
      </c>
      <c r="C4194" t="inlineStr">
        <is>
          <t>PINKFLASH L02 Lasting Glossy Lipgloss- S03</t>
        </is>
      </c>
      <c r="D4194" t="inlineStr">
        <is>
          <t>Miss Glam Damar</t>
        </is>
      </c>
      <c r="E4194" t="n">
        <v>5</v>
      </c>
      <c r="F4194" t="n">
        <v>0.09100000000000001</v>
      </c>
      <c r="G4194" t="n">
        <v>1.82</v>
      </c>
      <c r="H4194" t="n">
        <v>2</v>
      </c>
      <c r="I4194" t="n">
        <v>5</v>
      </c>
      <c r="J4194" t="n">
        <v>3</v>
      </c>
      <c r="K4194" t="n">
        <v>0</v>
      </c>
      <c r="L4194" t="n">
        <v>11967</v>
      </c>
      <c r="M4194" t="n">
        <v>14500</v>
      </c>
      <c r="N4194" t="n">
        <v>91</v>
      </c>
      <c r="O4194" t="n">
        <v>0.91</v>
      </c>
      <c r="P4194" t="n">
        <v>1</v>
      </c>
      <c r="Q4194" t="n">
        <v>0.05</v>
      </c>
      <c r="R4194" t="n">
        <v>1</v>
      </c>
      <c r="S4194" t="n">
        <v>1319.5</v>
      </c>
      <c r="T4194" t="n">
        <v>9</v>
      </c>
      <c r="U4194" t="n">
        <v>10</v>
      </c>
      <c r="V4194" t="n">
        <v>30</v>
      </c>
      <c r="W4194" t="n">
        <v>3</v>
      </c>
      <c r="X4194" t="n">
        <v>54.94505494505494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12515</v>
      </c>
      <c r="AG4194" t="n">
        <v>3501</v>
      </c>
      <c r="AH4194" t="inlineStr">
        <is>
          <t>PT. SAI - PPN - PF/FC (PDG)</t>
        </is>
      </c>
      <c r="AI4194" t="n">
        <v>838</v>
      </c>
      <c r="AJ4194" t="inlineStr">
        <is>
          <t>PINKFLASH</t>
        </is>
      </c>
      <c r="AK4194" t="n">
        <v>21</v>
      </c>
      <c r="AL4194" t="inlineStr">
        <is>
          <t>Miss Glam Damar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PINKFLASH</t>
        </is>
      </c>
      <c r="B4195" s="2">
        <f>"6927545992413"</f>
        <v/>
      </c>
      <c r="C4195" t="inlineStr">
        <is>
          <t>PINKFLASH Lasting Glossy Lip Gloss G01</t>
        </is>
      </c>
      <c r="D4195" t="inlineStr">
        <is>
          <t>Miss Glam Damar</t>
        </is>
      </c>
      <c r="E4195" t="n">
        <v>3</v>
      </c>
      <c r="F4195" t="n">
        <v>0.02</v>
      </c>
      <c r="G4195" t="n">
        <v>1</v>
      </c>
      <c r="H4195" t="n">
        <v>2</v>
      </c>
      <c r="I4195" t="n">
        <v>5</v>
      </c>
      <c r="J4195" t="n">
        <v>3</v>
      </c>
      <c r="K4195" t="n">
        <v>0</v>
      </c>
      <c r="L4195" t="n">
        <v>11967</v>
      </c>
      <c r="M4195" t="n">
        <v>14500</v>
      </c>
      <c r="N4195" t="n">
        <v>91</v>
      </c>
      <c r="O4195" t="n">
        <v>0.91</v>
      </c>
      <c r="P4195" t="n">
        <v>0</v>
      </c>
      <c r="Q4195" t="n">
        <v>0.02</v>
      </c>
      <c r="R4195" t="n">
        <v>1</v>
      </c>
      <c r="S4195" t="n">
        <v>290</v>
      </c>
      <c r="T4195" t="n">
        <v>5</v>
      </c>
      <c r="U4195" t="n">
        <v>6</v>
      </c>
      <c r="V4195" t="n">
        <v>30</v>
      </c>
      <c r="W4195" t="n">
        <v>1</v>
      </c>
      <c r="X4195" t="n">
        <v>150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12515</v>
      </c>
      <c r="AG4195" t="n">
        <v>3501</v>
      </c>
      <c r="AH4195" t="inlineStr">
        <is>
          <t>PT. SAI - PPN - PF/FC (PDG)</t>
        </is>
      </c>
      <c r="AI4195" t="n">
        <v>838</v>
      </c>
      <c r="AJ4195" t="inlineStr">
        <is>
          <t>PINKFLASH</t>
        </is>
      </c>
      <c r="AK4195" t="n">
        <v>21</v>
      </c>
      <c r="AL4195" t="inlineStr">
        <is>
          <t>Miss Glam Damar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PINKFLASH</t>
        </is>
      </c>
      <c r="B4196" s="2">
        <f>"6941845805372"</f>
        <v/>
      </c>
      <c r="C4196" t="inlineStr">
        <is>
          <t>PINKFLASH Lasting Glossy Lip Gloss G02</t>
        </is>
      </c>
      <c r="D4196" t="inlineStr">
        <is>
          <t>Miss Glam Damar</t>
        </is>
      </c>
      <c r="E4196" t="n">
        <v>2</v>
      </c>
      <c r="F4196" t="n">
        <v>0.08</v>
      </c>
      <c r="G4196" t="n">
        <v>1</v>
      </c>
      <c r="H4196" t="n">
        <v>2</v>
      </c>
      <c r="I4196" t="n">
        <v>5</v>
      </c>
      <c r="J4196" t="n">
        <v>3</v>
      </c>
      <c r="K4196" t="n">
        <v>0</v>
      </c>
      <c r="L4196" t="n">
        <v>11967</v>
      </c>
      <c r="M4196" t="n">
        <v>14500</v>
      </c>
      <c r="N4196" t="n">
        <v>91</v>
      </c>
      <c r="O4196" t="n">
        <v>0.91</v>
      </c>
      <c r="P4196" t="n">
        <v>0</v>
      </c>
      <c r="Q4196" t="n">
        <v>0.08</v>
      </c>
      <c r="R4196" t="n">
        <v>1</v>
      </c>
      <c r="S4196" t="n">
        <v>1160</v>
      </c>
      <c r="T4196" t="n">
        <v>5</v>
      </c>
      <c r="U4196" t="n">
        <v>6</v>
      </c>
      <c r="V4196" t="n">
        <v>30</v>
      </c>
      <c r="W4196" t="n">
        <v>3</v>
      </c>
      <c r="X4196" t="n">
        <v>25</v>
      </c>
      <c r="Y4196" t="n">
        <v>1</v>
      </c>
      <c r="Z4196" t="n">
        <v>1</v>
      </c>
      <c r="AA4196" t="n">
        <v>0</v>
      </c>
      <c r="AB4196" t="n">
        <v>1</v>
      </c>
      <c r="AC4196" t="n">
        <v>3</v>
      </c>
      <c r="AD4196" t="n">
        <v>0</v>
      </c>
      <c r="AE4196" t="n">
        <v>35901</v>
      </c>
      <c r="AF4196" t="n">
        <v>12515</v>
      </c>
      <c r="AG4196" t="n">
        <v>3501</v>
      </c>
      <c r="AH4196" t="inlineStr">
        <is>
          <t>PT. SAI - PPN - PF/FC (PDG)</t>
        </is>
      </c>
      <c r="AI4196" t="n">
        <v>838</v>
      </c>
      <c r="AJ4196" t="inlineStr">
        <is>
          <t>PINKFLASH</t>
        </is>
      </c>
      <c r="AK4196" t="n">
        <v>21</v>
      </c>
      <c r="AL4196" t="inlineStr">
        <is>
          <t>Miss Glam Damar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PINKFLASH</t>
        </is>
      </c>
      <c r="B4197" s="2">
        <f>"6941845805341"</f>
        <v/>
      </c>
      <c r="C4197" t="inlineStr">
        <is>
          <t>PINKFLASH Lasting Glossy Lip Gloss G04</t>
        </is>
      </c>
      <c r="D4197" t="inlineStr">
        <is>
          <t>Miss Glam Damar</t>
        </is>
      </c>
      <c r="E4197" t="n">
        <v>9</v>
      </c>
      <c r="F4197" t="n">
        <v>0.06370000000000001</v>
      </c>
      <c r="G4197" t="n">
        <v>1.82</v>
      </c>
      <c r="H4197" t="n">
        <v>2</v>
      </c>
      <c r="I4197" t="n">
        <v>5</v>
      </c>
      <c r="J4197" t="n">
        <v>3</v>
      </c>
      <c r="K4197" t="n">
        <v>0</v>
      </c>
      <c r="L4197" t="n">
        <v>11967</v>
      </c>
      <c r="M4197" t="n">
        <v>14500</v>
      </c>
      <c r="N4197" t="n">
        <v>91</v>
      </c>
      <c r="O4197" t="n">
        <v>0.91</v>
      </c>
      <c r="P4197" t="n">
        <v>1</v>
      </c>
      <c r="Q4197" t="n">
        <v>0.32</v>
      </c>
      <c r="R4197" t="n">
        <v>2</v>
      </c>
      <c r="S4197" t="n">
        <v>923.6500000000001</v>
      </c>
      <c r="T4197" t="n">
        <v>9</v>
      </c>
      <c r="U4197" t="n">
        <v>10</v>
      </c>
      <c r="V4197" t="n">
        <v>30</v>
      </c>
      <c r="W4197" t="n">
        <v>2</v>
      </c>
      <c r="X4197" t="n">
        <v>141.287284144427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12515</v>
      </c>
      <c r="AG4197" t="n">
        <v>3501</v>
      </c>
      <c r="AH4197" t="inlineStr">
        <is>
          <t>PT. SAI - PPN - PF/FC (PDG)</t>
        </is>
      </c>
      <c r="AI4197" t="n">
        <v>838</v>
      </c>
      <c r="AJ4197" t="inlineStr">
        <is>
          <t>PINKFLASH</t>
        </is>
      </c>
      <c r="AK4197" t="n">
        <v>21</v>
      </c>
      <c r="AL4197" t="inlineStr">
        <is>
          <t>Miss Glam Damar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PINKFLASH</t>
        </is>
      </c>
      <c r="B4198" s="2">
        <f>"6941845805365"</f>
        <v/>
      </c>
      <c r="C4198" t="inlineStr">
        <is>
          <t>PINKFLASH Lasting Glossy Lip Gloss PF-LO2 G03</t>
        </is>
      </c>
      <c r="D4198" t="inlineStr">
        <is>
          <t>Miss Glam Damar</t>
        </is>
      </c>
      <c r="E4198" t="n">
        <v>5</v>
      </c>
      <c r="F4198" t="n">
        <v>0.0273</v>
      </c>
      <c r="G4198" t="n">
        <v>0.91</v>
      </c>
      <c r="H4198" t="n">
        <v>2</v>
      </c>
      <c r="I4198" t="n">
        <v>5</v>
      </c>
      <c r="J4198" t="n">
        <v>3</v>
      </c>
      <c r="K4198" t="n">
        <v>0</v>
      </c>
      <c r="L4198" t="n">
        <v>11967</v>
      </c>
      <c r="M4198" t="n">
        <v>14500</v>
      </c>
      <c r="N4198" t="n">
        <v>91</v>
      </c>
      <c r="O4198" t="n">
        <v>0.91</v>
      </c>
      <c r="P4198" t="n">
        <v>1</v>
      </c>
      <c r="Q4198" t="n">
        <v>0.07000000000000001</v>
      </c>
      <c r="R4198" t="n">
        <v>2</v>
      </c>
      <c r="S4198" t="n">
        <v>395.85</v>
      </c>
      <c r="T4198" t="n">
        <v>5</v>
      </c>
      <c r="U4198" t="n">
        <v>6</v>
      </c>
      <c r="V4198" t="n">
        <v>30</v>
      </c>
      <c r="W4198" t="n">
        <v>1</v>
      </c>
      <c r="X4198" t="n">
        <v>183.1501831501832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12515</v>
      </c>
      <c r="AG4198" t="n">
        <v>3501</v>
      </c>
      <c r="AH4198" t="inlineStr">
        <is>
          <t>PT. SAI - PPN - PF/FC (PDG)</t>
        </is>
      </c>
      <c r="AI4198" t="n">
        <v>838</v>
      </c>
      <c r="AJ4198" t="inlineStr">
        <is>
          <t>PINKFLASH</t>
        </is>
      </c>
      <c r="AK4198" t="n">
        <v>21</v>
      </c>
      <c r="AL4198" t="inlineStr">
        <is>
          <t>Miss Glam Damar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PINKFLASH</t>
        </is>
      </c>
      <c r="B4199" s="2">
        <f>"6941845805419"</f>
        <v/>
      </c>
      <c r="C4199" t="inlineStr">
        <is>
          <t>PINKFLASH Lasting Glossy Lip Gloss S01 2.3gr</t>
        </is>
      </c>
      <c r="D4199" t="inlineStr">
        <is>
          <t>Miss Glam Damar</t>
        </is>
      </c>
      <c r="E4199" t="n">
        <v>10</v>
      </c>
      <c r="F4199" t="n">
        <v>0.1</v>
      </c>
      <c r="G4199" t="n">
        <v>1</v>
      </c>
      <c r="H4199" t="n">
        <v>2</v>
      </c>
      <c r="I4199" t="n">
        <v>5</v>
      </c>
      <c r="J4199" t="n">
        <v>3</v>
      </c>
      <c r="K4199" t="n">
        <v>0</v>
      </c>
      <c r="L4199" t="n">
        <v>11967</v>
      </c>
      <c r="M4199" t="n">
        <v>14500</v>
      </c>
      <c r="N4199" t="n">
        <v>91</v>
      </c>
      <c r="O4199" t="n">
        <v>0.91</v>
      </c>
      <c r="P4199" t="n">
        <v>0</v>
      </c>
      <c r="Q4199" t="n">
        <v>0.1</v>
      </c>
      <c r="R4199" t="n">
        <v>1</v>
      </c>
      <c r="S4199" t="n">
        <v>1450</v>
      </c>
      <c r="T4199" t="n">
        <v>5</v>
      </c>
      <c r="U4199" t="n">
        <v>6</v>
      </c>
      <c r="V4199" t="n">
        <v>30</v>
      </c>
      <c r="W4199" t="n">
        <v>3</v>
      </c>
      <c r="X4199" t="n">
        <v>100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12515</v>
      </c>
      <c r="AG4199" t="n">
        <v>3501</v>
      </c>
      <c r="AH4199" t="inlineStr">
        <is>
          <t>PT. SAI - PPN - PF/FC (PDG)</t>
        </is>
      </c>
      <c r="AI4199" t="n">
        <v>838</v>
      </c>
      <c r="AJ4199" t="inlineStr">
        <is>
          <t>PINKFLASH</t>
        </is>
      </c>
      <c r="AK4199" t="n">
        <v>21</v>
      </c>
      <c r="AL4199" t="inlineStr">
        <is>
          <t>Miss Glam Damar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PINKFLASH</t>
        </is>
      </c>
      <c r="B4200" s="2">
        <f>"6927545992505"</f>
        <v/>
      </c>
      <c r="C4200" t="inlineStr">
        <is>
          <t>PINKFLASH Lasting Lip Gloss S04</t>
        </is>
      </c>
      <c r="D4200" t="inlineStr">
        <is>
          <t>Miss Glam Damar</t>
        </is>
      </c>
      <c r="E4200" t="n">
        <v>4</v>
      </c>
      <c r="F4200" t="n">
        <v>0.0273</v>
      </c>
      <c r="G4200" t="n">
        <v>0.91</v>
      </c>
      <c r="H4200" t="n">
        <v>2</v>
      </c>
      <c r="I4200" t="n">
        <v>5</v>
      </c>
      <c r="J4200" t="n">
        <v>3</v>
      </c>
      <c r="K4200" t="n">
        <v>0</v>
      </c>
      <c r="L4200" t="n">
        <v>11967</v>
      </c>
      <c r="M4200" t="n">
        <v>14500</v>
      </c>
      <c r="N4200" t="n">
        <v>91</v>
      </c>
      <c r="O4200" t="n">
        <v>0.91</v>
      </c>
      <c r="P4200" t="n">
        <v>1</v>
      </c>
      <c r="Q4200" t="n">
        <v>0.02</v>
      </c>
      <c r="R4200" t="n">
        <v>1</v>
      </c>
      <c r="S4200" t="n">
        <v>395.85</v>
      </c>
      <c r="T4200" t="n">
        <v>5</v>
      </c>
      <c r="U4200" t="n">
        <v>6</v>
      </c>
      <c r="V4200" t="n">
        <v>30</v>
      </c>
      <c r="W4200" t="n">
        <v>1</v>
      </c>
      <c r="X4200" t="n">
        <v>146.5201465201465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12515</v>
      </c>
      <c r="AG4200" t="n">
        <v>3501</v>
      </c>
      <c r="AH4200" t="inlineStr">
        <is>
          <t>PT. SAI - PPN - PF/FC (PDG)</t>
        </is>
      </c>
      <c r="AI4200" t="n">
        <v>838</v>
      </c>
      <c r="AJ4200" t="inlineStr">
        <is>
          <t>PINKFLASH</t>
        </is>
      </c>
      <c r="AK4200" t="n">
        <v>21</v>
      </c>
      <c r="AL4200" t="inlineStr">
        <is>
          <t>Miss Glam Damar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PINKFLASH</t>
        </is>
      </c>
      <c r="B4201" s="2">
        <f>"6927545992208"</f>
        <v/>
      </c>
      <c r="C4201" t="inlineStr">
        <is>
          <t>PINKFLASH Lasting Matte Concealer F04#3 2,4ml</t>
        </is>
      </c>
      <c r="D4201" t="inlineStr">
        <is>
          <t>Miss Glam Damar</t>
        </is>
      </c>
      <c r="E4201" t="n">
        <v>4</v>
      </c>
      <c r="F4201" t="n">
        <v>0.06370000000000001</v>
      </c>
      <c r="G4201" t="n">
        <v>0.91</v>
      </c>
      <c r="H4201" t="n">
        <v>2</v>
      </c>
      <c r="I4201" t="n">
        <v>5</v>
      </c>
      <c r="J4201" t="n">
        <v>3</v>
      </c>
      <c r="K4201" t="n">
        <v>0</v>
      </c>
      <c r="L4201" t="n">
        <v>17088</v>
      </c>
      <c r="M4201" t="n">
        <v>20500</v>
      </c>
      <c r="N4201" t="n">
        <v>91</v>
      </c>
      <c r="O4201" t="n">
        <v>0.91</v>
      </c>
      <c r="P4201" t="n">
        <v>1</v>
      </c>
      <c r="Q4201" t="n">
        <v>0.1</v>
      </c>
      <c r="R4201" t="n">
        <v>1</v>
      </c>
      <c r="S4201" t="n">
        <v>1305.85</v>
      </c>
      <c r="T4201" t="n">
        <v>5</v>
      </c>
      <c r="U4201" t="n">
        <v>6</v>
      </c>
      <c r="V4201" t="n">
        <v>30</v>
      </c>
      <c r="W4201" t="n">
        <v>2</v>
      </c>
      <c r="X4201" t="n">
        <v>62.79434850863422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12515</v>
      </c>
      <c r="AG4201" t="n">
        <v>3501</v>
      </c>
      <c r="AH4201" t="inlineStr">
        <is>
          <t>PT. SAI - PPN - PF/FC (PDG)</t>
        </is>
      </c>
      <c r="AI4201" t="n">
        <v>838</v>
      </c>
      <c r="AJ4201" t="inlineStr">
        <is>
          <t>PINKFLASH</t>
        </is>
      </c>
      <c r="AK4201" t="n">
        <v>21</v>
      </c>
      <c r="AL4201" t="inlineStr">
        <is>
          <t>Miss Glam Damar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PINKFLASH</t>
        </is>
      </c>
      <c r="B4202" s="2">
        <f>"6941845806881"</f>
        <v/>
      </c>
      <c r="C4202" t="inlineStr">
        <is>
          <t>PINKFLASH Lasting Matte Foundation #1 Vanilla 25gr</t>
        </is>
      </c>
      <c r="D4202" t="inlineStr">
        <is>
          <t>Miss Glam Damar</t>
        </is>
      </c>
      <c r="E4202" t="n">
        <v>0</v>
      </c>
      <c r="F4202" t="n">
        <v>0.0728</v>
      </c>
      <c r="G4202" t="n">
        <v>0.91</v>
      </c>
      <c r="H4202" t="n">
        <v>2</v>
      </c>
      <c r="I4202" t="n">
        <v>5</v>
      </c>
      <c r="J4202" t="n">
        <v>3</v>
      </c>
      <c r="K4202" t="n">
        <v>0</v>
      </c>
      <c r="L4202" t="n">
        <v>23134</v>
      </c>
      <c r="M4202" t="n">
        <v>28000</v>
      </c>
      <c r="N4202" t="n">
        <v>91</v>
      </c>
      <c r="O4202" t="n">
        <v>0.91</v>
      </c>
      <c r="P4202" t="n">
        <v>1</v>
      </c>
      <c r="Q4202" t="n">
        <v>0.09</v>
      </c>
      <c r="R4202" t="n">
        <v>1</v>
      </c>
      <c r="S4202" t="n">
        <v>2038.4</v>
      </c>
      <c r="T4202" t="n">
        <v>5</v>
      </c>
      <c r="U4202" t="n">
        <v>6</v>
      </c>
      <c r="V4202" t="n">
        <v>30</v>
      </c>
      <c r="W4202" t="n">
        <v>3</v>
      </c>
      <c r="X4202" t="n">
        <v>0</v>
      </c>
      <c r="Y4202" t="n">
        <v>1</v>
      </c>
      <c r="Z4202" t="n">
        <v>3</v>
      </c>
      <c r="AA4202" t="n">
        <v>1</v>
      </c>
      <c r="AB4202" t="n">
        <v>2</v>
      </c>
      <c r="AC4202" t="n">
        <v>3</v>
      </c>
      <c r="AD4202" t="n">
        <v>23134</v>
      </c>
      <c r="AE4202" t="n">
        <v>69402</v>
      </c>
      <c r="AF4202" t="n">
        <v>12515</v>
      </c>
      <c r="AG4202" t="n">
        <v>3501</v>
      </c>
      <c r="AH4202" t="inlineStr">
        <is>
          <t>PT. SAI - PPN - PF/FC (PDG)</t>
        </is>
      </c>
      <c r="AI4202" t="n">
        <v>838</v>
      </c>
      <c r="AJ4202" t="inlineStr">
        <is>
          <t>PINKFLASH</t>
        </is>
      </c>
      <c r="AK4202" t="n">
        <v>21</v>
      </c>
      <c r="AL4202" t="inlineStr">
        <is>
          <t>Miss Glam Damar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PINKFLASH</t>
        </is>
      </c>
      <c r="B4203" s="2">
        <f>"6941845806874"</f>
        <v/>
      </c>
      <c r="C4203" t="inlineStr">
        <is>
          <t>PINKFLASH Lasting Matte Foundation Pf-f03 02 25gr</t>
        </is>
      </c>
      <c r="D4203" t="inlineStr">
        <is>
          <t>Miss Glam Damar</t>
        </is>
      </c>
      <c r="E4203" t="n">
        <v>1</v>
      </c>
      <c r="F4203" t="n">
        <v>0.06370000000000001</v>
      </c>
      <c r="G4203" t="n">
        <v>0.91</v>
      </c>
      <c r="H4203" t="n">
        <v>2</v>
      </c>
      <c r="I4203" t="n">
        <v>5</v>
      </c>
      <c r="J4203" t="n">
        <v>3</v>
      </c>
      <c r="K4203" t="n">
        <v>0</v>
      </c>
      <c r="L4203" t="n">
        <v>23134</v>
      </c>
      <c r="M4203" t="n">
        <v>28000</v>
      </c>
      <c r="N4203" t="n">
        <v>91</v>
      </c>
      <c r="O4203" t="n">
        <v>0.91</v>
      </c>
      <c r="P4203" t="n">
        <v>1</v>
      </c>
      <c r="Q4203" t="n">
        <v>0.02</v>
      </c>
      <c r="R4203" t="n">
        <v>1</v>
      </c>
      <c r="S4203" t="n">
        <v>1783.6</v>
      </c>
      <c r="T4203" t="n">
        <v>5</v>
      </c>
      <c r="U4203" t="n">
        <v>6</v>
      </c>
      <c r="V4203" t="n">
        <v>30</v>
      </c>
      <c r="W4203" t="n">
        <v>2</v>
      </c>
      <c r="X4203" t="n">
        <v>15.69858712715855</v>
      </c>
      <c r="Y4203" t="n">
        <v>1</v>
      </c>
      <c r="Z4203" t="n">
        <v>1</v>
      </c>
      <c r="AA4203" t="n">
        <v>0</v>
      </c>
      <c r="AB4203" t="n">
        <v>1</v>
      </c>
      <c r="AC4203" t="n">
        <v>3</v>
      </c>
      <c r="AD4203" t="n">
        <v>0</v>
      </c>
      <c r="AE4203" t="n">
        <v>69402</v>
      </c>
      <c r="AF4203" t="n">
        <v>12515</v>
      </c>
      <c r="AG4203" t="n">
        <v>3501</v>
      </c>
      <c r="AH4203" t="inlineStr">
        <is>
          <t>PT. SAI - PPN - PF/FC (PDG)</t>
        </is>
      </c>
      <c r="AI4203" t="n">
        <v>838</v>
      </c>
      <c r="AJ4203" t="inlineStr">
        <is>
          <t>PINKFLASH</t>
        </is>
      </c>
      <c r="AK4203" t="n">
        <v>21</v>
      </c>
      <c r="AL4203" t="inlineStr">
        <is>
          <t>Miss Glam Damar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PINKFLASH</t>
        </is>
      </c>
      <c r="B4204" s="2">
        <f>"6941845806867"</f>
        <v/>
      </c>
      <c r="C4204" t="inlineStr">
        <is>
          <t>PINKFLASH Lasting Matte Foundation PF-F03 03 25gr</t>
        </is>
      </c>
      <c r="D4204" t="inlineStr">
        <is>
          <t>Miss Glam Damar</t>
        </is>
      </c>
      <c r="E4204" t="n">
        <v>3</v>
      </c>
      <c r="F4204" t="n">
        <v>0.0728</v>
      </c>
      <c r="G4204" t="n">
        <v>1.82</v>
      </c>
      <c r="H4204" t="n">
        <v>2</v>
      </c>
      <c r="I4204" t="n">
        <v>5</v>
      </c>
      <c r="J4204" t="n">
        <v>3</v>
      </c>
      <c r="K4204" t="n">
        <v>0</v>
      </c>
      <c r="L4204" t="n">
        <v>23134</v>
      </c>
      <c r="M4204" t="n">
        <v>28000</v>
      </c>
      <c r="N4204" t="n">
        <v>91</v>
      </c>
      <c r="O4204" t="n">
        <v>0.91</v>
      </c>
      <c r="P4204" t="n">
        <v>1</v>
      </c>
      <c r="Q4204" t="n">
        <v>0.03</v>
      </c>
      <c r="R4204" t="n">
        <v>1</v>
      </c>
      <c r="S4204" t="n">
        <v>2038.4</v>
      </c>
      <c r="T4204" t="n">
        <v>9</v>
      </c>
      <c r="U4204" t="n">
        <v>10</v>
      </c>
      <c r="V4204" t="n">
        <v>30</v>
      </c>
      <c r="W4204" t="n">
        <v>3</v>
      </c>
      <c r="X4204" t="n">
        <v>41.2087912087912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12515</v>
      </c>
      <c r="AG4204" t="n">
        <v>3501</v>
      </c>
      <c r="AH4204" t="inlineStr">
        <is>
          <t>PT. SAI - PPN - PF/FC (PDG)</t>
        </is>
      </c>
      <c r="AI4204" t="n">
        <v>838</v>
      </c>
      <c r="AJ4204" t="inlineStr">
        <is>
          <t>PINKFLASH</t>
        </is>
      </c>
      <c r="AK4204" t="n">
        <v>21</v>
      </c>
      <c r="AL4204" t="inlineStr">
        <is>
          <t>Miss Glam Damar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PINKFLASH</t>
        </is>
      </c>
      <c r="B4205" s="2">
        <f>"6941845806850"</f>
        <v/>
      </c>
      <c r="C4205" t="inlineStr">
        <is>
          <t>PINKFLASH Lasting Matte Foundation Pf-f03 04 25gr</t>
        </is>
      </c>
      <c r="D4205" t="inlineStr">
        <is>
          <t>Miss Glam Damar</t>
        </is>
      </c>
      <c r="E4205" t="n">
        <v>8</v>
      </c>
      <c r="F4205" t="n">
        <v>0.0273</v>
      </c>
      <c r="G4205" t="n">
        <v>0.91</v>
      </c>
      <c r="H4205" t="n">
        <v>2</v>
      </c>
      <c r="I4205" t="n">
        <v>5</v>
      </c>
      <c r="J4205" t="n">
        <v>3</v>
      </c>
      <c r="K4205" t="n">
        <v>0</v>
      </c>
      <c r="L4205" t="n">
        <v>23134</v>
      </c>
      <c r="M4205" t="n">
        <v>28000</v>
      </c>
      <c r="N4205" t="n">
        <v>91</v>
      </c>
      <c r="O4205" t="n">
        <v>0.91</v>
      </c>
      <c r="P4205" t="n">
        <v>1</v>
      </c>
      <c r="Q4205" t="n">
        <v>0.07000000000000001</v>
      </c>
      <c r="R4205" t="n">
        <v>1</v>
      </c>
      <c r="S4205" t="n">
        <v>764.4000000000001</v>
      </c>
      <c r="T4205" t="n">
        <v>5</v>
      </c>
      <c r="U4205" t="n">
        <v>6</v>
      </c>
      <c r="V4205" t="n">
        <v>30</v>
      </c>
      <c r="W4205" t="n">
        <v>1</v>
      </c>
      <c r="X4205" t="n">
        <v>293.040293040293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12515</v>
      </c>
      <c r="AG4205" t="n">
        <v>3501</v>
      </c>
      <c r="AH4205" t="inlineStr">
        <is>
          <t>PT. SAI - PPN - PF/FC (PDG)</t>
        </is>
      </c>
      <c r="AI4205" t="n">
        <v>838</v>
      </c>
      <c r="AJ4205" t="inlineStr">
        <is>
          <t>PINKFLASH</t>
        </is>
      </c>
      <c r="AK4205" t="n">
        <v>21</v>
      </c>
      <c r="AL4205" t="inlineStr">
        <is>
          <t>Miss Glam Damar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PINKFLASH</t>
        </is>
      </c>
      <c r="B4206" s="2">
        <f>"6941845808649"</f>
        <v/>
      </c>
      <c r="C4206" t="inlineStr">
        <is>
          <t>PINKFLASH Lasting Matte Lip Cream BB01 2.3g</t>
        </is>
      </c>
      <c r="D4206" t="inlineStr">
        <is>
          <t>Miss Glam Damar</t>
        </is>
      </c>
      <c r="E4206" t="n">
        <v>3</v>
      </c>
      <c r="F4206" t="n">
        <v>0.1092</v>
      </c>
      <c r="G4206" t="n">
        <v>1.82</v>
      </c>
      <c r="H4206" t="n">
        <v>2</v>
      </c>
      <c r="I4206" t="n">
        <v>5</v>
      </c>
      <c r="J4206" t="n">
        <v>3</v>
      </c>
      <c r="K4206" t="n">
        <v>0</v>
      </c>
      <c r="L4206" t="n">
        <v>12566</v>
      </c>
      <c r="M4206" t="n">
        <v>15000</v>
      </c>
      <c r="N4206" t="n">
        <v>91</v>
      </c>
      <c r="O4206" t="n">
        <v>0.91</v>
      </c>
      <c r="P4206" t="n">
        <v>1</v>
      </c>
      <c r="Q4206" t="n">
        <v>0.05</v>
      </c>
      <c r="R4206" t="n">
        <v>1</v>
      </c>
      <c r="S4206" t="n">
        <v>1638</v>
      </c>
      <c r="T4206" t="n">
        <v>9</v>
      </c>
      <c r="U4206" t="n">
        <v>10</v>
      </c>
      <c r="V4206" t="n">
        <v>30</v>
      </c>
      <c r="W4206" t="n">
        <v>4</v>
      </c>
      <c r="X4206" t="n">
        <v>27.47252747252747</v>
      </c>
      <c r="Y4206" t="n">
        <v>1</v>
      </c>
      <c r="Z4206" t="n">
        <v>1</v>
      </c>
      <c r="AA4206" t="n">
        <v>0</v>
      </c>
      <c r="AB4206" t="n">
        <v>1</v>
      </c>
      <c r="AC4206" t="n">
        <v>3</v>
      </c>
      <c r="AD4206" t="n">
        <v>0</v>
      </c>
      <c r="AE4206" t="n">
        <v>37698</v>
      </c>
      <c r="AF4206" t="n">
        <v>12515</v>
      </c>
      <c r="AG4206" t="n">
        <v>3501</v>
      </c>
      <c r="AH4206" t="inlineStr">
        <is>
          <t>PT. SAI - PPN - PF/FC (PDG)</t>
        </is>
      </c>
      <c r="AI4206" t="n">
        <v>838</v>
      </c>
      <c r="AJ4206" t="inlineStr">
        <is>
          <t>PINKFLASH</t>
        </is>
      </c>
      <c r="AK4206" t="n">
        <v>21</v>
      </c>
      <c r="AL4206" t="inlineStr">
        <is>
          <t>Miss Glam Damar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PINKFLASH</t>
        </is>
      </c>
      <c r="B4207" s="2">
        <f>"6941845808397"</f>
        <v/>
      </c>
      <c r="C4207" t="inlineStr">
        <is>
          <t>PINKFLASH Lasting Matte Lip Cream N04</t>
        </is>
      </c>
      <c r="D4207" t="inlineStr">
        <is>
          <t>Miss Glam Damar</t>
        </is>
      </c>
      <c r="E4207" t="n">
        <v>5</v>
      </c>
      <c r="F4207" t="n">
        <v>0.1092</v>
      </c>
      <c r="G4207" t="n">
        <v>0.91</v>
      </c>
      <c r="H4207" t="n">
        <v>2</v>
      </c>
      <c r="I4207" t="n">
        <v>5</v>
      </c>
      <c r="J4207" t="n">
        <v>3</v>
      </c>
      <c r="K4207" t="n">
        <v>0</v>
      </c>
      <c r="L4207" t="n">
        <v>11967</v>
      </c>
      <c r="M4207" t="n">
        <v>14500</v>
      </c>
      <c r="N4207" t="n">
        <v>91</v>
      </c>
      <c r="O4207" t="n">
        <v>0.91</v>
      </c>
      <c r="P4207" t="n">
        <v>1</v>
      </c>
      <c r="Q4207" t="n">
        <v>0.07000000000000001</v>
      </c>
      <c r="R4207" t="n">
        <v>1</v>
      </c>
      <c r="S4207" t="n">
        <v>1583.4</v>
      </c>
      <c r="T4207" t="n">
        <v>5</v>
      </c>
      <c r="U4207" t="n">
        <v>6</v>
      </c>
      <c r="V4207" t="n">
        <v>30</v>
      </c>
      <c r="W4207" t="n">
        <v>4</v>
      </c>
      <c r="X4207" t="n">
        <v>45.78754578754579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12515</v>
      </c>
      <c r="AG4207" t="n">
        <v>3501</v>
      </c>
      <c r="AH4207" t="inlineStr">
        <is>
          <t>PT. SAI - PPN - PF/FC (PDG)</t>
        </is>
      </c>
      <c r="AI4207" t="n">
        <v>838</v>
      </c>
      <c r="AJ4207" t="inlineStr">
        <is>
          <t>PINKFLASH</t>
        </is>
      </c>
      <c r="AK4207" t="n">
        <v>21</v>
      </c>
      <c r="AL4207" t="inlineStr">
        <is>
          <t>Miss Glam Damar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PINKFLASH</t>
        </is>
      </c>
      <c r="B4208" s="2">
        <f>"6941845808410"</f>
        <v/>
      </c>
      <c r="C4208" t="inlineStr">
        <is>
          <t>PINKFLASH Lasting Matte Lip Cream N05</t>
        </is>
      </c>
      <c r="D4208" t="inlineStr">
        <is>
          <t>Miss Glam Damar</t>
        </is>
      </c>
      <c r="E4208" t="n">
        <v>6</v>
      </c>
      <c r="F4208" t="n">
        <v>0.2639</v>
      </c>
      <c r="G4208" t="n">
        <v>1.82</v>
      </c>
      <c r="H4208" t="n">
        <v>2</v>
      </c>
      <c r="I4208" t="n">
        <v>5</v>
      </c>
      <c r="J4208" t="n">
        <v>3</v>
      </c>
      <c r="K4208" t="n">
        <v>0</v>
      </c>
      <c r="L4208" t="n">
        <v>12566</v>
      </c>
      <c r="M4208" t="n">
        <v>15000</v>
      </c>
      <c r="N4208" t="n">
        <v>91</v>
      </c>
      <c r="O4208" t="n">
        <v>0.91</v>
      </c>
      <c r="P4208" t="n">
        <v>1</v>
      </c>
      <c r="Q4208" t="n">
        <v>0.12</v>
      </c>
      <c r="R4208" t="n">
        <v>1</v>
      </c>
      <c r="S4208" t="n">
        <v>3958.5</v>
      </c>
      <c r="T4208" t="n">
        <v>9</v>
      </c>
      <c r="U4208" t="n">
        <v>10</v>
      </c>
      <c r="V4208" t="n">
        <v>30</v>
      </c>
      <c r="W4208" t="n">
        <v>8</v>
      </c>
      <c r="X4208" t="n">
        <v>22.73588480485033</v>
      </c>
      <c r="Y4208" t="n">
        <v>1</v>
      </c>
      <c r="Z4208" t="n">
        <v>2</v>
      </c>
      <c r="AA4208" t="n">
        <v>0</v>
      </c>
      <c r="AB4208" t="n">
        <v>2</v>
      </c>
      <c r="AC4208" t="n">
        <v>3</v>
      </c>
      <c r="AD4208" t="n">
        <v>0</v>
      </c>
      <c r="AE4208" t="n">
        <v>37698</v>
      </c>
      <c r="AF4208" t="n">
        <v>12515</v>
      </c>
      <c r="AG4208" t="n">
        <v>3501</v>
      </c>
      <c r="AH4208" t="inlineStr">
        <is>
          <t>PT. SAI - PPN - PF/FC (PDG)</t>
        </is>
      </c>
      <c r="AI4208" t="n">
        <v>838</v>
      </c>
      <c r="AJ4208" t="inlineStr">
        <is>
          <t>PINKFLASH</t>
        </is>
      </c>
      <c r="AK4208" t="n">
        <v>21</v>
      </c>
      <c r="AL4208" t="inlineStr">
        <is>
          <t>Miss Glam Damar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PINKFLASH</t>
        </is>
      </c>
      <c r="B4209" s="2">
        <f>"6941845808663"</f>
        <v/>
      </c>
      <c r="C4209" t="inlineStr">
        <is>
          <t>PINKFLASH Lasting Matte Lip Cream OR05</t>
        </is>
      </c>
      <c r="D4209" t="inlineStr">
        <is>
          <t>Miss Glam Damar</t>
        </is>
      </c>
      <c r="E4209" t="n">
        <v>2</v>
      </c>
      <c r="F4209" t="n">
        <v>0.0728</v>
      </c>
      <c r="G4209" t="n">
        <v>0.91</v>
      </c>
      <c r="H4209" t="n">
        <v>2</v>
      </c>
      <c r="I4209" t="n">
        <v>5</v>
      </c>
      <c r="J4209" t="n">
        <v>3</v>
      </c>
      <c r="K4209" t="n">
        <v>0</v>
      </c>
      <c r="L4209" t="n">
        <v>11967</v>
      </c>
      <c r="M4209" t="n">
        <v>14500</v>
      </c>
      <c r="N4209" t="n">
        <v>91</v>
      </c>
      <c r="O4209" t="n">
        <v>0.91</v>
      </c>
      <c r="P4209" t="n">
        <v>1</v>
      </c>
      <c r="Q4209" t="n">
        <v>0.02</v>
      </c>
      <c r="R4209" t="n">
        <v>1</v>
      </c>
      <c r="S4209" t="n">
        <v>1055.6</v>
      </c>
      <c r="T4209" t="n">
        <v>5</v>
      </c>
      <c r="U4209" t="n">
        <v>6</v>
      </c>
      <c r="V4209" t="n">
        <v>30</v>
      </c>
      <c r="W4209" t="n">
        <v>3</v>
      </c>
      <c r="X4209" t="n">
        <v>27.47252747252747</v>
      </c>
      <c r="Y4209" t="n">
        <v>1</v>
      </c>
      <c r="Z4209" t="n">
        <v>1</v>
      </c>
      <c r="AA4209" t="n">
        <v>0</v>
      </c>
      <c r="AB4209" t="n">
        <v>1</v>
      </c>
      <c r="AC4209" t="n">
        <v>3</v>
      </c>
      <c r="AD4209" t="n">
        <v>0</v>
      </c>
      <c r="AE4209" t="n">
        <v>35901</v>
      </c>
      <c r="AF4209" t="n">
        <v>12515</v>
      </c>
      <c r="AG4209" t="n">
        <v>3501</v>
      </c>
      <c r="AH4209" t="inlineStr">
        <is>
          <t>PT. SAI - PPN - PF/FC (PDG)</t>
        </is>
      </c>
      <c r="AI4209" t="n">
        <v>838</v>
      </c>
      <c r="AJ4209" t="inlineStr">
        <is>
          <t>PINKFLASH</t>
        </is>
      </c>
      <c r="AK4209" t="n">
        <v>21</v>
      </c>
      <c r="AL4209" t="inlineStr">
        <is>
          <t>Miss Glam Damar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PINKFLASH</t>
        </is>
      </c>
      <c r="B4210" s="2">
        <f>"6941845808557"</f>
        <v/>
      </c>
      <c r="C4210" t="inlineStr">
        <is>
          <t>PINKFLASH Lasting Matte Lip Cream P02</t>
        </is>
      </c>
      <c r="D4210" t="inlineStr">
        <is>
          <t>Miss Glam Damar</t>
        </is>
      </c>
      <c r="E4210" t="n">
        <v>7</v>
      </c>
      <c r="F4210" t="n">
        <v>0.2457</v>
      </c>
      <c r="G4210" t="n">
        <v>1.82</v>
      </c>
      <c r="H4210" t="n">
        <v>2</v>
      </c>
      <c r="I4210" t="n">
        <v>5</v>
      </c>
      <c r="J4210" t="n">
        <v>3</v>
      </c>
      <c r="K4210" t="n">
        <v>0</v>
      </c>
      <c r="L4210" t="n">
        <v>12472</v>
      </c>
      <c r="M4210" t="n">
        <v>15000</v>
      </c>
      <c r="N4210" t="n">
        <v>91</v>
      </c>
      <c r="O4210" t="n">
        <v>0.91</v>
      </c>
      <c r="P4210" t="n">
        <v>1</v>
      </c>
      <c r="Q4210" t="n">
        <v>0.15</v>
      </c>
      <c r="R4210" t="n">
        <v>2</v>
      </c>
      <c r="S4210" t="n">
        <v>3685.5</v>
      </c>
      <c r="T4210" t="n">
        <v>9</v>
      </c>
      <c r="U4210" t="n">
        <v>10</v>
      </c>
      <c r="V4210" t="n">
        <v>30</v>
      </c>
      <c r="W4210" t="n">
        <v>8</v>
      </c>
      <c r="X4210" t="n">
        <v>28.49002849002849</v>
      </c>
      <c r="Y4210" t="n">
        <v>1</v>
      </c>
      <c r="Z4210" t="n">
        <v>1</v>
      </c>
      <c r="AA4210" t="n">
        <v>0</v>
      </c>
      <c r="AB4210" t="n">
        <v>1</v>
      </c>
      <c r="AC4210" t="n">
        <v>3</v>
      </c>
      <c r="AD4210" t="n">
        <v>0</v>
      </c>
      <c r="AE4210" t="n">
        <v>37416</v>
      </c>
      <c r="AF4210" t="n">
        <v>12515</v>
      </c>
      <c r="AG4210" t="n">
        <v>3501</v>
      </c>
      <c r="AH4210" t="inlineStr">
        <is>
          <t>PT. SAI - PPN - PF/FC (PDG)</t>
        </is>
      </c>
      <c r="AI4210" t="n">
        <v>838</v>
      </c>
      <c r="AJ4210" t="inlineStr">
        <is>
          <t>PINKFLASH</t>
        </is>
      </c>
      <c r="AK4210" t="n">
        <v>21</v>
      </c>
      <c r="AL4210" t="inlineStr">
        <is>
          <t>Miss Glam Damar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PINKFLASH</t>
        </is>
      </c>
      <c r="B4211" s="2">
        <f>"203002203354"</f>
        <v/>
      </c>
      <c r="C4211" t="inlineStr">
        <is>
          <t>PINKFLASH Lasting Matte Lipcream PF- L01 R03 2.3gr</t>
        </is>
      </c>
      <c r="D4211" t="inlineStr">
        <is>
          <t>Miss Glam Damar</t>
        </is>
      </c>
      <c r="E4211" t="n">
        <v>17</v>
      </c>
      <c r="F4211" t="n">
        <v>0.0182</v>
      </c>
      <c r="G4211" t="n">
        <v>0.91</v>
      </c>
      <c r="H4211" t="n">
        <v>2</v>
      </c>
      <c r="I4211" t="n">
        <v>5</v>
      </c>
      <c r="J4211" t="n">
        <v>1</v>
      </c>
      <c r="K4211" t="n">
        <v>0</v>
      </c>
      <c r="L4211" t="n">
        <v>12566</v>
      </c>
      <c r="M4211" t="n">
        <v>15000</v>
      </c>
      <c r="N4211" t="n">
        <v>91</v>
      </c>
      <c r="O4211" t="n">
        <v>0.91</v>
      </c>
      <c r="P4211" t="n">
        <v>1</v>
      </c>
      <c r="Q4211" t="n">
        <v>0.12</v>
      </c>
      <c r="R4211" t="n">
        <v>1</v>
      </c>
      <c r="S4211" t="n">
        <v>273</v>
      </c>
      <c r="T4211" t="n">
        <v>5</v>
      </c>
      <c r="U4211" t="n">
        <v>6</v>
      </c>
      <c r="V4211" t="n">
        <v>30</v>
      </c>
      <c r="W4211" t="n">
        <v>1</v>
      </c>
      <c r="X4211" t="n">
        <v>934.065934065934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12515</v>
      </c>
      <c r="AG4211" t="n">
        <v>3501</v>
      </c>
      <c r="AH4211" t="inlineStr">
        <is>
          <t>PT. SAI - PPN - PF/FC (PDG)</t>
        </is>
      </c>
      <c r="AI4211" t="n">
        <v>838</v>
      </c>
      <c r="AJ4211" t="inlineStr">
        <is>
          <t>PINKFLASH</t>
        </is>
      </c>
      <c r="AK4211" t="n">
        <v>21</v>
      </c>
      <c r="AL4211" t="inlineStr">
        <is>
          <t>Miss Glam Damar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PINKFLASH</t>
        </is>
      </c>
      <c r="B4212" s="2">
        <f>"6941845808519"</f>
        <v/>
      </c>
      <c r="C4212" t="inlineStr">
        <is>
          <t>PINKFLASH Lasting Matte Lipcream PF-L01 004 2,3gr</t>
        </is>
      </c>
      <c r="D4212" t="inlineStr">
        <is>
          <t>Miss Glam Damar</t>
        </is>
      </c>
      <c r="E4212" t="n">
        <v>5</v>
      </c>
      <c r="F4212" t="n">
        <v>0.04550000000000001</v>
      </c>
      <c r="G4212" t="n">
        <v>1.82</v>
      </c>
      <c r="H4212" t="n">
        <v>2</v>
      </c>
      <c r="I4212" t="n">
        <v>5</v>
      </c>
      <c r="J4212" t="n">
        <v>3</v>
      </c>
      <c r="K4212" t="n">
        <v>0</v>
      </c>
      <c r="L4212" t="n">
        <v>12685</v>
      </c>
      <c r="M4212" t="n">
        <v>15000</v>
      </c>
      <c r="N4212" t="n">
        <v>91</v>
      </c>
      <c r="O4212" t="n">
        <v>0.91</v>
      </c>
      <c r="P4212" t="n">
        <v>1</v>
      </c>
      <c r="Q4212" t="n">
        <v>0.08</v>
      </c>
      <c r="R4212" t="n">
        <v>1</v>
      </c>
      <c r="S4212" t="n">
        <v>682.5000000000001</v>
      </c>
      <c r="T4212" t="n">
        <v>10</v>
      </c>
      <c r="U4212" t="n">
        <v>11</v>
      </c>
      <c r="V4212" t="n">
        <v>30</v>
      </c>
      <c r="W4212" t="n">
        <v>2</v>
      </c>
      <c r="X4212" t="n">
        <v>109.8901098901099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12515</v>
      </c>
      <c r="AG4212" t="n">
        <v>3501</v>
      </c>
      <c r="AH4212" t="inlineStr">
        <is>
          <t>PT. SAI - PPN - PF/FC (PDG)</t>
        </is>
      </c>
      <c r="AI4212" t="n">
        <v>838</v>
      </c>
      <c r="AJ4212" t="inlineStr">
        <is>
          <t>PINKFLASH</t>
        </is>
      </c>
      <c r="AK4212" t="n">
        <v>21</v>
      </c>
      <c r="AL4212" t="inlineStr">
        <is>
          <t>Miss Glam Damar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PINKFLASH</t>
        </is>
      </c>
      <c r="B4213" s="2">
        <f>"6927545992338"</f>
        <v/>
      </c>
      <c r="C4213" t="inlineStr">
        <is>
          <t>PINKFLASH Lasting Matte Lipcream Pf-L01 O03 2.3ml</t>
        </is>
      </c>
      <c r="D4213" t="inlineStr">
        <is>
          <t>Miss Glam Damar</t>
        </is>
      </c>
      <c r="E4213" t="n">
        <v>7</v>
      </c>
      <c r="F4213" t="n">
        <v>0.1092</v>
      </c>
      <c r="G4213" t="n">
        <v>0.91</v>
      </c>
      <c r="H4213" t="n">
        <v>2</v>
      </c>
      <c r="I4213" t="n">
        <v>5</v>
      </c>
      <c r="J4213" t="n">
        <v>3</v>
      </c>
      <c r="K4213" t="n">
        <v>0</v>
      </c>
      <c r="L4213" t="n">
        <v>12506</v>
      </c>
      <c r="M4213" t="n">
        <v>17000</v>
      </c>
      <c r="N4213" t="n">
        <v>91</v>
      </c>
      <c r="O4213" t="n">
        <v>0.91</v>
      </c>
      <c r="P4213" t="n">
        <v>1</v>
      </c>
      <c r="Q4213" t="n">
        <v>0.12</v>
      </c>
      <c r="R4213" t="n">
        <v>1</v>
      </c>
      <c r="S4213" t="n">
        <v>1856.4</v>
      </c>
      <c r="T4213" t="n">
        <v>5</v>
      </c>
      <c r="U4213" t="n">
        <v>6</v>
      </c>
      <c r="V4213" t="n">
        <v>30</v>
      </c>
      <c r="W4213" t="n">
        <v>4</v>
      </c>
      <c r="X4213" t="n">
        <v>64.1025641025641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12515</v>
      </c>
      <c r="AG4213" t="n">
        <v>3501</v>
      </c>
      <c r="AH4213" t="inlineStr">
        <is>
          <t>PT. SAI - PPN - PF/FC (PDG)</t>
        </is>
      </c>
      <c r="AI4213" t="n">
        <v>838</v>
      </c>
      <c r="AJ4213" t="inlineStr">
        <is>
          <t>PINKFLASH</t>
        </is>
      </c>
      <c r="AK4213" t="n">
        <v>21</v>
      </c>
      <c r="AL4213" t="inlineStr">
        <is>
          <t>Miss Glam Damar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PINKFLASH</t>
        </is>
      </c>
      <c r="B4214" s="2">
        <f>"6941845808595"</f>
        <v/>
      </c>
      <c r="C4214" t="inlineStr">
        <is>
          <t>PINKFLASH Lasting Matte Lipcream Pf-L01 P04 2.3ml</t>
        </is>
      </c>
      <c r="D4214" t="inlineStr">
        <is>
          <t>Miss Glam Damar</t>
        </is>
      </c>
      <c r="E4214" t="n">
        <v>3</v>
      </c>
      <c r="F4214" t="n">
        <v>0.182</v>
      </c>
      <c r="G4214" t="n">
        <v>0.91</v>
      </c>
      <c r="H4214" t="n">
        <v>2</v>
      </c>
      <c r="I4214" t="n">
        <v>5</v>
      </c>
      <c r="J4214" t="n">
        <v>3</v>
      </c>
      <c r="K4214" t="n">
        <v>0</v>
      </c>
      <c r="L4214" t="n">
        <v>12416</v>
      </c>
      <c r="M4214" t="n">
        <v>15000</v>
      </c>
      <c r="N4214" t="n">
        <v>91</v>
      </c>
      <c r="O4214" t="n">
        <v>0.91</v>
      </c>
      <c r="P4214" t="n">
        <v>1</v>
      </c>
      <c r="Q4214" t="n">
        <v>0.03</v>
      </c>
      <c r="R4214" t="n">
        <v>1</v>
      </c>
      <c r="S4214" t="n">
        <v>2730</v>
      </c>
      <c r="T4214" t="n">
        <v>5</v>
      </c>
      <c r="U4214" t="n">
        <v>6</v>
      </c>
      <c r="V4214" t="n">
        <v>30</v>
      </c>
      <c r="W4214" t="n">
        <v>6</v>
      </c>
      <c r="X4214" t="n">
        <v>16.48351648351648</v>
      </c>
      <c r="Y4214" t="n">
        <v>1</v>
      </c>
      <c r="Z4214" t="n">
        <v>3</v>
      </c>
      <c r="AA4214" t="n">
        <v>0</v>
      </c>
      <c r="AB4214" t="n">
        <v>3</v>
      </c>
      <c r="AC4214" t="n">
        <v>3</v>
      </c>
      <c r="AD4214" t="n">
        <v>0</v>
      </c>
      <c r="AE4214" t="n">
        <v>37248</v>
      </c>
      <c r="AF4214" t="n">
        <v>12515</v>
      </c>
      <c r="AG4214" t="n">
        <v>3501</v>
      </c>
      <c r="AH4214" t="inlineStr">
        <is>
          <t>PT. SAI - PPN - PF/FC (PDG)</t>
        </is>
      </c>
      <c r="AI4214" t="n">
        <v>838</v>
      </c>
      <c r="AJ4214" t="inlineStr">
        <is>
          <t>PINKFLASH</t>
        </is>
      </c>
      <c r="AK4214" t="n">
        <v>21</v>
      </c>
      <c r="AL4214" t="inlineStr">
        <is>
          <t>Miss Glam Damar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PINKFLASH</t>
        </is>
      </c>
      <c r="B4215" s="2">
        <f>"6941845808601"</f>
        <v/>
      </c>
      <c r="C4215" t="inlineStr">
        <is>
          <t>PINKFLASH Lasting Matte Lipcream PF-L01 R01</t>
        </is>
      </c>
      <c r="D4215" t="inlineStr">
        <is>
          <t>Miss Glam Damar</t>
        </is>
      </c>
      <c r="E4215" t="n">
        <v>3</v>
      </c>
      <c r="F4215" t="n">
        <v>0.03</v>
      </c>
      <c r="G4215" t="n">
        <v>1</v>
      </c>
      <c r="H4215" t="n">
        <v>2</v>
      </c>
      <c r="I4215" t="n">
        <v>5</v>
      </c>
      <c r="J4215" t="n">
        <v>3</v>
      </c>
      <c r="K4215" t="n">
        <v>0</v>
      </c>
      <c r="L4215" t="n">
        <v>11967</v>
      </c>
      <c r="M4215" t="n">
        <v>14500</v>
      </c>
      <c r="N4215" t="n">
        <v>91</v>
      </c>
      <c r="O4215" t="n">
        <v>0.91</v>
      </c>
      <c r="P4215" t="n">
        <v>0</v>
      </c>
      <c r="Q4215" t="n">
        <v>0.03</v>
      </c>
      <c r="R4215" t="n">
        <v>1</v>
      </c>
      <c r="S4215" t="n">
        <v>435</v>
      </c>
      <c r="T4215" t="n">
        <v>5</v>
      </c>
      <c r="U4215" t="n">
        <v>6</v>
      </c>
      <c r="V4215" t="n">
        <v>30</v>
      </c>
      <c r="W4215" t="n">
        <v>1</v>
      </c>
      <c r="X4215" t="n">
        <v>100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12515</v>
      </c>
      <c r="AG4215" t="n">
        <v>3501</v>
      </c>
      <c r="AH4215" t="inlineStr">
        <is>
          <t>PT. SAI - PPN - PF/FC (PDG)</t>
        </is>
      </c>
      <c r="AI4215" t="n">
        <v>838</v>
      </c>
      <c r="AJ4215" t="inlineStr">
        <is>
          <t>PINKFLASH</t>
        </is>
      </c>
      <c r="AK4215" t="n">
        <v>21</v>
      </c>
      <c r="AL4215" t="inlineStr">
        <is>
          <t>Miss Glam Damar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PINKFLASH</t>
        </is>
      </c>
      <c r="B4216" s="2">
        <f>"6941845808458"</f>
        <v/>
      </c>
      <c r="C4216" t="inlineStr">
        <is>
          <t>PINKFLASH Lasting Matte Lipcream-001</t>
        </is>
      </c>
      <c r="D4216" t="inlineStr">
        <is>
          <t>Miss Glam Damar</t>
        </is>
      </c>
      <c r="E4216" t="n">
        <v>9</v>
      </c>
      <c r="F4216" t="n">
        <v>0.14</v>
      </c>
      <c r="G4216" t="n">
        <v>2</v>
      </c>
      <c r="H4216" t="n">
        <v>2</v>
      </c>
      <c r="I4216" t="n">
        <v>5</v>
      </c>
      <c r="J4216" t="n">
        <v>3</v>
      </c>
      <c r="K4216" t="n">
        <v>0</v>
      </c>
      <c r="L4216" t="n">
        <v>11967</v>
      </c>
      <c r="M4216" t="n">
        <v>14500</v>
      </c>
      <c r="N4216" t="n">
        <v>91</v>
      </c>
      <c r="O4216" t="n">
        <v>0.91</v>
      </c>
      <c r="P4216" t="n">
        <v>0</v>
      </c>
      <c r="Q4216" t="n">
        <v>0.14</v>
      </c>
      <c r="R4216" t="n">
        <v>2</v>
      </c>
      <c r="S4216" t="n">
        <v>2030</v>
      </c>
      <c r="T4216" t="n">
        <v>10</v>
      </c>
      <c r="U4216" t="n">
        <v>11</v>
      </c>
      <c r="V4216" t="n">
        <v>30</v>
      </c>
      <c r="W4216" t="n">
        <v>5</v>
      </c>
      <c r="X4216" t="n">
        <v>64.28571428571428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12515</v>
      </c>
      <c r="AG4216" t="n">
        <v>3501</v>
      </c>
      <c r="AH4216" t="inlineStr">
        <is>
          <t>PT. SAI - PPN - PF/FC (PDG)</t>
        </is>
      </c>
      <c r="AI4216" t="n">
        <v>838</v>
      </c>
      <c r="AJ4216" t="inlineStr">
        <is>
          <t>PINKFLASH</t>
        </is>
      </c>
      <c r="AK4216" t="n">
        <v>21</v>
      </c>
      <c r="AL4216" t="inlineStr">
        <is>
          <t>Miss Glam Damar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PINKFLASH</t>
        </is>
      </c>
      <c r="B4217" s="2">
        <f>"6941845808151"</f>
        <v/>
      </c>
      <c r="C4217" t="inlineStr">
        <is>
          <t>PINKFLASH Lasting Matte Loose Powder #111 6gr</t>
        </is>
      </c>
      <c r="D4217" t="inlineStr">
        <is>
          <t>Miss Glam Damar</t>
        </is>
      </c>
      <c r="E4217" t="n">
        <v>10</v>
      </c>
      <c r="F4217" t="n">
        <v>0.3367</v>
      </c>
      <c r="G4217" t="n">
        <v>1.82</v>
      </c>
      <c r="H4217" t="n">
        <v>2</v>
      </c>
      <c r="I4217" t="n">
        <v>5</v>
      </c>
      <c r="J4217" t="n">
        <v>3</v>
      </c>
      <c r="K4217" t="n">
        <v>0</v>
      </c>
      <c r="L4217" t="n">
        <v>21640</v>
      </c>
      <c r="M4217" t="n">
        <v>26000</v>
      </c>
      <c r="N4217" t="n">
        <v>91</v>
      </c>
      <c r="O4217" t="n">
        <v>0.91</v>
      </c>
      <c r="P4217" t="n">
        <v>1</v>
      </c>
      <c r="Q4217" t="n">
        <v>0.34</v>
      </c>
      <c r="R4217" t="n">
        <v>2</v>
      </c>
      <c r="S4217" t="n">
        <v>8754.200000000001</v>
      </c>
      <c r="T4217" t="n">
        <v>9</v>
      </c>
      <c r="U4217" t="n">
        <v>10</v>
      </c>
      <c r="V4217" t="n">
        <v>30</v>
      </c>
      <c r="W4217" t="n">
        <v>11</v>
      </c>
      <c r="X4217" t="n">
        <v>29.7000297000297</v>
      </c>
      <c r="Y4217" t="n">
        <v>1</v>
      </c>
      <c r="Z4217" t="n">
        <v>1</v>
      </c>
      <c r="AA4217" t="n">
        <v>0</v>
      </c>
      <c r="AB4217" t="n">
        <v>1</v>
      </c>
      <c r="AC4217" t="n">
        <v>3</v>
      </c>
      <c r="AD4217" t="n">
        <v>0</v>
      </c>
      <c r="AE4217" t="n">
        <v>64920</v>
      </c>
      <c r="AF4217" t="n">
        <v>12515</v>
      </c>
      <c r="AG4217" t="n">
        <v>3501</v>
      </c>
      <c r="AH4217" t="inlineStr">
        <is>
          <t>PT. SAI - PPN - PF/FC (PDG)</t>
        </is>
      </c>
      <c r="AI4217" t="n">
        <v>838</v>
      </c>
      <c r="AJ4217" t="inlineStr">
        <is>
          <t>PINKFLASH</t>
        </is>
      </c>
      <c r="AK4217" t="n">
        <v>21</v>
      </c>
      <c r="AL4217" t="inlineStr">
        <is>
          <t>Miss Glam Damar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PINKFLASH</t>
        </is>
      </c>
      <c r="B4218" s="2">
        <f>"6941845808168"</f>
        <v/>
      </c>
      <c r="C4218" t="inlineStr">
        <is>
          <t>PINKFLASH Lasting Matte Loose Powder #222 New 6gr</t>
        </is>
      </c>
      <c r="D4218" t="inlineStr">
        <is>
          <t>Miss Glam Damar</t>
        </is>
      </c>
      <c r="E4218" t="n">
        <v>7</v>
      </c>
      <c r="F4218" t="n">
        <v>0.2639</v>
      </c>
      <c r="G4218" t="n">
        <v>1.82</v>
      </c>
      <c r="H4218" t="n">
        <v>2</v>
      </c>
      <c r="I4218" t="n">
        <v>5</v>
      </c>
      <c r="J4218" t="n">
        <v>3</v>
      </c>
      <c r="K4218" t="n">
        <v>0</v>
      </c>
      <c r="L4218" t="n">
        <v>21640</v>
      </c>
      <c r="M4218" t="n">
        <v>26000</v>
      </c>
      <c r="N4218" t="n">
        <v>91</v>
      </c>
      <c r="O4218" t="n">
        <v>0.91</v>
      </c>
      <c r="P4218" t="n">
        <v>1</v>
      </c>
      <c r="Q4218" t="n">
        <v>0.17</v>
      </c>
      <c r="R4218" t="n">
        <v>2</v>
      </c>
      <c r="S4218" t="n">
        <v>6861.399999999999</v>
      </c>
      <c r="T4218" t="n">
        <v>9</v>
      </c>
      <c r="U4218" t="n">
        <v>10</v>
      </c>
      <c r="V4218" t="n">
        <v>30</v>
      </c>
      <c r="W4218" t="n">
        <v>8</v>
      </c>
      <c r="X4218" t="n">
        <v>26.52519893899204</v>
      </c>
      <c r="Y4218" t="n">
        <v>1</v>
      </c>
      <c r="Z4218" t="n">
        <v>1</v>
      </c>
      <c r="AA4218" t="n">
        <v>0</v>
      </c>
      <c r="AB4218" t="n">
        <v>1</v>
      </c>
      <c r="AC4218" t="n">
        <v>3</v>
      </c>
      <c r="AD4218" t="n">
        <v>0</v>
      </c>
      <c r="AE4218" t="n">
        <v>64920</v>
      </c>
      <c r="AF4218" t="n">
        <v>12515</v>
      </c>
      <c r="AG4218" t="n">
        <v>3501</v>
      </c>
      <c r="AH4218" t="inlineStr">
        <is>
          <t>PT. SAI - PPN - PF/FC (PDG)</t>
        </is>
      </c>
      <c r="AI4218" t="n">
        <v>838</v>
      </c>
      <c r="AJ4218" t="inlineStr">
        <is>
          <t>PINKFLASH</t>
        </is>
      </c>
      <c r="AK4218" t="n">
        <v>21</v>
      </c>
      <c r="AL4218" t="inlineStr">
        <is>
          <t>Miss Glam Damar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PINKFLASH</t>
        </is>
      </c>
      <c r="B4219" s="2">
        <f>"6941845808144"</f>
        <v/>
      </c>
      <c r="C4219" t="inlineStr">
        <is>
          <t>PINKFLASH Lasting Matte Loose Powder PF-F06 000 6gr</t>
        </is>
      </c>
      <c r="D4219" t="inlineStr">
        <is>
          <t>Miss Glam Damar</t>
        </is>
      </c>
      <c r="E4219" t="n">
        <v>7</v>
      </c>
      <c r="F4219" t="n">
        <v>0.1729</v>
      </c>
      <c r="G4219" t="n">
        <v>2.73</v>
      </c>
      <c r="H4219" t="n">
        <v>2</v>
      </c>
      <c r="I4219" t="n">
        <v>5</v>
      </c>
      <c r="J4219" t="n">
        <v>3</v>
      </c>
      <c r="K4219" t="n">
        <v>0</v>
      </c>
      <c r="L4219" t="n">
        <v>21640</v>
      </c>
      <c r="M4219" t="n">
        <v>26000</v>
      </c>
      <c r="N4219" t="n">
        <v>91</v>
      </c>
      <c r="O4219" t="n">
        <v>0.91</v>
      </c>
      <c r="P4219" t="n">
        <v>1</v>
      </c>
      <c r="Q4219" t="n">
        <v>0.15</v>
      </c>
      <c r="R4219" t="n">
        <v>2</v>
      </c>
      <c r="S4219" t="n">
        <v>4495.4</v>
      </c>
      <c r="T4219" t="n">
        <v>14</v>
      </c>
      <c r="U4219" t="n">
        <v>15</v>
      </c>
      <c r="V4219" t="n">
        <v>30</v>
      </c>
      <c r="W4219" t="n">
        <v>6</v>
      </c>
      <c r="X4219" t="n">
        <v>40.48582995951417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12515</v>
      </c>
      <c r="AG4219" t="n">
        <v>3501</v>
      </c>
      <c r="AH4219" t="inlineStr">
        <is>
          <t>PT. SAI - PPN - PF/FC (PDG)</t>
        </is>
      </c>
      <c r="AI4219" t="n">
        <v>838</v>
      </c>
      <c r="AJ4219" t="inlineStr">
        <is>
          <t>PINKFLASH</t>
        </is>
      </c>
      <c r="AK4219" t="n">
        <v>21</v>
      </c>
      <c r="AL4219" t="inlineStr">
        <is>
          <t>Miss Glam Damar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PINKFLASH</t>
        </is>
      </c>
      <c r="B4220" s="2">
        <f>"6974908113046"</f>
        <v/>
      </c>
      <c r="C4220" t="inlineStr">
        <is>
          <t>PINKFLASH Lasting Moist Lip Balm Pf-L03 #4</t>
        </is>
      </c>
      <c r="D4220" t="inlineStr">
        <is>
          <t>Miss Glam Damar</t>
        </is>
      </c>
      <c r="E4220" t="n">
        <v>66</v>
      </c>
      <c r="F4220" t="n">
        <v>1.7745</v>
      </c>
      <c r="G4220" t="n">
        <v>8.19</v>
      </c>
      <c r="H4220" t="n">
        <v>2</v>
      </c>
      <c r="I4220" t="n">
        <v>5</v>
      </c>
      <c r="J4220" t="n">
        <v>3</v>
      </c>
      <c r="K4220" t="n">
        <v>0</v>
      </c>
      <c r="L4220" t="n">
        <v>14662</v>
      </c>
      <c r="M4220" t="n">
        <v>17500</v>
      </c>
      <c r="N4220" t="n">
        <v>91</v>
      </c>
      <c r="O4220" t="n">
        <v>0.91</v>
      </c>
      <c r="P4220" t="n">
        <v>1</v>
      </c>
      <c r="Q4220" t="n">
        <v>1.95</v>
      </c>
      <c r="R4220" t="n">
        <v>8</v>
      </c>
      <c r="S4220" t="n">
        <v>31053.75</v>
      </c>
      <c r="T4220" t="n">
        <v>38</v>
      </c>
      <c r="U4220" t="n">
        <v>42</v>
      </c>
      <c r="V4220" t="n">
        <v>30</v>
      </c>
      <c r="W4220" t="n">
        <v>54</v>
      </c>
      <c r="X4220" t="n">
        <v>37.19357565511412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12515</v>
      </c>
      <c r="AG4220" t="n">
        <v>3501</v>
      </c>
      <c r="AH4220" t="inlineStr">
        <is>
          <t>PT. SAI - PPN - PF/FC (PDG)</t>
        </is>
      </c>
      <c r="AI4220" t="n">
        <v>838</v>
      </c>
      <c r="AJ4220" t="inlineStr">
        <is>
          <t>PINKFLASH</t>
        </is>
      </c>
      <c r="AK4220" t="n">
        <v>21</v>
      </c>
      <c r="AL4220" t="inlineStr">
        <is>
          <t>Miss Glam Damar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PINKFLASH</t>
        </is>
      </c>
      <c r="B4221" s="2">
        <f>"6941845808328"</f>
        <v/>
      </c>
      <c r="C4221" t="inlineStr">
        <is>
          <t>PINKFLASH Lengthening Waterproof Micro Brush Mascara PF-E10 5,0gr</t>
        </is>
      </c>
      <c r="D4221" t="inlineStr">
        <is>
          <t>Miss Glam Damar</t>
        </is>
      </c>
      <c r="E4221" t="n">
        <v>12</v>
      </c>
      <c r="F4221" t="n">
        <v>0.27</v>
      </c>
      <c r="G4221" t="n">
        <v>3</v>
      </c>
      <c r="H4221" t="n">
        <v>2</v>
      </c>
      <c r="I4221" t="n">
        <v>5</v>
      </c>
      <c r="J4221" t="n">
        <v>3</v>
      </c>
      <c r="K4221" t="n">
        <v>0</v>
      </c>
      <c r="L4221" t="n">
        <v>22014</v>
      </c>
      <c r="M4221" t="n">
        <v>26500</v>
      </c>
      <c r="N4221" t="n">
        <v>91</v>
      </c>
      <c r="O4221" t="n">
        <v>0.91</v>
      </c>
      <c r="P4221" t="n">
        <v>0</v>
      </c>
      <c r="Q4221" t="n">
        <v>0.27</v>
      </c>
      <c r="R4221" t="n">
        <v>3</v>
      </c>
      <c r="S4221" t="n">
        <v>7155.000000000001</v>
      </c>
      <c r="T4221" t="n">
        <v>15</v>
      </c>
      <c r="U4221" t="n">
        <v>16</v>
      </c>
      <c r="V4221" t="n">
        <v>30</v>
      </c>
      <c r="W4221" t="n">
        <v>9</v>
      </c>
      <c r="X4221" t="n">
        <v>44.44444444444444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12515</v>
      </c>
      <c r="AG4221" t="n">
        <v>3501</v>
      </c>
      <c r="AH4221" t="inlineStr">
        <is>
          <t>PT. SAI - PPN - PF/FC (PDG)</t>
        </is>
      </c>
      <c r="AI4221" t="n">
        <v>838</v>
      </c>
      <c r="AJ4221" t="inlineStr">
        <is>
          <t>PINKFLASH</t>
        </is>
      </c>
      <c r="AK4221" t="n">
        <v>21</v>
      </c>
      <c r="AL4221" t="inlineStr">
        <is>
          <t>Miss Glam Damar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PINKFLASH</t>
        </is>
      </c>
      <c r="B4222" s="2">
        <f>"203002196201"</f>
        <v/>
      </c>
      <c r="C4222" t="inlineStr">
        <is>
          <t>PINKFLASH Lip Cream NU01 2.gr</t>
        </is>
      </c>
      <c r="D4222" t="inlineStr">
        <is>
          <t>Miss Glam Damar</t>
        </is>
      </c>
      <c r="E4222" t="n">
        <v>8</v>
      </c>
      <c r="F4222" t="n">
        <v>0.09100000000000001</v>
      </c>
      <c r="G4222" t="n">
        <v>0.91</v>
      </c>
      <c r="H4222" t="n">
        <v>2</v>
      </c>
      <c r="I4222" t="n">
        <v>5</v>
      </c>
      <c r="J4222" t="n">
        <v>1</v>
      </c>
      <c r="K4222" t="n">
        <v>0</v>
      </c>
      <c r="L4222" t="n">
        <v>28116</v>
      </c>
      <c r="M4222" t="n">
        <v>33500</v>
      </c>
      <c r="N4222" t="n">
        <v>91</v>
      </c>
      <c r="O4222" t="n">
        <v>0.91</v>
      </c>
      <c r="P4222" t="n">
        <v>1</v>
      </c>
      <c r="Q4222" t="n">
        <v>0.17</v>
      </c>
      <c r="R4222" t="n">
        <v>1</v>
      </c>
      <c r="S4222" t="n">
        <v>3048.5</v>
      </c>
      <c r="T4222" t="n">
        <v>5</v>
      </c>
      <c r="U4222" t="n">
        <v>6</v>
      </c>
      <c r="V4222" t="n">
        <v>30</v>
      </c>
      <c r="W4222" t="n">
        <v>3</v>
      </c>
      <c r="X4222" t="n">
        <v>87.9120879120879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12515</v>
      </c>
      <c r="AG4222" t="n">
        <v>3501</v>
      </c>
      <c r="AH4222" t="inlineStr">
        <is>
          <t>PT. SAI - PPN - PF/FC (PDG)</t>
        </is>
      </c>
      <c r="AI4222" t="n">
        <v>838</v>
      </c>
      <c r="AJ4222" t="inlineStr">
        <is>
          <t>PINKFLASH</t>
        </is>
      </c>
      <c r="AK4222" t="n">
        <v>21</v>
      </c>
      <c r="AL4222" t="inlineStr">
        <is>
          <t>Miss Glam Damar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PINKFLASH</t>
        </is>
      </c>
      <c r="B4223" s="2">
        <f>"203002196502"</f>
        <v/>
      </c>
      <c r="C4223" t="inlineStr">
        <is>
          <t>PINKFLASH Lip Cream NU02 2.g</t>
        </is>
      </c>
      <c r="D4223" t="inlineStr">
        <is>
          <t>Miss Glam Damar</t>
        </is>
      </c>
      <c r="E4223" t="n">
        <v>6</v>
      </c>
      <c r="F4223" t="n">
        <v>0.3003</v>
      </c>
      <c r="G4223" t="n">
        <v>2.73</v>
      </c>
      <c r="H4223" t="n">
        <v>2</v>
      </c>
      <c r="I4223" t="n">
        <v>5</v>
      </c>
      <c r="J4223" t="n">
        <v>1</v>
      </c>
      <c r="K4223" t="n">
        <v>0</v>
      </c>
      <c r="L4223" t="n">
        <v>28116</v>
      </c>
      <c r="M4223" t="n">
        <v>33500</v>
      </c>
      <c r="N4223" t="n">
        <v>91</v>
      </c>
      <c r="O4223" t="n">
        <v>0.91</v>
      </c>
      <c r="P4223" t="n">
        <v>1</v>
      </c>
      <c r="Q4223" t="n">
        <v>0.25</v>
      </c>
      <c r="R4223" t="n">
        <v>2</v>
      </c>
      <c r="S4223" t="n">
        <v>10060.05</v>
      </c>
      <c r="T4223" t="n">
        <v>14</v>
      </c>
      <c r="U4223" t="n">
        <v>15</v>
      </c>
      <c r="V4223" t="n">
        <v>30</v>
      </c>
      <c r="W4223" t="n">
        <v>10</v>
      </c>
      <c r="X4223" t="n">
        <v>19.98001998001998</v>
      </c>
      <c r="Y4223" t="n">
        <v>1</v>
      </c>
      <c r="Z4223" t="n">
        <v>4</v>
      </c>
      <c r="AA4223" t="n">
        <v>0</v>
      </c>
      <c r="AB4223" t="n">
        <v>4</v>
      </c>
      <c r="AC4223" t="n">
        <v>4</v>
      </c>
      <c r="AD4223" t="n">
        <v>0</v>
      </c>
      <c r="AE4223" t="n">
        <v>112464</v>
      </c>
      <c r="AF4223" t="n">
        <v>12515</v>
      </c>
      <c r="AG4223" t="n">
        <v>3501</v>
      </c>
      <c r="AH4223" t="inlineStr">
        <is>
          <t>PT. SAI - PPN - PF/FC (PDG)</t>
        </is>
      </c>
      <c r="AI4223" t="n">
        <v>838</v>
      </c>
      <c r="AJ4223" t="inlineStr">
        <is>
          <t>PINKFLASH</t>
        </is>
      </c>
      <c r="AK4223" t="n">
        <v>21</v>
      </c>
      <c r="AL4223" t="inlineStr">
        <is>
          <t>Miss Glam Damar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PINKFLASH</t>
        </is>
      </c>
      <c r="B4224" s="2">
        <f>"203002196641"</f>
        <v/>
      </c>
      <c r="C4224" t="inlineStr">
        <is>
          <t>PINKFLASH Lip Cream PK01 2.g</t>
        </is>
      </c>
      <c r="D4224" t="inlineStr">
        <is>
          <t>Miss Glam Damar</t>
        </is>
      </c>
      <c r="E4224" t="n">
        <v>8</v>
      </c>
      <c r="F4224" t="n">
        <v>0.2275</v>
      </c>
      <c r="G4224" t="n">
        <v>0.91</v>
      </c>
      <c r="H4224" t="n">
        <v>2</v>
      </c>
      <c r="I4224" t="n">
        <v>5</v>
      </c>
      <c r="J4224" t="n">
        <v>1</v>
      </c>
      <c r="K4224" t="n">
        <v>0</v>
      </c>
      <c r="L4224" t="n">
        <v>28116</v>
      </c>
      <c r="M4224" t="n">
        <v>33500</v>
      </c>
      <c r="N4224" t="n">
        <v>91</v>
      </c>
      <c r="O4224" t="n">
        <v>0.91</v>
      </c>
      <c r="P4224" t="n">
        <v>1</v>
      </c>
      <c r="Q4224" t="n">
        <v>0.2</v>
      </c>
      <c r="R4224" t="n">
        <v>2</v>
      </c>
      <c r="S4224" t="n">
        <v>7621.25</v>
      </c>
      <c r="T4224" t="n">
        <v>5</v>
      </c>
      <c r="U4224" t="n">
        <v>6</v>
      </c>
      <c r="V4224" t="n">
        <v>30</v>
      </c>
      <c r="W4224" t="n">
        <v>7</v>
      </c>
      <c r="X4224" t="n">
        <v>35.16483516483516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12515</v>
      </c>
      <c r="AG4224" t="n">
        <v>3501</v>
      </c>
      <c r="AH4224" t="inlineStr">
        <is>
          <t>PT. SAI - PPN - PF/FC (PDG)</t>
        </is>
      </c>
      <c r="AI4224" t="n">
        <v>838</v>
      </c>
      <c r="AJ4224" t="inlineStr">
        <is>
          <t>PINKFLASH</t>
        </is>
      </c>
      <c r="AK4224" t="n">
        <v>21</v>
      </c>
      <c r="AL4224" t="inlineStr">
        <is>
          <t>Miss Glam Damar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PINKFLASH</t>
        </is>
      </c>
      <c r="B4225" s="2">
        <f>"203002196409"</f>
        <v/>
      </c>
      <c r="C4225" t="inlineStr">
        <is>
          <t>PINKFLASH Lip Cream PK02 2.g</t>
        </is>
      </c>
      <c r="D4225" t="inlineStr">
        <is>
          <t>Miss Glam Damar</t>
        </is>
      </c>
      <c r="E4225" t="n">
        <v>7</v>
      </c>
      <c r="F4225" t="n">
        <v>0.3276</v>
      </c>
      <c r="G4225" t="n">
        <v>1.82</v>
      </c>
      <c r="H4225" t="n">
        <v>2</v>
      </c>
      <c r="I4225" t="n">
        <v>5</v>
      </c>
      <c r="J4225" t="n">
        <v>1</v>
      </c>
      <c r="K4225" t="n">
        <v>0</v>
      </c>
      <c r="L4225" t="n">
        <v>28116</v>
      </c>
      <c r="M4225" t="n">
        <v>33500</v>
      </c>
      <c r="N4225" t="n">
        <v>91</v>
      </c>
      <c r="O4225" t="n">
        <v>0.91</v>
      </c>
      <c r="P4225" t="n">
        <v>1</v>
      </c>
      <c r="Q4225" t="n">
        <v>0.24</v>
      </c>
      <c r="R4225" t="n">
        <v>2</v>
      </c>
      <c r="S4225" t="n">
        <v>10974.6</v>
      </c>
      <c r="T4225" t="n">
        <v>9</v>
      </c>
      <c r="U4225" t="n">
        <v>10</v>
      </c>
      <c r="V4225" t="n">
        <v>30</v>
      </c>
      <c r="W4225" t="n">
        <v>10</v>
      </c>
      <c r="X4225" t="n">
        <v>21.36752136752137</v>
      </c>
      <c r="Y4225" t="n">
        <v>1</v>
      </c>
      <c r="Z4225" t="n">
        <v>3</v>
      </c>
      <c r="AA4225" t="n">
        <v>0</v>
      </c>
      <c r="AB4225" t="n">
        <v>3</v>
      </c>
      <c r="AC4225" t="n">
        <v>3</v>
      </c>
      <c r="AD4225" t="n">
        <v>0</v>
      </c>
      <c r="AE4225" t="n">
        <v>84348</v>
      </c>
      <c r="AF4225" t="n">
        <v>12515</v>
      </c>
      <c r="AG4225" t="n">
        <v>3501</v>
      </c>
      <c r="AH4225" t="inlineStr">
        <is>
          <t>PT. SAI - PPN - PF/FC (PDG)</t>
        </is>
      </c>
      <c r="AI4225" t="n">
        <v>838</v>
      </c>
      <c r="AJ4225" t="inlineStr">
        <is>
          <t>PINKFLASH</t>
        </is>
      </c>
      <c r="AK4225" t="n">
        <v>21</v>
      </c>
      <c r="AL4225" t="inlineStr">
        <is>
          <t>Miss Glam Damar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PINKFLASH</t>
        </is>
      </c>
      <c r="B4226" s="2">
        <f>"203002196345"</f>
        <v/>
      </c>
      <c r="C4226" t="inlineStr">
        <is>
          <t>PINKFLASH Lip Cream PK03 2.g</t>
        </is>
      </c>
      <c r="D4226" t="inlineStr">
        <is>
          <t>Miss Glam Damar</t>
        </is>
      </c>
      <c r="E4226" t="n">
        <v>3</v>
      </c>
      <c r="F4226" t="n">
        <v>0.0728</v>
      </c>
      <c r="G4226" t="n">
        <v>0.91</v>
      </c>
      <c r="H4226" t="n">
        <v>2</v>
      </c>
      <c r="I4226" t="n">
        <v>5</v>
      </c>
      <c r="J4226" t="n">
        <v>1</v>
      </c>
      <c r="K4226" t="n">
        <v>0</v>
      </c>
      <c r="L4226" t="n">
        <v>28116</v>
      </c>
      <c r="M4226" t="n">
        <v>33500</v>
      </c>
      <c r="N4226" t="n">
        <v>91</v>
      </c>
      <c r="O4226" t="n">
        <v>0.91</v>
      </c>
      <c r="P4226" t="n">
        <v>1</v>
      </c>
      <c r="Q4226" t="n">
        <v>0.14</v>
      </c>
      <c r="R4226" t="n">
        <v>1</v>
      </c>
      <c r="S4226" t="n">
        <v>2438.8</v>
      </c>
      <c r="T4226" t="n">
        <v>5</v>
      </c>
      <c r="U4226" t="n">
        <v>6</v>
      </c>
      <c r="V4226" t="n">
        <v>30</v>
      </c>
      <c r="W4226" t="n">
        <v>3</v>
      </c>
      <c r="X4226" t="n">
        <v>41.2087912087912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12515</v>
      </c>
      <c r="AG4226" t="n">
        <v>3501</v>
      </c>
      <c r="AH4226" t="inlineStr">
        <is>
          <t>PT. SAI - PPN - PF/FC (PDG)</t>
        </is>
      </c>
      <c r="AI4226" t="n">
        <v>838</v>
      </c>
      <c r="AJ4226" t="inlineStr">
        <is>
          <t>PINKFLASH</t>
        </is>
      </c>
      <c r="AK4226" t="n">
        <v>21</v>
      </c>
      <c r="AL4226" t="inlineStr">
        <is>
          <t>Miss Glam Damar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PINKFLASH</t>
        </is>
      </c>
      <c r="B4227" s="2">
        <f>"20200333742"</f>
        <v/>
      </c>
      <c r="C4227" t="inlineStr">
        <is>
          <t>PINKFLASH Long-Wear Liquid Eyeliner BK01 2gr</t>
        </is>
      </c>
      <c r="D4227" t="inlineStr">
        <is>
          <t>Miss Glam Damar</t>
        </is>
      </c>
      <c r="E4227" t="n">
        <v>13</v>
      </c>
      <c r="F4227" t="n">
        <v>0.8372000000000001</v>
      </c>
      <c r="G4227" t="n">
        <v>4.55</v>
      </c>
      <c r="H4227" t="n">
        <v>2</v>
      </c>
      <c r="I4227" t="n">
        <v>5</v>
      </c>
      <c r="J4227" t="n">
        <v>1</v>
      </c>
      <c r="K4227" t="n">
        <v>0</v>
      </c>
      <c r="L4227" t="n">
        <v>22786</v>
      </c>
      <c r="M4227" t="n">
        <v>38500</v>
      </c>
      <c r="N4227" t="n">
        <v>91</v>
      </c>
      <c r="O4227" t="n">
        <v>0.91</v>
      </c>
      <c r="P4227" t="n">
        <v>1</v>
      </c>
      <c r="Q4227" t="n">
        <v>0.22</v>
      </c>
      <c r="R4227" t="n">
        <v>2</v>
      </c>
      <c r="S4227" t="n">
        <v>32232.2</v>
      </c>
      <c r="T4227" t="n">
        <v>22</v>
      </c>
      <c r="U4227" t="n">
        <v>24</v>
      </c>
      <c r="V4227" t="n">
        <v>30</v>
      </c>
      <c r="W4227" t="n">
        <v>26</v>
      </c>
      <c r="X4227" t="n">
        <v>15.527950310559</v>
      </c>
      <c r="Y4227" t="n">
        <v>1</v>
      </c>
      <c r="Z4227" t="n">
        <v>13</v>
      </c>
      <c r="AA4227" t="n">
        <v>0</v>
      </c>
      <c r="AB4227" t="n">
        <v>13</v>
      </c>
      <c r="AC4227" t="n">
        <v>13</v>
      </c>
      <c r="AD4227" t="n">
        <v>0</v>
      </c>
      <c r="AE4227" t="n">
        <v>296218</v>
      </c>
      <c r="AF4227" t="n">
        <v>12515</v>
      </c>
      <c r="AG4227" t="n">
        <v>3501</v>
      </c>
      <c r="AH4227" t="inlineStr">
        <is>
          <t>PT. SAI - PPN - PF/FC (PDG)</t>
        </is>
      </c>
      <c r="AI4227" t="n">
        <v>838</v>
      </c>
      <c r="AJ4227" t="inlineStr">
        <is>
          <t>PINKFLASH</t>
        </is>
      </c>
      <c r="AK4227" t="n">
        <v>21</v>
      </c>
      <c r="AL4227" t="inlineStr">
        <is>
          <t>Miss Glam Damar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PINKFLASH</t>
        </is>
      </c>
      <c r="B4228" s="2">
        <f>"6941845824526"</f>
        <v/>
      </c>
      <c r="C4228" t="inlineStr">
        <is>
          <t>PINKFLASH Makeup Sponge PF-T01 Beauty Blender</t>
        </is>
      </c>
      <c r="D4228" t="inlineStr">
        <is>
          <t>Miss Glam Damar</t>
        </is>
      </c>
      <c r="E4228" t="n">
        <v>99</v>
      </c>
      <c r="F4228" t="n">
        <v>6.7431</v>
      </c>
      <c r="G4228" t="n">
        <v>19.11</v>
      </c>
      <c r="H4228" t="n">
        <v>2</v>
      </c>
      <c r="I4228" t="n">
        <v>5</v>
      </c>
      <c r="J4228" t="n">
        <v>3</v>
      </c>
      <c r="K4228" t="n">
        <v>0</v>
      </c>
      <c r="L4228" t="n">
        <v>10446</v>
      </c>
      <c r="M4228" t="n">
        <v>12500</v>
      </c>
      <c r="N4228" t="n">
        <v>91</v>
      </c>
      <c r="O4228" t="n">
        <v>0.91</v>
      </c>
      <c r="P4228" t="n">
        <v>1</v>
      </c>
      <c r="Q4228" t="n">
        <v>4.85</v>
      </c>
      <c r="R4228" t="n">
        <v>16</v>
      </c>
      <c r="S4228" t="n">
        <v>84288.75</v>
      </c>
      <c r="T4228" t="n">
        <v>83</v>
      </c>
      <c r="U4228" t="n">
        <v>97</v>
      </c>
      <c r="V4228" t="n">
        <v>30</v>
      </c>
      <c r="W4228" t="n">
        <v>203</v>
      </c>
      <c r="X4228" t="n">
        <v>14.68167460070294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12515</v>
      </c>
      <c r="AG4228" t="n">
        <v>3501</v>
      </c>
      <c r="AH4228" t="inlineStr">
        <is>
          <t>PT. SAI - PPN - PF/FC (PDG)</t>
        </is>
      </c>
      <c r="AI4228" t="n">
        <v>838</v>
      </c>
      <c r="AJ4228" t="inlineStr">
        <is>
          <t>PINKFLASH</t>
        </is>
      </c>
      <c r="AK4228" t="n">
        <v>21</v>
      </c>
      <c r="AL4228" t="inlineStr">
        <is>
          <t>Miss Glam Damar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PINKFLASH</t>
        </is>
      </c>
      <c r="B4229" s="2">
        <f>"20101210927"</f>
        <v/>
      </c>
      <c r="C4229" t="inlineStr">
        <is>
          <t>PINKFLASH Mstte Long-Lasting Setting Spray 80ml</t>
        </is>
      </c>
      <c r="D4229" t="inlineStr">
        <is>
          <t>Miss Glam Damar</t>
        </is>
      </c>
      <c r="E4229" t="n">
        <v>1</v>
      </c>
      <c r="F4229" t="n">
        <v>0.05</v>
      </c>
      <c r="G4229" t="n">
        <v>1</v>
      </c>
      <c r="H4229" t="n">
        <v>2</v>
      </c>
      <c r="I4229" t="n">
        <v>5</v>
      </c>
      <c r="J4229" t="n">
        <v>1</v>
      </c>
      <c r="K4229" t="n">
        <v>0</v>
      </c>
      <c r="L4229" t="n">
        <v>41608</v>
      </c>
      <c r="M4229" t="n">
        <v>49000</v>
      </c>
      <c r="N4229" t="n">
        <v>91</v>
      </c>
      <c r="O4229" t="n">
        <v>0.91</v>
      </c>
      <c r="P4229" t="n">
        <v>0</v>
      </c>
      <c r="Q4229" t="n">
        <v>0.05</v>
      </c>
      <c r="R4229" t="n">
        <v>1</v>
      </c>
      <c r="S4229" t="n">
        <v>2450</v>
      </c>
      <c r="T4229" t="n">
        <v>5</v>
      </c>
      <c r="U4229" t="n">
        <v>6</v>
      </c>
      <c r="V4229" t="n">
        <v>30</v>
      </c>
      <c r="W4229" t="n">
        <v>2</v>
      </c>
      <c r="X4229" t="n">
        <v>20</v>
      </c>
      <c r="Y4229" t="n">
        <v>1</v>
      </c>
      <c r="Z4229" t="n">
        <v>1</v>
      </c>
      <c r="AA4229" t="n">
        <v>0</v>
      </c>
      <c r="AB4229" t="n">
        <v>1</v>
      </c>
      <c r="AC4229" t="n">
        <v>1</v>
      </c>
      <c r="AD4229" t="n">
        <v>0</v>
      </c>
      <c r="AE4229" t="n">
        <v>41608</v>
      </c>
      <c r="AF4229" t="n">
        <v>12515</v>
      </c>
      <c r="AG4229" t="n">
        <v>3501</v>
      </c>
      <c r="AH4229" t="inlineStr">
        <is>
          <t>PT. SAI - PPN - PF/FC (PDG)</t>
        </is>
      </c>
      <c r="AI4229" t="n">
        <v>838</v>
      </c>
      <c r="AJ4229" t="inlineStr">
        <is>
          <t>PINKFLASH</t>
        </is>
      </c>
      <c r="AK4229" t="n">
        <v>21</v>
      </c>
      <c r="AL4229" t="inlineStr">
        <is>
          <t>Miss Glam Damar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PINKFLASH</t>
        </is>
      </c>
      <c r="B4230" s="2">
        <f>"6941845808335"</f>
        <v/>
      </c>
      <c r="C4230" t="inlineStr">
        <is>
          <t>PINKFLASH Oilproof Curl Mascara E08 01 Volume 7g</t>
        </is>
      </c>
      <c r="D4230" t="inlineStr">
        <is>
          <t>Miss Glam Damar</t>
        </is>
      </c>
      <c r="E4230" t="n">
        <v>166</v>
      </c>
      <c r="F4230" t="n">
        <v>7.7714</v>
      </c>
      <c r="G4230" t="n">
        <v>16.38</v>
      </c>
      <c r="H4230" t="n">
        <v>2</v>
      </c>
      <c r="I4230" t="n">
        <v>5</v>
      </c>
      <c r="J4230" t="n">
        <v>3</v>
      </c>
      <c r="K4230" t="n">
        <v>0</v>
      </c>
      <c r="L4230" t="n">
        <v>17910</v>
      </c>
      <c r="M4230" t="n">
        <v>22500</v>
      </c>
      <c r="N4230" t="n">
        <v>91</v>
      </c>
      <c r="O4230" t="n">
        <v>0.91</v>
      </c>
      <c r="P4230" t="n">
        <v>1</v>
      </c>
      <c r="Q4230" t="n">
        <v>5.19</v>
      </c>
      <c r="R4230" t="n">
        <v>19</v>
      </c>
      <c r="S4230" t="n">
        <v>174856.5</v>
      </c>
      <c r="T4230" t="n">
        <v>67</v>
      </c>
      <c r="U4230" t="n">
        <v>83</v>
      </c>
      <c r="V4230" t="n">
        <v>30</v>
      </c>
      <c r="W4230" t="n">
        <v>234</v>
      </c>
      <c r="X4230" t="n">
        <v>21.36037264842885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12515</v>
      </c>
      <c r="AG4230" t="n">
        <v>3501</v>
      </c>
      <c r="AH4230" t="inlineStr">
        <is>
          <t>PT. SAI - PPN - PF/FC (PDG)</t>
        </is>
      </c>
      <c r="AI4230" t="n">
        <v>838</v>
      </c>
      <c r="AJ4230" t="inlineStr">
        <is>
          <t>PINKFLASH</t>
        </is>
      </c>
      <c r="AK4230" t="n">
        <v>21</v>
      </c>
      <c r="AL4230" t="inlineStr">
        <is>
          <t>Miss Glam Damar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PINKFLASH</t>
        </is>
      </c>
      <c r="B4231" s="2">
        <f>"20200571132"</f>
        <v/>
      </c>
      <c r="C4231" t="inlineStr">
        <is>
          <t>PINKFLASH Pawfect Wink 5-colors Eyeshadow Palette CL01 Peach Munchkin 6gr</t>
        </is>
      </c>
      <c r="D4231" t="inlineStr">
        <is>
          <t>Miss Glam Damar</t>
        </is>
      </c>
      <c r="E4231" t="n">
        <v>2</v>
      </c>
      <c r="F4231" t="n">
        <v>0.09100000000000001</v>
      </c>
      <c r="G4231" t="n">
        <v>1.82</v>
      </c>
      <c r="H4231" t="n">
        <v>2</v>
      </c>
      <c r="I4231" t="n">
        <v>5</v>
      </c>
      <c r="J4231" t="n">
        <v>1</v>
      </c>
      <c r="K4231" t="n">
        <v>0</v>
      </c>
      <c r="L4231" t="n">
        <v>50687</v>
      </c>
      <c r="M4231" t="n">
        <v>60000</v>
      </c>
      <c r="N4231" t="n">
        <v>91</v>
      </c>
      <c r="O4231" t="n">
        <v>0.91</v>
      </c>
      <c r="P4231" t="n">
        <v>1</v>
      </c>
      <c r="Q4231" t="n">
        <v>0.07000000000000001</v>
      </c>
      <c r="R4231" t="n">
        <v>1</v>
      </c>
      <c r="S4231" t="n">
        <v>5460.000000000001</v>
      </c>
      <c r="T4231" t="n">
        <v>9</v>
      </c>
      <c r="U4231" t="n">
        <v>10</v>
      </c>
      <c r="V4231" t="n">
        <v>30</v>
      </c>
      <c r="W4231" t="n">
        <v>3</v>
      </c>
      <c r="X4231" t="n">
        <v>21.97802197802197</v>
      </c>
      <c r="Y4231" t="n">
        <v>1</v>
      </c>
      <c r="Z4231" t="n">
        <v>1</v>
      </c>
      <c r="AA4231" t="n">
        <v>0</v>
      </c>
      <c r="AB4231" t="n">
        <v>1</v>
      </c>
      <c r="AC4231" t="n">
        <v>1</v>
      </c>
      <c r="AD4231" t="n">
        <v>0</v>
      </c>
      <c r="AE4231" t="n">
        <v>50687</v>
      </c>
      <c r="AF4231" t="n">
        <v>12515</v>
      </c>
      <c r="AG4231" t="n">
        <v>3501</v>
      </c>
      <c r="AH4231" t="inlineStr">
        <is>
          <t>PT. SAI - PPN - PF/FC (PDG)</t>
        </is>
      </c>
      <c r="AI4231" t="n">
        <v>838</v>
      </c>
      <c r="AJ4231" t="inlineStr">
        <is>
          <t>PINKFLASH</t>
        </is>
      </c>
      <c r="AK4231" t="n">
        <v>21</v>
      </c>
      <c r="AL4231" t="inlineStr">
        <is>
          <t>Miss Glam Damar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PINKFLASH</t>
        </is>
      </c>
      <c r="B4232" s="2">
        <f>"20200570854"</f>
        <v/>
      </c>
      <c r="C4232" t="inlineStr">
        <is>
          <t>PINKFLASH Pawfect Wink 5-colors Eyeshadow Palette RD01 Ruby Calico 6gr</t>
        </is>
      </c>
      <c r="D4232" t="inlineStr">
        <is>
          <t>Miss Glam Damar</t>
        </is>
      </c>
      <c r="E4232" t="n">
        <v>4</v>
      </c>
      <c r="F4232" t="n">
        <v>0.1547</v>
      </c>
      <c r="G4232" t="n">
        <v>1.82</v>
      </c>
      <c r="H4232" t="n">
        <v>2</v>
      </c>
      <c r="I4232" t="n">
        <v>5</v>
      </c>
      <c r="J4232" t="n">
        <v>1</v>
      </c>
      <c r="K4232" t="n">
        <v>0</v>
      </c>
      <c r="L4232" t="n">
        <v>50687</v>
      </c>
      <c r="M4232" t="n">
        <v>60000</v>
      </c>
      <c r="N4232" t="n">
        <v>91</v>
      </c>
      <c r="O4232" t="n">
        <v>0.91</v>
      </c>
      <c r="P4232" t="n">
        <v>1</v>
      </c>
      <c r="Q4232" t="n">
        <v>0.02</v>
      </c>
      <c r="R4232" t="n">
        <v>1</v>
      </c>
      <c r="S4232" t="n">
        <v>9282</v>
      </c>
      <c r="T4232" t="n">
        <v>9</v>
      </c>
      <c r="U4232" t="n">
        <v>10</v>
      </c>
      <c r="V4232" t="n">
        <v>30</v>
      </c>
      <c r="W4232" t="n">
        <v>5</v>
      </c>
      <c r="X4232" t="n">
        <v>25.85649644473174</v>
      </c>
      <c r="Y4232" t="n">
        <v>1</v>
      </c>
      <c r="Z4232" t="n">
        <v>1</v>
      </c>
      <c r="AA4232" t="n">
        <v>0</v>
      </c>
      <c r="AB4232" t="n">
        <v>1</v>
      </c>
      <c r="AC4232" t="n">
        <v>1</v>
      </c>
      <c r="AD4232" t="n">
        <v>0</v>
      </c>
      <c r="AE4232" t="n">
        <v>50687</v>
      </c>
      <c r="AF4232" t="n">
        <v>12515</v>
      </c>
      <c r="AG4232" t="n">
        <v>3501</v>
      </c>
      <c r="AH4232" t="inlineStr">
        <is>
          <t>PT. SAI - PPN - PF/FC (PDG)</t>
        </is>
      </c>
      <c r="AI4232" t="n">
        <v>838</v>
      </c>
      <c r="AJ4232" t="inlineStr">
        <is>
          <t>PINKFLASH</t>
        </is>
      </c>
      <c r="AK4232" t="n">
        <v>21</v>
      </c>
      <c r="AL4232" t="inlineStr">
        <is>
          <t>Miss Glam Damar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PINKFLASH</t>
        </is>
      </c>
      <c r="B4233" s="2">
        <f>"20100968714"</f>
        <v/>
      </c>
      <c r="C4233" t="inlineStr">
        <is>
          <t>PINKFLASH Powder Blush OR01 1.5gr</t>
        </is>
      </c>
      <c r="D4233" t="inlineStr">
        <is>
          <t>Miss Glam Damar</t>
        </is>
      </c>
      <c r="E4233" t="n">
        <v>2</v>
      </c>
      <c r="F4233" t="n">
        <v>0.09100000000000001</v>
      </c>
      <c r="G4233" t="n">
        <v>0.91</v>
      </c>
      <c r="H4233" t="n">
        <v>2</v>
      </c>
      <c r="I4233" t="n">
        <v>5</v>
      </c>
      <c r="J4233" t="n">
        <v>1</v>
      </c>
      <c r="K4233" t="n">
        <v>0</v>
      </c>
      <c r="L4233" t="n">
        <v>22786</v>
      </c>
      <c r="M4233" t="n">
        <v>27000</v>
      </c>
      <c r="N4233" t="n">
        <v>91</v>
      </c>
      <c r="O4233" t="n">
        <v>0.91</v>
      </c>
      <c r="P4233" t="n">
        <v>1</v>
      </c>
      <c r="Q4233" t="n">
        <v>0.07000000000000001</v>
      </c>
      <c r="R4233" t="n">
        <v>1</v>
      </c>
      <c r="S4233" t="n">
        <v>2457</v>
      </c>
      <c r="T4233" t="n">
        <v>5</v>
      </c>
      <c r="U4233" t="n">
        <v>6</v>
      </c>
      <c r="V4233" t="n">
        <v>30</v>
      </c>
      <c r="W4233" t="n">
        <v>3</v>
      </c>
      <c r="X4233" t="n">
        <v>21.97802197802197</v>
      </c>
      <c r="Y4233" t="n">
        <v>1</v>
      </c>
      <c r="Z4233" t="n">
        <v>1</v>
      </c>
      <c r="AA4233" t="n">
        <v>0</v>
      </c>
      <c r="AB4233" t="n">
        <v>1</v>
      </c>
      <c r="AC4233" t="n">
        <v>1</v>
      </c>
      <c r="AD4233" t="n">
        <v>0</v>
      </c>
      <c r="AE4233" t="n">
        <v>22786</v>
      </c>
      <c r="AF4233" t="n">
        <v>12515</v>
      </c>
      <c r="AG4233" t="n">
        <v>3501</v>
      </c>
      <c r="AH4233" t="inlineStr">
        <is>
          <t>PT. SAI - PPN - PF/FC (PDG)</t>
        </is>
      </c>
      <c r="AI4233" t="n">
        <v>838</v>
      </c>
      <c r="AJ4233" t="inlineStr">
        <is>
          <t>PINKFLASH</t>
        </is>
      </c>
      <c r="AK4233" t="n">
        <v>21</v>
      </c>
      <c r="AL4233" t="inlineStr">
        <is>
          <t>Miss Glam Damar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PINKFLASH</t>
        </is>
      </c>
      <c r="B4234" s="2">
        <f>"20100968812"</f>
        <v/>
      </c>
      <c r="C4234" t="inlineStr">
        <is>
          <t>PINKFLASH Powder Blush PP02 1.5gr</t>
        </is>
      </c>
      <c r="D4234" t="inlineStr">
        <is>
          <t>Miss Glam Damar</t>
        </is>
      </c>
      <c r="E4234" t="n">
        <v>12</v>
      </c>
      <c r="F4234" t="n">
        <v>0.1547</v>
      </c>
      <c r="G4234" t="n">
        <v>1.82</v>
      </c>
      <c r="H4234" t="n">
        <v>2</v>
      </c>
      <c r="I4234" t="n">
        <v>5</v>
      </c>
      <c r="J4234" t="n">
        <v>1</v>
      </c>
      <c r="K4234" t="n">
        <v>0</v>
      </c>
      <c r="L4234" t="n">
        <v>22786</v>
      </c>
      <c r="M4234" t="n">
        <v>27000</v>
      </c>
      <c r="N4234" t="n">
        <v>91</v>
      </c>
      <c r="O4234" t="n">
        <v>0.91</v>
      </c>
      <c r="P4234" t="n">
        <v>1</v>
      </c>
      <c r="Q4234" t="n">
        <v>0.1</v>
      </c>
      <c r="R4234" t="n">
        <v>1</v>
      </c>
      <c r="S4234" t="n">
        <v>4176.900000000001</v>
      </c>
      <c r="T4234" t="n">
        <v>9</v>
      </c>
      <c r="U4234" t="n">
        <v>10</v>
      </c>
      <c r="V4234" t="n">
        <v>30</v>
      </c>
      <c r="W4234" t="n">
        <v>5</v>
      </c>
      <c r="X4234" t="n">
        <v>77.56948933419521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12515</v>
      </c>
      <c r="AG4234" t="n">
        <v>3501</v>
      </c>
      <c r="AH4234" t="inlineStr">
        <is>
          <t>PT. SAI - PPN - PF/FC (PDG)</t>
        </is>
      </c>
      <c r="AI4234" t="n">
        <v>838</v>
      </c>
      <c r="AJ4234" t="inlineStr">
        <is>
          <t>PINKFLASH</t>
        </is>
      </c>
      <c r="AK4234" t="n">
        <v>21</v>
      </c>
      <c r="AL4234" t="inlineStr">
        <is>
          <t>Miss Glam Damar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PINKFLASH</t>
        </is>
      </c>
      <c r="B4235" s="2">
        <f>"6941845805464"</f>
        <v/>
      </c>
      <c r="C4235" t="inlineStr">
        <is>
          <t>PINKFLASH Pro Touch Eyeshadow Palette E15 01 15gr</t>
        </is>
      </c>
      <c r="D4235" t="inlineStr">
        <is>
          <t>Miss Glam Damar</t>
        </is>
      </c>
      <c r="E4235" t="n">
        <v>28</v>
      </c>
      <c r="F4235" t="n">
        <v>0.2184</v>
      </c>
      <c r="G4235" t="n">
        <v>1.82</v>
      </c>
      <c r="H4235" t="n">
        <v>2</v>
      </c>
      <c r="I4235" t="n">
        <v>5</v>
      </c>
      <c r="J4235" t="n">
        <v>3</v>
      </c>
      <c r="K4235" t="n">
        <v>0</v>
      </c>
      <c r="L4235" t="n">
        <v>44679</v>
      </c>
      <c r="M4235" t="n">
        <v>53500</v>
      </c>
      <c r="N4235" t="n">
        <v>91</v>
      </c>
      <c r="O4235" t="n">
        <v>0.91</v>
      </c>
      <c r="P4235" t="n">
        <v>1</v>
      </c>
      <c r="Q4235" t="n">
        <v>0.53</v>
      </c>
      <c r="R4235" t="n">
        <v>3</v>
      </c>
      <c r="S4235" t="n">
        <v>11684.4</v>
      </c>
      <c r="T4235" t="n">
        <v>9</v>
      </c>
      <c r="U4235" t="n">
        <v>10</v>
      </c>
      <c r="V4235" t="n">
        <v>30</v>
      </c>
      <c r="W4235" t="n">
        <v>7</v>
      </c>
      <c r="X4235" t="n">
        <v>128.2051282051282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12515</v>
      </c>
      <c r="AG4235" t="n">
        <v>3501</v>
      </c>
      <c r="AH4235" t="inlineStr">
        <is>
          <t>PT. SAI - PPN - PF/FC (PDG)</t>
        </is>
      </c>
      <c r="AI4235" t="n">
        <v>838</v>
      </c>
      <c r="AJ4235" t="inlineStr">
        <is>
          <t>PINKFLASH</t>
        </is>
      </c>
      <c r="AK4235" t="n">
        <v>21</v>
      </c>
      <c r="AL4235" t="inlineStr">
        <is>
          <t>Miss Glam Damar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PINKFLASH</t>
        </is>
      </c>
      <c r="B4236" s="2">
        <f>"6941845805433"</f>
        <v/>
      </c>
      <c r="C4236" t="inlineStr">
        <is>
          <t>PINKFLASH Pro Touch Eyeshadow Palette E15- #03 15gr</t>
        </is>
      </c>
      <c r="D4236" t="inlineStr">
        <is>
          <t>Miss Glam Damar</t>
        </is>
      </c>
      <c r="E4236" t="n">
        <v>37</v>
      </c>
      <c r="F4236" t="n">
        <v>1.4196</v>
      </c>
      <c r="G4236" t="n">
        <v>5.46</v>
      </c>
      <c r="H4236" t="n">
        <v>2</v>
      </c>
      <c r="I4236" t="n">
        <v>5</v>
      </c>
      <c r="J4236" t="n">
        <v>3</v>
      </c>
      <c r="K4236" t="n">
        <v>0</v>
      </c>
      <c r="L4236" t="n">
        <v>44679</v>
      </c>
      <c r="M4236" t="n">
        <v>53500</v>
      </c>
      <c r="N4236" t="n">
        <v>91</v>
      </c>
      <c r="O4236" t="n">
        <v>0.91</v>
      </c>
      <c r="P4236" t="n">
        <v>1</v>
      </c>
      <c r="Q4236" t="n">
        <v>1.08</v>
      </c>
      <c r="R4236" t="n">
        <v>5</v>
      </c>
      <c r="S4236" t="n">
        <v>75948.60000000001</v>
      </c>
      <c r="T4236" t="n">
        <v>25</v>
      </c>
      <c r="U4236" t="n">
        <v>28</v>
      </c>
      <c r="V4236" t="n">
        <v>30</v>
      </c>
      <c r="W4236" t="n">
        <v>43</v>
      </c>
      <c r="X4236" t="n">
        <v>26.06367990983375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12515</v>
      </c>
      <c r="AG4236" t="n">
        <v>3501</v>
      </c>
      <c r="AH4236" t="inlineStr">
        <is>
          <t>PT. SAI - PPN - PF/FC (PDG)</t>
        </is>
      </c>
      <c r="AI4236" t="n">
        <v>838</v>
      </c>
      <c r="AJ4236" t="inlineStr">
        <is>
          <t>PINKFLASH</t>
        </is>
      </c>
      <c r="AK4236" t="n">
        <v>21</v>
      </c>
      <c r="AL4236" t="inlineStr">
        <is>
          <t>Miss Glam Damar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PINKFLASH</t>
        </is>
      </c>
      <c r="B4237" s="2">
        <f>"6941845805457"</f>
        <v/>
      </c>
      <c r="C4237" t="inlineStr">
        <is>
          <t>PINKFLASH Pro Touch Eyeshadow Palette E15-# 04 15gr</t>
        </is>
      </c>
      <c r="D4237" t="inlineStr">
        <is>
          <t>Miss Glam Damar</t>
        </is>
      </c>
      <c r="E4237" t="n">
        <v>21</v>
      </c>
      <c r="F4237" t="n">
        <v>0.6643</v>
      </c>
      <c r="G4237" t="n">
        <v>4.55</v>
      </c>
      <c r="H4237" t="n">
        <v>2</v>
      </c>
      <c r="I4237" t="n">
        <v>5</v>
      </c>
      <c r="J4237" t="n">
        <v>3</v>
      </c>
      <c r="K4237" t="n">
        <v>0</v>
      </c>
      <c r="L4237" t="n">
        <v>44679</v>
      </c>
      <c r="M4237" t="n">
        <v>53500</v>
      </c>
      <c r="N4237" t="n">
        <v>91</v>
      </c>
      <c r="O4237" t="n">
        <v>0.91</v>
      </c>
      <c r="P4237" t="n">
        <v>1</v>
      </c>
      <c r="Q4237" t="n">
        <v>0.59</v>
      </c>
      <c r="R4237" t="n">
        <v>3</v>
      </c>
      <c r="S4237" t="n">
        <v>35540.05</v>
      </c>
      <c r="T4237" t="n">
        <v>22</v>
      </c>
      <c r="U4237" t="n">
        <v>24</v>
      </c>
      <c r="V4237" t="n">
        <v>30</v>
      </c>
      <c r="W4237" t="n">
        <v>20</v>
      </c>
      <c r="X4237" t="n">
        <v>31.61222339304531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12515</v>
      </c>
      <c r="AG4237" t="n">
        <v>3501</v>
      </c>
      <c r="AH4237" t="inlineStr">
        <is>
          <t>PT. SAI - PPN - PF/FC (PDG)</t>
        </is>
      </c>
      <c r="AI4237" t="n">
        <v>838</v>
      </c>
      <c r="AJ4237" t="inlineStr">
        <is>
          <t>PINKFLASH</t>
        </is>
      </c>
      <c r="AK4237" t="n">
        <v>21</v>
      </c>
      <c r="AL4237" t="inlineStr">
        <is>
          <t>Miss Glam Damar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PINKFLASH</t>
        </is>
      </c>
      <c r="B4238" s="2">
        <f>"6974908112261"</f>
        <v/>
      </c>
      <c r="C4238" t="inlineStr">
        <is>
          <t>PINKFLASH Pro Touch Makeup Base Primer PF-F12 20gr</t>
        </is>
      </c>
      <c r="D4238" t="inlineStr">
        <is>
          <t>Miss Glam Damar</t>
        </is>
      </c>
      <c r="E4238" t="n">
        <v>10</v>
      </c>
      <c r="F4238" t="n">
        <v>0.1365</v>
      </c>
      <c r="G4238" t="n">
        <v>1.82</v>
      </c>
      <c r="H4238" t="n">
        <v>2</v>
      </c>
      <c r="I4238" t="n">
        <v>5</v>
      </c>
      <c r="J4238" t="n">
        <v>3</v>
      </c>
      <c r="K4238" t="n">
        <v>0</v>
      </c>
      <c r="L4238" t="n">
        <v>34674</v>
      </c>
      <c r="M4238" t="n">
        <v>41500</v>
      </c>
      <c r="N4238" t="n">
        <v>91</v>
      </c>
      <c r="O4238" t="n">
        <v>0.91</v>
      </c>
      <c r="P4238" t="n">
        <v>1</v>
      </c>
      <c r="Q4238" t="n">
        <v>0.14</v>
      </c>
      <c r="R4238" t="n">
        <v>1</v>
      </c>
      <c r="S4238" t="n">
        <v>5664.75</v>
      </c>
      <c r="T4238" t="n">
        <v>9</v>
      </c>
      <c r="U4238" t="n">
        <v>10</v>
      </c>
      <c r="V4238" t="n">
        <v>30</v>
      </c>
      <c r="W4238" t="n">
        <v>5</v>
      </c>
      <c r="X4238" t="n">
        <v>73.26007326007326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12515</v>
      </c>
      <c r="AG4238" t="n">
        <v>3501</v>
      </c>
      <c r="AH4238" t="inlineStr">
        <is>
          <t>PT. SAI - PPN - PF/FC (PDG)</t>
        </is>
      </c>
      <c r="AI4238" t="n">
        <v>838</v>
      </c>
      <c r="AJ4238" t="inlineStr">
        <is>
          <t>PINKFLASH</t>
        </is>
      </c>
      <c r="AK4238" t="n">
        <v>21</v>
      </c>
      <c r="AL4238" t="inlineStr">
        <is>
          <t>Miss Glam Damar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PINKFLASH</t>
        </is>
      </c>
      <c r="B4239" s="2">
        <f>"6941845808298"</f>
        <v/>
      </c>
      <c r="C4239" t="inlineStr">
        <is>
          <t>PINKFLASH Pro Touch Pencil Eyeliner Black PF-E13-#01 0,1gr</t>
        </is>
      </c>
      <c r="D4239" t="inlineStr">
        <is>
          <t>Miss Glam Damar</t>
        </is>
      </c>
      <c r="E4239" t="n">
        <v>16</v>
      </c>
      <c r="F4239" t="n">
        <v>0.5824</v>
      </c>
      <c r="G4239" t="n">
        <v>3.64</v>
      </c>
      <c r="H4239" t="n">
        <v>2</v>
      </c>
      <c r="I4239" t="n">
        <v>5</v>
      </c>
      <c r="J4239" t="n">
        <v>3</v>
      </c>
      <c r="K4239" t="n">
        <v>0</v>
      </c>
      <c r="L4239" t="n">
        <v>24866</v>
      </c>
      <c r="M4239" t="n">
        <v>30000</v>
      </c>
      <c r="N4239" t="n">
        <v>91</v>
      </c>
      <c r="O4239" t="n">
        <v>0.91</v>
      </c>
      <c r="P4239" t="n">
        <v>1</v>
      </c>
      <c r="Q4239" t="n">
        <v>0.54</v>
      </c>
      <c r="R4239" t="n">
        <v>4</v>
      </c>
      <c r="S4239" t="n">
        <v>17472</v>
      </c>
      <c r="T4239" t="n">
        <v>18</v>
      </c>
      <c r="U4239" t="n">
        <v>20</v>
      </c>
      <c r="V4239" t="n">
        <v>30</v>
      </c>
      <c r="W4239" t="n">
        <v>18</v>
      </c>
      <c r="X4239" t="n">
        <v>27.47252747252747</v>
      </c>
      <c r="Y4239" t="n">
        <v>1</v>
      </c>
      <c r="Z4239" t="n">
        <v>2</v>
      </c>
      <c r="AA4239" t="n">
        <v>0</v>
      </c>
      <c r="AB4239" t="n">
        <v>2</v>
      </c>
      <c r="AC4239" t="n">
        <v>3</v>
      </c>
      <c r="AD4239" t="n">
        <v>0</v>
      </c>
      <c r="AE4239" t="n">
        <v>74598</v>
      </c>
      <c r="AF4239" t="n">
        <v>12515</v>
      </c>
      <c r="AG4239" t="n">
        <v>3501</v>
      </c>
      <c r="AH4239" t="inlineStr">
        <is>
          <t>PT. SAI - PPN - PF/FC (PDG)</t>
        </is>
      </c>
      <c r="AI4239" t="n">
        <v>838</v>
      </c>
      <c r="AJ4239" t="inlineStr">
        <is>
          <t>PINKFLASH</t>
        </is>
      </c>
      <c r="AK4239" t="n">
        <v>21</v>
      </c>
      <c r="AL4239" t="inlineStr">
        <is>
          <t>Miss Glam Damar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PINKFLASH</t>
        </is>
      </c>
      <c r="B4240" s="2">
        <f>"6941845828869"</f>
        <v/>
      </c>
      <c r="C4240" t="inlineStr">
        <is>
          <t>PINKFLASH Setting Brow Wax PF-E28 TP01 1gr</t>
        </is>
      </c>
      <c r="D4240" t="inlineStr">
        <is>
          <t>Miss Glam Damar</t>
        </is>
      </c>
      <c r="E4240" t="n">
        <v>8</v>
      </c>
      <c r="F4240" t="n">
        <v>0.2275</v>
      </c>
      <c r="G4240" t="n">
        <v>1.82</v>
      </c>
      <c r="H4240" t="n">
        <v>2</v>
      </c>
      <c r="I4240" t="n">
        <v>5</v>
      </c>
      <c r="J4240" t="n">
        <v>3</v>
      </c>
      <c r="K4240" t="n">
        <v>0</v>
      </c>
      <c r="L4240" t="n">
        <v>28234</v>
      </c>
      <c r="M4240" t="n">
        <v>34000</v>
      </c>
      <c r="N4240" t="n">
        <v>91</v>
      </c>
      <c r="O4240" t="n">
        <v>0.91</v>
      </c>
      <c r="P4240" t="n">
        <v>1</v>
      </c>
      <c r="Q4240" t="n">
        <v>0.17</v>
      </c>
      <c r="R4240" t="n">
        <v>2</v>
      </c>
      <c r="S4240" t="n">
        <v>7735</v>
      </c>
      <c r="T4240" t="n">
        <v>9</v>
      </c>
      <c r="U4240" t="n">
        <v>10</v>
      </c>
      <c r="V4240" t="n">
        <v>30</v>
      </c>
      <c r="W4240" t="n">
        <v>7</v>
      </c>
      <c r="X4240" t="n">
        <v>35.16483516483516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12515</v>
      </c>
      <c r="AG4240" t="n">
        <v>3501</v>
      </c>
      <c r="AH4240" t="inlineStr">
        <is>
          <t>PT. SAI - PPN - PF/FC (PDG)</t>
        </is>
      </c>
      <c r="AI4240" t="n">
        <v>838</v>
      </c>
      <c r="AJ4240" t="inlineStr">
        <is>
          <t>PINKFLASH</t>
        </is>
      </c>
      <c r="AK4240" t="n">
        <v>21</v>
      </c>
      <c r="AL4240" t="inlineStr">
        <is>
          <t>Miss Glam Damar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PINKFLASH</t>
        </is>
      </c>
      <c r="B4241" s="2">
        <f>"6941845827367"</f>
        <v/>
      </c>
      <c r="C4241" t="inlineStr">
        <is>
          <t>PINKFLASH Skinny Eyebrow Pencil PF-E25 BR01 0,07gr</t>
        </is>
      </c>
      <c r="D4241" t="inlineStr">
        <is>
          <t>Miss Glam Damar</t>
        </is>
      </c>
      <c r="E4241" t="n">
        <v>6</v>
      </c>
      <c r="F4241" t="n">
        <v>0.14</v>
      </c>
      <c r="G4241" t="n">
        <v>2</v>
      </c>
      <c r="H4241" t="n">
        <v>2</v>
      </c>
      <c r="I4241" t="n">
        <v>5</v>
      </c>
      <c r="J4241" t="n">
        <v>3</v>
      </c>
      <c r="K4241" t="n">
        <v>0</v>
      </c>
      <c r="L4241" t="n">
        <v>26451</v>
      </c>
      <c r="M4241" t="n">
        <v>31500</v>
      </c>
      <c r="N4241" t="n">
        <v>91</v>
      </c>
      <c r="O4241" t="n">
        <v>0.91</v>
      </c>
      <c r="P4241" t="n">
        <v>0</v>
      </c>
      <c r="Q4241" t="n">
        <v>0.14</v>
      </c>
      <c r="R4241" t="n">
        <v>2</v>
      </c>
      <c r="S4241" t="n">
        <v>4410</v>
      </c>
      <c r="T4241" t="n">
        <v>10</v>
      </c>
      <c r="U4241" t="n">
        <v>11</v>
      </c>
      <c r="V4241" t="n">
        <v>30</v>
      </c>
      <c r="W4241" t="n">
        <v>5</v>
      </c>
      <c r="X4241" t="n">
        <v>42.85714285714285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12515</v>
      </c>
      <c r="AG4241" t="n">
        <v>3501</v>
      </c>
      <c r="AH4241" t="inlineStr">
        <is>
          <t>PT. SAI - PPN - PF/FC (PDG)</t>
        </is>
      </c>
      <c r="AI4241" t="n">
        <v>838</v>
      </c>
      <c r="AJ4241" t="inlineStr">
        <is>
          <t>PINKFLASH</t>
        </is>
      </c>
      <c r="AK4241" t="n">
        <v>21</v>
      </c>
      <c r="AL4241" t="inlineStr">
        <is>
          <t>Miss Glam Damar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PINKFLASH</t>
        </is>
      </c>
      <c r="B4242" s="2">
        <f>"6941845859993"</f>
        <v/>
      </c>
      <c r="C4242" t="inlineStr">
        <is>
          <t>PINKFLASH Smooth Velvet Blush OR03 2,3gr</t>
        </is>
      </c>
      <c r="D4242" t="inlineStr">
        <is>
          <t>Miss Glam Damar</t>
        </is>
      </c>
      <c r="E4242" t="n">
        <v>3</v>
      </c>
      <c r="F4242" t="n">
        <v>0.0273</v>
      </c>
      <c r="G4242" t="n">
        <v>0.91</v>
      </c>
      <c r="H4242" t="n">
        <v>2</v>
      </c>
      <c r="I4242" t="n">
        <v>5</v>
      </c>
      <c r="J4242" t="n">
        <v>1</v>
      </c>
      <c r="K4242" t="n">
        <v>0</v>
      </c>
      <c r="L4242" t="n">
        <v>38250</v>
      </c>
      <c r="M4242" t="n">
        <v>45000</v>
      </c>
      <c r="N4242" t="n">
        <v>91</v>
      </c>
      <c r="O4242" t="n">
        <v>0.91</v>
      </c>
      <c r="P4242" t="n">
        <v>1</v>
      </c>
      <c r="Q4242" t="n">
        <v>0.02</v>
      </c>
      <c r="R4242" t="n">
        <v>1</v>
      </c>
      <c r="S4242" t="n">
        <v>1228.5</v>
      </c>
      <c r="T4242" t="n">
        <v>5</v>
      </c>
      <c r="U4242" t="n">
        <v>6</v>
      </c>
      <c r="V4242" t="n">
        <v>30</v>
      </c>
      <c r="W4242" t="n">
        <v>1</v>
      </c>
      <c r="X4242" t="n">
        <v>109.8901098901099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12515</v>
      </c>
      <c r="AG4242" t="n">
        <v>3501</v>
      </c>
      <c r="AH4242" t="inlineStr">
        <is>
          <t>PT. SAI - PPN - PF/FC (PDG)</t>
        </is>
      </c>
      <c r="AI4242" t="n">
        <v>838</v>
      </c>
      <c r="AJ4242" t="inlineStr">
        <is>
          <t>PINKFLASH</t>
        </is>
      </c>
      <c r="AK4242" t="n">
        <v>21</v>
      </c>
      <c r="AL4242" t="inlineStr">
        <is>
          <t>Miss Glam Damar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PINKFLASH</t>
        </is>
      </c>
      <c r="B4243" s="2">
        <f>"20100962305"</f>
        <v/>
      </c>
      <c r="C4243" t="inlineStr">
        <is>
          <t>PINKFLASH Smooth Velvet Blush PK02 2.3g</t>
        </is>
      </c>
      <c r="D4243" t="inlineStr">
        <is>
          <t>Miss Glam Damar</t>
        </is>
      </c>
      <c r="E4243" t="n">
        <v>4</v>
      </c>
      <c r="F4243" t="n">
        <v>0.06370000000000001</v>
      </c>
      <c r="G4243" t="n">
        <v>0.91</v>
      </c>
      <c r="H4243" t="n">
        <v>2</v>
      </c>
      <c r="I4243" t="n">
        <v>5</v>
      </c>
      <c r="J4243" t="n">
        <v>1</v>
      </c>
      <c r="K4243" t="n">
        <v>0</v>
      </c>
      <c r="L4243" t="n">
        <v>38250</v>
      </c>
      <c r="M4243" t="n">
        <v>45000</v>
      </c>
      <c r="N4243" t="n">
        <v>91</v>
      </c>
      <c r="O4243" t="n">
        <v>0.91</v>
      </c>
      <c r="P4243" t="n">
        <v>1</v>
      </c>
      <c r="Q4243" t="n">
        <v>0.08</v>
      </c>
      <c r="R4243" t="n">
        <v>2</v>
      </c>
      <c r="S4243" t="n">
        <v>2866.5</v>
      </c>
      <c r="T4243" t="n">
        <v>5</v>
      </c>
      <c r="U4243" t="n">
        <v>6</v>
      </c>
      <c r="V4243" t="n">
        <v>30</v>
      </c>
      <c r="W4243" t="n">
        <v>2</v>
      </c>
      <c r="X4243" t="n">
        <v>62.79434850863422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12515</v>
      </c>
      <c r="AG4243" t="n">
        <v>3501</v>
      </c>
      <c r="AH4243" t="inlineStr">
        <is>
          <t>PT. SAI - PPN - PF/FC (PDG)</t>
        </is>
      </c>
      <c r="AI4243" t="n">
        <v>838</v>
      </c>
      <c r="AJ4243" t="inlineStr">
        <is>
          <t>PINKFLASH</t>
        </is>
      </c>
      <c r="AK4243" t="n">
        <v>21</v>
      </c>
      <c r="AL4243" t="inlineStr">
        <is>
          <t>Miss Glam Damar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PINKFLASH</t>
        </is>
      </c>
      <c r="B4244" s="2">
        <f>"6941845860012"</f>
        <v/>
      </c>
      <c r="C4244" t="inlineStr">
        <is>
          <t>PINKFLASH Smooth Velvet Blush PP04 2,3gr</t>
        </is>
      </c>
      <c r="D4244" t="inlineStr">
        <is>
          <t>Miss Glam Damar</t>
        </is>
      </c>
      <c r="E4244" t="n">
        <v>3</v>
      </c>
      <c r="F4244" t="n">
        <v>0.1092</v>
      </c>
      <c r="G4244" t="n">
        <v>1.82</v>
      </c>
      <c r="H4244" t="n">
        <v>2</v>
      </c>
      <c r="I4244" t="n">
        <v>5</v>
      </c>
      <c r="J4244" t="n">
        <v>1</v>
      </c>
      <c r="K4244" t="n">
        <v>0</v>
      </c>
      <c r="L4244" t="n">
        <v>38250</v>
      </c>
      <c r="M4244" t="n">
        <v>45000</v>
      </c>
      <c r="N4244" t="n">
        <v>91</v>
      </c>
      <c r="O4244" t="n">
        <v>0.91</v>
      </c>
      <c r="P4244" t="n">
        <v>1</v>
      </c>
      <c r="Q4244" t="n">
        <v>0.07000000000000001</v>
      </c>
      <c r="R4244" t="n">
        <v>2</v>
      </c>
      <c r="S4244" t="n">
        <v>4914</v>
      </c>
      <c r="T4244" t="n">
        <v>9</v>
      </c>
      <c r="U4244" t="n">
        <v>10</v>
      </c>
      <c r="V4244" t="n">
        <v>30</v>
      </c>
      <c r="W4244" t="n">
        <v>4</v>
      </c>
      <c r="X4244" t="n">
        <v>27.47252747252747</v>
      </c>
      <c r="Y4244" t="n">
        <v>1</v>
      </c>
      <c r="Z4244" t="n">
        <v>1</v>
      </c>
      <c r="AA4244" t="n">
        <v>0</v>
      </c>
      <c r="AB4244" t="n">
        <v>1</v>
      </c>
      <c r="AC4244" t="n">
        <v>1</v>
      </c>
      <c r="AD4244" t="n">
        <v>0</v>
      </c>
      <c r="AE4244" t="n">
        <v>38250</v>
      </c>
      <c r="AF4244" t="n">
        <v>12515</v>
      </c>
      <c r="AG4244" t="n">
        <v>3501</v>
      </c>
      <c r="AH4244" t="inlineStr">
        <is>
          <t>PT. SAI - PPN - PF/FC (PDG)</t>
        </is>
      </c>
      <c r="AI4244" t="n">
        <v>838</v>
      </c>
      <c r="AJ4244" t="inlineStr">
        <is>
          <t>PINKFLASH</t>
        </is>
      </c>
      <c r="AK4244" t="n">
        <v>21</v>
      </c>
      <c r="AL4244" t="inlineStr">
        <is>
          <t>Miss Glam Damar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PINKFLASH</t>
        </is>
      </c>
      <c r="B4245" s="2">
        <f>"20100962548"</f>
        <v/>
      </c>
      <c r="C4245" t="inlineStr">
        <is>
          <t>PINKFLASH Smooth Velvet Blush RD05 2.3g</t>
        </is>
      </c>
      <c r="D4245" t="inlineStr">
        <is>
          <t>Miss Glam Damar</t>
        </is>
      </c>
      <c r="E4245" t="n">
        <v>5</v>
      </c>
      <c r="F4245" t="n">
        <v>0.06370000000000001</v>
      </c>
      <c r="G4245" t="n">
        <v>0.91</v>
      </c>
      <c r="H4245" t="n">
        <v>2</v>
      </c>
      <c r="I4245" t="n">
        <v>5</v>
      </c>
      <c r="J4245" t="n">
        <v>1</v>
      </c>
      <c r="K4245" t="n">
        <v>0</v>
      </c>
      <c r="L4245" t="n">
        <v>38250</v>
      </c>
      <c r="M4245" t="n">
        <v>45000</v>
      </c>
      <c r="N4245" t="n">
        <v>91</v>
      </c>
      <c r="O4245" t="n">
        <v>0.91</v>
      </c>
      <c r="P4245" t="n">
        <v>1</v>
      </c>
      <c r="Q4245" t="n">
        <v>0.08</v>
      </c>
      <c r="R4245" t="n">
        <v>1</v>
      </c>
      <c r="S4245" t="n">
        <v>2866.5</v>
      </c>
      <c r="T4245" t="n">
        <v>5</v>
      </c>
      <c r="U4245" t="n">
        <v>6</v>
      </c>
      <c r="V4245" t="n">
        <v>30</v>
      </c>
      <c r="W4245" t="n">
        <v>2</v>
      </c>
      <c r="X4245" t="n">
        <v>78.49293563579278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12515</v>
      </c>
      <c r="AG4245" t="n">
        <v>3501</v>
      </c>
      <c r="AH4245" t="inlineStr">
        <is>
          <t>PT. SAI - PPN - PF/FC (PDG)</t>
        </is>
      </c>
      <c r="AI4245" t="n">
        <v>838</v>
      </c>
      <c r="AJ4245" t="inlineStr">
        <is>
          <t>PINKFLASH</t>
        </is>
      </c>
      <c r="AK4245" t="n">
        <v>21</v>
      </c>
      <c r="AL4245" t="inlineStr">
        <is>
          <t>Miss Glam Damar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PINKFLASH</t>
        </is>
      </c>
      <c r="B4246" s="2">
        <f>"6941845824366"</f>
        <v/>
      </c>
      <c r="C4246" t="inlineStr">
        <is>
          <t>PINKFLASH Smudge Proof Brow Pomade BR02 1.4gr</t>
        </is>
      </c>
      <c r="D4246" t="inlineStr">
        <is>
          <t>Miss Glam Damar</t>
        </is>
      </c>
      <c r="E4246" t="n">
        <v>11</v>
      </c>
      <c r="F4246" t="n">
        <v>0.06370000000000001</v>
      </c>
      <c r="G4246" t="n">
        <v>0.91</v>
      </c>
      <c r="H4246" t="n">
        <v>2</v>
      </c>
      <c r="I4246" t="n">
        <v>5</v>
      </c>
      <c r="J4246" t="n">
        <v>3</v>
      </c>
      <c r="K4246" t="n">
        <v>0</v>
      </c>
      <c r="L4246" t="n">
        <v>25262</v>
      </c>
      <c r="M4246" t="n">
        <v>30500</v>
      </c>
      <c r="N4246" t="n">
        <v>91</v>
      </c>
      <c r="O4246" t="n">
        <v>0.91</v>
      </c>
      <c r="P4246" t="n">
        <v>1</v>
      </c>
      <c r="Q4246" t="n">
        <v>0.14</v>
      </c>
      <c r="R4246" t="n">
        <v>5</v>
      </c>
      <c r="S4246" t="n">
        <v>1942.85</v>
      </c>
      <c r="T4246" t="n">
        <v>5</v>
      </c>
      <c r="U4246" t="n">
        <v>6</v>
      </c>
      <c r="V4246" t="n">
        <v>30</v>
      </c>
      <c r="W4246" t="n">
        <v>2</v>
      </c>
      <c r="X4246" t="n">
        <v>172.6844583987441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12515</v>
      </c>
      <c r="AG4246" t="n">
        <v>3501</v>
      </c>
      <c r="AH4246" t="inlineStr">
        <is>
          <t>PT. SAI - PPN - PF/FC (PDG)</t>
        </is>
      </c>
      <c r="AI4246" t="n">
        <v>838</v>
      </c>
      <c r="AJ4246" t="inlineStr">
        <is>
          <t>PINKFLASH</t>
        </is>
      </c>
      <c r="AK4246" t="n">
        <v>21</v>
      </c>
      <c r="AL4246" t="inlineStr">
        <is>
          <t>Miss Glam Damar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PINKFLASH</t>
        </is>
      </c>
      <c r="B4247" s="2">
        <f>"6941845808564"</f>
        <v/>
      </c>
      <c r="C4247" t="inlineStr">
        <is>
          <t>PINKFLASH Soft Pigment Blush N02 1.7g</t>
        </is>
      </c>
      <c r="D4247" t="inlineStr">
        <is>
          <t>Miss Glam Damar</t>
        </is>
      </c>
      <c r="E4247" t="n">
        <v>1</v>
      </c>
      <c r="F4247" t="n">
        <v>0.1</v>
      </c>
      <c r="G4247" t="n">
        <v>1</v>
      </c>
      <c r="H4247" t="n">
        <v>2</v>
      </c>
      <c r="I4247" t="n">
        <v>5</v>
      </c>
      <c r="J4247" t="n">
        <v>3</v>
      </c>
      <c r="K4247" t="n">
        <v>0</v>
      </c>
      <c r="L4247" t="n">
        <v>15318</v>
      </c>
      <c r="M4247" t="n">
        <v>18500</v>
      </c>
      <c r="N4247" t="n">
        <v>91</v>
      </c>
      <c r="O4247" t="n">
        <v>0.91</v>
      </c>
      <c r="P4247" t="n">
        <v>0</v>
      </c>
      <c r="Q4247" t="n">
        <v>0.1</v>
      </c>
      <c r="R4247" t="n">
        <v>1</v>
      </c>
      <c r="S4247" t="n">
        <v>1850</v>
      </c>
      <c r="T4247" t="n">
        <v>5</v>
      </c>
      <c r="U4247" t="n">
        <v>6</v>
      </c>
      <c r="V4247" t="n">
        <v>30</v>
      </c>
      <c r="W4247" t="n">
        <v>3</v>
      </c>
      <c r="X4247" t="n">
        <v>10</v>
      </c>
      <c r="Y4247" t="n">
        <v>1</v>
      </c>
      <c r="Z4247" t="n">
        <v>2</v>
      </c>
      <c r="AA4247" t="n">
        <v>0</v>
      </c>
      <c r="AB4247" t="n">
        <v>2</v>
      </c>
      <c r="AC4247" t="n">
        <v>3</v>
      </c>
      <c r="AD4247" t="n">
        <v>0</v>
      </c>
      <c r="AE4247" t="n">
        <v>45954</v>
      </c>
      <c r="AF4247" t="n">
        <v>12515</v>
      </c>
      <c r="AG4247" t="n">
        <v>3501</v>
      </c>
      <c r="AH4247" t="inlineStr">
        <is>
          <t>PT. SAI - PPN - PF/FC (PDG)</t>
        </is>
      </c>
      <c r="AI4247" t="n">
        <v>838</v>
      </c>
      <c r="AJ4247" t="inlineStr">
        <is>
          <t>PINKFLASH</t>
        </is>
      </c>
      <c r="AK4247" t="n">
        <v>21</v>
      </c>
      <c r="AL4247" t="inlineStr">
        <is>
          <t>Miss Glam Damar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PINKFLASH</t>
        </is>
      </c>
      <c r="B4248" s="2">
        <f>"6941845808465"</f>
        <v/>
      </c>
      <c r="C4248" t="inlineStr">
        <is>
          <t>PINKFLASH Soft Pigment Blush P01 1.7gr NEW</t>
        </is>
      </c>
      <c r="D4248" t="inlineStr">
        <is>
          <t>Miss Glam Damar</t>
        </is>
      </c>
      <c r="E4248" t="n">
        <v>19</v>
      </c>
      <c r="F4248" t="n">
        <v>2.6663</v>
      </c>
      <c r="G4248" t="n">
        <v>9.1</v>
      </c>
      <c r="H4248" t="n">
        <v>2</v>
      </c>
      <c r="I4248" t="n">
        <v>5</v>
      </c>
      <c r="J4248" t="n">
        <v>3</v>
      </c>
      <c r="K4248" t="n">
        <v>0</v>
      </c>
      <c r="L4248" t="n">
        <v>15318</v>
      </c>
      <c r="M4248" t="n">
        <v>18500</v>
      </c>
      <c r="N4248" t="n">
        <v>91</v>
      </c>
      <c r="O4248" t="n">
        <v>0.91</v>
      </c>
      <c r="P4248" t="n">
        <v>1</v>
      </c>
      <c r="Q4248" t="n">
        <v>0.54</v>
      </c>
      <c r="R4248" t="n">
        <v>6</v>
      </c>
      <c r="S4248" t="n">
        <v>49326.55</v>
      </c>
      <c r="T4248" t="n">
        <v>41</v>
      </c>
      <c r="U4248" t="n">
        <v>47</v>
      </c>
      <c r="V4248" t="n">
        <v>30</v>
      </c>
      <c r="W4248" t="n">
        <v>80</v>
      </c>
      <c r="X4248" t="n">
        <v>7.125979822225556</v>
      </c>
      <c r="Y4248" t="n">
        <v>1</v>
      </c>
      <c r="Z4248" t="n">
        <v>61</v>
      </c>
      <c r="AA4248" t="n">
        <v>0</v>
      </c>
      <c r="AB4248" t="n">
        <v>61</v>
      </c>
      <c r="AC4248" t="n">
        <v>61</v>
      </c>
      <c r="AD4248" t="n">
        <v>0</v>
      </c>
      <c r="AE4248" t="n">
        <v>934398</v>
      </c>
      <c r="AF4248" t="n">
        <v>12515</v>
      </c>
      <c r="AG4248" t="n">
        <v>3501</v>
      </c>
      <c r="AH4248" t="inlineStr">
        <is>
          <t>PT. SAI - PPN - PF/FC (PDG)</t>
        </is>
      </c>
      <c r="AI4248" t="n">
        <v>838</v>
      </c>
      <c r="AJ4248" t="inlineStr">
        <is>
          <t>PINKFLASH</t>
        </is>
      </c>
      <c r="AK4248" t="n">
        <v>21</v>
      </c>
      <c r="AL4248" t="inlineStr">
        <is>
          <t>Miss Glam Damar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PINKFLASH</t>
        </is>
      </c>
      <c r="B4249" s="2">
        <f>"6941845808489"</f>
        <v/>
      </c>
      <c r="C4249" t="inlineStr">
        <is>
          <t>PINKFLASH Soft Pigment Blush PF-F01 P02</t>
        </is>
      </c>
      <c r="D4249" t="inlineStr">
        <is>
          <t>Miss Glam Damar</t>
        </is>
      </c>
      <c r="E4249" t="n">
        <v>71</v>
      </c>
      <c r="F4249" t="n">
        <v>2.17</v>
      </c>
      <c r="G4249" t="n">
        <v>12</v>
      </c>
      <c r="H4249" t="n">
        <v>2</v>
      </c>
      <c r="I4249" t="n">
        <v>5</v>
      </c>
      <c r="J4249" t="n">
        <v>3</v>
      </c>
      <c r="K4249" t="n">
        <v>0</v>
      </c>
      <c r="L4249" t="n">
        <v>15318</v>
      </c>
      <c r="M4249" t="n">
        <v>20500</v>
      </c>
      <c r="N4249" t="n">
        <v>91</v>
      </c>
      <c r="O4249" t="n">
        <v>0.91</v>
      </c>
      <c r="P4249" t="n">
        <v>0</v>
      </c>
      <c r="Q4249" t="n">
        <v>2.17</v>
      </c>
      <c r="R4249" t="n">
        <v>12</v>
      </c>
      <c r="S4249" t="n">
        <v>44485</v>
      </c>
      <c r="T4249" t="n">
        <v>56</v>
      </c>
      <c r="U4249" t="n">
        <v>61</v>
      </c>
      <c r="V4249" t="n">
        <v>30</v>
      </c>
      <c r="W4249" t="n">
        <v>66</v>
      </c>
      <c r="X4249" t="n">
        <v>32.71889400921659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12515</v>
      </c>
      <c r="AG4249" t="n">
        <v>3501</v>
      </c>
      <c r="AH4249" t="inlineStr">
        <is>
          <t>PT. SAI - PPN - PF/FC (PDG)</t>
        </is>
      </c>
      <c r="AI4249" t="n">
        <v>838</v>
      </c>
      <c r="AJ4249" t="inlineStr">
        <is>
          <t>PINKFLASH</t>
        </is>
      </c>
      <c r="AK4249" t="n">
        <v>21</v>
      </c>
      <c r="AL4249" t="inlineStr">
        <is>
          <t>Miss Glam Damar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PINKFLASH</t>
        </is>
      </c>
      <c r="B4250" s="2">
        <f>"6941845815760"</f>
        <v/>
      </c>
      <c r="C4250" t="inlineStr">
        <is>
          <t>PINKFLASH Velvety 3 Pan Eyeshadow PF-E23 PK03</t>
        </is>
      </c>
      <c r="D4250" t="inlineStr">
        <is>
          <t>Miss Glam Damar</t>
        </is>
      </c>
      <c r="E4250" t="n">
        <v>12</v>
      </c>
      <c r="F4250" t="n">
        <v>0.182</v>
      </c>
      <c r="G4250" t="n">
        <v>1.82</v>
      </c>
      <c r="H4250" t="n">
        <v>2</v>
      </c>
      <c r="I4250" t="n">
        <v>5</v>
      </c>
      <c r="J4250" t="n">
        <v>3</v>
      </c>
      <c r="K4250" t="n">
        <v>0</v>
      </c>
      <c r="L4250" t="n">
        <v>33782</v>
      </c>
      <c r="M4250" t="n">
        <v>40500</v>
      </c>
      <c r="N4250" t="n">
        <v>91</v>
      </c>
      <c r="O4250" t="n">
        <v>0.91</v>
      </c>
      <c r="P4250" t="n">
        <v>1</v>
      </c>
      <c r="Q4250" t="n">
        <v>0.34</v>
      </c>
      <c r="R4250" t="n">
        <v>3</v>
      </c>
      <c r="S4250" t="n">
        <v>7371.000000000001</v>
      </c>
      <c r="T4250" t="n">
        <v>9</v>
      </c>
      <c r="U4250" t="n">
        <v>10</v>
      </c>
      <c r="V4250" t="n">
        <v>30</v>
      </c>
      <c r="W4250" t="n">
        <v>6</v>
      </c>
      <c r="X4250" t="n">
        <v>65.93406593406593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12515</v>
      </c>
      <c r="AG4250" t="n">
        <v>3501</v>
      </c>
      <c r="AH4250" t="inlineStr">
        <is>
          <t>PT. SAI - PPN - PF/FC (PDG)</t>
        </is>
      </c>
      <c r="AI4250" t="n">
        <v>838</v>
      </c>
      <c r="AJ4250" t="inlineStr">
        <is>
          <t>PINKFLASH</t>
        </is>
      </c>
      <c r="AK4250" t="n">
        <v>21</v>
      </c>
      <c r="AL4250" t="inlineStr">
        <is>
          <t>Miss Glam Damar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PINKFLASH</t>
        </is>
      </c>
      <c r="B4251" s="2">
        <f>"6941845815777"</f>
        <v/>
      </c>
      <c r="C4251" t="inlineStr">
        <is>
          <t>PINKFLASH Velvety 3 Pan Eyeshadow PF-E23 PK04</t>
        </is>
      </c>
      <c r="D4251" t="inlineStr">
        <is>
          <t>Miss Glam Damar</t>
        </is>
      </c>
      <c r="E4251" t="n">
        <v>13</v>
      </c>
      <c r="F4251" t="n">
        <v>0.0728</v>
      </c>
      <c r="G4251" t="n">
        <v>0.91</v>
      </c>
      <c r="H4251" t="n">
        <v>2</v>
      </c>
      <c r="I4251" t="n">
        <v>5</v>
      </c>
      <c r="J4251" t="n">
        <v>3</v>
      </c>
      <c r="K4251" t="n">
        <v>0</v>
      </c>
      <c r="L4251" t="n">
        <v>33782</v>
      </c>
      <c r="M4251" t="n">
        <v>40500</v>
      </c>
      <c r="N4251" t="n">
        <v>91</v>
      </c>
      <c r="O4251" t="n">
        <v>0.91</v>
      </c>
      <c r="P4251" t="n">
        <v>1</v>
      </c>
      <c r="Q4251" t="n">
        <v>0.32</v>
      </c>
      <c r="R4251" t="n">
        <v>2</v>
      </c>
      <c r="S4251" t="n">
        <v>2948.4</v>
      </c>
      <c r="T4251" t="n">
        <v>5</v>
      </c>
      <c r="U4251" t="n">
        <v>6</v>
      </c>
      <c r="V4251" t="n">
        <v>30</v>
      </c>
      <c r="W4251" t="n">
        <v>3</v>
      </c>
      <c r="X4251" t="n">
        <v>178.5714285714286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12515</v>
      </c>
      <c r="AG4251" t="n">
        <v>3501</v>
      </c>
      <c r="AH4251" t="inlineStr">
        <is>
          <t>PT. SAI - PPN - PF/FC (PDG)</t>
        </is>
      </c>
      <c r="AI4251" t="n">
        <v>838</v>
      </c>
      <c r="AJ4251" t="inlineStr">
        <is>
          <t>PINKFLASH</t>
        </is>
      </c>
      <c r="AK4251" t="n">
        <v>21</v>
      </c>
      <c r="AL4251" t="inlineStr">
        <is>
          <t>Miss Glam Damar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PINKFLASH</t>
        </is>
      </c>
      <c r="B4252" s="2">
        <f>"6941845805297"</f>
        <v/>
      </c>
      <c r="C4252" t="inlineStr">
        <is>
          <t>PINKFLASH Waterproof Auto Eyebrow Pencil 03 Gray Brown 0.2gr</t>
        </is>
      </c>
      <c r="D4252" t="inlineStr">
        <is>
          <t>Miss Glam Damar</t>
        </is>
      </c>
      <c r="E4252" t="n">
        <v>29</v>
      </c>
      <c r="F4252" t="n">
        <v>2.0475</v>
      </c>
      <c r="G4252" t="n">
        <v>7.28</v>
      </c>
      <c r="H4252" t="n">
        <v>2</v>
      </c>
      <c r="I4252" t="n">
        <v>5</v>
      </c>
      <c r="J4252" t="n">
        <v>3</v>
      </c>
      <c r="K4252" t="n">
        <v>0</v>
      </c>
      <c r="L4252" t="n">
        <v>14551</v>
      </c>
      <c r="M4252" t="n">
        <v>17500</v>
      </c>
      <c r="N4252" t="n">
        <v>91</v>
      </c>
      <c r="O4252" t="n">
        <v>0.91</v>
      </c>
      <c r="P4252" t="n">
        <v>1</v>
      </c>
      <c r="Q4252" t="n">
        <v>1.36</v>
      </c>
      <c r="R4252" t="n">
        <v>5</v>
      </c>
      <c r="S4252" t="n">
        <v>35831.25</v>
      </c>
      <c r="T4252" t="n">
        <v>33</v>
      </c>
      <c r="U4252" t="n">
        <v>38</v>
      </c>
      <c r="V4252" t="n">
        <v>30</v>
      </c>
      <c r="W4252" t="n">
        <v>62</v>
      </c>
      <c r="X4252" t="n">
        <v>14.16361416361416</v>
      </c>
      <c r="Y4252" t="n">
        <v>1</v>
      </c>
      <c r="Z4252" t="n">
        <v>33</v>
      </c>
      <c r="AA4252" t="n">
        <v>0</v>
      </c>
      <c r="AB4252" t="n">
        <v>33</v>
      </c>
      <c r="AC4252" t="n">
        <v>33</v>
      </c>
      <c r="AD4252" t="n">
        <v>0</v>
      </c>
      <c r="AE4252" t="n">
        <v>480183</v>
      </c>
      <c r="AF4252" t="n">
        <v>12515</v>
      </c>
      <c r="AG4252" t="n">
        <v>3501</v>
      </c>
      <c r="AH4252" t="inlineStr">
        <is>
          <t>PT. SAI - PPN - PF/FC (PDG)</t>
        </is>
      </c>
      <c r="AI4252" t="n">
        <v>838</v>
      </c>
      <c r="AJ4252" t="inlineStr">
        <is>
          <t>PINKFLASH</t>
        </is>
      </c>
      <c r="AK4252" t="n">
        <v>21</v>
      </c>
      <c r="AL4252" t="inlineStr">
        <is>
          <t>Miss Glam Damar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PINKFLASH</t>
        </is>
      </c>
      <c r="B4253" s="2">
        <f>"6941845805310"</f>
        <v/>
      </c>
      <c r="C4253" t="inlineStr">
        <is>
          <t>PINKFLASH Waterproof Auto Eyebrow Pencil PF-E09 #01 Natural Brown</t>
        </is>
      </c>
      <c r="D4253" t="inlineStr">
        <is>
          <t>Miss Glam Damar</t>
        </is>
      </c>
      <c r="E4253" t="n">
        <v>25</v>
      </c>
      <c r="F4253" t="n">
        <v>1.5379</v>
      </c>
      <c r="G4253" t="n">
        <v>5.46</v>
      </c>
      <c r="H4253" t="n">
        <v>2</v>
      </c>
      <c r="I4253" t="n">
        <v>5</v>
      </c>
      <c r="J4253" t="n">
        <v>3</v>
      </c>
      <c r="K4253" t="n">
        <v>0</v>
      </c>
      <c r="L4253" t="n">
        <v>14551</v>
      </c>
      <c r="M4253" t="n">
        <v>17500</v>
      </c>
      <c r="N4253" t="n">
        <v>91</v>
      </c>
      <c r="O4253" t="n">
        <v>0.91</v>
      </c>
      <c r="P4253" t="n">
        <v>1</v>
      </c>
      <c r="Q4253" t="n">
        <v>0.95</v>
      </c>
      <c r="R4253" t="n">
        <v>3</v>
      </c>
      <c r="S4253" t="n">
        <v>26913.25</v>
      </c>
      <c r="T4253" t="n">
        <v>25</v>
      </c>
      <c r="U4253" t="n">
        <v>29</v>
      </c>
      <c r="V4253" t="n">
        <v>30</v>
      </c>
      <c r="W4253" t="n">
        <v>47</v>
      </c>
      <c r="X4253" t="n">
        <v>16.25593341569673</v>
      </c>
      <c r="Y4253" t="n">
        <v>1</v>
      </c>
      <c r="Z4253" t="n">
        <v>22</v>
      </c>
      <c r="AA4253" t="n">
        <v>0</v>
      </c>
      <c r="AB4253" t="n">
        <v>22</v>
      </c>
      <c r="AC4253" t="n">
        <v>22</v>
      </c>
      <c r="AD4253" t="n">
        <v>0</v>
      </c>
      <c r="AE4253" t="n">
        <v>320122</v>
      </c>
      <c r="AF4253" t="n">
        <v>12515</v>
      </c>
      <c r="AG4253" t="n">
        <v>3501</v>
      </c>
      <c r="AH4253" t="inlineStr">
        <is>
          <t>PT. SAI - PPN - PF/FC (PDG)</t>
        </is>
      </c>
      <c r="AI4253" t="n">
        <v>838</v>
      </c>
      <c r="AJ4253" t="inlineStr">
        <is>
          <t>PINKFLASH</t>
        </is>
      </c>
      <c r="AK4253" t="n">
        <v>21</v>
      </c>
      <c r="AL4253" t="inlineStr">
        <is>
          <t>Miss Glam Damar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PINKFLASH</t>
        </is>
      </c>
      <c r="B4254" s="2">
        <f>"6941845805280"</f>
        <v/>
      </c>
      <c r="C4254" t="inlineStr">
        <is>
          <t>PINKFLASH Waterproof Auto Eyebrow Pencil PF-E09 #04 Natural Gray 0.2gr</t>
        </is>
      </c>
      <c r="D4254" t="inlineStr">
        <is>
          <t>Miss Glam Damar</t>
        </is>
      </c>
      <c r="E4254" t="n">
        <v>17</v>
      </c>
      <c r="F4254" t="n">
        <v>0.6916</v>
      </c>
      <c r="G4254" t="n">
        <v>2.73</v>
      </c>
      <c r="H4254" t="n">
        <v>2</v>
      </c>
      <c r="I4254" t="n">
        <v>5</v>
      </c>
      <c r="J4254" t="n">
        <v>3</v>
      </c>
      <c r="K4254" t="n">
        <v>0</v>
      </c>
      <c r="L4254" t="n">
        <v>14551</v>
      </c>
      <c r="M4254" t="n">
        <v>17500</v>
      </c>
      <c r="N4254" t="n">
        <v>91</v>
      </c>
      <c r="O4254" t="n">
        <v>0.91</v>
      </c>
      <c r="P4254" t="n">
        <v>1</v>
      </c>
      <c r="Q4254" t="n">
        <v>0.59</v>
      </c>
      <c r="R4254" t="n">
        <v>3</v>
      </c>
      <c r="S4254" t="n">
        <v>12103</v>
      </c>
      <c r="T4254" t="n">
        <v>13</v>
      </c>
      <c r="U4254" t="n">
        <v>15</v>
      </c>
      <c r="V4254" t="n">
        <v>30</v>
      </c>
      <c r="W4254" t="n">
        <v>21</v>
      </c>
      <c r="X4254" t="n">
        <v>24.58068247541932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12515</v>
      </c>
      <c r="AG4254" t="n">
        <v>3501</v>
      </c>
      <c r="AH4254" t="inlineStr">
        <is>
          <t>PT. SAI - PPN - PF/FC (PDG)</t>
        </is>
      </c>
      <c r="AI4254" t="n">
        <v>838</v>
      </c>
      <c r="AJ4254" t="inlineStr">
        <is>
          <t>PINKFLASH</t>
        </is>
      </c>
      <c r="AK4254" t="n">
        <v>21</v>
      </c>
      <c r="AL4254" t="inlineStr">
        <is>
          <t>Miss Glam Damar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PINKFLASH</t>
        </is>
      </c>
      <c r="B4255" s="2">
        <f>"6941845808199"</f>
        <v/>
      </c>
      <c r="C4255" t="inlineStr">
        <is>
          <t>PINKFLASH Waterproof Easy Eyebrow Pencil 01 Latte Brown</t>
        </is>
      </c>
      <c r="D4255" t="inlineStr">
        <is>
          <t>Miss Glam Damar</t>
        </is>
      </c>
      <c r="E4255" t="n">
        <v>10</v>
      </c>
      <c r="F4255" t="n">
        <v>0.2002</v>
      </c>
      <c r="G4255" t="n">
        <v>0.91</v>
      </c>
      <c r="H4255" t="n">
        <v>2</v>
      </c>
      <c r="I4255" t="n">
        <v>5</v>
      </c>
      <c r="J4255" t="n">
        <v>3</v>
      </c>
      <c r="K4255" t="n">
        <v>0</v>
      </c>
      <c r="L4255" t="n">
        <v>8209</v>
      </c>
      <c r="M4255" t="n">
        <v>10000</v>
      </c>
      <c r="N4255" t="n">
        <v>91</v>
      </c>
      <c r="O4255" t="n">
        <v>0.91</v>
      </c>
      <c r="P4255" t="n">
        <v>1</v>
      </c>
      <c r="Q4255" t="n">
        <v>0.15</v>
      </c>
      <c r="R4255" t="n">
        <v>2</v>
      </c>
      <c r="S4255" t="n">
        <v>2002</v>
      </c>
      <c r="T4255" t="n">
        <v>5</v>
      </c>
      <c r="U4255" t="n">
        <v>6</v>
      </c>
      <c r="V4255" t="n">
        <v>30</v>
      </c>
      <c r="W4255" t="n">
        <v>7</v>
      </c>
      <c r="X4255" t="n">
        <v>49.95004995004994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12515</v>
      </c>
      <c r="AG4255" t="n">
        <v>3501</v>
      </c>
      <c r="AH4255" t="inlineStr">
        <is>
          <t>PT. SAI - PPN - PF/FC (PDG)</t>
        </is>
      </c>
      <c r="AI4255" t="n">
        <v>838</v>
      </c>
      <c r="AJ4255" t="inlineStr">
        <is>
          <t>PINKFLASH</t>
        </is>
      </c>
      <c r="AK4255" t="n">
        <v>21</v>
      </c>
      <c r="AL4255" t="inlineStr">
        <is>
          <t>Miss Glam Damar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PINKFLASH</t>
        </is>
      </c>
      <c r="B4256" s="2">
        <f>"6927545992031"</f>
        <v/>
      </c>
      <c r="C4256" t="inlineStr">
        <is>
          <t>PINKFLASH Waterproof Easy Eyebrow Pencil E02-02 Natural Brown</t>
        </is>
      </c>
      <c r="D4256" t="inlineStr">
        <is>
          <t>Miss Glam Damar</t>
        </is>
      </c>
      <c r="E4256" t="n">
        <v>6</v>
      </c>
      <c r="F4256" t="n">
        <v>0.4823000000000001</v>
      </c>
      <c r="G4256" t="n">
        <v>2.73</v>
      </c>
      <c r="H4256" t="n">
        <v>2</v>
      </c>
      <c r="I4256" t="n">
        <v>5</v>
      </c>
      <c r="J4256" t="n">
        <v>3</v>
      </c>
      <c r="K4256" t="n">
        <v>0</v>
      </c>
      <c r="L4256" t="n">
        <v>8208</v>
      </c>
      <c r="M4256" t="n">
        <v>11500</v>
      </c>
      <c r="N4256" t="n">
        <v>91</v>
      </c>
      <c r="O4256" t="n">
        <v>0.91</v>
      </c>
      <c r="P4256" t="n">
        <v>1</v>
      </c>
      <c r="Q4256" t="n">
        <v>0.27</v>
      </c>
      <c r="R4256" t="n">
        <v>3</v>
      </c>
      <c r="S4256" t="n">
        <v>5546.450000000001</v>
      </c>
      <c r="T4256" t="n">
        <v>13</v>
      </c>
      <c r="U4256" t="n">
        <v>14</v>
      </c>
      <c r="V4256" t="n">
        <v>30</v>
      </c>
      <c r="W4256" t="n">
        <v>15</v>
      </c>
      <c r="X4256" t="n">
        <v>12.44038979888036</v>
      </c>
      <c r="Y4256" t="n">
        <v>1</v>
      </c>
      <c r="Z4256" t="n">
        <v>9</v>
      </c>
      <c r="AA4256" t="n">
        <v>0</v>
      </c>
      <c r="AB4256" t="n">
        <v>9</v>
      </c>
      <c r="AC4256" t="n">
        <v>9</v>
      </c>
      <c r="AD4256" t="n">
        <v>0</v>
      </c>
      <c r="AE4256" t="n">
        <v>73872</v>
      </c>
      <c r="AF4256" t="n">
        <v>12515</v>
      </c>
      <c r="AG4256" t="n">
        <v>3501</v>
      </c>
      <c r="AH4256" t="inlineStr">
        <is>
          <t>PT. SAI - PPN - PF/FC (PDG)</t>
        </is>
      </c>
      <c r="AI4256" t="n">
        <v>838</v>
      </c>
      <c r="AJ4256" t="inlineStr">
        <is>
          <t>PINKFLASH</t>
        </is>
      </c>
      <c r="AK4256" t="n">
        <v>21</v>
      </c>
      <c r="AL4256" t="inlineStr">
        <is>
          <t>Miss Glam Damar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PINKFLASH</t>
        </is>
      </c>
      <c r="B4257" s="2">
        <f>"6941845808236"</f>
        <v/>
      </c>
      <c r="C4257" t="inlineStr">
        <is>
          <t>PINKFLASH Waterproof Easy Eyebrow Pencil EO 03 Chocolate Brown</t>
        </is>
      </c>
      <c r="D4257" t="inlineStr">
        <is>
          <t>Miss Glam Damar</t>
        </is>
      </c>
      <c r="E4257" t="n">
        <v>21</v>
      </c>
      <c r="F4257" t="n">
        <v>1.0465</v>
      </c>
      <c r="G4257" t="n">
        <v>7.28</v>
      </c>
      <c r="H4257" t="n">
        <v>2</v>
      </c>
      <c r="I4257" t="n">
        <v>5</v>
      </c>
      <c r="J4257" t="n">
        <v>3</v>
      </c>
      <c r="K4257" t="n">
        <v>0</v>
      </c>
      <c r="L4257" t="n">
        <v>8209</v>
      </c>
      <c r="M4257" t="n">
        <v>10000</v>
      </c>
      <c r="N4257" t="n">
        <v>91</v>
      </c>
      <c r="O4257" t="n">
        <v>0.91</v>
      </c>
      <c r="P4257" t="n">
        <v>1</v>
      </c>
      <c r="Q4257" t="n">
        <v>1</v>
      </c>
      <c r="R4257" t="n">
        <v>6</v>
      </c>
      <c r="S4257" t="n">
        <v>10465</v>
      </c>
      <c r="T4257" t="n">
        <v>35</v>
      </c>
      <c r="U4257" t="n">
        <v>38</v>
      </c>
      <c r="V4257" t="n">
        <v>30</v>
      </c>
      <c r="W4257" t="n">
        <v>32</v>
      </c>
      <c r="X4257" t="n">
        <v>20.06688963210702</v>
      </c>
      <c r="Y4257" t="n">
        <v>1</v>
      </c>
      <c r="Z4257" t="n">
        <v>11</v>
      </c>
      <c r="AA4257" t="n">
        <v>0</v>
      </c>
      <c r="AB4257" t="n">
        <v>11</v>
      </c>
      <c r="AC4257" t="n">
        <v>11</v>
      </c>
      <c r="AD4257" t="n">
        <v>0</v>
      </c>
      <c r="AE4257" t="n">
        <v>90299</v>
      </c>
      <c r="AF4257" t="n">
        <v>12515</v>
      </c>
      <c r="AG4257" t="n">
        <v>3501</v>
      </c>
      <c r="AH4257" t="inlineStr">
        <is>
          <t>PT. SAI - PPN - PF/FC (PDG)</t>
        </is>
      </c>
      <c r="AI4257" t="n">
        <v>838</v>
      </c>
      <c r="AJ4257" t="inlineStr">
        <is>
          <t>PINKFLASH</t>
        </is>
      </c>
      <c r="AK4257" t="n">
        <v>21</v>
      </c>
      <c r="AL4257" t="inlineStr">
        <is>
          <t>Miss Glam Damar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PINKFLASH</t>
        </is>
      </c>
      <c r="B4258" s="2">
        <f>"6941845808250"</f>
        <v/>
      </c>
      <c r="C4258" t="inlineStr">
        <is>
          <t>PINKFLASH Waterproof Easy Eyebrow Pencil PfE02 04 Dark Gray Brown</t>
        </is>
      </c>
      <c r="D4258" t="inlineStr">
        <is>
          <t>Miss Glam Damar</t>
        </is>
      </c>
      <c r="E4258" t="n">
        <v>47</v>
      </c>
      <c r="F4258" t="n">
        <v>2.0657</v>
      </c>
      <c r="G4258" t="n">
        <v>6.37</v>
      </c>
      <c r="H4258" t="n">
        <v>2</v>
      </c>
      <c r="I4258" t="n">
        <v>5</v>
      </c>
      <c r="J4258" t="n">
        <v>3</v>
      </c>
      <c r="K4258" t="n">
        <v>0</v>
      </c>
      <c r="L4258" t="n">
        <v>8208</v>
      </c>
      <c r="M4258" t="n">
        <v>10000</v>
      </c>
      <c r="N4258" t="n">
        <v>91</v>
      </c>
      <c r="O4258" t="n">
        <v>0.91</v>
      </c>
      <c r="P4258" t="n">
        <v>1</v>
      </c>
      <c r="Q4258" t="n">
        <v>1.56</v>
      </c>
      <c r="R4258" t="n">
        <v>6</v>
      </c>
      <c r="S4258" t="n">
        <v>20657</v>
      </c>
      <c r="T4258" t="n">
        <v>28</v>
      </c>
      <c r="U4258" t="n">
        <v>33</v>
      </c>
      <c r="V4258" t="n">
        <v>30</v>
      </c>
      <c r="W4258" t="n">
        <v>62</v>
      </c>
      <c r="X4258" t="n">
        <v>22.75257781865711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12515</v>
      </c>
      <c r="AG4258" t="n">
        <v>3501</v>
      </c>
      <c r="AH4258" t="inlineStr">
        <is>
          <t>PT. SAI - PPN - PF/FC (PDG)</t>
        </is>
      </c>
      <c r="AI4258" t="n">
        <v>838</v>
      </c>
      <c r="AJ4258" t="inlineStr">
        <is>
          <t>PINKFLASH</t>
        </is>
      </c>
      <c r="AK4258" t="n">
        <v>21</v>
      </c>
      <c r="AL4258" t="inlineStr">
        <is>
          <t>Miss Glam Damar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PINKFLASH</t>
        </is>
      </c>
      <c r="B4259" s="2">
        <f>"6941845808670"</f>
        <v/>
      </c>
      <c r="C4259" t="inlineStr">
        <is>
          <t>PINKFLASH Waterproof Easy Eyeliner B01 Black</t>
        </is>
      </c>
      <c r="D4259" t="inlineStr">
        <is>
          <t>Miss Glam Damar</t>
        </is>
      </c>
      <c r="E4259" t="n">
        <v>173</v>
      </c>
      <c r="F4259" t="n">
        <v>12.1121</v>
      </c>
      <c r="G4259" t="n">
        <v>24.57</v>
      </c>
      <c r="H4259" t="n">
        <v>2</v>
      </c>
      <c r="I4259" t="n">
        <v>5</v>
      </c>
      <c r="J4259" t="n">
        <v>3</v>
      </c>
      <c r="K4259" t="n">
        <v>0</v>
      </c>
      <c r="L4259" t="n">
        <v>13308</v>
      </c>
      <c r="M4259" t="n">
        <v>16000</v>
      </c>
      <c r="N4259" t="n">
        <v>91</v>
      </c>
      <c r="O4259" t="n">
        <v>0.91</v>
      </c>
      <c r="P4259" t="n">
        <v>1</v>
      </c>
      <c r="Q4259" t="n">
        <v>7.14</v>
      </c>
      <c r="R4259" t="n">
        <v>14</v>
      </c>
      <c r="S4259" t="n">
        <v>193793.6</v>
      </c>
      <c r="T4259" t="n">
        <v>99</v>
      </c>
      <c r="U4259" t="n">
        <v>124</v>
      </c>
      <c r="V4259" t="n">
        <v>30</v>
      </c>
      <c r="W4259" t="n">
        <v>364</v>
      </c>
      <c r="X4259" t="n">
        <v>14.28323742373329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12515</v>
      </c>
      <c r="AG4259" t="n">
        <v>3501</v>
      </c>
      <c r="AH4259" t="inlineStr">
        <is>
          <t>PT. SAI - PPN - PF/FC (PDG)</t>
        </is>
      </c>
      <c r="AI4259" t="n">
        <v>838</v>
      </c>
      <c r="AJ4259" t="inlineStr">
        <is>
          <t>PINKFLASH</t>
        </is>
      </c>
      <c r="AK4259" t="n">
        <v>21</v>
      </c>
      <c r="AL4259" t="inlineStr">
        <is>
          <t>Miss Glam Damar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PINKFLASH</t>
        </is>
      </c>
      <c r="B4260" s="2">
        <f>"6941845808687"</f>
        <v/>
      </c>
      <c r="C4260" t="inlineStr">
        <is>
          <t>PINKFLASH Waterproof Easy Eyeliner B02 Brown</t>
        </is>
      </c>
      <c r="D4260" t="inlineStr">
        <is>
          <t>Miss Glam Damar</t>
        </is>
      </c>
      <c r="E4260" t="n">
        <v>59</v>
      </c>
      <c r="F4260" t="n">
        <v>1.6653</v>
      </c>
      <c r="G4260" t="n">
        <v>7.28</v>
      </c>
      <c r="H4260" t="n">
        <v>2</v>
      </c>
      <c r="I4260" t="n">
        <v>5</v>
      </c>
      <c r="J4260" t="n">
        <v>3</v>
      </c>
      <c r="K4260" t="n">
        <v>0</v>
      </c>
      <c r="L4260" t="n">
        <v>13308</v>
      </c>
      <c r="M4260" t="n">
        <v>16000</v>
      </c>
      <c r="N4260" t="n">
        <v>91</v>
      </c>
      <c r="O4260" t="n">
        <v>0.91</v>
      </c>
      <c r="P4260" t="n">
        <v>1</v>
      </c>
      <c r="Q4260" t="n">
        <v>1.98</v>
      </c>
      <c r="R4260" t="n">
        <v>8</v>
      </c>
      <c r="S4260" t="n">
        <v>26644.8</v>
      </c>
      <c r="T4260" t="n">
        <v>34</v>
      </c>
      <c r="U4260" t="n">
        <v>38</v>
      </c>
      <c r="V4260" t="n">
        <v>30</v>
      </c>
      <c r="W4260" t="n">
        <v>50</v>
      </c>
      <c r="X4260" t="n">
        <v>35.42905182249444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12515</v>
      </c>
      <c r="AG4260" t="n">
        <v>3501</v>
      </c>
      <c r="AH4260" t="inlineStr">
        <is>
          <t>PT. SAI - PPN - PF/FC (PDG)</t>
        </is>
      </c>
      <c r="AI4260" t="n">
        <v>838</v>
      </c>
      <c r="AJ4260" t="inlineStr">
        <is>
          <t>PINKFLASH</t>
        </is>
      </c>
      <c r="AK4260" t="n">
        <v>21</v>
      </c>
      <c r="AL4260" t="inlineStr">
        <is>
          <t>Miss Glam Damar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PINKFLASH</t>
        </is>
      </c>
      <c r="B4261" s="2">
        <f>"6941845808748"</f>
        <v/>
      </c>
      <c r="C4261" t="inlineStr">
        <is>
          <t>PINKFLASH Waterproof Easy Eyeliner E01 B00 6gr</t>
        </is>
      </c>
      <c r="D4261" t="inlineStr">
        <is>
          <t>Miss Glam Damar</t>
        </is>
      </c>
      <c r="E4261" t="n">
        <v>98</v>
      </c>
      <c r="F4261" t="n">
        <v>2.7573</v>
      </c>
      <c r="G4261" t="n">
        <v>11.83</v>
      </c>
      <c r="H4261" t="n">
        <v>2</v>
      </c>
      <c r="I4261" t="n">
        <v>5</v>
      </c>
      <c r="J4261" t="n">
        <v>3</v>
      </c>
      <c r="K4261" t="n">
        <v>0</v>
      </c>
      <c r="L4261" t="n">
        <v>13308</v>
      </c>
      <c r="M4261" t="n">
        <v>16000</v>
      </c>
      <c r="N4261" t="n">
        <v>91</v>
      </c>
      <c r="O4261" t="n">
        <v>0.91</v>
      </c>
      <c r="P4261" t="n">
        <v>1</v>
      </c>
      <c r="Q4261" t="n">
        <v>3.64</v>
      </c>
      <c r="R4261" t="n">
        <v>11</v>
      </c>
      <c r="S4261" t="n">
        <v>44116.8</v>
      </c>
      <c r="T4261" t="n">
        <v>54</v>
      </c>
      <c r="U4261" t="n">
        <v>60</v>
      </c>
      <c r="V4261" t="n">
        <v>30</v>
      </c>
      <c r="W4261" t="n">
        <v>83</v>
      </c>
      <c r="X4261" t="n">
        <v>35.54201574003554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12515</v>
      </c>
      <c r="AG4261" t="n">
        <v>3501</v>
      </c>
      <c r="AH4261" t="inlineStr">
        <is>
          <t>PT. SAI - PPN - PF/FC (PDG)</t>
        </is>
      </c>
      <c r="AI4261" t="n">
        <v>838</v>
      </c>
      <c r="AJ4261" t="inlineStr">
        <is>
          <t>PINKFLASH</t>
        </is>
      </c>
      <c r="AK4261" t="n">
        <v>21</v>
      </c>
      <c r="AL4261" t="inlineStr">
        <is>
          <t>Miss Glam Damar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PIPIQIU</t>
        </is>
      </c>
      <c r="B4262" s="2">
        <f>"10300725525"</f>
        <v/>
      </c>
      <c r="C4262" t="inlineStr">
        <is>
          <t>PIPIQIU 10% Niacinamide + Tranexamic Acid Extra Bright Hydrating Skin Barrier Moisture Gel 100ml</t>
        </is>
      </c>
      <c r="D4262" t="inlineStr">
        <is>
          <t>Miss Glam Damar</t>
        </is>
      </c>
      <c r="E4262" t="n">
        <v>0</v>
      </c>
      <c r="F4262" t="n">
        <v>0.11</v>
      </c>
      <c r="G4262" t="n">
        <v>2</v>
      </c>
      <c r="H4262" t="n">
        <v>3</v>
      </c>
      <c r="I4262" t="n">
        <v>11</v>
      </c>
      <c r="J4262" t="n">
        <v>1</v>
      </c>
      <c r="K4262" t="n">
        <v>0</v>
      </c>
      <c r="L4262" t="n">
        <v>63000</v>
      </c>
      <c r="M4262" t="n">
        <v>74500</v>
      </c>
      <c r="N4262" t="n">
        <v>91</v>
      </c>
      <c r="O4262" t="n">
        <v>0.91</v>
      </c>
      <c r="P4262" t="n">
        <v>0</v>
      </c>
      <c r="Q4262" t="n">
        <v>0.11</v>
      </c>
      <c r="R4262" t="n">
        <v>2</v>
      </c>
      <c r="S4262" t="n">
        <v>8195</v>
      </c>
      <c r="T4262" t="n">
        <v>22</v>
      </c>
      <c r="U4262" t="n">
        <v>23</v>
      </c>
      <c r="V4262" t="n">
        <v>30</v>
      </c>
      <c r="W4262" t="n">
        <v>4</v>
      </c>
      <c r="X4262" t="n">
        <v>0</v>
      </c>
      <c r="Y4262" t="n">
        <v>1</v>
      </c>
      <c r="Z4262" t="n">
        <v>4</v>
      </c>
      <c r="AA4262" t="n">
        <v>2</v>
      </c>
      <c r="AB4262" t="n">
        <v>2</v>
      </c>
      <c r="AC4262" t="n">
        <v>2</v>
      </c>
      <c r="AD4262" t="n">
        <v>126000</v>
      </c>
      <c r="AE4262" t="n">
        <v>126000</v>
      </c>
      <c r="AF4262" t="n">
        <v>12872</v>
      </c>
      <c r="AG4262" t="n">
        <v>2122</v>
      </c>
      <c r="AH4262" t="inlineStr">
        <is>
          <t>PT. SINAR PADANG LESTARI - PPN (PDG)</t>
        </is>
      </c>
      <c r="AI4262" t="n">
        <v>545</v>
      </c>
      <c r="AJ4262" t="inlineStr">
        <is>
          <t>PIPIQIU</t>
        </is>
      </c>
      <c r="AK4262" t="n">
        <v>21</v>
      </c>
      <c r="AL4262" t="inlineStr">
        <is>
          <t>Miss Glam Damar</t>
        </is>
      </c>
      <c r="AM4262" t="n">
        <v>1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PIPIQIU</t>
        </is>
      </c>
      <c r="B4263" s="2">
        <f>"10300611507"</f>
        <v/>
      </c>
      <c r="C4263" t="inlineStr">
        <is>
          <t>PIPIQIU 10% Niacinamide + Tranexamic Acid Extra Bright Skin Barrier Moisture Gel KUROMI Series 30gr</t>
        </is>
      </c>
      <c r="D4263" t="inlineStr">
        <is>
          <t>Miss Glam Damar</t>
        </is>
      </c>
      <c r="E4263" t="n">
        <v>8</v>
      </c>
      <c r="F4263" t="n">
        <v>0.3276</v>
      </c>
      <c r="G4263" t="n">
        <v>2.73</v>
      </c>
      <c r="H4263" t="n">
        <v>3</v>
      </c>
      <c r="I4263" t="n">
        <v>11</v>
      </c>
      <c r="J4263" t="n">
        <v>1</v>
      </c>
      <c r="K4263" t="n">
        <v>0</v>
      </c>
      <c r="L4263" t="n">
        <v>37800</v>
      </c>
      <c r="M4263" t="n">
        <v>45000</v>
      </c>
      <c r="N4263" t="n">
        <v>91</v>
      </c>
      <c r="O4263" t="n">
        <v>0.91</v>
      </c>
      <c r="P4263" t="n">
        <v>1</v>
      </c>
      <c r="Q4263" t="n">
        <v>0.19</v>
      </c>
      <c r="R4263" t="n">
        <v>2</v>
      </c>
      <c r="S4263" t="n">
        <v>14742</v>
      </c>
      <c r="T4263" t="n">
        <v>30</v>
      </c>
      <c r="U4263" t="n">
        <v>31</v>
      </c>
      <c r="V4263" t="n">
        <v>30</v>
      </c>
      <c r="W4263" t="n">
        <v>10</v>
      </c>
      <c r="X4263" t="n">
        <v>24.42002442002442</v>
      </c>
      <c r="Y4263" t="n">
        <v>1</v>
      </c>
      <c r="Z4263" t="n">
        <v>2</v>
      </c>
      <c r="AA4263" t="n">
        <v>0</v>
      </c>
      <c r="AB4263" t="n">
        <v>2</v>
      </c>
      <c r="AC4263" t="n">
        <v>2</v>
      </c>
      <c r="AD4263" t="n">
        <v>0</v>
      </c>
      <c r="AE4263" t="n">
        <v>75600</v>
      </c>
      <c r="AF4263" t="n">
        <v>12872</v>
      </c>
      <c r="AG4263" t="n">
        <v>2122</v>
      </c>
      <c r="AH4263" t="inlineStr">
        <is>
          <t>PT. SINAR PADANG LESTARI - PPN (PDG)</t>
        </is>
      </c>
      <c r="AI4263" t="n">
        <v>545</v>
      </c>
      <c r="AJ4263" t="inlineStr">
        <is>
          <t>PIPIQIU</t>
        </is>
      </c>
      <c r="AK4263" t="n">
        <v>21</v>
      </c>
      <c r="AL4263" t="inlineStr">
        <is>
          <t>Miss Glam Damar</t>
        </is>
      </c>
      <c r="AM4263" t="n">
        <v>1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PIPIQIU</t>
        </is>
      </c>
      <c r="B4264" s="2">
        <f>"10300514047"</f>
        <v/>
      </c>
      <c r="C4264" t="inlineStr">
        <is>
          <t>PIPIQIU 7% Panthenol + 7% Cica-Mugwort Skin Barrier Soothing Moisture Gel 100ml</t>
        </is>
      </c>
      <c r="D4264" t="inlineStr">
        <is>
          <t>Miss Glam Damar</t>
        </is>
      </c>
      <c r="E4264" t="n">
        <v>8</v>
      </c>
      <c r="F4264" t="n">
        <v>0.1</v>
      </c>
      <c r="G4264" t="n">
        <v>2</v>
      </c>
      <c r="H4264" t="n">
        <v>3</v>
      </c>
      <c r="I4264" t="n">
        <v>11</v>
      </c>
      <c r="J4264" t="n">
        <v>1</v>
      </c>
      <c r="K4264" t="n">
        <v>0</v>
      </c>
      <c r="L4264" t="n">
        <v>63000</v>
      </c>
      <c r="M4264" t="n">
        <v>74500</v>
      </c>
      <c r="N4264" t="n">
        <v>91</v>
      </c>
      <c r="O4264" t="n">
        <v>0.91</v>
      </c>
      <c r="P4264" t="n">
        <v>0</v>
      </c>
      <c r="Q4264" t="n">
        <v>0.1</v>
      </c>
      <c r="R4264" t="n">
        <v>2</v>
      </c>
      <c r="S4264" t="n">
        <v>7450</v>
      </c>
      <c r="T4264" t="n">
        <v>22</v>
      </c>
      <c r="U4264" t="n">
        <v>23</v>
      </c>
      <c r="V4264" t="n">
        <v>30</v>
      </c>
      <c r="W4264" t="n">
        <v>3</v>
      </c>
      <c r="X4264" t="n">
        <v>80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12872</v>
      </c>
      <c r="AG4264" t="n">
        <v>2122</v>
      </c>
      <c r="AH4264" t="inlineStr">
        <is>
          <t>PT. SINAR PADANG LESTARI - PPN (PDG)</t>
        </is>
      </c>
      <c r="AI4264" t="n">
        <v>545</v>
      </c>
      <c r="AJ4264" t="inlineStr">
        <is>
          <t>PIPIQIU</t>
        </is>
      </c>
      <c r="AK4264" t="n">
        <v>21</v>
      </c>
      <c r="AL4264" t="inlineStr">
        <is>
          <t>Miss Glam Damar</t>
        </is>
      </c>
      <c r="AM4264" t="n">
        <v>1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PIPIQIU</t>
        </is>
      </c>
      <c r="B4265" s="2">
        <f>"10400514860"</f>
        <v/>
      </c>
      <c r="C4265" t="inlineStr">
        <is>
          <t>PIPIQIU Ultra Light Sunscreen Moisturizer Bright &amp; Protect SPF 50 PA++++ KUROMI 30ml</t>
        </is>
      </c>
      <c r="D4265" t="inlineStr">
        <is>
          <t>Miss Glam Damar</t>
        </is>
      </c>
      <c r="E4265" t="n">
        <v>5</v>
      </c>
      <c r="F4265" t="n">
        <v>0.2912</v>
      </c>
      <c r="G4265" t="n">
        <v>1.82</v>
      </c>
      <c r="H4265" t="n">
        <v>3</v>
      </c>
      <c r="I4265" t="n">
        <v>11</v>
      </c>
      <c r="J4265" t="n">
        <v>1</v>
      </c>
      <c r="K4265" t="n">
        <v>0</v>
      </c>
      <c r="L4265" t="n">
        <v>37800</v>
      </c>
      <c r="M4265" t="n">
        <v>45000</v>
      </c>
      <c r="N4265" t="n">
        <v>91</v>
      </c>
      <c r="O4265" t="n">
        <v>0.91</v>
      </c>
      <c r="P4265" t="n">
        <v>1</v>
      </c>
      <c r="Q4265" t="n">
        <v>0.12</v>
      </c>
      <c r="R4265" t="n">
        <v>1</v>
      </c>
      <c r="S4265" t="n">
        <v>13104</v>
      </c>
      <c r="T4265" t="n">
        <v>20</v>
      </c>
      <c r="U4265" t="n">
        <v>21</v>
      </c>
      <c r="V4265" t="n">
        <v>30</v>
      </c>
      <c r="W4265" t="n">
        <v>9</v>
      </c>
      <c r="X4265" t="n">
        <v>17.17032967032967</v>
      </c>
      <c r="Y4265" t="n">
        <v>1</v>
      </c>
      <c r="Z4265" t="n">
        <v>4</v>
      </c>
      <c r="AA4265" t="n">
        <v>0</v>
      </c>
      <c r="AB4265" t="n">
        <v>4</v>
      </c>
      <c r="AC4265" t="n">
        <v>4</v>
      </c>
      <c r="AD4265" t="n">
        <v>0</v>
      </c>
      <c r="AE4265" t="n">
        <v>151200</v>
      </c>
      <c r="AF4265" t="n">
        <v>12872</v>
      </c>
      <c r="AG4265" t="n">
        <v>2122</v>
      </c>
      <c r="AH4265" t="inlineStr">
        <is>
          <t>PT. SINAR PADANG LESTARI - PPN (PDG)</t>
        </is>
      </c>
      <c r="AI4265" t="n">
        <v>545</v>
      </c>
      <c r="AJ4265" t="inlineStr">
        <is>
          <t>PIPIQIU</t>
        </is>
      </c>
      <c r="AK4265" t="n">
        <v>21</v>
      </c>
      <c r="AL4265" t="inlineStr">
        <is>
          <t>Miss Glam Damar</t>
        </is>
      </c>
      <c r="AM4265" t="n">
        <v>1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PIXY</t>
        </is>
      </c>
      <c r="B4266" s="2">
        <f>"8992222280655"</f>
        <v/>
      </c>
      <c r="C4266" t="inlineStr">
        <is>
          <t>PIXY  Eye Brow Black</t>
        </is>
      </c>
      <c r="D4266" t="inlineStr">
        <is>
          <t>Miss Glam Damar</t>
        </is>
      </c>
      <c r="E4266" t="n">
        <v>2</v>
      </c>
      <c r="F4266" t="n">
        <v>0.04550000000000001</v>
      </c>
      <c r="G4266" t="n">
        <v>0.91</v>
      </c>
      <c r="H4266" t="n">
        <v>2</v>
      </c>
      <c r="I4266" t="n">
        <v>6</v>
      </c>
      <c r="J4266" t="n">
        <v>3</v>
      </c>
      <c r="K4266" t="n">
        <v>0</v>
      </c>
      <c r="L4266" t="n">
        <v>27909</v>
      </c>
      <c r="M4266" t="n">
        <v>35000</v>
      </c>
      <c r="N4266" t="n">
        <v>91</v>
      </c>
      <c r="O4266" t="n">
        <v>0.91</v>
      </c>
      <c r="P4266" t="n">
        <v>1</v>
      </c>
      <c r="Q4266" t="n">
        <v>0.03</v>
      </c>
      <c r="R4266" t="n">
        <v>1</v>
      </c>
      <c r="S4266" t="n">
        <v>1592.5</v>
      </c>
      <c r="T4266" t="n">
        <v>6</v>
      </c>
      <c r="U4266" t="n">
        <v>7</v>
      </c>
      <c r="V4266" t="n">
        <v>30</v>
      </c>
      <c r="W4266" t="n">
        <v>2</v>
      </c>
      <c r="X4266" t="n">
        <v>43.95604395604395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2678</v>
      </c>
      <c r="AG4266" t="n">
        <v>104</v>
      </c>
      <c r="AH4266" t="inlineStr">
        <is>
          <t>PT. ASIA PARAMITA - PPN (PDG)</t>
        </is>
      </c>
      <c r="AI4266" t="n">
        <v>104</v>
      </c>
      <c r="AJ4266" t="inlineStr">
        <is>
          <t>PIXY</t>
        </is>
      </c>
      <c r="AK4266" t="n">
        <v>21</v>
      </c>
      <c r="AL4266" t="inlineStr">
        <is>
          <t>Miss Glam Damar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PIXY</t>
        </is>
      </c>
      <c r="B4267" s="2">
        <f>"8992222280662"</f>
        <v/>
      </c>
      <c r="C4267" t="inlineStr">
        <is>
          <t>PIXY  Eye Brow Brown</t>
        </is>
      </c>
      <c r="D4267" t="inlineStr">
        <is>
          <t>Miss Glam Damar</t>
        </is>
      </c>
      <c r="E4267" t="n">
        <v>3</v>
      </c>
      <c r="F4267" t="n">
        <v>0.0728</v>
      </c>
      <c r="G4267" t="n">
        <v>0.91</v>
      </c>
      <c r="H4267" t="n">
        <v>2</v>
      </c>
      <c r="I4267" t="n">
        <v>6</v>
      </c>
      <c r="J4267" t="n">
        <v>3</v>
      </c>
      <c r="K4267" t="n">
        <v>0</v>
      </c>
      <c r="L4267" t="n">
        <v>29600</v>
      </c>
      <c r="M4267" t="n">
        <v>35000</v>
      </c>
      <c r="N4267" t="n">
        <v>91</v>
      </c>
      <c r="O4267" t="n">
        <v>0.91</v>
      </c>
      <c r="P4267" t="n">
        <v>1</v>
      </c>
      <c r="Q4267" t="n">
        <v>0.05</v>
      </c>
      <c r="R4267" t="n">
        <v>1</v>
      </c>
      <c r="S4267" t="n">
        <v>2548</v>
      </c>
      <c r="T4267" t="n">
        <v>6</v>
      </c>
      <c r="U4267" t="n">
        <v>7</v>
      </c>
      <c r="V4267" t="n">
        <v>30</v>
      </c>
      <c r="W4267" t="n">
        <v>3</v>
      </c>
      <c r="X4267" t="n">
        <v>41.2087912087912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2678</v>
      </c>
      <c r="AG4267" t="n">
        <v>104</v>
      </c>
      <c r="AH4267" t="inlineStr">
        <is>
          <t>PT. ASIA PARAMITA - PPN (PDG)</t>
        </is>
      </c>
      <c r="AI4267" t="n">
        <v>104</v>
      </c>
      <c r="AJ4267" t="inlineStr">
        <is>
          <t>PIXY</t>
        </is>
      </c>
      <c r="AK4267" t="n">
        <v>21</v>
      </c>
      <c r="AL4267" t="inlineStr">
        <is>
          <t>Miss Glam Damar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PIXY</t>
        </is>
      </c>
      <c r="B4268" s="2">
        <f>"8992222074018"</f>
        <v/>
      </c>
      <c r="C4268" t="inlineStr">
        <is>
          <t>PIXY  Make It Glow Silky Powder Cake 201 Neutral Beige</t>
        </is>
      </c>
      <c r="D4268" t="inlineStr">
        <is>
          <t>Miss Glam Damar</t>
        </is>
      </c>
      <c r="E4268" t="n">
        <v>2</v>
      </c>
      <c r="F4268" t="n">
        <v>0.1365</v>
      </c>
      <c r="G4268" t="n">
        <v>0.91</v>
      </c>
      <c r="H4268" t="n">
        <v>2</v>
      </c>
      <c r="I4268" t="n">
        <v>6</v>
      </c>
      <c r="J4268" t="n">
        <v>3</v>
      </c>
      <c r="K4268" t="n">
        <v>0</v>
      </c>
      <c r="L4268" t="n">
        <v>59900</v>
      </c>
      <c r="M4268" t="n">
        <v>70500</v>
      </c>
      <c r="N4268" t="n">
        <v>91</v>
      </c>
      <c r="O4268" t="n">
        <v>0.91</v>
      </c>
      <c r="P4268" t="n">
        <v>1</v>
      </c>
      <c r="Q4268" t="n">
        <v>0.15</v>
      </c>
      <c r="R4268" t="n">
        <v>1</v>
      </c>
      <c r="S4268" t="n">
        <v>9623.25</v>
      </c>
      <c r="T4268" t="n">
        <v>6</v>
      </c>
      <c r="U4268" t="n">
        <v>7</v>
      </c>
      <c r="V4268" t="n">
        <v>30</v>
      </c>
      <c r="W4268" t="n">
        <v>5</v>
      </c>
      <c r="X4268" t="n">
        <v>14.65201465201465</v>
      </c>
      <c r="Y4268" t="n">
        <v>1</v>
      </c>
      <c r="Z4268" t="n">
        <v>3</v>
      </c>
      <c r="AA4268" t="n">
        <v>0</v>
      </c>
      <c r="AB4268" t="n">
        <v>3</v>
      </c>
      <c r="AC4268" t="n">
        <v>3</v>
      </c>
      <c r="AD4268" t="n">
        <v>0</v>
      </c>
      <c r="AE4268" t="n">
        <v>179700</v>
      </c>
      <c r="AF4268" t="n">
        <v>2678</v>
      </c>
      <c r="AG4268" t="n">
        <v>104</v>
      </c>
      <c r="AH4268" t="inlineStr">
        <is>
          <t>PT. ASIA PARAMITA - PPN (PDG)</t>
        </is>
      </c>
      <c r="AI4268" t="n">
        <v>104</v>
      </c>
      <c r="AJ4268" t="inlineStr">
        <is>
          <t>PIXY</t>
        </is>
      </c>
      <c r="AK4268" t="n">
        <v>21</v>
      </c>
      <c r="AL4268" t="inlineStr">
        <is>
          <t>Miss Glam Damar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PIXY</t>
        </is>
      </c>
      <c r="B4269" s="2">
        <f>"8992222280631"</f>
        <v/>
      </c>
      <c r="C4269" t="inlineStr">
        <is>
          <t>PIXY  Waterproof Mascara 7ml</t>
        </is>
      </c>
      <c r="D4269" t="inlineStr">
        <is>
          <t>Miss Glam Damar</t>
        </is>
      </c>
      <c r="E4269" t="n">
        <v>2</v>
      </c>
      <c r="F4269" t="n">
        <v>0.1547</v>
      </c>
      <c r="G4269" t="n">
        <v>0.91</v>
      </c>
      <c r="H4269" t="n">
        <v>2</v>
      </c>
      <c r="I4269" t="n">
        <v>6</v>
      </c>
      <c r="J4269" t="n">
        <v>3</v>
      </c>
      <c r="K4269" t="n">
        <v>0</v>
      </c>
      <c r="L4269" t="n">
        <v>36000</v>
      </c>
      <c r="M4269" t="n">
        <v>43000</v>
      </c>
      <c r="N4269" t="n">
        <v>91</v>
      </c>
      <c r="O4269" t="n">
        <v>0.91</v>
      </c>
      <c r="P4269" t="n">
        <v>1</v>
      </c>
      <c r="Q4269" t="n">
        <v>0.07000000000000001</v>
      </c>
      <c r="R4269" t="n">
        <v>1</v>
      </c>
      <c r="S4269" t="n">
        <v>6652.1</v>
      </c>
      <c r="T4269" t="n">
        <v>6</v>
      </c>
      <c r="U4269" t="n">
        <v>7</v>
      </c>
      <c r="V4269" t="n">
        <v>30</v>
      </c>
      <c r="W4269" t="n">
        <v>5</v>
      </c>
      <c r="X4269" t="n">
        <v>12.92824822236587</v>
      </c>
      <c r="Y4269" t="n">
        <v>1</v>
      </c>
      <c r="Z4269" t="n">
        <v>3</v>
      </c>
      <c r="AA4269" t="n">
        <v>0</v>
      </c>
      <c r="AB4269" t="n">
        <v>3</v>
      </c>
      <c r="AC4269" t="n">
        <v>3</v>
      </c>
      <c r="AD4269" t="n">
        <v>0</v>
      </c>
      <c r="AE4269" t="n">
        <v>108000</v>
      </c>
      <c r="AF4269" t="n">
        <v>2678</v>
      </c>
      <c r="AG4269" t="n">
        <v>104</v>
      </c>
      <c r="AH4269" t="inlineStr">
        <is>
          <t>PT. ASIA PARAMITA - PPN (PDG)</t>
        </is>
      </c>
      <c r="AI4269" t="n">
        <v>104</v>
      </c>
      <c r="AJ4269" t="inlineStr">
        <is>
          <t>PIXY</t>
        </is>
      </c>
      <c r="AK4269" t="n">
        <v>21</v>
      </c>
      <c r="AL4269" t="inlineStr">
        <is>
          <t>Miss Glam Damar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PIXY</t>
        </is>
      </c>
      <c r="B4270" s="2">
        <f>"8992222283137"</f>
        <v/>
      </c>
      <c r="C4270" t="inlineStr">
        <is>
          <t>PIXY 3Shades Eye Shadow 11 Chic Terracotta</t>
        </is>
      </c>
      <c r="D4270" t="inlineStr">
        <is>
          <t>Miss Glam Damar</t>
        </is>
      </c>
      <c r="E4270" t="n">
        <v>1</v>
      </c>
      <c r="F4270" t="n">
        <v>0.1365</v>
      </c>
      <c r="G4270" t="n">
        <v>1.82</v>
      </c>
      <c r="H4270" t="n">
        <v>2</v>
      </c>
      <c r="I4270" t="n">
        <v>6</v>
      </c>
      <c r="J4270" t="n">
        <v>3</v>
      </c>
      <c r="K4270" t="n">
        <v>0</v>
      </c>
      <c r="L4270" t="n">
        <v>43600</v>
      </c>
      <c r="M4270" t="n">
        <v>51500</v>
      </c>
      <c r="N4270" t="n">
        <v>91</v>
      </c>
      <c r="O4270" t="n">
        <v>0.91</v>
      </c>
      <c r="P4270" t="n">
        <v>1</v>
      </c>
      <c r="Q4270" t="n">
        <v>0.15</v>
      </c>
      <c r="R4270" t="n">
        <v>1</v>
      </c>
      <c r="S4270" t="n">
        <v>7029.750000000001</v>
      </c>
      <c r="T4270" t="n">
        <v>11</v>
      </c>
      <c r="U4270" t="n">
        <v>12</v>
      </c>
      <c r="V4270" t="n">
        <v>30</v>
      </c>
      <c r="W4270" t="n">
        <v>5</v>
      </c>
      <c r="X4270" t="n">
        <v>7.326007326007326</v>
      </c>
      <c r="Y4270" t="n">
        <v>1</v>
      </c>
      <c r="Z4270" t="n">
        <v>4</v>
      </c>
      <c r="AA4270" t="n">
        <v>0</v>
      </c>
      <c r="AB4270" t="n">
        <v>4</v>
      </c>
      <c r="AC4270" t="n">
        <v>4</v>
      </c>
      <c r="AD4270" t="n">
        <v>0</v>
      </c>
      <c r="AE4270" t="n">
        <v>174400</v>
      </c>
      <c r="AF4270" t="n">
        <v>2678</v>
      </c>
      <c r="AG4270" t="n">
        <v>104</v>
      </c>
      <c r="AH4270" t="inlineStr">
        <is>
          <t>PT. ASIA PARAMITA - PPN (PDG)</t>
        </is>
      </c>
      <c r="AI4270" t="n">
        <v>104</v>
      </c>
      <c r="AJ4270" t="inlineStr">
        <is>
          <t>PIXY</t>
        </is>
      </c>
      <c r="AK4270" t="n">
        <v>21</v>
      </c>
      <c r="AL4270" t="inlineStr">
        <is>
          <t>Miss Glam Damar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PIXY</t>
        </is>
      </c>
      <c r="B4271" s="2">
        <f>"20100639616"</f>
        <v/>
      </c>
      <c r="C4271" t="inlineStr">
        <is>
          <t>PIXY Airy Blur-Fit Loose Powder N10 Fair Beige 10gr</t>
        </is>
      </c>
      <c r="D4271" t="inlineStr">
        <is>
          <t>Miss Glam Damar</t>
        </is>
      </c>
      <c r="E4271" t="n">
        <v>12</v>
      </c>
      <c r="F4271" t="n">
        <v>0.1092</v>
      </c>
      <c r="G4271" t="n">
        <v>1.82</v>
      </c>
      <c r="H4271" t="n">
        <v>2</v>
      </c>
      <c r="I4271" t="n">
        <v>6</v>
      </c>
      <c r="J4271" t="n">
        <v>1</v>
      </c>
      <c r="K4271" t="n">
        <v>0</v>
      </c>
      <c r="L4271" t="n">
        <v>32000</v>
      </c>
      <c r="M4271" t="n">
        <v>38000</v>
      </c>
      <c r="N4271" t="n">
        <v>91</v>
      </c>
      <c r="O4271" t="n">
        <v>0.91</v>
      </c>
      <c r="P4271" t="n">
        <v>1</v>
      </c>
      <c r="Q4271" t="n">
        <v>0.31</v>
      </c>
      <c r="R4271" t="n">
        <v>3</v>
      </c>
      <c r="S4271" t="n">
        <v>4149.6</v>
      </c>
      <c r="T4271" t="n">
        <v>11</v>
      </c>
      <c r="U4271" t="n">
        <v>12</v>
      </c>
      <c r="V4271" t="n">
        <v>30</v>
      </c>
      <c r="W4271" t="n">
        <v>4</v>
      </c>
      <c r="X4271" t="n">
        <v>109.8901098901099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2678</v>
      </c>
      <c r="AG4271" t="n">
        <v>104</v>
      </c>
      <c r="AH4271" t="inlineStr">
        <is>
          <t>PT. ASIA PARAMITA - PPN (PDG)</t>
        </is>
      </c>
      <c r="AI4271" t="n">
        <v>104</v>
      </c>
      <c r="AJ4271" t="inlineStr">
        <is>
          <t>PIXY</t>
        </is>
      </c>
      <c r="AK4271" t="n">
        <v>21</v>
      </c>
      <c r="AL4271" t="inlineStr">
        <is>
          <t>Miss Glam Damar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PIXY</t>
        </is>
      </c>
      <c r="B4272" s="2">
        <f>"20100639745"</f>
        <v/>
      </c>
      <c r="C4272" t="inlineStr">
        <is>
          <t>PIXY Airy Blur-Fit Loose Powder N21 Light Vanilla 10gr</t>
        </is>
      </c>
      <c r="D4272" t="inlineStr">
        <is>
          <t>Miss Glam Damar</t>
        </is>
      </c>
      <c r="E4272" t="n">
        <v>7</v>
      </c>
      <c r="F4272" t="n">
        <v>0.1729</v>
      </c>
      <c r="G4272" t="n">
        <v>0.91</v>
      </c>
      <c r="H4272" t="n">
        <v>2</v>
      </c>
      <c r="I4272" t="n">
        <v>6</v>
      </c>
      <c r="J4272" t="n">
        <v>1</v>
      </c>
      <c r="K4272" t="n">
        <v>0</v>
      </c>
      <c r="L4272" t="n">
        <v>32000</v>
      </c>
      <c r="M4272" t="n">
        <v>38000</v>
      </c>
      <c r="N4272" t="n">
        <v>91</v>
      </c>
      <c r="O4272" t="n">
        <v>0.91</v>
      </c>
      <c r="P4272" t="n">
        <v>1</v>
      </c>
      <c r="Q4272" t="n">
        <v>0.14</v>
      </c>
      <c r="R4272" t="n">
        <v>1</v>
      </c>
      <c r="S4272" t="n">
        <v>6570.2</v>
      </c>
      <c r="T4272" t="n">
        <v>6</v>
      </c>
      <c r="U4272" t="n">
        <v>7</v>
      </c>
      <c r="V4272" t="n">
        <v>30</v>
      </c>
      <c r="W4272" t="n">
        <v>6</v>
      </c>
      <c r="X4272" t="n">
        <v>40.48582995951417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2678</v>
      </c>
      <c r="AG4272" t="n">
        <v>104</v>
      </c>
      <c r="AH4272" t="inlineStr">
        <is>
          <t>PT. ASIA PARAMITA - PPN (PDG)</t>
        </is>
      </c>
      <c r="AI4272" t="n">
        <v>104</v>
      </c>
      <c r="AJ4272" t="inlineStr">
        <is>
          <t>PIXY</t>
        </is>
      </c>
      <c r="AK4272" t="n">
        <v>21</v>
      </c>
      <c r="AL4272" t="inlineStr">
        <is>
          <t>Miss Glam Damar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PIXY</t>
        </is>
      </c>
      <c r="B4273" s="2">
        <f>"20100639830"</f>
        <v/>
      </c>
      <c r="C4273" t="inlineStr">
        <is>
          <t>PIXY Airy Blur-Fit Loose Powder W34 Neutral Warm 10gr</t>
        </is>
      </c>
      <c r="D4273" t="inlineStr">
        <is>
          <t>Miss Glam Damar</t>
        </is>
      </c>
      <c r="E4273" t="n">
        <v>5</v>
      </c>
      <c r="F4273" t="n">
        <v>0.182</v>
      </c>
      <c r="G4273" t="n">
        <v>1.82</v>
      </c>
      <c r="H4273" t="n">
        <v>2</v>
      </c>
      <c r="I4273" t="n">
        <v>6</v>
      </c>
      <c r="J4273" t="n">
        <v>1</v>
      </c>
      <c r="K4273" t="n">
        <v>0</v>
      </c>
      <c r="L4273" t="n">
        <v>32000</v>
      </c>
      <c r="M4273" t="n">
        <v>38000</v>
      </c>
      <c r="N4273" t="n">
        <v>91</v>
      </c>
      <c r="O4273" t="n">
        <v>0.91</v>
      </c>
      <c r="P4273" t="n">
        <v>1</v>
      </c>
      <c r="Q4273" t="n">
        <v>0.22</v>
      </c>
      <c r="R4273" t="n">
        <v>2</v>
      </c>
      <c r="S4273" t="n">
        <v>6916.000000000001</v>
      </c>
      <c r="T4273" t="n">
        <v>11</v>
      </c>
      <c r="U4273" t="n">
        <v>12</v>
      </c>
      <c r="V4273" t="n">
        <v>30</v>
      </c>
      <c r="W4273" t="n">
        <v>6</v>
      </c>
      <c r="X4273" t="n">
        <v>27.47252747252747</v>
      </c>
      <c r="Y4273" t="n">
        <v>1</v>
      </c>
      <c r="Z4273" t="n">
        <v>1</v>
      </c>
      <c r="AA4273" t="n">
        <v>0</v>
      </c>
      <c r="AB4273" t="n">
        <v>1</v>
      </c>
      <c r="AC4273" t="n">
        <v>1</v>
      </c>
      <c r="AD4273" t="n">
        <v>0</v>
      </c>
      <c r="AE4273" t="n">
        <v>32000</v>
      </c>
      <c r="AF4273" t="n">
        <v>2678</v>
      </c>
      <c r="AG4273" t="n">
        <v>104</v>
      </c>
      <c r="AH4273" t="inlineStr">
        <is>
          <t>PT. ASIA PARAMITA - PPN (PDG)</t>
        </is>
      </c>
      <c r="AI4273" t="n">
        <v>104</v>
      </c>
      <c r="AJ4273" t="inlineStr">
        <is>
          <t>PIXY</t>
        </is>
      </c>
      <c r="AK4273" t="n">
        <v>21</v>
      </c>
      <c r="AL4273" t="inlineStr">
        <is>
          <t>Miss Glam Damar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PIXY</t>
        </is>
      </c>
      <c r="B4274" s="2">
        <f>"20100706847"</f>
        <v/>
      </c>
      <c r="C4274" t="inlineStr">
        <is>
          <t>PIXY Airy Hydra Blur Primer 20ml</t>
        </is>
      </c>
      <c r="D4274" t="inlineStr">
        <is>
          <t>Miss Glam Damar</t>
        </is>
      </c>
      <c r="E4274" t="n">
        <v>8</v>
      </c>
      <c r="F4274" t="n">
        <v>0.2002</v>
      </c>
      <c r="G4274" t="n">
        <v>2.73</v>
      </c>
      <c r="H4274" t="n">
        <v>2</v>
      </c>
      <c r="I4274" t="n">
        <v>6</v>
      </c>
      <c r="J4274" t="n">
        <v>1</v>
      </c>
      <c r="K4274" t="n">
        <v>0</v>
      </c>
      <c r="L4274" t="n">
        <v>36000</v>
      </c>
      <c r="M4274" t="n">
        <v>42500</v>
      </c>
      <c r="N4274" t="n">
        <v>91</v>
      </c>
      <c r="O4274" t="n">
        <v>0.91</v>
      </c>
      <c r="P4274" t="n">
        <v>1</v>
      </c>
      <c r="Q4274" t="n">
        <v>0.14</v>
      </c>
      <c r="R4274" t="n">
        <v>1</v>
      </c>
      <c r="S4274" t="n">
        <v>8508.5</v>
      </c>
      <c r="T4274" t="n">
        <v>16</v>
      </c>
      <c r="U4274" t="n">
        <v>17</v>
      </c>
      <c r="V4274" t="n">
        <v>30</v>
      </c>
      <c r="W4274" t="n">
        <v>7</v>
      </c>
      <c r="X4274" t="n">
        <v>39.96003996003996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2678</v>
      </c>
      <c r="AG4274" t="n">
        <v>104</v>
      </c>
      <c r="AH4274" t="inlineStr">
        <is>
          <t>PT. ASIA PARAMITA - PPN (PDG)</t>
        </is>
      </c>
      <c r="AI4274" t="n">
        <v>104</v>
      </c>
      <c r="AJ4274" t="inlineStr">
        <is>
          <t>PIXY</t>
        </is>
      </c>
      <c r="AK4274" t="n">
        <v>21</v>
      </c>
      <c r="AL4274" t="inlineStr">
        <is>
          <t>Miss Glam Damar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PIXY</t>
        </is>
      </c>
      <c r="B4275" s="2">
        <f>"20100464817"</f>
        <v/>
      </c>
      <c r="C4275" t="inlineStr">
        <is>
          <t>PIXY Airy Serum Cushion Glow C12 Fair Ivory 15g</t>
        </is>
      </c>
      <c r="D4275" t="inlineStr">
        <is>
          <t>Miss Glam Damar</t>
        </is>
      </c>
      <c r="E4275" t="n">
        <v>5</v>
      </c>
      <c r="F4275" t="n">
        <v>0.1547</v>
      </c>
      <c r="G4275" t="n">
        <v>1.82</v>
      </c>
      <c r="H4275" t="n">
        <v>2</v>
      </c>
      <c r="I4275" t="n">
        <v>6</v>
      </c>
      <c r="J4275" t="n">
        <v>3</v>
      </c>
      <c r="K4275" t="n">
        <v>0</v>
      </c>
      <c r="L4275" t="n">
        <v>63200</v>
      </c>
      <c r="M4275" t="n">
        <v>74500</v>
      </c>
      <c r="N4275" t="n">
        <v>91</v>
      </c>
      <c r="O4275" t="n">
        <v>0.91</v>
      </c>
      <c r="P4275" t="n">
        <v>1</v>
      </c>
      <c r="Q4275" t="n">
        <v>0.15</v>
      </c>
      <c r="R4275" t="n">
        <v>3</v>
      </c>
      <c r="S4275" t="n">
        <v>11525.15</v>
      </c>
      <c r="T4275" t="n">
        <v>11</v>
      </c>
      <c r="U4275" t="n">
        <v>12</v>
      </c>
      <c r="V4275" t="n">
        <v>30</v>
      </c>
      <c r="W4275" t="n">
        <v>5</v>
      </c>
      <c r="X4275" t="n">
        <v>32.32062055591467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2678</v>
      </c>
      <c r="AG4275" t="n">
        <v>104</v>
      </c>
      <c r="AH4275" t="inlineStr">
        <is>
          <t>PT. ASIA PARAMITA - PPN (PDG)</t>
        </is>
      </c>
      <c r="AI4275" t="n">
        <v>104</v>
      </c>
      <c r="AJ4275" t="inlineStr">
        <is>
          <t>PIXY</t>
        </is>
      </c>
      <c r="AK4275" t="n">
        <v>21</v>
      </c>
      <c r="AL4275" t="inlineStr">
        <is>
          <t>Miss Glam Damar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PIXY</t>
        </is>
      </c>
      <c r="B4276" s="2">
        <f>"20100464741"</f>
        <v/>
      </c>
      <c r="C4276" t="inlineStr">
        <is>
          <t>PIXY Airy Serum Cushion Glow N23 Light Beige 15g</t>
        </is>
      </c>
      <c r="D4276" t="inlineStr">
        <is>
          <t>Miss Glam Damar</t>
        </is>
      </c>
      <c r="E4276" t="n">
        <v>8</v>
      </c>
      <c r="F4276" t="n">
        <v>0.2275</v>
      </c>
      <c r="G4276" t="n">
        <v>1.82</v>
      </c>
      <c r="H4276" t="n">
        <v>2</v>
      </c>
      <c r="I4276" t="n">
        <v>6</v>
      </c>
      <c r="J4276" t="n">
        <v>3</v>
      </c>
      <c r="K4276" t="n">
        <v>0</v>
      </c>
      <c r="L4276" t="n">
        <v>63200</v>
      </c>
      <c r="M4276" t="n">
        <v>74500</v>
      </c>
      <c r="N4276" t="n">
        <v>91</v>
      </c>
      <c r="O4276" t="n">
        <v>0.91</v>
      </c>
      <c r="P4276" t="n">
        <v>1</v>
      </c>
      <c r="Q4276" t="n">
        <v>0.14</v>
      </c>
      <c r="R4276" t="n">
        <v>1</v>
      </c>
      <c r="S4276" t="n">
        <v>16948.75</v>
      </c>
      <c r="T4276" t="n">
        <v>11</v>
      </c>
      <c r="U4276" t="n">
        <v>12</v>
      </c>
      <c r="V4276" t="n">
        <v>30</v>
      </c>
      <c r="W4276" t="n">
        <v>7</v>
      </c>
      <c r="X4276" t="n">
        <v>35.16483516483516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2678</v>
      </c>
      <c r="AG4276" t="n">
        <v>104</v>
      </c>
      <c r="AH4276" t="inlineStr">
        <is>
          <t>PT. ASIA PARAMITA - PPN (PDG)</t>
        </is>
      </c>
      <c r="AI4276" t="n">
        <v>104</v>
      </c>
      <c r="AJ4276" t="inlineStr">
        <is>
          <t>PIXY</t>
        </is>
      </c>
      <c r="AK4276" t="n">
        <v>21</v>
      </c>
      <c r="AL4276" t="inlineStr">
        <is>
          <t>Miss Glam Damar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PIXY</t>
        </is>
      </c>
      <c r="B4277" s="2">
        <f>"20100476534"</f>
        <v/>
      </c>
      <c r="C4277" t="inlineStr">
        <is>
          <t>PIXY Airy Serum Cushion Matte N30 Neutral Beige 15gr</t>
        </is>
      </c>
      <c r="D4277" t="inlineStr">
        <is>
          <t>Miss Glam Damar</t>
        </is>
      </c>
      <c r="E4277" t="n">
        <v>19</v>
      </c>
      <c r="F4277" t="n">
        <v>0.1092</v>
      </c>
      <c r="G4277" t="n">
        <v>0.91</v>
      </c>
      <c r="H4277" t="n">
        <v>2</v>
      </c>
      <c r="I4277" t="n">
        <v>6</v>
      </c>
      <c r="J4277" t="n">
        <v>1</v>
      </c>
      <c r="K4277" t="n">
        <v>0</v>
      </c>
      <c r="L4277" t="n">
        <v>63200</v>
      </c>
      <c r="M4277" t="n">
        <v>74500</v>
      </c>
      <c r="N4277" t="n">
        <v>91</v>
      </c>
      <c r="O4277" t="n">
        <v>0.91</v>
      </c>
      <c r="P4277" t="n">
        <v>1</v>
      </c>
      <c r="Q4277" t="n">
        <v>0.07000000000000001</v>
      </c>
      <c r="R4277" t="n">
        <v>2</v>
      </c>
      <c r="S4277" t="n">
        <v>8135.400000000001</v>
      </c>
      <c r="T4277" t="n">
        <v>6</v>
      </c>
      <c r="U4277" t="n">
        <v>7</v>
      </c>
      <c r="V4277" t="n">
        <v>30</v>
      </c>
      <c r="W4277" t="n">
        <v>4</v>
      </c>
      <c r="X4277" t="n">
        <v>173.992673992674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2678</v>
      </c>
      <c r="AG4277" t="n">
        <v>104</v>
      </c>
      <c r="AH4277" t="inlineStr">
        <is>
          <t>PT. ASIA PARAMITA - PPN (PDG)</t>
        </is>
      </c>
      <c r="AI4277" t="n">
        <v>104</v>
      </c>
      <c r="AJ4277" t="inlineStr">
        <is>
          <t>PIXY</t>
        </is>
      </c>
      <c r="AK4277" t="n">
        <v>21</v>
      </c>
      <c r="AL4277" t="inlineStr">
        <is>
          <t>Miss Glam Damar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PIXY</t>
        </is>
      </c>
      <c r="B4278" s="2">
        <f>"20100476929"</f>
        <v/>
      </c>
      <c r="C4278" t="inlineStr">
        <is>
          <t>PIXY Airy Serum Cushion Matte N43 Medium Beige 15gr</t>
        </is>
      </c>
      <c r="D4278" t="inlineStr">
        <is>
          <t>Miss Glam Damar</t>
        </is>
      </c>
      <c r="E4278" t="n">
        <v>2</v>
      </c>
      <c r="F4278" t="n">
        <v>0.0182</v>
      </c>
      <c r="G4278" t="n">
        <v>0.91</v>
      </c>
      <c r="H4278" t="n">
        <v>2</v>
      </c>
      <c r="I4278" t="n">
        <v>6</v>
      </c>
      <c r="J4278" t="n">
        <v>1</v>
      </c>
      <c r="K4278" t="n">
        <v>0</v>
      </c>
      <c r="L4278" t="n">
        <v>63200</v>
      </c>
      <c r="M4278" t="n">
        <v>74500</v>
      </c>
      <c r="N4278" t="n">
        <v>91</v>
      </c>
      <c r="O4278" t="n">
        <v>0.91</v>
      </c>
      <c r="P4278" t="n">
        <v>1</v>
      </c>
      <c r="Q4278" t="n">
        <v>0.03</v>
      </c>
      <c r="R4278" t="n">
        <v>1</v>
      </c>
      <c r="S4278" t="n">
        <v>1355.9</v>
      </c>
      <c r="T4278" t="n">
        <v>6</v>
      </c>
      <c r="U4278" t="n">
        <v>7</v>
      </c>
      <c r="V4278" t="n">
        <v>30</v>
      </c>
      <c r="W4278" t="n">
        <v>1</v>
      </c>
      <c r="X4278" t="n">
        <v>109.8901098901099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2678</v>
      </c>
      <c r="AG4278" t="n">
        <v>104</v>
      </c>
      <c r="AH4278" t="inlineStr">
        <is>
          <t>PT. ASIA PARAMITA - PPN (PDG)</t>
        </is>
      </c>
      <c r="AI4278" t="n">
        <v>104</v>
      </c>
      <c r="AJ4278" t="inlineStr">
        <is>
          <t>PIXY</t>
        </is>
      </c>
      <c r="AK4278" t="n">
        <v>21</v>
      </c>
      <c r="AL4278" t="inlineStr">
        <is>
          <t>Miss Glam Damar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PIXY</t>
        </is>
      </c>
      <c r="B4279" s="2">
        <f>"20100171008"</f>
        <v/>
      </c>
      <c r="C4279" t="inlineStr">
        <is>
          <t>PIXY Airy Serum Skintint N23 Light Beige 25g</t>
        </is>
      </c>
      <c r="D4279" t="inlineStr">
        <is>
          <t>Miss Glam Damar</t>
        </is>
      </c>
      <c r="E4279" t="n">
        <v>5</v>
      </c>
      <c r="F4279" t="n">
        <v>0.1365</v>
      </c>
      <c r="G4279" t="n">
        <v>0.91</v>
      </c>
      <c r="H4279" t="n">
        <v>2</v>
      </c>
      <c r="I4279" t="n">
        <v>6</v>
      </c>
      <c r="J4279" t="n">
        <v>3</v>
      </c>
      <c r="K4279" t="n">
        <v>0</v>
      </c>
      <c r="L4279" t="n">
        <v>36000</v>
      </c>
      <c r="M4279" t="n">
        <v>42500</v>
      </c>
      <c r="N4279" t="n">
        <v>91</v>
      </c>
      <c r="O4279" t="n">
        <v>0.91</v>
      </c>
      <c r="P4279" t="n">
        <v>1</v>
      </c>
      <c r="Q4279" t="n">
        <v>0.12</v>
      </c>
      <c r="R4279" t="n">
        <v>2</v>
      </c>
      <c r="S4279" t="n">
        <v>5801.25</v>
      </c>
      <c r="T4279" t="n">
        <v>6</v>
      </c>
      <c r="U4279" t="n">
        <v>7</v>
      </c>
      <c r="V4279" t="n">
        <v>30</v>
      </c>
      <c r="W4279" t="n">
        <v>5</v>
      </c>
      <c r="X4279" t="n">
        <v>36.63003663003663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2678</v>
      </c>
      <c r="AG4279" t="n">
        <v>104</v>
      </c>
      <c r="AH4279" t="inlineStr">
        <is>
          <t>PT. ASIA PARAMITA - PPN (PDG)</t>
        </is>
      </c>
      <c r="AI4279" t="n">
        <v>104</v>
      </c>
      <c r="AJ4279" t="inlineStr">
        <is>
          <t>PIXY</t>
        </is>
      </c>
      <c r="AK4279" t="n">
        <v>21</v>
      </c>
      <c r="AL4279" t="inlineStr">
        <is>
          <t>Miss Glam Damar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PIXY</t>
        </is>
      </c>
      <c r="B4280" s="2">
        <f>"20100170938"</f>
        <v/>
      </c>
      <c r="C4280" t="inlineStr">
        <is>
          <t>PIXY Airy Serum Skintint N30 Neutral Beige 25g</t>
        </is>
      </c>
      <c r="D4280" t="inlineStr">
        <is>
          <t>Miss Glam Damar</t>
        </is>
      </c>
      <c r="E4280" t="n">
        <v>2</v>
      </c>
      <c r="F4280" t="n">
        <v>0.1274</v>
      </c>
      <c r="G4280" t="n">
        <v>0.91</v>
      </c>
      <c r="H4280" t="n">
        <v>2</v>
      </c>
      <c r="I4280" t="n">
        <v>6</v>
      </c>
      <c r="J4280" t="n">
        <v>3</v>
      </c>
      <c r="K4280" t="n">
        <v>0</v>
      </c>
      <c r="L4280" t="n">
        <v>36000</v>
      </c>
      <c r="M4280" t="n">
        <v>42500</v>
      </c>
      <c r="N4280" t="n">
        <v>91</v>
      </c>
      <c r="O4280" t="n">
        <v>0.91</v>
      </c>
      <c r="P4280" t="n">
        <v>1</v>
      </c>
      <c r="Q4280" t="n">
        <v>0.07000000000000001</v>
      </c>
      <c r="R4280" t="n">
        <v>1</v>
      </c>
      <c r="S4280" t="n">
        <v>5414.500000000001</v>
      </c>
      <c r="T4280" t="n">
        <v>6</v>
      </c>
      <c r="U4280" t="n">
        <v>7</v>
      </c>
      <c r="V4280" t="n">
        <v>30</v>
      </c>
      <c r="W4280" t="n">
        <v>4</v>
      </c>
      <c r="X4280" t="n">
        <v>15.69858712715855</v>
      </c>
      <c r="Y4280" t="n">
        <v>1</v>
      </c>
      <c r="Z4280" t="n">
        <v>2</v>
      </c>
      <c r="AA4280" t="n">
        <v>0</v>
      </c>
      <c r="AB4280" t="n">
        <v>2</v>
      </c>
      <c r="AC4280" t="n">
        <v>3</v>
      </c>
      <c r="AD4280" t="n">
        <v>0</v>
      </c>
      <c r="AE4280" t="n">
        <v>108000</v>
      </c>
      <c r="AF4280" t="n">
        <v>2678</v>
      </c>
      <c r="AG4280" t="n">
        <v>104</v>
      </c>
      <c r="AH4280" t="inlineStr">
        <is>
          <t>PT. ASIA PARAMITA - PPN (PDG)</t>
        </is>
      </c>
      <c r="AI4280" t="n">
        <v>104</v>
      </c>
      <c r="AJ4280" t="inlineStr">
        <is>
          <t>PIXY</t>
        </is>
      </c>
      <c r="AK4280" t="n">
        <v>21</v>
      </c>
      <c r="AL4280" t="inlineStr">
        <is>
          <t>Miss Glam Damar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PIXY</t>
        </is>
      </c>
      <c r="B4281" s="2">
        <f>"20100170804"</f>
        <v/>
      </c>
      <c r="C4281" t="inlineStr">
        <is>
          <t>PIXY Airy Serum Skintint W44 Medium Warm 25g</t>
        </is>
      </c>
      <c r="D4281" t="inlineStr">
        <is>
          <t>Miss Glam Damar</t>
        </is>
      </c>
      <c r="E4281" t="n">
        <v>9</v>
      </c>
      <c r="F4281" t="n">
        <v>0.1729</v>
      </c>
      <c r="G4281" t="n">
        <v>1.82</v>
      </c>
      <c r="H4281" t="n">
        <v>2</v>
      </c>
      <c r="I4281" t="n">
        <v>6</v>
      </c>
      <c r="J4281" t="n">
        <v>3</v>
      </c>
      <c r="K4281" t="n">
        <v>0</v>
      </c>
      <c r="L4281" t="n">
        <v>36000</v>
      </c>
      <c r="M4281" t="n">
        <v>42500</v>
      </c>
      <c r="N4281" t="n">
        <v>91</v>
      </c>
      <c r="O4281" t="n">
        <v>0.91</v>
      </c>
      <c r="P4281" t="n">
        <v>1</v>
      </c>
      <c r="Q4281" t="n">
        <v>0.05</v>
      </c>
      <c r="R4281" t="n">
        <v>1</v>
      </c>
      <c r="S4281" t="n">
        <v>7348.25</v>
      </c>
      <c r="T4281" t="n">
        <v>11</v>
      </c>
      <c r="U4281" t="n">
        <v>12</v>
      </c>
      <c r="V4281" t="n">
        <v>30</v>
      </c>
      <c r="W4281" t="n">
        <v>6</v>
      </c>
      <c r="X4281" t="n">
        <v>52.05320994794679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2678</v>
      </c>
      <c r="AG4281" t="n">
        <v>104</v>
      </c>
      <c r="AH4281" t="inlineStr">
        <is>
          <t>PT. ASIA PARAMITA - PPN (PDG)</t>
        </is>
      </c>
      <c r="AI4281" t="n">
        <v>104</v>
      </c>
      <c r="AJ4281" t="inlineStr">
        <is>
          <t>PIXY</t>
        </is>
      </c>
      <c r="AK4281" t="n">
        <v>21</v>
      </c>
      <c r="AL4281" t="inlineStr">
        <is>
          <t>Miss Glam Damar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PIXY</t>
        </is>
      </c>
      <c r="B4282" s="2">
        <f>"20100571412"</f>
        <v/>
      </c>
      <c r="C4282" t="inlineStr">
        <is>
          <t>PIXY Airy Stay Two Way Cake C12 Fairy Ivory 9g</t>
        </is>
      </c>
      <c r="D4282" t="inlineStr">
        <is>
          <t>Miss Glam Damar</t>
        </is>
      </c>
      <c r="E4282" t="n">
        <v>8</v>
      </c>
      <c r="F4282" t="n">
        <v>0.2184</v>
      </c>
      <c r="G4282" t="n">
        <v>1.82</v>
      </c>
      <c r="H4282" t="n">
        <v>2</v>
      </c>
      <c r="I4282" t="n">
        <v>6</v>
      </c>
      <c r="J4282" t="n">
        <v>3</v>
      </c>
      <c r="K4282" t="n">
        <v>0</v>
      </c>
      <c r="L4282" t="n">
        <v>32000</v>
      </c>
      <c r="M4282" t="n">
        <v>38000</v>
      </c>
      <c r="N4282" t="n">
        <v>91</v>
      </c>
      <c r="O4282" t="n">
        <v>0.91</v>
      </c>
      <c r="P4282" t="n">
        <v>1</v>
      </c>
      <c r="Q4282" t="n">
        <v>0.1</v>
      </c>
      <c r="R4282" t="n">
        <v>1</v>
      </c>
      <c r="S4282" t="n">
        <v>8299.200000000001</v>
      </c>
      <c r="T4282" t="n">
        <v>11</v>
      </c>
      <c r="U4282" t="n">
        <v>12</v>
      </c>
      <c r="V4282" t="n">
        <v>30</v>
      </c>
      <c r="W4282" t="n">
        <v>7</v>
      </c>
      <c r="X4282" t="n">
        <v>36.63003663003663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2678</v>
      </c>
      <c r="AG4282" t="n">
        <v>104</v>
      </c>
      <c r="AH4282" t="inlineStr">
        <is>
          <t>PT. ASIA PARAMITA - PPN (PDG)</t>
        </is>
      </c>
      <c r="AI4282" t="n">
        <v>104</v>
      </c>
      <c r="AJ4282" t="inlineStr">
        <is>
          <t>PIXY</t>
        </is>
      </c>
      <c r="AK4282" t="n">
        <v>21</v>
      </c>
      <c r="AL4282" t="inlineStr">
        <is>
          <t>Miss Glam Damar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PIXY</t>
        </is>
      </c>
      <c r="B4283" s="2">
        <f>"20100571543"</f>
        <v/>
      </c>
      <c r="C4283" t="inlineStr">
        <is>
          <t>PIXY Airy Stay Two Way Cake C21 Light Ivory 9gr</t>
        </is>
      </c>
      <c r="D4283" t="inlineStr">
        <is>
          <t>Miss Glam Damar</t>
        </is>
      </c>
      <c r="E4283" t="n">
        <v>3</v>
      </c>
      <c r="F4283" t="n">
        <v>0.1365</v>
      </c>
      <c r="G4283" t="n">
        <v>0.91</v>
      </c>
      <c r="H4283" t="n">
        <v>2</v>
      </c>
      <c r="I4283" t="n">
        <v>6</v>
      </c>
      <c r="J4283" t="n">
        <v>3</v>
      </c>
      <c r="K4283" t="n">
        <v>0</v>
      </c>
      <c r="L4283" t="n">
        <v>32000</v>
      </c>
      <c r="M4283" t="n">
        <v>38000</v>
      </c>
      <c r="N4283" t="n">
        <v>91</v>
      </c>
      <c r="O4283" t="n">
        <v>0.91</v>
      </c>
      <c r="P4283" t="n">
        <v>1</v>
      </c>
      <c r="Q4283" t="n">
        <v>0.17</v>
      </c>
      <c r="R4283" t="n">
        <v>2</v>
      </c>
      <c r="S4283" t="n">
        <v>5187</v>
      </c>
      <c r="T4283" t="n">
        <v>6</v>
      </c>
      <c r="U4283" t="n">
        <v>7</v>
      </c>
      <c r="V4283" t="n">
        <v>30</v>
      </c>
      <c r="W4283" t="n">
        <v>5</v>
      </c>
      <c r="X4283" t="n">
        <v>21.97802197802198</v>
      </c>
      <c r="Y4283" t="n">
        <v>1</v>
      </c>
      <c r="Z4283" t="n">
        <v>2</v>
      </c>
      <c r="AA4283" t="n">
        <v>0</v>
      </c>
      <c r="AB4283" t="n">
        <v>2</v>
      </c>
      <c r="AC4283" t="n">
        <v>3</v>
      </c>
      <c r="AD4283" t="n">
        <v>0</v>
      </c>
      <c r="AE4283" t="n">
        <v>96000</v>
      </c>
      <c r="AF4283" t="n">
        <v>2678</v>
      </c>
      <c r="AG4283" t="n">
        <v>104</v>
      </c>
      <c r="AH4283" t="inlineStr">
        <is>
          <t>PT. ASIA PARAMITA - PPN (PDG)</t>
        </is>
      </c>
      <c r="AI4283" t="n">
        <v>104</v>
      </c>
      <c r="AJ4283" t="inlineStr">
        <is>
          <t>PIXY</t>
        </is>
      </c>
      <c r="AK4283" t="n">
        <v>21</v>
      </c>
      <c r="AL4283" t="inlineStr">
        <is>
          <t>Miss Glam Damar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PIXY</t>
        </is>
      </c>
      <c r="B4284" s="2">
        <f>"20100571610"</f>
        <v/>
      </c>
      <c r="C4284" t="inlineStr">
        <is>
          <t>PIXY Airy Stay Two Way Cake N30 Neutral Beige 9g</t>
        </is>
      </c>
      <c r="D4284" t="inlineStr">
        <is>
          <t>Miss Glam Damar</t>
        </is>
      </c>
      <c r="E4284" t="n">
        <v>7</v>
      </c>
      <c r="F4284" t="n">
        <v>0.4914000000000001</v>
      </c>
      <c r="G4284" t="n">
        <v>3.64</v>
      </c>
      <c r="H4284" t="n">
        <v>2</v>
      </c>
      <c r="I4284" t="n">
        <v>6</v>
      </c>
      <c r="J4284" t="n">
        <v>3</v>
      </c>
      <c r="K4284" t="n">
        <v>0</v>
      </c>
      <c r="L4284" t="n">
        <v>32000</v>
      </c>
      <c r="M4284" t="n">
        <v>38000</v>
      </c>
      <c r="N4284" t="n">
        <v>91</v>
      </c>
      <c r="O4284" t="n">
        <v>0.91</v>
      </c>
      <c r="P4284" t="n">
        <v>1</v>
      </c>
      <c r="Q4284" t="n">
        <v>0.32</v>
      </c>
      <c r="R4284" t="n">
        <v>2</v>
      </c>
      <c r="S4284" t="n">
        <v>18673.2</v>
      </c>
      <c r="T4284" t="n">
        <v>21</v>
      </c>
      <c r="U4284" t="n">
        <v>22</v>
      </c>
      <c r="V4284" t="n">
        <v>30</v>
      </c>
      <c r="W4284" t="n">
        <v>15</v>
      </c>
      <c r="X4284" t="n">
        <v>14.24501424501424</v>
      </c>
      <c r="Y4284" t="n">
        <v>1</v>
      </c>
      <c r="Z4284" t="n">
        <v>8</v>
      </c>
      <c r="AA4284" t="n">
        <v>0</v>
      </c>
      <c r="AB4284" t="n">
        <v>8</v>
      </c>
      <c r="AC4284" t="n">
        <v>8</v>
      </c>
      <c r="AD4284" t="n">
        <v>0</v>
      </c>
      <c r="AE4284" t="n">
        <v>256000</v>
      </c>
      <c r="AF4284" t="n">
        <v>2678</v>
      </c>
      <c r="AG4284" t="n">
        <v>104</v>
      </c>
      <c r="AH4284" t="inlineStr">
        <is>
          <t>PT. ASIA PARAMITA - PPN (PDG)</t>
        </is>
      </c>
      <c r="AI4284" t="n">
        <v>104</v>
      </c>
      <c r="AJ4284" t="inlineStr">
        <is>
          <t>PIXY</t>
        </is>
      </c>
      <c r="AK4284" t="n">
        <v>21</v>
      </c>
      <c r="AL4284" t="inlineStr">
        <is>
          <t>Miss Glam Damar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PIXY</t>
        </is>
      </c>
      <c r="B4285" s="2">
        <f>"20100571753"</f>
        <v/>
      </c>
      <c r="C4285" t="inlineStr">
        <is>
          <t>PIXY Airy Stay Two Way Cake N43 Medium Beige 9g</t>
        </is>
      </c>
      <c r="D4285" t="inlineStr">
        <is>
          <t>Miss Glam Damar</t>
        </is>
      </c>
      <c r="E4285" t="n">
        <v>1</v>
      </c>
      <c r="F4285" t="n">
        <v>0.2275</v>
      </c>
      <c r="G4285" t="n">
        <v>3.64</v>
      </c>
      <c r="H4285" t="n">
        <v>2</v>
      </c>
      <c r="I4285" t="n">
        <v>6</v>
      </c>
      <c r="J4285" t="n">
        <v>3</v>
      </c>
      <c r="K4285" t="n">
        <v>0</v>
      </c>
      <c r="L4285" t="n">
        <v>32000</v>
      </c>
      <c r="M4285" t="n">
        <v>38000</v>
      </c>
      <c r="N4285" t="n">
        <v>91</v>
      </c>
      <c r="O4285" t="n">
        <v>0.91</v>
      </c>
      <c r="P4285" t="n">
        <v>1</v>
      </c>
      <c r="Q4285" t="n">
        <v>0.07000000000000001</v>
      </c>
      <c r="R4285" t="n">
        <v>1</v>
      </c>
      <c r="S4285" t="n">
        <v>8645</v>
      </c>
      <c r="T4285" t="n">
        <v>22</v>
      </c>
      <c r="U4285" t="n">
        <v>23</v>
      </c>
      <c r="V4285" t="n">
        <v>30</v>
      </c>
      <c r="W4285" t="n">
        <v>7</v>
      </c>
      <c r="X4285" t="n">
        <v>4.395604395604395</v>
      </c>
      <c r="Y4285" t="n">
        <v>1</v>
      </c>
      <c r="Z4285" t="n">
        <v>6</v>
      </c>
      <c r="AA4285" t="n">
        <v>1</v>
      </c>
      <c r="AB4285" t="n">
        <v>5</v>
      </c>
      <c r="AC4285" t="n">
        <v>5</v>
      </c>
      <c r="AD4285" t="n">
        <v>32000</v>
      </c>
      <c r="AE4285" t="n">
        <v>160000</v>
      </c>
      <c r="AF4285" t="n">
        <v>2678</v>
      </c>
      <c r="AG4285" t="n">
        <v>104</v>
      </c>
      <c r="AH4285" t="inlineStr">
        <is>
          <t>PT. ASIA PARAMITA - PPN (PDG)</t>
        </is>
      </c>
      <c r="AI4285" t="n">
        <v>104</v>
      </c>
      <c r="AJ4285" t="inlineStr">
        <is>
          <t>PIXY</t>
        </is>
      </c>
      <c r="AK4285" t="n">
        <v>21</v>
      </c>
      <c r="AL4285" t="inlineStr">
        <is>
          <t>Miss Glam Damar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PIXY</t>
        </is>
      </c>
      <c r="B4286" s="2">
        <f>"20100571829"</f>
        <v/>
      </c>
      <c r="C4286" t="inlineStr">
        <is>
          <t>PIXY Airy Stay Two Way Cake W44 Medium Warm 9g</t>
        </is>
      </c>
      <c r="D4286" t="inlineStr">
        <is>
          <t>Miss Glam Damar</t>
        </is>
      </c>
      <c r="E4286" t="n">
        <v>7</v>
      </c>
      <c r="F4286" t="n">
        <v>0.2184</v>
      </c>
      <c r="G4286" t="n">
        <v>1.82</v>
      </c>
      <c r="H4286" t="n">
        <v>2</v>
      </c>
      <c r="I4286" t="n">
        <v>6</v>
      </c>
      <c r="J4286" t="n">
        <v>3</v>
      </c>
      <c r="K4286" t="n">
        <v>0</v>
      </c>
      <c r="L4286" t="n">
        <v>32000</v>
      </c>
      <c r="M4286" t="n">
        <v>38000</v>
      </c>
      <c r="N4286" t="n">
        <v>91</v>
      </c>
      <c r="O4286" t="n">
        <v>0.91</v>
      </c>
      <c r="P4286" t="n">
        <v>1</v>
      </c>
      <c r="Q4286" t="n">
        <v>0.2</v>
      </c>
      <c r="R4286" t="n">
        <v>2</v>
      </c>
      <c r="S4286" t="n">
        <v>8299.200000000001</v>
      </c>
      <c r="T4286" t="n">
        <v>11</v>
      </c>
      <c r="U4286" t="n">
        <v>12</v>
      </c>
      <c r="V4286" t="n">
        <v>30</v>
      </c>
      <c r="W4286" t="n">
        <v>7</v>
      </c>
      <c r="X4286" t="n">
        <v>32.05128205128205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2678</v>
      </c>
      <c r="AG4286" t="n">
        <v>104</v>
      </c>
      <c r="AH4286" t="inlineStr">
        <is>
          <t>PT. ASIA PARAMITA - PPN (PDG)</t>
        </is>
      </c>
      <c r="AI4286" t="n">
        <v>104</v>
      </c>
      <c r="AJ4286" t="inlineStr">
        <is>
          <t>PIXY</t>
        </is>
      </c>
      <c r="AK4286" t="n">
        <v>21</v>
      </c>
      <c r="AL4286" t="inlineStr">
        <is>
          <t>Miss Glam Damar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PIXY</t>
        </is>
      </c>
      <c r="B4287" s="2">
        <f>"8992222075152"</f>
        <v/>
      </c>
      <c r="C4287" t="inlineStr">
        <is>
          <t>PIXY Aqua Beauty Protecting Mist Matte Finish 60ml</t>
        </is>
      </c>
      <c r="D4287" t="inlineStr">
        <is>
          <t>Miss Glam Damar</t>
        </is>
      </c>
      <c r="E4287" t="n">
        <v>14</v>
      </c>
      <c r="F4287" t="n">
        <v>0.4277</v>
      </c>
      <c r="G4287" t="n">
        <v>2.73</v>
      </c>
      <c r="H4287" t="n">
        <v>2</v>
      </c>
      <c r="I4287" t="n">
        <v>6</v>
      </c>
      <c r="J4287" t="n">
        <v>3</v>
      </c>
      <c r="K4287" t="n">
        <v>0</v>
      </c>
      <c r="L4287" t="n">
        <v>25600</v>
      </c>
      <c r="M4287" t="n">
        <v>38000</v>
      </c>
      <c r="N4287" t="n">
        <v>91</v>
      </c>
      <c r="O4287" t="n">
        <v>0.91</v>
      </c>
      <c r="P4287" t="n">
        <v>1</v>
      </c>
      <c r="Q4287" t="n">
        <v>0.22</v>
      </c>
      <c r="R4287" t="n">
        <v>3</v>
      </c>
      <c r="S4287" t="n">
        <v>16252.6</v>
      </c>
      <c r="T4287" t="n">
        <v>16</v>
      </c>
      <c r="U4287" t="n">
        <v>17</v>
      </c>
      <c r="V4287" t="n">
        <v>30</v>
      </c>
      <c r="W4287" t="n">
        <v>13</v>
      </c>
      <c r="X4287" t="n">
        <v>32.73322422258592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2678</v>
      </c>
      <c r="AG4287" t="n">
        <v>104</v>
      </c>
      <c r="AH4287" t="inlineStr">
        <is>
          <t>PT. ASIA PARAMITA - PPN (PDG)</t>
        </is>
      </c>
      <c r="AI4287" t="n">
        <v>104</v>
      </c>
      <c r="AJ4287" t="inlineStr">
        <is>
          <t>PIXY</t>
        </is>
      </c>
      <c r="AK4287" t="n">
        <v>21</v>
      </c>
      <c r="AL4287" t="inlineStr">
        <is>
          <t>Miss Glam Damar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PIXY</t>
        </is>
      </c>
      <c r="B4288" s="2">
        <f>"8992222075060"</f>
        <v/>
      </c>
      <c r="C4288" t="inlineStr">
        <is>
          <t>PIXY Aqua Beauty Protecting Mist Spray 100ml</t>
        </is>
      </c>
      <c r="D4288" t="inlineStr">
        <is>
          <t>Miss Glam Damar</t>
        </is>
      </c>
      <c r="E4288" t="n">
        <v>8</v>
      </c>
      <c r="F4288" t="n">
        <v>0.5277999999999999</v>
      </c>
      <c r="G4288" t="n">
        <v>4.55</v>
      </c>
      <c r="H4288" t="n">
        <v>2</v>
      </c>
      <c r="I4288" t="n">
        <v>6</v>
      </c>
      <c r="J4288" t="n">
        <v>3</v>
      </c>
      <c r="K4288" t="n">
        <v>0</v>
      </c>
      <c r="L4288" t="n">
        <v>37600</v>
      </c>
      <c r="M4288" t="n">
        <v>44500</v>
      </c>
      <c r="N4288" t="n">
        <v>91</v>
      </c>
      <c r="O4288" t="n">
        <v>0.91</v>
      </c>
      <c r="P4288" t="n">
        <v>1</v>
      </c>
      <c r="Q4288" t="n">
        <v>0.27</v>
      </c>
      <c r="R4288" t="n">
        <v>2</v>
      </c>
      <c r="S4288" t="n">
        <v>23487.1</v>
      </c>
      <c r="T4288" t="n">
        <v>27</v>
      </c>
      <c r="U4288" t="n">
        <v>29</v>
      </c>
      <c r="V4288" t="n">
        <v>30</v>
      </c>
      <c r="W4288" t="n">
        <v>16</v>
      </c>
      <c r="X4288" t="n">
        <v>15.15725653656688</v>
      </c>
      <c r="Y4288" t="n">
        <v>1</v>
      </c>
      <c r="Z4288" t="n">
        <v>8</v>
      </c>
      <c r="AA4288" t="n">
        <v>0</v>
      </c>
      <c r="AB4288" t="n">
        <v>8</v>
      </c>
      <c r="AC4288" t="n">
        <v>8</v>
      </c>
      <c r="AD4288" t="n">
        <v>0</v>
      </c>
      <c r="AE4288" t="n">
        <v>300800</v>
      </c>
      <c r="AF4288" t="n">
        <v>2678</v>
      </c>
      <c r="AG4288" t="n">
        <v>104</v>
      </c>
      <c r="AH4288" t="inlineStr">
        <is>
          <t>PT. ASIA PARAMITA - PPN (PDG)</t>
        </is>
      </c>
      <c r="AI4288" t="n">
        <v>104</v>
      </c>
      <c r="AJ4288" t="inlineStr">
        <is>
          <t>PIXY</t>
        </is>
      </c>
      <c r="AK4288" t="n">
        <v>21</v>
      </c>
      <c r="AL4288" t="inlineStr">
        <is>
          <t>Miss Glam Damar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PIXY</t>
        </is>
      </c>
      <c r="B4289" s="2">
        <f>"8992222073264"</f>
        <v/>
      </c>
      <c r="C4289" t="inlineStr">
        <is>
          <t>PIXY Aqua Beauty Protecting Mist Spray 60ml</t>
        </is>
      </c>
      <c r="D4289" t="inlineStr">
        <is>
          <t>Miss Glam Damar</t>
        </is>
      </c>
      <c r="E4289" t="n">
        <v>68</v>
      </c>
      <c r="F4289" t="n">
        <v>6.4974</v>
      </c>
      <c r="G4289" t="n">
        <v>18.2</v>
      </c>
      <c r="H4289" t="n">
        <v>2</v>
      </c>
      <c r="I4289" t="n">
        <v>6</v>
      </c>
      <c r="J4289" t="n">
        <v>3</v>
      </c>
      <c r="K4289" t="n">
        <v>0</v>
      </c>
      <c r="L4289" t="n">
        <v>25600</v>
      </c>
      <c r="M4289" t="n">
        <v>31000</v>
      </c>
      <c r="N4289" t="n">
        <v>91</v>
      </c>
      <c r="O4289" t="n">
        <v>0.91</v>
      </c>
      <c r="P4289" t="n">
        <v>1</v>
      </c>
      <c r="Q4289" t="n">
        <v>2.44</v>
      </c>
      <c r="R4289" t="n">
        <v>11</v>
      </c>
      <c r="S4289" t="n">
        <v>201419.4</v>
      </c>
      <c r="T4289" t="n">
        <v>97</v>
      </c>
      <c r="U4289" t="n">
        <v>110</v>
      </c>
      <c r="V4289" t="n">
        <v>30</v>
      </c>
      <c r="W4289" t="n">
        <v>195</v>
      </c>
      <c r="X4289" t="n">
        <v>10.46572475143904</v>
      </c>
      <c r="Y4289" t="n">
        <v>1</v>
      </c>
      <c r="Z4289" t="n">
        <v>127</v>
      </c>
      <c r="AA4289" t="n">
        <v>0</v>
      </c>
      <c r="AB4289" t="n">
        <v>127</v>
      </c>
      <c r="AC4289" t="n">
        <v>127</v>
      </c>
      <c r="AD4289" t="n">
        <v>0</v>
      </c>
      <c r="AE4289" t="n">
        <v>3251200</v>
      </c>
      <c r="AF4289" t="n">
        <v>2678</v>
      </c>
      <c r="AG4289" t="n">
        <v>104</v>
      </c>
      <c r="AH4289" t="inlineStr">
        <is>
          <t>PT. ASIA PARAMITA - PPN (PDG)</t>
        </is>
      </c>
      <c r="AI4289" t="n">
        <v>104</v>
      </c>
      <c r="AJ4289" t="inlineStr">
        <is>
          <t>PIXY</t>
        </is>
      </c>
      <c r="AK4289" t="n">
        <v>21</v>
      </c>
      <c r="AL4289" t="inlineStr">
        <is>
          <t>Miss Glam Damar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PIXY</t>
        </is>
      </c>
      <c r="B4290" s="2">
        <f>"8992222073196"</f>
        <v/>
      </c>
      <c r="C4290" t="inlineStr">
        <is>
          <t>PIXY Bb Cream 01 Ochre 30ml</t>
        </is>
      </c>
      <c r="D4290" t="inlineStr">
        <is>
          <t>Miss Glam Damar</t>
        </is>
      </c>
      <c r="E4290" t="n">
        <v>3</v>
      </c>
      <c r="F4290" t="n">
        <v>0.6916</v>
      </c>
      <c r="G4290" t="n">
        <v>3.64</v>
      </c>
      <c r="H4290" t="n">
        <v>2</v>
      </c>
      <c r="I4290" t="n">
        <v>6</v>
      </c>
      <c r="J4290" t="n">
        <v>3</v>
      </c>
      <c r="K4290" t="n">
        <v>0</v>
      </c>
      <c r="L4290" t="n">
        <v>32800</v>
      </c>
      <c r="M4290" t="n">
        <v>39000</v>
      </c>
      <c r="N4290" t="n">
        <v>91</v>
      </c>
      <c r="O4290" t="n">
        <v>0.91</v>
      </c>
      <c r="P4290" t="n">
        <v>1</v>
      </c>
      <c r="Q4290" t="n">
        <v>0.32</v>
      </c>
      <c r="R4290" t="n">
        <v>2</v>
      </c>
      <c r="S4290" t="n">
        <v>26972.4</v>
      </c>
      <c r="T4290" t="n">
        <v>21</v>
      </c>
      <c r="U4290" t="n">
        <v>23</v>
      </c>
      <c r="V4290" t="n">
        <v>30</v>
      </c>
      <c r="W4290" t="n">
        <v>21</v>
      </c>
      <c r="X4290" t="n">
        <v>4.337767495662233</v>
      </c>
      <c r="Y4290" t="n">
        <v>1</v>
      </c>
      <c r="Z4290" t="n">
        <v>18</v>
      </c>
      <c r="AA4290" t="n">
        <v>2</v>
      </c>
      <c r="AB4290" t="n">
        <v>16</v>
      </c>
      <c r="AC4290" t="n">
        <v>16</v>
      </c>
      <c r="AD4290" t="n">
        <v>65600</v>
      </c>
      <c r="AE4290" t="n">
        <v>524800</v>
      </c>
      <c r="AF4290" t="n">
        <v>2678</v>
      </c>
      <c r="AG4290" t="n">
        <v>104</v>
      </c>
      <c r="AH4290" t="inlineStr">
        <is>
          <t>PT. ASIA PARAMITA - PPN (PDG)</t>
        </is>
      </c>
      <c r="AI4290" t="n">
        <v>104</v>
      </c>
      <c r="AJ4290" t="inlineStr">
        <is>
          <t>PIXY</t>
        </is>
      </c>
      <c r="AK4290" t="n">
        <v>21</v>
      </c>
      <c r="AL4290" t="inlineStr">
        <is>
          <t>Miss Glam Damar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PIXY</t>
        </is>
      </c>
      <c r="B4291" s="2">
        <f>"8992222073189"</f>
        <v/>
      </c>
      <c r="C4291" t="inlineStr">
        <is>
          <t>PIXY Bb Cream 02 Cream 30ml</t>
        </is>
      </c>
      <c r="D4291" t="inlineStr">
        <is>
          <t>Miss Glam Damar</t>
        </is>
      </c>
      <c r="E4291" t="n">
        <v>6</v>
      </c>
      <c r="F4291" t="n">
        <v>0.3367</v>
      </c>
      <c r="G4291" t="n">
        <v>1.82</v>
      </c>
      <c r="H4291" t="n">
        <v>2</v>
      </c>
      <c r="I4291" t="n">
        <v>6</v>
      </c>
      <c r="J4291" t="n">
        <v>3</v>
      </c>
      <c r="K4291" t="n">
        <v>0</v>
      </c>
      <c r="L4291" t="n">
        <v>32800</v>
      </c>
      <c r="M4291" t="n">
        <v>39000</v>
      </c>
      <c r="N4291" t="n">
        <v>91</v>
      </c>
      <c r="O4291" t="n">
        <v>0.91</v>
      </c>
      <c r="P4291" t="n">
        <v>1</v>
      </c>
      <c r="Q4291" t="n">
        <v>0.37</v>
      </c>
      <c r="R4291" t="n">
        <v>2</v>
      </c>
      <c r="S4291" t="n">
        <v>13131.3</v>
      </c>
      <c r="T4291" t="n">
        <v>11</v>
      </c>
      <c r="U4291" t="n">
        <v>12</v>
      </c>
      <c r="V4291" t="n">
        <v>30</v>
      </c>
      <c r="W4291" t="n">
        <v>11</v>
      </c>
      <c r="X4291" t="n">
        <v>17.82001782001782</v>
      </c>
      <c r="Y4291" t="n">
        <v>1</v>
      </c>
      <c r="Z4291" t="n">
        <v>5</v>
      </c>
      <c r="AA4291" t="n">
        <v>0</v>
      </c>
      <c r="AB4291" t="n">
        <v>5</v>
      </c>
      <c r="AC4291" t="n">
        <v>5</v>
      </c>
      <c r="AD4291" t="n">
        <v>0</v>
      </c>
      <c r="AE4291" t="n">
        <v>164000</v>
      </c>
      <c r="AF4291" t="n">
        <v>2678</v>
      </c>
      <c r="AG4291" t="n">
        <v>104</v>
      </c>
      <c r="AH4291" t="inlineStr">
        <is>
          <t>PT. ASIA PARAMITA - PPN (PDG)</t>
        </is>
      </c>
      <c r="AI4291" t="n">
        <v>104</v>
      </c>
      <c r="AJ4291" t="inlineStr">
        <is>
          <t>PIXY</t>
        </is>
      </c>
      <c r="AK4291" t="n">
        <v>21</v>
      </c>
      <c r="AL4291" t="inlineStr">
        <is>
          <t>Miss Glam Damar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PIXY</t>
        </is>
      </c>
      <c r="B4292" s="2">
        <f>"8992222073172"</f>
        <v/>
      </c>
      <c r="C4292" t="inlineStr">
        <is>
          <t>PIXY Bb Cream 03 Beige 30ml</t>
        </is>
      </c>
      <c r="D4292" t="inlineStr">
        <is>
          <t>Miss Glam Damar</t>
        </is>
      </c>
      <c r="E4292" t="n">
        <v>4</v>
      </c>
      <c r="F4292" t="n">
        <v>0.4914000000000001</v>
      </c>
      <c r="G4292" t="n">
        <v>2.73</v>
      </c>
      <c r="H4292" t="n">
        <v>2</v>
      </c>
      <c r="I4292" t="n">
        <v>6</v>
      </c>
      <c r="J4292" t="n">
        <v>3</v>
      </c>
      <c r="K4292" t="n">
        <v>0</v>
      </c>
      <c r="L4292" t="n">
        <v>32800</v>
      </c>
      <c r="M4292" t="n">
        <v>40000</v>
      </c>
      <c r="N4292" t="n">
        <v>91</v>
      </c>
      <c r="O4292" t="n">
        <v>0.91</v>
      </c>
      <c r="P4292" t="n">
        <v>1</v>
      </c>
      <c r="Q4292" t="n">
        <v>0.2</v>
      </c>
      <c r="R4292" t="n">
        <v>2</v>
      </c>
      <c r="S4292" t="n">
        <v>19656</v>
      </c>
      <c r="T4292" t="n">
        <v>16</v>
      </c>
      <c r="U4292" t="n">
        <v>17</v>
      </c>
      <c r="V4292" t="n">
        <v>30</v>
      </c>
      <c r="W4292" t="n">
        <v>15</v>
      </c>
      <c r="X4292" t="n">
        <v>8.140008140008138</v>
      </c>
      <c r="Y4292" t="n">
        <v>1</v>
      </c>
      <c r="Z4292" t="n">
        <v>11</v>
      </c>
      <c r="AA4292" t="n">
        <v>0</v>
      </c>
      <c r="AB4292" t="n">
        <v>11</v>
      </c>
      <c r="AC4292" t="n">
        <v>11</v>
      </c>
      <c r="AD4292" t="n">
        <v>0</v>
      </c>
      <c r="AE4292" t="n">
        <v>360800</v>
      </c>
      <c r="AF4292" t="n">
        <v>2678</v>
      </c>
      <c r="AG4292" t="n">
        <v>104</v>
      </c>
      <c r="AH4292" t="inlineStr">
        <is>
          <t>PT. ASIA PARAMITA - PPN (PDG)</t>
        </is>
      </c>
      <c r="AI4292" t="n">
        <v>104</v>
      </c>
      <c r="AJ4292" t="inlineStr">
        <is>
          <t>PIXY</t>
        </is>
      </c>
      <c r="AK4292" t="n">
        <v>21</v>
      </c>
      <c r="AL4292" t="inlineStr">
        <is>
          <t>Miss Glam Damar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PIXY</t>
        </is>
      </c>
      <c r="B4293" s="2">
        <f>"8992222074315"</f>
        <v/>
      </c>
      <c r="C4293" t="inlineStr">
        <is>
          <t>PIXY Bb Cream 04 Almond Milk 30ml</t>
        </is>
      </c>
      <c r="D4293" t="inlineStr">
        <is>
          <t>Miss Glam Damar</t>
        </is>
      </c>
      <c r="E4293" t="n">
        <v>3</v>
      </c>
      <c r="F4293" t="n">
        <v>0.182</v>
      </c>
      <c r="G4293" t="n">
        <v>0.91</v>
      </c>
      <c r="H4293" t="n">
        <v>2</v>
      </c>
      <c r="I4293" t="n">
        <v>6</v>
      </c>
      <c r="J4293" t="n">
        <v>3</v>
      </c>
      <c r="K4293" t="n">
        <v>0</v>
      </c>
      <c r="L4293" t="n">
        <v>32800</v>
      </c>
      <c r="M4293" t="n">
        <v>39000</v>
      </c>
      <c r="N4293" t="n">
        <v>91</v>
      </c>
      <c r="O4293" t="n">
        <v>0.91</v>
      </c>
      <c r="P4293" t="n">
        <v>1</v>
      </c>
      <c r="Q4293" t="n">
        <v>0.05</v>
      </c>
      <c r="R4293" t="n">
        <v>2</v>
      </c>
      <c r="S4293" t="n">
        <v>7098.000000000001</v>
      </c>
      <c r="T4293" t="n">
        <v>6</v>
      </c>
      <c r="U4293" t="n">
        <v>7</v>
      </c>
      <c r="V4293" t="n">
        <v>30</v>
      </c>
      <c r="W4293" t="n">
        <v>6</v>
      </c>
      <c r="X4293" t="n">
        <v>16.48351648351648</v>
      </c>
      <c r="Y4293" t="n">
        <v>1</v>
      </c>
      <c r="Z4293" t="n">
        <v>3</v>
      </c>
      <c r="AA4293" t="n">
        <v>0</v>
      </c>
      <c r="AB4293" t="n">
        <v>3</v>
      </c>
      <c r="AC4293" t="n">
        <v>3</v>
      </c>
      <c r="AD4293" t="n">
        <v>0</v>
      </c>
      <c r="AE4293" t="n">
        <v>98400</v>
      </c>
      <c r="AF4293" t="n">
        <v>2678</v>
      </c>
      <c r="AG4293" t="n">
        <v>104</v>
      </c>
      <c r="AH4293" t="inlineStr">
        <is>
          <t>PT. ASIA PARAMITA - PPN (PDG)</t>
        </is>
      </c>
      <c r="AI4293" t="n">
        <v>104</v>
      </c>
      <c r="AJ4293" t="inlineStr">
        <is>
          <t>PIXY</t>
        </is>
      </c>
      <c r="AK4293" t="n">
        <v>21</v>
      </c>
      <c r="AL4293" t="inlineStr">
        <is>
          <t>Miss Glam Damar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PIXY</t>
        </is>
      </c>
      <c r="B4294" s="2">
        <f>"8992222283496"</f>
        <v/>
      </c>
      <c r="C4294" t="inlineStr">
        <is>
          <t>PIXY Big Bang Mascara 01 Bold Black 10gr</t>
        </is>
      </c>
      <c r="D4294" t="inlineStr">
        <is>
          <t>Miss Glam Damar</t>
        </is>
      </c>
      <c r="E4294" t="n">
        <v>2</v>
      </c>
      <c r="F4294" t="n">
        <v>0.0182</v>
      </c>
      <c r="G4294" t="n">
        <v>0.91</v>
      </c>
      <c r="H4294" t="n">
        <v>2</v>
      </c>
      <c r="I4294" t="n">
        <v>6</v>
      </c>
      <c r="J4294" t="n">
        <v>3</v>
      </c>
      <c r="K4294" t="n">
        <v>0</v>
      </c>
      <c r="L4294" t="n">
        <v>56000</v>
      </c>
      <c r="M4294" t="n">
        <v>66500</v>
      </c>
      <c r="N4294" t="n">
        <v>91</v>
      </c>
      <c r="O4294" t="n">
        <v>0.91</v>
      </c>
      <c r="P4294" t="n">
        <v>1</v>
      </c>
      <c r="Q4294" t="n">
        <v>0.08</v>
      </c>
      <c r="R4294" t="n">
        <v>1</v>
      </c>
      <c r="S4294" t="n">
        <v>1210.3</v>
      </c>
      <c r="T4294" t="n">
        <v>6</v>
      </c>
      <c r="U4294" t="n">
        <v>7</v>
      </c>
      <c r="V4294" t="n">
        <v>30</v>
      </c>
      <c r="W4294" t="n">
        <v>1</v>
      </c>
      <c r="X4294" t="n">
        <v>109.8901098901099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2678</v>
      </c>
      <c r="AG4294" t="n">
        <v>104</v>
      </c>
      <c r="AH4294" t="inlineStr">
        <is>
          <t>PT. ASIA PARAMITA - PPN (PDG)</t>
        </is>
      </c>
      <c r="AI4294" t="n">
        <v>104</v>
      </c>
      <c r="AJ4294" t="inlineStr">
        <is>
          <t>PIXY</t>
        </is>
      </c>
      <c r="AK4294" t="n">
        <v>21</v>
      </c>
      <c r="AL4294" t="inlineStr">
        <is>
          <t>Miss Glam Damar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PIXY</t>
        </is>
      </c>
      <c r="B4295" s="2">
        <f>"8992222072496"</f>
        <v/>
      </c>
      <c r="C4295" t="inlineStr">
        <is>
          <t>PIXY Cleansing Express Anti Acne 100ml</t>
        </is>
      </c>
      <c r="D4295" t="inlineStr">
        <is>
          <t>Miss Glam Damar</t>
        </is>
      </c>
      <c r="E4295" t="n">
        <v>2</v>
      </c>
      <c r="F4295" t="n">
        <v>0.0728</v>
      </c>
      <c r="G4295" t="n">
        <v>1.82</v>
      </c>
      <c r="H4295" t="n">
        <v>2</v>
      </c>
      <c r="I4295" t="n">
        <v>6</v>
      </c>
      <c r="J4295" t="n">
        <v>3</v>
      </c>
      <c r="K4295" t="n">
        <v>0</v>
      </c>
      <c r="L4295" t="n">
        <v>18000</v>
      </c>
      <c r="M4295" t="n">
        <v>25000</v>
      </c>
      <c r="N4295" t="n">
        <v>91</v>
      </c>
      <c r="O4295" t="n">
        <v>0.91</v>
      </c>
      <c r="P4295" t="n">
        <v>1</v>
      </c>
      <c r="Q4295" t="n">
        <v>0.02</v>
      </c>
      <c r="R4295" t="n">
        <v>1</v>
      </c>
      <c r="S4295" t="n">
        <v>1820</v>
      </c>
      <c r="T4295" t="n">
        <v>11</v>
      </c>
      <c r="U4295" t="n">
        <v>12</v>
      </c>
      <c r="V4295" t="n">
        <v>30</v>
      </c>
      <c r="W4295" t="n">
        <v>3</v>
      </c>
      <c r="X4295" t="n">
        <v>27.47252747252747</v>
      </c>
      <c r="Y4295" t="n">
        <v>1</v>
      </c>
      <c r="Z4295" t="n">
        <v>1</v>
      </c>
      <c r="AA4295" t="n">
        <v>0</v>
      </c>
      <c r="AB4295" t="n">
        <v>1</v>
      </c>
      <c r="AC4295" t="n">
        <v>3</v>
      </c>
      <c r="AD4295" t="n">
        <v>0</v>
      </c>
      <c r="AE4295" t="n">
        <v>54000</v>
      </c>
      <c r="AF4295" t="n">
        <v>2678</v>
      </c>
      <c r="AG4295" t="n">
        <v>104</v>
      </c>
      <c r="AH4295" t="inlineStr">
        <is>
          <t>PT. ASIA PARAMITA - PPN (PDG)</t>
        </is>
      </c>
      <c r="AI4295" t="n">
        <v>104</v>
      </c>
      <c r="AJ4295" t="inlineStr">
        <is>
          <t>PIXY</t>
        </is>
      </c>
      <c r="AK4295" t="n">
        <v>21</v>
      </c>
      <c r="AL4295" t="inlineStr">
        <is>
          <t>Miss Glam Damar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PIXY</t>
        </is>
      </c>
      <c r="B4296" s="2">
        <f>"8992222072786"</f>
        <v/>
      </c>
      <c r="C4296" t="inlineStr">
        <is>
          <t>PIXY Cleansing Express Anti Acne 150ml</t>
        </is>
      </c>
      <c r="D4296" t="inlineStr">
        <is>
          <t>Miss Glam Damar</t>
        </is>
      </c>
      <c r="E4296" t="n">
        <v>4</v>
      </c>
      <c r="F4296" t="n">
        <v>0.02</v>
      </c>
      <c r="G4296" t="n">
        <v>1</v>
      </c>
      <c r="H4296" t="n">
        <v>2</v>
      </c>
      <c r="I4296" t="n">
        <v>6</v>
      </c>
      <c r="J4296" t="n">
        <v>3</v>
      </c>
      <c r="K4296" t="n">
        <v>0</v>
      </c>
      <c r="L4296" t="n">
        <v>22799</v>
      </c>
      <c r="M4296" t="n">
        <v>31000</v>
      </c>
      <c r="N4296" t="n">
        <v>91</v>
      </c>
      <c r="O4296" t="n">
        <v>0.91</v>
      </c>
      <c r="P4296" t="n">
        <v>0</v>
      </c>
      <c r="Q4296" t="n">
        <v>0.02</v>
      </c>
      <c r="R4296" t="n">
        <v>1</v>
      </c>
      <c r="S4296" t="n">
        <v>620</v>
      </c>
      <c r="T4296" t="n">
        <v>6</v>
      </c>
      <c r="U4296" t="n">
        <v>7</v>
      </c>
      <c r="V4296" t="n">
        <v>30</v>
      </c>
      <c r="W4296" t="n">
        <v>1</v>
      </c>
      <c r="X4296" t="n">
        <v>200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2678</v>
      </c>
      <c r="AG4296" t="n">
        <v>104</v>
      </c>
      <c r="AH4296" t="inlineStr">
        <is>
          <t>PT. ASIA PARAMITA - PPN (PDG)</t>
        </is>
      </c>
      <c r="AI4296" t="n">
        <v>104</v>
      </c>
      <c r="AJ4296" t="inlineStr">
        <is>
          <t>PIXY</t>
        </is>
      </c>
      <c r="AK4296" t="n">
        <v>21</v>
      </c>
      <c r="AL4296" t="inlineStr">
        <is>
          <t>Miss Glam Damar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PIXY</t>
        </is>
      </c>
      <c r="B4297" s="2">
        <f>"8992222072465"</f>
        <v/>
      </c>
      <c r="C4297" t="inlineStr">
        <is>
          <t>PIXY Cleansing Express Brightening 100ml</t>
        </is>
      </c>
      <c r="D4297" t="inlineStr">
        <is>
          <t>Miss Glam Damar</t>
        </is>
      </c>
      <c r="E4297" t="n">
        <v>2</v>
      </c>
      <c r="F4297" t="n">
        <v>0.0273</v>
      </c>
      <c r="G4297" t="n">
        <v>0.91</v>
      </c>
      <c r="H4297" t="n">
        <v>2</v>
      </c>
      <c r="I4297" t="n">
        <v>6</v>
      </c>
      <c r="J4297" t="n">
        <v>3</v>
      </c>
      <c r="K4297" t="n">
        <v>0</v>
      </c>
      <c r="L4297" t="n">
        <v>18000</v>
      </c>
      <c r="M4297" t="n">
        <v>25000</v>
      </c>
      <c r="N4297" t="n">
        <v>91</v>
      </c>
      <c r="O4297" t="n">
        <v>0.91</v>
      </c>
      <c r="P4297" t="n">
        <v>1</v>
      </c>
      <c r="Q4297" t="n">
        <v>0.03</v>
      </c>
      <c r="R4297" t="n">
        <v>1</v>
      </c>
      <c r="S4297" t="n">
        <v>682.5</v>
      </c>
      <c r="T4297" t="n">
        <v>6</v>
      </c>
      <c r="U4297" t="n">
        <v>7</v>
      </c>
      <c r="V4297" t="n">
        <v>30</v>
      </c>
      <c r="W4297" t="n">
        <v>1</v>
      </c>
      <c r="X4297" t="n">
        <v>73.26007326007326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2678</v>
      </c>
      <c r="AG4297" t="n">
        <v>104</v>
      </c>
      <c r="AH4297" t="inlineStr">
        <is>
          <t>PT. ASIA PARAMITA - PPN (PDG)</t>
        </is>
      </c>
      <c r="AI4297" t="n">
        <v>104</v>
      </c>
      <c r="AJ4297" t="inlineStr">
        <is>
          <t>PIXY</t>
        </is>
      </c>
      <c r="AK4297" t="n">
        <v>21</v>
      </c>
      <c r="AL4297" t="inlineStr">
        <is>
          <t>Miss Glam Damar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PIXY</t>
        </is>
      </c>
      <c r="B4298" s="2">
        <f>"8992222072779"</f>
        <v/>
      </c>
      <c r="C4298" t="inlineStr">
        <is>
          <t>PIXY Cleansing Express Brightening 150ml</t>
        </is>
      </c>
      <c r="D4298" t="inlineStr">
        <is>
          <t>Miss Glam Damar</t>
        </is>
      </c>
      <c r="E4298" t="n">
        <v>5</v>
      </c>
      <c r="F4298" t="n">
        <v>0.1547</v>
      </c>
      <c r="G4298" t="n">
        <v>1.82</v>
      </c>
      <c r="H4298" t="n">
        <v>2</v>
      </c>
      <c r="I4298" t="n">
        <v>6</v>
      </c>
      <c r="J4298" t="n">
        <v>3</v>
      </c>
      <c r="K4298" t="n">
        <v>0</v>
      </c>
      <c r="L4298" t="n">
        <v>22799</v>
      </c>
      <c r="M4298" t="n">
        <v>31000</v>
      </c>
      <c r="N4298" t="n">
        <v>91</v>
      </c>
      <c r="O4298" t="n">
        <v>0.91</v>
      </c>
      <c r="P4298" t="n">
        <v>1</v>
      </c>
      <c r="Q4298" t="n">
        <v>0.05</v>
      </c>
      <c r="R4298" t="n">
        <v>1</v>
      </c>
      <c r="S4298" t="n">
        <v>4795.7</v>
      </c>
      <c r="T4298" t="n">
        <v>11</v>
      </c>
      <c r="U4298" t="n">
        <v>12</v>
      </c>
      <c r="V4298" t="n">
        <v>30</v>
      </c>
      <c r="W4298" t="n">
        <v>5</v>
      </c>
      <c r="X4298" t="n">
        <v>32.32062055591467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2678</v>
      </c>
      <c r="AG4298" t="n">
        <v>104</v>
      </c>
      <c r="AH4298" t="inlineStr">
        <is>
          <t>PT. ASIA PARAMITA - PPN (PDG)</t>
        </is>
      </c>
      <c r="AI4298" t="n">
        <v>104</v>
      </c>
      <c r="AJ4298" t="inlineStr">
        <is>
          <t>PIXY</t>
        </is>
      </c>
      <c r="AK4298" t="n">
        <v>21</v>
      </c>
      <c r="AL4298" t="inlineStr">
        <is>
          <t>Miss Glam Damar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PIXY</t>
        </is>
      </c>
      <c r="B4299" s="2">
        <f>"8992222073646"</f>
        <v/>
      </c>
      <c r="C4299" t="inlineStr">
        <is>
          <t>PIXY Concealing Base 01 Natural Beige 9gr</t>
        </is>
      </c>
      <c r="D4299" t="inlineStr">
        <is>
          <t>Miss Glam Damar</t>
        </is>
      </c>
      <c r="E4299" t="n">
        <v>41</v>
      </c>
      <c r="F4299" t="n">
        <v>3.3761</v>
      </c>
      <c r="G4299" t="n">
        <v>7.28</v>
      </c>
      <c r="H4299" t="n">
        <v>2</v>
      </c>
      <c r="I4299" t="n">
        <v>6</v>
      </c>
      <c r="J4299" t="n">
        <v>3</v>
      </c>
      <c r="K4299" t="n">
        <v>0</v>
      </c>
      <c r="L4299" t="n">
        <v>34399</v>
      </c>
      <c r="M4299" t="n">
        <v>40500</v>
      </c>
      <c r="N4299" t="n">
        <v>91</v>
      </c>
      <c r="O4299" t="n">
        <v>0.91</v>
      </c>
      <c r="P4299" t="n">
        <v>1</v>
      </c>
      <c r="Q4299" t="n">
        <v>1.92</v>
      </c>
      <c r="R4299" t="n">
        <v>9</v>
      </c>
      <c r="S4299" t="n">
        <v>136732.05</v>
      </c>
      <c r="T4299" t="n">
        <v>37</v>
      </c>
      <c r="U4299" t="n">
        <v>44</v>
      </c>
      <c r="V4299" t="n">
        <v>30</v>
      </c>
      <c r="W4299" t="n">
        <v>102</v>
      </c>
      <c r="X4299" t="n">
        <v>12.14419004176417</v>
      </c>
      <c r="Y4299" t="n">
        <v>1</v>
      </c>
      <c r="Z4299" t="n">
        <v>61</v>
      </c>
      <c r="AA4299" t="n">
        <v>0</v>
      </c>
      <c r="AB4299" t="n">
        <v>61</v>
      </c>
      <c r="AC4299" t="n">
        <v>61</v>
      </c>
      <c r="AD4299" t="n">
        <v>0</v>
      </c>
      <c r="AE4299" t="n">
        <v>2098339</v>
      </c>
      <c r="AF4299" t="n">
        <v>2678</v>
      </c>
      <c r="AG4299" t="n">
        <v>104</v>
      </c>
      <c r="AH4299" t="inlineStr">
        <is>
          <t>PT. ASIA PARAMITA - PPN (PDG)</t>
        </is>
      </c>
      <c r="AI4299" t="n">
        <v>104</v>
      </c>
      <c r="AJ4299" t="inlineStr">
        <is>
          <t>PIXY</t>
        </is>
      </c>
      <c r="AK4299" t="n">
        <v>21</v>
      </c>
      <c r="AL4299" t="inlineStr">
        <is>
          <t>Miss Glam Damar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PIXY</t>
        </is>
      </c>
      <c r="B4300" s="2">
        <f>"8992222073639"</f>
        <v/>
      </c>
      <c r="C4300" t="inlineStr">
        <is>
          <t>PIXY Concealing Base 02 Sand Beige 9g</t>
        </is>
      </c>
      <c r="D4300" t="inlineStr">
        <is>
          <t>Miss Glam Damar</t>
        </is>
      </c>
      <c r="E4300" t="n">
        <v>33</v>
      </c>
      <c r="F4300" t="n">
        <v>1.7472</v>
      </c>
      <c r="G4300" t="n">
        <v>5.46</v>
      </c>
      <c r="H4300" t="n">
        <v>2</v>
      </c>
      <c r="I4300" t="n">
        <v>6</v>
      </c>
      <c r="J4300" t="n">
        <v>3</v>
      </c>
      <c r="K4300" t="n">
        <v>0</v>
      </c>
      <c r="L4300" t="n">
        <v>34400</v>
      </c>
      <c r="M4300" t="n">
        <v>38500</v>
      </c>
      <c r="N4300" t="n">
        <v>91</v>
      </c>
      <c r="O4300" t="n">
        <v>0.91</v>
      </c>
      <c r="P4300" t="n">
        <v>1</v>
      </c>
      <c r="Q4300" t="n">
        <v>1.24</v>
      </c>
      <c r="R4300" t="n">
        <v>7</v>
      </c>
      <c r="S4300" t="n">
        <v>67267.2</v>
      </c>
      <c r="T4300" t="n">
        <v>30</v>
      </c>
      <c r="U4300" t="n">
        <v>34</v>
      </c>
      <c r="V4300" t="n">
        <v>30</v>
      </c>
      <c r="W4300" t="n">
        <v>53</v>
      </c>
      <c r="X4300" t="n">
        <v>18.88736263736264</v>
      </c>
      <c r="Y4300" t="n">
        <v>1</v>
      </c>
      <c r="Z4300" t="n">
        <v>20</v>
      </c>
      <c r="AA4300" t="n">
        <v>0</v>
      </c>
      <c r="AB4300" t="n">
        <v>20</v>
      </c>
      <c r="AC4300" t="n">
        <v>20</v>
      </c>
      <c r="AD4300" t="n">
        <v>0</v>
      </c>
      <c r="AE4300" t="n">
        <v>688000</v>
      </c>
      <c r="AF4300" t="n">
        <v>2678</v>
      </c>
      <c r="AG4300" t="n">
        <v>104</v>
      </c>
      <c r="AH4300" t="inlineStr">
        <is>
          <t>PT. ASIA PARAMITA - PPN (PDG)</t>
        </is>
      </c>
      <c r="AI4300" t="n">
        <v>104</v>
      </c>
      <c r="AJ4300" t="inlineStr">
        <is>
          <t>PIXY</t>
        </is>
      </c>
      <c r="AK4300" t="n">
        <v>21</v>
      </c>
      <c r="AL4300" t="inlineStr">
        <is>
          <t>Miss Glam Damar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PIXY</t>
        </is>
      </c>
      <c r="B4301" s="2">
        <f>"8992222074339"</f>
        <v/>
      </c>
      <c r="C4301" t="inlineStr">
        <is>
          <t>PIXY Concealing Base 03 Crème Beige 9gr</t>
        </is>
      </c>
      <c r="D4301" t="inlineStr">
        <is>
          <t>Miss Glam Damar</t>
        </is>
      </c>
      <c r="E4301" t="n">
        <v>29</v>
      </c>
      <c r="F4301" t="n">
        <v>3.1122</v>
      </c>
      <c r="G4301" t="n">
        <v>7.28</v>
      </c>
      <c r="H4301" t="n">
        <v>2</v>
      </c>
      <c r="I4301" t="n">
        <v>6</v>
      </c>
      <c r="J4301" t="n">
        <v>3</v>
      </c>
      <c r="K4301" t="n">
        <v>0</v>
      </c>
      <c r="L4301" t="n">
        <v>34400</v>
      </c>
      <c r="M4301" t="n">
        <v>38500</v>
      </c>
      <c r="N4301" t="n">
        <v>91</v>
      </c>
      <c r="O4301" t="n">
        <v>0.91</v>
      </c>
      <c r="P4301" t="n">
        <v>1</v>
      </c>
      <c r="Q4301" t="n">
        <v>1.25</v>
      </c>
      <c r="R4301" t="n">
        <v>6</v>
      </c>
      <c r="S4301" t="n">
        <v>119819.7</v>
      </c>
      <c r="T4301" t="n">
        <v>38</v>
      </c>
      <c r="U4301" t="n">
        <v>45</v>
      </c>
      <c r="V4301" t="n">
        <v>30</v>
      </c>
      <c r="W4301" t="n">
        <v>94</v>
      </c>
      <c r="X4301" t="n">
        <v>9.318167212904054</v>
      </c>
      <c r="Y4301" t="n">
        <v>1</v>
      </c>
      <c r="Z4301" t="n">
        <v>65</v>
      </c>
      <c r="AA4301" t="n">
        <v>0</v>
      </c>
      <c r="AB4301" t="n">
        <v>65</v>
      </c>
      <c r="AC4301" t="n">
        <v>65</v>
      </c>
      <c r="AD4301" t="n">
        <v>0</v>
      </c>
      <c r="AE4301" t="n">
        <v>2236000</v>
      </c>
      <c r="AF4301" t="n">
        <v>2678</v>
      </c>
      <c r="AG4301" t="n">
        <v>104</v>
      </c>
      <c r="AH4301" t="inlineStr">
        <is>
          <t>PT. ASIA PARAMITA - PPN (PDG)</t>
        </is>
      </c>
      <c r="AI4301" t="n">
        <v>104</v>
      </c>
      <c r="AJ4301" t="inlineStr">
        <is>
          <t>PIXY</t>
        </is>
      </c>
      <c r="AK4301" t="n">
        <v>21</v>
      </c>
      <c r="AL4301" t="inlineStr">
        <is>
          <t>Miss Glam Damar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PIXY</t>
        </is>
      </c>
      <c r="B4302" s="2">
        <f>"8992222074346"</f>
        <v/>
      </c>
      <c r="C4302" t="inlineStr">
        <is>
          <t>PIXY Concealing Base 04 Caramel Beige 9g</t>
        </is>
      </c>
      <c r="D4302" t="inlineStr">
        <is>
          <t>Miss Glam Damar</t>
        </is>
      </c>
      <c r="E4302" t="n">
        <v>7</v>
      </c>
      <c r="F4302" t="n">
        <v>0.3276</v>
      </c>
      <c r="G4302" t="n">
        <v>2.73</v>
      </c>
      <c r="H4302" t="n">
        <v>2</v>
      </c>
      <c r="I4302" t="n">
        <v>6</v>
      </c>
      <c r="J4302" t="n">
        <v>3</v>
      </c>
      <c r="K4302" t="n">
        <v>0</v>
      </c>
      <c r="L4302" t="n">
        <v>34400</v>
      </c>
      <c r="M4302" t="n">
        <v>38500</v>
      </c>
      <c r="N4302" t="n">
        <v>91</v>
      </c>
      <c r="O4302" t="n">
        <v>0.91</v>
      </c>
      <c r="P4302" t="n">
        <v>1</v>
      </c>
      <c r="Q4302" t="n">
        <v>0.37</v>
      </c>
      <c r="R4302" t="n">
        <v>2</v>
      </c>
      <c r="S4302" t="n">
        <v>12612.6</v>
      </c>
      <c r="T4302" t="n">
        <v>16</v>
      </c>
      <c r="U4302" t="n">
        <v>17</v>
      </c>
      <c r="V4302" t="n">
        <v>30</v>
      </c>
      <c r="W4302" t="n">
        <v>10</v>
      </c>
      <c r="X4302" t="n">
        <v>21.36752136752137</v>
      </c>
      <c r="Y4302" t="n">
        <v>1</v>
      </c>
      <c r="Z4302" t="n">
        <v>3</v>
      </c>
      <c r="AA4302" t="n">
        <v>0</v>
      </c>
      <c r="AB4302" t="n">
        <v>3</v>
      </c>
      <c r="AC4302" t="n">
        <v>3</v>
      </c>
      <c r="AD4302" t="n">
        <v>0</v>
      </c>
      <c r="AE4302" t="n">
        <v>103200</v>
      </c>
      <c r="AF4302" t="n">
        <v>2678</v>
      </c>
      <c r="AG4302" t="n">
        <v>104</v>
      </c>
      <c r="AH4302" t="inlineStr">
        <is>
          <t>PT. ASIA PARAMITA - PPN (PDG)</t>
        </is>
      </c>
      <c r="AI4302" t="n">
        <v>104</v>
      </c>
      <c r="AJ4302" t="inlineStr">
        <is>
          <t>PIXY</t>
        </is>
      </c>
      <c r="AK4302" t="n">
        <v>21</v>
      </c>
      <c r="AL4302" t="inlineStr">
        <is>
          <t>Miss Glam Damar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PIXY</t>
        </is>
      </c>
      <c r="B4303" s="2">
        <f>"8992222283502"</f>
        <v/>
      </c>
      <c r="C4303" t="inlineStr">
        <is>
          <t>PIXY End Matte Blush 01 Play Apricot 4gr</t>
        </is>
      </c>
      <c r="D4303" t="inlineStr">
        <is>
          <t>Miss Glam Damar</t>
        </is>
      </c>
      <c r="E4303" t="n">
        <v>1</v>
      </c>
      <c r="F4303" t="n">
        <v>0.1365</v>
      </c>
      <c r="G4303" t="n">
        <v>1.82</v>
      </c>
      <c r="H4303" t="n">
        <v>2</v>
      </c>
      <c r="I4303" t="n">
        <v>6</v>
      </c>
      <c r="J4303" t="n">
        <v>3</v>
      </c>
      <c r="K4303" t="n">
        <v>0</v>
      </c>
      <c r="L4303" t="n">
        <v>38400</v>
      </c>
      <c r="M4303" t="n">
        <v>48000</v>
      </c>
      <c r="N4303" t="n">
        <v>91</v>
      </c>
      <c r="O4303" t="n">
        <v>0.91</v>
      </c>
      <c r="P4303" t="n">
        <v>1</v>
      </c>
      <c r="Q4303" t="n">
        <v>0.05</v>
      </c>
      <c r="R4303" t="n">
        <v>1</v>
      </c>
      <c r="S4303" t="n">
        <v>6552.000000000001</v>
      </c>
      <c r="T4303" t="n">
        <v>11</v>
      </c>
      <c r="U4303" t="n">
        <v>12</v>
      </c>
      <c r="V4303" t="n">
        <v>30</v>
      </c>
      <c r="W4303" t="n">
        <v>5</v>
      </c>
      <c r="X4303" t="n">
        <v>7.326007326007326</v>
      </c>
      <c r="Y4303" t="n">
        <v>1</v>
      </c>
      <c r="Z4303" t="n">
        <v>4</v>
      </c>
      <c r="AA4303" t="n">
        <v>0</v>
      </c>
      <c r="AB4303" t="n">
        <v>4</v>
      </c>
      <c r="AC4303" t="n">
        <v>4</v>
      </c>
      <c r="AD4303" t="n">
        <v>0</v>
      </c>
      <c r="AE4303" t="n">
        <v>153600</v>
      </c>
      <c r="AF4303" t="n">
        <v>2678</v>
      </c>
      <c r="AG4303" t="n">
        <v>104</v>
      </c>
      <c r="AH4303" t="inlineStr">
        <is>
          <t>PT. ASIA PARAMITA - PPN (PDG)</t>
        </is>
      </c>
      <c r="AI4303" t="n">
        <v>104</v>
      </c>
      <c r="AJ4303" t="inlineStr">
        <is>
          <t>PIXY</t>
        </is>
      </c>
      <c r="AK4303" t="n">
        <v>21</v>
      </c>
      <c r="AL4303" t="inlineStr">
        <is>
          <t>Miss Glam Damar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PIXY</t>
        </is>
      </c>
      <c r="B4304" s="2">
        <f>"8992222283526"</f>
        <v/>
      </c>
      <c r="C4304" t="inlineStr">
        <is>
          <t>PIXY End Matte Blush 03 Save Terracotta 4gr</t>
        </is>
      </c>
      <c r="D4304" t="inlineStr">
        <is>
          <t>Miss Glam Damar</t>
        </is>
      </c>
      <c r="E4304" t="n">
        <v>10</v>
      </c>
      <c r="F4304" t="n">
        <v>0.1092</v>
      </c>
      <c r="G4304" t="n">
        <v>0.91</v>
      </c>
      <c r="H4304" t="n">
        <v>2</v>
      </c>
      <c r="I4304" t="n">
        <v>6</v>
      </c>
      <c r="J4304" t="n">
        <v>3</v>
      </c>
      <c r="K4304" t="n">
        <v>0</v>
      </c>
      <c r="L4304" t="n">
        <v>38400</v>
      </c>
      <c r="M4304" t="n">
        <v>48000</v>
      </c>
      <c r="N4304" t="n">
        <v>91</v>
      </c>
      <c r="O4304" t="n">
        <v>0.91</v>
      </c>
      <c r="P4304" t="n">
        <v>1</v>
      </c>
      <c r="Q4304" t="n">
        <v>0.34</v>
      </c>
      <c r="R4304" t="n">
        <v>2</v>
      </c>
      <c r="S4304" t="n">
        <v>5241.6</v>
      </c>
      <c r="T4304" t="n">
        <v>6</v>
      </c>
      <c r="U4304" t="n">
        <v>7</v>
      </c>
      <c r="V4304" t="n">
        <v>30</v>
      </c>
      <c r="W4304" t="n">
        <v>4</v>
      </c>
      <c r="X4304" t="n">
        <v>91.57509157509158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2678</v>
      </c>
      <c r="AG4304" t="n">
        <v>104</v>
      </c>
      <c r="AH4304" t="inlineStr">
        <is>
          <t>PT. ASIA PARAMITA - PPN (PDG)</t>
        </is>
      </c>
      <c r="AI4304" t="n">
        <v>104</v>
      </c>
      <c r="AJ4304" t="inlineStr">
        <is>
          <t>PIXY</t>
        </is>
      </c>
      <c r="AK4304" t="n">
        <v>21</v>
      </c>
      <c r="AL4304" t="inlineStr">
        <is>
          <t>Miss Glam Damar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PIXY</t>
        </is>
      </c>
      <c r="B4305" s="2">
        <f>"8992222073059"</f>
        <v/>
      </c>
      <c r="C4305" t="inlineStr">
        <is>
          <t>PIXY Eye &amp; Lip Makeup Remover 60ml</t>
        </is>
      </c>
      <c r="D4305" t="inlineStr">
        <is>
          <t>Miss Glam Damar</t>
        </is>
      </c>
      <c r="E4305" t="n">
        <v>3</v>
      </c>
      <c r="F4305" t="n">
        <v>0.1729</v>
      </c>
      <c r="G4305" t="n">
        <v>1.82</v>
      </c>
      <c r="H4305" t="n">
        <v>2</v>
      </c>
      <c r="I4305" t="n">
        <v>6</v>
      </c>
      <c r="J4305" t="n">
        <v>3</v>
      </c>
      <c r="K4305" t="n">
        <v>0</v>
      </c>
      <c r="L4305" t="n">
        <v>25600</v>
      </c>
      <c r="M4305" t="n">
        <v>31000</v>
      </c>
      <c r="N4305" t="n">
        <v>91</v>
      </c>
      <c r="O4305" t="n">
        <v>0.91</v>
      </c>
      <c r="P4305" t="n">
        <v>1</v>
      </c>
      <c r="Q4305" t="n">
        <v>0.14</v>
      </c>
      <c r="R4305" t="n">
        <v>2</v>
      </c>
      <c r="S4305" t="n">
        <v>5359.9</v>
      </c>
      <c r="T4305" t="n">
        <v>11</v>
      </c>
      <c r="U4305" t="n">
        <v>12</v>
      </c>
      <c r="V4305" t="n">
        <v>30</v>
      </c>
      <c r="W4305" t="n">
        <v>6</v>
      </c>
      <c r="X4305" t="n">
        <v>17.35106998264893</v>
      </c>
      <c r="Y4305" t="n">
        <v>1</v>
      </c>
      <c r="Z4305" t="n">
        <v>3</v>
      </c>
      <c r="AA4305" t="n">
        <v>0</v>
      </c>
      <c r="AB4305" t="n">
        <v>3</v>
      </c>
      <c r="AC4305" t="n">
        <v>3</v>
      </c>
      <c r="AD4305" t="n">
        <v>0</v>
      </c>
      <c r="AE4305" t="n">
        <v>76800</v>
      </c>
      <c r="AF4305" t="n">
        <v>2678</v>
      </c>
      <c r="AG4305" t="n">
        <v>104</v>
      </c>
      <c r="AH4305" t="inlineStr">
        <is>
          <t>PT. ASIA PARAMITA - PPN (PDG)</t>
        </is>
      </c>
      <c r="AI4305" t="n">
        <v>104</v>
      </c>
      <c r="AJ4305" t="inlineStr">
        <is>
          <t>PIXY</t>
        </is>
      </c>
      <c r="AK4305" t="n">
        <v>21</v>
      </c>
      <c r="AL4305" t="inlineStr">
        <is>
          <t>Miss Glam Damar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PIXY</t>
        </is>
      </c>
      <c r="B4306" s="2">
        <f>"8992222283236"</f>
        <v/>
      </c>
      <c r="C4306" t="inlineStr">
        <is>
          <t>PIXY Eyebrow Crayon Brown</t>
        </is>
      </c>
      <c r="D4306" t="inlineStr">
        <is>
          <t>Miss Glam Damar</t>
        </is>
      </c>
      <c r="E4306" t="n">
        <v>0</v>
      </c>
      <c r="F4306" t="n">
        <v>0.2275</v>
      </c>
      <c r="G4306" t="n">
        <v>1.82</v>
      </c>
      <c r="H4306" t="n">
        <v>2</v>
      </c>
      <c r="I4306" t="n">
        <v>6</v>
      </c>
      <c r="J4306" t="n">
        <v>3</v>
      </c>
      <c r="K4306" t="n">
        <v>0</v>
      </c>
      <c r="L4306" t="n">
        <v>32800</v>
      </c>
      <c r="M4306" t="n">
        <v>39000</v>
      </c>
      <c r="N4306" t="n">
        <v>91</v>
      </c>
      <c r="O4306" t="n">
        <v>0.91</v>
      </c>
      <c r="P4306" t="n">
        <v>1</v>
      </c>
      <c r="Q4306" t="n">
        <v>0.11</v>
      </c>
      <c r="R4306" t="n">
        <v>1</v>
      </c>
      <c r="S4306" t="n">
        <v>8872.5</v>
      </c>
      <c r="T4306" t="n">
        <v>11</v>
      </c>
      <c r="U4306" t="n">
        <v>12</v>
      </c>
      <c r="V4306" t="n">
        <v>30</v>
      </c>
      <c r="W4306" t="n">
        <v>7</v>
      </c>
      <c r="X4306" t="n">
        <v>0</v>
      </c>
      <c r="Y4306" t="n">
        <v>1</v>
      </c>
      <c r="Z4306" t="n">
        <v>7</v>
      </c>
      <c r="AA4306" t="n">
        <v>2</v>
      </c>
      <c r="AB4306" t="n">
        <v>5</v>
      </c>
      <c r="AC4306" t="n">
        <v>5</v>
      </c>
      <c r="AD4306" t="n">
        <v>65600</v>
      </c>
      <c r="AE4306" t="n">
        <v>164000</v>
      </c>
      <c r="AF4306" t="n">
        <v>2678</v>
      </c>
      <c r="AG4306" t="n">
        <v>104</v>
      </c>
      <c r="AH4306" t="inlineStr">
        <is>
          <t>PT. ASIA PARAMITA - PPN (PDG)</t>
        </is>
      </c>
      <c r="AI4306" t="n">
        <v>104</v>
      </c>
      <c r="AJ4306" t="inlineStr">
        <is>
          <t>PIXY</t>
        </is>
      </c>
      <c r="AK4306" t="n">
        <v>21</v>
      </c>
      <c r="AL4306" t="inlineStr">
        <is>
          <t>Miss Glam Damar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PIXY</t>
        </is>
      </c>
      <c r="B4307" s="2">
        <f>"8992222280679"</f>
        <v/>
      </c>
      <c r="C4307" t="inlineStr">
        <is>
          <t>PIXY Eyeliner Black</t>
        </is>
      </c>
      <c r="D4307" t="inlineStr">
        <is>
          <t>Miss Glam Damar</t>
        </is>
      </c>
      <c r="E4307" t="n">
        <v>20</v>
      </c>
      <c r="F4307" t="n">
        <v>0.5369</v>
      </c>
      <c r="G4307" t="n">
        <v>1.82</v>
      </c>
      <c r="H4307" t="n">
        <v>2</v>
      </c>
      <c r="I4307" t="n">
        <v>6</v>
      </c>
      <c r="J4307" t="n">
        <v>3</v>
      </c>
      <c r="K4307" t="n">
        <v>0</v>
      </c>
      <c r="L4307" t="n">
        <v>31200</v>
      </c>
      <c r="M4307" t="n">
        <v>37000</v>
      </c>
      <c r="N4307" t="n">
        <v>91</v>
      </c>
      <c r="O4307" t="n">
        <v>0.91</v>
      </c>
      <c r="P4307" t="n">
        <v>1</v>
      </c>
      <c r="Q4307" t="n">
        <v>0.53</v>
      </c>
      <c r="R4307" t="n">
        <v>2</v>
      </c>
      <c r="S4307" t="n">
        <v>19865.3</v>
      </c>
      <c r="T4307" t="n">
        <v>10</v>
      </c>
      <c r="U4307" t="n">
        <v>12</v>
      </c>
      <c r="V4307" t="n">
        <v>30</v>
      </c>
      <c r="W4307" t="n">
        <v>17</v>
      </c>
      <c r="X4307" t="n">
        <v>37.25088470851183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2678</v>
      </c>
      <c r="AG4307" t="n">
        <v>104</v>
      </c>
      <c r="AH4307" t="inlineStr">
        <is>
          <t>PT. ASIA PARAMITA - PPN (PDG)</t>
        </is>
      </c>
      <c r="AI4307" t="n">
        <v>104</v>
      </c>
      <c r="AJ4307" t="inlineStr">
        <is>
          <t>PIXY</t>
        </is>
      </c>
      <c r="AK4307" t="n">
        <v>21</v>
      </c>
      <c r="AL4307" t="inlineStr">
        <is>
          <t>Miss Glam Damar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PIXY</t>
        </is>
      </c>
      <c r="B4308" s="2">
        <f>"8992222281836"</f>
        <v/>
      </c>
      <c r="C4308" t="inlineStr">
        <is>
          <t>PIXY Eyeliner Brown</t>
        </is>
      </c>
      <c r="D4308" t="inlineStr">
        <is>
          <t>Miss Glam Damar</t>
        </is>
      </c>
      <c r="E4308" t="n">
        <v>5</v>
      </c>
      <c r="F4308" t="n">
        <v>0.2639</v>
      </c>
      <c r="G4308" t="n">
        <v>1.82</v>
      </c>
      <c r="H4308" t="n">
        <v>2</v>
      </c>
      <c r="I4308" t="n">
        <v>6</v>
      </c>
      <c r="J4308" t="n">
        <v>3</v>
      </c>
      <c r="K4308" t="n">
        <v>0</v>
      </c>
      <c r="L4308" t="n">
        <v>31200</v>
      </c>
      <c r="M4308" t="n">
        <v>37000</v>
      </c>
      <c r="N4308" t="n">
        <v>91</v>
      </c>
      <c r="O4308" t="n">
        <v>0.91</v>
      </c>
      <c r="P4308" t="n">
        <v>1</v>
      </c>
      <c r="Q4308" t="n">
        <v>0.17</v>
      </c>
      <c r="R4308" t="n">
        <v>2</v>
      </c>
      <c r="S4308" t="n">
        <v>9764.299999999999</v>
      </c>
      <c r="T4308" t="n">
        <v>11</v>
      </c>
      <c r="U4308" t="n">
        <v>12</v>
      </c>
      <c r="V4308" t="n">
        <v>30</v>
      </c>
      <c r="W4308" t="n">
        <v>8</v>
      </c>
      <c r="X4308" t="n">
        <v>18.9465706707086</v>
      </c>
      <c r="Y4308" t="n">
        <v>1</v>
      </c>
      <c r="Z4308" t="n">
        <v>3</v>
      </c>
      <c r="AA4308" t="n">
        <v>0</v>
      </c>
      <c r="AB4308" t="n">
        <v>3</v>
      </c>
      <c r="AC4308" t="n">
        <v>3</v>
      </c>
      <c r="AD4308" t="n">
        <v>0</v>
      </c>
      <c r="AE4308" t="n">
        <v>93600</v>
      </c>
      <c r="AF4308" t="n">
        <v>2678</v>
      </c>
      <c r="AG4308" t="n">
        <v>104</v>
      </c>
      <c r="AH4308" t="inlineStr">
        <is>
          <t>PT. ASIA PARAMITA - PPN (PDG)</t>
        </is>
      </c>
      <c r="AI4308" t="n">
        <v>104</v>
      </c>
      <c r="AJ4308" t="inlineStr">
        <is>
          <t>PIXY</t>
        </is>
      </c>
      <c r="AK4308" t="n">
        <v>21</v>
      </c>
      <c r="AL4308" t="inlineStr">
        <is>
          <t>Miss Glam Damar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PIXY</t>
        </is>
      </c>
      <c r="B4309" s="2">
        <f>"8992222072878"</f>
        <v/>
      </c>
      <c r="C4309" t="inlineStr">
        <is>
          <t>PIXY Facial Foam Anti Acne 100gr</t>
        </is>
      </c>
      <c r="D4309" t="inlineStr">
        <is>
          <t>Miss Glam Damar</t>
        </is>
      </c>
      <c r="E4309" t="n">
        <v>5</v>
      </c>
      <c r="F4309" t="n">
        <v>0.0273</v>
      </c>
      <c r="G4309" t="n">
        <v>0.91</v>
      </c>
      <c r="H4309" t="n">
        <v>2</v>
      </c>
      <c r="I4309" t="n">
        <v>6</v>
      </c>
      <c r="J4309" t="n">
        <v>3</v>
      </c>
      <c r="K4309" t="n">
        <v>0</v>
      </c>
      <c r="L4309" t="n">
        <v>26600</v>
      </c>
      <c r="M4309" t="n">
        <v>31500</v>
      </c>
      <c r="N4309" t="n">
        <v>91</v>
      </c>
      <c r="O4309" t="n">
        <v>0.91</v>
      </c>
      <c r="P4309" t="n">
        <v>1</v>
      </c>
      <c r="Q4309" t="n">
        <v>0.02</v>
      </c>
      <c r="R4309" t="n">
        <v>1</v>
      </c>
      <c r="S4309" t="n">
        <v>859.95</v>
      </c>
      <c r="T4309" t="n">
        <v>6</v>
      </c>
      <c r="U4309" t="n">
        <v>7</v>
      </c>
      <c r="V4309" t="n">
        <v>30</v>
      </c>
      <c r="W4309" t="n">
        <v>1</v>
      </c>
      <c r="X4309" t="n">
        <v>183.1501831501832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2678</v>
      </c>
      <c r="AG4309" t="n">
        <v>104</v>
      </c>
      <c r="AH4309" t="inlineStr">
        <is>
          <t>PT. ASIA PARAMITA - PPN (PDG)</t>
        </is>
      </c>
      <c r="AI4309" t="n">
        <v>104</v>
      </c>
      <c r="AJ4309" t="inlineStr">
        <is>
          <t>PIXY</t>
        </is>
      </c>
      <c r="AK4309" t="n">
        <v>21</v>
      </c>
      <c r="AL4309" t="inlineStr">
        <is>
          <t>Miss Glam Damar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PIXY</t>
        </is>
      </c>
      <c r="B4310" s="2">
        <f>"8992222072885"</f>
        <v/>
      </c>
      <c r="C4310" t="inlineStr">
        <is>
          <t>PIXY Facial Foam Brightening 100gr</t>
        </is>
      </c>
      <c r="D4310" t="inlineStr">
        <is>
          <t>Miss Glam Damar</t>
        </is>
      </c>
      <c r="E4310" t="n">
        <v>5</v>
      </c>
      <c r="F4310" t="n">
        <v>0.0273</v>
      </c>
      <c r="G4310" t="n">
        <v>0.91</v>
      </c>
      <c r="H4310" t="n">
        <v>2</v>
      </c>
      <c r="I4310" t="n">
        <v>6</v>
      </c>
      <c r="J4310" t="n">
        <v>3</v>
      </c>
      <c r="K4310" t="n">
        <v>0</v>
      </c>
      <c r="L4310" t="n">
        <v>27600</v>
      </c>
      <c r="M4310" t="n">
        <v>32500</v>
      </c>
      <c r="N4310" t="n">
        <v>91</v>
      </c>
      <c r="O4310" t="n">
        <v>0.91</v>
      </c>
      <c r="P4310" t="n">
        <v>1</v>
      </c>
      <c r="Q4310" t="n">
        <v>0.08</v>
      </c>
      <c r="R4310" t="n">
        <v>1</v>
      </c>
      <c r="S4310" t="n">
        <v>887.25</v>
      </c>
      <c r="T4310" t="n">
        <v>6</v>
      </c>
      <c r="U4310" t="n">
        <v>7</v>
      </c>
      <c r="V4310" t="n">
        <v>30</v>
      </c>
      <c r="W4310" t="n">
        <v>1</v>
      </c>
      <c r="X4310" t="n">
        <v>183.1501831501832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2678</v>
      </c>
      <c r="AG4310" t="n">
        <v>104</v>
      </c>
      <c r="AH4310" t="inlineStr">
        <is>
          <t>PT. ASIA PARAMITA - PPN (PDG)</t>
        </is>
      </c>
      <c r="AI4310" t="n">
        <v>104</v>
      </c>
      <c r="AJ4310" t="inlineStr">
        <is>
          <t>PIXY</t>
        </is>
      </c>
      <c r="AK4310" t="n">
        <v>21</v>
      </c>
      <c r="AL4310" t="inlineStr">
        <is>
          <t>Miss Glam Damar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PIXY</t>
        </is>
      </c>
      <c r="B4311" s="2">
        <f>"20100180132"</f>
        <v/>
      </c>
      <c r="C4311" t="inlineStr">
        <is>
          <t>PIXY Fixed Matte Powder Foundation 101C 9,5gr</t>
        </is>
      </c>
      <c r="D4311" t="inlineStr">
        <is>
          <t>Miss Glam Damar</t>
        </is>
      </c>
      <c r="E4311" t="n">
        <v>3</v>
      </c>
      <c r="F4311" t="n">
        <v>0.04550000000000001</v>
      </c>
      <c r="G4311" t="n">
        <v>0.91</v>
      </c>
      <c r="H4311" t="n">
        <v>2</v>
      </c>
      <c r="I4311" t="n">
        <v>6</v>
      </c>
      <c r="J4311" t="n">
        <v>1</v>
      </c>
      <c r="K4311" t="n">
        <v>0</v>
      </c>
      <c r="L4311" t="n">
        <v>76000</v>
      </c>
      <c r="M4311" t="n">
        <v>89500</v>
      </c>
      <c r="N4311" t="n">
        <v>91</v>
      </c>
      <c r="O4311" t="n">
        <v>0.91</v>
      </c>
      <c r="P4311" t="n">
        <v>1</v>
      </c>
      <c r="Q4311" t="n">
        <v>0.08</v>
      </c>
      <c r="R4311" t="n">
        <v>1</v>
      </c>
      <c r="S4311" t="n">
        <v>4072.25</v>
      </c>
      <c r="T4311" t="n">
        <v>6</v>
      </c>
      <c r="U4311" t="n">
        <v>7</v>
      </c>
      <c r="V4311" t="n">
        <v>30</v>
      </c>
      <c r="W4311" t="n">
        <v>2</v>
      </c>
      <c r="X4311" t="n">
        <v>65.93406593406593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2678</v>
      </c>
      <c r="AG4311" t="n">
        <v>104</v>
      </c>
      <c r="AH4311" t="inlineStr">
        <is>
          <t>PT. ASIA PARAMITA - PPN (PDG)</t>
        </is>
      </c>
      <c r="AI4311" t="n">
        <v>104</v>
      </c>
      <c r="AJ4311" t="inlineStr">
        <is>
          <t>PIXY</t>
        </is>
      </c>
      <c r="AK4311" t="n">
        <v>21</v>
      </c>
      <c r="AL4311" t="inlineStr">
        <is>
          <t>Miss Glam Damar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PIXY</t>
        </is>
      </c>
      <c r="B4312" s="2">
        <f>"20100180212"</f>
        <v/>
      </c>
      <c r="C4312" t="inlineStr">
        <is>
          <t>PIXY Fixed Matte Powder Foundation 202N 9,5gr</t>
        </is>
      </c>
      <c r="D4312" t="inlineStr">
        <is>
          <t>Miss Glam Damar</t>
        </is>
      </c>
      <c r="E4312" t="n">
        <v>2</v>
      </c>
      <c r="F4312" t="n">
        <v>0.06370000000000001</v>
      </c>
      <c r="G4312" t="n">
        <v>0.91</v>
      </c>
      <c r="H4312" t="n">
        <v>2</v>
      </c>
      <c r="I4312" t="n">
        <v>6</v>
      </c>
      <c r="J4312" t="n">
        <v>1</v>
      </c>
      <c r="K4312" t="n">
        <v>0</v>
      </c>
      <c r="L4312" t="n">
        <v>75999</v>
      </c>
      <c r="M4312" t="n">
        <v>89500</v>
      </c>
      <c r="N4312" t="n">
        <v>91</v>
      </c>
      <c r="O4312" t="n">
        <v>0.91</v>
      </c>
      <c r="P4312" t="n">
        <v>1</v>
      </c>
      <c r="Q4312" t="n">
        <v>0.15</v>
      </c>
      <c r="R4312" t="n">
        <v>2</v>
      </c>
      <c r="S4312" t="n">
        <v>5701.150000000001</v>
      </c>
      <c r="T4312" t="n">
        <v>6</v>
      </c>
      <c r="U4312" t="n">
        <v>7</v>
      </c>
      <c r="V4312" t="n">
        <v>30</v>
      </c>
      <c r="W4312" t="n">
        <v>2</v>
      </c>
      <c r="X4312" t="n">
        <v>31.39717425431711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2678</v>
      </c>
      <c r="AG4312" t="n">
        <v>104</v>
      </c>
      <c r="AH4312" t="inlineStr">
        <is>
          <t>PT. ASIA PARAMITA - PPN (PDG)</t>
        </is>
      </c>
      <c r="AI4312" t="n">
        <v>104</v>
      </c>
      <c r="AJ4312" t="inlineStr">
        <is>
          <t>PIXY</t>
        </is>
      </c>
      <c r="AK4312" t="n">
        <v>21</v>
      </c>
      <c r="AL4312" t="inlineStr">
        <is>
          <t>Miss Glam Damar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PIXY</t>
        </is>
      </c>
      <c r="B4313" s="2">
        <f>"20100180352"</f>
        <v/>
      </c>
      <c r="C4313" t="inlineStr">
        <is>
          <t>PIXY Fixed Matte Powder Foundation 203W 9,5gr</t>
        </is>
      </c>
      <c r="D4313" t="inlineStr">
        <is>
          <t>Miss Glam Damar</t>
        </is>
      </c>
      <c r="E4313" t="n">
        <v>4</v>
      </c>
      <c r="F4313" t="n">
        <v>0.1274</v>
      </c>
      <c r="G4313" t="n">
        <v>0.91</v>
      </c>
      <c r="H4313" t="n">
        <v>2</v>
      </c>
      <c r="I4313" t="n">
        <v>6</v>
      </c>
      <c r="J4313" t="n">
        <v>1</v>
      </c>
      <c r="K4313" t="n">
        <v>0</v>
      </c>
      <c r="L4313" t="n">
        <v>75999</v>
      </c>
      <c r="M4313" t="n">
        <v>89500</v>
      </c>
      <c r="N4313" t="n">
        <v>91</v>
      </c>
      <c r="O4313" t="n">
        <v>0.91</v>
      </c>
      <c r="P4313" t="n">
        <v>1</v>
      </c>
      <c r="Q4313" t="n">
        <v>0.1</v>
      </c>
      <c r="R4313" t="n">
        <v>1</v>
      </c>
      <c r="S4313" t="n">
        <v>11402.3</v>
      </c>
      <c r="T4313" t="n">
        <v>6</v>
      </c>
      <c r="U4313" t="n">
        <v>7</v>
      </c>
      <c r="V4313" t="n">
        <v>30</v>
      </c>
      <c r="W4313" t="n">
        <v>4</v>
      </c>
      <c r="X4313" t="n">
        <v>31.39717425431711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2678</v>
      </c>
      <c r="AG4313" t="n">
        <v>104</v>
      </c>
      <c r="AH4313" t="inlineStr">
        <is>
          <t>PT. ASIA PARAMITA - PPN (PDG)</t>
        </is>
      </c>
      <c r="AI4313" t="n">
        <v>104</v>
      </c>
      <c r="AJ4313" t="inlineStr">
        <is>
          <t>PIXY</t>
        </is>
      </c>
      <c r="AK4313" t="n">
        <v>21</v>
      </c>
      <c r="AL4313" t="inlineStr">
        <is>
          <t>Miss Glam Damar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PIXY</t>
        </is>
      </c>
      <c r="B4314" s="2">
        <f>"20100180425"</f>
        <v/>
      </c>
      <c r="C4314" t="inlineStr">
        <is>
          <t>PIXY Fixed Matte Powder Foundation 301C 9,5gr</t>
        </is>
      </c>
      <c r="D4314" t="inlineStr">
        <is>
          <t>Miss Glam Damar</t>
        </is>
      </c>
      <c r="E4314" t="n">
        <v>1</v>
      </c>
      <c r="F4314" t="n">
        <v>0.04550000000000001</v>
      </c>
      <c r="G4314" t="n">
        <v>0.91</v>
      </c>
      <c r="H4314" t="n">
        <v>2</v>
      </c>
      <c r="I4314" t="n">
        <v>6</v>
      </c>
      <c r="J4314" t="n">
        <v>1</v>
      </c>
      <c r="K4314" t="n">
        <v>0</v>
      </c>
      <c r="L4314" t="n">
        <v>75999</v>
      </c>
      <c r="M4314" t="n">
        <v>89500</v>
      </c>
      <c r="N4314" t="n">
        <v>91</v>
      </c>
      <c r="O4314" t="n">
        <v>0.91</v>
      </c>
      <c r="P4314" t="n">
        <v>1</v>
      </c>
      <c r="Q4314" t="n">
        <v>0.03</v>
      </c>
      <c r="R4314" t="n">
        <v>1</v>
      </c>
      <c r="S4314" t="n">
        <v>4072.25</v>
      </c>
      <c r="T4314" t="n">
        <v>6</v>
      </c>
      <c r="U4314" t="n">
        <v>7</v>
      </c>
      <c r="V4314" t="n">
        <v>30</v>
      </c>
      <c r="W4314" t="n">
        <v>2</v>
      </c>
      <c r="X4314" t="n">
        <v>21.97802197802197</v>
      </c>
      <c r="Y4314" t="n">
        <v>1</v>
      </c>
      <c r="Z4314" t="n">
        <v>1</v>
      </c>
      <c r="AA4314" t="n">
        <v>0</v>
      </c>
      <c r="AB4314" t="n">
        <v>1</v>
      </c>
      <c r="AC4314" t="n">
        <v>1</v>
      </c>
      <c r="AD4314" t="n">
        <v>0</v>
      </c>
      <c r="AE4314" t="n">
        <v>75999</v>
      </c>
      <c r="AF4314" t="n">
        <v>2678</v>
      </c>
      <c r="AG4314" t="n">
        <v>104</v>
      </c>
      <c r="AH4314" t="inlineStr">
        <is>
          <t>PT. ASIA PARAMITA - PPN (PDG)</t>
        </is>
      </c>
      <c r="AI4314" t="n">
        <v>104</v>
      </c>
      <c r="AJ4314" t="inlineStr">
        <is>
          <t>PIXY</t>
        </is>
      </c>
      <c r="AK4314" t="n">
        <v>21</v>
      </c>
      <c r="AL4314" t="inlineStr">
        <is>
          <t>Miss Glam Damar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PIXY</t>
        </is>
      </c>
      <c r="B4315" s="2">
        <f>"20100180518"</f>
        <v/>
      </c>
      <c r="C4315" t="inlineStr">
        <is>
          <t>PIXY Fixed Matte Powder Foundation 302N 9,5gr</t>
        </is>
      </c>
      <c r="D4315" t="inlineStr">
        <is>
          <t>Miss Glam Damar</t>
        </is>
      </c>
      <c r="E4315" t="n">
        <v>7</v>
      </c>
      <c r="F4315" t="n">
        <v>0.2457</v>
      </c>
      <c r="G4315" t="n">
        <v>1.82</v>
      </c>
      <c r="H4315" t="n">
        <v>2</v>
      </c>
      <c r="I4315" t="n">
        <v>6</v>
      </c>
      <c r="J4315" t="n">
        <v>1</v>
      </c>
      <c r="K4315" t="n">
        <v>0</v>
      </c>
      <c r="L4315" t="n">
        <v>76000</v>
      </c>
      <c r="M4315" t="n">
        <v>89500</v>
      </c>
      <c r="N4315" t="n">
        <v>91</v>
      </c>
      <c r="O4315" t="n">
        <v>0.91</v>
      </c>
      <c r="P4315" t="n">
        <v>1</v>
      </c>
      <c r="Q4315" t="n">
        <v>0.15</v>
      </c>
      <c r="R4315" t="n">
        <v>2</v>
      </c>
      <c r="S4315" t="n">
        <v>21990.15</v>
      </c>
      <c r="T4315" t="n">
        <v>11</v>
      </c>
      <c r="U4315" t="n">
        <v>12</v>
      </c>
      <c r="V4315" t="n">
        <v>30</v>
      </c>
      <c r="W4315" t="n">
        <v>8</v>
      </c>
      <c r="X4315" t="n">
        <v>28.49002849002849</v>
      </c>
      <c r="Y4315" t="n">
        <v>1</v>
      </c>
      <c r="Z4315" t="n">
        <v>1</v>
      </c>
      <c r="AA4315" t="n">
        <v>0</v>
      </c>
      <c r="AB4315" t="n">
        <v>1</v>
      </c>
      <c r="AC4315" t="n">
        <v>1</v>
      </c>
      <c r="AD4315" t="n">
        <v>0</v>
      </c>
      <c r="AE4315" t="n">
        <v>76000</v>
      </c>
      <c r="AF4315" t="n">
        <v>2678</v>
      </c>
      <c r="AG4315" t="n">
        <v>104</v>
      </c>
      <c r="AH4315" t="inlineStr">
        <is>
          <t>PT. ASIA PARAMITA - PPN (PDG)</t>
        </is>
      </c>
      <c r="AI4315" t="n">
        <v>104</v>
      </c>
      <c r="AJ4315" t="inlineStr">
        <is>
          <t>PIXY</t>
        </is>
      </c>
      <c r="AK4315" t="n">
        <v>21</v>
      </c>
      <c r="AL4315" t="inlineStr">
        <is>
          <t>Miss Glam Damar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PIXY</t>
        </is>
      </c>
      <c r="B4316" s="2">
        <f>"8992222072168"</f>
        <v/>
      </c>
      <c r="C4316" t="inlineStr">
        <is>
          <t>PIXY Fresh Toner Brightening 100ml</t>
        </is>
      </c>
      <c r="D4316" t="inlineStr">
        <is>
          <t>Miss Glam Damar</t>
        </is>
      </c>
      <c r="E4316" t="n">
        <v>2</v>
      </c>
      <c r="F4316" t="n">
        <v>0.0273</v>
      </c>
      <c r="G4316" t="n">
        <v>1.82</v>
      </c>
      <c r="H4316" t="n">
        <v>2</v>
      </c>
      <c r="I4316" t="n">
        <v>6</v>
      </c>
      <c r="J4316" t="n">
        <v>3</v>
      </c>
      <c r="K4316" t="n">
        <v>0</v>
      </c>
      <c r="L4316" t="n">
        <v>19200</v>
      </c>
      <c r="M4316" t="n">
        <v>23000</v>
      </c>
      <c r="N4316" t="n">
        <v>91</v>
      </c>
      <c r="O4316" t="n">
        <v>0.91</v>
      </c>
      <c r="P4316" t="n">
        <v>1</v>
      </c>
      <c r="Q4316" t="n">
        <v>0.07000000000000001</v>
      </c>
      <c r="R4316" t="n">
        <v>1</v>
      </c>
      <c r="S4316" t="n">
        <v>627.9</v>
      </c>
      <c r="T4316" t="n">
        <v>11</v>
      </c>
      <c r="U4316" t="n">
        <v>12</v>
      </c>
      <c r="V4316" t="n">
        <v>30</v>
      </c>
      <c r="W4316" t="n">
        <v>1</v>
      </c>
      <c r="X4316" t="n">
        <v>73.26007326007326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2678</v>
      </c>
      <c r="AG4316" t="n">
        <v>104</v>
      </c>
      <c r="AH4316" t="inlineStr">
        <is>
          <t>PT. ASIA PARAMITA - PPN (PDG)</t>
        </is>
      </c>
      <c r="AI4316" t="n">
        <v>104</v>
      </c>
      <c r="AJ4316" t="inlineStr">
        <is>
          <t>PIXY</t>
        </is>
      </c>
      <c r="AK4316" t="n">
        <v>21</v>
      </c>
      <c r="AL4316" t="inlineStr">
        <is>
          <t>Miss Glam Damar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PIXY</t>
        </is>
      </c>
      <c r="B4317" s="2">
        <f>"8992222283533"</f>
        <v/>
      </c>
      <c r="C4317" t="inlineStr">
        <is>
          <t>PIXY Glam Over Blush 01 Pink Hitter 4gr</t>
        </is>
      </c>
      <c r="D4317" t="inlineStr">
        <is>
          <t>Miss Glam Damar</t>
        </is>
      </c>
      <c r="E4317" t="n">
        <v>2</v>
      </c>
      <c r="F4317" t="n">
        <v>0.06370000000000001</v>
      </c>
      <c r="G4317" t="n">
        <v>0.91</v>
      </c>
      <c r="H4317" t="n">
        <v>2</v>
      </c>
      <c r="I4317" t="n">
        <v>6</v>
      </c>
      <c r="J4317" t="n">
        <v>3</v>
      </c>
      <c r="K4317" t="n">
        <v>0</v>
      </c>
      <c r="L4317" t="n">
        <v>38400</v>
      </c>
      <c r="M4317" t="n">
        <v>48000</v>
      </c>
      <c r="N4317" t="n">
        <v>91</v>
      </c>
      <c r="O4317" t="n">
        <v>0.91</v>
      </c>
      <c r="P4317" t="n">
        <v>1</v>
      </c>
      <c r="Q4317" t="n">
        <v>0.03</v>
      </c>
      <c r="R4317" t="n">
        <v>1</v>
      </c>
      <c r="S4317" t="n">
        <v>3057.6</v>
      </c>
      <c r="T4317" t="n">
        <v>6</v>
      </c>
      <c r="U4317" t="n">
        <v>7</v>
      </c>
      <c r="V4317" t="n">
        <v>30</v>
      </c>
      <c r="W4317" t="n">
        <v>2</v>
      </c>
      <c r="X4317" t="n">
        <v>31.39717425431711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2678</v>
      </c>
      <c r="AG4317" t="n">
        <v>104</v>
      </c>
      <c r="AH4317" t="inlineStr">
        <is>
          <t>PT. ASIA PARAMITA - PPN (PDG)</t>
        </is>
      </c>
      <c r="AI4317" t="n">
        <v>104</v>
      </c>
      <c r="AJ4317" t="inlineStr">
        <is>
          <t>PIXY</t>
        </is>
      </c>
      <c r="AK4317" t="n">
        <v>21</v>
      </c>
      <c r="AL4317" t="inlineStr">
        <is>
          <t>Miss Glam Damar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PIXY</t>
        </is>
      </c>
      <c r="B4318" s="2">
        <f>"8992222283557"</f>
        <v/>
      </c>
      <c r="C4318" t="inlineStr">
        <is>
          <t>PIXY Glam Over Blush 03 Orange Battler 4gr</t>
        </is>
      </c>
      <c r="D4318" t="inlineStr">
        <is>
          <t>Miss Glam Damar</t>
        </is>
      </c>
      <c r="E4318" t="n">
        <v>3</v>
      </c>
      <c r="F4318" t="n">
        <v>0.0182</v>
      </c>
      <c r="G4318" t="n">
        <v>0.91</v>
      </c>
      <c r="H4318" t="n">
        <v>2</v>
      </c>
      <c r="I4318" t="n">
        <v>6</v>
      </c>
      <c r="J4318" t="n">
        <v>3</v>
      </c>
      <c r="K4318" t="n">
        <v>0</v>
      </c>
      <c r="L4318" t="n">
        <v>38400</v>
      </c>
      <c r="M4318" t="n">
        <v>48000</v>
      </c>
      <c r="N4318" t="n">
        <v>91</v>
      </c>
      <c r="O4318" t="n">
        <v>0.91</v>
      </c>
      <c r="P4318" t="n">
        <v>1</v>
      </c>
      <c r="Q4318" t="n">
        <v>0.02</v>
      </c>
      <c r="R4318" t="n">
        <v>1</v>
      </c>
      <c r="S4318" t="n">
        <v>873.6</v>
      </c>
      <c r="T4318" t="n">
        <v>6</v>
      </c>
      <c r="U4318" t="n">
        <v>7</v>
      </c>
      <c r="V4318" t="n">
        <v>30</v>
      </c>
      <c r="W4318" t="n">
        <v>1</v>
      </c>
      <c r="X4318" t="n">
        <v>164.8351648351648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2678</v>
      </c>
      <c r="AG4318" t="n">
        <v>104</v>
      </c>
      <c r="AH4318" t="inlineStr">
        <is>
          <t>PT. ASIA PARAMITA - PPN (PDG)</t>
        </is>
      </c>
      <c r="AI4318" t="n">
        <v>104</v>
      </c>
      <c r="AJ4318" t="inlineStr">
        <is>
          <t>PIXY</t>
        </is>
      </c>
      <c r="AK4318" t="n">
        <v>21</v>
      </c>
      <c r="AL4318" t="inlineStr">
        <is>
          <t>Miss Glam Damar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PIXY</t>
        </is>
      </c>
      <c r="B4319" s="2">
        <f>"8992222074797"</f>
        <v/>
      </c>
      <c r="C4319" t="inlineStr">
        <is>
          <t>PIXY Glowesensials Vitamin Infused Brightening Mist Light Radiant 60ml</t>
        </is>
      </c>
      <c r="D4319" t="inlineStr">
        <is>
          <t>Miss Glam Damar</t>
        </is>
      </c>
      <c r="E4319" t="n">
        <v>6</v>
      </c>
      <c r="F4319" t="n">
        <v>0.2457</v>
      </c>
      <c r="G4319" t="n">
        <v>2.73</v>
      </c>
      <c r="H4319" t="n">
        <v>2</v>
      </c>
      <c r="I4319" t="n">
        <v>6</v>
      </c>
      <c r="J4319" t="n">
        <v>3</v>
      </c>
      <c r="K4319" t="n">
        <v>0</v>
      </c>
      <c r="L4319" t="n">
        <v>25600</v>
      </c>
      <c r="M4319" t="n">
        <v>31000</v>
      </c>
      <c r="N4319" t="n">
        <v>91</v>
      </c>
      <c r="O4319" t="n">
        <v>0.91</v>
      </c>
      <c r="P4319" t="n">
        <v>1</v>
      </c>
      <c r="Q4319" t="n">
        <v>0.2</v>
      </c>
      <c r="R4319" t="n">
        <v>2</v>
      </c>
      <c r="S4319" t="n">
        <v>7616.700000000001</v>
      </c>
      <c r="T4319" t="n">
        <v>16</v>
      </c>
      <c r="U4319" t="n">
        <v>17</v>
      </c>
      <c r="V4319" t="n">
        <v>30</v>
      </c>
      <c r="W4319" t="n">
        <v>8</v>
      </c>
      <c r="X4319" t="n">
        <v>24.42002442002442</v>
      </c>
      <c r="Y4319" t="n">
        <v>1</v>
      </c>
      <c r="Z4319" t="n">
        <v>2</v>
      </c>
      <c r="AA4319" t="n">
        <v>0</v>
      </c>
      <c r="AB4319" t="n">
        <v>2</v>
      </c>
      <c r="AC4319" t="n">
        <v>3</v>
      </c>
      <c r="AD4319" t="n">
        <v>0</v>
      </c>
      <c r="AE4319" t="n">
        <v>76800</v>
      </c>
      <c r="AF4319" t="n">
        <v>2678</v>
      </c>
      <c r="AG4319" t="n">
        <v>104</v>
      </c>
      <c r="AH4319" t="inlineStr">
        <is>
          <t>PT. ASIA PARAMITA - PPN (PDG)</t>
        </is>
      </c>
      <c r="AI4319" t="n">
        <v>104</v>
      </c>
      <c r="AJ4319" t="inlineStr">
        <is>
          <t>PIXY</t>
        </is>
      </c>
      <c r="AK4319" t="n">
        <v>21</v>
      </c>
      <c r="AL4319" t="inlineStr">
        <is>
          <t>Miss Glam Damar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PIXY</t>
        </is>
      </c>
      <c r="B4320" s="2">
        <f>"8992222074759"</f>
        <v/>
      </c>
      <c r="C4320" t="inlineStr">
        <is>
          <t>PIXY Glowessensial Vitamin Infused Protecting Mist 60ml</t>
        </is>
      </c>
      <c r="D4320" t="inlineStr">
        <is>
          <t>Miss Glam Damar</t>
        </is>
      </c>
      <c r="E4320" t="n">
        <v>2</v>
      </c>
      <c r="F4320" t="n">
        <v>0.1729</v>
      </c>
      <c r="G4320" t="n">
        <v>2.73</v>
      </c>
      <c r="H4320" t="n">
        <v>2</v>
      </c>
      <c r="I4320" t="n">
        <v>6</v>
      </c>
      <c r="J4320" t="n">
        <v>3</v>
      </c>
      <c r="K4320" t="n">
        <v>0</v>
      </c>
      <c r="L4320" t="n">
        <v>25600</v>
      </c>
      <c r="M4320" t="n">
        <v>31000</v>
      </c>
      <c r="N4320" t="n">
        <v>91</v>
      </c>
      <c r="O4320" t="n">
        <v>0.91</v>
      </c>
      <c r="P4320" t="n">
        <v>1</v>
      </c>
      <c r="Q4320" t="n">
        <v>0.03</v>
      </c>
      <c r="R4320" t="n">
        <v>1</v>
      </c>
      <c r="S4320" t="n">
        <v>5359.9</v>
      </c>
      <c r="T4320" t="n">
        <v>17</v>
      </c>
      <c r="U4320" t="n">
        <v>18</v>
      </c>
      <c r="V4320" t="n">
        <v>30</v>
      </c>
      <c r="W4320" t="n">
        <v>6</v>
      </c>
      <c r="X4320" t="n">
        <v>11.56737998843262</v>
      </c>
      <c r="Y4320" t="n">
        <v>1</v>
      </c>
      <c r="Z4320" t="n">
        <v>4</v>
      </c>
      <c r="AA4320" t="n">
        <v>0</v>
      </c>
      <c r="AB4320" t="n">
        <v>4</v>
      </c>
      <c r="AC4320" t="n">
        <v>4</v>
      </c>
      <c r="AD4320" t="n">
        <v>0</v>
      </c>
      <c r="AE4320" t="n">
        <v>102400</v>
      </c>
      <c r="AF4320" t="n">
        <v>2678</v>
      </c>
      <c r="AG4320" t="n">
        <v>104</v>
      </c>
      <c r="AH4320" t="inlineStr">
        <is>
          <t>PT. ASIA PARAMITA - PPN (PDG)</t>
        </is>
      </c>
      <c r="AI4320" t="n">
        <v>104</v>
      </c>
      <c r="AJ4320" t="inlineStr">
        <is>
          <t>PIXY</t>
        </is>
      </c>
      <c r="AK4320" t="n">
        <v>21</v>
      </c>
      <c r="AL4320" t="inlineStr">
        <is>
          <t>Miss Glam Damar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PIXY</t>
        </is>
      </c>
      <c r="B4321" s="2">
        <f>"8992222074711"</f>
        <v/>
      </c>
      <c r="C4321" t="inlineStr">
        <is>
          <t>PIXY Glowssentials Sunshield Daily Moisturizer Pollution Off 20gr</t>
        </is>
      </c>
      <c r="D4321" t="inlineStr">
        <is>
          <t>Miss Glam Damar</t>
        </is>
      </c>
      <c r="E4321" t="n">
        <v>4</v>
      </c>
      <c r="F4321" t="n">
        <v>0.04550000000000001</v>
      </c>
      <c r="G4321" t="n">
        <v>0.91</v>
      </c>
      <c r="H4321" t="n">
        <v>2</v>
      </c>
      <c r="I4321" t="n">
        <v>6</v>
      </c>
      <c r="J4321" t="n">
        <v>3</v>
      </c>
      <c r="K4321" t="n">
        <v>0</v>
      </c>
      <c r="L4321" t="n">
        <v>28800</v>
      </c>
      <c r="M4321" t="n">
        <v>34000</v>
      </c>
      <c r="N4321" t="n">
        <v>91</v>
      </c>
      <c r="O4321" t="n">
        <v>0.91</v>
      </c>
      <c r="P4321" t="n">
        <v>1</v>
      </c>
      <c r="Q4321" t="n">
        <v>0.03</v>
      </c>
      <c r="R4321" t="n">
        <v>2</v>
      </c>
      <c r="S4321" t="n">
        <v>1547</v>
      </c>
      <c r="T4321" t="n">
        <v>6</v>
      </c>
      <c r="U4321" t="n">
        <v>7</v>
      </c>
      <c r="V4321" t="n">
        <v>30</v>
      </c>
      <c r="W4321" t="n">
        <v>2</v>
      </c>
      <c r="X4321" t="n">
        <v>87.9120879120879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2678</v>
      </c>
      <c r="AG4321" t="n">
        <v>104</v>
      </c>
      <c r="AH4321" t="inlineStr">
        <is>
          <t>PT. ASIA PARAMITA - PPN (PDG)</t>
        </is>
      </c>
      <c r="AI4321" t="n">
        <v>104</v>
      </c>
      <c r="AJ4321" t="inlineStr">
        <is>
          <t>PIXY</t>
        </is>
      </c>
      <c r="AK4321" t="n">
        <v>21</v>
      </c>
      <c r="AL4321" t="inlineStr">
        <is>
          <t>Miss Glam Damar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PIXY</t>
        </is>
      </c>
      <c r="B4322" s="2">
        <f>"8992222075176"</f>
        <v/>
      </c>
      <c r="C4322" t="inlineStr">
        <is>
          <t>PIXY Hybrid Liquid Concealer 01 Cream Beige 8gr</t>
        </is>
      </c>
      <c r="D4322" t="inlineStr">
        <is>
          <t>Miss Glam Damar</t>
        </is>
      </c>
      <c r="E4322" t="n">
        <v>13</v>
      </c>
      <c r="F4322" t="n">
        <v>0.1729</v>
      </c>
      <c r="G4322" t="n">
        <v>0.91</v>
      </c>
      <c r="H4322" t="n">
        <v>2</v>
      </c>
      <c r="I4322" t="n">
        <v>6</v>
      </c>
      <c r="J4322" t="n">
        <v>3</v>
      </c>
      <c r="K4322" t="n">
        <v>0</v>
      </c>
      <c r="L4322" t="n">
        <v>31200</v>
      </c>
      <c r="M4322" t="n">
        <v>37000</v>
      </c>
      <c r="N4322" t="n">
        <v>91</v>
      </c>
      <c r="O4322" t="n">
        <v>0.91</v>
      </c>
      <c r="P4322" t="n">
        <v>1</v>
      </c>
      <c r="Q4322" t="n">
        <v>0.37</v>
      </c>
      <c r="R4322" t="n">
        <v>2</v>
      </c>
      <c r="S4322" t="n">
        <v>6397.3</v>
      </c>
      <c r="T4322" t="n">
        <v>6</v>
      </c>
      <c r="U4322" t="n">
        <v>7</v>
      </c>
      <c r="V4322" t="n">
        <v>30</v>
      </c>
      <c r="W4322" t="n">
        <v>6</v>
      </c>
      <c r="X4322" t="n">
        <v>75.18796992481204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2678</v>
      </c>
      <c r="AG4322" t="n">
        <v>104</v>
      </c>
      <c r="AH4322" t="inlineStr">
        <is>
          <t>PT. ASIA PARAMITA - PPN (PDG)</t>
        </is>
      </c>
      <c r="AI4322" t="n">
        <v>104</v>
      </c>
      <c r="AJ4322" t="inlineStr">
        <is>
          <t>PIXY</t>
        </is>
      </c>
      <c r="AK4322" t="n">
        <v>21</v>
      </c>
      <c r="AL4322" t="inlineStr">
        <is>
          <t>Miss Glam Damar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PIXY</t>
        </is>
      </c>
      <c r="B4323" s="2">
        <f>"8992222075183"</f>
        <v/>
      </c>
      <c r="C4323" t="inlineStr">
        <is>
          <t>PIXY Hybrid Liquid Concealer 02 Orange Beige 8gr</t>
        </is>
      </c>
      <c r="D4323" t="inlineStr">
        <is>
          <t>Miss Glam Damar</t>
        </is>
      </c>
      <c r="E4323" t="n">
        <v>12</v>
      </c>
      <c r="F4323" t="n">
        <v>0.3276</v>
      </c>
      <c r="G4323" t="n">
        <v>1.82</v>
      </c>
      <c r="H4323" t="n">
        <v>2</v>
      </c>
      <c r="I4323" t="n">
        <v>6</v>
      </c>
      <c r="J4323" t="n">
        <v>3</v>
      </c>
      <c r="K4323" t="n">
        <v>0</v>
      </c>
      <c r="L4323" t="n">
        <v>31200</v>
      </c>
      <c r="M4323" t="n">
        <v>37000</v>
      </c>
      <c r="N4323" t="n">
        <v>91</v>
      </c>
      <c r="O4323" t="n">
        <v>0.91</v>
      </c>
      <c r="P4323" t="n">
        <v>1</v>
      </c>
      <c r="Q4323" t="n">
        <v>0.15</v>
      </c>
      <c r="R4323" t="n">
        <v>3</v>
      </c>
      <c r="S4323" t="n">
        <v>12121.2</v>
      </c>
      <c r="T4323" t="n">
        <v>11</v>
      </c>
      <c r="U4323" t="n">
        <v>12</v>
      </c>
      <c r="V4323" t="n">
        <v>30</v>
      </c>
      <c r="W4323" t="n">
        <v>10</v>
      </c>
      <c r="X4323" t="n">
        <v>36.63003663003663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2678</v>
      </c>
      <c r="AG4323" t="n">
        <v>104</v>
      </c>
      <c r="AH4323" t="inlineStr">
        <is>
          <t>PT. ASIA PARAMITA - PPN (PDG)</t>
        </is>
      </c>
      <c r="AI4323" t="n">
        <v>104</v>
      </c>
      <c r="AJ4323" t="inlineStr">
        <is>
          <t>PIXY</t>
        </is>
      </c>
      <c r="AK4323" t="n">
        <v>21</v>
      </c>
      <c r="AL4323" t="inlineStr">
        <is>
          <t>Miss Glam Damar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PIXY</t>
        </is>
      </c>
      <c r="B4324" s="2">
        <f>"20300395314"</f>
        <v/>
      </c>
      <c r="C4324" t="inlineStr">
        <is>
          <t>PIXY Hydra Glass Lip Tint 01 Toffe Caramel 2,5ml</t>
        </is>
      </c>
      <c r="D4324" t="inlineStr">
        <is>
          <t>Miss Glam Damar</t>
        </is>
      </c>
      <c r="E4324" t="n">
        <v>4</v>
      </c>
      <c r="F4324" t="n">
        <v>0.0273</v>
      </c>
      <c r="G4324" t="n">
        <v>0.91</v>
      </c>
      <c r="H4324" t="n">
        <v>2</v>
      </c>
      <c r="I4324" t="n">
        <v>6</v>
      </c>
      <c r="J4324" t="n">
        <v>1</v>
      </c>
      <c r="K4324" t="n">
        <v>0</v>
      </c>
      <c r="L4324" t="n">
        <v>31200</v>
      </c>
      <c r="M4324" t="n">
        <v>37000</v>
      </c>
      <c r="N4324" t="n">
        <v>91</v>
      </c>
      <c r="O4324" t="n">
        <v>0.91</v>
      </c>
      <c r="P4324" t="n">
        <v>1</v>
      </c>
      <c r="Q4324" t="n">
        <v>0.02</v>
      </c>
      <c r="R4324" t="n">
        <v>1</v>
      </c>
      <c r="S4324" t="n">
        <v>1010.1</v>
      </c>
      <c r="T4324" t="n">
        <v>6</v>
      </c>
      <c r="U4324" t="n">
        <v>7</v>
      </c>
      <c r="V4324" t="n">
        <v>30</v>
      </c>
      <c r="W4324" t="n">
        <v>1</v>
      </c>
      <c r="X4324" t="n">
        <v>146.5201465201465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2678</v>
      </c>
      <c r="AG4324" t="n">
        <v>104</v>
      </c>
      <c r="AH4324" t="inlineStr">
        <is>
          <t>PT. ASIA PARAMITA - PPN (PDG)</t>
        </is>
      </c>
      <c r="AI4324" t="n">
        <v>104</v>
      </c>
      <c r="AJ4324" t="inlineStr">
        <is>
          <t>PIXY</t>
        </is>
      </c>
      <c r="AK4324" t="n">
        <v>21</v>
      </c>
      <c r="AL4324" t="inlineStr">
        <is>
          <t>Miss Glam Damar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PIXY</t>
        </is>
      </c>
      <c r="B4325" s="2">
        <f>"20300395405"</f>
        <v/>
      </c>
      <c r="C4325" t="inlineStr">
        <is>
          <t>PIXY Hydra Glass Lip Tint 02 Strawberry Crepe 2,5ml</t>
        </is>
      </c>
      <c r="D4325" t="inlineStr">
        <is>
          <t>Miss Glam Damar</t>
        </is>
      </c>
      <c r="E4325" t="n">
        <v>7</v>
      </c>
      <c r="F4325" t="n">
        <v>0.1092</v>
      </c>
      <c r="G4325" t="n">
        <v>1.82</v>
      </c>
      <c r="H4325" t="n">
        <v>2</v>
      </c>
      <c r="I4325" t="n">
        <v>6</v>
      </c>
      <c r="J4325" t="n">
        <v>1</v>
      </c>
      <c r="K4325" t="n">
        <v>0</v>
      </c>
      <c r="L4325" t="n">
        <v>31200</v>
      </c>
      <c r="M4325" t="n">
        <v>37000</v>
      </c>
      <c r="N4325" t="n">
        <v>91</v>
      </c>
      <c r="O4325" t="n">
        <v>0.91</v>
      </c>
      <c r="P4325" t="n">
        <v>1</v>
      </c>
      <c r="Q4325" t="n">
        <v>0.08</v>
      </c>
      <c r="R4325" t="n">
        <v>2</v>
      </c>
      <c r="S4325" t="n">
        <v>4040.4</v>
      </c>
      <c r="T4325" t="n">
        <v>11</v>
      </c>
      <c r="U4325" t="n">
        <v>12</v>
      </c>
      <c r="V4325" t="n">
        <v>30</v>
      </c>
      <c r="W4325" t="n">
        <v>4</v>
      </c>
      <c r="X4325" t="n">
        <v>64.1025641025641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2678</v>
      </c>
      <c r="AG4325" t="n">
        <v>104</v>
      </c>
      <c r="AH4325" t="inlineStr">
        <is>
          <t>PT. ASIA PARAMITA - PPN (PDG)</t>
        </is>
      </c>
      <c r="AI4325" t="n">
        <v>104</v>
      </c>
      <c r="AJ4325" t="inlineStr">
        <is>
          <t>PIXY</t>
        </is>
      </c>
      <c r="AK4325" t="n">
        <v>21</v>
      </c>
      <c r="AL4325" t="inlineStr">
        <is>
          <t>Miss Glam Damar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PIXY</t>
        </is>
      </c>
      <c r="B4326" s="2">
        <f>"20300395538"</f>
        <v/>
      </c>
      <c r="C4326" t="inlineStr">
        <is>
          <t>PIXY Hydra Glass Lip Tint 03 Pinky Popsicle 2,5ml</t>
        </is>
      </c>
      <c r="D4326" t="inlineStr">
        <is>
          <t>Miss Glam Damar</t>
        </is>
      </c>
      <c r="E4326" t="n">
        <v>6</v>
      </c>
      <c r="F4326" t="n">
        <v>0.1092</v>
      </c>
      <c r="G4326" t="n">
        <v>0.91</v>
      </c>
      <c r="H4326" t="n">
        <v>2</v>
      </c>
      <c r="I4326" t="n">
        <v>6</v>
      </c>
      <c r="J4326" t="n">
        <v>1</v>
      </c>
      <c r="K4326" t="n">
        <v>0</v>
      </c>
      <c r="L4326" t="n">
        <v>31200</v>
      </c>
      <c r="M4326" t="n">
        <v>37000</v>
      </c>
      <c r="N4326" t="n">
        <v>91</v>
      </c>
      <c r="O4326" t="n">
        <v>0.91</v>
      </c>
      <c r="P4326" t="n">
        <v>1</v>
      </c>
      <c r="Q4326" t="n">
        <v>0.1</v>
      </c>
      <c r="R4326" t="n">
        <v>1</v>
      </c>
      <c r="S4326" t="n">
        <v>4040.4</v>
      </c>
      <c r="T4326" t="n">
        <v>6</v>
      </c>
      <c r="U4326" t="n">
        <v>7</v>
      </c>
      <c r="V4326" t="n">
        <v>30</v>
      </c>
      <c r="W4326" t="n">
        <v>4</v>
      </c>
      <c r="X4326" t="n">
        <v>54.94505494505494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2678</v>
      </c>
      <c r="AG4326" t="n">
        <v>104</v>
      </c>
      <c r="AH4326" t="inlineStr">
        <is>
          <t>PT. ASIA PARAMITA - PPN (PDG)</t>
        </is>
      </c>
      <c r="AI4326" t="n">
        <v>104</v>
      </c>
      <c r="AJ4326" t="inlineStr">
        <is>
          <t>PIXY</t>
        </is>
      </c>
      <c r="AK4326" t="n">
        <v>21</v>
      </c>
      <c r="AL4326" t="inlineStr">
        <is>
          <t>Miss Glam Damar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PIXY</t>
        </is>
      </c>
      <c r="B4327" s="2">
        <f>"20300396848"</f>
        <v/>
      </c>
      <c r="C4327" t="inlineStr">
        <is>
          <t>PIXY Hydra Glass Lip Tint 04 Shortcake 2,5ml</t>
        </is>
      </c>
      <c r="D4327" t="inlineStr">
        <is>
          <t>Miss Glam Damar</t>
        </is>
      </c>
      <c r="E4327" t="n">
        <v>5</v>
      </c>
      <c r="F4327" t="n">
        <v>0.1092</v>
      </c>
      <c r="G4327" t="n">
        <v>0.91</v>
      </c>
      <c r="H4327" t="n">
        <v>2</v>
      </c>
      <c r="I4327" t="n">
        <v>6</v>
      </c>
      <c r="J4327" t="n">
        <v>1</v>
      </c>
      <c r="K4327" t="n">
        <v>0</v>
      </c>
      <c r="L4327" t="n">
        <v>31200</v>
      </c>
      <c r="M4327" t="n">
        <v>37000</v>
      </c>
      <c r="N4327" t="n">
        <v>91</v>
      </c>
      <c r="O4327" t="n">
        <v>0.91</v>
      </c>
      <c r="P4327" t="n">
        <v>1</v>
      </c>
      <c r="Q4327" t="n">
        <v>0.08</v>
      </c>
      <c r="R4327" t="n">
        <v>1</v>
      </c>
      <c r="S4327" t="n">
        <v>4040.4</v>
      </c>
      <c r="T4327" t="n">
        <v>6</v>
      </c>
      <c r="U4327" t="n">
        <v>7</v>
      </c>
      <c r="V4327" t="n">
        <v>30</v>
      </c>
      <c r="W4327" t="n">
        <v>4</v>
      </c>
      <c r="X4327" t="n">
        <v>45.78754578754579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2678</v>
      </c>
      <c r="AG4327" t="n">
        <v>104</v>
      </c>
      <c r="AH4327" t="inlineStr">
        <is>
          <t>PT. ASIA PARAMITA - PPN (PDG)</t>
        </is>
      </c>
      <c r="AI4327" t="n">
        <v>104</v>
      </c>
      <c r="AJ4327" t="inlineStr">
        <is>
          <t>PIXY</t>
        </is>
      </c>
      <c r="AK4327" t="n">
        <v>21</v>
      </c>
      <c r="AL4327" t="inlineStr">
        <is>
          <t>Miss Glam Damar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PIXY</t>
        </is>
      </c>
      <c r="B4328" s="2">
        <f>"20300395646"</f>
        <v/>
      </c>
      <c r="C4328" t="inlineStr">
        <is>
          <t>PIXY Hydra Glass Lip Tint 05 raspberry Tart 2,5ml</t>
        </is>
      </c>
      <c r="D4328" t="inlineStr">
        <is>
          <t>Miss Glam Damar</t>
        </is>
      </c>
      <c r="E4328" t="n">
        <v>8</v>
      </c>
      <c r="F4328" t="n">
        <v>0.1274</v>
      </c>
      <c r="G4328" t="n">
        <v>1.82</v>
      </c>
      <c r="H4328" t="n">
        <v>2</v>
      </c>
      <c r="I4328" t="n">
        <v>6</v>
      </c>
      <c r="J4328" t="n">
        <v>1</v>
      </c>
      <c r="K4328" t="n">
        <v>0</v>
      </c>
      <c r="L4328" t="n">
        <v>31200</v>
      </c>
      <c r="M4328" t="n">
        <v>37000</v>
      </c>
      <c r="N4328" t="n">
        <v>91</v>
      </c>
      <c r="O4328" t="n">
        <v>0.91</v>
      </c>
      <c r="P4328" t="n">
        <v>1</v>
      </c>
      <c r="Q4328" t="n">
        <v>0.22</v>
      </c>
      <c r="R4328" t="n">
        <v>3</v>
      </c>
      <c r="S4328" t="n">
        <v>4713.8</v>
      </c>
      <c r="T4328" t="n">
        <v>11</v>
      </c>
      <c r="U4328" t="n">
        <v>12</v>
      </c>
      <c r="V4328" t="n">
        <v>30</v>
      </c>
      <c r="W4328" t="n">
        <v>4</v>
      </c>
      <c r="X4328" t="n">
        <v>62.79434850863422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2678</v>
      </c>
      <c r="AG4328" t="n">
        <v>104</v>
      </c>
      <c r="AH4328" t="inlineStr">
        <is>
          <t>PT. ASIA PARAMITA - PPN (PDG)</t>
        </is>
      </c>
      <c r="AI4328" t="n">
        <v>104</v>
      </c>
      <c r="AJ4328" t="inlineStr">
        <is>
          <t>PIXY</t>
        </is>
      </c>
      <c r="AK4328" t="n">
        <v>21</v>
      </c>
      <c r="AL4328" t="inlineStr">
        <is>
          <t>Miss Glam Damar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PIXY</t>
        </is>
      </c>
      <c r="B4329" s="2">
        <f>"20300395717"</f>
        <v/>
      </c>
      <c r="C4329" t="inlineStr">
        <is>
          <t>PIXY Hydra Glass Lip Tint 06 Apple Cinnamon 2,5ml</t>
        </is>
      </c>
      <c r="D4329" t="inlineStr">
        <is>
          <t>Miss Glam Damar</t>
        </is>
      </c>
      <c r="E4329" t="n">
        <v>13</v>
      </c>
      <c r="F4329" t="n">
        <v>0.1365</v>
      </c>
      <c r="G4329" t="n">
        <v>1.82</v>
      </c>
      <c r="H4329" t="n">
        <v>2</v>
      </c>
      <c r="I4329" t="n">
        <v>6</v>
      </c>
      <c r="J4329" t="n">
        <v>1</v>
      </c>
      <c r="K4329" t="n">
        <v>0</v>
      </c>
      <c r="L4329" t="n">
        <v>31200</v>
      </c>
      <c r="M4329" t="n">
        <v>37000</v>
      </c>
      <c r="N4329" t="n">
        <v>91</v>
      </c>
      <c r="O4329" t="n">
        <v>0.91</v>
      </c>
      <c r="P4329" t="n">
        <v>1</v>
      </c>
      <c r="Q4329" t="n">
        <v>0.12</v>
      </c>
      <c r="R4329" t="n">
        <v>2</v>
      </c>
      <c r="S4329" t="n">
        <v>5050.5</v>
      </c>
      <c r="T4329" t="n">
        <v>11</v>
      </c>
      <c r="U4329" t="n">
        <v>12</v>
      </c>
      <c r="V4329" t="n">
        <v>30</v>
      </c>
      <c r="W4329" t="n">
        <v>5</v>
      </c>
      <c r="X4329" t="n">
        <v>95.23809523809523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2678</v>
      </c>
      <c r="AG4329" t="n">
        <v>104</v>
      </c>
      <c r="AH4329" t="inlineStr">
        <is>
          <t>PT. ASIA PARAMITA - PPN (PDG)</t>
        </is>
      </c>
      <c r="AI4329" t="n">
        <v>104</v>
      </c>
      <c r="AJ4329" t="inlineStr">
        <is>
          <t>PIXY</t>
        </is>
      </c>
      <c r="AK4329" t="n">
        <v>21</v>
      </c>
      <c r="AL4329" t="inlineStr">
        <is>
          <t>Miss Glam Damar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PIXY</t>
        </is>
      </c>
      <c r="B4330" s="2">
        <f>"20300396921"</f>
        <v/>
      </c>
      <c r="C4330" t="inlineStr">
        <is>
          <t>PIXY Hydra Glass Lip Tint 08 Sunshine Sorbet 2,5ml</t>
        </is>
      </c>
      <c r="D4330" t="inlineStr">
        <is>
          <t>Miss Glam Damar</t>
        </is>
      </c>
      <c r="E4330" t="n">
        <v>4</v>
      </c>
      <c r="F4330" t="n">
        <v>0.03</v>
      </c>
      <c r="G4330" t="n">
        <v>1</v>
      </c>
      <c r="H4330" t="n">
        <v>2</v>
      </c>
      <c r="I4330" t="n">
        <v>6</v>
      </c>
      <c r="J4330" t="n">
        <v>1</v>
      </c>
      <c r="K4330" t="n">
        <v>0</v>
      </c>
      <c r="L4330" t="n">
        <v>31200</v>
      </c>
      <c r="M4330" t="n">
        <v>37000</v>
      </c>
      <c r="N4330" t="n">
        <v>91</v>
      </c>
      <c r="O4330" t="n">
        <v>0.91</v>
      </c>
      <c r="P4330" t="n">
        <v>0</v>
      </c>
      <c r="Q4330" t="n">
        <v>0.03</v>
      </c>
      <c r="R4330" t="n">
        <v>1</v>
      </c>
      <c r="S4330" t="n">
        <v>1110</v>
      </c>
      <c r="T4330" t="n">
        <v>6</v>
      </c>
      <c r="U4330" t="n">
        <v>7</v>
      </c>
      <c r="V4330" t="n">
        <v>30</v>
      </c>
      <c r="W4330" t="n">
        <v>1</v>
      </c>
      <c r="X4330" t="n">
        <v>133.3333333333333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2678</v>
      </c>
      <c r="AG4330" t="n">
        <v>104</v>
      </c>
      <c r="AH4330" t="inlineStr">
        <is>
          <t>PT. ASIA PARAMITA - PPN (PDG)</t>
        </is>
      </c>
      <c r="AI4330" t="n">
        <v>104</v>
      </c>
      <c r="AJ4330" t="inlineStr">
        <is>
          <t>PIXY</t>
        </is>
      </c>
      <c r="AK4330" t="n">
        <v>21</v>
      </c>
      <c r="AL4330" t="inlineStr">
        <is>
          <t>Miss Glam Damar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PIXY</t>
        </is>
      </c>
      <c r="B4331" s="2">
        <f>"20300398215"</f>
        <v/>
      </c>
      <c r="C4331" t="inlineStr">
        <is>
          <t>PIXY Hydra Glass Liptint 09.2,5ml</t>
        </is>
      </c>
      <c r="D4331" t="inlineStr">
        <is>
          <t>Miss Glam Damar</t>
        </is>
      </c>
      <c r="E4331" t="n">
        <v>2</v>
      </c>
      <c r="F4331" t="n">
        <v>0.1365</v>
      </c>
      <c r="G4331" t="n">
        <v>1.82</v>
      </c>
      <c r="H4331" t="n">
        <v>2</v>
      </c>
      <c r="I4331" t="n">
        <v>6</v>
      </c>
      <c r="J4331" t="n">
        <v>1</v>
      </c>
      <c r="K4331" t="n">
        <v>0</v>
      </c>
      <c r="L4331" t="n">
        <v>31200</v>
      </c>
      <c r="M4331" t="n">
        <v>37000</v>
      </c>
      <c r="N4331" t="n">
        <v>91</v>
      </c>
      <c r="O4331" t="n">
        <v>0.91</v>
      </c>
      <c r="P4331" t="n">
        <v>1</v>
      </c>
      <c r="Q4331" t="n">
        <v>0.07000000000000001</v>
      </c>
      <c r="R4331" t="n">
        <v>1</v>
      </c>
      <c r="S4331" t="n">
        <v>5050.5</v>
      </c>
      <c r="T4331" t="n">
        <v>11</v>
      </c>
      <c r="U4331" t="n">
        <v>12</v>
      </c>
      <c r="V4331" t="n">
        <v>30</v>
      </c>
      <c r="W4331" t="n">
        <v>5</v>
      </c>
      <c r="X4331" t="n">
        <v>14.65201465201465</v>
      </c>
      <c r="Y4331" t="n">
        <v>1</v>
      </c>
      <c r="Z4331" t="n">
        <v>3</v>
      </c>
      <c r="AA4331" t="n">
        <v>0</v>
      </c>
      <c r="AB4331" t="n">
        <v>3</v>
      </c>
      <c r="AC4331" t="n">
        <v>3</v>
      </c>
      <c r="AD4331" t="n">
        <v>0</v>
      </c>
      <c r="AE4331" t="n">
        <v>93600</v>
      </c>
      <c r="AF4331" t="n">
        <v>2678</v>
      </c>
      <c r="AG4331" t="n">
        <v>104</v>
      </c>
      <c r="AH4331" t="inlineStr">
        <is>
          <t>PT. ASIA PARAMITA - PPN (PDG)</t>
        </is>
      </c>
      <c r="AI4331" t="n">
        <v>104</v>
      </c>
      <c r="AJ4331" t="inlineStr">
        <is>
          <t>PIXY</t>
        </is>
      </c>
      <c r="AK4331" t="n">
        <v>21</v>
      </c>
      <c r="AL4331" t="inlineStr">
        <is>
          <t>Miss Glam Damar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PIXY</t>
        </is>
      </c>
      <c r="B4332" s="2">
        <f>"20300398310"</f>
        <v/>
      </c>
      <c r="C4332" t="inlineStr">
        <is>
          <t>PIXY Hydra Glass Liptint 10.2,5ml</t>
        </is>
      </c>
      <c r="D4332" t="inlineStr">
        <is>
          <t>Miss Glam Damar</t>
        </is>
      </c>
      <c r="E4332" t="n">
        <v>4</v>
      </c>
      <c r="F4332" t="n">
        <v>0.09100000000000001</v>
      </c>
      <c r="G4332" t="n">
        <v>0.91</v>
      </c>
      <c r="H4332" t="n">
        <v>2</v>
      </c>
      <c r="I4332" t="n">
        <v>6</v>
      </c>
      <c r="J4332" t="n">
        <v>1</v>
      </c>
      <c r="K4332" t="n">
        <v>0</v>
      </c>
      <c r="L4332" t="n">
        <v>31200</v>
      </c>
      <c r="M4332" t="n">
        <v>37000</v>
      </c>
      <c r="N4332" t="n">
        <v>91</v>
      </c>
      <c r="O4332" t="n">
        <v>0.91</v>
      </c>
      <c r="P4332" t="n">
        <v>1</v>
      </c>
      <c r="Q4332" t="n">
        <v>0.02</v>
      </c>
      <c r="R4332" t="n">
        <v>1</v>
      </c>
      <c r="S4332" t="n">
        <v>3367</v>
      </c>
      <c r="T4332" t="n">
        <v>6</v>
      </c>
      <c r="U4332" t="n">
        <v>7</v>
      </c>
      <c r="V4332" t="n">
        <v>30</v>
      </c>
      <c r="W4332" t="n">
        <v>3</v>
      </c>
      <c r="X4332" t="n">
        <v>43.95604395604395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2678</v>
      </c>
      <c r="AG4332" t="n">
        <v>104</v>
      </c>
      <c r="AH4332" t="inlineStr">
        <is>
          <t>PT. ASIA PARAMITA - PPN (PDG)</t>
        </is>
      </c>
      <c r="AI4332" t="n">
        <v>104</v>
      </c>
      <c r="AJ4332" t="inlineStr">
        <is>
          <t>PIXY</t>
        </is>
      </c>
      <c r="AK4332" t="n">
        <v>21</v>
      </c>
      <c r="AL4332" t="inlineStr">
        <is>
          <t>Miss Glam Damar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PIXY</t>
        </is>
      </c>
      <c r="B4333" s="2">
        <f>"20300398441"</f>
        <v/>
      </c>
      <c r="C4333" t="inlineStr">
        <is>
          <t>PIXY Hydra Glass Liptint.11.2,5ml</t>
        </is>
      </c>
      <c r="D4333" t="inlineStr">
        <is>
          <t>Miss Glam Damar</t>
        </is>
      </c>
      <c r="E4333" t="n">
        <v>4</v>
      </c>
      <c r="F4333" t="n">
        <v>0.04550000000000001</v>
      </c>
      <c r="G4333" t="n">
        <v>0.91</v>
      </c>
      <c r="H4333" t="n">
        <v>2</v>
      </c>
      <c r="I4333" t="n">
        <v>6</v>
      </c>
      <c r="J4333" t="n">
        <v>1</v>
      </c>
      <c r="K4333" t="n">
        <v>0</v>
      </c>
      <c r="L4333" t="n">
        <v>31200</v>
      </c>
      <c r="M4333" t="n">
        <v>37000</v>
      </c>
      <c r="N4333" t="n">
        <v>91</v>
      </c>
      <c r="O4333" t="n">
        <v>0.91</v>
      </c>
      <c r="P4333" t="n">
        <v>1</v>
      </c>
      <c r="Q4333" t="n">
        <v>0.03</v>
      </c>
      <c r="R4333" t="n">
        <v>1</v>
      </c>
      <c r="S4333" t="n">
        <v>1683.5</v>
      </c>
      <c r="T4333" t="n">
        <v>6</v>
      </c>
      <c r="U4333" t="n">
        <v>7</v>
      </c>
      <c r="V4333" t="n">
        <v>30</v>
      </c>
      <c r="W4333" t="n">
        <v>2</v>
      </c>
      <c r="X4333" t="n">
        <v>87.9120879120879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2678</v>
      </c>
      <c r="AG4333" t="n">
        <v>104</v>
      </c>
      <c r="AH4333" t="inlineStr">
        <is>
          <t>PT. ASIA PARAMITA - PPN (PDG)</t>
        </is>
      </c>
      <c r="AI4333" t="n">
        <v>104</v>
      </c>
      <c r="AJ4333" t="inlineStr">
        <is>
          <t>PIXY</t>
        </is>
      </c>
      <c r="AK4333" t="n">
        <v>21</v>
      </c>
      <c r="AL4333" t="inlineStr">
        <is>
          <t>Miss Glam Damar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PIXY</t>
        </is>
      </c>
      <c r="B4334" s="2">
        <f>"203002202454"</f>
        <v/>
      </c>
      <c r="C4334" t="inlineStr">
        <is>
          <t>PIXY Hyperlast Glazed Lip Vinyl 01 Barely Peachy (3gr)</t>
        </is>
      </c>
      <c r="D4334" t="inlineStr">
        <is>
          <t>Miss Glam Damar</t>
        </is>
      </c>
      <c r="E4334" t="n">
        <v>5</v>
      </c>
      <c r="F4334" t="n">
        <v>0.0182</v>
      </c>
      <c r="G4334" t="n">
        <v>0.91</v>
      </c>
      <c r="H4334" t="n">
        <v>2</v>
      </c>
      <c r="I4334" t="n">
        <v>6</v>
      </c>
      <c r="J4334" t="n">
        <v>1</v>
      </c>
      <c r="K4334" t="n">
        <v>0</v>
      </c>
      <c r="L4334" t="n">
        <v>55200</v>
      </c>
      <c r="M4334" t="n">
        <v>65000</v>
      </c>
      <c r="N4334" t="n">
        <v>91</v>
      </c>
      <c r="O4334" t="n">
        <v>0.91</v>
      </c>
      <c r="P4334" t="n">
        <v>1</v>
      </c>
      <c r="Q4334" t="n">
        <v>0.02</v>
      </c>
      <c r="R4334" t="n">
        <v>1</v>
      </c>
      <c r="S4334" t="n">
        <v>1183</v>
      </c>
      <c r="T4334" t="n">
        <v>6</v>
      </c>
      <c r="U4334" t="n">
        <v>7</v>
      </c>
      <c r="V4334" t="n">
        <v>30</v>
      </c>
      <c r="W4334" t="n">
        <v>1</v>
      </c>
      <c r="X4334" t="n">
        <v>274.7252747252747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2678</v>
      </c>
      <c r="AG4334" t="n">
        <v>104</v>
      </c>
      <c r="AH4334" t="inlineStr">
        <is>
          <t>PT. ASIA PARAMITA - PPN (PDG)</t>
        </is>
      </c>
      <c r="AI4334" t="n">
        <v>104</v>
      </c>
      <c r="AJ4334" t="inlineStr">
        <is>
          <t>PIXY</t>
        </is>
      </c>
      <c r="AK4334" t="n">
        <v>21</v>
      </c>
      <c r="AL4334" t="inlineStr">
        <is>
          <t>Miss Glam Damar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PIXY</t>
        </is>
      </c>
      <c r="B4335" s="2">
        <f>"203002202515"</f>
        <v/>
      </c>
      <c r="C4335" t="inlineStr">
        <is>
          <t>PIXY Hyperlast Glazed Lip Vinyl 02 Coral Courage (3gr)</t>
        </is>
      </c>
      <c r="D4335" t="inlineStr">
        <is>
          <t>Miss Glam Damar</t>
        </is>
      </c>
      <c r="E4335" t="n">
        <v>3</v>
      </c>
      <c r="F4335" t="n">
        <v>0.1092</v>
      </c>
      <c r="G4335" t="n">
        <v>1.82</v>
      </c>
      <c r="H4335" t="n">
        <v>2</v>
      </c>
      <c r="I4335" t="n">
        <v>6</v>
      </c>
      <c r="J4335" t="n">
        <v>1</v>
      </c>
      <c r="K4335" t="n">
        <v>0</v>
      </c>
      <c r="L4335" t="n">
        <v>55200</v>
      </c>
      <c r="M4335" t="n">
        <v>65000</v>
      </c>
      <c r="N4335" t="n">
        <v>91</v>
      </c>
      <c r="O4335" t="n">
        <v>0.91</v>
      </c>
      <c r="P4335" t="n">
        <v>1</v>
      </c>
      <c r="Q4335" t="n">
        <v>0.15</v>
      </c>
      <c r="R4335" t="n">
        <v>1</v>
      </c>
      <c r="S4335" t="n">
        <v>7098</v>
      </c>
      <c r="T4335" t="n">
        <v>11</v>
      </c>
      <c r="U4335" t="n">
        <v>12</v>
      </c>
      <c r="V4335" t="n">
        <v>30</v>
      </c>
      <c r="W4335" t="n">
        <v>4</v>
      </c>
      <c r="X4335" t="n">
        <v>27.47252747252747</v>
      </c>
      <c r="Y4335" t="n">
        <v>1</v>
      </c>
      <c r="Z4335" t="n">
        <v>1</v>
      </c>
      <c r="AA4335" t="n">
        <v>0</v>
      </c>
      <c r="AB4335" t="n">
        <v>1</v>
      </c>
      <c r="AC4335" t="n">
        <v>1</v>
      </c>
      <c r="AD4335" t="n">
        <v>0</v>
      </c>
      <c r="AE4335" t="n">
        <v>55200</v>
      </c>
      <c r="AF4335" t="n">
        <v>2678</v>
      </c>
      <c r="AG4335" t="n">
        <v>104</v>
      </c>
      <c r="AH4335" t="inlineStr">
        <is>
          <t>PT. ASIA PARAMITA - PPN (PDG)</t>
        </is>
      </c>
      <c r="AI4335" t="n">
        <v>104</v>
      </c>
      <c r="AJ4335" t="inlineStr">
        <is>
          <t>PIXY</t>
        </is>
      </c>
      <c r="AK4335" t="n">
        <v>21</v>
      </c>
      <c r="AL4335" t="inlineStr">
        <is>
          <t>Miss Glam Damar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PIXY</t>
        </is>
      </c>
      <c r="B4336" s="2">
        <f>"203002202642"</f>
        <v/>
      </c>
      <c r="C4336" t="inlineStr">
        <is>
          <t>PIXY Hyperlast Glazed Lip Vinyl 03 Charming Pink (3gr)</t>
        </is>
      </c>
      <c r="D4336" t="inlineStr">
        <is>
          <t>Miss Glam Damar</t>
        </is>
      </c>
      <c r="E4336" t="n">
        <v>9</v>
      </c>
      <c r="F4336" t="n">
        <v>0.2639</v>
      </c>
      <c r="G4336" t="n">
        <v>2.73</v>
      </c>
      <c r="H4336" t="n">
        <v>2</v>
      </c>
      <c r="I4336" t="n">
        <v>6</v>
      </c>
      <c r="J4336" t="n">
        <v>1</v>
      </c>
      <c r="K4336" t="n">
        <v>0</v>
      </c>
      <c r="L4336" t="n">
        <v>55199</v>
      </c>
      <c r="M4336" t="n">
        <v>65000</v>
      </c>
      <c r="N4336" t="n">
        <v>91</v>
      </c>
      <c r="O4336" t="n">
        <v>0.91</v>
      </c>
      <c r="P4336" t="n">
        <v>1</v>
      </c>
      <c r="Q4336" t="n">
        <v>0.24</v>
      </c>
      <c r="R4336" t="n">
        <v>2</v>
      </c>
      <c r="S4336" t="n">
        <v>17153.5</v>
      </c>
      <c r="T4336" t="n">
        <v>16</v>
      </c>
      <c r="U4336" t="n">
        <v>17</v>
      </c>
      <c r="V4336" t="n">
        <v>30</v>
      </c>
      <c r="W4336" t="n">
        <v>8</v>
      </c>
      <c r="X4336" t="n">
        <v>34.10382720727549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2678</v>
      </c>
      <c r="AG4336" t="n">
        <v>104</v>
      </c>
      <c r="AH4336" t="inlineStr">
        <is>
          <t>PT. ASIA PARAMITA - PPN (PDG)</t>
        </is>
      </c>
      <c r="AI4336" t="n">
        <v>104</v>
      </c>
      <c r="AJ4336" t="inlineStr">
        <is>
          <t>PIXY</t>
        </is>
      </c>
      <c r="AK4336" t="n">
        <v>21</v>
      </c>
      <c r="AL4336" t="inlineStr">
        <is>
          <t>Miss Glam Damar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PIXY</t>
        </is>
      </c>
      <c r="B4337" s="2">
        <f>"203002202704"</f>
        <v/>
      </c>
      <c r="C4337" t="inlineStr">
        <is>
          <t>PIXY Hyperlast Glazed Lip Vinyl 04 Mauve Ambition (3gr)</t>
        </is>
      </c>
      <c r="D4337" t="inlineStr">
        <is>
          <t>Miss Glam Damar</t>
        </is>
      </c>
      <c r="E4337" t="n">
        <v>4</v>
      </c>
      <c r="F4337" t="n">
        <v>0.03</v>
      </c>
      <c r="G4337" t="n">
        <v>1</v>
      </c>
      <c r="H4337" t="n">
        <v>2</v>
      </c>
      <c r="I4337" t="n">
        <v>6</v>
      </c>
      <c r="J4337" t="n">
        <v>1</v>
      </c>
      <c r="K4337" t="n">
        <v>0</v>
      </c>
      <c r="L4337" t="n">
        <v>55200</v>
      </c>
      <c r="M4337" t="n">
        <v>65000</v>
      </c>
      <c r="N4337" t="n">
        <v>91</v>
      </c>
      <c r="O4337" t="n">
        <v>0.91</v>
      </c>
      <c r="P4337" t="n">
        <v>0</v>
      </c>
      <c r="Q4337" t="n">
        <v>0.03</v>
      </c>
      <c r="R4337" t="n">
        <v>1</v>
      </c>
      <c r="S4337" t="n">
        <v>1950</v>
      </c>
      <c r="T4337" t="n">
        <v>6</v>
      </c>
      <c r="U4337" t="n">
        <v>7</v>
      </c>
      <c r="V4337" t="n">
        <v>30</v>
      </c>
      <c r="W4337" t="n">
        <v>1</v>
      </c>
      <c r="X4337" t="n">
        <v>133.3333333333333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2678</v>
      </c>
      <c r="AG4337" t="n">
        <v>104</v>
      </c>
      <c r="AH4337" t="inlineStr">
        <is>
          <t>PT. ASIA PARAMITA - PPN (PDG)</t>
        </is>
      </c>
      <c r="AI4337" t="n">
        <v>104</v>
      </c>
      <c r="AJ4337" t="inlineStr">
        <is>
          <t>PIXY</t>
        </is>
      </c>
      <c r="AK4337" t="n">
        <v>21</v>
      </c>
      <c r="AL4337" t="inlineStr">
        <is>
          <t>Miss Glam Damar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PIXY</t>
        </is>
      </c>
      <c r="B4338" s="2">
        <f>"203002202827"</f>
        <v/>
      </c>
      <c r="C4338" t="inlineStr">
        <is>
          <t>PIXY Hyperlast Glazed Lip Vinyl 05 Fiery Crimson (3gr)</t>
        </is>
      </c>
      <c r="D4338" t="inlineStr">
        <is>
          <t>Miss Glam Damar</t>
        </is>
      </c>
      <c r="E4338" t="n">
        <v>16</v>
      </c>
      <c r="F4338" t="n">
        <v>0.4823000000000001</v>
      </c>
      <c r="G4338" t="n">
        <v>2.73</v>
      </c>
      <c r="H4338" t="n">
        <v>2</v>
      </c>
      <c r="I4338" t="n">
        <v>6</v>
      </c>
      <c r="J4338" t="n">
        <v>1</v>
      </c>
      <c r="K4338" t="n">
        <v>0</v>
      </c>
      <c r="L4338" t="n">
        <v>55199</v>
      </c>
      <c r="M4338" t="n">
        <v>65000</v>
      </c>
      <c r="N4338" t="n">
        <v>91</v>
      </c>
      <c r="O4338" t="n">
        <v>0.91</v>
      </c>
      <c r="P4338" t="n">
        <v>1</v>
      </c>
      <c r="Q4338" t="n">
        <v>0.39</v>
      </c>
      <c r="R4338" t="n">
        <v>4</v>
      </c>
      <c r="S4338" t="n">
        <v>31349.5</v>
      </c>
      <c r="T4338" t="n">
        <v>16</v>
      </c>
      <c r="U4338" t="n">
        <v>17</v>
      </c>
      <c r="V4338" t="n">
        <v>30</v>
      </c>
      <c r="W4338" t="n">
        <v>15</v>
      </c>
      <c r="X4338" t="n">
        <v>33.1743727970143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2678</v>
      </c>
      <c r="AG4338" t="n">
        <v>104</v>
      </c>
      <c r="AH4338" t="inlineStr">
        <is>
          <t>PT. ASIA PARAMITA - PPN (PDG)</t>
        </is>
      </c>
      <c r="AI4338" t="n">
        <v>104</v>
      </c>
      <c r="AJ4338" t="inlineStr">
        <is>
          <t>PIXY</t>
        </is>
      </c>
      <c r="AK4338" t="n">
        <v>21</v>
      </c>
      <c r="AL4338" t="inlineStr">
        <is>
          <t>Miss Glam Damar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PIXY</t>
        </is>
      </c>
      <c r="B4339" s="2">
        <f>"203002202920"</f>
        <v/>
      </c>
      <c r="C4339" t="inlineStr">
        <is>
          <t>PIXY Hyperlast Glazed Lip Vinyl 06 Mahogany Mission (3gr)</t>
        </is>
      </c>
      <c r="D4339" t="inlineStr">
        <is>
          <t>Miss Glam Damar</t>
        </is>
      </c>
      <c r="E4339" t="n">
        <v>3</v>
      </c>
      <c r="F4339" t="n">
        <v>0.06370000000000001</v>
      </c>
      <c r="G4339" t="n">
        <v>0.91</v>
      </c>
      <c r="H4339" t="n">
        <v>2</v>
      </c>
      <c r="I4339" t="n">
        <v>6</v>
      </c>
      <c r="J4339" t="n">
        <v>1</v>
      </c>
      <c r="K4339" t="n">
        <v>0</v>
      </c>
      <c r="L4339" t="n">
        <v>55200</v>
      </c>
      <c r="M4339" t="n">
        <v>65000</v>
      </c>
      <c r="N4339" t="n">
        <v>91</v>
      </c>
      <c r="O4339" t="n">
        <v>0.91</v>
      </c>
      <c r="P4339" t="n">
        <v>1</v>
      </c>
      <c r="Q4339" t="n">
        <v>0.05</v>
      </c>
      <c r="R4339" t="n">
        <v>1</v>
      </c>
      <c r="S4339" t="n">
        <v>4140.5</v>
      </c>
      <c r="T4339" t="n">
        <v>6</v>
      </c>
      <c r="U4339" t="n">
        <v>7</v>
      </c>
      <c r="V4339" t="n">
        <v>30</v>
      </c>
      <c r="W4339" t="n">
        <v>2</v>
      </c>
      <c r="X4339" t="n">
        <v>47.09576138147566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2678</v>
      </c>
      <c r="AG4339" t="n">
        <v>104</v>
      </c>
      <c r="AH4339" t="inlineStr">
        <is>
          <t>PT. ASIA PARAMITA - PPN (PDG)</t>
        </is>
      </c>
      <c r="AI4339" t="n">
        <v>104</v>
      </c>
      <c r="AJ4339" t="inlineStr">
        <is>
          <t>PIXY</t>
        </is>
      </c>
      <c r="AK4339" t="n">
        <v>21</v>
      </c>
      <c r="AL4339" t="inlineStr">
        <is>
          <t>Miss Glam Damar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PIXY</t>
        </is>
      </c>
      <c r="B4340" s="2">
        <f>"203002203040"</f>
        <v/>
      </c>
      <c r="C4340" t="inlineStr">
        <is>
          <t>PIXY Hyperlast Glazed Lip Vinyl 07 Rosewood Blaze (3gr)</t>
        </is>
      </c>
      <c r="D4340" t="inlineStr">
        <is>
          <t>Miss Glam Damar</t>
        </is>
      </c>
      <c r="E4340" t="n">
        <v>5</v>
      </c>
      <c r="F4340" t="n">
        <v>0.2184</v>
      </c>
      <c r="G4340" t="n">
        <v>1.82</v>
      </c>
      <c r="H4340" t="n">
        <v>2</v>
      </c>
      <c r="I4340" t="n">
        <v>6</v>
      </c>
      <c r="J4340" t="n">
        <v>1</v>
      </c>
      <c r="K4340" t="n">
        <v>0</v>
      </c>
      <c r="L4340" t="n">
        <v>55199</v>
      </c>
      <c r="M4340" t="n">
        <v>65000</v>
      </c>
      <c r="N4340" t="n">
        <v>91</v>
      </c>
      <c r="O4340" t="n">
        <v>0.91</v>
      </c>
      <c r="P4340" t="n">
        <v>1</v>
      </c>
      <c r="Q4340" t="n">
        <v>0.12</v>
      </c>
      <c r="R4340" t="n">
        <v>1</v>
      </c>
      <c r="S4340" t="n">
        <v>14196</v>
      </c>
      <c r="T4340" t="n">
        <v>11</v>
      </c>
      <c r="U4340" t="n">
        <v>12</v>
      </c>
      <c r="V4340" t="n">
        <v>30</v>
      </c>
      <c r="W4340" t="n">
        <v>7</v>
      </c>
      <c r="X4340" t="n">
        <v>22.89377289377289</v>
      </c>
      <c r="Y4340" t="n">
        <v>1</v>
      </c>
      <c r="Z4340" t="n">
        <v>2</v>
      </c>
      <c r="AA4340" t="n">
        <v>0</v>
      </c>
      <c r="AB4340" t="n">
        <v>2</v>
      </c>
      <c r="AC4340" t="n">
        <v>2</v>
      </c>
      <c r="AD4340" t="n">
        <v>0</v>
      </c>
      <c r="AE4340" t="n">
        <v>110398</v>
      </c>
      <c r="AF4340" t="n">
        <v>2678</v>
      </c>
      <c r="AG4340" t="n">
        <v>104</v>
      </c>
      <c r="AH4340" t="inlineStr">
        <is>
          <t>PT. ASIA PARAMITA - PPN (PDG)</t>
        </is>
      </c>
      <c r="AI4340" t="n">
        <v>104</v>
      </c>
      <c r="AJ4340" t="inlineStr">
        <is>
          <t>PIXY</t>
        </is>
      </c>
      <c r="AK4340" t="n">
        <v>21</v>
      </c>
      <c r="AL4340" t="inlineStr">
        <is>
          <t>Miss Glam Damar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PIXY</t>
        </is>
      </c>
      <c r="B4341" s="2">
        <f>"203002203101"</f>
        <v/>
      </c>
      <c r="C4341" t="inlineStr">
        <is>
          <t>PIXY Hyperlast Glazed Lip Vinyl 08 Brick Era (3gr)</t>
        </is>
      </c>
      <c r="D4341" t="inlineStr">
        <is>
          <t>Miss Glam Damar</t>
        </is>
      </c>
      <c r="E4341" t="n">
        <v>1</v>
      </c>
      <c r="F4341" t="n">
        <v>0.06370000000000001</v>
      </c>
      <c r="G4341" t="n">
        <v>1.82</v>
      </c>
      <c r="H4341" t="n">
        <v>2</v>
      </c>
      <c r="I4341" t="n">
        <v>6</v>
      </c>
      <c r="J4341" t="n">
        <v>1</v>
      </c>
      <c r="K4341" t="n">
        <v>0</v>
      </c>
      <c r="L4341" t="n">
        <v>55200</v>
      </c>
      <c r="M4341" t="n">
        <v>65000</v>
      </c>
      <c r="N4341" t="n">
        <v>91</v>
      </c>
      <c r="O4341" t="n">
        <v>0.91</v>
      </c>
      <c r="P4341" t="n">
        <v>1</v>
      </c>
      <c r="Q4341" t="n">
        <v>0.08</v>
      </c>
      <c r="R4341" t="n">
        <v>1</v>
      </c>
      <c r="S4341" t="n">
        <v>4140.5</v>
      </c>
      <c r="T4341" t="n">
        <v>11</v>
      </c>
      <c r="U4341" t="n">
        <v>12</v>
      </c>
      <c r="V4341" t="n">
        <v>30</v>
      </c>
      <c r="W4341" t="n">
        <v>2</v>
      </c>
      <c r="X4341" t="n">
        <v>15.69858712715855</v>
      </c>
      <c r="Y4341" t="n">
        <v>1</v>
      </c>
      <c r="Z4341" t="n">
        <v>1</v>
      </c>
      <c r="AA4341" t="n">
        <v>0</v>
      </c>
      <c r="AB4341" t="n">
        <v>1</v>
      </c>
      <c r="AC4341" t="n">
        <v>1</v>
      </c>
      <c r="AD4341" t="n">
        <v>0</v>
      </c>
      <c r="AE4341" t="n">
        <v>55200</v>
      </c>
      <c r="AF4341" t="n">
        <v>2678</v>
      </c>
      <c r="AG4341" t="n">
        <v>104</v>
      </c>
      <c r="AH4341" t="inlineStr">
        <is>
          <t>PT. ASIA PARAMITA - PPN (PDG)</t>
        </is>
      </c>
      <c r="AI4341" t="n">
        <v>104</v>
      </c>
      <c r="AJ4341" t="inlineStr">
        <is>
          <t>PIXY</t>
        </is>
      </c>
      <c r="AK4341" t="n">
        <v>21</v>
      </c>
      <c r="AL4341" t="inlineStr">
        <is>
          <t>Miss Glam Damar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PIXY</t>
        </is>
      </c>
      <c r="B4342" s="2">
        <f>"8992222283373"</f>
        <v/>
      </c>
      <c r="C4342" t="inlineStr">
        <is>
          <t>PIXY Intens To Lash Pen Eyeliner Black</t>
        </is>
      </c>
      <c r="D4342" t="inlineStr">
        <is>
          <t>Miss Glam Damar</t>
        </is>
      </c>
      <c r="E4342" t="n">
        <v>1</v>
      </c>
      <c r="F4342" t="n">
        <v>0.04550000000000001</v>
      </c>
      <c r="G4342" t="n">
        <v>0.91</v>
      </c>
      <c r="H4342" t="n">
        <v>2</v>
      </c>
      <c r="I4342" t="n">
        <v>6</v>
      </c>
      <c r="J4342" t="n">
        <v>3</v>
      </c>
      <c r="K4342" t="n">
        <v>0</v>
      </c>
      <c r="L4342" t="n">
        <v>56000</v>
      </c>
      <c r="M4342" t="n">
        <v>69700</v>
      </c>
      <c r="N4342" t="n">
        <v>91</v>
      </c>
      <c r="O4342" t="n">
        <v>0.91</v>
      </c>
      <c r="P4342" t="n">
        <v>1</v>
      </c>
      <c r="Q4342" t="n">
        <v>0.02</v>
      </c>
      <c r="R4342" t="n">
        <v>1</v>
      </c>
      <c r="S4342" t="n">
        <v>3171.35</v>
      </c>
      <c r="T4342" t="n">
        <v>6</v>
      </c>
      <c r="U4342" t="n">
        <v>7</v>
      </c>
      <c r="V4342" t="n">
        <v>30</v>
      </c>
      <c r="W4342" t="n">
        <v>2</v>
      </c>
      <c r="X4342" t="n">
        <v>21.97802197802197</v>
      </c>
      <c r="Y4342" t="n">
        <v>1</v>
      </c>
      <c r="Z4342" t="n">
        <v>1</v>
      </c>
      <c r="AA4342" t="n">
        <v>0</v>
      </c>
      <c r="AB4342" t="n">
        <v>1</v>
      </c>
      <c r="AC4342" t="n">
        <v>3</v>
      </c>
      <c r="AD4342" t="n">
        <v>0</v>
      </c>
      <c r="AE4342" t="n">
        <v>168000</v>
      </c>
      <c r="AF4342" t="n">
        <v>2678</v>
      </c>
      <c r="AG4342" t="n">
        <v>104</v>
      </c>
      <c r="AH4342" t="inlineStr">
        <is>
          <t>PT. ASIA PARAMITA - PPN (PDG)</t>
        </is>
      </c>
      <c r="AI4342" t="n">
        <v>104</v>
      </c>
      <c r="AJ4342" t="inlineStr">
        <is>
          <t>PIXY</t>
        </is>
      </c>
      <c r="AK4342" t="n">
        <v>21</v>
      </c>
      <c r="AL4342" t="inlineStr">
        <is>
          <t>Miss Glam Damar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PIXY</t>
        </is>
      </c>
      <c r="B4343" s="2">
        <f>"8992222281270"</f>
        <v/>
      </c>
      <c r="C4343" t="inlineStr">
        <is>
          <t>PIXY Lash Fantasy Mascara 12ml</t>
        </is>
      </c>
      <c r="D4343" t="inlineStr">
        <is>
          <t>Miss Glam Damar</t>
        </is>
      </c>
      <c r="E4343" t="n">
        <v>3</v>
      </c>
      <c r="F4343" t="n">
        <v>0.1365</v>
      </c>
      <c r="G4343" t="n">
        <v>0.91</v>
      </c>
      <c r="H4343" t="n">
        <v>2</v>
      </c>
      <c r="I4343" t="n">
        <v>6</v>
      </c>
      <c r="J4343" t="n">
        <v>3</v>
      </c>
      <c r="K4343" t="n">
        <v>0</v>
      </c>
      <c r="L4343" t="n">
        <v>49200</v>
      </c>
      <c r="M4343" t="n">
        <v>58000</v>
      </c>
      <c r="N4343" t="n">
        <v>91</v>
      </c>
      <c r="O4343" t="n">
        <v>0.91</v>
      </c>
      <c r="P4343" t="n">
        <v>1</v>
      </c>
      <c r="Q4343" t="n">
        <v>0.03</v>
      </c>
      <c r="R4343" t="n">
        <v>1</v>
      </c>
      <c r="S4343" t="n">
        <v>7917.000000000001</v>
      </c>
      <c r="T4343" t="n">
        <v>6</v>
      </c>
      <c r="U4343" t="n">
        <v>7</v>
      </c>
      <c r="V4343" t="n">
        <v>30</v>
      </c>
      <c r="W4343" t="n">
        <v>5</v>
      </c>
      <c r="X4343" t="n">
        <v>21.97802197802198</v>
      </c>
      <c r="Y4343" t="n">
        <v>1</v>
      </c>
      <c r="Z4343" t="n">
        <v>2</v>
      </c>
      <c r="AA4343" t="n">
        <v>0</v>
      </c>
      <c r="AB4343" t="n">
        <v>2</v>
      </c>
      <c r="AC4343" t="n">
        <v>3</v>
      </c>
      <c r="AD4343" t="n">
        <v>0</v>
      </c>
      <c r="AE4343" t="n">
        <v>147600</v>
      </c>
      <c r="AF4343" t="n">
        <v>2678</v>
      </c>
      <c r="AG4343" t="n">
        <v>104</v>
      </c>
      <c r="AH4343" t="inlineStr">
        <is>
          <t>PT. ASIA PARAMITA - PPN (PDG)</t>
        </is>
      </c>
      <c r="AI4343" t="n">
        <v>104</v>
      </c>
      <c r="AJ4343" t="inlineStr">
        <is>
          <t>PIXY</t>
        </is>
      </c>
      <c r="AK4343" t="n">
        <v>21</v>
      </c>
      <c r="AL4343" t="inlineStr">
        <is>
          <t>Miss Glam Damar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PIXY</t>
        </is>
      </c>
      <c r="B4344" s="2">
        <f>"8992222282796"</f>
        <v/>
      </c>
      <c r="C4344" t="inlineStr">
        <is>
          <t>PIXY Line &amp; Shadow Black</t>
        </is>
      </c>
      <c r="D4344" t="inlineStr">
        <is>
          <t>Miss Glam Damar</t>
        </is>
      </c>
      <c r="E4344" t="n">
        <v>18</v>
      </c>
      <c r="F4344" t="n">
        <v>0.3367</v>
      </c>
      <c r="G4344" t="n">
        <v>1.82</v>
      </c>
      <c r="H4344" t="n">
        <v>2</v>
      </c>
      <c r="I4344" t="n">
        <v>6</v>
      </c>
      <c r="J4344" t="n">
        <v>3</v>
      </c>
      <c r="K4344" t="n">
        <v>0</v>
      </c>
      <c r="L4344" t="n">
        <v>36000</v>
      </c>
      <c r="M4344" t="n">
        <v>43000</v>
      </c>
      <c r="N4344" t="n">
        <v>91</v>
      </c>
      <c r="O4344" t="n">
        <v>0.91</v>
      </c>
      <c r="P4344" t="n">
        <v>1</v>
      </c>
      <c r="Q4344" t="n">
        <v>0.47</v>
      </c>
      <c r="R4344" t="n">
        <v>3</v>
      </c>
      <c r="S4344" t="n">
        <v>14478.1</v>
      </c>
      <c r="T4344" t="n">
        <v>11</v>
      </c>
      <c r="U4344" t="n">
        <v>12</v>
      </c>
      <c r="V4344" t="n">
        <v>30</v>
      </c>
      <c r="W4344" t="n">
        <v>11</v>
      </c>
      <c r="X4344" t="n">
        <v>53.46005346005346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2678</v>
      </c>
      <c r="AG4344" t="n">
        <v>104</v>
      </c>
      <c r="AH4344" t="inlineStr">
        <is>
          <t>PT. ASIA PARAMITA - PPN (PDG)</t>
        </is>
      </c>
      <c r="AI4344" t="n">
        <v>104</v>
      </c>
      <c r="AJ4344" t="inlineStr">
        <is>
          <t>PIXY</t>
        </is>
      </c>
      <c r="AK4344" t="n">
        <v>21</v>
      </c>
      <c r="AL4344" t="inlineStr">
        <is>
          <t>Miss Glam Damar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PIXY</t>
        </is>
      </c>
      <c r="B4345" s="2">
        <f>"8992222282215"</f>
        <v/>
      </c>
      <c r="C4345" t="inlineStr">
        <is>
          <t>PIXY Line &amp; Shadow Blue</t>
        </is>
      </c>
      <c r="D4345" t="inlineStr">
        <is>
          <t>Miss Glam Damar</t>
        </is>
      </c>
      <c r="E4345" t="n">
        <v>3</v>
      </c>
      <c r="F4345" t="n">
        <v>0.0728</v>
      </c>
      <c r="G4345" t="n">
        <v>1.82</v>
      </c>
      <c r="H4345" t="n">
        <v>2</v>
      </c>
      <c r="I4345" t="n">
        <v>6</v>
      </c>
      <c r="J4345" t="n">
        <v>3</v>
      </c>
      <c r="K4345" t="n">
        <v>0</v>
      </c>
      <c r="L4345" t="n">
        <v>36000</v>
      </c>
      <c r="M4345" t="n">
        <v>43000</v>
      </c>
      <c r="N4345" t="n">
        <v>91</v>
      </c>
      <c r="O4345" t="n">
        <v>0.91</v>
      </c>
      <c r="P4345" t="n">
        <v>1</v>
      </c>
      <c r="Q4345" t="n">
        <v>0.1</v>
      </c>
      <c r="R4345" t="n">
        <v>1</v>
      </c>
      <c r="S4345" t="n">
        <v>3130.4</v>
      </c>
      <c r="T4345" t="n">
        <v>11</v>
      </c>
      <c r="U4345" t="n">
        <v>12</v>
      </c>
      <c r="V4345" t="n">
        <v>30</v>
      </c>
      <c r="W4345" t="n">
        <v>3</v>
      </c>
      <c r="X4345" t="n">
        <v>41.2087912087912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2678</v>
      </c>
      <c r="AG4345" t="n">
        <v>104</v>
      </c>
      <c r="AH4345" t="inlineStr">
        <is>
          <t>PT. ASIA PARAMITA - PPN (PDG)</t>
        </is>
      </c>
      <c r="AI4345" t="n">
        <v>104</v>
      </c>
      <c r="AJ4345" t="inlineStr">
        <is>
          <t>PIXY</t>
        </is>
      </c>
      <c r="AK4345" t="n">
        <v>21</v>
      </c>
      <c r="AL4345" t="inlineStr">
        <is>
          <t>Miss Glam Damar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PIXY</t>
        </is>
      </c>
      <c r="B4346" s="2">
        <f>"8992222283267"</f>
        <v/>
      </c>
      <c r="C4346" t="inlineStr">
        <is>
          <t>PIXY Line &amp; Shadow Platinum</t>
        </is>
      </c>
      <c r="D4346" t="inlineStr">
        <is>
          <t>Miss Glam Damar</t>
        </is>
      </c>
      <c r="E4346" t="n">
        <v>8</v>
      </c>
      <c r="F4346" t="n">
        <v>0.1274</v>
      </c>
      <c r="G4346" t="n">
        <v>0.91</v>
      </c>
      <c r="H4346" t="n">
        <v>2</v>
      </c>
      <c r="I4346" t="n">
        <v>6</v>
      </c>
      <c r="J4346" t="n">
        <v>3</v>
      </c>
      <c r="K4346" t="n">
        <v>0</v>
      </c>
      <c r="L4346" t="n">
        <v>36000</v>
      </c>
      <c r="M4346" t="n">
        <v>43000</v>
      </c>
      <c r="N4346" t="n">
        <v>91</v>
      </c>
      <c r="O4346" t="n">
        <v>0.91</v>
      </c>
      <c r="P4346" t="n">
        <v>1</v>
      </c>
      <c r="Q4346" t="n">
        <v>0.17</v>
      </c>
      <c r="R4346" t="n">
        <v>1</v>
      </c>
      <c r="S4346" t="n">
        <v>5478.200000000001</v>
      </c>
      <c r="T4346" t="n">
        <v>6</v>
      </c>
      <c r="U4346" t="n">
        <v>7</v>
      </c>
      <c r="V4346" t="n">
        <v>30</v>
      </c>
      <c r="W4346" t="n">
        <v>4</v>
      </c>
      <c r="X4346" t="n">
        <v>62.79434850863422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2678</v>
      </c>
      <c r="AG4346" t="n">
        <v>104</v>
      </c>
      <c r="AH4346" t="inlineStr">
        <is>
          <t>PT. ASIA PARAMITA - PPN (PDG)</t>
        </is>
      </c>
      <c r="AI4346" t="n">
        <v>104</v>
      </c>
      <c r="AJ4346" t="inlineStr">
        <is>
          <t>PIXY</t>
        </is>
      </c>
      <c r="AK4346" t="n">
        <v>21</v>
      </c>
      <c r="AL4346" t="inlineStr">
        <is>
          <t>Miss Glam Damar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PIXY</t>
        </is>
      </c>
      <c r="B4347" s="2">
        <f>"8992222283281"</f>
        <v/>
      </c>
      <c r="C4347" t="inlineStr">
        <is>
          <t>PIXY Line &amp; Shadow Rose Gold</t>
        </is>
      </c>
      <c r="D4347" t="inlineStr">
        <is>
          <t>Miss Glam Damar</t>
        </is>
      </c>
      <c r="E4347" t="n">
        <v>3</v>
      </c>
      <c r="F4347" t="n">
        <v>0.02</v>
      </c>
      <c r="G4347" t="n">
        <v>1</v>
      </c>
      <c r="H4347" t="n">
        <v>2</v>
      </c>
      <c r="I4347" t="n">
        <v>6</v>
      </c>
      <c r="J4347" t="n">
        <v>3</v>
      </c>
      <c r="K4347" t="n">
        <v>0</v>
      </c>
      <c r="L4347" t="n">
        <v>36000</v>
      </c>
      <c r="M4347" t="n">
        <v>45000</v>
      </c>
      <c r="N4347" t="n">
        <v>91</v>
      </c>
      <c r="O4347" t="n">
        <v>0.91</v>
      </c>
      <c r="P4347" t="n">
        <v>0</v>
      </c>
      <c r="Q4347" t="n">
        <v>0.02</v>
      </c>
      <c r="R4347" t="n">
        <v>1</v>
      </c>
      <c r="S4347" t="n">
        <v>900</v>
      </c>
      <c r="T4347" t="n">
        <v>6</v>
      </c>
      <c r="U4347" t="n">
        <v>7</v>
      </c>
      <c r="V4347" t="n">
        <v>30</v>
      </c>
      <c r="W4347" t="n">
        <v>1</v>
      </c>
      <c r="X4347" t="n">
        <v>150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2678</v>
      </c>
      <c r="AG4347" t="n">
        <v>104</v>
      </c>
      <c r="AH4347" t="inlineStr">
        <is>
          <t>PT. ASIA PARAMITA - PPN (PDG)</t>
        </is>
      </c>
      <c r="AI4347" t="n">
        <v>104</v>
      </c>
      <c r="AJ4347" t="inlineStr">
        <is>
          <t>PIXY</t>
        </is>
      </c>
      <c r="AK4347" t="n">
        <v>21</v>
      </c>
      <c r="AL4347" t="inlineStr">
        <is>
          <t>Miss Glam Damar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PIXY</t>
        </is>
      </c>
      <c r="B4348" s="2">
        <f>"8992222282116"</f>
        <v/>
      </c>
      <c r="C4348" t="inlineStr">
        <is>
          <t>PIXY Line &amp; Shadow White</t>
        </is>
      </c>
      <c r="D4348" t="inlineStr">
        <is>
          <t>Miss Glam Damar</t>
        </is>
      </c>
      <c r="E4348" t="n">
        <v>17</v>
      </c>
      <c r="F4348" t="n">
        <v>0.6188</v>
      </c>
      <c r="G4348" t="n">
        <v>2.73</v>
      </c>
      <c r="H4348" t="n">
        <v>2</v>
      </c>
      <c r="I4348" t="n">
        <v>6</v>
      </c>
      <c r="J4348" t="n">
        <v>3</v>
      </c>
      <c r="K4348" t="n">
        <v>0</v>
      </c>
      <c r="L4348" t="n">
        <v>36000</v>
      </c>
      <c r="M4348" t="n">
        <v>45000</v>
      </c>
      <c r="N4348" t="n">
        <v>91</v>
      </c>
      <c r="O4348" t="n">
        <v>0.91</v>
      </c>
      <c r="P4348" t="n">
        <v>1</v>
      </c>
      <c r="Q4348" t="n">
        <v>0.49</v>
      </c>
      <c r="R4348" t="n">
        <v>3</v>
      </c>
      <c r="S4348" t="n">
        <v>27846</v>
      </c>
      <c r="T4348" t="n">
        <v>16</v>
      </c>
      <c r="U4348" t="n">
        <v>18</v>
      </c>
      <c r="V4348" t="n">
        <v>30</v>
      </c>
      <c r="W4348" t="n">
        <v>19</v>
      </c>
      <c r="X4348" t="n">
        <v>27.47252747252747</v>
      </c>
      <c r="Y4348" t="n">
        <v>1</v>
      </c>
      <c r="Z4348" t="n">
        <v>2</v>
      </c>
      <c r="AA4348" t="n">
        <v>0</v>
      </c>
      <c r="AB4348" t="n">
        <v>2</v>
      </c>
      <c r="AC4348" t="n">
        <v>3</v>
      </c>
      <c r="AD4348" t="n">
        <v>0</v>
      </c>
      <c r="AE4348" t="n">
        <v>108000</v>
      </c>
      <c r="AF4348" t="n">
        <v>2678</v>
      </c>
      <c r="AG4348" t="n">
        <v>104</v>
      </c>
      <c r="AH4348" t="inlineStr">
        <is>
          <t>PT. ASIA PARAMITA - PPN (PDG)</t>
        </is>
      </c>
      <c r="AI4348" t="n">
        <v>104</v>
      </c>
      <c r="AJ4348" t="inlineStr">
        <is>
          <t>PIXY</t>
        </is>
      </c>
      <c r="AK4348" t="n">
        <v>21</v>
      </c>
      <c r="AL4348" t="inlineStr">
        <is>
          <t>Miss Glam Damar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PIXY</t>
        </is>
      </c>
      <c r="B4349" s="2">
        <f>"8992222280525"</f>
        <v/>
      </c>
      <c r="C4349" t="inlineStr">
        <is>
          <t>PIXY Lip Color Conditioner Orange 3,7gr</t>
        </is>
      </c>
      <c r="D4349" t="inlineStr">
        <is>
          <t>Miss Glam Damar</t>
        </is>
      </c>
      <c r="E4349" t="n">
        <v>2</v>
      </c>
      <c r="F4349" t="n">
        <v>0.1274</v>
      </c>
      <c r="G4349" t="n">
        <v>1.82</v>
      </c>
      <c r="H4349" t="n">
        <v>2</v>
      </c>
      <c r="I4349" t="n">
        <v>6</v>
      </c>
      <c r="J4349" t="n">
        <v>3</v>
      </c>
      <c r="K4349" t="n">
        <v>0</v>
      </c>
      <c r="L4349" t="n">
        <v>25600</v>
      </c>
      <c r="M4349" t="n">
        <v>30500</v>
      </c>
      <c r="N4349" t="n">
        <v>91</v>
      </c>
      <c r="O4349" t="n">
        <v>0.91</v>
      </c>
      <c r="P4349" t="n">
        <v>1</v>
      </c>
      <c r="Q4349" t="n">
        <v>0.08</v>
      </c>
      <c r="R4349" t="n">
        <v>1</v>
      </c>
      <c r="S4349" t="n">
        <v>3885.7</v>
      </c>
      <c r="T4349" t="n">
        <v>11</v>
      </c>
      <c r="U4349" t="n">
        <v>12</v>
      </c>
      <c r="V4349" t="n">
        <v>30</v>
      </c>
      <c r="W4349" t="n">
        <v>4</v>
      </c>
      <c r="X4349" t="n">
        <v>15.69858712715855</v>
      </c>
      <c r="Y4349" t="n">
        <v>1</v>
      </c>
      <c r="Z4349" t="n">
        <v>2</v>
      </c>
      <c r="AA4349" t="n">
        <v>0</v>
      </c>
      <c r="AB4349" t="n">
        <v>2</v>
      </c>
      <c r="AC4349" t="n">
        <v>3</v>
      </c>
      <c r="AD4349" t="n">
        <v>0</v>
      </c>
      <c r="AE4349" t="n">
        <v>76800</v>
      </c>
      <c r="AF4349" t="n">
        <v>2678</v>
      </c>
      <c r="AG4349" t="n">
        <v>104</v>
      </c>
      <c r="AH4349" t="inlineStr">
        <is>
          <t>PT. ASIA PARAMITA - PPN (PDG)</t>
        </is>
      </c>
      <c r="AI4349" t="n">
        <v>104</v>
      </c>
      <c r="AJ4349" t="inlineStr">
        <is>
          <t>PIXY</t>
        </is>
      </c>
      <c r="AK4349" t="n">
        <v>21</v>
      </c>
      <c r="AL4349" t="inlineStr">
        <is>
          <t>Miss Glam Damar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PIXY</t>
        </is>
      </c>
      <c r="B4350" s="2">
        <f>"8992222280501"</f>
        <v/>
      </c>
      <c r="C4350" t="inlineStr">
        <is>
          <t>PIXY Lip Color Conditioner Pink 3,7g</t>
        </is>
      </c>
      <c r="D4350" t="inlineStr">
        <is>
          <t>Miss Glam Damar</t>
        </is>
      </c>
      <c r="E4350" t="n">
        <v>2</v>
      </c>
      <c r="F4350" t="n">
        <v>0.0728</v>
      </c>
      <c r="G4350" t="n">
        <v>1.82</v>
      </c>
      <c r="H4350" t="n">
        <v>2</v>
      </c>
      <c r="I4350" t="n">
        <v>6</v>
      </c>
      <c r="J4350" t="n">
        <v>3</v>
      </c>
      <c r="K4350" t="n">
        <v>0</v>
      </c>
      <c r="L4350" t="n">
        <v>25235</v>
      </c>
      <c r="M4350" t="n">
        <v>30000</v>
      </c>
      <c r="N4350" t="n">
        <v>91</v>
      </c>
      <c r="O4350" t="n">
        <v>0.91</v>
      </c>
      <c r="P4350" t="n">
        <v>1</v>
      </c>
      <c r="Q4350" t="n">
        <v>0.05</v>
      </c>
      <c r="R4350" t="n">
        <v>1</v>
      </c>
      <c r="S4350" t="n">
        <v>2184</v>
      </c>
      <c r="T4350" t="n">
        <v>11</v>
      </c>
      <c r="U4350" t="n">
        <v>12</v>
      </c>
      <c r="V4350" t="n">
        <v>30</v>
      </c>
      <c r="W4350" t="n">
        <v>3</v>
      </c>
      <c r="X4350" t="n">
        <v>27.47252747252747</v>
      </c>
      <c r="Y4350" t="n">
        <v>1</v>
      </c>
      <c r="Z4350" t="n">
        <v>1</v>
      </c>
      <c r="AA4350" t="n">
        <v>0</v>
      </c>
      <c r="AB4350" t="n">
        <v>1</v>
      </c>
      <c r="AC4350" t="n">
        <v>3</v>
      </c>
      <c r="AD4350" t="n">
        <v>0</v>
      </c>
      <c r="AE4350" t="n">
        <v>75705</v>
      </c>
      <c r="AF4350" t="n">
        <v>2678</v>
      </c>
      <c r="AG4350" t="n">
        <v>104</v>
      </c>
      <c r="AH4350" t="inlineStr">
        <is>
          <t>PT. ASIA PARAMITA - PPN (PDG)</t>
        </is>
      </c>
      <c r="AI4350" t="n">
        <v>104</v>
      </c>
      <c r="AJ4350" t="inlineStr">
        <is>
          <t>PIXY</t>
        </is>
      </c>
      <c r="AK4350" t="n">
        <v>21</v>
      </c>
      <c r="AL4350" t="inlineStr">
        <is>
          <t>Miss Glam Damar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PIXY</t>
        </is>
      </c>
      <c r="B4351" s="2">
        <f>"8992222282680"</f>
        <v/>
      </c>
      <c r="C4351" t="inlineStr">
        <is>
          <t>PIXY Lip Cream 01 Chic Rose 4gr</t>
        </is>
      </c>
      <c r="D4351" t="inlineStr">
        <is>
          <t>Miss Glam Damar</t>
        </is>
      </c>
      <c r="E4351" t="n">
        <v>3</v>
      </c>
      <c r="F4351" t="n">
        <v>0.0273</v>
      </c>
      <c r="G4351" t="n">
        <v>0.91</v>
      </c>
      <c r="H4351" t="n">
        <v>2</v>
      </c>
      <c r="I4351" t="n">
        <v>6</v>
      </c>
      <c r="J4351" t="n">
        <v>3</v>
      </c>
      <c r="K4351" t="n">
        <v>0</v>
      </c>
      <c r="L4351" t="n">
        <v>46400</v>
      </c>
      <c r="M4351" t="n">
        <v>55000</v>
      </c>
      <c r="N4351" t="n">
        <v>91</v>
      </c>
      <c r="O4351" t="n">
        <v>0.91</v>
      </c>
      <c r="P4351" t="n">
        <v>1</v>
      </c>
      <c r="Q4351" t="n">
        <v>0.02</v>
      </c>
      <c r="R4351" t="n">
        <v>1</v>
      </c>
      <c r="S4351" t="n">
        <v>1501.5</v>
      </c>
      <c r="T4351" t="n">
        <v>6</v>
      </c>
      <c r="U4351" t="n">
        <v>7</v>
      </c>
      <c r="V4351" t="n">
        <v>30</v>
      </c>
      <c r="W4351" t="n">
        <v>1</v>
      </c>
      <c r="X4351" t="n">
        <v>109.8901098901099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2678</v>
      </c>
      <c r="AG4351" t="n">
        <v>104</v>
      </c>
      <c r="AH4351" t="inlineStr">
        <is>
          <t>PT. ASIA PARAMITA - PPN (PDG)</t>
        </is>
      </c>
      <c r="AI4351" t="n">
        <v>104</v>
      </c>
      <c r="AJ4351" t="inlineStr">
        <is>
          <t>PIXY</t>
        </is>
      </c>
      <c r="AK4351" t="n">
        <v>21</v>
      </c>
      <c r="AL4351" t="inlineStr">
        <is>
          <t>Miss Glam Damar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PIXY</t>
        </is>
      </c>
      <c r="B4352" s="2">
        <f>"8992222282697"</f>
        <v/>
      </c>
      <c r="C4352" t="inlineStr">
        <is>
          <t>PIXY Lip Cream 03 Classic Red 4gr</t>
        </is>
      </c>
      <c r="D4352" t="inlineStr">
        <is>
          <t>Miss Glam Damar</t>
        </is>
      </c>
      <c r="E4352" t="n">
        <v>4</v>
      </c>
      <c r="F4352" t="n">
        <v>0.07000000000000001</v>
      </c>
      <c r="G4352" t="n">
        <v>2</v>
      </c>
      <c r="H4352" t="n">
        <v>2</v>
      </c>
      <c r="I4352" t="n">
        <v>6</v>
      </c>
      <c r="J4352" t="n">
        <v>3</v>
      </c>
      <c r="K4352" t="n">
        <v>0</v>
      </c>
      <c r="L4352" t="n">
        <v>46400</v>
      </c>
      <c r="M4352" t="n">
        <v>55000</v>
      </c>
      <c r="N4352" t="n">
        <v>91</v>
      </c>
      <c r="O4352" t="n">
        <v>0.91</v>
      </c>
      <c r="P4352" t="n">
        <v>0</v>
      </c>
      <c r="Q4352" t="n">
        <v>0.07000000000000001</v>
      </c>
      <c r="R4352" t="n">
        <v>2</v>
      </c>
      <c r="S4352" t="n">
        <v>3850</v>
      </c>
      <c r="T4352" t="n">
        <v>12</v>
      </c>
      <c r="U4352" t="n">
        <v>13</v>
      </c>
      <c r="V4352" t="n">
        <v>30</v>
      </c>
      <c r="W4352" t="n">
        <v>3</v>
      </c>
      <c r="X4352" t="n">
        <v>57.14285714285714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2678</v>
      </c>
      <c r="AG4352" t="n">
        <v>104</v>
      </c>
      <c r="AH4352" t="inlineStr">
        <is>
          <t>PT. ASIA PARAMITA - PPN (PDG)</t>
        </is>
      </c>
      <c r="AI4352" t="n">
        <v>104</v>
      </c>
      <c r="AJ4352" t="inlineStr">
        <is>
          <t>PIXY</t>
        </is>
      </c>
      <c r="AK4352" t="n">
        <v>21</v>
      </c>
      <c r="AL4352" t="inlineStr">
        <is>
          <t>Miss Glam Damar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PIXY</t>
        </is>
      </c>
      <c r="B4353" s="2">
        <f>"8992222282758"</f>
        <v/>
      </c>
      <c r="C4353" t="inlineStr">
        <is>
          <t>PIXY Lip Cream 06 Bold Maron 4g</t>
        </is>
      </c>
      <c r="D4353" t="inlineStr">
        <is>
          <t>Miss Glam Damar</t>
        </is>
      </c>
      <c r="E4353" t="n">
        <v>3</v>
      </c>
      <c r="F4353" t="n">
        <v>0.0273</v>
      </c>
      <c r="G4353" t="n">
        <v>1.82</v>
      </c>
      <c r="H4353" t="n">
        <v>2</v>
      </c>
      <c r="I4353" t="n">
        <v>6</v>
      </c>
      <c r="J4353" t="n">
        <v>3</v>
      </c>
      <c r="K4353" t="n">
        <v>0</v>
      </c>
      <c r="L4353" t="n">
        <v>46400</v>
      </c>
      <c r="M4353" t="n">
        <v>55000</v>
      </c>
      <c r="N4353" t="n">
        <v>91</v>
      </c>
      <c r="O4353" t="n">
        <v>0.91</v>
      </c>
      <c r="P4353" t="n">
        <v>1</v>
      </c>
      <c r="Q4353" t="n">
        <v>0.05</v>
      </c>
      <c r="R4353" t="n">
        <v>1</v>
      </c>
      <c r="S4353" t="n">
        <v>1501.5</v>
      </c>
      <c r="T4353" t="n">
        <v>11</v>
      </c>
      <c r="U4353" t="n">
        <v>12</v>
      </c>
      <c r="V4353" t="n">
        <v>30</v>
      </c>
      <c r="W4353" t="n">
        <v>1</v>
      </c>
      <c r="X4353" t="n">
        <v>109.8901098901099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2678</v>
      </c>
      <c r="AG4353" t="n">
        <v>104</v>
      </c>
      <c r="AH4353" t="inlineStr">
        <is>
          <t>PT. ASIA PARAMITA - PPN (PDG)</t>
        </is>
      </c>
      <c r="AI4353" t="n">
        <v>104</v>
      </c>
      <c r="AJ4353" t="inlineStr">
        <is>
          <t>PIXY</t>
        </is>
      </c>
      <c r="AK4353" t="n">
        <v>21</v>
      </c>
      <c r="AL4353" t="inlineStr">
        <is>
          <t>Miss Glam Damar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PIXY</t>
        </is>
      </c>
      <c r="B4354" s="2">
        <f>"8992222282819"</f>
        <v/>
      </c>
      <c r="C4354" t="inlineStr">
        <is>
          <t>PIXY Lip Cream 08 Delicate Pink 4gr</t>
        </is>
      </c>
      <c r="D4354" t="inlineStr">
        <is>
          <t>Miss Glam Damar</t>
        </is>
      </c>
      <c r="E4354" t="n">
        <v>3</v>
      </c>
      <c r="F4354" t="n">
        <v>0.09100000000000001</v>
      </c>
      <c r="G4354" t="n">
        <v>0.91</v>
      </c>
      <c r="H4354" t="n">
        <v>2</v>
      </c>
      <c r="I4354" t="n">
        <v>6</v>
      </c>
      <c r="J4354" t="n">
        <v>3</v>
      </c>
      <c r="K4354" t="n">
        <v>0</v>
      </c>
      <c r="L4354" t="n">
        <v>46399</v>
      </c>
      <c r="M4354" t="n">
        <v>55000</v>
      </c>
      <c r="N4354" t="n">
        <v>91</v>
      </c>
      <c r="O4354" t="n">
        <v>0.91</v>
      </c>
      <c r="P4354" t="n">
        <v>1</v>
      </c>
      <c r="Q4354" t="n">
        <v>0.15</v>
      </c>
      <c r="R4354" t="n">
        <v>1</v>
      </c>
      <c r="S4354" t="n">
        <v>5005.000000000001</v>
      </c>
      <c r="T4354" t="n">
        <v>6</v>
      </c>
      <c r="U4354" t="n">
        <v>7</v>
      </c>
      <c r="V4354" t="n">
        <v>30</v>
      </c>
      <c r="W4354" t="n">
        <v>3</v>
      </c>
      <c r="X4354" t="n">
        <v>32.96703296703296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2678</v>
      </c>
      <c r="AG4354" t="n">
        <v>104</v>
      </c>
      <c r="AH4354" t="inlineStr">
        <is>
          <t>PT. ASIA PARAMITA - PPN (PDG)</t>
        </is>
      </c>
      <c r="AI4354" t="n">
        <v>104</v>
      </c>
      <c r="AJ4354" t="inlineStr">
        <is>
          <t>PIXY</t>
        </is>
      </c>
      <c r="AK4354" t="n">
        <v>21</v>
      </c>
      <c r="AL4354" t="inlineStr">
        <is>
          <t>Miss Glam Damar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PIXY</t>
        </is>
      </c>
      <c r="B4355" s="2">
        <f>"8992222282833"</f>
        <v/>
      </c>
      <c r="C4355" t="inlineStr">
        <is>
          <t>PIXY Lip Cream 10 Sweet Choco 4gr</t>
        </is>
      </c>
      <c r="D4355" t="inlineStr">
        <is>
          <t>Miss Glam Damar</t>
        </is>
      </c>
      <c r="E4355" t="n">
        <v>3</v>
      </c>
      <c r="F4355" t="n">
        <v>0.04550000000000001</v>
      </c>
      <c r="G4355" t="n">
        <v>0.91</v>
      </c>
      <c r="H4355" t="n">
        <v>2</v>
      </c>
      <c r="I4355" t="n">
        <v>6</v>
      </c>
      <c r="J4355" t="n">
        <v>3</v>
      </c>
      <c r="K4355" t="n">
        <v>0</v>
      </c>
      <c r="L4355" t="n">
        <v>46399</v>
      </c>
      <c r="M4355" t="n">
        <v>55000</v>
      </c>
      <c r="N4355" t="n">
        <v>91</v>
      </c>
      <c r="O4355" t="n">
        <v>0.91</v>
      </c>
      <c r="P4355" t="n">
        <v>1</v>
      </c>
      <c r="Q4355" t="n">
        <v>0.03</v>
      </c>
      <c r="R4355" t="n">
        <v>1</v>
      </c>
      <c r="S4355" t="n">
        <v>2502.5</v>
      </c>
      <c r="T4355" t="n">
        <v>6</v>
      </c>
      <c r="U4355" t="n">
        <v>7</v>
      </c>
      <c r="V4355" t="n">
        <v>30</v>
      </c>
      <c r="W4355" t="n">
        <v>2</v>
      </c>
      <c r="X4355" t="n">
        <v>65.93406593406593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2678</v>
      </c>
      <c r="AG4355" t="n">
        <v>104</v>
      </c>
      <c r="AH4355" t="inlineStr">
        <is>
          <t>PT. ASIA PARAMITA - PPN (PDG)</t>
        </is>
      </c>
      <c r="AI4355" t="n">
        <v>104</v>
      </c>
      <c r="AJ4355" t="inlineStr">
        <is>
          <t>PIXY</t>
        </is>
      </c>
      <c r="AK4355" t="n">
        <v>21</v>
      </c>
      <c r="AL4355" t="inlineStr">
        <is>
          <t>Miss Glam Damar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PIXY</t>
        </is>
      </c>
      <c r="B4356" s="2">
        <f>"8992222282840"</f>
        <v/>
      </c>
      <c r="C4356" t="inlineStr">
        <is>
          <t>PIXY Lip Cream 11 Gaudy Orange 4g</t>
        </is>
      </c>
      <c r="D4356" t="inlineStr">
        <is>
          <t>Miss Glam Damar</t>
        </is>
      </c>
      <c r="E4356" t="n">
        <v>5</v>
      </c>
      <c r="F4356" t="n">
        <v>0.0273</v>
      </c>
      <c r="G4356" t="n">
        <v>0.91</v>
      </c>
      <c r="H4356" t="n">
        <v>2</v>
      </c>
      <c r="I4356" t="n">
        <v>6</v>
      </c>
      <c r="J4356" t="n">
        <v>3</v>
      </c>
      <c r="K4356" t="n">
        <v>0</v>
      </c>
      <c r="L4356" t="n">
        <v>46400</v>
      </c>
      <c r="M4356" t="n">
        <v>55000</v>
      </c>
      <c r="N4356" t="n">
        <v>91</v>
      </c>
      <c r="O4356" t="n">
        <v>0.91</v>
      </c>
      <c r="P4356" t="n">
        <v>1</v>
      </c>
      <c r="Q4356" t="n">
        <v>0.12</v>
      </c>
      <c r="R4356" t="n">
        <v>1</v>
      </c>
      <c r="S4356" t="n">
        <v>1501.5</v>
      </c>
      <c r="T4356" t="n">
        <v>6</v>
      </c>
      <c r="U4356" t="n">
        <v>7</v>
      </c>
      <c r="V4356" t="n">
        <v>30</v>
      </c>
      <c r="W4356" t="n">
        <v>1</v>
      </c>
      <c r="X4356" t="n">
        <v>183.1501831501832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2678</v>
      </c>
      <c r="AG4356" t="n">
        <v>104</v>
      </c>
      <c r="AH4356" t="inlineStr">
        <is>
          <t>PT. ASIA PARAMITA - PPN (PDG)</t>
        </is>
      </c>
      <c r="AI4356" t="n">
        <v>104</v>
      </c>
      <c r="AJ4356" t="inlineStr">
        <is>
          <t>PIXY</t>
        </is>
      </c>
      <c r="AK4356" t="n">
        <v>21</v>
      </c>
      <c r="AL4356" t="inlineStr">
        <is>
          <t>Miss Glam Damar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PIXY</t>
        </is>
      </c>
      <c r="B4357" s="2">
        <f>"8992222282857"</f>
        <v/>
      </c>
      <c r="C4357" t="inlineStr">
        <is>
          <t>PIXY Lip Cream 12 Mild Peach 4gr</t>
        </is>
      </c>
      <c r="D4357" t="inlineStr">
        <is>
          <t>Miss Glam Damar</t>
        </is>
      </c>
      <c r="E4357" t="n">
        <v>5</v>
      </c>
      <c r="F4357" t="n">
        <v>0.0273</v>
      </c>
      <c r="G4357" t="n">
        <v>0.91</v>
      </c>
      <c r="H4357" t="n">
        <v>2</v>
      </c>
      <c r="I4357" t="n">
        <v>6</v>
      </c>
      <c r="J4357" t="n">
        <v>3</v>
      </c>
      <c r="K4357" t="n">
        <v>0</v>
      </c>
      <c r="L4357" t="n">
        <v>46399</v>
      </c>
      <c r="M4357" t="n">
        <v>55000</v>
      </c>
      <c r="N4357" t="n">
        <v>91</v>
      </c>
      <c r="O4357" t="n">
        <v>0.91</v>
      </c>
      <c r="P4357" t="n">
        <v>1</v>
      </c>
      <c r="Q4357" t="n">
        <v>0.08</v>
      </c>
      <c r="R4357" t="n">
        <v>2</v>
      </c>
      <c r="S4357" t="n">
        <v>1501.5</v>
      </c>
      <c r="T4357" t="n">
        <v>6</v>
      </c>
      <c r="U4357" t="n">
        <v>7</v>
      </c>
      <c r="V4357" t="n">
        <v>30</v>
      </c>
      <c r="W4357" t="n">
        <v>1</v>
      </c>
      <c r="X4357" t="n">
        <v>183.1501831501832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2678</v>
      </c>
      <c r="AG4357" t="n">
        <v>104</v>
      </c>
      <c r="AH4357" t="inlineStr">
        <is>
          <t>PT. ASIA PARAMITA - PPN (PDG)</t>
        </is>
      </c>
      <c r="AI4357" t="n">
        <v>104</v>
      </c>
      <c r="AJ4357" t="inlineStr">
        <is>
          <t>PIXY</t>
        </is>
      </c>
      <c r="AK4357" t="n">
        <v>21</v>
      </c>
      <c r="AL4357" t="inlineStr">
        <is>
          <t>Miss Glam Damar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PIXY</t>
        </is>
      </c>
      <c r="B4358" s="2">
        <f>"8992222283403"</f>
        <v/>
      </c>
      <c r="C4358" t="inlineStr">
        <is>
          <t>PIXY Lip Cream 15 Uptown Peach 4gr</t>
        </is>
      </c>
      <c r="D4358" t="inlineStr">
        <is>
          <t>Miss Glam Damar</t>
        </is>
      </c>
      <c r="E4358" t="n">
        <v>1</v>
      </c>
      <c r="F4358" t="n">
        <v>0.02</v>
      </c>
      <c r="G4358" t="n">
        <v>1</v>
      </c>
      <c r="H4358" t="n">
        <v>2</v>
      </c>
      <c r="I4358" t="n">
        <v>6</v>
      </c>
      <c r="J4358" t="n">
        <v>3</v>
      </c>
      <c r="K4358" t="n">
        <v>0</v>
      </c>
      <c r="L4358" t="n">
        <v>46400</v>
      </c>
      <c r="M4358" t="n">
        <v>55000</v>
      </c>
      <c r="N4358" t="n">
        <v>91</v>
      </c>
      <c r="O4358" t="n">
        <v>0.91</v>
      </c>
      <c r="P4358" t="n">
        <v>0</v>
      </c>
      <c r="Q4358" t="n">
        <v>0.02</v>
      </c>
      <c r="R4358" t="n">
        <v>1</v>
      </c>
      <c r="S4358" t="n">
        <v>1100</v>
      </c>
      <c r="T4358" t="n">
        <v>6</v>
      </c>
      <c r="U4358" t="n">
        <v>7</v>
      </c>
      <c r="V4358" t="n">
        <v>30</v>
      </c>
      <c r="W4358" t="n">
        <v>1</v>
      </c>
      <c r="X4358" t="n">
        <v>50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2678</v>
      </c>
      <c r="AG4358" t="n">
        <v>104</v>
      </c>
      <c r="AH4358" t="inlineStr">
        <is>
          <t>PT. ASIA PARAMITA - PPN (PDG)</t>
        </is>
      </c>
      <c r="AI4358" t="n">
        <v>104</v>
      </c>
      <c r="AJ4358" t="inlineStr">
        <is>
          <t>PIXY</t>
        </is>
      </c>
      <c r="AK4358" t="n">
        <v>21</v>
      </c>
      <c r="AL4358" t="inlineStr">
        <is>
          <t>Miss Glam Damar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PIXY</t>
        </is>
      </c>
      <c r="B4359" s="2">
        <f>"8992222074964"</f>
        <v/>
      </c>
      <c r="C4359" t="inlineStr">
        <is>
          <t>PIXY Lip Hydrating 01 Apple, Oh Apple! 8ml</t>
        </is>
      </c>
      <c r="D4359" t="inlineStr">
        <is>
          <t>Miss Glam Damar</t>
        </is>
      </c>
      <c r="E4359" t="n">
        <v>1</v>
      </c>
      <c r="F4359" t="n">
        <v>0.4004</v>
      </c>
      <c r="G4359" t="n">
        <v>1.82</v>
      </c>
      <c r="H4359" t="n">
        <v>2</v>
      </c>
      <c r="I4359" t="n">
        <v>6</v>
      </c>
      <c r="J4359" t="n">
        <v>3</v>
      </c>
      <c r="K4359" t="n">
        <v>0</v>
      </c>
      <c r="L4359" t="n">
        <v>20800</v>
      </c>
      <c r="M4359" t="n">
        <v>24500</v>
      </c>
      <c r="N4359" t="n">
        <v>91</v>
      </c>
      <c r="O4359" t="n">
        <v>0.91</v>
      </c>
      <c r="P4359" t="n">
        <v>1</v>
      </c>
      <c r="Q4359" t="n">
        <v>0.1</v>
      </c>
      <c r="R4359" t="n">
        <v>1</v>
      </c>
      <c r="S4359" t="n">
        <v>9809.800000000001</v>
      </c>
      <c r="T4359" t="n">
        <v>11</v>
      </c>
      <c r="U4359" t="n">
        <v>12</v>
      </c>
      <c r="V4359" t="n">
        <v>30</v>
      </c>
      <c r="W4359" t="n">
        <v>13</v>
      </c>
      <c r="X4359" t="n">
        <v>2.497502497502497</v>
      </c>
      <c r="Y4359" t="n">
        <v>1</v>
      </c>
      <c r="Z4359" t="n">
        <v>12</v>
      </c>
      <c r="AA4359" t="n">
        <v>2</v>
      </c>
      <c r="AB4359" t="n">
        <v>10</v>
      </c>
      <c r="AC4359" t="n">
        <v>10</v>
      </c>
      <c r="AD4359" t="n">
        <v>41600</v>
      </c>
      <c r="AE4359" t="n">
        <v>208000</v>
      </c>
      <c r="AF4359" t="n">
        <v>2678</v>
      </c>
      <c r="AG4359" t="n">
        <v>104</v>
      </c>
      <c r="AH4359" t="inlineStr">
        <is>
          <t>PT. ASIA PARAMITA - PPN (PDG)</t>
        </is>
      </c>
      <c r="AI4359" t="n">
        <v>104</v>
      </c>
      <c r="AJ4359" t="inlineStr">
        <is>
          <t>PIXY</t>
        </is>
      </c>
      <c r="AK4359" t="n">
        <v>21</v>
      </c>
      <c r="AL4359" t="inlineStr">
        <is>
          <t>Miss Glam Damar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PIXY</t>
        </is>
      </c>
      <c r="B4360" s="2">
        <f>"8992222074971"</f>
        <v/>
      </c>
      <c r="C4360" t="inlineStr">
        <is>
          <t>PIXY Lip Hydrating 02 Honey, It’s Me! 8ml</t>
        </is>
      </c>
      <c r="D4360" t="inlineStr">
        <is>
          <t>Miss Glam Damar</t>
        </is>
      </c>
      <c r="E4360" t="n">
        <v>3</v>
      </c>
      <c r="F4360" t="n">
        <v>0.04550000000000001</v>
      </c>
      <c r="G4360" t="n">
        <v>0.91</v>
      </c>
      <c r="H4360" t="n">
        <v>2</v>
      </c>
      <c r="I4360" t="n">
        <v>6</v>
      </c>
      <c r="J4360" t="n">
        <v>3</v>
      </c>
      <c r="K4360" t="n">
        <v>0</v>
      </c>
      <c r="L4360" t="n">
        <v>20800</v>
      </c>
      <c r="M4360" t="n">
        <v>24500</v>
      </c>
      <c r="N4360" t="n">
        <v>91</v>
      </c>
      <c r="O4360" t="n">
        <v>0.91</v>
      </c>
      <c r="P4360" t="n">
        <v>1</v>
      </c>
      <c r="Q4360" t="n">
        <v>0.02</v>
      </c>
      <c r="R4360" t="n">
        <v>1</v>
      </c>
      <c r="S4360" t="n">
        <v>1114.75</v>
      </c>
      <c r="T4360" t="n">
        <v>6</v>
      </c>
      <c r="U4360" t="n">
        <v>7</v>
      </c>
      <c r="V4360" t="n">
        <v>30</v>
      </c>
      <c r="W4360" t="n">
        <v>2</v>
      </c>
      <c r="X4360" t="n">
        <v>65.93406593406593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2678</v>
      </c>
      <c r="AG4360" t="n">
        <v>104</v>
      </c>
      <c r="AH4360" t="inlineStr">
        <is>
          <t>PT. ASIA PARAMITA - PPN (PDG)</t>
        </is>
      </c>
      <c r="AI4360" t="n">
        <v>104</v>
      </c>
      <c r="AJ4360" t="inlineStr">
        <is>
          <t>PIXY</t>
        </is>
      </c>
      <c r="AK4360" t="n">
        <v>21</v>
      </c>
      <c r="AL4360" t="inlineStr">
        <is>
          <t>Miss Glam Damar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PIXY</t>
        </is>
      </c>
      <c r="B4361" s="2">
        <f>"8992222072397"</f>
        <v/>
      </c>
      <c r="C4361" t="inlineStr">
        <is>
          <t>PIXY Loose Powder 01Ivory 12g</t>
        </is>
      </c>
      <c r="D4361" t="inlineStr">
        <is>
          <t>Miss Glam Damar</t>
        </is>
      </c>
      <c r="E4361" t="n">
        <v>4</v>
      </c>
      <c r="F4361" t="n">
        <v>0.1274</v>
      </c>
      <c r="G4361" t="n">
        <v>1.82</v>
      </c>
      <c r="H4361" t="n">
        <v>2</v>
      </c>
      <c r="I4361" t="n">
        <v>6</v>
      </c>
      <c r="J4361" t="n">
        <v>3</v>
      </c>
      <c r="K4361" t="n">
        <v>0</v>
      </c>
      <c r="L4361" t="n">
        <v>27200</v>
      </c>
      <c r="M4361" t="n">
        <v>32000</v>
      </c>
      <c r="N4361" t="n">
        <v>91</v>
      </c>
      <c r="O4361" t="n">
        <v>0.91</v>
      </c>
      <c r="P4361" t="n">
        <v>1</v>
      </c>
      <c r="Q4361" t="n">
        <v>0.17</v>
      </c>
      <c r="R4361" t="n">
        <v>2</v>
      </c>
      <c r="S4361" t="n">
        <v>4076.800000000001</v>
      </c>
      <c r="T4361" t="n">
        <v>11</v>
      </c>
      <c r="U4361" t="n">
        <v>12</v>
      </c>
      <c r="V4361" t="n">
        <v>30</v>
      </c>
      <c r="W4361" t="n">
        <v>4</v>
      </c>
      <c r="X4361" t="n">
        <v>31.39717425431711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2678</v>
      </c>
      <c r="AG4361" t="n">
        <v>104</v>
      </c>
      <c r="AH4361" t="inlineStr">
        <is>
          <t>PT. ASIA PARAMITA - PPN (PDG)</t>
        </is>
      </c>
      <c r="AI4361" t="n">
        <v>104</v>
      </c>
      <c r="AJ4361" t="inlineStr">
        <is>
          <t>PIXY</t>
        </is>
      </c>
      <c r="AK4361" t="n">
        <v>21</v>
      </c>
      <c r="AL4361" t="inlineStr">
        <is>
          <t>Miss Glam Damar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PIXY</t>
        </is>
      </c>
      <c r="B4362" s="2">
        <f>"8992222072410"</f>
        <v/>
      </c>
      <c r="C4362" t="inlineStr">
        <is>
          <t>PIXY Loose Powder 02 Yellow Beige 12g</t>
        </is>
      </c>
      <c r="D4362" t="inlineStr">
        <is>
          <t>Miss Glam Damar</t>
        </is>
      </c>
      <c r="E4362" t="n">
        <v>0</v>
      </c>
      <c r="F4362" t="n">
        <v>0.1274</v>
      </c>
      <c r="G4362" t="n">
        <v>0.91</v>
      </c>
      <c r="H4362" t="n">
        <v>2</v>
      </c>
      <c r="I4362" t="n">
        <v>6</v>
      </c>
      <c r="J4362" t="n">
        <v>3</v>
      </c>
      <c r="K4362" t="n">
        <v>0</v>
      </c>
      <c r="L4362" t="n">
        <v>27200</v>
      </c>
      <c r="M4362" t="n">
        <v>32000</v>
      </c>
      <c r="N4362" t="n">
        <v>91</v>
      </c>
      <c r="O4362" t="n">
        <v>0.91</v>
      </c>
      <c r="P4362" t="n">
        <v>1</v>
      </c>
      <c r="Q4362" t="n">
        <v>0.09</v>
      </c>
      <c r="R4362" t="n">
        <v>2</v>
      </c>
      <c r="S4362" t="n">
        <v>4076.800000000001</v>
      </c>
      <c r="T4362" t="n">
        <v>6</v>
      </c>
      <c r="U4362" t="n">
        <v>7</v>
      </c>
      <c r="V4362" t="n">
        <v>30</v>
      </c>
      <c r="W4362" t="n">
        <v>4</v>
      </c>
      <c r="X4362" t="n">
        <v>0</v>
      </c>
      <c r="Y4362" t="n">
        <v>1</v>
      </c>
      <c r="Z4362" t="n">
        <v>4</v>
      </c>
      <c r="AA4362" t="n">
        <v>1</v>
      </c>
      <c r="AB4362" t="n">
        <v>3</v>
      </c>
      <c r="AC4362" t="n">
        <v>3</v>
      </c>
      <c r="AD4362" t="n">
        <v>27200</v>
      </c>
      <c r="AE4362" t="n">
        <v>81600</v>
      </c>
      <c r="AF4362" t="n">
        <v>2678</v>
      </c>
      <c r="AG4362" t="n">
        <v>104</v>
      </c>
      <c r="AH4362" t="inlineStr">
        <is>
          <t>PT. ASIA PARAMITA - PPN (PDG)</t>
        </is>
      </c>
      <c r="AI4362" t="n">
        <v>104</v>
      </c>
      <c r="AJ4362" t="inlineStr">
        <is>
          <t>PIXY</t>
        </is>
      </c>
      <c r="AK4362" t="n">
        <v>21</v>
      </c>
      <c r="AL4362" t="inlineStr">
        <is>
          <t>Miss Glam Damar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PIXY</t>
        </is>
      </c>
      <c r="B4363" s="2">
        <f>"8992222072403"</f>
        <v/>
      </c>
      <c r="C4363" t="inlineStr">
        <is>
          <t>PIXY Loose Powder 03 Natural Beige 12gr</t>
        </is>
      </c>
      <c r="D4363" t="inlineStr">
        <is>
          <t>Miss Glam Damar</t>
        </is>
      </c>
      <c r="E4363" t="n">
        <v>2</v>
      </c>
      <c r="F4363" t="n">
        <v>0.2184</v>
      </c>
      <c r="G4363" t="n">
        <v>1.82</v>
      </c>
      <c r="H4363" t="n">
        <v>2</v>
      </c>
      <c r="I4363" t="n">
        <v>6</v>
      </c>
      <c r="J4363" t="n">
        <v>3</v>
      </c>
      <c r="K4363" t="n">
        <v>0</v>
      </c>
      <c r="L4363" t="n">
        <v>27199</v>
      </c>
      <c r="M4363" t="n">
        <v>32000</v>
      </c>
      <c r="N4363" t="n">
        <v>91</v>
      </c>
      <c r="O4363" t="n">
        <v>0.91</v>
      </c>
      <c r="P4363" t="n">
        <v>1</v>
      </c>
      <c r="Q4363" t="n">
        <v>0.15</v>
      </c>
      <c r="R4363" t="n">
        <v>2</v>
      </c>
      <c r="S4363" t="n">
        <v>6988.8</v>
      </c>
      <c r="T4363" t="n">
        <v>11</v>
      </c>
      <c r="U4363" t="n">
        <v>12</v>
      </c>
      <c r="V4363" t="n">
        <v>30</v>
      </c>
      <c r="W4363" t="n">
        <v>7</v>
      </c>
      <c r="X4363" t="n">
        <v>9.157509157509157</v>
      </c>
      <c r="Y4363" t="n">
        <v>1</v>
      </c>
      <c r="Z4363" t="n">
        <v>5</v>
      </c>
      <c r="AA4363" t="n">
        <v>0</v>
      </c>
      <c r="AB4363" t="n">
        <v>5</v>
      </c>
      <c r="AC4363" t="n">
        <v>5</v>
      </c>
      <c r="AD4363" t="n">
        <v>0</v>
      </c>
      <c r="AE4363" t="n">
        <v>135995</v>
      </c>
      <c r="AF4363" t="n">
        <v>2678</v>
      </c>
      <c r="AG4363" t="n">
        <v>104</v>
      </c>
      <c r="AH4363" t="inlineStr">
        <is>
          <t>PT. ASIA PARAMITA - PPN (PDG)</t>
        </is>
      </c>
      <c r="AI4363" t="n">
        <v>104</v>
      </c>
      <c r="AJ4363" t="inlineStr">
        <is>
          <t>PIXY</t>
        </is>
      </c>
      <c r="AK4363" t="n">
        <v>21</v>
      </c>
      <c r="AL4363" t="inlineStr">
        <is>
          <t>Miss Glam Damar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PIXY</t>
        </is>
      </c>
      <c r="B4364" s="2">
        <f>"8992222073851"</f>
        <v/>
      </c>
      <c r="C4364" t="inlineStr">
        <is>
          <t>PIXY Make It Glow Beauty Skin Primer 101 Beige 25ml</t>
        </is>
      </c>
      <c r="D4364" t="inlineStr">
        <is>
          <t>Miss Glam Damar</t>
        </is>
      </c>
      <c r="E4364" t="n">
        <v>38</v>
      </c>
      <c r="F4364" t="n">
        <v>2.7755</v>
      </c>
      <c r="G4364" t="n">
        <v>8.19</v>
      </c>
      <c r="H4364" t="n">
        <v>2</v>
      </c>
      <c r="I4364" t="n">
        <v>6</v>
      </c>
      <c r="J4364" t="n">
        <v>3</v>
      </c>
      <c r="K4364" t="n">
        <v>0</v>
      </c>
      <c r="L4364" t="n">
        <v>49544</v>
      </c>
      <c r="M4364" t="n">
        <v>54000</v>
      </c>
      <c r="N4364" t="n">
        <v>91</v>
      </c>
      <c r="O4364" t="n">
        <v>0.91</v>
      </c>
      <c r="P4364" t="n">
        <v>1</v>
      </c>
      <c r="Q4364" t="n">
        <v>1.69</v>
      </c>
      <c r="R4364" t="n">
        <v>6</v>
      </c>
      <c r="S4364" t="n">
        <v>149877</v>
      </c>
      <c r="T4364" t="n">
        <v>44</v>
      </c>
      <c r="U4364" t="n">
        <v>50</v>
      </c>
      <c r="V4364" t="n">
        <v>30</v>
      </c>
      <c r="W4364" t="n">
        <v>84</v>
      </c>
      <c r="X4364" t="n">
        <v>13.6912268059809</v>
      </c>
      <c r="Y4364" t="n">
        <v>1</v>
      </c>
      <c r="Z4364" t="n">
        <v>46</v>
      </c>
      <c r="AA4364" t="n">
        <v>0</v>
      </c>
      <c r="AB4364" t="n">
        <v>46</v>
      </c>
      <c r="AC4364" t="n">
        <v>46</v>
      </c>
      <c r="AD4364" t="n">
        <v>0</v>
      </c>
      <c r="AE4364" t="n">
        <v>2279024</v>
      </c>
      <c r="AF4364" t="n">
        <v>2678</v>
      </c>
      <c r="AG4364" t="n">
        <v>104</v>
      </c>
      <c r="AH4364" t="inlineStr">
        <is>
          <t>PT. ASIA PARAMITA - PPN (PDG)</t>
        </is>
      </c>
      <c r="AI4364" t="n">
        <v>104</v>
      </c>
      <c r="AJ4364" t="inlineStr">
        <is>
          <t>PIXY</t>
        </is>
      </c>
      <c r="AK4364" t="n">
        <v>21</v>
      </c>
      <c r="AL4364" t="inlineStr">
        <is>
          <t>Miss Glam Damar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PIXY</t>
        </is>
      </c>
      <c r="B4365" s="2">
        <f>"8992222073868"</f>
        <v/>
      </c>
      <c r="C4365" t="inlineStr">
        <is>
          <t>PIXY Make It Glow Dewy Cushion 101 Light Beige 15gr</t>
        </is>
      </c>
      <c r="D4365" t="inlineStr">
        <is>
          <t>Miss Glam Damar</t>
        </is>
      </c>
      <c r="E4365" t="n">
        <v>2</v>
      </c>
      <c r="F4365" t="n">
        <v>0.1365</v>
      </c>
      <c r="G4365" t="n">
        <v>1.82</v>
      </c>
      <c r="H4365" t="n">
        <v>2</v>
      </c>
      <c r="I4365" t="n">
        <v>6</v>
      </c>
      <c r="J4365" t="n">
        <v>3</v>
      </c>
      <c r="K4365" t="n">
        <v>0</v>
      </c>
      <c r="L4365" t="n">
        <v>102000</v>
      </c>
      <c r="M4365" t="n">
        <v>120000</v>
      </c>
      <c r="N4365" t="n">
        <v>91</v>
      </c>
      <c r="O4365" t="n">
        <v>0.91</v>
      </c>
      <c r="P4365" t="n">
        <v>1</v>
      </c>
      <c r="Q4365" t="n">
        <v>0.1</v>
      </c>
      <c r="R4365" t="n">
        <v>1</v>
      </c>
      <c r="S4365" t="n">
        <v>16380</v>
      </c>
      <c r="T4365" t="n">
        <v>11</v>
      </c>
      <c r="U4365" t="n">
        <v>12</v>
      </c>
      <c r="V4365" t="n">
        <v>30</v>
      </c>
      <c r="W4365" t="n">
        <v>5</v>
      </c>
      <c r="X4365" t="n">
        <v>14.65201465201465</v>
      </c>
      <c r="Y4365" t="n">
        <v>1</v>
      </c>
      <c r="Z4365" t="n">
        <v>3</v>
      </c>
      <c r="AA4365" t="n">
        <v>0</v>
      </c>
      <c r="AB4365" t="n">
        <v>3</v>
      </c>
      <c r="AC4365" t="n">
        <v>3</v>
      </c>
      <c r="AD4365" t="n">
        <v>0</v>
      </c>
      <c r="AE4365" t="n">
        <v>306000</v>
      </c>
      <c r="AF4365" t="n">
        <v>2678</v>
      </c>
      <c r="AG4365" t="n">
        <v>104</v>
      </c>
      <c r="AH4365" t="inlineStr">
        <is>
          <t>PT. ASIA PARAMITA - PPN (PDG)</t>
        </is>
      </c>
      <c r="AI4365" t="n">
        <v>104</v>
      </c>
      <c r="AJ4365" t="inlineStr">
        <is>
          <t>PIXY</t>
        </is>
      </c>
      <c r="AK4365" t="n">
        <v>21</v>
      </c>
      <c r="AL4365" t="inlineStr">
        <is>
          <t>Miss Glam Damar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PIXY</t>
        </is>
      </c>
      <c r="B4366" s="2">
        <f>"8992222073899"</f>
        <v/>
      </c>
      <c r="C4366" t="inlineStr">
        <is>
          <t>PIXY Make It Glow Dewy Cushion 101 Light Beige Refill 15g</t>
        </is>
      </c>
      <c r="D4366" t="inlineStr">
        <is>
          <t>Miss Glam Damar</t>
        </is>
      </c>
      <c r="E4366" t="n">
        <v>1</v>
      </c>
      <c r="F4366" t="n">
        <v>0.2002</v>
      </c>
      <c r="G4366" t="n">
        <v>2.73</v>
      </c>
      <c r="H4366" t="n">
        <v>2</v>
      </c>
      <c r="I4366" t="n">
        <v>6</v>
      </c>
      <c r="J4366" t="n">
        <v>3</v>
      </c>
      <c r="K4366" t="n">
        <v>0</v>
      </c>
      <c r="L4366" t="n">
        <v>73600</v>
      </c>
      <c r="M4366" t="n">
        <v>89000</v>
      </c>
      <c r="N4366" t="n">
        <v>91</v>
      </c>
      <c r="O4366" t="n">
        <v>0.91</v>
      </c>
      <c r="P4366" t="n">
        <v>1</v>
      </c>
      <c r="Q4366" t="n">
        <v>0.14</v>
      </c>
      <c r="R4366" t="n">
        <v>2</v>
      </c>
      <c r="S4366" t="n">
        <v>17817.8</v>
      </c>
      <c r="T4366" t="n">
        <v>16</v>
      </c>
      <c r="U4366" t="n">
        <v>17</v>
      </c>
      <c r="V4366" t="n">
        <v>30</v>
      </c>
      <c r="W4366" t="n">
        <v>7</v>
      </c>
      <c r="X4366" t="n">
        <v>4.995004995004995</v>
      </c>
      <c r="Y4366" t="n">
        <v>1</v>
      </c>
      <c r="Z4366" t="n">
        <v>6</v>
      </c>
      <c r="AA4366" t="n">
        <v>1</v>
      </c>
      <c r="AB4366" t="n">
        <v>5</v>
      </c>
      <c r="AC4366" t="n">
        <v>5</v>
      </c>
      <c r="AD4366" t="n">
        <v>73600</v>
      </c>
      <c r="AE4366" t="n">
        <v>368000</v>
      </c>
      <c r="AF4366" t="n">
        <v>2678</v>
      </c>
      <c r="AG4366" t="n">
        <v>104</v>
      </c>
      <c r="AH4366" t="inlineStr">
        <is>
          <t>PT. ASIA PARAMITA - PPN (PDG)</t>
        </is>
      </c>
      <c r="AI4366" t="n">
        <v>104</v>
      </c>
      <c r="AJ4366" t="inlineStr">
        <is>
          <t>PIXY</t>
        </is>
      </c>
      <c r="AK4366" t="n">
        <v>21</v>
      </c>
      <c r="AL4366" t="inlineStr">
        <is>
          <t>Miss Glam Damar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PIXY</t>
        </is>
      </c>
      <c r="B4367" s="2">
        <f>"8992222073875"</f>
        <v/>
      </c>
      <c r="C4367" t="inlineStr">
        <is>
          <t>PIXY Make It Glow Dewy Cushion 201 Neutral Beige 15gr</t>
        </is>
      </c>
      <c r="D4367" t="inlineStr">
        <is>
          <t>Miss Glam Damar</t>
        </is>
      </c>
      <c r="E4367" t="n">
        <v>3</v>
      </c>
      <c r="F4367" t="n">
        <v>0.1092</v>
      </c>
      <c r="G4367" t="n">
        <v>0.91</v>
      </c>
      <c r="H4367" t="n">
        <v>2</v>
      </c>
      <c r="I4367" t="n">
        <v>6</v>
      </c>
      <c r="J4367" t="n">
        <v>3</v>
      </c>
      <c r="K4367" t="n">
        <v>0</v>
      </c>
      <c r="L4367" t="n">
        <v>102000</v>
      </c>
      <c r="M4367" t="n">
        <v>120000</v>
      </c>
      <c r="N4367" t="n">
        <v>91</v>
      </c>
      <c r="O4367" t="n">
        <v>0.91</v>
      </c>
      <c r="P4367" t="n">
        <v>1</v>
      </c>
      <c r="Q4367" t="n">
        <v>0.03</v>
      </c>
      <c r="R4367" t="n">
        <v>1</v>
      </c>
      <c r="S4367" t="n">
        <v>13104</v>
      </c>
      <c r="T4367" t="n">
        <v>6</v>
      </c>
      <c r="U4367" t="n">
        <v>7</v>
      </c>
      <c r="V4367" t="n">
        <v>30</v>
      </c>
      <c r="W4367" t="n">
        <v>4</v>
      </c>
      <c r="X4367" t="n">
        <v>27.47252747252747</v>
      </c>
      <c r="Y4367" t="n">
        <v>1</v>
      </c>
      <c r="Z4367" t="n">
        <v>1</v>
      </c>
      <c r="AA4367" t="n">
        <v>0</v>
      </c>
      <c r="AB4367" t="n">
        <v>1</v>
      </c>
      <c r="AC4367" t="n">
        <v>3</v>
      </c>
      <c r="AD4367" t="n">
        <v>0</v>
      </c>
      <c r="AE4367" t="n">
        <v>306000</v>
      </c>
      <c r="AF4367" t="n">
        <v>2678</v>
      </c>
      <c r="AG4367" t="n">
        <v>104</v>
      </c>
      <c r="AH4367" t="inlineStr">
        <is>
          <t>PT. ASIA PARAMITA - PPN (PDG)</t>
        </is>
      </c>
      <c r="AI4367" t="n">
        <v>104</v>
      </c>
      <c r="AJ4367" t="inlineStr">
        <is>
          <t>PIXY</t>
        </is>
      </c>
      <c r="AK4367" t="n">
        <v>21</v>
      </c>
      <c r="AL4367" t="inlineStr">
        <is>
          <t>Miss Glam Damar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PIXY</t>
        </is>
      </c>
      <c r="B4368" s="2">
        <f>"8992222073905"</f>
        <v/>
      </c>
      <c r="C4368" t="inlineStr">
        <is>
          <t>PIXY Make It Glow Dewy Cushion 201 Neutral Beige Refill 15g</t>
        </is>
      </c>
      <c r="D4368" t="inlineStr">
        <is>
          <t>Miss Glam Damar</t>
        </is>
      </c>
      <c r="E4368" t="n">
        <v>5</v>
      </c>
      <c r="F4368" t="n">
        <v>0.04550000000000001</v>
      </c>
      <c r="G4368" t="n">
        <v>0.91</v>
      </c>
      <c r="H4368" t="n">
        <v>2</v>
      </c>
      <c r="I4368" t="n">
        <v>6</v>
      </c>
      <c r="J4368" t="n">
        <v>3</v>
      </c>
      <c r="K4368" t="n">
        <v>0</v>
      </c>
      <c r="L4368" t="n">
        <v>73600</v>
      </c>
      <c r="M4368" t="n">
        <v>87000</v>
      </c>
      <c r="N4368" t="n">
        <v>91</v>
      </c>
      <c r="O4368" t="n">
        <v>0.91</v>
      </c>
      <c r="P4368" t="n">
        <v>1</v>
      </c>
      <c r="Q4368" t="n">
        <v>0.14</v>
      </c>
      <c r="R4368" t="n">
        <v>1</v>
      </c>
      <c r="S4368" t="n">
        <v>3958.5</v>
      </c>
      <c r="T4368" t="n">
        <v>6</v>
      </c>
      <c r="U4368" t="n">
        <v>7</v>
      </c>
      <c r="V4368" t="n">
        <v>30</v>
      </c>
      <c r="W4368" t="n">
        <v>2</v>
      </c>
      <c r="X4368" t="n">
        <v>109.8901098901099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2678</v>
      </c>
      <c r="AG4368" t="n">
        <v>104</v>
      </c>
      <c r="AH4368" t="inlineStr">
        <is>
          <t>PT. ASIA PARAMITA - PPN (PDG)</t>
        </is>
      </c>
      <c r="AI4368" t="n">
        <v>104</v>
      </c>
      <c r="AJ4368" t="inlineStr">
        <is>
          <t>PIXY</t>
        </is>
      </c>
      <c r="AK4368" t="n">
        <v>21</v>
      </c>
      <c r="AL4368" t="inlineStr">
        <is>
          <t>Miss Glam Damar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PIXY</t>
        </is>
      </c>
      <c r="B4369" s="2">
        <f>"8992222073882"</f>
        <v/>
      </c>
      <c r="C4369" t="inlineStr">
        <is>
          <t>PIXY Make It Glow Dewy Cushion 301 Medium Beige 15g</t>
        </is>
      </c>
      <c r="D4369" t="inlineStr">
        <is>
          <t>Miss Glam Damar</t>
        </is>
      </c>
      <c r="E4369" t="n">
        <v>4</v>
      </c>
      <c r="F4369" t="n">
        <v>0.0273</v>
      </c>
      <c r="G4369" t="n">
        <v>0.91</v>
      </c>
      <c r="H4369" t="n">
        <v>2</v>
      </c>
      <c r="I4369" t="n">
        <v>6</v>
      </c>
      <c r="J4369" t="n">
        <v>3</v>
      </c>
      <c r="K4369" t="n">
        <v>0</v>
      </c>
      <c r="L4369" t="n">
        <v>102000</v>
      </c>
      <c r="M4369" t="n">
        <v>120000</v>
      </c>
      <c r="N4369" t="n">
        <v>91</v>
      </c>
      <c r="O4369" t="n">
        <v>0.91</v>
      </c>
      <c r="P4369" t="n">
        <v>1</v>
      </c>
      <c r="Q4369" t="n">
        <v>0.02</v>
      </c>
      <c r="R4369" t="n">
        <v>1</v>
      </c>
      <c r="S4369" t="n">
        <v>3276</v>
      </c>
      <c r="T4369" t="n">
        <v>6</v>
      </c>
      <c r="U4369" t="n">
        <v>7</v>
      </c>
      <c r="V4369" t="n">
        <v>30</v>
      </c>
      <c r="W4369" t="n">
        <v>1</v>
      </c>
      <c r="X4369" t="n">
        <v>146.5201465201465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2678</v>
      </c>
      <c r="AG4369" t="n">
        <v>104</v>
      </c>
      <c r="AH4369" t="inlineStr">
        <is>
          <t>PT. ASIA PARAMITA - PPN (PDG)</t>
        </is>
      </c>
      <c r="AI4369" t="n">
        <v>104</v>
      </c>
      <c r="AJ4369" t="inlineStr">
        <is>
          <t>PIXY</t>
        </is>
      </c>
      <c r="AK4369" t="n">
        <v>21</v>
      </c>
      <c r="AL4369" t="inlineStr">
        <is>
          <t>Miss Glam Damar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PIXY</t>
        </is>
      </c>
      <c r="B4370" s="2">
        <f>"8992222073912"</f>
        <v/>
      </c>
      <c r="C4370" t="inlineStr">
        <is>
          <t>PIXY Make It Glow Dewy Cushion 301 Medium Beige Refill 15g</t>
        </is>
      </c>
      <c r="D4370" t="inlineStr">
        <is>
          <t>Miss Glam Damar</t>
        </is>
      </c>
      <c r="E4370" t="n">
        <v>3</v>
      </c>
      <c r="F4370" t="n">
        <v>0.04550000000000001</v>
      </c>
      <c r="G4370" t="n">
        <v>0.91</v>
      </c>
      <c r="H4370" t="n">
        <v>2</v>
      </c>
      <c r="I4370" t="n">
        <v>6</v>
      </c>
      <c r="J4370" t="n">
        <v>3</v>
      </c>
      <c r="K4370" t="n">
        <v>0</v>
      </c>
      <c r="L4370" t="n">
        <v>73600</v>
      </c>
      <c r="M4370" t="n">
        <v>87000</v>
      </c>
      <c r="N4370" t="n">
        <v>91</v>
      </c>
      <c r="O4370" t="n">
        <v>0.91</v>
      </c>
      <c r="P4370" t="n">
        <v>1</v>
      </c>
      <c r="Q4370" t="n">
        <v>0.02</v>
      </c>
      <c r="R4370" t="n">
        <v>1</v>
      </c>
      <c r="S4370" t="n">
        <v>3958.5</v>
      </c>
      <c r="T4370" t="n">
        <v>6</v>
      </c>
      <c r="U4370" t="n">
        <v>7</v>
      </c>
      <c r="V4370" t="n">
        <v>30</v>
      </c>
      <c r="W4370" t="n">
        <v>2</v>
      </c>
      <c r="X4370" t="n">
        <v>65.93406593406593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2678</v>
      </c>
      <c r="AG4370" t="n">
        <v>104</v>
      </c>
      <c r="AH4370" t="inlineStr">
        <is>
          <t>PT. ASIA PARAMITA - PPN (PDG)</t>
        </is>
      </c>
      <c r="AI4370" t="n">
        <v>104</v>
      </c>
      <c r="AJ4370" t="inlineStr">
        <is>
          <t>PIXY</t>
        </is>
      </c>
      <c r="AK4370" t="n">
        <v>21</v>
      </c>
      <c r="AL4370" t="inlineStr">
        <is>
          <t>Miss Glam Damar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PIXY</t>
        </is>
      </c>
      <c r="B4371" s="2">
        <f>"8992222074025"</f>
        <v/>
      </c>
      <c r="C4371" t="inlineStr">
        <is>
          <t>PIXY Make It Glow Silky Powdery Cake 301 Medium Beige</t>
        </is>
      </c>
      <c r="D4371" t="inlineStr">
        <is>
          <t>Miss Glam Damar</t>
        </is>
      </c>
      <c r="E4371" t="n">
        <v>2</v>
      </c>
      <c r="F4371" t="n">
        <v>0.0273</v>
      </c>
      <c r="G4371" t="n">
        <v>0.91</v>
      </c>
      <c r="H4371" t="n">
        <v>2</v>
      </c>
      <c r="I4371" t="n">
        <v>6</v>
      </c>
      <c r="J4371" t="n">
        <v>3</v>
      </c>
      <c r="K4371" t="n">
        <v>0</v>
      </c>
      <c r="L4371" t="n">
        <v>57200</v>
      </c>
      <c r="M4371" t="n">
        <v>70000</v>
      </c>
      <c r="N4371" t="n">
        <v>91</v>
      </c>
      <c r="O4371" t="n">
        <v>0.91</v>
      </c>
      <c r="P4371" t="n">
        <v>1</v>
      </c>
      <c r="Q4371" t="n">
        <v>0.02</v>
      </c>
      <c r="R4371" t="n">
        <v>1</v>
      </c>
      <c r="S4371" t="n">
        <v>1911</v>
      </c>
      <c r="T4371" t="n">
        <v>6</v>
      </c>
      <c r="U4371" t="n">
        <v>7</v>
      </c>
      <c r="V4371" t="n">
        <v>30</v>
      </c>
      <c r="W4371" t="n">
        <v>1</v>
      </c>
      <c r="X4371" t="n">
        <v>73.26007326007326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2678</v>
      </c>
      <c r="AG4371" t="n">
        <v>104</v>
      </c>
      <c r="AH4371" t="inlineStr">
        <is>
          <t>PT. ASIA PARAMITA - PPN (PDG)</t>
        </is>
      </c>
      <c r="AI4371" t="n">
        <v>104</v>
      </c>
      <c r="AJ4371" t="inlineStr">
        <is>
          <t>PIXY</t>
        </is>
      </c>
      <c r="AK4371" t="n">
        <v>21</v>
      </c>
      <c r="AL4371" t="inlineStr">
        <is>
          <t>Miss Glam Damar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PIXY</t>
        </is>
      </c>
      <c r="B4372" s="2">
        <f>"8992222074049"</f>
        <v/>
      </c>
      <c r="C4372" t="inlineStr">
        <is>
          <t>PIXY Make It Glow Silky Powdery Cake Refill 101 Light Beige</t>
        </is>
      </c>
      <c r="D4372" t="inlineStr">
        <is>
          <t>Miss Glam Damar</t>
        </is>
      </c>
      <c r="E4372" t="n">
        <v>2</v>
      </c>
      <c r="F4372" t="n">
        <v>0.0273</v>
      </c>
      <c r="G4372" t="n">
        <v>0.91</v>
      </c>
      <c r="H4372" t="n">
        <v>2</v>
      </c>
      <c r="I4372" t="n">
        <v>6</v>
      </c>
      <c r="J4372" t="n">
        <v>3</v>
      </c>
      <c r="K4372" t="n">
        <v>0</v>
      </c>
      <c r="L4372" t="n">
        <v>39800</v>
      </c>
      <c r="M4372" t="n">
        <v>46500</v>
      </c>
      <c r="N4372" t="n">
        <v>91</v>
      </c>
      <c r="O4372" t="n">
        <v>0.91</v>
      </c>
      <c r="P4372" t="n">
        <v>1</v>
      </c>
      <c r="Q4372" t="n">
        <v>0.14</v>
      </c>
      <c r="R4372" t="n">
        <v>2</v>
      </c>
      <c r="S4372" t="n">
        <v>1269.45</v>
      </c>
      <c r="T4372" t="n">
        <v>6</v>
      </c>
      <c r="U4372" t="n">
        <v>7</v>
      </c>
      <c r="V4372" t="n">
        <v>30</v>
      </c>
      <c r="W4372" t="n">
        <v>1</v>
      </c>
      <c r="X4372" t="n">
        <v>73.26007326007326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2678</v>
      </c>
      <c r="AG4372" t="n">
        <v>104</v>
      </c>
      <c r="AH4372" t="inlineStr">
        <is>
          <t>PT. ASIA PARAMITA - PPN (PDG)</t>
        </is>
      </c>
      <c r="AI4372" t="n">
        <v>104</v>
      </c>
      <c r="AJ4372" t="inlineStr">
        <is>
          <t>PIXY</t>
        </is>
      </c>
      <c r="AK4372" t="n">
        <v>21</v>
      </c>
      <c r="AL4372" t="inlineStr">
        <is>
          <t>Miss Glam Damar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PIXY</t>
        </is>
      </c>
      <c r="B4373" s="2">
        <f>"8992222074063"</f>
        <v/>
      </c>
      <c r="C4373" t="inlineStr">
        <is>
          <t>PIXY Make It Glow Silky Powdery Cake Refill 301 Medium Beige</t>
        </is>
      </c>
      <c r="D4373" t="inlineStr">
        <is>
          <t>Miss Glam Damar</t>
        </is>
      </c>
      <c r="E4373" t="n">
        <v>2</v>
      </c>
      <c r="F4373" t="n">
        <v>0.0273</v>
      </c>
      <c r="G4373" t="n">
        <v>0.91</v>
      </c>
      <c r="H4373" t="n">
        <v>2</v>
      </c>
      <c r="I4373" t="n">
        <v>6</v>
      </c>
      <c r="J4373" t="n">
        <v>3</v>
      </c>
      <c r="K4373" t="n">
        <v>0</v>
      </c>
      <c r="L4373" t="n">
        <v>36800</v>
      </c>
      <c r="M4373" t="n">
        <v>44000</v>
      </c>
      <c r="N4373" t="n">
        <v>91</v>
      </c>
      <c r="O4373" t="n">
        <v>0.91</v>
      </c>
      <c r="P4373" t="n">
        <v>1</v>
      </c>
      <c r="Q4373" t="n">
        <v>0.03</v>
      </c>
      <c r="R4373" t="n">
        <v>1</v>
      </c>
      <c r="S4373" t="n">
        <v>1201.2</v>
      </c>
      <c r="T4373" t="n">
        <v>6</v>
      </c>
      <c r="U4373" t="n">
        <v>7</v>
      </c>
      <c r="V4373" t="n">
        <v>30</v>
      </c>
      <c r="W4373" t="n">
        <v>1</v>
      </c>
      <c r="X4373" t="n">
        <v>73.26007326007326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2678</v>
      </c>
      <c r="AG4373" t="n">
        <v>104</v>
      </c>
      <c r="AH4373" t="inlineStr">
        <is>
          <t>PT. ASIA PARAMITA - PPN (PDG)</t>
        </is>
      </c>
      <c r="AI4373" t="n">
        <v>104</v>
      </c>
      <c r="AJ4373" t="inlineStr">
        <is>
          <t>PIXY</t>
        </is>
      </c>
      <c r="AK4373" t="n">
        <v>21</v>
      </c>
      <c r="AL4373" t="inlineStr">
        <is>
          <t>Miss Glam Damar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PIXY</t>
        </is>
      </c>
      <c r="B4374" s="2">
        <f>"8992222074001"</f>
        <v/>
      </c>
      <c r="C4374" t="inlineStr">
        <is>
          <t>PIXY Make It Glow Silky Powdery Cake101 Light Beige</t>
        </is>
      </c>
      <c r="D4374" t="inlineStr">
        <is>
          <t>Miss Glam Damar</t>
        </is>
      </c>
      <c r="E4374" t="n">
        <v>5</v>
      </c>
      <c r="F4374" t="n">
        <v>0.04550000000000001</v>
      </c>
      <c r="G4374" t="n">
        <v>0.91</v>
      </c>
      <c r="H4374" t="n">
        <v>2</v>
      </c>
      <c r="I4374" t="n">
        <v>6</v>
      </c>
      <c r="J4374" t="n">
        <v>3</v>
      </c>
      <c r="K4374" t="n">
        <v>0</v>
      </c>
      <c r="L4374" t="n">
        <v>60001</v>
      </c>
      <c r="M4374" t="n">
        <v>71000</v>
      </c>
      <c r="N4374" t="n">
        <v>91</v>
      </c>
      <c r="O4374" t="n">
        <v>0.91</v>
      </c>
      <c r="P4374" t="n">
        <v>1</v>
      </c>
      <c r="Q4374" t="n">
        <v>0.14</v>
      </c>
      <c r="R4374" t="n">
        <v>1</v>
      </c>
      <c r="S4374" t="n">
        <v>3230.5</v>
      </c>
      <c r="T4374" t="n">
        <v>6</v>
      </c>
      <c r="U4374" t="n">
        <v>7</v>
      </c>
      <c r="V4374" t="n">
        <v>30</v>
      </c>
      <c r="W4374" t="n">
        <v>2</v>
      </c>
      <c r="X4374" t="n">
        <v>109.8901098901099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2678</v>
      </c>
      <c r="AG4374" t="n">
        <v>104</v>
      </c>
      <c r="AH4374" t="inlineStr">
        <is>
          <t>PT. ASIA PARAMITA - PPN (PDG)</t>
        </is>
      </c>
      <c r="AI4374" t="n">
        <v>104</v>
      </c>
      <c r="AJ4374" t="inlineStr">
        <is>
          <t>PIXY</t>
        </is>
      </c>
      <c r="AK4374" t="n">
        <v>21</v>
      </c>
      <c r="AL4374" t="inlineStr">
        <is>
          <t>Miss Glam Damar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PIXY</t>
        </is>
      </c>
      <c r="B4375" s="2">
        <f>"8992222075039"</f>
        <v/>
      </c>
      <c r="C4375" t="inlineStr">
        <is>
          <t>PIXY Make It Glow Techno Fixed Matte Cushion-101 Light Beige (Refill) 15gr</t>
        </is>
      </c>
      <c r="D4375" t="inlineStr">
        <is>
          <t>Miss Glam Damar</t>
        </is>
      </c>
      <c r="E4375" t="n">
        <v>2</v>
      </c>
      <c r="F4375" t="n">
        <v>0.0273</v>
      </c>
      <c r="G4375" t="n">
        <v>0.91</v>
      </c>
      <c r="H4375" t="n">
        <v>2</v>
      </c>
      <c r="I4375" t="n">
        <v>6</v>
      </c>
      <c r="J4375" t="n">
        <v>3</v>
      </c>
      <c r="K4375" t="n">
        <v>0</v>
      </c>
      <c r="L4375" t="n">
        <v>91999</v>
      </c>
      <c r="M4375" t="n">
        <v>108500</v>
      </c>
      <c r="N4375" t="n">
        <v>91</v>
      </c>
      <c r="O4375" t="n">
        <v>0.91</v>
      </c>
      <c r="P4375" t="n">
        <v>1</v>
      </c>
      <c r="Q4375" t="n">
        <v>0.03</v>
      </c>
      <c r="R4375" t="n">
        <v>1</v>
      </c>
      <c r="S4375" t="n">
        <v>2962.05</v>
      </c>
      <c r="T4375" t="n">
        <v>6</v>
      </c>
      <c r="U4375" t="n">
        <v>7</v>
      </c>
      <c r="V4375" t="n">
        <v>30</v>
      </c>
      <c r="W4375" t="n">
        <v>1</v>
      </c>
      <c r="X4375" t="n">
        <v>73.26007326007326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2678</v>
      </c>
      <c r="AG4375" t="n">
        <v>104</v>
      </c>
      <c r="AH4375" t="inlineStr">
        <is>
          <t>PT. ASIA PARAMITA - PPN (PDG)</t>
        </is>
      </c>
      <c r="AI4375" t="n">
        <v>104</v>
      </c>
      <c r="AJ4375" t="inlineStr">
        <is>
          <t>PIXY</t>
        </is>
      </c>
      <c r="AK4375" t="n">
        <v>21</v>
      </c>
      <c r="AL4375" t="inlineStr">
        <is>
          <t>Miss Glam Damar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PIXY</t>
        </is>
      </c>
      <c r="B4376" s="2">
        <f>"8992222075046"</f>
        <v/>
      </c>
      <c r="C4376" t="inlineStr">
        <is>
          <t>PIXY Make It Glow Techno Fixed Matte Cushion-201 Natural Beige (Refill) 15gr</t>
        </is>
      </c>
      <c r="D4376" t="inlineStr">
        <is>
          <t>Miss Glam Damar</t>
        </is>
      </c>
      <c r="E4376" t="n">
        <v>4</v>
      </c>
      <c r="F4376" t="n">
        <v>0.0182</v>
      </c>
      <c r="G4376" t="n">
        <v>0.91</v>
      </c>
      <c r="H4376" t="n">
        <v>2</v>
      </c>
      <c r="I4376" t="n">
        <v>6</v>
      </c>
      <c r="J4376" t="n">
        <v>3</v>
      </c>
      <c r="K4376" t="n">
        <v>0</v>
      </c>
      <c r="L4376" t="n">
        <v>91999</v>
      </c>
      <c r="M4376" t="n">
        <v>108500</v>
      </c>
      <c r="N4376" t="n">
        <v>91</v>
      </c>
      <c r="O4376" t="n">
        <v>0.91</v>
      </c>
      <c r="P4376" t="n">
        <v>1</v>
      </c>
      <c r="Q4376" t="n">
        <v>0.02</v>
      </c>
      <c r="R4376" t="n">
        <v>1</v>
      </c>
      <c r="S4376" t="n">
        <v>1974.7</v>
      </c>
      <c r="T4376" t="n">
        <v>6</v>
      </c>
      <c r="U4376" t="n">
        <v>7</v>
      </c>
      <c r="V4376" t="n">
        <v>30</v>
      </c>
      <c r="W4376" t="n">
        <v>1</v>
      </c>
      <c r="X4376" t="n">
        <v>219.7802197802198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2678</v>
      </c>
      <c r="AG4376" t="n">
        <v>104</v>
      </c>
      <c r="AH4376" t="inlineStr">
        <is>
          <t>PT. ASIA PARAMITA - PPN (PDG)</t>
        </is>
      </c>
      <c r="AI4376" t="n">
        <v>104</v>
      </c>
      <c r="AJ4376" t="inlineStr">
        <is>
          <t>PIXY</t>
        </is>
      </c>
      <c r="AK4376" t="n">
        <v>21</v>
      </c>
      <c r="AL4376" t="inlineStr">
        <is>
          <t>Miss Glam Damar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PIXY</t>
        </is>
      </c>
      <c r="B4377" s="2">
        <f>"8992222074933"</f>
        <v/>
      </c>
      <c r="C4377" t="inlineStr">
        <is>
          <t>PIXY Make It Glow Techno Fixed Matte Cushion-201 Natural Beige 15gr</t>
        </is>
      </c>
      <c r="D4377" t="inlineStr">
        <is>
          <t>Miss Glam Damar</t>
        </is>
      </c>
      <c r="E4377" t="n">
        <v>4</v>
      </c>
      <c r="F4377" t="n">
        <v>0.0182</v>
      </c>
      <c r="G4377" t="n">
        <v>0.91</v>
      </c>
      <c r="H4377" t="n">
        <v>2</v>
      </c>
      <c r="I4377" t="n">
        <v>6</v>
      </c>
      <c r="J4377" t="n">
        <v>3</v>
      </c>
      <c r="K4377" t="n">
        <v>0</v>
      </c>
      <c r="L4377" t="n">
        <v>130000</v>
      </c>
      <c r="M4377" t="n">
        <v>153000</v>
      </c>
      <c r="N4377" t="n">
        <v>91</v>
      </c>
      <c r="O4377" t="n">
        <v>0.91</v>
      </c>
      <c r="P4377" t="n">
        <v>1</v>
      </c>
      <c r="Q4377" t="n">
        <v>0.02</v>
      </c>
      <c r="R4377" t="n">
        <v>1</v>
      </c>
      <c r="S4377" t="n">
        <v>2784.6</v>
      </c>
      <c r="T4377" t="n">
        <v>6</v>
      </c>
      <c r="U4377" t="n">
        <v>7</v>
      </c>
      <c r="V4377" t="n">
        <v>30</v>
      </c>
      <c r="W4377" t="n">
        <v>1</v>
      </c>
      <c r="X4377" t="n">
        <v>219.7802197802198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2678</v>
      </c>
      <c r="AG4377" t="n">
        <v>104</v>
      </c>
      <c r="AH4377" t="inlineStr">
        <is>
          <t>PT. ASIA PARAMITA - PPN (PDG)</t>
        </is>
      </c>
      <c r="AI4377" t="n">
        <v>104</v>
      </c>
      <c r="AJ4377" t="inlineStr">
        <is>
          <t>PIXY</t>
        </is>
      </c>
      <c r="AK4377" t="n">
        <v>21</v>
      </c>
      <c r="AL4377" t="inlineStr">
        <is>
          <t>Miss Glam Damar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PIXY</t>
        </is>
      </c>
      <c r="B4378" s="2">
        <f>"8992222074957"</f>
        <v/>
      </c>
      <c r="C4378" t="inlineStr">
        <is>
          <t>PIXY Make It Glow Techno Fixed Matte Primer-101 Fair Beige 25ml</t>
        </is>
      </c>
      <c r="D4378" t="inlineStr">
        <is>
          <t>Miss Glam Damar</t>
        </is>
      </c>
      <c r="E4378" t="n">
        <v>7</v>
      </c>
      <c r="F4378" t="n">
        <v>0.2639</v>
      </c>
      <c r="G4378" t="n">
        <v>1.82</v>
      </c>
      <c r="H4378" t="n">
        <v>2</v>
      </c>
      <c r="I4378" t="n">
        <v>6</v>
      </c>
      <c r="J4378" t="n">
        <v>3</v>
      </c>
      <c r="K4378" t="n">
        <v>0</v>
      </c>
      <c r="L4378" t="n">
        <v>57200</v>
      </c>
      <c r="M4378" t="n">
        <v>71500</v>
      </c>
      <c r="N4378" t="n">
        <v>91</v>
      </c>
      <c r="O4378" t="n">
        <v>0.91</v>
      </c>
      <c r="P4378" t="n">
        <v>1</v>
      </c>
      <c r="Q4378" t="n">
        <v>0.19</v>
      </c>
      <c r="R4378" t="n">
        <v>1</v>
      </c>
      <c r="S4378" t="n">
        <v>18868.85</v>
      </c>
      <c r="T4378" t="n">
        <v>11</v>
      </c>
      <c r="U4378" t="n">
        <v>12</v>
      </c>
      <c r="V4378" t="n">
        <v>30</v>
      </c>
      <c r="W4378" t="n">
        <v>8</v>
      </c>
      <c r="X4378" t="n">
        <v>26.52519893899204</v>
      </c>
      <c r="Y4378" t="n">
        <v>1</v>
      </c>
      <c r="Z4378" t="n">
        <v>1</v>
      </c>
      <c r="AA4378" t="n">
        <v>0</v>
      </c>
      <c r="AB4378" t="n">
        <v>1</v>
      </c>
      <c r="AC4378" t="n">
        <v>3</v>
      </c>
      <c r="AD4378" t="n">
        <v>0</v>
      </c>
      <c r="AE4378" t="n">
        <v>171600</v>
      </c>
      <c r="AF4378" t="n">
        <v>2678</v>
      </c>
      <c r="AG4378" t="n">
        <v>104</v>
      </c>
      <c r="AH4378" t="inlineStr">
        <is>
          <t>PT. ASIA PARAMITA - PPN (PDG)</t>
        </is>
      </c>
      <c r="AI4378" t="n">
        <v>104</v>
      </c>
      <c r="AJ4378" t="inlineStr">
        <is>
          <t>PIXY</t>
        </is>
      </c>
      <c r="AK4378" t="n">
        <v>21</v>
      </c>
      <c r="AL4378" t="inlineStr">
        <is>
          <t>Miss Glam Damar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PIXY</t>
        </is>
      </c>
      <c r="B4379" s="2">
        <f>"8992222075077"</f>
        <v/>
      </c>
      <c r="C4379" t="inlineStr">
        <is>
          <t>PIXY Make It Glow Translucent Powder 8gr</t>
        </is>
      </c>
      <c r="D4379" t="inlineStr">
        <is>
          <t>Miss Glam Damar</t>
        </is>
      </c>
      <c r="E4379" t="n">
        <v>3</v>
      </c>
      <c r="F4379" t="n">
        <v>0.09100000000000001</v>
      </c>
      <c r="G4379" t="n">
        <v>0.91</v>
      </c>
      <c r="H4379" t="n">
        <v>2</v>
      </c>
      <c r="I4379" t="n">
        <v>6</v>
      </c>
      <c r="J4379" t="n">
        <v>3</v>
      </c>
      <c r="K4379" t="n">
        <v>0</v>
      </c>
      <c r="L4379" t="n">
        <v>71999</v>
      </c>
      <c r="M4379" t="n">
        <v>85000</v>
      </c>
      <c r="N4379" t="n">
        <v>91</v>
      </c>
      <c r="O4379" t="n">
        <v>0.91</v>
      </c>
      <c r="P4379" t="n">
        <v>1</v>
      </c>
      <c r="Q4379" t="n">
        <v>0.02</v>
      </c>
      <c r="R4379" t="n">
        <v>1</v>
      </c>
      <c r="S4379" t="n">
        <v>7735.000000000001</v>
      </c>
      <c r="T4379" t="n">
        <v>6</v>
      </c>
      <c r="U4379" t="n">
        <v>7</v>
      </c>
      <c r="V4379" t="n">
        <v>30</v>
      </c>
      <c r="W4379" t="n">
        <v>3</v>
      </c>
      <c r="X4379" t="n">
        <v>32.96703296703296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2678</v>
      </c>
      <c r="AG4379" t="n">
        <v>104</v>
      </c>
      <c r="AH4379" t="inlineStr">
        <is>
          <t>PT. ASIA PARAMITA - PPN (PDG)</t>
        </is>
      </c>
      <c r="AI4379" t="n">
        <v>104</v>
      </c>
      <c r="AJ4379" t="inlineStr">
        <is>
          <t>PIXY</t>
        </is>
      </c>
      <c r="AK4379" t="n">
        <v>21</v>
      </c>
      <c r="AL4379" t="inlineStr">
        <is>
          <t>Miss Glam Damar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PIXY</t>
        </is>
      </c>
      <c r="B4380" s="2">
        <f>"20100487849"</f>
        <v/>
      </c>
      <c r="C4380" t="inlineStr">
        <is>
          <t>PIXY Matte Cushion 202N Light Ivory 11gr</t>
        </is>
      </c>
      <c r="D4380" t="inlineStr">
        <is>
          <t>Miss Glam Damar</t>
        </is>
      </c>
      <c r="E4380" t="n">
        <v>0</v>
      </c>
      <c r="F4380" t="n">
        <v>0.05</v>
      </c>
      <c r="G4380" t="n">
        <v>1</v>
      </c>
      <c r="H4380" t="n">
        <v>2</v>
      </c>
      <c r="I4380" t="n">
        <v>6</v>
      </c>
      <c r="J4380" t="n">
        <v>1</v>
      </c>
      <c r="K4380" t="n">
        <v>0</v>
      </c>
      <c r="L4380" t="n">
        <v>111200</v>
      </c>
      <c r="M4380" t="n">
        <v>131000</v>
      </c>
      <c r="N4380" t="n">
        <v>91</v>
      </c>
      <c r="O4380" t="n">
        <v>0.91</v>
      </c>
      <c r="P4380" t="n">
        <v>0</v>
      </c>
      <c r="Q4380" t="n">
        <v>0.05</v>
      </c>
      <c r="R4380" t="n">
        <v>1</v>
      </c>
      <c r="S4380" t="n">
        <v>6550</v>
      </c>
      <c r="T4380" t="n">
        <v>6</v>
      </c>
      <c r="U4380" t="n">
        <v>7</v>
      </c>
      <c r="V4380" t="n">
        <v>30</v>
      </c>
      <c r="W4380" t="n">
        <v>2</v>
      </c>
      <c r="X4380" t="n">
        <v>0</v>
      </c>
      <c r="Y4380" t="n">
        <v>1</v>
      </c>
      <c r="Z4380" t="n">
        <v>2</v>
      </c>
      <c r="AA4380" t="n">
        <v>1</v>
      </c>
      <c r="AB4380" t="n">
        <v>1</v>
      </c>
      <c r="AC4380" t="n">
        <v>1</v>
      </c>
      <c r="AD4380" t="n">
        <v>111200</v>
      </c>
      <c r="AE4380" t="n">
        <v>111200</v>
      </c>
      <c r="AF4380" t="n">
        <v>2678</v>
      </c>
      <c r="AG4380" t="n">
        <v>104</v>
      </c>
      <c r="AH4380" t="inlineStr">
        <is>
          <t>PT. ASIA PARAMITA - PPN (PDG)</t>
        </is>
      </c>
      <c r="AI4380" t="n">
        <v>104</v>
      </c>
      <c r="AJ4380" t="inlineStr">
        <is>
          <t>PIXY</t>
        </is>
      </c>
      <c r="AK4380" t="n">
        <v>21</v>
      </c>
      <c r="AL4380" t="inlineStr">
        <is>
          <t>Miss Glam Damar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PIXY</t>
        </is>
      </c>
      <c r="B4381" s="2">
        <f>"20100488026"</f>
        <v/>
      </c>
      <c r="C4381" t="inlineStr">
        <is>
          <t>PIXY Matte Cushion 203w Warm Light 11gr</t>
        </is>
      </c>
      <c r="D4381" t="inlineStr">
        <is>
          <t>Miss Glam Damar</t>
        </is>
      </c>
      <c r="E4381" t="n">
        <v>2</v>
      </c>
      <c r="F4381" t="n">
        <v>0.0182</v>
      </c>
      <c r="G4381" t="n">
        <v>0.91</v>
      </c>
      <c r="H4381" t="n">
        <v>2</v>
      </c>
      <c r="I4381" t="n">
        <v>6</v>
      </c>
      <c r="J4381" t="n">
        <v>1</v>
      </c>
      <c r="K4381" t="n">
        <v>0</v>
      </c>
      <c r="L4381" t="n">
        <v>111200</v>
      </c>
      <c r="M4381" t="n">
        <v>131000</v>
      </c>
      <c r="N4381" t="n">
        <v>91</v>
      </c>
      <c r="O4381" t="n">
        <v>0.91</v>
      </c>
      <c r="P4381" t="n">
        <v>1</v>
      </c>
      <c r="Q4381" t="n">
        <v>0.02</v>
      </c>
      <c r="R4381" t="n">
        <v>1</v>
      </c>
      <c r="S4381" t="n">
        <v>2384.2</v>
      </c>
      <c r="T4381" t="n">
        <v>6</v>
      </c>
      <c r="U4381" t="n">
        <v>7</v>
      </c>
      <c r="V4381" t="n">
        <v>30</v>
      </c>
      <c r="W4381" t="n">
        <v>1</v>
      </c>
      <c r="X4381" t="n">
        <v>109.8901098901099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2678</v>
      </c>
      <c r="AG4381" t="n">
        <v>104</v>
      </c>
      <c r="AH4381" t="inlineStr">
        <is>
          <t>PT. ASIA PARAMITA - PPN (PDG)</t>
        </is>
      </c>
      <c r="AI4381" t="n">
        <v>104</v>
      </c>
      <c r="AJ4381" t="inlineStr">
        <is>
          <t>PIXY</t>
        </is>
      </c>
      <c r="AK4381" t="n">
        <v>21</v>
      </c>
      <c r="AL4381" t="inlineStr">
        <is>
          <t>Miss Glam Damar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PIXY</t>
        </is>
      </c>
      <c r="B4382" s="2">
        <f>"20100488245"</f>
        <v/>
      </c>
      <c r="C4382" t="inlineStr">
        <is>
          <t>PIXY Matte Cushion 301C Neutral Vanilla 11gr</t>
        </is>
      </c>
      <c r="D4382" t="inlineStr">
        <is>
          <t>Miss Glam Damar</t>
        </is>
      </c>
      <c r="E4382" t="n">
        <v>4</v>
      </c>
      <c r="F4382" t="n">
        <v>0.02</v>
      </c>
      <c r="G4382" t="n">
        <v>1</v>
      </c>
      <c r="H4382" t="n">
        <v>2</v>
      </c>
      <c r="I4382" t="n">
        <v>6</v>
      </c>
      <c r="J4382" t="n">
        <v>1</v>
      </c>
      <c r="K4382" t="n">
        <v>0</v>
      </c>
      <c r="L4382" t="n">
        <v>111200</v>
      </c>
      <c r="M4382" t="n">
        <v>131000</v>
      </c>
      <c r="N4382" t="n">
        <v>91</v>
      </c>
      <c r="O4382" t="n">
        <v>0.91</v>
      </c>
      <c r="P4382" t="n">
        <v>0</v>
      </c>
      <c r="Q4382" t="n">
        <v>0.02</v>
      </c>
      <c r="R4382" t="n">
        <v>1</v>
      </c>
      <c r="S4382" t="n">
        <v>2620</v>
      </c>
      <c r="T4382" t="n">
        <v>6</v>
      </c>
      <c r="U4382" t="n">
        <v>7</v>
      </c>
      <c r="V4382" t="n">
        <v>30</v>
      </c>
      <c r="W4382" t="n">
        <v>1</v>
      </c>
      <c r="X4382" t="n">
        <v>200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2678</v>
      </c>
      <c r="AG4382" t="n">
        <v>104</v>
      </c>
      <c r="AH4382" t="inlineStr">
        <is>
          <t>PT. ASIA PARAMITA - PPN (PDG)</t>
        </is>
      </c>
      <c r="AI4382" t="n">
        <v>104</v>
      </c>
      <c r="AJ4382" t="inlineStr">
        <is>
          <t>PIXY</t>
        </is>
      </c>
      <c r="AK4382" t="n">
        <v>21</v>
      </c>
      <c r="AL4382" t="inlineStr">
        <is>
          <t>Miss Glam Damar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PIXY</t>
        </is>
      </c>
      <c r="B4383" s="2">
        <f>"20100487950"</f>
        <v/>
      </c>
      <c r="C4383" t="inlineStr">
        <is>
          <t>PIXY Matte Cushion 302N Neutral Ivory 11gr</t>
        </is>
      </c>
      <c r="D4383" t="inlineStr">
        <is>
          <t>Miss Glam Damar</t>
        </is>
      </c>
      <c r="E4383" t="n">
        <v>2</v>
      </c>
      <c r="F4383" t="n">
        <v>0.05</v>
      </c>
      <c r="G4383" t="n">
        <v>1</v>
      </c>
      <c r="H4383" t="n">
        <v>2</v>
      </c>
      <c r="I4383" t="n">
        <v>6</v>
      </c>
      <c r="J4383" t="n">
        <v>1</v>
      </c>
      <c r="K4383" t="n">
        <v>0</v>
      </c>
      <c r="L4383" t="n">
        <v>111200</v>
      </c>
      <c r="M4383" t="n">
        <v>131000</v>
      </c>
      <c r="N4383" t="n">
        <v>91</v>
      </c>
      <c r="O4383" t="n">
        <v>0.91</v>
      </c>
      <c r="P4383" t="n">
        <v>0</v>
      </c>
      <c r="Q4383" t="n">
        <v>0.05</v>
      </c>
      <c r="R4383" t="n">
        <v>1</v>
      </c>
      <c r="S4383" t="n">
        <v>6550</v>
      </c>
      <c r="T4383" t="n">
        <v>6</v>
      </c>
      <c r="U4383" t="n">
        <v>7</v>
      </c>
      <c r="V4383" t="n">
        <v>30</v>
      </c>
      <c r="W4383" t="n">
        <v>2</v>
      </c>
      <c r="X4383" t="n">
        <v>40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2678</v>
      </c>
      <c r="AG4383" t="n">
        <v>104</v>
      </c>
      <c r="AH4383" t="inlineStr">
        <is>
          <t>PT. ASIA PARAMITA - PPN (PDG)</t>
        </is>
      </c>
      <c r="AI4383" t="n">
        <v>104</v>
      </c>
      <c r="AJ4383" t="inlineStr">
        <is>
          <t>PIXY</t>
        </is>
      </c>
      <c r="AK4383" t="n">
        <v>21</v>
      </c>
      <c r="AL4383" t="inlineStr">
        <is>
          <t>Miss Glam Damar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PIXY</t>
        </is>
      </c>
      <c r="B4384" s="2">
        <f>"8992222074834"</f>
        <v/>
      </c>
      <c r="C4384" t="inlineStr">
        <is>
          <t>PIXY Mig A Whole New Glow  01 Shining Gold 8g</t>
        </is>
      </c>
      <c r="D4384" t="inlineStr">
        <is>
          <t>Miss Glam Damar</t>
        </is>
      </c>
      <c r="E4384" t="n">
        <v>2</v>
      </c>
      <c r="F4384" t="n">
        <v>0.02</v>
      </c>
      <c r="G4384" t="n">
        <v>1</v>
      </c>
      <c r="H4384" t="n">
        <v>2</v>
      </c>
      <c r="I4384" t="n">
        <v>6</v>
      </c>
      <c r="J4384" t="n">
        <v>3</v>
      </c>
      <c r="K4384" t="n">
        <v>0</v>
      </c>
      <c r="L4384" t="n">
        <v>80000</v>
      </c>
      <c r="M4384" t="n">
        <v>95000</v>
      </c>
      <c r="N4384" t="n">
        <v>91</v>
      </c>
      <c r="O4384" t="n">
        <v>0.91</v>
      </c>
      <c r="P4384" t="n">
        <v>0</v>
      </c>
      <c r="Q4384" t="n">
        <v>0.02</v>
      </c>
      <c r="R4384" t="n">
        <v>1</v>
      </c>
      <c r="S4384" t="n">
        <v>1900</v>
      </c>
      <c r="T4384" t="n">
        <v>6</v>
      </c>
      <c r="U4384" t="n">
        <v>7</v>
      </c>
      <c r="V4384" t="n">
        <v>30</v>
      </c>
      <c r="W4384" t="n">
        <v>1</v>
      </c>
      <c r="X4384" t="n">
        <v>100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2678</v>
      </c>
      <c r="AG4384" t="n">
        <v>104</v>
      </c>
      <c r="AH4384" t="inlineStr">
        <is>
          <t>PT. ASIA PARAMITA - PPN (PDG)</t>
        </is>
      </c>
      <c r="AI4384" t="n">
        <v>104</v>
      </c>
      <c r="AJ4384" t="inlineStr">
        <is>
          <t>PIXY</t>
        </is>
      </c>
      <c r="AK4384" t="n">
        <v>21</v>
      </c>
      <c r="AL4384" t="inlineStr">
        <is>
          <t>Miss Glam Damar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PIXY</t>
        </is>
      </c>
      <c r="B4385" s="2">
        <f>"8992222074841"</f>
        <v/>
      </c>
      <c r="C4385" t="inlineStr">
        <is>
          <t>PIXY Mig A Whole New Glow  02 Shimmering White 8gr</t>
        </is>
      </c>
      <c r="D4385" t="inlineStr">
        <is>
          <t>Miss Glam Damar</t>
        </is>
      </c>
      <c r="E4385" t="n">
        <v>3</v>
      </c>
      <c r="F4385" t="n">
        <v>0.0182</v>
      </c>
      <c r="G4385" t="n">
        <v>0.91</v>
      </c>
      <c r="H4385" t="n">
        <v>2</v>
      </c>
      <c r="I4385" t="n">
        <v>6</v>
      </c>
      <c r="J4385" t="n">
        <v>3</v>
      </c>
      <c r="K4385" t="n">
        <v>0</v>
      </c>
      <c r="L4385" t="n">
        <v>80000</v>
      </c>
      <c r="M4385" t="n">
        <v>95000</v>
      </c>
      <c r="N4385" t="n">
        <v>91</v>
      </c>
      <c r="O4385" t="n">
        <v>0.91</v>
      </c>
      <c r="P4385" t="n">
        <v>1</v>
      </c>
      <c r="Q4385" t="n">
        <v>0.07000000000000001</v>
      </c>
      <c r="R4385" t="n">
        <v>1</v>
      </c>
      <c r="S4385" t="n">
        <v>1729</v>
      </c>
      <c r="T4385" t="n">
        <v>6</v>
      </c>
      <c r="U4385" t="n">
        <v>7</v>
      </c>
      <c r="V4385" t="n">
        <v>30</v>
      </c>
      <c r="W4385" t="n">
        <v>1</v>
      </c>
      <c r="X4385" t="n">
        <v>164.8351648351648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2678</v>
      </c>
      <c r="AG4385" t="n">
        <v>104</v>
      </c>
      <c r="AH4385" t="inlineStr">
        <is>
          <t>PT. ASIA PARAMITA - PPN (PDG)</t>
        </is>
      </c>
      <c r="AI4385" t="n">
        <v>104</v>
      </c>
      <c r="AJ4385" t="inlineStr">
        <is>
          <t>PIXY</t>
        </is>
      </c>
      <c r="AK4385" t="n">
        <v>21</v>
      </c>
      <c r="AL4385" t="inlineStr">
        <is>
          <t>Miss Glam Damar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PIXY</t>
        </is>
      </c>
      <c r="B4386" s="2">
        <f>"203002174934"</f>
        <v/>
      </c>
      <c r="C4386" t="inlineStr">
        <is>
          <t>PIXY Mousse Moments 07 Rose In Love 4gr</t>
        </is>
      </c>
      <c r="D4386" t="inlineStr">
        <is>
          <t>Miss Glam Damar</t>
        </is>
      </c>
      <c r="E4386" t="n">
        <v>7</v>
      </c>
      <c r="F4386" t="n">
        <v>0.04550000000000001</v>
      </c>
      <c r="G4386" t="n">
        <v>0.91</v>
      </c>
      <c r="H4386" t="n">
        <v>2</v>
      </c>
      <c r="I4386" t="n">
        <v>6</v>
      </c>
      <c r="J4386" t="n">
        <v>3</v>
      </c>
      <c r="K4386" t="n">
        <v>0</v>
      </c>
      <c r="L4386" t="n">
        <v>46399</v>
      </c>
      <c r="M4386" t="n">
        <v>55000</v>
      </c>
      <c r="N4386" t="n">
        <v>91</v>
      </c>
      <c r="O4386" t="n">
        <v>0.91</v>
      </c>
      <c r="P4386" t="n">
        <v>1</v>
      </c>
      <c r="Q4386" t="n">
        <v>0.07000000000000001</v>
      </c>
      <c r="R4386" t="n">
        <v>2</v>
      </c>
      <c r="S4386" t="n">
        <v>2502.5</v>
      </c>
      <c r="T4386" t="n">
        <v>6</v>
      </c>
      <c r="U4386" t="n">
        <v>7</v>
      </c>
      <c r="V4386" t="n">
        <v>30</v>
      </c>
      <c r="W4386" t="n">
        <v>2</v>
      </c>
      <c r="X4386" t="n">
        <v>153.8461538461538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2678</v>
      </c>
      <c r="AG4386" t="n">
        <v>104</v>
      </c>
      <c r="AH4386" t="inlineStr">
        <is>
          <t>PT. ASIA PARAMITA - PPN (PDG)</t>
        </is>
      </c>
      <c r="AI4386" t="n">
        <v>104</v>
      </c>
      <c r="AJ4386" t="inlineStr">
        <is>
          <t>PIXY</t>
        </is>
      </c>
      <c r="AK4386" t="n">
        <v>21</v>
      </c>
      <c r="AL4386" t="inlineStr">
        <is>
          <t>Miss Glam Damar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PIXY</t>
        </is>
      </c>
      <c r="B4387" s="2">
        <f>"203002175008"</f>
        <v/>
      </c>
      <c r="C4387" t="inlineStr">
        <is>
          <t>PIXY Mousse Moments 08 Chillin' Terracotta 4gr</t>
        </is>
      </c>
      <c r="D4387" t="inlineStr">
        <is>
          <t>Miss Glam Damar</t>
        </is>
      </c>
      <c r="E4387" t="n">
        <v>5</v>
      </c>
      <c r="F4387" t="n">
        <v>0.04550000000000001</v>
      </c>
      <c r="G4387" t="n">
        <v>0.91</v>
      </c>
      <c r="H4387" t="n">
        <v>2</v>
      </c>
      <c r="I4387" t="n">
        <v>6</v>
      </c>
      <c r="J4387" t="n">
        <v>3</v>
      </c>
      <c r="K4387" t="n">
        <v>0</v>
      </c>
      <c r="L4387" t="n">
        <v>46400</v>
      </c>
      <c r="M4387" t="n">
        <v>55000</v>
      </c>
      <c r="N4387" t="n">
        <v>91</v>
      </c>
      <c r="O4387" t="n">
        <v>0.91</v>
      </c>
      <c r="P4387" t="n">
        <v>1</v>
      </c>
      <c r="Q4387" t="n">
        <v>0.14</v>
      </c>
      <c r="R4387" t="n">
        <v>2</v>
      </c>
      <c r="S4387" t="n">
        <v>2502.5</v>
      </c>
      <c r="T4387" t="n">
        <v>6</v>
      </c>
      <c r="U4387" t="n">
        <v>7</v>
      </c>
      <c r="V4387" t="n">
        <v>30</v>
      </c>
      <c r="W4387" t="n">
        <v>2</v>
      </c>
      <c r="X4387" t="n">
        <v>109.8901098901099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2678</v>
      </c>
      <c r="AG4387" t="n">
        <v>104</v>
      </c>
      <c r="AH4387" t="inlineStr">
        <is>
          <t>PT. ASIA PARAMITA - PPN (PDG)</t>
        </is>
      </c>
      <c r="AI4387" t="n">
        <v>104</v>
      </c>
      <c r="AJ4387" t="inlineStr">
        <is>
          <t>PIXY</t>
        </is>
      </c>
      <c r="AK4387" t="n">
        <v>21</v>
      </c>
      <c r="AL4387" t="inlineStr">
        <is>
          <t>Miss Glam Damar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PIXY</t>
        </is>
      </c>
      <c r="B4388" s="2">
        <f>"203002175141"</f>
        <v/>
      </c>
      <c r="C4388" t="inlineStr">
        <is>
          <t>PIXY Mousse Moments 09 Lively Apricot 4gr</t>
        </is>
      </c>
      <c r="D4388" t="inlineStr">
        <is>
          <t>Miss Glam Damar</t>
        </is>
      </c>
      <c r="E4388" t="n">
        <v>2</v>
      </c>
      <c r="F4388" t="n">
        <v>0.0273</v>
      </c>
      <c r="G4388" t="n">
        <v>0.91</v>
      </c>
      <c r="H4388" t="n">
        <v>2</v>
      </c>
      <c r="I4388" t="n">
        <v>6</v>
      </c>
      <c r="J4388" t="n">
        <v>3</v>
      </c>
      <c r="K4388" t="n">
        <v>0</v>
      </c>
      <c r="L4388" t="n">
        <v>46400</v>
      </c>
      <c r="M4388" t="n">
        <v>55000</v>
      </c>
      <c r="N4388" t="n">
        <v>91</v>
      </c>
      <c r="O4388" t="n">
        <v>0.91</v>
      </c>
      <c r="P4388" t="n">
        <v>1</v>
      </c>
      <c r="Q4388" t="n">
        <v>0.07000000000000001</v>
      </c>
      <c r="R4388" t="n">
        <v>1</v>
      </c>
      <c r="S4388" t="n">
        <v>1501.5</v>
      </c>
      <c r="T4388" t="n">
        <v>6</v>
      </c>
      <c r="U4388" t="n">
        <v>7</v>
      </c>
      <c r="V4388" t="n">
        <v>30</v>
      </c>
      <c r="W4388" t="n">
        <v>1</v>
      </c>
      <c r="X4388" t="n">
        <v>73.26007326007326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2678</v>
      </c>
      <c r="AG4388" t="n">
        <v>104</v>
      </c>
      <c r="AH4388" t="inlineStr">
        <is>
          <t>PT. ASIA PARAMITA - PPN (PDG)</t>
        </is>
      </c>
      <c r="AI4388" t="n">
        <v>104</v>
      </c>
      <c r="AJ4388" t="inlineStr">
        <is>
          <t>PIXY</t>
        </is>
      </c>
      <c r="AK4388" t="n">
        <v>21</v>
      </c>
      <c r="AL4388" t="inlineStr">
        <is>
          <t>Miss Glam Damar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PIXY</t>
        </is>
      </c>
      <c r="B4389" s="2">
        <f>"203002175214"</f>
        <v/>
      </c>
      <c r="C4389" t="inlineStr">
        <is>
          <t>PIXY Mousse Moments 10 Cozy Choco 4gr</t>
        </is>
      </c>
      <c r="D4389" t="inlineStr">
        <is>
          <t>Miss Glam Damar</t>
        </is>
      </c>
      <c r="E4389" t="n">
        <v>10</v>
      </c>
      <c r="F4389" t="n">
        <v>0.0273</v>
      </c>
      <c r="G4389" t="n">
        <v>0.91</v>
      </c>
      <c r="H4389" t="n">
        <v>2</v>
      </c>
      <c r="I4389" t="n">
        <v>6</v>
      </c>
      <c r="J4389" t="n">
        <v>3</v>
      </c>
      <c r="K4389" t="n">
        <v>0</v>
      </c>
      <c r="L4389" t="n">
        <v>46400</v>
      </c>
      <c r="M4389" t="n">
        <v>55000</v>
      </c>
      <c r="N4389" t="n">
        <v>91</v>
      </c>
      <c r="O4389" t="n">
        <v>0.91</v>
      </c>
      <c r="P4389" t="n">
        <v>1</v>
      </c>
      <c r="Q4389" t="n">
        <v>0.12</v>
      </c>
      <c r="R4389" t="n">
        <v>1</v>
      </c>
      <c r="S4389" t="n">
        <v>1501.5</v>
      </c>
      <c r="T4389" t="n">
        <v>6</v>
      </c>
      <c r="U4389" t="n">
        <v>7</v>
      </c>
      <c r="V4389" t="n">
        <v>30</v>
      </c>
      <c r="W4389" t="n">
        <v>1</v>
      </c>
      <c r="X4389" t="n">
        <v>366.3003663003663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2678</v>
      </c>
      <c r="AG4389" t="n">
        <v>104</v>
      </c>
      <c r="AH4389" t="inlineStr">
        <is>
          <t>PT. ASIA PARAMITA - PPN (PDG)</t>
        </is>
      </c>
      <c r="AI4389" t="n">
        <v>104</v>
      </c>
      <c r="AJ4389" t="inlineStr">
        <is>
          <t>PIXY</t>
        </is>
      </c>
      <c r="AK4389" t="n">
        <v>21</v>
      </c>
      <c r="AL4389" t="inlineStr">
        <is>
          <t>Miss Glam Damar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PIXY</t>
        </is>
      </c>
      <c r="B4390" s="2">
        <f>"8992222283564"</f>
        <v/>
      </c>
      <c r="C4390" t="inlineStr">
        <is>
          <t>PIXY Mousse Moments Lip Cream  01 Crowd In Red 4gr</t>
        </is>
      </c>
      <c r="D4390" t="inlineStr">
        <is>
          <t>Miss Glam Damar</t>
        </is>
      </c>
      <c r="E4390" t="n">
        <v>6</v>
      </c>
      <c r="F4390" t="n">
        <v>0.1274</v>
      </c>
      <c r="G4390" t="n">
        <v>1.82</v>
      </c>
      <c r="H4390" t="n">
        <v>2</v>
      </c>
      <c r="I4390" t="n">
        <v>6</v>
      </c>
      <c r="J4390" t="n">
        <v>3</v>
      </c>
      <c r="K4390" t="n">
        <v>0</v>
      </c>
      <c r="L4390" t="n">
        <v>46400</v>
      </c>
      <c r="M4390" t="n">
        <v>55000</v>
      </c>
      <c r="N4390" t="n">
        <v>91</v>
      </c>
      <c r="O4390" t="n">
        <v>0.91</v>
      </c>
      <c r="P4390" t="n">
        <v>1</v>
      </c>
      <c r="Q4390" t="n">
        <v>0.07000000000000001</v>
      </c>
      <c r="R4390" t="n">
        <v>1</v>
      </c>
      <c r="S4390" t="n">
        <v>7007.000000000001</v>
      </c>
      <c r="T4390" t="n">
        <v>11</v>
      </c>
      <c r="U4390" t="n">
        <v>12</v>
      </c>
      <c r="V4390" t="n">
        <v>30</v>
      </c>
      <c r="W4390" t="n">
        <v>4</v>
      </c>
      <c r="X4390" t="n">
        <v>47.09576138147566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2678</v>
      </c>
      <c r="AG4390" t="n">
        <v>104</v>
      </c>
      <c r="AH4390" t="inlineStr">
        <is>
          <t>PT. ASIA PARAMITA - PPN (PDG)</t>
        </is>
      </c>
      <c r="AI4390" t="n">
        <v>104</v>
      </c>
      <c r="AJ4390" t="inlineStr">
        <is>
          <t>PIXY</t>
        </is>
      </c>
      <c r="AK4390" t="n">
        <v>21</v>
      </c>
      <c r="AL4390" t="inlineStr">
        <is>
          <t>Miss Glam Damar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PIXY</t>
        </is>
      </c>
      <c r="B4391" s="2">
        <f>"8992222283571"</f>
        <v/>
      </c>
      <c r="C4391" t="inlineStr">
        <is>
          <t>PIXY Mousse Moments Lip Cream  02 Bussiest Maroon 4gr</t>
        </is>
      </c>
      <c r="D4391" t="inlineStr">
        <is>
          <t>Miss Glam Damar</t>
        </is>
      </c>
      <c r="E4391" t="n">
        <v>10</v>
      </c>
      <c r="F4391" t="n">
        <v>0.1365</v>
      </c>
      <c r="G4391" t="n">
        <v>1.82</v>
      </c>
      <c r="H4391" t="n">
        <v>2</v>
      </c>
      <c r="I4391" t="n">
        <v>6</v>
      </c>
      <c r="J4391" t="n">
        <v>3</v>
      </c>
      <c r="K4391" t="n">
        <v>0</v>
      </c>
      <c r="L4391" t="n">
        <v>46400</v>
      </c>
      <c r="M4391" t="n">
        <v>55000</v>
      </c>
      <c r="N4391" t="n">
        <v>91</v>
      </c>
      <c r="O4391" t="n">
        <v>0.91</v>
      </c>
      <c r="P4391" t="n">
        <v>1</v>
      </c>
      <c r="Q4391" t="n">
        <v>0.25</v>
      </c>
      <c r="R4391" t="n">
        <v>2</v>
      </c>
      <c r="S4391" t="n">
        <v>7507.500000000001</v>
      </c>
      <c r="T4391" t="n">
        <v>11</v>
      </c>
      <c r="U4391" t="n">
        <v>12</v>
      </c>
      <c r="V4391" t="n">
        <v>30</v>
      </c>
      <c r="W4391" t="n">
        <v>5</v>
      </c>
      <c r="X4391" t="n">
        <v>73.26007326007326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2678</v>
      </c>
      <c r="AG4391" t="n">
        <v>104</v>
      </c>
      <c r="AH4391" t="inlineStr">
        <is>
          <t>PT. ASIA PARAMITA - PPN (PDG)</t>
        </is>
      </c>
      <c r="AI4391" t="n">
        <v>104</v>
      </c>
      <c r="AJ4391" t="inlineStr">
        <is>
          <t>PIXY</t>
        </is>
      </c>
      <c r="AK4391" t="n">
        <v>21</v>
      </c>
      <c r="AL4391" t="inlineStr">
        <is>
          <t>Miss Glam Damar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PIXY</t>
        </is>
      </c>
      <c r="B4392" s="2">
        <f>"8992222283588"</f>
        <v/>
      </c>
      <c r="C4392" t="inlineStr">
        <is>
          <t>PIXY Mousse Moments Lip Cream  03 Calm In Rose 4gr</t>
        </is>
      </c>
      <c r="D4392" t="inlineStr">
        <is>
          <t>Miss Glam Damar</t>
        </is>
      </c>
      <c r="E4392" t="n">
        <v>4</v>
      </c>
      <c r="F4392" t="n">
        <v>0.2002</v>
      </c>
      <c r="G4392" t="n">
        <v>1.82</v>
      </c>
      <c r="H4392" t="n">
        <v>2</v>
      </c>
      <c r="I4392" t="n">
        <v>6</v>
      </c>
      <c r="J4392" t="n">
        <v>3</v>
      </c>
      <c r="K4392" t="n">
        <v>0</v>
      </c>
      <c r="L4392" t="n">
        <v>46400</v>
      </c>
      <c r="M4392" t="n">
        <v>55000</v>
      </c>
      <c r="N4392" t="n">
        <v>91</v>
      </c>
      <c r="O4392" t="n">
        <v>0.91</v>
      </c>
      <c r="P4392" t="n">
        <v>1</v>
      </c>
      <c r="Q4392" t="n">
        <v>0.12</v>
      </c>
      <c r="R4392" t="n">
        <v>2</v>
      </c>
      <c r="S4392" t="n">
        <v>11011</v>
      </c>
      <c r="T4392" t="n">
        <v>11</v>
      </c>
      <c r="U4392" t="n">
        <v>12</v>
      </c>
      <c r="V4392" t="n">
        <v>30</v>
      </c>
      <c r="W4392" t="n">
        <v>7</v>
      </c>
      <c r="X4392" t="n">
        <v>19.98001998001998</v>
      </c>
      <c r="Y4392" t="n">
        <v>1</v>
      </c>
      <c r="Z4392" t="n">
        <v>3</v>
      </c>
      <c r="AA4392" t="n">
        <v>0</v>
      </c>
      <c r="AB4392" t="n">
        <v>3</v>
      </c>
      <c r="AC4392" t="n">
        <v>3</v>
      </c>
      <c r="AD4392" t="n">
        <v>0</v>
      </c>
      <c r="AE4392" t="n">
        <v>139200</v>
      </c>
      <c r="AF4392" t="n">
        <v>2678</v>
      </c>
      <c r="AG4392" t="n">
        <v>104</v>
      </c>
      <c r="AH4392" t="inlineStr">
        <is>
          <t>PT. ASIA PARAMITA - PPN (PDG)</t>
        </is>
      </c>
      <c r="AI4392" t="n">
        <v>104</v>
      </c>
      <c r="AJ4392" t="inlineStr">
        <is>
          <t>PIXY</t>
        </is>
      </c>
      <c r="AK4392" t="n">
        <v>21</v>
      </c>
      <c r="AL4392" t="inlineStr">
        <is>
          <t>Miss Glam Damar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PIXY</t>
        </is>
      </c>
      <c r="B4393" s="2">
        <f>"8992222283595"</f>
        <v/>
      </c>
      <c r="C4393" t="inlineStr">
        <is>
          <t>PIXY Mousse Moments Lip Cream  04 Relaxing Pink 4gr</t>
        </is>
      </c>
      <c r="D4393" t="inlineStr">
        <is>
          <t>Miss Glam Damar</t>
        </is>
      </c>
      <c r="E4393" t="n">
        <v>3</v>
      </c>
      <c r="F4393" t="n">
        <v>0.1365</v>
      </c>
      <c r="G4393" t="n">
        <v>1.82</v>
      </c>
      <c r="H4393" t="n">
        <v>2</v>
      </c>
      <c r="I4393" t="n">
        <v>6</v>
      </c>
      <c r="J4393" t="n">
        <v>3</v>
      </c>
      <c r="K4393" t="n">
        <v>0</v>
      </c>
      <c r="L4393" t="n">
        <v>46400</v>
      </c>
      <c r="M4393" t="n">
        <v>55000</v>
      </c>
      <c r="N4393" t="n">
        <v>91</v>
      </c>
      <c r="O4393" t="n">
        <v>0.91</v>
      </c>
      <c r="P4393" t="n">
        <v>1</v>
      </c>
      <c r="Q4393" t="n">
        <v>0.1</v>
      </c>
      <c r="R4393" t="n">
        <v>1</v>
      </c>
      <c r="S4393" t="n">
        <v>7507.500000000001</v>
      </c>
      <c r="T4393" t="n">
        <v>11</v>
      </c>
      <c r="U4393" t="n">
        <v>12</v>
      </c>
      <c r="V4393" t="n">
        <v>30</v>
      </c>
      <c r="W4393" t="n">
        <v>5</v>
      </c>
      <c r="X4393" t="n">
        <v>21.97802197802198</v>
      </c>
      <c r="Y4393" t="n">
        <v>1</v>
      </c>
      <c r="Z4393" t="n">
        <v>2</v>
      </c>
      <c r="AA4393" t="n">
        <v>0</v>
      </c>
      <c r="AB4393" t="n">
        <v>2</v>
      </c>
      <c r="AC4393" t="n">
        <v>3</v>
      </c>
      <c r="AD4393" t="n">
        <v>0</v>
      </c>
      <c r="AE4393" t="n">
        <v>139200</v>
      </c>
      <c r="AF4393" t="n">
        <v>2678</v>
      </c>
      <c r="AG4393" t="n">
        <v>104</v>
      </c>
      <c r="AH4393" t="inlineStr">
        <is>
          <t>PT. ASIA PARAMITA - PPN (PDG)</t>
        </is>
      </c>
      <c r="AI4393" t="n">
        <v>104</v>
      </c>
      <c r="AJ4393" t="inlineStr">
        <is>
          <t>PIXY</t>
        </is>
      </c>
      <c r="AK4393" t="n">
        <v>21</v>
      </c>
      <c r="AL4393" t="inlineStr">
        <is>
          <t>Miss Glam Damar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PIXY</t>
        </is>
      </c>
      <c r="B4394" s="2">
        <f>"8992222283601"</f>
        <v/>
      </c>
      <c r="C4394" t="inlineStr">
        <is>
          <t>PIXY Mousse Moments Lip Cream  05 Peacefully Brown 4 gr</t>
        </is>
      </c>
      <c r="D4394" t="inlineStr">
        <is>
          <t>Miss Glam Damar</t>
        </is>
      </c>
      <c r="E4394" t="n">
        <v>2</v>
      </c>
      <c r="F4394" t="n">
        <v>0.09100000000000001</v>
      </c>
      <c r="G4394" t="n">
        <v>1.82</v>
      </c>
      <c r="H4394" t="n">
        <v>2</v>
      </c>
      <c r="I4394" t="n">
        <v>6</v>
      </c>
      <c r="J4394" t="n">
        <v>3</v>
      </c>
      <c r="K4394" t="n">
        <v>0</v>
      </c>
      <c r="L4394" t="n">
        <v>46400</v>
      </c>
      <c r="M4394" t="n">
        <v>55000</v>
      </c>
      <c r="N4394" t="n">
        <v>91</v>
      </c>
      <c r="O4394" t="n">
        <v>0.91</v>
      </c>
      <c r="P4394" t="n">
        <v>1</v>
      </c>
      <c r="Q4394" t="n">
        <v>0.08</v>
      </c>
      <c r="R4394" t="n">
        <v>1</v>
      </c>
      <c r="S4394" t="n">
        <v>5005.000000000001</v>
      </c>
      <c r="T4394" t="n">
        <v>11</v>
      </c>
      <c r="U4394" t="n">
        <v>12</v>
      </c>
      <c r="V4394" t="n">
        <v>30</v>
      </c>
      <c r="W4394" t="n">
        <v>3</v>
      </c>
      <c r="X4394" t="n">
        <v>21.97802197802197</v>
      </c>
      <c r="Y4394" t="n">
        <v>1</v>
      </c>
      <c r="Z4394" t="n">
        <v>1</v>
      </c>
      <c r="AA4394" t="n">
        <v>0</v>
      </c>
      <c r="AB4394" t="n">
        <v>1</v>
      </c>
      <c r="AC4394" t="n">
        <v>3</v>
      </c>
      <c r="AD4394" t="n">
        <v>0</v>
      </c>
      <c r="AE4394" t="n">
        <v>139200</v>
      </c>
      <c r="AF4394" t="n">
        <v>2678</v>
      </c>
      <c r="AG4394" t="n">
        <v>104</v>
      </c>
      <c r="AH4394" t="inlineStr">
        <is>
          <t>PT. ASIA PARAMITA - PPN (PDG)</t>
        </is>
      </c>
      <c r="AI4394" t="n">
        <v>104</v>
      </c>
      <c r="AJ4394" t="inlineStr">
        <is>
          <t>PIXY</t>
        </is>
      </c>
      <c r="AK4394" t="n">
        <v>21</v>
      </c>
      <c r="AL4394" t="inlineStr">
        <is>
          <t>Miss Glam Damar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PIXY</t>
        </is>
      </c>
      <c r="B4395" s="2">
        <f>"8992222283618"</f>
        <v/>
      </c>
      <c r="C4395" t="inlineStr">
        <is>
          <t>PIXY Mousse Moments Lip Cream  06 Enjoyable Fuchsia 4gr</t>
        </is>
      </c>
      <c r="D4395" t="inlineStr">
        <is>
          <t>Miss Glam Damar</t>
        </is>
      </c>
      <c r="E4395" t="n">
        <v>0</v>
      </c>
      <c r="F4395" t="n">
        <v>0.0182</v>
      </c>
      <c r="G4395" t="n">
        <v>0.91</v>
      </c>
      <c r="H4395" t="n">
        <v>2</v>
      </c>
      <c r="I4395" t="n">
        <v>6</v>
      </c>
      <c r="J4395" t="n">
        <v>3</v>
      </c>
      <c r="K4395" t="n">
        <v>0</v>
      </c>
      <c r="L4395" t="n">
        <v>46400</v>
      </c>
      <c r="M4395" t="n">
        <v>55000</v>
      </c>
      <c r="N4395" t="n">
        <v>91</v>
      </c>
      <c r="O4395" t="n">
        <v>0.91</v>
      </c>
      <c r="P4395" t="n">
        <v>1</v>
      </c>
      <c r="Q4395" t="n">
        <v>0.09</v>
      </c>
      <c r="R4395" t="n">
        <v>2</v>
      </c>
      <c r="S4395" t="n">
        <v>1001</v>
      </c>
      <c r="T4395" t="n">
        <v>6</v>
      </c>
      <c r="U4395" t="n">
        <v>7</v>
      </c>
      <c r="V4395" t="n">
        <v>30</v>
      </c>
      <c r="W4395" t="n">
        <v>1</v>
      </c>
      <c r="X4395" t="n">
        <v>0</v>
      </c>
      <c r="Y4395" t="n">
        <v>1</v>
      </c>
      <c r="Z4395" t="n">
        <v>1</v>
      </c>
      <c r="AA4395" t="n">
        <v>1</v>
      </c>
      <c r="AB4395" t="n">
        <v>0</v>
      </c>
      <c r="AC4395" t="n">
        <v>0</v>
      </c>
      <c r="AD4395" t="n">
        <v>46400</v>
      </c>
      <c r="AE4395" t="n">
        <v>0</v>
      </c>
      <c r="AF4395" t="n">
        <v>2678</v>
      </c>
      <c r="AG4395" t="n">
        <v>104</v>
      </c>
      <c r="AH4395" t="inlineStr">
        <is>
          <t>PT. ASIA PARAMITA - PPN (PDG)</t>
        </is>
      </c>
      <c r="AI4395" t="n">
        <v>104</v>
      </c>
      <c r="AJ4395" t="inlineStr">
        <is>
          <t>PIXY</t>
        </is>
      </c>
      <c r="AK4395" t="n">
        <v>21</v>
      </c>
      <c r="AL4395" t="inlineStr">
        <is>
          <t>Miss Glam Damar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PIXY</t>
        </is>
      </c>
      <c r="B4396" s="2">
        <f>"8992222075251"</f>
        <v/>
      </c>
      <c r="C4396" t="inlineStr">
        <is>
          <t>PIXY Perfect Clean Micellar Water 100ml</t>
        </is>
      </c>
      <c r="D4396" t="inlineStr">
        <is>
          <t>Miss Glam Damar</t>
        </is>
      </c>
      <c r="E4396" t="n">
        <v>4</v>
      </c>
      <c r="F4396" t="n">
        <v>0.0728</v>
      </c>
      <c r="G4396" t="n">
        <v>0.91</v>
      </c>
      <c r="H4396" t="n">
        <v>2</v>
      </c>
      <c r="I4396" t="n">
        <v>6</v>
      </c>
      <c r="J4396" t="n">
        <v>3</v>
      </c>
      <c r="K4396" t="n">
        <v>0</v>
      </c>
      <c r="L4396" t="n">
        <v>20000</v>
      </c>
      <c r="M4396" t="n">
        <v>25000</v>
      </c>
      <c r="N4396" t="n">
        <v>91</v>
      </c>
      <c r="O4396" t="n">
        <v>0.91</v>
      </c>
      <c r="P4396" t="n">
        <v>1</v>
      </c>
      <c r="Q4396" t="n">
        <v>0.05</v>
      </c>
      <c r="R4396" t="n">
        <v>1</v>
      </c>
      <c r="S4396" t="n">
        <v>1820</v>
      </c>
      <c r="T4396" t="n">
        <v>6</v>
      </c>
      <c r="U4396" t="n">
        <v>7</v>
      </c>
      <c r="V4396" t="n">
        <v>30</v>
      </c>
      <c r="W4396" t="n">
        <v>3</v>
      </c>
      <c r="X4396" t="n">
        <v>54.94505494505494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2678</v>
      </c>
      <c r="AG4396" t="n">
        <v>104</v>
      </c>
      <c r="AH4396" t="inlineStr">
        <is>
          <t>PT. ASIA PARAMITA - PPN (PDG)</t>
        </is>
      </c>
      <c r="AI4396" t="n">
        <v>104</v>
      </c>
      <c r="AJ4396" t="inlineStr">
        <is>
          <t>PIXY</t>
        </is>
      </c>
      <c r="AK4396" t="n">
        <v>21</v>
      </c>
      <c r="AL4396" t="inlineStr">
        <is>
          <t>Miss Glam Damar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PIXY</t>
        </is>
      </c>
      <c r="B4397" s="2">
        <f>"8992222075244"</f>
        <v/>
      </c>
      <c r="C4397" t="inlineStr">
        <is>
          <t>PIXY Perfect Clean Micellar Water Oil Type 100ml</t>
        </is>
      </c>
      <c r="D4397" t="inlineStr">
        <is>
          <t>Miss Glam Damar</t>
        </is>
      </c>
      <c r="E4397" t="n">
        <v>2</v>
      </c>
      <c r="F4397" t="n">
        <v>0.2639</v>
      </c>
      <c r="G4397" t="n">
        <v>3.64</v>
      </c>
      <c r="H4397" t="n">
        <v>2</v>
      </c>
      <c r="I4397" t="n">
        <v>6</v>
      </c>
      <c r="J4397" t="n">
        <v>3</v>
      </c>
      <c r="K4397" t="n">
        <v>0</v>
      </c>
      <c r="L4397" t="n">
        <v>20000</v>
      </c>
      <c r="M4397" t="n">
        <v>25000</v>
      </c>
      <c r="N4397" t="n">
        <v>91</v>
      </c>
      <c r="O4397" t="n">
        <v>0.91</v>
      </c>
      <c r="P4397" t="n">
        <v>1</v>
      </c>
      <c r="Q4397" t="n">
        <v>0.22</v>
      </c>
      <c r="R4397" t="n">
        <v>2</v>
      </c>
      <c r="S4397" t="n">
        <v>6597.499999999999</v>
      </c>
      <c r="T4397" t="n">
        <v>22</v>
      </c>
      <c r="U4397" t="n">
        <v>23</v>
      </c>
      <c r="V4397" t="n">
        <v>30</v>
      </c>
      <c r="W4397" t="n">
        <v>8</v>
      </c>
      <c r="X4397" t="n">
        <v>7.578628268283442</v>
      </c>
      <c r="Y4397" t="n">
        <v>1</v>
      </c>
      <c r="Z4397" t="n">
        <v>6</v>
      </c>
      <c r="AA4397" t="n">
        <v>0</v>
      </c>
      <c r="AB4397" t="n">
        <v>6</v>
      </c>
      <c r="AC4397" t="n">
        <v>6</v>
      </c>
      <c r="AD4397" t="n">
        <v>0</v>
      </c>
      <c r="AE4397" t="n">
        <v>120000</v>
      </c>
      <c r="AF4397" t="n">
        <v>2678</v>
      </c>
      <c r="AG4397" t="n">
        <v>104</v>
      </c>
      <c r="AH4397" t="inlineStr">
        <is>
          <t>PT. ASIA PARAMITA - PPN (PDG)</t>
        </is>
      </c>
      <c r="AI4397" t="n">
        <v>104</v>
      </c>
      <c r="AJ4397" t="inlineStr">
        <is>
          <t>PIXY</t>
        </is>
      </c>
      <c r="AK4397" t="n">
        <v>21</v>
      </c>
      <c r="AL4397" t="inlineStr">
        <is>
          <t>Miss Glam Damar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PIXY</t>
        </is>
      </c>
      <c r="B4398" s="2">
        <f>"8992222075084"</f>
        <v/>
      </c>
      <c r="C4398" t="inlineStr">
        <is>
          <t>PIXY Perfect Fit Liquid Foundation 01 White Cream 20ml</t>
        </is>
      </c>
      <c r="D4398" t="inlineStr">
        <is>
          <t>Miss Glam Damar</t>
        </is>
      </c>
      <c r="E4398" t="n">
        <v>1</v>
      </c>
      <c r="F4398" t="n">
        <v>0.04550000000000001</v>
      </c>
      <c r="G4398" t="n">
        <v>0.91</v>
      </c>
      <c r="H4398" t="n">
        <v>2</v>
      </c>
      <c r="I4398" t="n">
        <v>6</v>
      </c>
      <c r="J4398" t="n">
        <v>3</v>
      </c>
      <c r="K4398" t="n">
        <v>0</v>
      </c>
      <c r="L4398" t="n">
        <v>23200</v>
      </c>
      <c r="M4398" t="n">
        <v>27500</v>
      </c>
      <c r="N4398" t="n">
        <v>91</v>
      </c>
      <c r="O4398" t="n">
        <v>0.91</v>
      </c>
      <c r="P4398" t="n">
        <v>1</v>
      </c>
      <c r="Q4398" t="n">
        <v>0.07000000000000001</v>
      </c>
      <c r="R4398" t="n">
        <v>1</v>
      </c>
      <c r="S4398" t="n">
        <v>1251.25</v>
      </c>
      <c r="T4398" t="n">
        <v>6</v>
      </c>
      <c r="U4398" t="n">
        <v>7</v>
      </c>
      <c r="V4398" t="n">
        <v>30</v>
      </c>
      <c r="W4398" t="n">
        <v>2</v>
      </c>
      <c r="X4398" t="n">
        <v>21.97802197802197</v>
      </c>
      <c r="Y4398" t="n">
        <v>1</v>
      </c>
      <c r="Z4398" t="n">
        <v>1</v>
      </c>
      <c r="AA4398" t="n">
        <v>0</v>
      </c>
      <c r="AB4398" t="n">
        <v>1</v>
      </c>
      <c r="AC4398" t="n">
        <v>3</v>
      </c>
      <c r="AD4398" t="n">
        <v>0</v>
      </c>
      <c r="AE4398" t="n">
        <v>69600</v>
      </c>
      <c r="AF4398" t="n">
        <v>2678</v>
      </c>
      <c r="AG4398" t="n">
        <v>104</v>
      </c>
      <c r="AH4398" t="inlineStr">
        <is>
          <t>PT. ASIA PARAMITA - PPN (PDG)</t>
        </is>
      </c>
      <c r="AI4398" t="n">
        <v>104</v>
      </c>
      <c r="AJ4398" t="inlineStr">
        <is>
          <t>PIXY</t>
        </is>
      </c>
      <c r="AK4398" t="n">
        <v>21</v>
      </c>
      <c r="AL4398" t="inlineStr">
        <is>
          <t>Miss Glam Damar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PIXY</t>
        </is>
      </c>
      <c r="B4399" s="2">
        <f>"8992222075091"</f>
        <v/>
      </c>
      <c r="C4399" t="inlineStr">
        <is>
          <t>PIXY Perfect Fit Liquid Foundation 02 Yellow Beige 20ml</t>
        </is>
      </c>
      <c r="D4399" t="inlineStr">
        <is>
          <t>Miss Glam Damar</t>
        </is>
      </c>
      <c r="E4399" t="n">
        <v>3</v>
      </c>
      <c r="F4399" t="n">
        <v>0.06370000000000001</v>
      </c>
      <c r="G4399" t="n">
        <v>0.91</v>
      </c>
      <c r="H4399" t="n">
        <v>2</v>
      </c>
      <c r="I4399" t="n">
        <v>6</v>
      </c>
      <c r="J4399" t="n">
        <v>3</v>
      </c>
      <c r="K4399" t="n">
        <v>0</v>
      </c>
      <c r="L4399" t="n">
        <v>23200</v>
      </c>
      <c r="M4399" t="n">
        <v>27500</v>
      </c>
      <c r="N4399" t="n">
        <v>91</v>
      </c>
      <c r="O4399" t="n">
        <v>0.91</v>
      </c>
      <c r="P4399" t="n">
        <v>1</v>
      </c>
      <c r="Q4399" t="n">
        <v>0.05</v>
      </c>
      <c r="R4399" t="n">
        <v>1</v>
      </c>
      <c r="S4399" t="n">
        <v>1751.75</v>
      </c>
      <c r="T4399" t="n">
        <v>6</v>
      </c>
      <c r="U4399" t="n">
        <v>7</v>
      </c>
      <c r="V4399" t="n">
        <v>30</v>
      </c>
      <c r="W4399" t="n">
        <v>2</v>
      </c>
      <c r="X4399" t="n">
        <v>47.09576138147566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2678</v>
      </c>
      <c r="AG4399" t="n">
        <v>104</v>
      </c>
      <c r="AH4399" t="inlineStr">
        <is>
          <t>PT. ASIA PARAMITA - PPN (PDG)</t>
        </is>
      </c>
      <c r="AI4399" t="n">
        <v>104</v>
      </c>
      <c r="AJ4399" t="inlineStr">
        <is>
          <t>PIXY</t>
        </is>
      </c>
      <c r="AK4399" t="n">
        <v>21</v>
      </c>
      <c r="AL4399" t="inlineStr">
        <is>
          <t>Miss Glam Damar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PIXY</t>
        </is>
      </c>
      <c r="B4400" s="2">
        <f>"8992222075107"</f>
        <v/>
      </c>
      <c r="C4400" t="inlineStr">
        <is>
          <t>PIXY Perfect Fit Liquid Foundation 03 Natural White 20ml</t>
        </is>
      </c>
      <c r="D4400" t="inlineStr">
        <is>
          <t>Miss Glam Damar</t>
        </is>
      </c>
      <c r="E4400" t="n">
        <v>0</v>
      </c>
      <c r="F4400" t="n">
        <v>0.1274</v>
      </c>
      <c r="G4400" t="n">
        <v>0.91</v>
      </c>
      <c r="H4400" t="n">
        <v>2</v>
      </c>
      <c r="I4400" t="n">
        <v>6</v>
      </c>
      <c r="J4400" t="n">
        <v>3</v>
      </c>
      <c r="K4400" t="n">
        <v>0</v>
      </c>
      <c r="L4400" t="n">
        <v>23200</v>
      </c>
      <c r="M4400" t="n">
        <v>27500</v>
      </c>
      <c r="N4400" t="n">
        <v>91</v>
      </c>
      <c r="O4400" t="n">
        <v>0.91</v>
      </c>
      <c r="P4400" t="n">
        <v>1</v>
      </c>
      <c r="Q4400" t="n">
        <v>0.12</v>
      </c>
      <c r="R4400" t="n">
        <v>1</v>
      </c>
      <c r="S4400" t="n">
        <v>3503.5</v>
      </c>
      <c r="T4400" t="n">
        <v>6</v>
      </c>
      <c r="U4400" t="n">
        <v>7</v>
      </c>
      <c r="V4400" t="n">
        <v>30</v>
      </c>
      <c r="W4400" t="n">
        <v>4</v>
      </c>
      <c r="X4400" t="n">
        <v>0</v>
      </c>
      <c r="Y4400" t="n">
        <v>1</v>
      </c>
      <c r="Z4400" t="n">
        <v>4</v>
      </c>
      <c r="AA4400" t="n">
        <v>1</v>
      </c>
      <c r="AB4400" t="n">
        <v>3</v>
      </c>
      <c r="AC4400" t="n">
        <v>3</v>
      </c>
      <c r="AD4400" t="n">
        <v>23200</v>
      </c>
      <c r="AE4400" t="n">
        <v>69600</v>
      </c>
      <c r="AF4400" t="n">
        <v>2678</v>
      </c>
      <c r="AG4400" t="n">
        <v>104</v>
      </c>
      <c r="AH4400" t="inlineStr">
        <is>
          <t>PT. ASIA PARAMITA - PPN (PDG)</t>
        </is>
      </c>
      <c r="AI4400" t="n">
        <v>104</v>
      </c>
      <c r="AJ4400" t="inlineStr">
        <is>
          <t>PIXY</t>
        </is>
      </c>
      <c r="AK4400" t="n">
        <v>21</v>
      </c>
      <c r="AL4400" t="inlineStr">
        <is>
          <t>Miss Glam Damar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PIXY</t>
        </is>
      </c>
      <c r="B4401" s="2">
        <f>"8992222075114"</f>
        <v/>
      </c>
      <c r="C4401" t="inlineStr">
        <is>
          <t>PIXY Perfect Fit Liquid Foundation 04 Natural Beige 20ml</t>
        </is>
      </c>
      <c r="D4401" t="inlineStr">
        <is>
          <t>Miss Glam Damar</t>
        </is>
      </c>
      <c r="E4401" t="n">
        <v>6</v>
      </c>
      <c r="F4401" t="n">
        <v>0.182</v>
      </c>
      <c r="G4401" t="n">
        <v>1.82</v>
      </c>
      <c r="H4401" t="n">
        <v>2</v>
      </c>
      <c r="I4401" t="n">
        <v>6</v>
      </c>
      <c r="J4401" t="n">
        <v>3</v>
      </c>
      <c r="K4401" t="n">
        <v>0</v>
      </c>
      <c r="L4401" t="n">
        <v>23200</v>
      </c>
      <c r="M4401" t="n">
        <v>27500</v>
      </c>
      <c r="N4401" t="n">
        <v>91</v>
      </c>
      <c r="O4401" t="n">
        <v>0.91</v>
      </c>
      <c r="P4401" t="n">
        <v>1</v>
      </c>
      <c r="Q4401" t="n">
        <v>0.12</v>
      </c>
      <c r="R4401" t="n">
        <v>1</v>
      </c>
      <c r="S4401" t="n">
        <v>5005.000000000001</v>
      </c>
      <c r="T4401" t="n">
        <v>11</v>
      </c>
      <c r="U4401" t="n">
        <v>12</v>
      </c>
      <c r="V4401" t="n">
        <v>30</v>
      </c>
      <c r="W4401" t="n">
        <v>6</v>
      </c>
      <c r="X4401" t="n">
        <v>32.96703296703296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2678</v>
      </c>
      <c r="AG4401" t="n">
        <v>104</v>
      </c>
      <c r="AH4401" t="inlineStr">
        <is>
          <t>PT. ASIA PARAMITA - PPN (PDG)</t>
        </is>
      </c>
      <c r="AI4401" t="n">
        <v>104</v>
      </c>
      <c r="AJ4401" t="inlineStr">
        <is>
          <t>PIXY</t>
        </is>
      </c>
      <c r="AK4401" t="n">
        <v>21</v>
      </c>
      <c r="AL4401" t="inlineStr">
        <is>
          <t>Miss Glam Damar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PIXY</t>
        </is>
      </c>
      <c r="B4402" s="2">
        <f>"8992222075121"</f>
        <v/>
      </c>
      <c r="C4402" t="inlineStr">
        <is>
          <t>PIXY Perfect Fit Liquid Foundation 05 Tropical Beige 20ml</t>
        </is>
      </c>
      <c r="D4402" t="inlineStr">
        <is>
          <t>Miss Glam Damar</t>
        </is>
      </c>
      <c r="E4402" t="n">
        <v>4</v>
      </c>
      <c r="F4402" t="n">
        <v>0.07000000000000001</v>
      </c>
      <c r="G4402" t="n">
        <v>2</v>
      </c>
      <c r="H4402" t="n">
        <v>2</v>
      </c>
      <c r="I4402" t="n">
        <v>6</v>
      </c>
      <c r="J4402" t="n">
        <v>3</v>
      </c>
      <c r="K4402" t="n">
        <v>0</v>
      </c>
      <c r="L4402" t="n">
        <v>23200</v>
      </c>
      <c r="M4402" t="n">
        <v>27500</v>
      </c>
      <c r="N4402" t="n">
        <v>91</v>
      </c>
      <c r="O4402" t="n">
        <v>0.91</v>
      </c>
      <c r="P4402" t="n">
        <v>0</v>
      </c>
      <c r="Q4402" t="n">
        <v>0.07000000000000001</v>
      </c>
      <c r="R4402" t="n">
        <v>2</v>
      </c>
      <c r="S4402" t="n">
        <v>1925</v>
      </c>
      <c r="T4402" t="n">
        <v>12</v>
      </c>
      <c r="U4402" t="n">
        <v>13</v>
      </c>
      <c r="V4402" t="n">
        <v>30</v>
      </c>
      <c r="W4402" t="n">
        <v>3</v>
      </c>
      <c r="X4402" t="n">
        <v>57.14285714285714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2678</v>
      </c>
      <c r="AG4402" t="n">
        <v>104</v>
      </c>
      <c r="AH4402" t="inlineStr">
        <is>
          <t>PT. ASIA PARAMITA - PPN (PDG)</t>
        </is>
      </c>
      <c r="AI4402" t="n">
        <v>104</v>
      </c>
      <c r="AJ4402" t="inlineStr">
        <is>
          <t>PIXY</t>
        </is>
      </c>
      <c r="AK4402" t="n">
        <v>21</v>
      </c>
      <c r="AL4402" t="inlineStr">
        <is>
          <t>Miss Glam Damar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PIXY</t>
        </is>
      </c>
      <c r="B4403" s="2">
        <f>"8992222280921"</f>
        <v/>
      </c>
      <c r="C4403" t="inlineStr">
        <is>
          <t>PIXY Perfectly Eyeliner Black 5ml</t>
        </is>
      </c>
      <c r="D4403" t="inlineStr">
        <is>
          <t>Miss Glam Damar</t>
        </is>
      </c>
      <c r="E4403" t="n">
        <v>3</v>
      </c>
      <c r="F4403" t="n">
        <v>0.1365</v>
      </c>
      <c r="G4403" t="n">
        <v>0.91</v>
      </c>
      <c r="H4403" t="n">
        <v>2</v>
      </c>
      <c r="I4403" t="n">
        <v>6</v>
      </c>
      <c r="J4403" t="n">
        <v>3</v>
      </c>
      <c r="K4403" t="n">
        <v>0</v>
      </c>
      <c r="L4403" t="n">
        <v>39200</v>
      </c>
      <c r="M4403" t="n">
        <v>46500</v>
      </c>
      <c r="N4403" t="n">
        <v>91</v>
      </c>
      <c r="O4403" t="n">
        <v>0.91</v>
      </c>
      <c r="P4403" t="n">
        <v>1</v>
      </c>
      <c r="Q4403" t="n">
        <v>0.05</v>
      </c>
      <c r="R4403" t="n">
        <v>1</v>
      </c>
      <c r="S4403" t="n">
        <v>6347.250000000001</v>
      </c>
      <c r="T4403" t="n">
        <v>6</v>
      </c>
      <c r="U4403" t="n">
        <v>7</v>
      </c>
      <c r="V4403" t="n">
        <v>30</v>
      </c>
      <c r="W4403" t="n">
        <v>5</v>
      </c>
      <c r="X4403" t="n">
        <v>21.97802197802198</v>
      </c>
      <c r="Y4403" t="n">
        <v>1</v>
      </c>
      <c r="Z4403" t="n">
        <v>2</v>
      </c>
      <c r="AA4403" t="n">
        <v>0</v>
      </c>
      <c r="AB4403" t="n">
        <v>2</v>
      </c>
      <c r="AC4403" t="n">
        <v>3</v>
      </c>
      <c r="AD4403" t="n">
        <v>0</v>
      </c>
      <c r="AE4403" t="n">
        <v>117600</v>
      </c>
      <c r="AF4403" t="n">
        <v>2678</v>
      </c>
      <c r="AG4403" t="n">
        <v>104</v>
      </c>
      <c r="AH4403" t="inlineStr">
        <is>
          <t>PT. ASIA PARAMITA - PPN (PDG)</t>
        </is>
      </c>
      <c r="AI4403" t="n">
        <v>104</v>
      </c>
      <c r="AJ4403" t="inlineStr">
        <is>
          <t>PIXY</t>
        </is>
      </c>
      <c r="AK4403" t="n">
        <v>21</v>
      </c>
      <c r="AL4403" t="inlineStr">
        <is>
          <t>Miss Glam Damar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PIXY</t>
        </is>
      </c>
      <c r="B4404" s="2">
        <f>"20100476347"</f>
        <v/>
      </c>
      <c r="C4404" t="inlineStr">
        <is>
          <t>PIXY Serum Cushion Matte C12 Fair Ivory 15 gr</t>
        </is>
      </c>
      <c r="D4404" t="inlineStr">
        <is>
          <t>Miss Glam Damar</t>
        </is>
      </c>
      <c r="E4404" t="n">
        <v>4</v>
      </c>
      <c r="F4404" t="n">
        <v>0.0273</v>
      </c>
      <c r="G4404" t="n">
        <v>0.91</v>
      </c>
      <c r="H4404" t="n">
        <v>2</v>
      </c>
      <c r="I4404" t="n">
        <v>6</v>
      </c>
      <c r="J4404" t="n">
        <v>1</v>
      </c>
      <c r="K4404" t="n">
        <v>0</v>
      </c>
      <c r="L4404" t="n">
        <v>63200</v>
      </c>
      <c r="M4404" t="n">
        <v>74500</v>
      </c>
      <c r="N4404" t="n">
        <v>91</v>
      </c>
      <c r="O4404" t="n">
        <v>0.91</v>
      </c>
      <c r="P4404" t="n">
        <v>1</v>
      </c>
      <c r="Q4404" t="n">
        <v>0.03</v>
      </c>
      <c r="R4404" t="n">
        <v>1</v>
      </c>
      <c r="S4404" t="n">
        <v>2033.85</v>
      </c>
      <c r="T4404" t="n">
        <v>6</v>
      </c>
      <c r="U4404" t="n">
        <v>7</v>
      </c>
      <c r="V4404" t="n">
        <v>30</v>
      </c>
      <c r="W4404" t="n">
        <v>1</v>
      </c>
      <c r="X4404" t="n">
        <v>146.5201465201465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2678</v>
      </c>
      <c r="AG4404" t="n">
        <v>104</v>
      </c>
      <c r="AH4404" t="inlineStr">
        <is>
          <t>PT. ASIA PARAMITA - PPN (PDG)</t>
        </is>
      </c>
      <c r="AI4404" t="n">
        <v>104</v>
      </c>
      <c r="AJ4404" t="inlineStr">
        <is>
          <t>PIXY</t>
        </is>
      </c>
      <c r="AK4404" t="n">
        <v>21</v>
      </c>
      <c r="AL4404" t="inlineStr">
        <is>
          <t>Miss Glam Damar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PIXY</t>
        </is>
      </c>
      <c r="B4405" s="2">
        <f>"20100476430"</f>
        <v/>
      </c>
      <c r="C4405" t="inlineStr">
        <is>
          <t>PIXY Serum Cushion Matte N23 Light Beige 15gr</t>
        </is>
      </c>
      <c r="D4405" t="inlineStr">
        <is>
          <t>Miss Glam Damar</t>
        </is>
      </c>
      <c r="E4405" t="n">
        <v>0</v>
      </c>
      <c r="F4405" t="n">
        <v>0.04</v>
      </c>
      <c r="G4405" t="n">
        <v>1</v>
      </c>
      <c r="H4405" t="n">
        <v>2</v>
      </c>
      <c r="I4405" t="n">
        <v>6</v>
      </c>
      <c r="J4405" t="n">
        <v>1</v>
      </c>
      <c r="K4405" t="n">
        <v>0</v>
      </c>
      <c r="L4405" t="n">
        <v>63200</v>
      </c>
      <c r="M4405" t="n">
        <v>74500</v>
      </c>
      <c r="N4405" t="n">
        <v>91</v>
      </c>
      <c r="O4405" t="n">
        <v>0.91</v>
      </c>
      <c r="P4405" t="n">
        <v>0</v>
      </c>
      <c r="Q4405" t="n">
        <v>0.04</v>
      </c>
      <c r="R4405" t="n">
        <v>1</v>
      </c>
      <c r="S4405" t="n">
        <v>2980</v>
      </c>
      <c r="T4405" t="n">
        <v>6</v>
      </c>
      <c r="U4405" t="n">
        <v>7</v>
      </c>
      <c r="V4405" t="n">
        <v>30</v>
      </c>
      <c r="W4405" t="n">
        <v>2</v>
      </c>
      <c r="X4405" t="n">
        <v>0</v>
      </c>
      <c r="Y4405" t="n">
        <v>1</v>
      </c>
      <c r="Z4405" t="n">
        <v>2</v>
      </c>
      <c r="AA4405" t="n">
        <v>1</v>
      </c>
      <c r="AB4405" t="n">
        <v>1</v>
      </c>
      <c r="AC4405" t="n">
        <v>1</v>
      </c>
      <c r="AD4405" t="n">
        <v>63200</v>
      </c>
      <c r="AE4405" t="n">
        <v>63200</v>
      </c>
      <c r="AF4405" t="n">
        <v>2678</v>
      </c>
      <c r="AG4405" t="n">
        <v>104</v>
      </c>
      <c r="AH4405" t="inlineStr">
        <is>
          <t>PT. ASIA PARAMITA - PPN (PDG)</t>
        </is>
      </c>
      <c r="AI4405" t="n">
        <v>104</v>
      </c>
      <c r="AJ4405" t="inlineStr">
        <is>
          <t>PIXY</t>
        </is>
      </c>
      <c r="AK4405" t="n">
        <v>21</v>
      </c>
      <c r="AL4405" t="inlineStr">
        <is>
          <t>Miss Glam Damar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PIXY</t>
        </is>
      </c>
      <c r="B4406" s="2">
        <f>"8992222074599"</f>
        <v/>
      </c>
      <c r="C4406" t="inlineStr">
        <is>
          <t>PIXY Stay Last Serum Foundation 01 Rosy Ivory 17ml</t>
        </is>
      </c>
      <c r="D4406" t="inlineStr">
        <is>
          <t>Miss Glam Damar</t>
        </is>
      </c>
      <c r="E4406" t="n">
        <v>4</v>
      </c>
      <c r="F4406" t="n">
        <v>0.09100000000000001</v>
      </c>
      <c r="G4406" t="n">
        <v>1.82</v>
      </c>
      <c r="H4406" t="n">
        <v>2</v>
      </c>
      <c r="I4406" t="n">
        <v>6</v>
      </c>
      <c r="J4406" t="n">
        <v>3</v>
      </c>
      <c r="K4406" t="n">
        <v>0</v>
      </c>
      <c r="L4406" t="n">
        <v>53200</v>
      </c>
      <c r="M4406" t="n">
        <v>63000</v>
      </c>
      <c r="N4406" t="n">
        <v>91</v>
      </c>
      <c r="O4406" t="n">
        <v>0.91</v>
      </c>
      <c r="P4406" t="n">
        <v>1</v>
      </c>
      <c r="Q4406" t="n">
        <v>0.12</v>
      </c>
      <c r="R4406" t="n">
        <v>1</v>
      </c>
      <c r="S4406" t="n">
        <v>5733.000000000001</v>
      </c>
      <c r="T4406" t="n">
        <v>11</v>
      </c>
      <c r="U4406" t="n">
        <v>12</v>
      </c>
      <c r="V4406" t="n">
        <v>30</v>
      </c>
      <c r="W4406" t="n">
        <v>3</v>
      </c>
      <c r="X4406" t="n">
        <v>43.95604395604395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2678</v>
      </c>
      <c r="AG4406" t="n">
        <v>104</v>
      </c>
      <c r="AH4406" t="inlineStr">
        <is>
          <t>PT. ASIA PARAMITA - PPN (PDG)</t>
        </is>
      </c>
      <c r="AI4406" t="n">
        <v>104</v>
      </c>
      <c r="AJ4406" t="inlineStr">
        <is>
          <t>PIXY</t>
        </is>
      </c>
      <c r="AK4406" t="n">
        <v>21</v>
      </c>
      <c r="AL4406" t="inlineStr">
        <is>
          <t>Miss Glam Damar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PIXY</t>
        </is>
      </c>
      <c r="B4407" s="2">
        <f>"8992222074605"</f>
        <v/>
      </c>
      <c r="C4407" t="inlineStr">
        <is>
          <t>PIXY Stay Last Serum Foundation 02 Yellow Beige 17ml</t>
        </is>
      </c>
      <c r="D4407" t="inlineStr">
        <is>
          <t>Miss Glam Damar</t>
        </is>
      </c>
      <c r="E4407" t="n">
        <v>2</v>
      </c>
      <c r="F4407" t="n">
        <v>0.09100000000000001</v>
      </c>
      <c r="G4407" t="n">
        <v>1.82</v>
      </c>
      <c r="H4407" t="n">
        <v>2</v>
      </c>
      <c r="I4407" t="n">
        <v>6</v>
      </c>
      <c r="J4407" t="n">
        <v>3</v>
      </c>
      <c r="K4407" t="n">
        <v>0</v>
      </c>
      <c r="L4407" t="n">
        <v>53200</v>
      </c>
      <c r="M4407" t="n">
        <v>63000</v>
      </c>
      <c r="N4407" t="n">
        <v>91</v>
      </c>
      <c r="O4407" t="n">
        <v>0.91</v>
      </c>
      <c r="P4407" t="n">
        <v>1</v>
      </c>
      <c r="Q4407" t="n">
        <v>0.1</v>
      </c>
      <c r="R4407" t="n">
        <v>2</v>
      </c>
      <c r="S4407" t="n">
        <v>5733.000000000001</v>
      </c>
      <c r="T4407" t="n">
        <v>11</v>
      </c>
      <c r="U4407" t="n">
        <v>12</v>
      </c>
      <c r="V4407" t="n">
        <v>30</v>
      </c>
      <c r="W4407" t="n">
        <v>3</v>
      </c>
      <c r="X4407" t="n">
        <v>21.97802197802197</v>
      </c>
      <c r="Y4407" t="n">
        <v>1</v>
      </c>
      <c r="Z4407" t="n">
        <v>1</v>
      </c>
      <c r="AA4407" t="n">
        <v>0</v>
      </c>
      <c r="AB4407" t="n">
        <v>1</v>
      </c>
      <c r="AC4407" t="n">
        <v>3</v>
      </c>
      <c r="AD4407" t="n">
        <v>0</v>
      </c>
      <c r="AE4407" t="n">
        <v>159600</v>
      </c>
      <c r="AF4407" t="n">
        <v>2678</v>
      </c>
      <c r="AG4407" t="n">
        <v>104</v>
      </c>
      <c r="AH4407" t="inlineStr">
        <is>
          <t>PT. ASIA PARAMITA - PPN (PDG)</t>
        </is>
      </c>
      <c r="AI4407" t="n">
        <v>104</v>
      </c>
      <c r="AJ4407" t="inlineStr">
        <is>
          <t>PIXY</t>
        </is>
      </c>
      <c r="AK4407" t="n">
        <v>21</v>
      </c>
      <c r="AL4407" t="inlineStr">
        <is>
          <t>Miss Glam Damar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PIXY</t>
        </is>
      </c>
      <c r="B4408" s="2">
        <f>"8992222074612"</f>
        <v/>
      </c>
      <c r="C4408" t="inlineStr">
        <is>
          <t>PIXY Stay Last Serum Foundation 03 Natural Beige 17ml</t>
        </is>
      </c>
      <c r="D4408" t="inlineStr">
        <is>
          <t>Miss Glam Damar</t>
        </is>
      </c>
      <c r="E4408" t="n">
        <v>6</v>
      </c>
      <c r="F4408" t="n">
        <v>0.182</v>
      </c>
      <c r="G4408" t="n">
        <v>1.82</v>
      </c>
      <c r="H4408" t="n">
        <v>2</v>
      </c>
      <c r="I4408" t="n">
        <v>6</v>
      </c>
      <c r="J4408" t="n">
        <v>3</v>
      </c>
      <c r="K4408" t="n">
        <v>0</v>
      </c>
      <c r="L4408" t="n">
        <v>53200</v>
      </c>
      <c r="M4408" t="n">
        <v>63000</v>
      </c>
      <c r="N4408" t="n">
        <v>91</v>
      </c>
      <c r="O4408" t="n">
        <v>0.91</v>
      </c>
      <c r="P4408" t="n">
        <v>1</v>
      </c>
      <c r="Q4408" t="n">
        <v>0.14</v>
      </c>
      <c r="R4408" t="n">
        <v>2</v>
      </c>
      <c r="S4408" t="n">
        <v>11466</v>
      </c>
      <c r="T4408" t="n">
        <v>11</v>
      </c>
      <c r="U4408" t="n">
        <v>12</v>
      </c>
      <c r="V4408" t="n">
        <v>30</v>
      </c>
      <c r="W4408" t="n">
        <v>6</v>
      </c>
      <c r="X4408" t="n">
        <v>32.96703296703296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2678</v>
      </c>
      <c r="AG4408" t="n">
        <v>104</v>
      </c>
      <c r="AH4408" t="inlineStr">
        <is>
          <t>PT. ASIA PARAMITA - PPN (PDG)</t>
        </is>
      </c>
      <c r="AI4408" t="n">
        <v>104</v>
      </c>
      <c r="AJ4408" t="inlineStr">
        <is>
          <t>PIXY</t>
        </is>
      </c>
      <c r="AK4408" t="n">
        <v>21</v>
      </c>
      <c r="AL4408" t="inlineStr">
        <is>
          <t>Miss Glam Damar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PIXY</t>
        </is>
      </c>
      <c r="B4409" s="2">
        <f>"8992222074629"</f>
        <v/>
      </c>
      <c r="C4409" t="inlineStr">
        <is>
          <t>PIXY Stay Last Serum Foundation 04 Golden Tan 17ml</t>
        </is>
      </c>
      <c r="D4409" t="inlineStr">
        <is>
          <t>Miss Glam Damar</t>
        </is>
      </c>
      <c r="E4409" t="n">
        <v>2</v>
      </c>
      <c r="F4409" t="n">
        <v>0.1274</v>
      </c>
      <c r="G4409" t="n">
        <v>0.91</v>
      </c>
      <c r="H4409" t="n">
        <v>2</v>
      </c>
      <c r="I4409" t="n">
        <v>6</v>
      </c>
      <c r="J4409" t="n">
        <v>3</v>
      </c>
      <c r="K4409" t="n">
        <v>0</v>
      </c>
      <c r="L4409" t="n">
        <v>53200</v>
      </c>
      <c r="M4409" t="n">
        <v>63000</v>
      </c>
      <c r="N4409" t="n">
        <v>91</v>
      </c>
      <c r="O4409" t="n">
        <v>0.91</v>
      </c>
      <c r="P4409" t="n">
        <v>1</v>
      </c>
      <c r="Q4409" t="n">
        <v>0.03</v>
      </c>
      <c r="R4409" t="n">
        <v>1</v>
      </c>
      <c r="S4409" t="n">
        <v>8026.200000000001</v>
      </c>
      <c r="T4409" t="n">
        <v>6</v>
      </c>
      <c r="U4409" t="n">
        <v>7</v>
      </c>
      <c r="V4409" t="n">
        <v>30</v>
      </c>
      <c r="W4409" t="n">
        <v>4</v>
      </c>
      <c r="X4409" t="n">
        <v>15.69858712715855</v>
      </c>
      <c r="Y4409" t="n">
        <v>1</v>
      </c>
      <c r="Z4409" t="n">
        <v>2</v>
      </c>
      <c r="AA4409" t="n">
        <v>0</v>
      </c>
      <c r="AB4409" t="n">
        <v>2</v>
      </c>
      <c r="AC4409" t="n">
        <v>3</v>
      </c>
      <c r="AD4409" t="n">
        <v>0</v>
      </c>
      <c r="AE4409" t="n">
        <v>159600</v>
      </c>
      <c r="AF4409" t="n">
        <v>2678</v>
      </c>
      <c r="AG4409" t="n">
        <v>104</v>
      </c>
      <c r="AH4409" t="inlineStr">
        <is>
          <t>PT. ASIA PARAMITA - PPN (PDG)</t>
        </is>
      </c>
      <c r="AI4409" t="n">
        <v>104</v>
      </c>
      <c r="AJ4409" t="inlineStr">
        <is>
          <t>PIXY</t>
        </is>
      </c>
      <c r="AK4409" t="n">
        <v>21</v>
      </c>
      <c r="AL4409" t="inlineStr">
        <is>
          <t>Miss Glam Damar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PIXY</t>
        </is>
      </c>
      <c r="B4410" s="2">
        <f>"203002198543"</f>
        <v/>
      </c>
      <c r="C4410" t="inlineStr">
        <is>
          <t>PIXY Time To Gloss 01 Red Now 4gr</t>
        </is>
      </c>
      <c r="D4410" t="inlineStr">
        <is>
          <t>Miss Glam Damar</t>
        </is>
      </c>
      <c r="E4410" t="n">
        <v>4</v>
      </c>
      <c r="F4410" t="n">
        <v>0.1092</v>
      </c>
      <c r="G4410" t="n">
        <v>2.73</v>
      </c>
      <c r="H4410" t="n">
        <v>2</v>
      </c>
      <c r="I4410" t="n">
        <v>6</v>
      </c>
      <c r="J4410" t="n">
        <v>1</v>
      </c>
      <c r="K4410" t="n">
        <v>0</v>
      </c>
      <c r="L4410" t="n">
        <v>38399</v>
      </c>
      <c r="M4410" t="n">
        <v>45500</v>
      </c>
      <c r="N4410" t="n">
        <v>91</v>
      </c>
      <c r="O4410" t="n">
        <v>0.91</v>
      </c>
      <c r="P4410" t="n">
        <v>1</v>
      </c>
      <c r="Q4410" t="n">
        <v>0.1</v>
      </c>
      <c r="R4410" t="n">
        <v>1</v>
      </c>
      <c r="S4410" t="n">
        <v>4968.6</v>
      </c>
      <c r="T4410" t="n">
        <v>17</v>
      </c>
      <c r="U4410" t="n">
        <v>18</v>
      </c>
      <c r="V4410" t="n">
        <v>30</v>
      </c>
      <c r="W4410" t="n">
        <v>4</v>
      </c>
      <c r="X4410" t="n">
        <v>36.63003663003663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2678</v>
      </c>
      <c r="AG4410" t="n">
        <v>104</v>
      </c>
      <c r="AH4410" t="inlineStr">
        <is>
          <t>PT. ASIA PARAMITA - PPN (PDG)</t>
        </is>
      </c>
      <c r="AI4410" t="n">
        <v>104</v>
      </c>
      <c r="AJ4410" t="inlineStr">
        <is>
          <t>PIXY</t>
        </is>
      </c>
      <c r="AK4410" t="n">
        <v>21</v>
      </c>
      <c r="AL4410" t="inlineStr">
        <is>
          <t>Miss Glam Damar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PIXY</t>
        </is>
      </c>
      <c r="B4411" s="2">
        <f>"203002198554"</f>
        <v/>
      </c>
      <c r="C4411" t="inlineStr">
        <is>
          <t>PIXY Time To Gloss 02 Pink Hour 4gr</t>
        </is>
      </c>
      <c r="D4411" t="inlineStr">
        <is>
          <t>Miss Glam Damar</t>
        </is>
      </c>
      <c r="E4411" t="n">
        <v>10</v>
      </c>
      <c r="F4411" t="n">
        <v>0.06370000000000001</v>
      </c>
      <c r="G4411" t="n">
        <v>0.91</v>
      </c>
      <c r="H4411" t="n">
        <v>2</v>
      </c>
      <c r="I4411" t="n">
        <v>6</v>
      </c>
      <c r="J4411" t="n">
        <v>1</v>
      </c>
      <c r="K4411" t="n">
        <v>0</v>
      </c>
      <c r="L4411" t="n">
        <v>38399</v>
      </c>
      <c r="M4411" t="n">
        <v>45500</v>
      </c>
      <c r="N4411" t="n">
        <v>91</v>
      </c>
      <c r="O4411" t="n">
        <v>0.91</v>
      </c>
      <c r="P4411" t="n">
        <v>1</v>
      </c>
      <c r="Q4411" t="n">
        <v>0.03</v>
      </c>
      <c r="R4411" t="n">
        <v>1</v>
      </c>
      <c r="S4411" t="n">
        <v>2898.35</v>
      </c>
      <c r="T4411" t="n">
        <v>6</v>
      </c>
      <c r="U4411" t="n">
        <v>7</v>
      </c>
      <c r="V4411" t="n">
        <v>30</v>
      </c>
      <c r="W4411" t="n">
        <v>2</v>
      </c>
      <c r="X4411" t="n">
        <v>156.9858712715856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2678</v>
      </c>
      <c r="AG4411" t="n">
        <v>104</v>
      </c>
      <c r="AH4411" t="inlineStr">
        <is>
          <t>PT. ASIA PARAMITA - PPN (PDG)</t>
        </is>
      </c>
      <c r="AI4411" t="n">
        <v>104</v>
      </c>
      <c r="AJ4411" t="inlineStr">
        <is>
          <t>PIXY</t>
        </is>
      </c>
      <c r="AK4411" t="n">
        <v>21</v>
      </c>
      <c r="AL4411" t="inlineStr">
        <is>
          <t>Miss Glam Damar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PIXY</t>
        </is>
      </c>
      <c r="B4412" s="2">
        <f>"203002198504"</f>
        <v/>
      </c>
      <c r="C4412" t="inlineStr">
        <is>
          <t>PIXY Time To Gloss 03 Berry Soon 4gr</t>
        </is>
      </c>
      <c r="D4412" t="inlineStr">
        <is>
          <t>Miss Glam Damar</t>
        </is>
      </c>
      <c r="E4412" t="n">
        <v>6</v>
      </c>
      <c r="F4412" t="n">
        <v>0.0273</v>
      </c>
      <c r="G4412" t="n">
        <v>0.91</v>
      </c>
      <c r="H4412" t="n">
        <v>2</v>
      </c>
      <c r="I4412" t="n">
        <v>6</v>
      </c>
      <c r="J4412" t="n">
        <v>1</v>
      </c>
      <c r="K4412" t="n">
        <v>0</v>
      </c>
      <c r="L4412" t="n">
        <v>38399</v>
      </c>
      <c r="M4412" t="n">
        <v>45500</v>
      </c>
      <c r="N4412" t="n">
        <v>91</v>
      </c>
      <c r="O4412" t="n">
        <v>0.91</v>
      </c>
      <c r="P4412" t="n">
        <v>1</v>
      </c>
      <c r="Q4412" t="n">
        <v>0.05</v>
      </c>
      <c r="R4412" t="n">
        <v>1</v>
      </c>
      <c r="S4412" t="n">
        <v>1242.15</v>
      </c>
      <c r="T4412" t="n">
        <v>6</v>
      </c>
      <c r="U4412" t="n">
        <v>7</v>
      </c>
      <c r="V4412" t="n">
        <v>30</v>
      </c>
      <c r="W4412" t="n">
        <v>1</v>
      </c>
      <c r="X4412" t="n">
        <v>219.7802197802198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2678</v>
      </c>
      <c r="AG4412" t="n">
        <v>104</v>
      </c>
      <c r="AH4412" t="inlineStr">
        <is>
          <t>PT. ASIA PARAMITA - PPN (PDG)</t>
        </is>
      </c>
      <c r="AI4412" t="n">
        <v>104</v>
      </c>
      <c r="AJ4412" t="inlineStr">
        <is>
          <t>PIXY</t>
        </is>
      </c>
      <c r="AK4412" t="n">
        <v>21</v>
      </c>
      <c r="AL4412" t="inlineStr">
        <is>
          <t>Miss Glam Damar</t>
        </is>
      </c>
      <c r="AM4412" t="n">
        <v>2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PIXY</t>
        </is>
      </c>
      <c r="B4413" s="2">
        <f>"203002198514"</f>
        <v/>
      </c>
      <c r="C4413" t="inlineStr">
        <is>
          <t>PIXY Time To Gloss 04 Plum Week 4gr</t>
        </is>
      </c>
      <c r="D4413" t="inlineStr">
        <is>
          <t>Miss Glam Damar</t>
        </is>
      </c>
      <c r="E4413" t="n">
        <v>9</v>
      </c>
      <c r="F4413" t="n">
        <v>0.03</v>
      </c>
      <c r="G4413" t="n">
        <v>1</v>
      </c>
      <c r="H4413" t="n">
        <v>2</v>
      </c>
      <c r="I4413" t="n">
        <v>6</v>
      </c>
      <c r="J4413" t="n">
        <v>1</v>
      </c>
      <c r="K4413" t="n">
        <v>0</v>
      </c>
      <c r="L4413" t="n">
        <v>38399</v>
      </c>
      <c r="M4413" t="n">
        <v>45500</v>
      </c>
      <c r="N4413" t="n">
        <v>91</v>
      </c>
      <c r="O4413" t="n">
        <v>0.91</v>
      </c>
      <c r="P4413" t="n">
        <v>0</v>
      </c>
      <c r="Q4413" t="n">
        <v>0.03</v>
      </c>
      <c r="R4413" t="n">
        <v>1</v>
      </c>
      <c r="S4413" t="n">
        <v>1365</v>
      </c>
      <c r="T4413" t="n">
        <v>6</v>
      </c>
      <c r="U4413" t="n">
        <v>7</v>
      </c>
      <c r="V4413" t="n">
        <v>30</v>
      </c>
      <c r="W4413" t="n">
        <v>1</v>
      </c>
      <c r="X4413" t="n">
        <v>300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2678</v>
      </c>
      <c r="AG4413" t="n">
        <v>104</v>
      </c>
      <c r="AH4413" t="inlineStr">
        <is>
          <t>PT. ASIA PARAMITA - PPN (PDG)</t>
        </is>
      </c>
      <c r="AI4413" t="n">
        <v>104</v>
      </c>
      <c r="AJ4413" t="inlineStr">
        <is>
          <t>PIXY</t>
        </is>
      </c>
      <c r="AK4413" t="n">
        <v>21</v>
      </c>
      <c r="AL4413" t="inlineStr">
        <is>
          <t>Miss Glam Damar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PIXY</t>
        </is>
      </c>
      <c r="B4414" s="2">
        <f>"203002198544"</f>
        <v/>
      </c>
      <c r="C4414" t="inlineStr">
        <is>
          <t>PIXY Time To Gloss 06 Choco Tonight 4gr</t>
        </is>
      </c>
      <c r="D4414" t="inlineStr">
        <is>
          <t>Miss Glam Damar</t>
        </is>
      </c>
      <c r="E4414" t="n">
        <v>9</v>
      </c>
      <c r="F4414" t="n">
        <v>0.03</v>
      </c>
      <c r="G4414" t="n">
        <v>1</v>
      </c>
      <c r="H4414" t="n">
        <v>2</v>
      </c>
      <c r="I4414" t="n">
        <v>6</v>
      </c>
      <c r="J4414" t="n">
        <v>1</v>
      </c>
      <c r="K4414" t="n">
        <v>0</v>
      </c>
      <c r="L4414" t="n">
        <v>38399</v>
      </c>
      <c r="M4414" t="n">
        <v>45500</v>
      </c>
      <c r="N4414" t="n">
        <v>91</v>
      </c>
      <c r="O4414" t="n">
        <v>0.91</v>
      </c>
      <c r="P4414" t="n">
        <v>0</v>
      </c>
      <c r="Q4414" t="n">
        <v>0.03</v>
      </c>
      <c r="R4414" t="n">
        <v>1</v>
      </c>
      <c r="S4414" t="n">
        <v>1365</v>
      </c>
      <c r="T4414" t="n">
        <v>6</v>
      </c>
      <c r="U4414" t="n">
        <v>7</v>
      </c>
      <c r="V4414" t="n">
        <v>30</v>
      </c>
      <c r="W4414" t="n">
        <v>1</v>
      </c>
      <c r="X4414" t="n">
        <v>300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2678</v>
      </c>
      <c r="AG4414" t="n">
        <v>104</v>
      </c>
      <c r="AH4414" t="inlineStr">
        <is>
          <t>PT. ASIA PARAMITA - PPN (PDG)</t>
        </is>
      </c>
      <c r="AI4414" t="n">
        <v>104</v>
      </c>
      <c r="AJ4414" t="inlineStr">
        <is>
          <t>PIXY</t>
        </is>
      </c>
      <c r="AK4414" t="n">
        <v>21</v>
      </c>
      <c r="AL4414" t="inlineStr">
        <is>
          <t>Miss Glam Damar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PIXY</t>
        </is>
      </c>
      <c r="B4415" s="2">
        <f>"8992222074155"</f>
        <v/>
      </c>
      <c r="C4415" t="inlineStr">
        <is>
          <t>PIXY Twin Blush 02 Active Pink</t>
        </is>
      </c>
      <c r="D4415" t="inlineStr">
        <is>
          <t>Miss Glam Damar</t>
        </is>
      </c>
      <c r="E4415" t="n">
        <v>3</v>
      </c>
      <c r="F4415" t="n">
        <v>0.02</v>
      </c>
      <c r="G4415" t="n">
        <v>1</v>
      </c>
      <c r="H4415" t="n">
        <v>2</v>
      </c>
      <c r="I4415" t="n">
        <v>6</v>
      </c>
      <c r="J4415" t="n">
        <v>3</v>
      </c>
      <c r="K4415" t="n">
        <v>0</v>
      </c>
      <c r="L4415" t="n">
        <v>40800</v>
      </c>
      <c r="M4415" t="n">
        <v>51000</v>
      </c>
      <c r="N4415" t="n">
        <v>91</v>
      </c>
      <c r="O4415" t="n">
        <v>0.91</v>
      </c>
      <c r="P4415" t="n">
        <v>0</v>
      </c>
      <c r="Q4415" t="n">
        <v>0.02</v>
      </c>
      <c r="R4415" t="n">
        <v>1</v>
      </c>
      <c r="S4415" t="n">
        <v>1020</v>
      </c>
      <c r="T4415" t="n">
        <v>6</v>
      </c>
      <c r="U4415" t="n">
        <v>7</v>
      </c>
      <c r="V4415" t="n">
        <v>30</v>
      </c>
      <c r="W4415" t="n">
        <v>1</v>
      </c>
      <c r="X4415" t="n">
        <v>150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2678</v>
      </c>
      <c r="AG4415" t="n">
        <v>104</v>
      </c>
      <c r="AH4415" t="inlineStr">
        <is>
          <t>PT. ASIA PARAMITA - PPN (PDG)</t>
        </is>
      </c>
      <c r="AI4415" t="n">
        <v>104</v>
      </c>
      <c r="AJ4415" t="inlineStr">
        <is>
          <t>PIXY</t>
        </is>
      </c>
      <c r="AK4415" t="n">
        <v>21</v>
      </c>
      <c r="AL4415" t="inlineStr">
        <is>
          <t>Miss Glam Damar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PIXY</t>
        </is>
      </c>
      <c r="B4416" s="2">
        <f>"8992222071871"</f>
        <v/>
      </c>
      <c r="C4416" t="inlineStr">
        <is>
          <t>PIXY Two Way Cake Perfect Fit  Refill 05 Natural White12,2gr</t>
        </is>
      </c>
      <c r="D4416" t="inlineStr">
        <is>
          <t>Miss Glam Damar</t>
        </is>
      </c>
      <c r="E4416" t="n">
        <v>13</v>
      </c>
      <c r="F4416" t="n">
        <v>1.2649</v>
      </c>
      <c r="G4416" t="n">
        <v>3.64</v>
      </c>
      <c r="H4416" t="n">
        <v>2</v>
      </c>
      <c r="I4416" t="n">
        <v>6</v>
      </c>
      <c r="J4416" t="n">
        <v>3</v>
      </c>
      <c r="K4416" t="n">
        <v>0</v>
      </c>
      <c r="L4416" t="n">
        <v>23378</v>
      </c>
      <c r="M4416" t="n">
        <v>28500</v>
      </c>
      <c r="N4416" t="n">
        <v>91</v>
      </c>
      <c r="O4416" t="n">
        <v>0.91</v>
      </c>
      <c r="P4416" t="n">
        <v>1</v>
      </c>
      <c r="Q4416" t="n">
        <v>0.76</v>
      </c>
      <c r="R4416" t="n">
        <v>3</v>
      </c>
      <c r="S4416" t="n">
        <v>36049.64999999999</v>
      </c>
      <c r="T4416" t="n">
        <v>20</v>
      </c>
      <c r="U4416" t="n">
        <v>23</v>
      </c>
      <c r="V4416" t="n">
        <v>30</v>
      </c>
      <c r="W4416" t="n">
        <v>38</v>
      </c>
      <c r="X4416" t="n">
        <v>10.27749229188078</v>
      </c>
      <c r="Y4416" t="n">
        <v>1</v>
      </c>
      <c r="Z4416" t="n">
        <v>25</v>
      </c>
      <c r="AA4416" t="n">
        <v>0</v>
      </c>
      <c r="AB4416" t="n">
        <v>25</v>
      </c>
      <c r="AC4416" t="n">
        <v>25</v>
      </c>
      <c r="AD4416" t="n">
        <v>0</v>
      </c>
      <c r="AE4416" t="n">
        <v>584450</v>
      </c>
      <c r="AF4416" t="n">
        <v>2678</v>
      </c>
      <c r="AG4416" t="n">
        <v>104</v>
      </c>
      <c r="AH4416" t="inlineStr">
        <is>
          <t>PT. ASIA PARAMITA - PPN (PDG)</t>
        </is>
      </c>
      <c r="AI4416" t="n">
        <v>104</v>
      </c>
      <c r="AJ4416" t="inlineStr">
        <is>
          <t>PIXY</t>
        </is>
      </c>
      <c r="AK4416" t="n">
        <v>21</v>
      </c>
      <c r="AL4416" t="inlineStr">
        <is>
          <t>Miss Glam Damar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PIXY</t>
        </is>
      </c>
      <c r="B4417" s="2">
        <f>"8992222071130"</f>
        <v/>
      </c>
      <c r="C4417" t="inlineStr">
        <is>
          <t>PIXY Two Way Cake Perfect Fit  Refill 06 Natural Beige 12,2g</t>
        </is>
      </c>
      <c r="D4417" t="inlineStr">
        <is>
          <t>Miss Glam Damar</t>
        </is>
      </c>
      <c r="E4417" t="n">
        <v>25</v>
      </c>
      <c r="F4417" t="n">
        <v>1.1739</v>
      </c>
      <c r="G4417" t="n">
        <v>4.55</v>
      </c>
      <c r="H4417" t="n">
        <v>2</v>
      </c>
      <c r="I4417" t="n">
        <v>6</v>
      </c>
      <c r="J4417" t="n">
        <v>3</v>
      </c>
      <c r="K4417" t="n">
        <v>0</v>
      </c>
      <c r="L4417" t="n">
        <v>22932</v>
      </c>
      <c r="M4417" t="n">
        <v>28500</v>
      </c>
      <c r="N4417" t="n">
        <v>91</v>
      </c>
      <c r="O4417" t="n">
        <v>0.91</v>
      </c>
      <c r="P4417" t="n">
        <v>1</v>
      </c>
      <c r="Q4417" t="n">
        <v>0.88</v>
      </c>
      <c r="R4417" t="n">
        <v>4</v>
      </c>
      <c r="S4417" t="n">
        <v>33456.15</v>
      </c>
      <c r="T4417" t="n">
        <v>25</v>
      </c>
      <c r="U4417" t="n">
        <v>28</v>
      </c>
      <c r="V4417" t="n">
        <v>30</v>
      </c>
      <c r="W4417" t="n">
        <v>36</v>
      </c>
      <c r="X4417" t="n">
        <v>21.2965329244399</v>
      </c>
      <c r="Y4417" t="n">
        <v>1</v>
      </c>
      <c r="Z4417" t="n">
        <v>11</v>
      </c>
      <c r="AA4417" t="n">
        <v>0</v>
      </c>
      <c r="AB4417" t="n">
        <v>11</v>
      </c>
      <c r="AC4417" t="n">
        <v>11</v>
      </c>
      <c r="AD4417" t="n">
        <v>0</v>
      </c>
      <c r="AE4417" t="n">
        <v>252252</v>
      </c>
      <c r="AF4417" t="n">
        <v>2678</v>
      </c>
      <c r="AG4417" t="n">
        <v>104</v>
      </c>
      <c r="AH4417" t="inlineStr">
        <is>
          <t>PT. ASIA PARAMITA - PPN (PDG)</t>
        </is>
      </c>
      <c r="AI4417" t="n">
        <v>104</v>
      </c>
      <c r="AJ4417" t="inlineStr">
        <is>
          <t>PIXY</t>
        </is>
      </c>
      <c r="AK4417" t="n">
        <v>21</v>
      </c>
      <c r="AL4417" t="inlineStr">
        <is>
          <t>Miss Glam Damar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PIXY</t>
        </is>
      </c>
      <c r="B4418" s="2">
        <f>"8992222071116"</f>
        <v/>
      </c>
      <c r="C4418" t="inlineStr">
        <is>
          <t>PIXY Two Way Cake Perfect Fit  Refill 08 Tropical Beige 12,2g</t>
        </is>
      </c>
      <c r="D4418" t="inlineStr">
        <is>
          <t>Miss Glam Damar</t>
        </is>
      </c>
      <c r="E4418" t="n">
        <v>5</v>
      </c>
      <c r="F4418" t="n">
        <v>0.3549</v>
      </c>
      <c r="G4418" t="n">
        <v>2.73</v>
      </c>
      <c r="H4418" t="n">
        <v>2</v>
      </c>
      <c r="I4418" t="n">
        <v>6</v>
      </c>
      <c r="J4418" t="n">
        <v>3</v>
      </c>
      <c r="K4418" t="n">
        <v>0</v>
      </c>
      <c r="L4418" t="n">
        <v>24000</v>
      </c>
      <c r="M4418" t="n">
        <v>28500</v>
      </c>
      <c r="N4418" t="n">
        <v>91</v>
      </c>
      <c r="O4418" t="n">
        <v>0.91</v>
      </c>
      <c r="P4418" t="n">
        <v>1</v>
      </c>
      <c r="Q4418" t="n">
        <v>0.12</v>
      </c>
      <c r="R4418" t="n">
        <v>1</v>
      </c>
      <c r="S4418" t="n">
        <v>10114.65</v>
      </c>
      <c r="T4418" t="n">
        <v>16</v>
      </c>
      <c r="U4418" t="n">
        <v>17</v>
      </c>
      <c r="V4418" t="n">
        <v>30</v>
      </c>
      <c r="W4418" t="n">
        <v>11</v>
      </c>
      <c r="X4418" t="n">
        <v>14.08847562693716</v>
      </c>
      <c r="Y4418" t="n">
        <v>1</v>
      </c>
      <c r="Z4418" t="n">
        <v>6</v>
      </c>
      <c r="AA4418" t="n">
        <v>0</v>
      </c>
      <c r="AB4418" t="n">
        <v>6</v>
      </c>
      <c r="AC4418" t="n">
        <v>6</v>
      </c>
      <c r="AD4418" t="n">
        <v>0</v>
      </c>
      <c r="AE4418" t="n">
        <v>144000</v>
      </c>
      <c r="AF4418" t="n">
        <v>2678</v>
      </c>
      <c r="AG4418" t="n">
        <v>104</v>
      </c>
      <c r="AH4418" t="inlineStr">
        <is>
          <t>PT. ASIA PARAMITA - PPN (PDG)</t>
        </is>
      </c>
      <c r="AI4418" t="n">
        <v>104</v>
      </c>
      <c r="AJ4418" t="inlineStr">
        <is>
          <t>PIXY</t>
        </is>
      </c>
      <c r="AK4418" t="n">
        <v>21</v>
      </c>
      <c r="AL4418" t="inlineStr">
        <is>
          <t>Miss Glam Damar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PIXY</t>
        </is>
      </c>
      <c r="B4419" s="2">
        <f>"8992222072083"</f>
        <v/>
      </c>
      <c r="C4419" t="inlineStr">
        <is>
          <t>PIXY Two Way Cake Perfect Fit 01 White Cream 12,2g</t>
        </is>
      </c>
      <c r="D4419" t="inlineStr">
        <is>
          <t>Miss Glam Damar</t>
        </is>
      </c>
      <c r="E4419" t="n">
        <v>17</v>
      </c>
      <c r="F4419" t="n">
        <v>0.0182</v>
      </c>
      <c r="G4419" t="n">
        <v>0</v>
      </c>
      <c r="H4419" t="n">
        <v>2</v>
      </c>
      <c r="I4419" t="n">
        <v>6</v>
      </c>
      <c r="J4419" t="n">
        <v>3</v>
      </c>
      <c r="K4419" t="n">
        <v>0</v>
      </c>
      <c r="L4419" t="n">
        <v>36800</v>
      </c>
      <c r="M4419" t="n">
        <v>43000</v>
      </c>
      <c r="N4419" t="n">
        <v>91</v>
      </c>
      <c r="O4419" t="n">
        <v>0.91</v>
      </c>
      <c r="P4419" t="n">
        <v>1</v>
      </c>
      <c r="Q4419" t="n">
        <v>0.03</v>
      </c>
      <c r="R4419" t="n">
        <v>1</v>
      </c>
      <c r="S4419" t="n">
        <v>782.6</v>
      </c>
      <c r="T4419" t="n">
        <v>0</v>
      </c>
      <c r="U4419" t="n">
        <v>1</v>
      </c>
      <c r="V4419" t="n">
        <v>30</v>
      </c>
      <c r="W4419" t="n">
        <v>1</v>
      </c>
      <c r="X4419" t="n">
        <v>934.065934065934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2678</v>
      </c>
      <c r="AG4419" t="n">
        <v>104</v>
      </c>
      <c r="AH4419" t="inlineStr">
        <is>
          <t>PT. ASIA PARAMITA - PPN (PDG)</t>
        </is>
      </c>
      <c r="AI4419" t="n">
        <v>104</v>
      </c>
      <c r="AJ4419" t="inlineStr">
        <is>
          <t>PIXY</t>
        </is>
      </c>
      <c r="AK4419" t="n">
        <v>21</v>
      </c>
      <c r="AL4419" t="inlineStr">
        <is>
          <t>Miss Glam Damar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PIXY</t>
        </is>
      </c>
      <c r="B4420" s="2">
        <f>"8992222072069"</f>
        <v/>
      </c>
      <c r="C4420" t="inlineStr">
        <is>
          <t>PIXY Two Way Cake Perfect Fit 03 Golden Beige 12,2gr</t>
        </is>
      </c>
      <c r="D4420" t="inlineStr">
        <is>
          <t>Miss Glam Damar</t>
        </is>
      </c>
      <c r="E4420" t="n">
        <v>16</v>
      </c>
      <c r="F4420" t="n">
        <v>0.0182</v>
      </c>
      <c r="G4420" t="n">
        <v>0.91</v>
      </c>
      <c r="H4420" t="n">
        <v>2</v>
      </c>
      <c r="I4420" t="n">
        <v>6</v>
      </c>
      <c r="J4420" t="n">
        <v>3</v>
      </c>
      <c r="K4420" t="n">
        <v>0</v>
      </c>
      <c r="L4420" t="n">
        <v>36800</v>
      </c>
      <c r="M4420" t="n">
        <v>44000</v>
      </c>
      <c r="N4420" t="n">
        <v>91</v>
      </c>
      <c r="O4420" t="n">
        <v>0.91</v>
      </c>
      <c r="P4420" t="n">
        <v>1</v>
      </c>
      <c r="Q4420" t="n">
        <v>0.02</v>
      </c>
      <c r="R4420" t="n">
        <v>1</v>
      </c>
      <c r="S4420" t="n">
        <v>800.8000000000001</v>
      </c>
      <c r="T4420" t="n">
        <v>6</v>
      </c>
      <c r="U4420" t="n">
        <v>7</v>
      </c>
      <c r="V4420" t="n">
        <v>30</v>
      </c>
      <c r="W4420" t="n">
        <v>1</v>
      </c>
      <c r="X4420" t="n">
        <v>879.1208791208791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2678</v>
      </c>
      <c r="AG4420" t="n">
        <v>104</v>
      </c>
      <c r="AH4420" t="inlineStr">
        <is>
          <t>PT. ASIA PARAMITA - PPN (PDG)</t>
        </is>
      </c>
      <c r="AI4420" t="n">
        <v>104</v>
      </c>
      <c r="AJ4420" t="inlineStr">
        <is>
          <t>PIXY</t>
        </is>
      </c>
      <c r="AK4420" t="n">
        <v>21</v>
      </c>
      <c r="AL4420" t="inlineStr">
        <is>
          <t>Miss Glam Damar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PIXY</t>
        </is>
      </c>
      <c r="B4421" s="2">
        <f>"8992222071147"</f>
        <v/>
      </c>
      <c r="C4421" t="inlineStr">
        <is>
          <t>PIXY Two Way Cake Perfect Fit 04 Ivory 12,2g</t>
        </is>
      </c>
      <c r="D4421" t="inlineStr">
        <is>
          <t>Miss Glam Damar</t>
        </is>
      </c>
      <c r="E4421" t="n">
        <v>12</v>
      </c>
      <c r="F4421" t="n">
        <v>0.0728</v>
      </c>
      <c r="G4421" t="n">
        <v>1.82</v>
      </c>
      <c r="H4421" t="n">
        <v>2</v>
      </c>
      <c r="I4421" t="n">
        <v>6</v>
      </c>
      <c r="J4421" t="n">
        <v>3</v>
      </c>
      <c r="K4421" t="n">
        <v>0</v>
      </c>
      <c r="L4421" t="n">
        <v>36800</v>
      </c>
      <c r="M4421" t="n">
        <v>44000</v>
      </c>
      <c r="N4421" t="n">
        <v>91</v>
      </c>
      <c r="O4421" t="n">
        <v>0.91</v>
      </c>
      <c r="P4421" t="n">
        <v>1</v>
      </c>
      <c r="Q4421" t="n">
        <v>0.02</v>
      </c>
      <c r="R4421" t="n">
        <v>1</v>
      </c>
      <c r="S4421" t="n">
        <v>3203.2</v>
      </c>
      <c r="T4421" t="n">
        <v>11</v>
      </c>
      <c r="U4421" t="n">
        <v>12</v>
      </c>
      <c r="V4421" t="n">
        <v>30</v>
      </c>
      <c r="W4421" t="n">
        <v>3</v>
      </c>
      <c r="X4421" t="n">
        <v>164.8351648351648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2678</v>
      </c>
      <c r="AG4421" t="n">
        <v>104</v>
      </c>
      <c r="AH4421" t="inlineStr">
        <is>
          <t>PT. ASIA PARAMITA - PPN (PDG)</t>
        </is>
      </c>
      <c r="AI4421" t="n">
        <v>104</v>
      </c>
      <c r="AJ4421" t="inlineStr">
        <is>
          <t>PIXY</t>
        </is>
      </c>
      <c r="AK4421" t="n">
        <v>21</v>
      </c>
      <c r="AL4421" t="inlineStr">
        <is>
          <t>Miss Glam Damar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PIXY</t>
        </is>
      </c>
      <c r="B4422" s="2">
        <f>"8992222071857"</f>
        <v/>
      </c>
      <c r="C4422" t="inlineStr">
        <is>
          <t>PIXY Two Way Cake Perfect Fit 05 Natural White 12,2g</t>
        </is>
      </c>
      <c r="D4422" t="inlineStr">
        <is>
          <t>Miss Glam Damar</t>
        </is>
      </c>
      <c r="E4422" t="n">
        <v>3</v>
      </c>
      <c r="F4422" t="n">
        <v>0.0728</v>
      </c>
      <c r="G4422" t="n">
        <v>0.91</v>
      </c>
      <c r="H4422" t="n">
        <v>2</v>
      </c>
      <c r="I4422" t="n">
        <v>6</v>
      </c>
      <c r="J4422" t="n">
        <v>3</v>
      </c>
      <c r="K4422" t="n">
        <v>0</v>
      </c>
      <c r="L4422" t="n">
        <v>40000</v>
      </c>
      <c r="M4422" t="n">
        <v>47500</v>
      </c>
      <c r="N4422" t="n">
        <v>91</v>
      </c>
      <c r="O4422" t="n">
        <v>0.91</v>
      </c>
      <c r="P4422" t="n">
        <v>1</v>
      </c>
      <c r="Q4422" t="n">
        <v>0.05</v>
      </c>
      <c r="R4422" t="n">
        <v>1</v>
      </c>
      <c r="S4422" t="n">
        <v>3458</v>
      </c>
      <c r="T4422" t="n">
        <v>6</v>
      </c>
      <c r="U4422" t="n">
        <v>7</v>
      </c>
      <c r="V4422" t="n">
        <v>30</v>
      </c>
      <c r="W4422" t="n">
        <v>3</v>
      </c>
      <c r="X4422" t="n">
        <v>41.2087912087912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2678</v>
      </c>
      <c r="AG4422" t="n">
        <v>104</v>
      </c>
      <c r="AH4422" t="inlineStr">
        <is>
          <t>PT. ASIA PARAMITA - PPN (PDG)</t>
        </is>
      </c>
      <c r="AI4422" t="n">
        <v>104</v>
      </c>
      <c r="AJ4422" t="inlineStr">
        <is>
          <t>PIXY</t>
        </is>
      </c>
      <c r="AK4422" t="n">
        <v>21</v>
      </c>
      <c r="AL4422" t="inlineStr">
        <is>
          <t>Miss Glam Damar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PIXY</t>
        </is>
      </c>
      <c r="B4423" s="2">
        <f>"8992222071123"</f>
        <v/>
      </c>
      <c r="C4423" t="inlineStr">
        <is>
          <t>PIXY Two Way Cake Perfect Fit 06 Natural Beige12,2g</t>
        </is>
      </c>
      <c r="D4423" t="inlineStr">
        <is>
          <t>Miss Glam Damar</t>
        </is>
      </c>
      <c r="E4423" t="n">
        <v>1</v>
      </c>
      <c r="F4423" t="n">
        <v>0.09100000000000001</v>
      </c>
      <c r="G4423" t="n">
        <v>1.82</v>
      </c>
      <c r="H4423" t="n">
        <v>2</v>
      </c>
      <c r="I4423" t="n">
        <v>6</v>
      </c>
      <c r="J4423" t="n">
        <v>3</v>
      </c>
      <c r="K4423" t="n">
        <v>0</v>
      </c>
      <c r="L4423" t="n">
        <v>38720</v>
      </c>
      <c r="M4423" t="n">
        <v>46000</v>
      </c>
      <c r="N4423" t="n">
        <v>91</v>
      </c>
      <c r="O4423" t="n">
        <v>0.91</v>
      </c>
      <c r="P4423" t="n">
        <v>1</v>
      </c>
      <c r="Q4423" t="n">
        <v>0.08</v>
      </c>
      <c r="R4423" t="n">
        <v>1</v>
      </c>
      <c r="S4423" t="n">
        <v>4186.000000000001</v>
      </c>
      <c r="T4423" t="n">
        <v>11</v>
      </c>
      <c r="U4423" t="n">
        <v>12</v>
      </c>
      <c r="V4423" t="n">
        <v>30</v>
      </c>
      <c r="W4423" t="n">
        <v>3</v>
      </c>
      <c r="X4423" t="n">
        <v>10.98901098901099</v>
      </c>
      <c r="Y4423" t="n">
        <v>1</v>
      </c>
      <c r="Z4423" t="n">
        <v>2</v>
      </c>
      <c r="AA4423" t="n">
        <v>0</v>
      </c>
      <c r="AB4423" t="n">
        <v>2</v>
      </c>
      <c r="AC4423" t="n">
        <v>3</v>
      </c>
      <c r="AD4423" t="n">
        <v>0</v>
      </c>
      <c r="AE4423" t="n">
        <v>116160</v>
      </c>
      <c r="AF4423" t="n">
        <v>2678</v>
      </c>
      <c r="AG4423" t="n">
        <v>104</v>
      </c>
      <c r="AH4423" t="inlineStr">
        <is>
          <t>PT. ASIA PARAMITA - PPN (PDG)</t>
        </is>
      </c>
      <c r="AI4423" t="n">
        <v>104</v>
      </c>
      <c r="AJ4423" t="inlineStr">
        <is>
          <t>PIXY</t>
        </is>
      </c>
      <c r="AK4423" t="n">
        <v>21</v>
      </c>
      <c r="AL4423" t="inlineStr">
        <is>
          <t>Miss Glam Damar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PIXY</t>
        </is>
      </c>
      <c r="B4424" s="2">
        <f>"8992222073356"</f>
        <v/>
      </c>
      <c r="C4424" t="inlineStr">
        <is>
          <t>PIXY Two Way Cake Perfect Fit 07 Cream Beige 12,2g</t>
        </is>
      </c>
      <c r="D4424" t="inlineStr">
        <is>
          <t>Miss Glam Damar</t>
        </is>
      </c>
      <c r="E4424" t="n">
        <v>6</v>
      </c>
      <c r="F4424" t="n">
        <v>0.0182</v>
      </c>
      <c r="G4424" t="n">
        <v>0.91</v>
      </c>
      <c r="H4424" t="n">
        <v>2</v>
      </c>
      <c r="I4424" t="n">
        <v>6</v>
      </c>
      <c r="J4424" t="n">
        <v>3</v>
      </c>
      <c r="K4424" t="n">
        <v>0</v>
      </c>
      <c r="L4424" t="n">
        <v>36800</v>
      </c>
      <c r="M4424" t="n">
        <v>46000</v>
      </c>
      <c r="N4424" t="n">
        <v>91</v>
      </c>
      <c r="O4424" t="n">
        <v>0.91</v>
      </c>
      <c r="P4424" t="n">
        <v>1</v>
      </c>
      <c r="Q4424" t="n">
        <v>0.02</v>
      </c>
      <c r="R4424" t="n">
        <v>1</v>
      </c>
      <c r="S4424" t="n">
        <v>837.2</v>
      </c>
      <c r="T4424" t="n">
        <v>6</v>
      </c>
      <c r="U4424" t="n">
        <v>7</v>
      </c>
      <c r="V4424" t="n">
        <v>30</v>
      </c>
      <c r="W4424" t="n">
        <v>1</v>
      </c>
      <c r="X4424" t="n">
        <v>329.6703296703296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2678</v>
      </c>
      <c r="AG4424" t="n">
        <v>104</v>
      </c>
      <c r="AH4424" t="inlineStr">
        <is>
          <t>PT. ASIA PARAMITA - PPN (PDG)</t>
        </is>
      </c>
      <c r="AI4424" t="n">
        <v>104</v>
      </c>
      <c r="AJ4424" t="inlineStr">
        <is>
          <t>PIXY</t>
        </is>
      </c>
      <c r="AK4424" t="n">
        <v>21</v>
      </c>
      <c r="AL4424" t="inlineStr">
        <is>
          <t>Miss Glam Damar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PIXY</t>
        </is>
      </c>
      <c r="B4425" s="2">
        <f>"8992222071109"</f>
        <v/>
      </c>
      <c r="C4425" t="inlineStr">
        <is>
          <t>PIXY Two Way Cake Perfect Fit 08 Tropical Beige 12.2g</t>
        </is>
      </c>
      <c r="D4425" t="inlineStr">
        <is>
          <t>Miss Glam Damar</t>
        </is>
      </c>
      <c r="E4425" t="n">
        <v>10</v>
      </c>
      <c r="F4425" t="n">
        <v>0.02</v>
      </c>
      <c r="G4425" t="n">
        <v>1</v>
      </c>
      <c r="H4425" t="n">
        <v>2</v>
      </c>
      <c r="I4425" t="n">
        <v>6</v>
      </c>
      <c r="J4425" t="n">
        <v>3</v>
      </c>
      <c r="K4425" t="n">
        <v>0</v>
      </c>
      <c r="L4425" t="n">
        <v>36800</v>
      </c>
      <c r="M4425" t="n">
        <v>44000</v>
      </c>
      <c r="N4425" t="n">
        <v>91</v>
      </c>
      <c r="O4425" t="n">
        <v>0.91</v>
      </c>
      <c r="P4425" t="n">
        <v>0</v>
      </c>
      <c r="Q4425" t="n">
        <v>0.02</v>
      </c>
      <c r="R4425" t="n">
        <v>1</v>
      </c>
      <c r="S4425" t="n">
        <v>880</v>
      </c>
      <c r="T4425" t="n">
        <v>6</v>
      </c>
      <c r="U4425" t="n">
        <v>7</v>
      </c>
      <c r="V4425" t="n">
        <v>30</v>
      </c>
      <c r="W4425" t="n">
        <v>1</v>
      </c>
      <c r="X4425" t="n">
        <v>500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2678</v>
      </c>
      <c r="AG4425" t="n">
        <v>104</v>
      </c>
      <c r="AH4425" t="inlineStr">
        <is>
          <t>PT. ASIA PARAMITA - PPN (PDG)</t>
        </is>
      </c>
      <c r="AI4425" t="n">
        <v>104</v>
      </c>
      <c r="AJ4425" t="inlineStr">
        <is>
          <t>PIXY</t>
        </is>
      </c>
      <c r="AK4425" t="n">
        <v>21</v>
      </c>
      <c r="AL4425" t="inlineStr">
        <is>
          <t>Miss Glam Damar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PIXY</t>
        </is>
      </c>
      <c r="B4426" s="2">
        <f>"8992222072120"</f>
        <v/>
      </c>
      <c r="C4426" t="inlineStr">
        <is>
          <t>PIXY Two Way Cake Perfect Fit Refill 01 White Cream 12,2g</t>
        </is>
      </c>
      <c r="D4426" t="inlineStr">
        <is>
          <t>Miss Glam Damar</t>
        </is>
      </c>
      <c r="E4426" t="n">
        <v>9</v>
      </c>
      <c r="F4426" t="n">
        <v>0.4914000000000001</v>
      </c>
      <c r="G4426" t="n">
        <v>2.73</v>
      </c>
      <c r="H4426" t="n">
        <v>2</v>
      </c>
      <c r="I4426" t="n">
        <v>6</v>
      </c>
      <c r="J4426" t="n">
        <v>3</v>
      </c>
      <c r="K4426" t="n">
        <v>0</v>
      </c>
      <c r="L4426" t="n">
        <v>24000</v>
      </c>
      <c r="M4426" t="n">
        <v>28500</v>
      </c>
      <c r="N4426" t="n">
        <v>91</v>
      </c>
      <c r="O4426" t="n">
        <v>0.91</v>
      </c>
      <c r="P4426" t="n">
        <v>1</v>
      </c>
      <c r="Q4426" t="n">
        <v>0.32</v>
      </c>
      <c r="R4426" t="n">
        <v>3</v>
      </c>
      <c r="S4426" t="n">
        <v>14004.9</v>
      </c>
      <c r="T4426" t="n">
        <v>16</v>
      </c>
      <c r="U4426" t="n">
        <v>17</v>
      </c>
      <c r="V4426" t="n">
        <v>30</v>
      </c>
      <c r="W4426" t="n">
        <v>15</v>
      </c>
      <c r="X4426" t="n">
        <v>18.31501831501831</v>
      </c>
      <c r="Y4426" t="n">
        <v>1</v>
      </c>
      <c r="Z4426" t="n">
        <v>6</v>
      </c>
      <c r="AA4426" t="n">
        <v>0</v>
      </c>
      <c r="AB4426" t="n">
        <v>6</v>
      </c>
      <c r="AC4426" t="n">
        <v>6</v>
      </c>
      <c r="AD4426" t="n">
        <v>0</v>
      </c>
      <c r="AE4426" t="n">
        <v>144000</v>
      </c>
      <c r="AF4426" t="n">
        <v>2678</v>
      </c>
      <c r="AG4426" t="n">
        <v>104</v>
      </c>
      <c r="AH4426" t="inlineStr">
        <is>
          <t>PT. ASIA PARAMITA - PPN (PDG)</t>
        </is>
      </c>
      <c r="AI4426" t="n">
        <v>104</v>
      </c>
      <c r="AJ4426" t="inlineStr">
        <is>
          <t>PIXY</t>
        </is>
      </c>
      <c r="AK4426" t="n">
        <v>21</v>
      </c>
      <c r="AL4426" t="inlineStr">
        <is>
          <t>Miss Glam Damar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PIXY</t>
        </is>
      </c>
      <c r="B4427" s="2">
        <f>"8992222071451"</f>
        <v/>
      </c>
      <c r="C4427" t="inlineStr">
        <is>
          <t>PIXY Two Way Cake Perfect Fit Refill 02 Yellow Beige 12,2g</t>
        </is>
      </c>
      <c r="D4427" t="inlineStr">
        <is>
          <t>Miss Glam Damar</t>
        </is>
      </c>
      <c r="E4427" t="n">
        <v>7</v>
      </c>
      <c r="F4427" t="n">
        <v>0.7371000000000001</v>
      </c>
      <c r="G4427" t="n">
        <v>3.64</v>
      </c>
      <c r="H4427" t="n">
        <v>2</v>
      </c>
      <c r="I4427" t="n">
        <v>6</v>
      </c>
      <c r="J4427" t="n">
        <v>3</v>
      </c>
      <c r="K4427" t="n">
        <v>0</v>
      </c>
      <c r="L4427" t="n">
        <v>24000</v>
      </c>
      <c r="M4427" t="n">
        <v>28500</v>
      </c>
      <c r="N4427" t="n">
        <v>91</v>
      </c>
      <c r="O4427" t="n">
        <v>0.91</v>
      </c>
      <c r="P4427" t="n">
        <v>1</v>
      </c>
      <c r="Q4427" t="n">
        <v>0.44</v>
      </c>
      <c r="R4427" t="n">
        <v>2</v>
      </c>
      <c r="S4427" t="n">
        <v>21007.35</v>
      </c>
      <c r="T4427" t="n">
        <v>21</v>
      </c>
      <c r="U4427" t="n">
        <v>23</v>
      </c>
      <c r="V4427" t="n">
        <v>30</v>
      </c>
      <c r="W4427" t="n">
        <v>23</v>
      </c>
      <c r="X4427" t="n">
        <v>9.496676163342828</v>
      </c>
      <c r="Y4427" t="n">
        <v>1</v>
      </c>
      <c r="Z4427" t="n">
        <v>16</v>
      </c>
      <c r="AA4427" t="n">
        <v>0</v>
      </c>
      <c r="AB4427" t="n">
        <v>16</v>
      </c>
      <c r="AC4427" t="n">
        <v>16</v>
      </c>
      <c r="AD4427" t="n">
        <v>0</v>
      </c>
      <c r="AE4427" t="n">
        <v>384000</v>
      </c>
      <c r="AF4427" t="n">
        <v>2678</v>
      </c>
      <c r="AG4427" t="n">
        <v>104</v>
      </c>
      <c r="AH4427" t="inlineStr">
        <is>
          <t>PT. ASIA PARAMITA - PPN (PDG)</t>
        </is>
      </c>
      <c r="AI4427" t="n">
        <v>104</v>
      </c>
      <c r="AJ4427" t="inlineStr">
        <is>
          <t>PIXY</t>
        </is>
      </c>
      <c r="AK4427" t="n">
        <v>21</v>
      </c>
      <c r="AL4427" t="inlineStr">
        <is>
          <t>Miss Glam Damar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PIXY</t>
        </is>
      </c>
      <c r="B4428" s="2">
        <f>"8992222072106"</f>
        <v/>
      </c>
      <c r="C4428" t="inlineStr">
        <is>
          <t>PIXY Two Way Cake Perfect Fit Refill 03 Golden Beige12,2g</t>
        </is>
      </c>
      <c r="D4428" t="inlineStr">
        <is>
          <t>Miss Glam Damar</t>
        </is>
      </c>
      <c r="E4428" t="n">
        <v>3</v>
      </c>
      <c r="F4428" t="n">
        <v>0.3731</v>
      </c>
      <c r="G4428" t="n">
        <v>2.73</v>
      </c>
      <c r="H4428" t="n">
        <v>2</v>
      </c>
      <c r="I4428" t="n">
        <v>6</v>
      </c>
      <c r="J4428" t="n">
        <v>3</v>
      </c>
      <c r="K4428" t="n">
        <v>0</v>
      </c>
      <c r="L4428" t="n">
        <v>24000</v>
      </c>
      <c r="M4428" t="n">
        <v>28500</v>
      </c>
      <c r="N4428" t="n">
        <v>91</v>
      </c>
      <c r="O4428" t="n">
        <v>0.91</v>
      </c>
      <c r="P4428" t="n">
        <v>1</v>
      </c>
      <c r="Q4428" t="n">
        <v>0.15</v>
      </c>
      <c r="R4428" t="n">
        <v>1</v>
      </c>
      <c r="S4428" t="n">
        <v>10633.35</v>
      </c>
      <c r="T4428" t="n">
        <v>16</v>
      </c>
      <c r="U4428" t="n">
        <v>17</v>
      </c>
      <c r="V4428" t="n">
        <v>30</v>
      </c>
      <c r="W4428" t="n">
        <v>12</v>
      </c>
      <c r="X4428" t="n">
        <v>8.040739748056822</v>
      </c>
      <c r="Y4428" t="n">
        <v>1</v>
      </c>
      <c r="Z4428" t="n">
        <v>9</v>
      </c>
      <c r="AA4428" t="n">
        <v>0</v>
      </c>
      <c r="AB4428" t="n">
        <v>9</v>
      </c>
      <c r="AC4428" t="n">
        <v>9</v>
      </c>
      <c r="AD4428" t="n">
        <v>0</v>
      </c>
      <c r="AE4428" t="n">
        <v>216000</v>
      </c>
      <c r="AF4428" t="n">
        <v>2678</v>
      </c>
      <c r="AG4428" t="n">
        <v>104</v>
      </c>
      <c r="AH4428" t="inlineStr">
        <is>
          <t>PT. ASIA PARAMITA - PPN (PDG)</t>
        </is>
      </c>
      <c r="AI4428" t="n">
        <v>104</v>
      </c>
      <c r="AJ4428" t="inlineStr">
        <is>
          <t>PIXY</t>
        </is>
      </c>
      <c r="AK4428" t="n">
        <v>21</v>
      </c>
      <c r="AL4428" t="inlineStr">
        <is>
          <t>Miss Glam Damar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PIXY</t>
        </is>
      </c>
      <c r="B4429" s="2">
        <f>"8992222071154"</f>
        <v/>
      </c>
      <c r="C4429" t="inlineStr">
        <is>
          <t>PIXY Two Way Cake Perfect Fit Refill 04 Ivory 12,2gr</t>
        </is>
      </c>
      <c r="D4429" t="inlineStr">
        <is>
          <t>Miss Glam Damar</t>
        </is>
      </c>
      <c r="E4429" t="n">
        <v>4</v>
      </c>
      <c r="F4429" t="n">
        <v>0.2275</v>
      </c>
      <c r="G4429" t="n">
        <v>1.82</v>
      </c>
      <c r="H4429" t="n">
        <v>2</v>
      </c>
      <c r="I4429" t="n">
        <v>6</v>
      </c>
      <c r="J4429" t="n">
        <v>3</v>
      </c>
      <c r="K4429" t="n">
        <v>0</v>
      </c>
      <c r="L4429" t="n">
        <v>24000</v>
      </c>
      <c r="M4429" t="n">
        <v>28500</v>
      </c>
      <c r="N4429" t="n">
        <v>91</v>
      </c>
      <c r="O4429" t="n">
        <v>0.91</v>
      </c>
      <c r="P4429" t="n">
        <v>1</v>
      </c>
      <c r="Q4429" t="n">
        <v>0.2</v>
      </c>
      <c r="R4429" t="n">
        <v>2</v>
      </c>
      <c r="S4429" t="n">
        <v>6483.75</v>
      </c>
      <c r="T4429" t="n">
        <v>11</v>
      </c>
      <c r="U4429" t="n">
        <v>12</v>
      </c>
      <c r="V4429" t="n">
        <v>30</v>
      </c>
      <c r="W4429" t="n">
        <v>7</v>
      </c>
      <c r="X4429" t="n">
        <v>17.58241758241758</v>
      </c>
      <c r="Y4429" t="n">
        <v>1</v>
      </c>
      <c r="Z4429" t="n">
        <v>3</v>
      </c>
      <c r="AA4429" t="n">
        <v>0</v>
      </c>
      <c r="AB4429" t="n">
        <v>3</v>
      </c>
      <c r="AC4429" t="n">
        <v>3</v>
      </c>
      <c r="AD4429" t="n">
        <v>0</v>
      </c>
      <c r="AE4429" t="n">
        <v>72000</v>
      </c>
      <c r="AF4429" t="n">
        <v>2678</v>
      </c>
      <c r="AG4429" t="n">
        <v>104</v>
      </c>
      <c r="AH4429" t="inlineStr">
        <is>
          <t>PT. ASIA PARAMITA - PPN (PDG)</t>
        </is>
      </c>
      <c r="AI4429" t="n">
        <v>104</v>
      </c>
      <c r="AJ4429" t="inlineStr">
        <is>
          <t>PIXY</t>
        </is>
      </c>
      <c r="AK4429" t="n">
        <v>21</v>
      </c>
      <c r="AL4429" t="inlineStr">
        <is>
          <t>Miss Glam Damar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PIXY</t>
        </is>
      </c>
      <c r="B4430" s="2">
        <f>"8992222073363"</f>
        <v/>
      </c>
      <c r="C4430" t="inlineStr">
        <is>
          <t>PIXY Two Way Cake Perfect Fit Refill 07 Cream Beige12,g</t>
        </is>
      </c>
      <c r="D4430" t="inlineStr">
        <is>
          <t>Miss Glam Damar</t>
        </is>
      </c>
      <c r="E4430" t="n">
        <v>4</v>
      </c>
      <c r="F4430" t="n">
        <v>0.1729</v>
      </c>
      <c r="G4430" t="n">
        <v>0.91</v>
      </c>
      <c r="H4430" t="n">
        <v>2</v>
      </c>
      <c r="I4430" t="n">
        <v>6</v>
      </c>
      <c r="J4430" t="n">
        <v>3</v>
      </c>
      <c r="K4430" t="n">
        <v>0</v>
      </c>
      <c r="L4430" t="n">
        <v>24000</v>
      </c>
      <c r="M4430" t="n">
        <v>28500</v>
      </c>
      <c r="N4430" t="n">
        <v>91</v>
      </c>
      <c r="O4430" t="n">
        <v>0.91</v>
      </c>
      <c r="P4430" t="n">
        <v>1</v>
      </c>
      <c r="Q4430" t="n">
        <v>0.12</v>
      </c>
      <c r="R4430" t="n">
        <v>2</v>
      </c>
      <c r="S4430" t="n">
        <v>4927.65</v>
      </c>
      <c r="T4430" t="n">
        <v>6</v>
      </c>
      <c r="U4430" t="n">
        <v>7</v>
      </c>
      <c r="V4430" t="n">
        <v>30</v>
      </c>
      <c r="W4430" t="n">
        <v>6</v>
      </c>
      <c r="X4430" t="n">
        <v>23.13475997686524</v>
      </c>
      <c r="Y4430" t="n">
        <v>1</v>
      </c>
      <c r="Z4430" t="n">
        <v>2</v>
      </c>
      <c r="AA4430" t="n">
        <v>0</v>
      </c>
      <c r="AB4430" t="n">
        <v>2</v>
      </c>
      <c r="AC4430" t="n">
        <v>3</v>
      </c>
      <c r="AD4430" t="n">
        <v>0</v>
      </c>
      <c r="AE4430" t="n">
        <v>72000</v>
      </c>
      <c r="AF4430" t="n">
        <v>2678</v>
      </c>
      <c r="AG4430" t="n">
        <v>104</v>
      </c>
      <c r="AH4430" t="inlineStr">
        <is>
          <t>PT. ASIA PARAMITA - PPN (PDG)</t>
        </is>
      </c>
      <c r="AI4430" t="n">
        <v>104</v>
      </c>
      <c r="AJ4430" t="inlineStr">
        <is>
          <t>PIXY</t>
        </is>
      </c>
      <c r="AK4430" t="n">
        <v>21</v>
      </c>
      <c r="AL4430" t="inlineStr">
        <is>
          <t>Miss Glam Damar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PIXY</t>
        </is>
      </c>
      <c r="B4431" s="2">
        <f>"8992222073714"</f>
        <v/>
      </c>
      <c r="C4431" t="inlineStr">
        <is>
          <t>PIXY Two Way Cake Perfect Last 01 Fair Ochre 9g</t>
        </is>
      </c>
      <c r="D4431" t="inlineStr">
        <is>
          <t>Miss Glam Damar</t>
        </is>
      </c>
      <c r="E4431" t="n">
        <v>1</v>
      </c>
      <c r="F4431" t="n">
        <v>0.2821</v>
      </c>
      <c r="G4431" t="n">
        <v>2.73</v>
      </c>
      <c r="H4431" t="n">
        <v>2</v>
      </c>
      <c r="I4431" t="n">
        <v>6</v>
      </c>
      <c r="J4431" t="n">
        <v>3</v>
      </c>
      <c r="K4431" t="n">
        <v>0</v>
      </c>
      <c r="L4431" t="n">
        <v>30400</v>
      </c>
      <c r="M4431" t="n">
        <v>36000</v>
      </c>
      <c r="N4431" t="n">
        <v>91</v>
      </c>
      <c r="O4431" t="n">
        <v>0.91</v>
      </c>
      <c r="P4431" t="n">
        <v>1</v>
      </c>
      <c r="Q4431" t="n">
        <v>0.22</v>
      </c>
      <c r="R4431" t="n">
        <v>2</v>
      </c>
      <c r="S4431" t="n">
        <v>10155.6</v>
      </c>
      <c r="T4431" t="n">
        <v>16</v>
      </c>
      <c r="U4431" t="n">
        <v>17</v>
      </c>
      <c r="V4431" t="n">
        <v>30</v>
      </c>
      <c r="W4431" t="n">
        <v>9</v>
      </c>
      <c r="X4431" t="n">
        <v>3.544842254519674</v>
      </c>
      <c r="Y4431" t="n">
        <v>1</v>
      </c>
      <c r="Z4431" t="n">
        <v>8</v>
      </c>
      <c r="AA4431" t="n">
        <v>1</v>
      </c>
      <c r="AB4431" t="n">
        <v>7</v>
      </c>
      <c r="AC4431" t="n">
        <v>7</v>
      </c>
      <c r="AD4431" t="n">
        <v>30400</v>
      </c>
      <c r="AE4431" t="n">
        <v>212800</v>
      </c>
      <c r="AF4431" t="n">
        <v>2678</v>
      </c>
      <c r="AG4431" t="n">
        <v>104</v>
      </c>
      <c r="AH4431" t="inlineStr">
        <is>
          <t>PT. ASIA PARAMITA - PPN (PDG)</t>
        </is>
      </c>
      <c r="AI4431" t="n">
        <v>104</v>
      </c>
      <c r="AJ4431" t="inlineStr">
        <is>
          <t>PIXY</t>
        </is>
      </c>
      <c r="AK4431" t="n">
        <v>21</v>
      </c>
      <c r="AL4431" t="inlineStr">
        <is>
          <t>Miss Glam Damar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PIXY</t>
        </is>
      </c>
      <c r="B4432" s="2">
        <f>"8992222073721"</f>
        <v/>
      </c>
      <c r="C4432" t="inlineStr">
        <is>
          <t>PIXY Two Way Cake Perfect Last 02 Natural Buff 9gr</t>
        </is>
      </c>
      <c r="D4432" t="inlineStr">
        <is>
          <t>Miss Glam Damar</t>
        </is>
      </c>
      <c r="E4432" t="n">
        <v>8</v>
      </c>
      <c r="F4432" t="n">
        <v>0.6825</v>
      </c>
      <c r="G4432" t="n">
        <v>2.73</v>
      </c>
      <c r="H4432" t="n">
        <v>2</v>
      </c>
      <c r="I4432" t="n">
        <v>6</v>
      </c>
      <c r="J4432" t="n">
        <v>3</v>
      </c>
      <c r="K4432" t="n">
        <v>0</v>
      </c>
      <c r="L4432" t="n">
        <v>30400</v>
      </c>
      <c r="M4432" t="n">
        <v>36000</v>
      </c>
      <c r="N4432" t="n">
        <v>91</v>
      </c>
      <c r="O4432" t="n">
        <v>0.91</v>
      </c>
      <c r="P4432" t="n">
        <v>1</v>
      </c>
      <c r="Q4432" t="n">
        <v>0.27</v>
      </c>
      <c r="R4432" t="n">
        <v>2</v>
      </c>
      <c r="S4432" t="n">
        <v>24570</v>
      </c>
      <c r="T4432" t="n">
        <v>16</v>
      </c>
      <c r="U4432" t="n">
        <v>18</v>
      </c>
      <c r="V4432" t="n">
        <v>30</v>
      </c>
      <c r="W4432" t="n">
        <v>21</v>
      </c>
      <c r="X4432" t="n">
        <v>11.72161172161172</v>
      </c>
      <c r="Y4432" t="n">
        <v>1</v>
      </c>
      <c r="Z4432" t="n">
        <v>13</v>
      </c>
      <c r="AA4432" t="n">
        <v>0</v>
      </c>
      <c r="AB4432" t="n">
        <v>13</v>
      </c>
      <c r="AC4432" t="n">
        <v>13</v>
      </c>
      <c r="AD4432" t="n">
        <v>0</v>
      </c>
      <c r="AE4432" t="n">
        <v>395200</v>
      </c>
      <c r="AF4432" t="n">
        <v>2678</v>
      </c>
      <c r="AG4432" t="n">
        <v>104</v>
      </c>
      <c r="AH4432" t="inlineStr">
        <is>
          <t>PT. ASIA PARAMITA - PPN (PDG)</t>
        </is>
      </c>
      <c r="AI4432" t="n">
        <v>104</v>
      </c>
      <c r="AJ4432" t="inlineStr">
        <is>
          <t>PIXY</t>
        </is>
      </c>
      <c r="AK4432" t="n">
        <v>21</v>
      </c>
      <c r="AL4432" t="inlineStr">
        <is>
          <t>Miss Glam Damar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PIXY</t>
        </is>
      </c>
      <c r="B4433" s="2">
        <f>"8992222073738"</f>
        <v/>
      </c>
      <c r="C4433" t="inlineStr">
        <is>
          <t>PIXY Two Way Cake Perfect Last 03 Sand Beige 9g</t>
        </is>
      </c>
      <c r="D4433" t="inlineStr">
        <is>
          <t>Miss Glam Damar</t>
        </is>
      </c>
      <c r="E4433" t="n">
        <v>19</v>
      </c>
      <c r="F4433" t="n">
        <v>0.1274</v>
      </c>
      <c r="G4433" t="n">
        <v>1.82</v>
      </c>
      <c r="H4433" t="n">
        <v>2</v>
      </c>
      <c r="I4433" t="n">
        <v>6</v>
      </c>
      <c r="J4433" t="n">
        <v>3</v>
      </c>
      <c r="K4433" t="n">
        <v>0</v>
      </c>
      <c r="L4433" t="n">
        <v>30400</v>
      </c>
      <c r="M4433" t="n">
        <v>36000</v>
      </c>
      <c r="N4433" t="n">
        <v>91</v>
      </c>
      <c r="O4433" t="n">
        <v>0.91</v>
      </c>
      <c r="P4433" t="n">
        <v>1</v>
      </c>
      <c r="Q4433" t="n">
        <v>0.2</v>
      </c>
      <c r="R4433" t="n">
        <v>2</v>
      </c>
      <c r="S4433" t="n">
        <v>4586.400000000001</v>
      </c>
      <c r="T4433" t="n">
        <v>11</v>
      </c>
      <c r="U4433" t="n">
        <v>12</v>
      </c>
      <c r="V4433" t="n">
        <v>30</v>
      </c>
      <c r="W4433" t="n">
        <v>4</v>
      </c>
      <c r="X4433" t="n">
        <v>149.1365777080063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2678</v>
      </c>
      <c r="AG4433" t="n">
        <v>104</v>
      </c>
      <c r="AH4433" t="inlineStr">
        <is>
          <t>PT. ASIA PARAMITA - PPN (PDG)</t>
        </is>
      </c>
      <c r="AI4433" t="n">
        <v>104</v>
      </c>
      <c r="AJ4433" t="inlineStr">
        <is>
          <t>PIXY</t>
        </is>
      </c>
      <c r="AK4433" t="n">
        <v>21</v>
      </c>
      <c r="AL4433" t="inlineStr">
        <is>
          <t>Miss Glam Damar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PIXY</t>
        </is>
      </c>
      <c r="B4434" s="2">
        <f>"8992222073745"</f>
        <v/>
      </c>
      <c r="C4434" t="inlineStr">
        <is>
          <t>PIXY Two Way Cake Perfect Last Refill 01 Fair Ochre 9gr</t>
        </is>
      </c>
      <c r="D4434" t="inlineStr">
        <is>
          <t>Miss Glam Damar</t>
        </is>
      </c>
      <c r="E4434" t="n">
        <v>16</v>
      </c>
      <c r="F4434" t="n">
        <v>1.0192</v>
      </c>
      <c r="G4434" t="n">
        <v>4.55</v>
      </c>
      <c r="H4434" t="n">
        <v>2</v>
      </c>
      <c r="I4434" t="n">
        <v>6</v>
      </c>
      <c r="J4434" t="n">
        <v>3</v>
      </c>
      <c r="K4434" t="n">
        <v>0</v>
      </c>
      <c r="L4434" t="n">
        <v>19896</v>
      </c>
      <c r="M4434" t="n">
        <v>24000</v>
      </c>
      <c r="N4434" t="n">
        <v>91</v>
      </c>
      <c r="O4434" t="n">
        <v>0.91</v>
      </c>
      <c r="P4434" t="n">
        <v>1</v>
      </c>
      <c r="Q4434" t="n">
        <v>0.37</v>
      </c>
      <c r="R4434" t="n">
        <v>2</v>
      </c>
      <c r="S4434" t="n">
        <v>24460.8</v>
      </c>
      <c r="T4434" t="n">
        <v>26</v>
      </c>
      <c r="U4434" t="n">
        <v>29</v>
      </c>
      <c r="V4434" t="n">
        <v>30</v>
      </c>
      <c r="W4434" t="n">
        <v>31</v>
      </c>
      <c r="X4434" t="n">
        <v>15.69858712715855</v>
      </c>
      <c r="Y4434" t="n">
        <v>1</v>
      </c>
      <c r="Z4434" t="n">
        <v>15</v>
      </c>
      <c r="AA4434" t="n">
        <v>0</v>
      </c>
      <c r="AB4434" t="n">
        <v>15</v>
      </c>
      <c r="AC4434" t="n">
        <v>15</v>
      </c>
      <c r="AD4434" t="n">
        <v>0</v>
      </c>
      <c r="AE4434" t="n">
        <v>298440</v>
      </c>
      <c r="AF4434" t="n">
        <v>2678</v>
      </c>
      <c r="AG4434" t="n">
        <v>104</v>
      </c>
      <c r="AH4434" t="inlineStr">
        <is>
          <t>PT. ASIA PARAMITA - PPN (PDG)</t>
        </is>
      </c>
      <c r="AI4434" t="n">
        <v>104</v>
      </c>
      <c r="AJ4434" t="inlineStr">
        <is>
          <t>PIXY</t>
        </is>
      </c>
      <c r="AK4434" t="n">
        <v>21</v>
      </c>
      <c r="AL4434" t="inlineStr">
        <is>
          <t>Miss Glam Damar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PIXY</t>
        </is>
      </c>
      <c r="B4435" s="2">
        <f>"8992222073752"</f>
        <v/>
      </c>
      <c r="C4435" t="inlineStr">
        <is>
          <t>PIXY Two Way Cake Perfect Last Refill 02 Natural Buff 9g</t>
        </is>
      </c>
      <c r="D4435" t="inlineStr">
        <is>
          <t>Miss Glam Damar</t>
        </is>
      </c>
      <c r="E4435" t="n">
        <v>19</v>
      </c>
      <c r="F4435" t="n">
        <v>1.7563</v>
      </c>
      <c r="G4435" t="n">
        <v>7.28</v>
      </c>
      <c r="H4435" t="n">
        <v>2</v>
      </c>
      <c r="I4435" t="n">
        <v>6</v>
      </c>
      <c r="J4435" t="n">
        <v>3</v>
      </c>
      <c r="K4435" t="n">
        <v>0</v>
      </c>
      <c r="L4435" t="n">
        <v>19938</v>
      </c>
      <c r="M4435" t="n">
        <v>24000</v>
      </c>
      <c r="N4435" t="n">
        <v>91</v>
      </c>
      <c r="O4435" t="n">
        <v>0.91</v>
      </c>
      <c r="P4435" t="n">
        <v>1</v>
      </c>
      <c r="Q4435" t="n">
        <v>0.8100000000000001</v>
      </c>
      <c r="R4435" t="n">
        <v>3</v>
      </c>
      <c r="S4435" t="n">
        <v>42151.2</v>
      </c>
      <c r="T4435" t="n">
        <v>41</v>
      </c>
      <c r="U4435" t="n">
        <v>45</v>
      </c>
      <c r="V4435" t="n">
        <v>30</v>
      </c>
      <c r="W4435" t="n">
        <v>53</v>
      </c>
      <c r="X4435" t="n">
        <v>10.81819734669476</v>
      </c>
      <c r="Y4435" t="n">
        <v>1</v>
      </c>
      <c r="Z4435" t="n">
        <v>34</v>
      </c>
      <c r="AA4435" t="n">
        <v>0</v>
      </c>
      <c r="AB4435" t="n">
        <v>34</v>
      </c>
      <c r="AC4435" t="n">
        <v>34</v>
      </c>
      <c r="AD4435" t="n">
        <v>0</v>
      </c>
      <c r="AE4435" t="n">
        <v>677892</v>
      </c>
      <c r="AF4435" t="n">
        <v>2678</v>
      </c>
      <c r="AG4435" t="n">
        <v>104</v>
      </c>
      <c r="AH4435" t="inlineStr">
        <is>
          <t>PT. ASIA PARAMITA - PPN (PDG)</t>
        </is>
      </c>
      <c r="AI4435" t="n">
        <v>104</v>
      </c>
      <c r="AJ4435" t="inlineStr">
        <is>
          <t>PIXY</t>
        </is>
      </c>
      <c r="AK4435" t="n">
        <v>21</v>
      </c>
      <c r="AL4435" t="inlineStr">
        <is>
          <t>Miss Glam Damar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PIXY</t>
        </is>
      </c>
      <c r="B4436" s="2">
        <f>"8992222073769"</f>
        <v/>
      </c>
      <c r="C4436" t="inlineStr">
        <is>
          <t>PIXY Two Way Cake Perfect Last Refill 03 Sand Beige 9gr</t>
        </is>
      </c>
      <c r="D4436" t="inlineStr">
        <is>
          <t>Miss Glam Damar</t>
        </is>
      </c>
      <c r="E4436" t="n">
        <v>9</v>
      </c>
      <c r="F4436" t="n">
        <v>0.1729</v>
      </c>
      <c r="G4436" t="n">
        <v>6.37</v>
      </c>
      <c r="H4436" t="n">
        <v>2</v>
      </c>
      <c r="I4436" t="n">
        <v>6</v>
      </c>
      <c r="J4436" t="n">
        <v>3</v>
      </c>
      <c r="K4436" t="n">
        <v>0</v>
      </c>
      <c r="L4436" t="n">
        <v>19001</v>
      </c>
      <c r="M4436" t="n">
        <v>24000</v>
      </c>
      <c r="N4436" t="n">
        <v>91</v>
      </c>
      <c r="O4436" t="n">
        <v>0.91</v>
      </c>
      <c r="P4436" t="n">
        <v>1</v>
      </c>
      <c r="Q4436" t="n">
        <v>0.19</v>
      </c>
      <c r="R4436" t="n">
        <v>1</v>
      </c>
      <c r="S4436" t="n">
        <v>4149.6</v>
      </c>
      <c r="T4436" t="n">
        <v>38</v>
      </c>
      <c r="U4436" t="n">
        <v>39</v>
      </c>
      <c r="V4436" t="n">
        <v>30</v>
      </c>
      <c r="W4436" t="n">
        <v>6</v>
      </c>
      <c r="X4436" t="n">
        <v>52.05320994794679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2678</v>
      </c>
      <c r="AG4436" t="n">
        <v>104</v>
      </c>
      <c r="AH4436" t="inlineStr">
        <is>
          <t>PT. ASIA PARAMITA - PPN (PDG)</t>
        </is>
      </c>
      <c r="AI4436" t="n">
        <v>104</v>
      </c>
      <c r="AJ4436" t="inlineStr">
        <is>
          <t>PIXY</t>
        </is>
      </c>
      <c r="AK4436" t="n">
        <v>21</v>
      </c>
      <c r="AL4436" t="inlineStr">
        <is>
          <t>Miss Glam Damar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PIXY</t>
        </is>
      </c>
      <c r="B4437" s="2">
        <f>"8992222075213"</f>
        <v/>
      </c>
      <c r="C4437" t="inlineStr">
        <is>
          <t>PIXY Uv Primer Sunscreen Aqua Gel 30gr</t>
        </is>
      </c>
      <c r="D4437" t="inlineStr">
        <is>
          <t>Miss Glam Damar</t>
        </is>
      </c>
      <c r="E4437" t="n">
        <v>13</v>
      </c>
      <c r="F4437" t="n">
        <v>0.4914000000000001</v>
      </c>
      <c r="G4437" t="n">
        <v>3.64</v>
      </c>
      <c r="H4437" t="n">
        <v>2</v>
      </c>
      <c r="I4437" t="n">
        <v>6</v>
      </c>
      <c r="J4437" t="n">
        <v>3</v>
      </c>
      <c r="K4437" t="n">
        <v>0</v>
      </c>
      <c r="L4437" t="n">
        <v>30399</v>
      </c>
      <c r="M4437" t="n">
        <v>36000</v>
      </c>
      <c r="N4437" t="n">
        <v>91</v>
      </c>
      <c r="O4437" t="n">
        <v>0.91</v>
      </c>
      <c r="P4437" t="n">
        <v>1</v>
      </c>
      <c r="Q4437" t="n">
        <v>0.39</v>
      </c>
      <c r="R4437" t="n">
        <v>3</v>
      </c>
      <c r="S4437" t="n">
        <v>17690.4</v>
      </c>
      <c r="T4437" t="n">
        <v>21</v>
      </c>
      <c r="U4437" t="n">
        <v>22</v>
      </c>
      <c r="V4437" t="n">
        <v>30</v>
      </c>
      <c r="W4437" t="n">
        <v>15</v>
      </c>
      <c r="X4437" t="n">
        <v>26.45502645502645</v>
      </c>
      <c r="Y4437" t="n">
        <v>1</v>
      </c>
      <c r="Z4437" t="n">
        <v>2</v>
      </c>
      <c r="AA4437" t="n">
        <v>0</v>
      </c>
      <c r="AB4437" t="n">
        <v>2</v>
      </c>
      <c r="AC4437" t="n">
        <v>3</v>
      </c>
      <c r="AD4437" t="n">
        <v>0</v>
      </c>
      <c r="AE4437" t="n">
        <v>91197</v>
      </c>
      <c r="AF4437" t="n">
        <v>2678</v>
      </c>
      <c r="AG4437" t="n">
        <v>104</v>
      </c>
      <c r="AH4437" t="inlineStr">
        <is>
          <t>PT. ASIA PARAMITA - PPN (PDG)</t>
        </is>
      </c>
      <c r="AI4437" t="n">
        <v>104</v>
      </c>
      <c r="AJ4437" t="inlineStr">
        <is>
          <t>PIXY</t>
        </is>
      </c>
      <c r="AK4437" t="n">
        <v>21</v>
      </c>
      <c r="AL4437" t="inlineStr">
        <is>
          <t>Miss Glam Damar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PIXY</t>
        </is>
      </c>
      <c r="B4438" s="2">
        <f>"8992222075220"</f>
        <v/>
      </c>
      <c r="C4438" t="inlineStr">
        <is>
          <t>PIXY Uv Primer Sunscreen Hydra Cream 30gr</t>
        </is>
      </c>
      <c r="D4438" t="inlineStr">
        <is>
          <t>Miss Glam Damar</t>
        </is>
      </c>
      <c r="E4438" t="n">
        <v>12</v>
      </c>
      <c r="F4438" t="n">
        <v>0.5096000000000001</v>
      </c>
      <c r="G4438" t="n">
        <v>2.73</v>
      </c>
      <c r="H4438" t="n">
        <v>2</v>
      </c>
      <c r="I4438" t="n">
        <v>6</v>
      </c>
      <c r="J4438" t="n">
        <v>3</v>
      </c>
      <c r="K4438" t="n">
        <v>0</v>
      </c>
      <c r="L4438" t="n">
        <v>30400</v>
      </c>
      <c r="M4438" t="n">
        <v>36000</v>
      </c>
      <c r="N4438" t="n">
        <v>91</v>
      </c>
      <c r="O4438" t="n">
        <v>0.91</v>
      </c>
      <c r="P4438" t="n">
        <v>1</v>
      </c>
      <c r="Q4438" t="n">
        <v>0.37</v>
      </c>
      <c r="R4438" t="n">
        <v>2</v>
      </c>
      <c r="S4438" t="n">
        <v>18345.6</v>
      </c>
      <c r="T4438" t="n">
        <v>16</v>
      </c>
      <c r="U4438" t="n">
        <v>18</v>
      </c>
      <c r="V4438" t="n">
        <v>30</v>
      </c>
      <c r="W4438" t="n">
        <v>16</v>
      </c>
      <c r="X4438" t="n">
        <v>23.54788069073783</v>
      </c>
      <c r="Y4438" t="n">
        <v>1</v>
      </c>
      <c r="Z4438" t="n">
        <v>4</v>
      </c>
      <c r="AA4438" t="n">
        <v>0</v>
      </c>
      <c r="AB4438" t="n">
        <v>4</v>
      </c>
      <c r="AC4438" t="n">
        <v>4</v>
      </c>
      <c r="AD4438" t="n">
        <v>0</v>
      </c>
      <c r="AE4438" t="n">
        <v>121600</v>
      </c>
      <c r="AF4438" t="n">
        <v>2678</v>
      </c>
      <c r="AG4438" t="n">
        <v>104</v>
      </c>
      <c r="AH4438" t="inlineStr">
        <is>
          <t>PT. ASIA PARAMITA - PPN (PDG)</t>
        </is>
      </c>
      <c r="AI4438" t="n">
        <v>104</v>
      </c>
      <c r="AJ4438" t="inlineStr">
        <is>
          <t>PIXY</t>
        </is>
      </c>
      <c r="AK4438" t="n">
        <v>21</v>
      </c>
      <c r="AL4438" t="inlineStr">
        <is>
          <t>Miss Glam Damar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PIXY</t>
        </is>
      </c>
      <c r="B4439" s="2">
        <f>"8992222074575"</f>
        <v/>
      </c>
      <c r="C4439" t="inlineStr">
        <is>
          <t>PIXY Volume &amp; Curl Mascara Black 9ml</t>
        </is>
      </c>
      <c r="D4439" t="inlineStr">
        <is>
          <t>Miss Glam Damar</t>
        </is>
      </c>
      <c r="E4439" t="n">
        <v>3</v>
      </c>
      <c r="F4439" t="n">
        <v>0.09100000000000001</v>
      </c>
      <c r="G4439" t="n">
        <v>0.91</v>
      </c>
      <c r="H4439" t="n">
        <v>2</v>
      </c>
      <c r="I4439" t="n">
        <v>6</v>
      </c>
      <c r="J4439" t="n">
        <v>3</v>
      </c>
      <c r="K4439" t="n">
        <v>0</v>
      </c>
      <c r="L4439" t="n">
        <v>40750</v>
      </c>
      <c r="M4439" t="n">
        <v>48000</v>
      </c>
      <c r="N4439" t="n">
        <v>91</v>
      </c>
      <c r="O4439" t="n">
        <v>0.91</v>
      </c>
      <c r="P4439" t="n">
        <v>1</v>
      </c>
      <c r="Q4439" t="n">
        <v>0.05</v>
      </c>
      <c r="R4439" t="n">
        <v>1</v>
      </c>
      <c r="S4439" t="n">
        <v>4368.000000000001</v>
      </c>
      <c r="T4439" t="n">
        <v>6</v>
      </c>
      <c r="U4439" t="n">
        <v>7</v>
      </c>
      <c r="V4439" t="n">
        <v>30</v>
      </c>
      <c r="W4439" t="n">
        <v>3</v>
      </c>
      <c r="X4439" t="n">
        <v>32.96703296703296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2678</v>
      </c>
      <c r="AG4439" t="n">
        <v>104</v>
      </c>
      <c r="AH4439" t="inlineStr">
        <is>
          <t>PT. ASIA PARAMITA - PPN (PDG)</t>
        </is>
      </c>
      <c r="AI4439" t="n">
        <v>104</v>
      </c>
      <c r="AJ4439" t="inlineStr">
        <is>
          <t>PIXY</t>
        </is>
      </c>
      <c r="AK4439" t="n">
        <v>21</v>
      </c>
      <c r="AL4439" t="inlineStr">
        <is>
          <t>Miss Glam Damar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PIXY</t>
        </is>
      </c>
      <c r="B4440" s="2">
        <f>"20200568225"</f>
        <v/>
      </c>
      <c r="C4440" t="inlineStr">
        <is>
          <t>PIXY Wanderlust Quad Eyeshadow 01 Dessert Sunset 5,5gr</t>
        </is>
      </c>
      <c r="D4440" t="inlineStr">
        <is>
          <t>Miss Glam Damar</t>
        </is>
      </c>
      <c r="E4440" t="n">
        <v>6</v>
      </c>
      <c r="F4440" t="n">
        <v>0.2912</v>
      </c>
      <c r="G4440" t="n">
        <v>1.82</v>
      </c>
      <c r="H4440" t="n">
        <v>2</v>
      </c>
      <c r="I4440" t="n">
        <v>6</v>
      </c>
      <c r="J4440" t="n">
        <v>1</v>
      </c>
      <c r="K4440" t="n">
        <v>0</v>
      </c>
      <c r="L4440" t="n">
        <v>47199</v>
      </c>
      <c r="M4440" t="n">
        <v>56000</v>
      </c>
      <c r="N4440" t="n">
        <v>91</v>
      </c>
      <c r="O4440" t="n">
        <v>0.91</v>
      </c>
      <c r="P4440" t="n">
        <v>1</v>
      </c>
      <c r="Q4440" t="n">
        <v>0.07000000000000001</v>
      </c>
      <c r="R4440" t="n">
        <v>1</v>
      </c>
      <c r="S4440" t="n">
        <v>16307.2</v>
      </c>
      <c r="T4440" t="n">
        <v>11</v>
      </c>
      <c r="U4440" t="n">
        <v>12</v>
      </c>
      <c r="V4440" t="n">
        <v>30</v>
      </c>
      <c r="W4440" t="n">
        <v>9</v>
      </c>
      <c r="X4440" t="n">
        <v>20.6043956043956</v>
      </c>
      <c r="Y4440" t="n">
        <v>1</v>
      </c>
      <c r="Z4440" t="n">
        <v>3</v>
      </c>
      <c r="AA4440" t="n">
        <v>0</v>
      </c>
      <c r="AB4440" t="n">
        <v>3</v>
      </c>
      <c r="AC4440" t="n">
        <v>3</v>
      </c>
      <c r="AD4440" t="n">
        <v>0</v>
      </c>
      <c r="AE4440" t="n">
        <v>141597</v>
      </c>
      <c r="AF4440" t="n">
        <v>2678</v>
      </c>
      <c r="AG4440" t="n">
        <v>104</v>
      </c>
      <c r="AH4440" t="inlineStr">
        <is>
          <t>PT. ASIA PARAMITA - PPN (PDG)</t>
        </is>
      </c>
      <c r="AI4440" t="n">
        <v>104</v>
      </c>
      <c r="AJ4440" t="inlineStr">
        <is>
          <t>PIXY</t>
        </is>
      </c>
      <c r="AK4440" t="n">
        <v>21</v>
      </c>
      <c r="AL4440" t="inlineStr">
        <is>
          <t>Miss Glam Damar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PIXY</t>
        </is>
      </c>
      <c r="B4441" s="2">
        <f>"20200568301"</f>
        <v/>
      </c>
      <c r="C4441" t="inlineStr">
        <is>
          <t>PIXY Wanderlust Quad Eyeshadow 02 Twilight Woods 5,5gr</t>
        </is>
      </c>
      <c r="D4441" t="inlineStr">
        <is>
          <t>Miss Glam Damar</t>
        </is>
      </c>
      <c r="E4441" t="n">
        <v>11</v>
      </c>
      <c r="F4441" t="n">
        <v>0.1092</v>
      </c>
      <c r="G4441" t="n">
        <v>0.91</v>
      </c>
      <c r="H4441" t="n">
        <v>2</v>
      </c>
      <c r="I4441" t="n">
        <v>6</v>
      </c>
      <c r="J4441" t="n">
        <v>1</v>
      </c>
      <c r="K4441" t="n">
        <v>0</v>
      </c>
      <c r="L4441" t="n">
        <v>47199</v>
      </c>
      <c r="M4441" t="n">
        <v>56000</v>
      </c>
      <c r="N4441" t="n">
        <v>91</v>
      </c>
      <c r="O4441" t="n">
        <v>0.91</v>
      </c>
      <c r="P4441" t="n">
        <v>1</v>
      </c>
      <c r="Q4441" t="n">
        <v>0.15</v>
      </c>
      <c r="R4441" t="n">
        <v>1</v>
      </c>
      <c r="S4441" t="n">
        <v>6115.200000000001</v>
      </c>
      <c r="T4441" t="n">
        <v>6</v>
      </c>
      <c r="U4441" t="n">
        <v>7</v>
      </c>
      <c r="V4441" t="n">
        <v>30</v>
      </c>
      <c r="W4441" t="n">
        <v>4</v>
      </c>
      <c r="X4441" t="n">
        <v>100.7326007326007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2678</v>
      </c>
      <c r="AG4441" t="n">
        <v>104</v>
      </c>
      <c r="AH4441" t="inlineStr">
        <is>
          <t>PT. ASIA PARAMITA - PPN (PDG)</t>
        </is>
      </c>
      <c r="AI4441" t="n">
        <v>104</v>
      </c>
      <c r="AJ4441" t="inlineStr">
        <is>
          <t>PIXY</t>
        </is>
      </c>
      <c r="AK4441" t="n">
        <v>21</v>
      </c>
      <c r="AL4441" t="inlineStr">
        <is>
          <t>Miss Glam Damar</t>
        </is>
      </c>
      <c r="AM4441" t="n">
        <v>2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PIXY</t>
        </is>
      </c>
      <c r="B4442" s="2">
        <f>"20200568435"</f>
        <v/>
      </c>
      <c r="C4442" t="inlineStr">
        <is>
          <t>PIXY Wanderlust Quad Eyeshadow 03 Rosy Fields 5,5gr</t>
        </is>
      </c>
      <c r="D4442" t="inlineStr">
        <is>
          <t>Miss Glam Damar</t>
        </is>
      </c>
      <c r="E4442" t="n">
        <v>4</v>
      </c>
      <c r="F4442" t="n">
        <v>0.1274</v>
      </c>
      <c r="G4442" t="n">
        <v>0.91</v>
      </c>
      <c r="H4442" t="n">
        <v>2</v>
      </c>
      <c r="I4442" t="n">
        <v>6</v>
      </c>
      <c r="J4442" t="n">
        <v>1</v>
      </c>
      <c r="K4442" t="n">
        <v>0</v>
      </c>
      <c r="L4442" t="n">
        <v>47200</v>
      </c>
      <c r="M4442" t="n">
        <v>56000</v>
      </c>
      <c r="N4442" t="n">
        <v>91</v>
      </c>
      <c r="O4442" t="n">
        <v>0.91</v>
      </c>
      <c r="P4442" t="n">
        <v>1</v>
      </c>
      <c r="Q4442" t="n">
        <v>0.14</v>
      </c>
      <c r="R4442" t="n">
        <v>1</v>
      </c>
      <c r="S4442" t="n">
        <v>7134.400000000001</v>
      </c>
      <c r="T4442" t="n">
        <v>6</v>
      </c>
      <c r="U4442" t="n">
        <v>7</v>
      </c>
      <c r="V4442" t="n">
        <v>30</v>
      </c>
      <c r="W4442" t="n">
        <v>4</v>
      </c>
      <c r="X4442" t="n">
        <v>31.39717425431711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2678</v>
      </c>
      <c r="AG4442" t="n">
        <v>104</v>
      </c>
      <c r="AH4442" t="inlineStr">
        <is>
          <t>PT. ASIA PARAMITA - PPN (PDG)</t>
        </is>
      </c>
      <c r="AI4442" t="n">
        <v>104</v>
      </c>
      <c r="AJ4442" t="inlineStr">
        <is>
          <t>PIXY</t>
        </is>
      </c>
      <c r="AK4442" t="n">
        <v>21</v>
      </c>
      <c r="AL4442" t="inlineStr">
        <is>
          <t>Miss Glam Damar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PIXY</t>
        </is>
      </c>
      <c r="B4443" s="2">
        <f>"8992222074216"</f>
        <v/>
      </c>
      <c r="C4443" t="inlineStr">
        <is>
          <t>PIXY White Aqua Brightening Moisturizer 18gr</t>
        </is>
      </c>
      <c r="D4443" t="inlineStr">
        <is>
          <t>Miss Glam Damar</t>
        </is>
      </c>
      <c r="E4443" t="n">
        <v>6</v>
      </c>
      <c r="F4443" t="n">
        <v>0.0273</v>
      </c>
      <c r="G4443" t="n">
        <v>0.91</v>
      </c>
      <c r="H4443" t="n">
        <v>2</v>
      </c>
      <c r="I4443" t="n">
        <v>6</v>
      </c>
      <c r="J4443" t="n">
        <v>3</v>
      </c>
      <c r="K4443" t="n">
        <v>0</v>
      </c>
      <c r="L4443" t="n">
        <v>34800</v>
      </c>
      <c r="M4443" t="n">
        <v>41000</v>
      </c>
      <c r="N4443" t="n">
        <v>91</v>
      </c>
      <c r="O4443" t="n">
        <v>0.91</v>
      </c>
      <c r="P4443" t="n">
        <v>1</v>
      </c>
      <c r="Q4443" t="n">
        <v>0.1</v>
      </c>
      <c r="R4443" t="n">
        <v>1</v>
      </c>
      <c r="S4443" t="n">
        <v>1119.3</v>
      </c>
      <c r="T4443" t="n">
        <v>6</v>
      </c>
      <c r="U4443" t="n">
        <v>7</v>
      </c>
      <c r="V4443" t="n">
        <v>30</v>
      </c>
      <c r="W4443" t="n">
        <v>1</v>
      </c>
      <c r="X4443" t="n">
        <v>219.7802197802198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2678</v>
      </c>
      <c r="AG4443" t="n">
        <v>104</v>
      </c>
      <c r="AH4443" t="inlineStr">
        <is>
          <t>PT. ASIA PARAMITA - PPN (PDG)</t>
        </is>
      </c>
      <c r="AI4443" t="n">
        <v>104</v>
      </c>
      <c r="AJ4443" t="inlineStr">
        <is>
          <t>PIXY</t>
        </is>
      </c>
      <c r="AK4443" t="n">
        <v>21</v>
      </c>
      <c r="AL4443" t="inlineStr">
        <is>
          <t>Miss Glam Damar</t>
        </is>
      </c>
      <c r="AM4443" t="n">
        <v>2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PIXY</t>
        </is>
      </c>
      <c r="B4444" s="2">
        <f>"8992222074209"</f>
        <v/>
      </c>
      <c r="C4444" t="inlineStr">
        <is>
          <t>PIXY White Aqua Brightening Serum 18ml</t>
        </is>
      </c>
      <c r="D4444" t="inlineStr">
        <is>
          <t>Miss Glam Damar</t>
        </is>
      </c>
      <c r="E4444" t="n">
        <v>0</v>
      </c>
      <c r="F4444" t="n">
        <v>0.08</v>
      </c>
      <c r="G4444" t="n">
        <v>2</v>
      </c>
      <c r="H4444" t="n">
        <v>2</v>
      </c>
      <c r="I4444" t="n">
        <v>6</v>
      </c>
      <c r="J4444" t="n">
        <v>3</v>
      </c>
      <c r="K4444" t="n">
        <v>0</v>
      </c>
      <c r="L4444" t="n">
        <v>73600</v>
      </c>
      <c r="M4444" t="n">
        <v>87000</v>
      </c>
      <c r="N4444" t="n">
        <v>91</v>
      </c>
      <c r="O4444" t="n">
        <v>0.91</v>
      </c>
      <c r="P4444" t="n">
        <v>0</v>
      </c>
      <c r="Q4444" t="n">
        <v>0.08</v>
      </c>
      <c r="R4444" t="n">
        <v>2</v>
      </c>
      <c r="S4444" t="n">
        <v>6960</v>
      </c>
      <c r="T4444" t="n">
        <v>12</v>
      </c>
      <c r="U4444" t="n">
        <v>13</v>
      </c>
      <c r="V4444" t="n">
        <v>30</v>
      </c>
      <c r="W4444" t="n">
        <v>3</v>
      </c>
      <c r="X4444" t="n">
        <v>0</v>
      </c>
      <c r="Y4444" t="n">
        <v>1</v>
      </c>
      <c r="Z4444" t="n">
        <v>3</v>
      </c>
      <c r="AA4444" t="n">
        <v>1</v>
      </c>
      <c r="AB4444" t="n">
        <v>2</v>
      </c>
      <c r="AC4444" t="n">
        <v>3</v>
      </c>
      <c r="AD4444" t="n">
        <v>73600</v>
      </c>
      <c r="AE4444" t="n">
        <v>220800</v>
      </c>
      <c r="AF4444" t="n">
        <v>2678</v>
      </c>
      <c r="AG4444" t="n">
        <v>104</v>
      </c>
      <c r="AH4444" t="inlineStr">
        <is>
          <t>PT. ASIA PARAMITA - PPN (PDG)</t>
        </is>
      </c>
      <c r="AI4444" t="n">
        <v>104</v>
      </c>
      <c r="AJ4444" t="inlineStr">
        <is>
          <t>PIXY</t>
        </is>
      </c>
      <c r="AK4444" t="n">
        <v>21</v>
      </c>
      <c r="AL4444" t="inlineStr">
        <is>
          <t>Miss Glam Damar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PIXY</t>
        </is>
      </c>
      <c r="B4445" s="2">
        <f>"8992222074230"</f>
        <v/>
      </c>
      <c r="C4445" t="inlineStr">
        <is>
          <t>PIXY White Aqua Brightening Sleeping Mask 18gr</t>
        </is>
      </c>
      <c r="D4445" t="inlineStr">
        <is>
          <t>Miss Glam Damar</t>
        </is>
      </c>
      <c r="E4445" t="n">
        <v>6</v>
      </c>
      <c r="F4445" t="n">
        <v>0.0182</v>
      </c>
      <c r="G4445" t="n">
        <v>0.91</v>
      </c>
      <c r="H4445" t="n">
        <v>2</v>
      </c>
      <c r="I4445" t="n">
        <v>6</v>
      </c>
      <c r="J4445" t="n">
        <v>3</v>
      </c>
      <c r="K4445" t="n">
        <v>0</v>
      </c>
      <c r="L4445" t="n">
        <v>37600</v>
      </c>
      <c r="M4445" t="n">
        <v>45000</v>
      </c>
      <c r="N4445" t="n">
        <v>91</v>
      </c>
      <c r="O4445" t="n">
        <v>0.91</v>
      </c>
      <c r="P4445" t="n">
        <v>1</v>
      </c>
      <c r="Q4445" t="n">
        <v>0.05</v>
      </c>
      <c r="R4445" t="n">
        <v>2</v>
      </c>
      <c r="S4445" t="n">
        <v>819</v>
      </c>
      <c r="T4445" t="n">
        <v>6</v>
      </c>
      <c r="U4445" t="n">
        <v>7</v>
      </c>
      <c r="V4445" t="n">
        <v>30</v>
      </c>
      <c r="W4445" t="n">
        <v>1</v>
      </c>
      <c r="X4445" t="n">
        <v>329.6703296703296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2678</v>
      </c>
      <c r="AG4445" t="n">
        <v>104</v>
      </c>
      <c r="AH4445" t="inlineStr">
        <is>
          <t>PT. ASIA PARAMITA - PPN (PDG)</t>
        </is>
      </c>
      <c r="AI4445" t="n">
        <v>104</v>
      </c>
      <c r="AJ4445" t="inlineStr">
        <is>
          <t>PIXY</t>
        </is>
      </c>
      <c r="AK4445" t="n">
        <v>21</v>
      </c>
      <c r="AL4445" t="inlineStr">
        <is>
          <t>Miss Glam Damar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PIXY</t>
        </is>
      </c>
      <c r="B4446" s="2">
        <f>"8992222074193"</f>
        <v/>
      </c>
      <c r="C4446" t="inlineStr">
        <is>
          <t>PIXY White Aqua Hydra Moist Essence 125ml</t>
        </is>
      </c>
      <c r="D4446" t="inlineStr">
        <is>
          <t>Miss Glam Damar</t>
        </is>
      </c>
      <c r="E4446" t="n">
        <v>3</v>
      </c>
      <c r="F4446" t="n">
        <v>0.03</v>
      </c>
      <c r="G4446" t="n">
        <v>1</v>
      </c>
      <c r="H4446" t="n">
        <v>2</v>
      </c>
      <c r="I4446" t="n">
        <v>6</v>
      </c>
      <c r="J4446" t="n">
        <v>3</v>
      </c>
      <c r="K4446" t="n">
        <v>0</v>
      </c>
      <c r="L4446" t="n">
        <v>69200</v>
      </c>
      <c r="M4446" t="n">
        <v>81500</v>
      </c>
      <c r="N4446" t="n">
        <v>91</v>
      </c>
      <c r="O4446" t="n">
        <v>0.91</v>
      </c>
      <c r="P4446" t="n">
        <v>0</v>
      </c>
      <c r="Q4446" t="n">
        <v>0.03</v>
      </c>
      <c r="R4446" t="n">
        <v>1</v>
      </c>
      <c r="S4446" t="n">
        <v>2445</v>
      </c>
      <c r="T4446" t="n">
        <v>6</v>
      </c>
      <c r="U4446" t="n">
        <v>7</v>
      </c>
      <c r="V4446" t="n">
        <v>30</v>
      </c>
      <c r="W4446" t="n">
        <v>1</v>
      </c>
      <c r="X4446" t="n">
        <v>100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2678</v>
      </c>
      <c r="AG4446" t="n">
        <v>104</v>
      </c>
      <c r="AH4446" t="inlineStr">
        <is>
          <t>PT. ASIA PARAMITA - PPN (PDG)</t>
        </is>
      </c>
      <c r="AI4446" t="n">
        <v>104</v>
      </c>
      <c r="AJ4446" t="inlineStr">
        <is>
          <t>PIXY</t>
        </is>
      </c>
      <c r="AK4446" t="n">
        <v>21</v>
      </c>
      <c r="AL4446" t="inlineStr">
        <is>
          <t>Miss Glam Damar</t>
        </is>
      </c>
      <c r="AM4446" t="n">
        <v>2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POISE</t>
        </is>
      </c>
      <c r="B4447" s="2">
        <f>"8998866107303"</f>
        <v/>
      </c>
      <c r="C4447" t="inlineStr">
        <is>
          <t>POISE Anti Acne Facial Foam 100gr</t>
        </is>
      </c>
      <c r="D4447" t="inlineStr">
        <is>
          <t>Miss Glam Damar</t>
        </is>
      </c>
      <c r="E4447" t="n">
        <v>7</v>
      </c>
      <c r="F4447" t="n">
        <v>0.2912</v>
      </c>
      <c r="G4447" t="n">
        <v>2.73</v>
      </c>
      <c r="H4447" t="n">
        <v>2</v>
      </c>
      <c r="I4447" t="n">
        <v>6</v>
      </c>
      <c r="J4447" t="n">
        <v>3</v>
      </c>
      <c r="K4447" t="n">
        <v>0</v>
      </c>
      <c r="L4447" t="n">
        <v>19483</v>
      </c>
      <c r="M4447" t="n">
        <v>26000</v>
      </c>
      <c r="N4447" t="n">
        <v>91</v>
      </c>
      <c r="O4447" t="n">
        <v>0.91</v>
      </c>
      <c r="P4447" t="n">
        <v>1</v>
      </c>
      <c r="Q4447" t="n">
        <v>0.1</v>
      </c>
      <c r="R4447" t="n">
        <v>1</v>
      </c>
      <c r="S4447" t="n">
        <v>7571.200000000001</v>
      </c>
      <c r="T4447" t="n">
        <v>16</v>
      </c>
      <c r="U4447" t="n">
        <v>17</v>
      </c>
      <c r="V4447" t="n">
        <v>30</v>
      </c>
      <c r="W4447" t="n">
        <v>9</v>
      </c>
      <c r="X4447" t="n">
        <v>24.03846153846154</v>
      </c>
      <c r="Y4447" t="n">
        <v>1</v>
      </c>
      <c r="Z4447" t="n">
        <v>2</v>
      </c>
      <c r="AA4447" t="n">
        <v>0</v>
      </c>
      <c r="AB4447" t="n">
        <v>2</v>
      </c>
      <c r="AC4447" t="n">
        <v>3</v>
      </c>
      <c r="AD4447" t="n">
        <v>0</v>
      </c>
      <c r="AE4447" t="n">
        <v>58449</v>
      </c>
      <c r="AF4447" t="n">
        <v>11339</v>
      </c>
      <c r="AG4447" t="n">
        <v>448</v>
      </c>
      <c r="AH4447" t="inlineStr">
        <is>
          <t>PT. PADANG DISTRIBUSINDO RAYA - PPN (PDG)</t>
        </is>
      </c>
      <c r="AI4447" t="n">
        <v>127</v>
      </c>
      <c r="AJ4447" t="inlineStr">
        <is>
          <t>POISE</t>
        </is>
      </c>
      <c r="AK4447" t="n">
        <v>21</v>
      </c>
      <c r="AL4447" t="inlineStr">
        <is>
          <t>Miss Glam Damar</t>
        </is>
      </c>
      <c r="AM4447" t="n">
        <v>3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POISE</t>
        </is>
      </c>
      <c r="B4448" s="2">
        <f>"8998866107297"</f>
        <v/>
      </c>
      <c r="C4448" t="inlineStr">
        <is>
          <t>POISE Anti Bacterial Facial Foam 100gr</t>
        </is>
      </c>
      <c r="D4448" t="inlineStr">
        <is>
          <t>Miss Glam Damar</t>
        </is>
      </c>
      <c r="E4448" t="n">
        <v>5</v>
      </c>
      <c r="F4448" t="n">
        <v>0.09100000000000001</v>
      </c>
      <c r="G4448" t="n">
        <v>1.82</v>
      </c>
      <c r="H4448" t="n">
        <v>2</v>
      </c>
      <c r="I4448" t="n">
        <v>6</v>
      </c>
      <c r="J4448" t="n">
        <v>3</v>
      </c>
      <c r="K4448" t="n">
        <v>0</v>
      </c>
      <c r="L4448" t="n">
        <v>20122</v>
      </c>
      <c r="M4448" t="n">
        <v>26000</v>
      </c>
      <c r="N4448" t="n">
        <v>91</v>
      </c>
      <c r="O4448" t="n">
        <v>0.91</v>
      </c>
      <c r="P4448" t="n">
        <v>1</v>
      </c>
      <c r="Q4448" t="n">
        <v>0.07000000000000001</v>
      </c>
      <c r="R4448" t="n">
        <v>1</v>
      </c>
      <c r="S4448" t="n">
        <v>2366</v>
      </c>
      <c r="T4448" t="n">
        <v>11</v>
      </c>
      <c r="U4448" t="n">
        <v>12</v>
      </c>
      <c r="V4448" t="n">
        <v>30</v>
      </c>
      <c r="W4448" t="n">
        <v>3</v>
      </c>
      <c r="X4448" t="n">
        <v>54.94505494505494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11339</v>
      </c>
      <c r="AG4448" t="n">
        <v>448</v>
      </c>
      <c r="AH4448" t="inlineStr">
        <is>
          <t>PT. PADANG DISTRIBUSINDO RAYA - PPN (PDG)</t>
        </is>
      </c>
      <c r="AI4448" t="n">
        <v>127</v>
      </c>
      <c r="AJ4448" t="inlineStr">
        <is>
          <t>POISE</t>
        </is>
      </c>
      <c r="AK4448" t="n">
        <v>21</v>
      </c>
      <c r="AL4448" t="inlineStr">
        <is>
          <t>Miss Glam Damar</t>
        </is>
      </c>
      <c r="AM4448" t="n">
        <v>3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POISE</t>
        </is>
      </c>
      <c r="B4449" s="2">
        <f>"8998866107273"</f>
        <v/>
      </c>
      <c r="C4449" t="inlineStr">
        <is>
          <t>POISE FF Luminouse White 100gr</t>
        </is>
      </c>
      <c r="D4449" t="inlineStr">
        <is>
          <t>Miss Glam Damar</t>
        </is>
      </c>
      <c r="E4449" t="n">
        <v>9</v>
      </c>
      <c r="F4449" t="n">
        <v>0.5277999999999999</v>
      </c>
      <c r="G4449" t="n">
        <v>1.82</v>
      </c>
      <c r="H4449" t="n">
        <v>2</v>
      </c>
      <c r="I4449" t="n">
        <v>6</v>
      </c>
      <c r="J4449" t="n">
        <v>3</v>
      </c>
      <c r="K4449" t="n">
        <v>0</v>
      </c>
      <c r="L4449" t="n">
        <v>21351</v>
      </c>
      <c r="M4449" t="n">
        <v>27500</v>
      </c>
      <c r="N4449" t="n">
        <v>91</v>
      </c>
      <c r="O4449" t="n">
        <v>0.91</v>
      </c>
      <c r="P4449" t="n">
        <v>1</v>
      </c>
      <c r="Q4449" t="n">
        <v>0.25</v>
      </c>
      <c r="R4449" t="n">
        <v>2</v>
      </c>
      <c r="S4449" t="n">
        <v>14514.5</v>
      </c>
      <c r="T4449" t="n">
        <v>10</v>
      </c>
      <c r="U4449" t="n">
        <v>12</v>
      </c>
      <c r="V4449" t="n">
        <v>30</v>
      </c>
      <c r="W4449" t="n">
        <v>16</v>
      </c>
      <c r="X4449" t="n">
        <v>17.05191360363774</v>
      </c>
      <c r="Y4449" t="n">
        <v>1</v>
      </c>
      <c r="Z4449" t="n">
        <v>7</v>
      </c>
      <c r="AA4449" t="n">
        <v>0</v>
      </c>
      <c r="AB4449" t="n">
        <v>7</v>
      </c>
      <c r="AC4449" t="n">
        <v>7</v>
      </c>
      <c r="AD4449" t="n">
        <v>0</v>
      </c>
      <c r="AE4449" t="n">
        <v>149457</v>
      </c>
      <c r="AF4449" t="n">
        <v>11339</v>
      </c>
      <c r="AG4449" t="n">
        <v>448</v>
      </c>
      <c r="AH4449" t="inlineStr">
        <is>
          <t>PT. PADANG DISTRIBUSINDO RAYA - PPN (PDG)</t>
        </is>
      </c>
      <c r="AI4449" t="n">
        <v>127</v>
      </c>
      <c r="AJ4449" t="inlineStr">
        <is>
          <t>POISE</t>
        </is>
      </c>
      <c r="AK4449" t="n">
        <v>21</v>
      </c>
      <c r="AL4449" t="inlineStr">
        <is>
          <t>Miss Glam Damar</t>
        </is>
      </c>
      <c r="AM4449" t="n">
        <v>3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POISE</t>
        </is>
      </c>
      <c r="B4450" s="2">
        <f>"8998866109994"</f>
        <v/>
      </c>
      <c r="C4450" t="inlineStr">
        <is>
          <t>POISE Luminous Bright Micellar Water 125ml</t>
        </is>
      </c>
      <c r="D4450" t="inlineStr">
        <is>
          <t>Miss Glam Damar</t>
        </is>
      </c>
      <c r="E4450" t="n">
        <v>9</v>
      </c>
      <c r="F4450" t="n">
        <v>0.5369</v>
      </c>
      <c r="G4450" t="n">
        <v>1.82</v>
      </c>
      <c r="H4450" t="n">
        <v>2</v>
      </c>
      <c r="I4450" t="n">
        <v>6</v>
      </c>
      <c r="J4450" t="n">
        <v>3</v>
      </c>
      <c r="K4450" t="n">
        <v>0</v>
      </c>
      <c r="L4450" t="n">
        <v>18394</v>
      </c>
      <c r="M4450" t="n">
        <v>24000</v>
      </c>
      <c r="N4450" t="n">
        <v>91</v>
      </c>
      <c r="O4450" t="n">
        <v>0.91</v>
      </c>
      <c r="P4450" t="n">
        <v>1</v>
      </c>
      <c r="Q4450" t="n">
        <v>0.29</v>
      </c>
      <c r="R4450" t="n">
        <v>1</v>
      </c>
      <c r="S4450" t="n">
        <v>12885.6</v>
      </c>
      <c r="T4450" t="n">
        <v>10</v>
      </c>
      <c r="U4450" t="n">
        <v>12</v>
      </c>
      <c r="V4450" t="n">
        <v>30</v>
      </c>
      <c r="W4450" t="n">
        <v>17</v>
      </c>
      <c r="X4450" t="n">
        <v>16.76289811883032</v>
      </c>
      <c r="Y4450" t="n">
        <v>1</v>
      </c>
      <c r="Z4450" t="n">
        <v>8</v>
      </c>
      <c r="AA4450" t="n">
        <v>0</v>
      </c>
      <c r="AB4450" t="n">
        <v>8</v>
      </c>
      <c r="AC4450" t="n">
        <v>8</v>
      </c>
      <c r="AD4450" t="n">
        <v>0</v>
      </c>
      <c r="AE4450" t="n">
        <v>147152</v>
      </c>
      <c r="AF4450" t="n">
        <v>11339</v>
      </c>
      <c r="AG4450" t="n">
        <v>448</v>
      </c>
      <c r="AH4450" t="inlineStr">
        <is>
          <t>PT. PADANG DISTRIBUSINDO RAYA - PPN (PDG)</t>
        </is>
      </c>
      <c r="AI4450" t="n">
        <v>127</v>
      </c>
      <c r="AJ4450" t="inlineStr">
        <is>
          <t>POISE</t>
        </is>
      </c>
      <c r="AK4450" t="n">
        <v>21</v>
      </c>
      <c r="AL4450" t="inlineStr">
        <is>
          <t>Miss Glam Damar</t>
        </is>
      </c>
      <c r="AM4450" t="n">
        <v>3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POISE</t>
        </is>
      </c>
      <c r="B4451" s="2">
        <f>"8998866107235"</f>
        <v/>
      </c>
      <c r="C4451" t="inlineStr">
        <is>
          <t>POISE Whitening Facial Foam 50gr</t>
        </is>
      </c>
      <c r="D4451" t="inlineStr">
        <is>
          <t>Miss Glam Damar</t>
        </is>
      </c>
      <c r="E4451" t="n">
        <v>8</v>
      </c>
      <c r="F4451" t="n">
        <v>0.2002</v>
      </c>
      <c r="G4451" t="n">
        <v>0.91</v>
      </c>
      <c r="H4451" t="n">
        <v>2</v>
      </c>
      <c r="I4451" t="n">
        <v>6</v>
      </c>
      <c r="J4451" t="n">
        <v>3</v>
      </c>
      <c r="K4451" t="n">
        <v>0</v>
      </c>
      <c r="L4451" t="n">
        <v>12821</v>
      </c>
      <c r="M4451" t="n">
        <v>16500</v>
      </c>
      <c r="N4451" t="n">
        <v>91</v>
      </c>
      <c r="O4451" t="n">
        <v>0.91</v>
      </c>
      <c r="P4451" t="n">
        <v>1</v>
      </c>
      <c r="Q4451" t="n">
        <v>0.12</v>
      </c>
      <c r="R4451" t="n">
        <v>1</v>
      </c>
      <c r="S4451" t="n">
        <v>3303.3</v>
      </c>
      <c r="T4451" t="n">
        <v>6</v>
      </c>
      <c r="U4451" t="n">
        <v>7</v>
      </c>
      <c r="V4451" t="n">
        <v>30</v>
      </c>
      <c r="W4451" t="n">
        <v>7</v>
      </c>
      <c r="X4451" t="n">
        <v>39.96003996003996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11339</v>
      </c>
      <c r="AG4451" t="n">
        <v>448</v>
      </c>
      <c r="AH4451" t="inlineStr">
        <is>
          <t>PT. PADANG DISTRIBUSINDO RAYA - PPN (PDG)</t>
        </is>
      </c>
      <c r="AI4451" t="n">
        <v>127</v>
      </c>
      <c r="AJ4451" t="inlineStr">
        <is>
          <t>POISE</t>
        </is>
      </c>
      <c r="AK4451" t="n">
        <v>21</v>
      </c>
      <c r="AL4451" t="inlineStr">
        <is>
          <t>Miss Glam Damar</t>
        </is>
      </c>
      <c r="AM4451" t="n">
        <v>3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POLYNIA</t>
        </is>
      </c>
      <c r="B4452" s="2">
        <f>"4713157836175"</f>
        <v/>
      </c>
      <c r="C4452" t="inlineStr">
        <is>
          <t>POLYNIA Orange Brightening Mask 100ml</t>
        </is>
      </c>
      <c r="D4452" t="inlineStr">
        <is>
          <t>Miss Glam Damar</t>
        </is>
      </c>
      <c r="E4452" t="n">
        <v>2</v>
      </c>
      <c r="F4452" t="n">
        <v>0.0273</v>
      </c>
      <c r="G4452" t="n">
        <v>0.91</v>
      </c>
      <c r="H4452" t="n">
        <v>4</v>
      </c>
      <c r="I4452" t="n">
        <v>21</v>
      </c>
      <c r="J4452" t="n">
        <v>3</v>
      </c>
      <c r="K4452" t="n">
        <v>0</v>
      </c>
      <c r="L4452" t="n">
        <v>295200</v>
      </c>
      <c r="M4452" t="n">
        <v>369000</v>
      </c>
      <c r="N4452" t="n">
        <v>91</v>
      </c>
      <c r="O4452" t="n">
        <v>0.91</v>
      </c>
      <c r="P4452" t="n">
        <v>1</v>
      </c>
      <c r="Q4452" t="n">
        <v>0.05</v>
      </c>
      <c r="R4452" t="n">
        <v>1</v>
      </c>
      <c r="S4452" t="n">
        <v>10073.7</v>
      </c>
      <c r="T4452" t="n">
        <v>20</v>
      </c>
      <c r="U4452" t="n">
        <v>21</v>
      </c>
      <c r="V4452" t="n">
        <v>30</v>
      </c>
      <c r="W4452" t="n">
        <v>1</v>
      </c>
      <c r="X4452" t="n">
        <v>73.26007326007326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7736</v>
      </c>
      <c r="AG4452" t="n">
        <v>1</v>
      </c>
      <c r="AH4452" t="inlineStr">
        <is>
          <t>PT. BERSAMA DISTRIVERSA INDONESIA (DC CIPUTAT)</t>
        </is>
      </c>
      <c r="AI4452" t="n">
        <v>1967</v>
      </c>
      <c r="AJ4452" t="inlineStr">
        <is>
          <t>POLYNIA</t>
        </is>
      </c>
      <c r="AK4452" t="n">
        <v>21</v>
      </c>
      <c r="AL4452" t="inlineStr">
        <is>
          <t>Miss Glam Damar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POLYNIA</t>
        </is>
      </c>
      <c r="B4453" s="2">
        <f>"4713157836182"</f>
        <v/>
      </c>
      <c r="C4453" t="inlineStr">
        <is>
          <t>POLYNIA Pomegranate Revitalizing Mask 100ml</t>
        </is>
      </c>
      <c r="D4453" t="inlineStr">
        <is>
          <t>Miss Glam Damar</t>
        </is>
      </c>
      <c r="E4453" t="n">
        <v>4</v>
      </c>
      <c r="F4453" t="n">
        <v>0.04550000000000001</v>
      </c>
      <c r="G4453" t="n">
        <v>0.91</v>
      </c>
      <c r="H4453" t="n">
        <v>4</v>
      </c>
      <c r="I4453" t="n">
        <v>21</v>
      </c>
      <c r="J4453" t="n">
        <v>3</v>
      </c>
      <c r="K4453" t="n">
        <v>0</v>
      </c>
      <c r="L4453" t="n">
        <v>297281</v>
      </c>
      <c r="M4453" t="n">
        <v>369000</v>
      </c>
      <c r="N4453" t="n">
        <v>91</v>
      </c>
      <c r="O4453" t="n">
        <v>0.91</v>
      </c>
      <c r="P4453" t="n">
        <v>1</v>
      </c>
      <c r="Q4453" t="n">
        <v>0.12</v>
      </c>
      <c r="R4453" t="n">
        <v>1</v>
      </c>
      <c r="S4453" t="n">
        <v>16789.5</v>
      </c>
      <c r="T4453" t="n">
        <v>19</v>
      </c>
      <c r="U4453" t="n">
        <v>20</v>
      </c>
      <c r="V4453" t="n">
        <v>30</v>
      </c>
      <c r="W4453" t="n">
        <v>2</v>
      </c>
      <c r="X4453" t="n">
        <v>87.9120879120879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7736</v>
      </c>
      <c r="AG4453" t="n">
        <v>1</v>
      </c>
      <c r="AH4453" t="inlineStr">
        <is>
          <t>PT. BERSAMA DISTRIVERSA INDONESIA (DC CIPUTAT)</t>
        </is>
      </c>
      <c r="AI4453" t="n">
        <v>1967</v>
      </c>
      <c r="AJ4453" t="inlineStr">
        <is>
          <t>POLYNIA</t>
        </is>
      </c>
      <c r="AK4453" t="n">
        <v>21</v>
      </c>
      <c r="AL4453" t="inlineStr">
        <is>
          <t>Miss Glam Damar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POLYNIA</t>
        </is>
      </c>
      <c r="B4454" s="2">
        <f>"4713157836199"</f>
        <v/>
      </c>
      <c r="C4454" t="inlineStr">
        <is>
          <t>POLYNIA Prickly Pear Hydrating Mask 100ml</t>
        </is>
      </c>
      <c r="D4454" t="inlineStr">
        <is>
          <t>Miss Glam Damar</t>
        </is>
      </c>
      <c r="E4454" t="n">
        <v>5</v>
      </c>
      <c r="F4454" t="n">
        <v>0.02</v>
      </c>
      <c r="G4454" t="n">
        <v>1</v>
      </c>
      <c r="H4454" t="n">
        <v>4</v>
      </c>
      <c r="I4454" t="n">
        <v>21</v>
      </c>
      <c r="J4454" t="n">
        <v>3</v>
      </c>
      <c r="K4454" t="n">
        <v>0</v>
      </c>
      <c r="L4454" t="n">
        <v>217175</v>
      </c>
      <c r="M4454" t="n">
        <v>300000</v>
      </c>
      <c r="N4454" t="n">
        <v>91</v>
      </c>
      <c r="O4454" t="n">
        <v>0.91</v>
      </c>
      <c r="P4454" t="n">
        <v>0</v>
      </c>
      <c r="Q4454" t="n">
        <v>0.02</v>
      </c>
      <c r="R4454" t="n">
        <v>1</v>
      </c>
      <c r="S4454" t="n">
        <v>6000</v>
      </c>
      <c r="T4454" t="n">
        <v>21</v>
      </c>
      <c r="U4454" t="n">
        <v>22</v>
      </c>
      <c r="V4454" t="n">
        <v>30</v>
      </c>
      <c r="W4454" t="n">
        <v>1</v>
      </c>
      <c r="X4454" t="n">
        <v>250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7736</v>
      </c>
      <c r="AG4454" t="n">
        <v>1</v>
      </c>
      <c r="AH4454" t="inlineStr">
        <is>
          <t>PT. BERSAMA DISTRIVERSA INDONESIA (DC CIPUTAT)</t>
        </is>
      </c>
      <c r="AI4454" t="n">
        <v>1967</v>
      </c>
      <c r="AJ4454" t="inlineStr">
        <is>
          <t>POLYNIA</t>
        </is>
      </c>
      <c r="AK4454" t="n">
        <v>21</v>
      </c>
      <c r="AL4454" t="inlineStr">
        <is>
          <t>Miss Glam Damar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PONDS</t>
        </is>
      </c>
      <c r="B4455" s="2">
        <f>"8999999574345"</f>
        <v/>
      </c>
      <c r="C4455" t="inlineStr">
        <is>
          <t>POND'S Bright Miracle Ultimate Clarity Serum 30gr</t>
        </is>
      </c>
      <c r="D4455" t="inlineStr">
        <is>
          <t>Miss Glam Damar</t>
        </is>
      </c>
      <c r="E4455" t="n">
        <v>4</v>
      </c>
      <c r="F4455" t="n">
        <v>0.0273</v>
      </c>
      <c r="G4455" t="n">
        <v>0.91</v>
      </c>
      <c r="H4455" t="n">
        <v>3</v>
      </c>
      <c r="I4455" t="n">
        <v>5</v>
      </c>
      <c r="J4455" t="n">
        <v>3</v>
      </c>
      <c r="K4455" t="n">
        <v>0</v>
      </c>
      <c r="L4455" t="n">
        <v>80536</v>
      </c>
      <c r="M4455" t="n">
        <v>98000</v>
      </c>
      <c r="N4455" t="n">
        <v>91</v>
      </c>
      <c r="O4455" t="n">
        <v>0.91</v>
      </c>
      <c r="P4455" t="n">
        <v>1</v>
      </c>
      <c r="Q4455" t="n">
        <v>0.07000000000000001</v>
      </c>
      <c r="R4455" t="n">
        <v>1</v>
      </c>
      <c r="S4455" t="n">
        <v>2675.4</v>
      </c>
      <c r="T4455" t="n">
        <v>5</v>
      </c>
      <c r="U4455" t="n">
        <v>6</v>
      </c>
      <c r="V4455" t="n">
        <v>30</v>
      </c>
      <c r="W4455" t="n">
        <v>1</v>
      </c>
      <c r="X4455" t="n">
        <v>146.5201465201465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1555</v>
      </c>
      <c r="AG4455" t="n">
        <v>361</v>
      </c>
      <c r="AH4455" t="inlineStr">
        <is>
          <t>CV. SERBA SERBI - PPN (PDG)</t>
        </is>
      </c>
      <c r="AI4455" t="n">
        <v>363</v>
      </c>
      <c r="AJ4455" t="inlineStr">
        <is>
          <t>PONDS</t>
        </is>
      </c>
      <c r="AK4455" t="n">
        <v>21</v>
      </c>
      <c r="AL4455" t="inlineStr">
        <is>
          <t>Miss Glam Damar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PONDS</t>
        </is>
      </c>
      <c r="B4456" s="2">
        <f>"8999999574482"</f>
        <v/>
      </c>
      <c r="C4456" t="inlineStr">
        <is>
          <t>POND'S Bright Miracle Ultimate Clarity Serum 7.5gr</t>
        </is>
      </c>
      <c r="D4456" t="inlineStr">
        <is>
          <t>Miss Glam Damar</t>
        </is>
      </c>
      <c r="E4456" t="n">
        <v>0</v>
      </c>
      <c r="F4456" t="n">
        <v>0.4277</v>
      </c>
      <c r="G4456" t="n">
        <v>3.64</v>
      </c>
      <c r="H4456" t="n">
        <v>3</v>
      </c>
      <c r="I4456" t="n">
        <v>5</v>
      </c>
      <c r="J4456" t="n">
        <v>3</v>
      </c>
      <c r="K4456" t="n">
        <v>0</v>
      </c>
      <c r="L4456" t="n">
        <v>14529</v>
      </c>
      <c r="M4456" t="n">
        <v>17500</v>
      </c>
      <c r="N4456" t="n">
        <v>91</v>
      </c>
      <c r="O4456" t="n">
        <v>0.91</v>
      </c>
      <c r="P4456" t="n">
        <v>1</v>
      </c>
      <c r="Q4456" t="n">
        <v>0.13</v>
      </c>
      <c r="R4456" t="n">
        <v>2</v>
      </c>
      <c r="S4456" t="n">
        <v>7484.749999999999</v>
      </c>
      <c r="T4456" t="n">
        <v>17</v>
      </c>
      <c r="U4456" t="n">
        <v>19</v>
      </c>
      <c r="V4456" t="n">
        <v>30</v>
      </c>
      <c r="W4456" t="n">
        <v>13</v>
      </c>
      <c r="X4456" t="n">
        <v>0</v>
      </c>
      <c r="Y4456" t="n">
        <v>1</v>
      </c>
      <c r="Z4456" t="n">
        <v>13</v>
      </c>
      <c r="AA4456" t="n">
        <v>3</v>
      </c>
      <c r="AB4456" t="n">
        <v>10</v>
      </c>
      <c r="AC4456" t="n">
        <v>10</v>
      </c>
      <c r="AD4456" t="n">
        <v>43587</v>
      </c>
      <c r="AE4456" t="n">
        <v>145290</v>
      </c>
      <c r="AF4456" t="n">
        <v>1555</v>
      </c>
      <c r="AG4456" t="n">
        <v>361</v>
      </c>
      <c r="AH4456" t="inlineStr">
        <is>
          <t>CV. SERBA SERBI - PPN (PDG)</t>
        </is>
      </c>
      <c r="AI4456" t="n">
        <v>363</v>
      </c>
      <c r="AJ4456" t="inlineStr">
        <is>
          <t>PONDS</t>
        </is>
      </c>
      <c r="AK4456" t="n">
        <v>21</v>
      </c>
      <c r="AL4456" t="inlineStr">
        <is>
          <t>Miss Glam Damar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PONDS</t>
        </is>
      </c>
      <c r="B4457" s="2">
        <f>"8999999604578"</f>
        <v/>
      </c>
      <c r="C4457" t="inlineStr">
        <is>
          <t>POND'S Micellar Miracle Water Brightening 55ml</t>
        </is>
      </c>
      <c r="D4457" t="inlineStr">
        <is>
          <t>Miss Glam Damar</t>
        </is>
      </c>
      <c r="E4457" t="n">
        <v>6</v>
      </c>
      <c r="F4457" t="n">
        <v>0.7280000000000001</v>
      </c>
      <c r="G4457" t="n">
        <v>2.73</v>
      </c>
      <c r="H4457" t="n">
        <v>3</v>
      </c>
      <c r="I4457" t="n">
        <v>5</v>
      </c>
      <c r="J4457" t="n">
        <v>3</v>
      </c>
      <c r="K4457" t="n">
        <v>0</v>
      </c>
      <c r="L4457" t="n">
        <v>15264</v>
      </c>
      <c r="M4457" t="n">
        <v>18000</v>
      </c>
      <c r="N4457" t="n">
        <v>91</v>
      </c>
      <c r="O4457" t="n">
        <v>0.91</v>
      </c>
      <c r="P4457" t="n">
        <v>1</v>
      </c>
      <c r="Q4457" t="n">
        <v>0.14</v>
      </c>
      <c r="R4457" t="n">
        <v>2</v>
      </c>
      <c r="S4457" t="n">
        <v>13104</v>
      </c>
      <c r="T4457" t="n">
        <v>12</v>
      </c>
      <c r="U4457" t="n">
        <v>15</v>
      </c>
      <c r="V4457" t="n">
        <v>30</v>
      </c>
      <c r="W4457" t="n">
        <v>22</v>
      </c>
      <c r="X4457" t="n">
        <v>8.241758241758241</v>
      </c>
      <c r="Y4457" t="n">
        <v>1</v>
      </c>
      <c r="Z4457" t="n">
        <v>16</v>
      </c>
      <c r="AA4457" t="n">
        <v>0</v>
      </c>
      <c r="AB4457" t="n">
        <v>16</v>
      </c>
      <c r="AC4457" t="n">
        <v>16</v>
      </c>
      <c r="AD4457" t="n">
        <v>0</v>
      </c>
      <c r="AE4457" t="n">
        <v>244224</v>
      </c>
      <c r="AF4457" t="n">
        <v>1555</v>
      </c>
      <c r="AG4457" t="n">
        <v>361</v>
      </c>
      <c r="AH4457" t="inlineStr">
        <is>
          <t>CV. SERBA SERBI - PPN (PDG)</t>
        </is>
      </c>
      <c r="AI4457" t="n">
        <v>363</v>
      </c>
      <c r="AJ4457" t="inlineStr">
        <is>
          <t>PONDS</t>
        </is>
      </c>
      <c r="AK4457" t="n">
        <v>21</v>
      </c>
      <c r="AL4457" t="inlineStr">
        <is>
          <t>Miss Glam Damar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PONDS</t>
        </is>
      </c>
      <c r="B4458" s="2">
        <f>"10400404525"</f>
        <v/>
      </c>
      <c r="C4458" t="inlineStr">
        <is>
          <t>POND'S UV Miracle Protect &amp; Repair Bright Spf 35 PA +++ Sunscreen Gel 25gr</t>
        </is>
      </c>
      <c r="D4458" t="inlineStr">
        <is>
          <t>Miss Glam Damar</t>
        </is>
      </c>
      <c r="E4458" t="n">
        <v>4</v>
      </c>
      <c r="F4458" t="n">
        <v>0.2821</v>
      </c>
      <c r="G4458" t="n">
        <v>3.64</v>
      </c>
      <c r="H4458" t="n">
        <v>3</v>
      </c>
      <c r="I4458" t="n">
        <v>5</v>
      </c>
      <c r="J4458" t="n">
        <v>3</v>
      </c>
      <c r="K4458" t="n">
        <v>0</v>
      </c>
      <c r="L4458" t="n">
        <v>28604</v>
      </c>
      <c r="M4458" t="n">
        <v>34000</v>
      </c>
      <c r="N4458" t="n">
        <v>91</v>
      </c>
      <c r="O4458" t="n">
        <v>0.91</v>
      </c>
      <c r="P4458" t="n">
        <v>1</v>
      </c>
      <c r="Q4458" t="n">
        <v>0.03</v>
      </c>
      <c r="R4458" t="n">
        <v>1</v>
      </c>
      <c r="S4458" t="n">
        <v>9591.400000000001</v>
      </c>
      <c r="T4458" t="n">
        <v>18</v>
      </c>
      <c r="U4458" t="n">
        <v>19</v>
      </c>
      <c r="V4458" t="n">
        <v>30</v>
      </c>
      <c r="W4458" t="n">
        <v>9</v>
      </c>
      <c r="X4458" t="n">
        <v>14.1793690180787</v>
      </c>
      <c r="Y4458" t="n">
        <v>1</v>
      </c>
      <c r="Z4458" t="n">
        <v>5</v>
      </c>
      <c r="AA4458" t="n">
        <v>0</v>
      </c>
      <c r="AB4458" t="n">
        <v>5</v>
      </c>
      <c r="AC4458" t="n">
        <v>5</v>
      </c>
      <c r="AD4458" t="n">
        <v>0</v>
      </c>
      <c r="AE4458" t="n">
        <v>143020</v>
      </c>
      <c r="AF4458" t="n">
        <v>1555</v>
      </c>
      <c r="AG4458" t="n">
        <v>361</v>
      </c>
      <c r="AH4458" t="inlineStr">
        <is>
          <t>CV. SERBA SERBI - PPN (PDG)</t>
        </is>
      </c>
      <c r="AI4458" t="n">
        <v>363</v>
      </c>
      <c r="AJ4458" t="inlineStr">
        <is>
          <t>PONDS</t>
        </is>
      </c>
      <c r="AK4458" t="n">
        <v>21</v>
      </c>
      <c r="AL4458" t="inlineStr">
        <is>
          <t>Miss Glam Damar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PONDS</t>
        </is>
      </c>
      <c r="B4459" s="2">
        <f>"10400515026"</f>
        <v/>
      </c>
      <c r="C4459" t="inlineStr">
        <is>
          <t>POND'S Uv Miracle Protect &amp; Repair Hydrate SPF 50 PA ++++ 25gr</t>
        </is>
      </c>
      <c r="D4459" t="inlineStr">
        <is>
          <t>Miss Glam Damar</t>
        </is>
      </c>
      <c r="E4459" t="n">
        <v>11</v>
      </c>
      <c r="F4459" t="n">
        <v>0.07000000000000001</v>
      </c>
      <c r="G4459" t="n">
        <v>1</v>
      </c>
      <c r="H4459" t="n">
        <v>3</v>
      </c>
      <c r="I4459" t="n">
        <v>5</v>
      </c>
      <c r="J4459" t="n">
        <v>1</v>
      </c>
      <c r="K4459" t="n">
        <v>0</v>
      </c>
      <c r="L4459" t="n">
        <v>48782</v>
      </c>
      <c r="M4459" t="n">
        <v>57500</v>
      </c>
      <c r="N4459" t="n">
        <v>91</v>
      </c>
      <c r="O4459" t="n">
        <v>0.91</v>
      </c>
      <c r="P4459" t="n">
        <v>0</v>
      </c>
      <c r="Q4459" t="n">
        <v>0.07000000000000001</v>
      </c>
      <c r="R4459" t="n">
        <v>1</v>
      </c>
      <c r="S4459" t="n">
        <v>4025</v>
      </c>
      <c r="T4459" t="n">
        <v>5</v>
      </c>
      <c r="U4459" t="n">
        <v>6</v>
      </c>
      <c r="V4459" t="n">
        <v>30</v>
      </c>
      <c r="W4459" t="n">
        <v>3</v>
      </c>
      <c r="X4459" t="n">
        <v>157.1428571428571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1555</v>
      </c>
      <c r="AG4459" t="n">
        <v>361</v>
      </c>
      <c r="AH4459" t="inlineStr">
        <is>
          <t>CV. SERBA SERBI - PPN (PDG)</t>
        </is>
      </c>
      <c r="AI4459" t="n">
        <v>363</v>
      </c>
      <c r="AJ4459" t="inlineStr">
        <is>
          <t>PONDS</t>
        </is>
      </c>
      <c r="AK4459" t="n">
        <v>21</v>
      </c>
      <c r="AL4459" t="inlineStr">
        <is>
          <t>Miss Glam Damar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PONDS</t>
        </is>
      </c>
      <c r="B4460" s="2">
        <f>"8999999059910"</f>
        <v/>
      </c>
      <c r="C4460" t="inlineStr">
        <is>
          <t>PONDS Age Miracle Day Cream 20gr</t>
        </is>
      </c>
      <c r="D4460" t="inlineStr">
        <is>
          <t>Miss Glam Damar</t>
        </is>
      </c>
      <c r="E4460" t="n">
        <v>1</v>
      </c>
      <c r="F4460" t="n">
        <v>0.2275</v>
      </c>
      <c r="G4460" t="n">
        <v>1.82</v>
      </c>
      <c r="H4460" t="n">
        <v>3</v>
      </c>
      <c r="I4460" t="n">
        <v>5</v>
      </c>
      <c r="J4460" t="n">
        <v>3</v>
      </c>
      <c r="K4460" t="n">
        <v>0</v>
      </c>
      <c r="L4460" t="n">
        <v>62778</v>
      </c>
      <c r="M4460" t="n">
        <v>80500</v>
      </c>
      <c r="N4460" t="n">
        <v>91</v>
      </c>
      <c r="O4460" t="n">
        <v>0.91</v>
      </c>
      <c r="P4460" t="n">
        <v>1</v>
      </c>
      <c r="Q4460" t="n">
        <v>0.12</v>
      </c>
      <c r="R4460" t="n">
        <v>1</v>
      </c>
      <c r="S4460" t="n">
        <v>18313.75</v>
      </c>
      <c r="T4460" t="n">
        <v>9</v>
      </c>
      <c r="U4460" t="n">
        <v>10</v>
      </c>
      <c r="V4460" t="n">
        <v>30</v>
      </c>
      <c r="W4460" t="n">
        <v>7</v>
      </c>
      <c r="X4460" t="n">
        <v>4.395604395604395</v>
      </c>
      <c r="Y4460" t="n">
        <v>1</v>
      </c>
      <c r="Z4460" t="n">
        <v>6</v>
      </c>
      <c r="AA4460" t="n">
        <v>1</v>
      </c>
      <c r="AB4460" t="n">
        <v>5</v>
      </c>
      <c r="AC4460" t="n">
        <v>5</v>
      </c>
      <c r="AD4460" t="n">
        <v>62778</v>
      </c>
      <c r="AE4460" t="n">
        <v>313890</v>
      </c>
      <c r="AF4460" t="n">
        <v>1555</v>
      </c>
      <c r="AG4460" t="n">
        <v>361</v>
      </c>
      <c r="AH4460" t="inlineStr">
        <is>
          <t>CV. SERBA SERBI - PPN (PDG)</t>
        </is>
      </c>
      <c r="AI4460" t="n">
        <v>363</v>
      </c>
      <c r="AJ4460" t="inlineStr">
        <is>
          <t>PONDS</t>
        </is>
      </c>
      <c r="AK4460" t="n">
        <v>21</v>
      </c>
      <c r="AL4460" t="inlineStr">
        <is>
          <t>Miss Glam Damar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PONDS</t>
        </is>
      </c>
      <c r="B4461" s="2">
        <f>"8999999059927"</f>
        <v/>
      </c>
      <c r="C4461" t="inlineStr">
        <is>
          <t>PONDS Age Miracle Day Cream 50gr</t>
        </is>
      </c>
      <c r="D4461" t="inlineStr">
        <is>
          <t>Miss Glam Damar</t>
        </is>
      </c>
      <c r="E4461" t="n">
        <v>1</v>
      </c>
      <c r="F4461" t="n">
        <v>0.02</v>
      </c>
      <c r="G4461" t="n">
        <v>1</v>
      </c>
      <c r="H4461" t="n">
        <v>3</v>
      </c>
      <c r="I4461" t="n">
        <v>5</v>
      </c>
      <c r="J4461" t="n">
        <v>3</v>
      </c>
      <c r="K4461" t="n">
        <v>0</v>
      </c>
      <c r="L4461" t="n">
        <v>151635</v>
      </c>
      <c r="M4461" t="n">
        <v>190000</v>
      </c>
      <c r="N4461" t="n">
        <v>91</v>
      </c>
      <c r="O4461" t="n">
        <v>0.91</v>
      </c>
      <c r="P4461" t="n">
        <v>0</v>
      </c>
      <c r="Q4461" t="n">
        <v>0.02</v>
      </c>
      <c r="R4461" t="n">
        <v>1</v>
      </c>
      <c r="S4461" t="n">
        <v>3800</v>
      </c>
      <c r="T4461" t="n">
        <v>5</v>
      </c>
      <c r="U4461" t="n">
        <v>6</v>
      </c>
      <c r="V4461" t="n">
        <v>30</v>
      </c>
      <c r="W4461" t="n">
        <v>1</v>
      </c>
      <c r="X4461" t="n">
        <v>50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1555</v>
      </c>
      <c r="AG4461" t="n">
        <v>361</v>
      </c>
      <c r="AH4461" t="inlineStr">
        <is>
          <t>CV. SERBA SERBI - PPN (PDG)</t>
        </is>
      </c>
      <c r="AI4461" t="n">
        <v>363</v>
      </c>
      <c r="AJ4461" t="inlineStr">
        <is>
          <t>PONDS</t>
        </is>
      </c>
      <c r="AK4461" t="n">
        <v>21</v>
      </c>
      <c r="AL4461" t="inlineStr">
        <is>
          <t>Miss Glam Damar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PONDS</t>
        </is>
      </c>
      <c r="B4462" s="2">
        <f>"8999999059903"</f>
        <v/>
      </c>
      <c r="C4462" t="inlineStr">
        <is>
          <t>PONDS Age Miracle Day Cream 9 gr</t>
        </is>
      </c>
      <c r="D4462" t="inlineStr">
        <is>
          <t>Miss Glam Damar</t>
        </is>
      </c>
      <c r="E4462" t="n">
        <v>30</v>
      </c>
      <c r="F4462" t="n">
        <v>0.3094</v>
      </c>
      <c r="G4462" t="n">
        <v>1.82</v>
      </c>
      <c r="H4462" t="n">
        <v>3</v>
      </c>
      <c r="I4462" t="n">
        <v>5</v>
      </c>
      <c r="J4462" t="n">
        <v>3</v>
      </c>
      <c r="K4462" t="n">
        <v>0</v>
      </c>
      <c r="L4462" t="n">
        <v>31650</v>
      </c>
      <c r="M4462" t="n">
        <v>44000</v>
      </c>
      <c r="N4462" t="n">
        <v>91</v>
      </c>
      <c r="O4462" t="n">
        <v>0.91</v>
      </c>
      <c r="P4462" t="n">
        <v>1</v>
      </c>
      <c r="Q4462" t="n">
        <v>0.41</v>
      </c>
      <c r="R4462" t="n">
        <v>2</v>
      </c>
      <c r="S4462" t="n">
        <v>13613.6</v>
      </c>
      <c r="T4462" t="n">
        <v>9</v>
      </c>
      <c r="U4462" t="n">
        <v>10</v>
      </c>
      <c r="V4462" t="n">
        <v>30</v>
      </c>
      <c r="W4462" t="n">
        <v>10</v>
      </c>
      <c r="X4462" t="n">
        <v>96.96186166774402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1555</v>
      </c>
      <c r="AG4462" t="n">
        <v>361</v>
      </c>
      <c r="AH4462" t="inlineStr">
        <is>
          <t>CV. SERBA SERBI - PPN (PDG)</t>
        </is>
      </c>
      <c r="AI4462" t="n">
        <v>363</v>
      </c>
      <c r="AJ4462" t="inlineStr">
        <is>
          <t>PONDS</t>
        </is>
      </c>
      <c r="AK4462" t="n">
        <v>21</v>
      </c>
      <c r="AL4462" t="inlineStr">
        <is>
          <t>Miss Glam Damar</t>
        </is>
      </c>
      <c r="AM4462" t="n">
        <v>2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PONDS</t>
        </is>
      </c>
      <c r="B4463" s="2">
        <f>"8999999572549"</f>
        <v/>
      </c>
      <c r="C4463" t="inlineStr">
        <is>
          <t>PONDS Age Miracle Double Action Youth Serum Hexyl Retinol 15ml</t>
        </is>
      </c>
      <c r="D4463" t="inlineStr">
        <is>
          <t>Miss Glam Damar</t>
        </is>
      </c>
      <c r="E4463" t="n">
        <v>3</v>
      </c>
      <c r="F4463" t="n">
        <v>0.0182</v>
      </c>
      <c r="G4463" t="n">
        <v>0.91</v>
      </c>
      <c r="H4463" t="n">
        <v>3</v>
      </c>
      <c r="I4463" t="n">
        <v>5</v>
      </c>
      <c r="J4463" t="n">
        <v>3</v>
      </c>
      <c r="K4463" t="n">
        <v>0</v>
      </c>
      <c r="L4463" t="n">
        <v>73537</v>
      </c>
      <c r="M4463" t="n">
        <v>93500</v>
      </c>
      <c r="N4463" t="n">
        <v>91</v>
      </c>
      <c r="O4463" t="n">
        <v>0.91</v>
      </c>
      <c r="P4463" t="n">
        <v>1</v>
      </c>
      <c r="Q4463" t="n">
        <v>0.05</v>
      </c>
      <c r="R4463" t="n">
        <v>1</v>
      </c>
      <c r="S4463" t="n">
        <v>1701.7</v>
      </c>
      <c r="T4463" t="n">
        <v>5</v>
      </c>
      <c r="U4463" t="n">
        <v>6</v>
      </c>
      <c r="V4463" t="n">
        <v>30</v>
      </c>
      <c r="W4463" t="n">
        <v>1</v>
      </c>
      <c r="X4463" t="n">
        <v>164.8351648351648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1555</v>
      </c>
      <c r="AG4463" t="n">
        <v>361</v>
      </c>
      <c r="AH4463" t="inlineStr">
        <is>
          <t>CV. SERBA SERBI - PPN (PDG)</t>
        </is>
      </c>
      <c r="AI4463" t="n">
        <v>363</v>
      </c>
      <c r="AJ4463" t="inlineStr">
        <is>
          <t>PONDS</t>
        </is>
      </c>
      <c r="AK4463" t="n">
        <v>21</v>
      </c>
      <c r="AL4463" t="inlineStr">
        <is>
          <t>Miss Glam Damar</t>
        </is>
      </c>
      <c r="AM4463" t="n">
        <v>2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PONDS</t>
        </is>
      </c>
      <c r="B4464" s="2">
        <f>"8999999059941"</f>
        <v/>
      </c>
      <c r="C4464" t="inlineStr">
        <is>
          <t>PONDS Age Miracle Night Cream 50gr</t>
        </is>
      </c>
      <c r="D4464" t="inlineStr">
        <is>
          <t>Miss Glam Damar</t>
        </is>
      </c>
      <c r="E4464" t="n">
        <v>5</v>
      </c>
      <c r="F4464" t="n">
        <v>0.05</v>
      </c>
      <c r="G4464" t="n">
        <v>1</v>
      </c>
      <c r="H4464" t="n">
        <v>3</v>
      </c>
      <c r="I4464" t="n">
        <v>5</v>
      </c>
      <c r="J4464" t="n">
        <v>3</v>
      </c>
      <c r="K4464" t="n">
        <v>0</v>
      </c>
      <c r="L4464" t="n">
        <v>163648</v>
      </c>
      <c r="M4464" t="n">
        <v>200000</v>
      </c>
      <c r="N4464" t="n">
        <v>91</v>
      </c>
      <c r="O4464" t="n">
        <v>0.91</v>
      </c>
      <c r="P4464" t="n">
        <v>0</v>
      </c>
      <c r="Q4464" t="n">
        <v>0.05</v>
      </c>
      <c r="R4464" t="n">
        <v>1</v>
      </c>
      <c r="S4464" t="n">
        <v>10000</v>
      </c>
      <c r="T4464" t="n">
        <v>5</v>
      </c>
      <c r="U4464" t="n">
        <v>6</v>
      </c>
      <c r="V4464" t="n">
        <v>30</v>
      </c>
      <c r="W4464" t="n">
        <v>2</v>
      </c>
      <c r="X4464" t="n">
        <v>100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1555</v>
      </c>
      <c r="AG4464" t="n">
        <v>361</v>
      </c>
      <c r="AH4464" t="inlineStr">
        <is>
          <t>CV. SERBA SERBI - PPN (PDG)</t>
        </is>
      </c>
      <c r="AI4464" t="n">
        <v>363</v>
      </c>
      <c r="AJ4464" t="inlineStr">
        <is>
          <t>PONDS</t>
        </is>
      </c>
      <c r="AK4464" t="n">
        <v>21</v>
      </c>
      <c r="AL4464" t="inlineStr">
        <is>
          <t>Miss Glam Damar</t>
        </is>
      </c>
      <c r="AM4464" t="n">
        <v>2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PONDS</t>
        </is>
      </c>
      <c r="B4465" s="2">
        <f>"8999999059934"</f>
        <v/>
      </c>
      <c r="C4465" t="inlineStr">
        <is>
          <t>PONDS Age Miracle Night Cream 9 gr</t>
        </is>
      </c>
      <c r="D4465" t="inlineStr">
        <is>
          <t>Miss Glam Damar</t>
        </is>
      </c>
      <c r="E4465" t="n">
        <v>10</v>
      </c>
      <c r="F4465" t="n">
        <v>0.2184</v>
      </c>
      <c r="G4465" t="n">
        <v>1.82</v>
      </c>
      <c r="H4465" t="n">
        <v>3</v>
      </c>
      <c r="I4465" t="n">
        <v>5</v>
      </c>
      <c r="J4465" t="n">
        <v>3</v>
      </c>
      <c r="K4465" t="n">
        <v>0</v>
      </c>
      <c r="L4465" t="n">
        <v>34769</v>
      </c>
      <c r="M4465" t="n">
        <v>44000</v>
      </c>
      <c r="N4465" t="n">
        <v>91</v>
      </c>
      <c r="O4465" t="n">
        <v>0.91</v>
      </c>
      <c r="P4465" t="n">
        <v>1</v>
      </c>
      <c r="Q4465" t="n">
        <v>0.32</v>
      </c>
      <c r="R4465" t="n">
        <v>2</v>
      </c>
      <c r="S4465" t="n">
        <v>9609.6</v>
      </c>
      <c r="T4465" t="n">
        <v>9</v>
      </c>
      <c r="U4465" t="n">
        <v>10</v>
      </c>
      <c r="V4465" t="n">
        <v>30</v>
      </c>
      <c r="W4465" t="n">
        <v>7</v>
      </c>
      <c r="X4465" t="n">
        <v>45.78754578754579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1555</v>
      </c>
      <c r="AG4465" t="n">
        <v>361</v>
      </c>
      <c r="AH4465" t="inlineStr">
        <is>
          <t>CV. SERBA SERBI - PPN (PDG)</t>
        </is>
      </c>
      <c r="AI4465" t="n">
        <v>363</v>
      </c>
      <c r="AJ4465" t="inlineStr">
        <is>
          <t>PONDS</t>
        </is>
      </c>
      <c r="AK4465" t="n">
        <v>21</v>
      </c>
      <c r="AL4465" t="inlineStr">
        <is>
          <t>Miss Glam Damar</t>
        </is>
      </c>
      <c r="AM4465" t="n">
        <v>2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PONDS</t>
        </is>
      </c>
      <c r="B4466" s="2">
        <f>"8999999596729"</f>
        <v/>
      </c>
      <c r="C4466" t="inlineStr">
        <is>
          <t>PONDS Age Miracle Night Serum Retinol 30gr</t>
        </is>
      </c>
      <c r="D4466" t="inlineStr">
        <is>
          <t>Miss Glam Damar</t>
        </is>
      </c>
      <c r="E4466" t="n">
        <v>2</v>
      </c>
      <c r="F4466" t="n">
        <v>0.02</v>
      </c>
      <c r="G4466" t="n">
        <v>1</v>
      </c>
      <c r="H4466" t="n">
        <v>3</v>
      </c>
      <c r="I4466" t="n">
        <v>5</v>
      </c>
      <c r="J4466" t="n">
        <v>3</v>
      </c>
      <c r="K4466" t="n">
        <v>0</v>
      </c>
      <c r="L4466" t="n">
        <v>177389</v>
      </c>
      <c r="M4466" t="n">
        <v>225000</v>
      </c>
      <c r="N4466" t="n">
        <v>91</v>
      </c>
      <c r="O4466" t="n">
        <v>0.91</v>
      </c>
      <c r="P4466" t="n">
        <v>0</v>
      </c>
      <c r="Q4466" t="n">
        <v>0.02</v>
      </c>
      <c r="R4466" t="n">
        <v>1</v>
      </c>
      <c r="S4466" t="n">
        <v>4500</v>
      </c>
      <c r="T4466" t="n">
        <v>5</v>
      </c>
      <c r="U4466" t="n">
        <v>6</v>
      </c>
      <c r="V4466" t="n">
        <v>30</v>
      </c>
      <c r="W4466" t="n">
        <v>1</v>
      </c>
      <c r="X4466" t="n">
        <v>100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1555</v>
      </c>
      <c r="AG4466" t="n">
        <v>361</v>
      </c>
      <c r="AH4466" t="inlineStr">
        <is>
          <t>CV. SERBA SERBI - PPN (PDG)</t>
        </is>
      </c>
      <c r="AI4466" t="n">
        <v>363</v>
      </c>
      <c r="AJ4466" t="inlineStr">
        <is>
          <t>PONDS</t>
        </is>
      </c>
      <c r="AK4466" t="n">
        <v>21</v>
      </c>
      <c r="AL4466" t="inlineStr">
        <is>
          <t>Miss Glam Damar</t>
        </is>
      </c>
      <c r="AM4466" t="n">
        <v>2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PONDS</t>
        </is>
      </c>
      <c r="B4467" s="2">
        <f>"8851932406789"</f>
        <v/>
      </c>
      <c r="C4467" t="inlineStr">
        <is>
          <t>PONDS Age Miracle Ultimate Youth Serum Hexyl-retinol 7Gr</t>
        </is>
      </c>
      <c r="D4467" t="inlineStr">
        <is>
          <t>Miss Glam Damar</t>
        </is>
      </c>
      <c r="E4467" t="n">
        <v>13</v>
      </c>
      <c r="F4467" t="n">
        <v>0.3549</v>
      </c>
      <c r="G4467" t="n">
        <v>2.73</v>
      </c>
      <c r="H4467" t="n">
        <v>3</v>
      </c>
      <c r="I4467" t="n">
        <v>5</v>
      </c>
      <c r="J4467" t="n">
        <v>3</v>
      </c>
      <c r="K4467" t="n">
        <v>0</v>
      </c>
      <c r="L4467" t="n">
        <v>18652</v>
      </c>
      <c r="M4467" t="n">
        <v>23500</v>
      </c>
      <c r="N4467" t="n">
        <v>91</v>
      </c>
      <c r="O4467" t="n">
        <v>0.91</v>
      </c>
      <c r="P4467" t="n">
        <v>1</v>
      </c>
      <c r="Q4467" t="n">
        <v>0.22</v>
      </c>
      <c r="R4467" t="n">
        <v>2</v>
      </c>
      <c r="S4467" t="n">
        <v>8340.150000000001</v>
      </c>
      <c r="T4467" t="n">
        <v>13</v>
      </c>
      <c r="U4467" t="n">
        <v>15</v>
      </c>
      <c r="V4467" t="n">
        <v>30</v>
      </c>
      <c r="W4467" t="n">
        <v>11</v>
      </c>
      <c r="X4467" t="n">
        <v>36.63003663003663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1555</v>
      </c>
      <c r="AG4467" t="n">
        <v>361</v>
      </c>
      <c r="AH4467" t="inlineStr">
        <is>
          <t>CV. SERBA SERBI - PPN (PDG)</t>
        </is>
      </c>
      <c r="AI4467" t="n">
        <v>363</v>
      </c>
      <c r="AJ4467" t="inlineStr">
        <is>
          <t>PONDS</t>
        </is>
      </c>
      <c r="AK4467" t="n">
        <v>21</v>
      </c>
      <c r="AL4467" t="inlineStr">
        <is>
          <t>Miss Glam Damar</t>
        </is>
      </c>
      <c r="AM4467" t="n">
        <v>2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PONDS</t>
        </is>
      </c>
      <c r="B4468" s="2">
        <f>"8999999559441"</f>
        <v/>
      </c>
      <c r="C4468" t="inlineStr">
        <is>
          <t>PONDS Age Miracle Ultimate Youthful Facial Foam 100gr</t>
        </is>
      </c>
      <c r="D4468" t="inlineStr">
        <is>
          <t>Miss Glam Damar</t>
        </is>
      </c>
      <c r="E4468" t="n">
        <v>12</v>
      </c>
      <c r="F4468" t="n">
        <v>0.2002</v>
      </c>
      <c r="G4468" t="n">
        <v>1.82</v>
      </c>
      <c r="H4468" t="n">
        <v>3</v>
      </c>
      <c r="I4468" t="n">
        <v>5</v>
      </c>
      <c r="J4468" t="n">
        <v>3</v>
      </c>
      <c r="K4468" t="n">
        <v>0</v>
      </c>
      <c r="L4468" t="n">
        <v>56721</v>
      </c>
      <c r="M4468" t="n">
        <v>72000</v>
      </c>
      <c r="N4468" t="n">
        <v>91</v>
      </c>
      <c r="O4468" t="n">
        <v>0.91</v>
      </c>
      <c r="P4468" t="n">
        <v>1</v>
      </c>
      <c r="Q4468" t="n">
        <v>0.19</v>
      </c>
      <c r="R4468" t="n">
        <v>2</v>
      </c>
      <c r="S4468" t="n">
        <v>14414.4</v>
      </c>
      <c r="T4468" t="n">
        <v>9</v>
      </c>
      <c r="U4468" t="n">
        <v>10</v>
      </c>
      <c r="V4468" t="n">
        <v>30</v>
      </c>
      <c r="W4468" t="n">
        <v>7</v>
      </c>
      <c r="X4468" t="n">
        <v>59.94005994005993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1555</v>
      </c>
      <c r="AG4468" t="n">
        <v>361</v>
      </c>
      <c r="AH4468" t="inlineStr">
        <is>
          <t>CV. SERBA SERBI - PPN (PDG)</t>
        </is>
      </c>
      <c r="AI4468" t="n">
        <v>363</v>
      </c>
      <c r="AJ4468" t="inlineStr">
        <is>
          <t>PONDS</t>
        </is>
      </c>
      <c r="AK4468" t="n">
        <v>21</v>
      </c>
      <c r="AL4468" t="inlineStr">
        <is>
          <t>Miss Glam Damar</t>
        </is>
      </c>
      <c r="AM4468" t="n">
        <v>2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PONDS</t>
        </is>
      </c>
      <c r="B4469" s="2">
        <f>"4800888211620"</f>
        <v/>
      </c>
      <c r="C4469" t="inlineStr">
        <is>
          <t>PONDS Age Miracle Whip 20gr</t>
        </is>
      </c>
      <c r="D4469" t="inlineStr">
        <is>
          <t>Miss Glam Damar</t>
        </is>
      </c>
      <c r="E4469" t="n">
        <v>5</v>
      </c>
      <c r="F4469" t="n">
        <v>0.1092</v>
      </c>
      <c r="G4469" t="n">
        <v>1.82</v>
      </c>
      <c r="H4469" t="n">
        <v>3</v>
      </c>
      <c r="I4469" t="n">
        <v>5</v>
      </c>
      <c r="J4469" t="n">
        <v>3</v>
      </c>
      <c r="K4469" t="n">
        <v>0</v>
      </c>
      <c r="L4469" t="n">
        <v>67381</v>
      </c>
      <c r="M4469" t="n">
        <v>85000</v>
      </c>
      <c r="N4469" t="n">
        <v>91</v>
      </c>
      <c r="O4469" t="n">
        <v>0.91</v>
      </c>
      <c r="P4469" t="n">
        <v>1</v>
      </c>
      <c r="Q4469" t="n">
        <v>0.05</v>
      </c>
      <c r="R4469" t="n">
        <v>1</v>
      </c>
      <c r="S4469" t="n">
        <v>9282</v>
      </c>
      <c r="T4469" t="n">
        <v>9</v>
      </c>
      <c r="U4469" t="n">
        <v>10</v>
      </c>
      <c r="V4469" t="n">
        <v>30</v>
      </c>
      <c r="W4469" t="n">
        <v>4</v>
      </c>
      <c r="X4469" t="n">
        <v>45.78754578754579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1555</v>
      </c>
      <c r="AG4469" t="n">
        <v>361</v>
      </c>
      <c r="AH4469" t="inlineStr">
        <is>
          <t>CV. SERBA SERBI - PPN (PDG)</t>
        </is>
      </c>
      <c r="AI4469" t="n">
        <v>363</v>
      </c>
      <c r="AJ4469" t="inlineStr">
        <is>
          <t>PONDS</t>
        </is>
      </c>
      <c r="AK4469" t="n">
        <v>21</v>
      </c>
      <c r="AL4469" t="inlineStr">
        <is>
          <t>Miss Glam Damar</t>
        </is>
      </c>
      <c r="AM4469" t="n">
        <v>2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PONDS</t>
        </is>
      </c>
      <c r="B4470" s="2">
        <f>"4800888211613"</f>
        <v/>
      </c>
      <c r="C4470" t="inlineStr">
        <is>
          <t>PONDS Age Miracle Whip 50gr</t>
        </is>
      </c>
      <c r="D4470" t="inlineStr">
        <is>
          <t>Miss Glam Damar</t>
        </is>
      </c>
      <c r="E4470" t="n">
        <v>4</v>
      </c>
      <c r="F4470" t="n">
        <v>0.0546</v>
      </c>
      <c r="G4470" t="n">
        <v>0.91</v>
      </c>
      <c r="H4470" t="n">
        <v>3</v>
      </c>
      <c r="I4470" t="n">
        <v>5</v>
      </c>
      <c r="J4470" t="n">
        <v>3</v>
      </c>
      <c r="K4470" t="n">
        <v>0</v>
      </c>
      <c r="L4470" t="n">
        <v>159289</v>
      </c>
      <c r="M4470" t="n">
        <v>200500</v>
      </c>
      <c r="N4470" t="n">
        <v>91</v>
      </c>
      <c r="O4470" t="n">
        <v>0.91</v>
      </c>
      <c r="P4470" t="n">
        <v>1</v>
      </c>
      <c r="Q4470" t="n">
        <v>0.02</v>
      </c>
      <c r="R4470" t="n">
        <v>1</v>
      </c>
      <c r="S4470" t="n">
        <v>10947.3</v>
      </c>
      <c r="T4470" t="n">
        <v>5</v>
      </c>
      <c r="U4470" t="n">
        <v>6</v>
      </c>
      <c r="V4470" t="n">
        <v>30</v>
      </c>
      <c r="W4470" t="n">
        <v>2</v>
      </c>
      <c r="X4470" t="n">
        <v>73.26007326007326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1555</v>
      </c>
      <c r="AG4470" t="n">
        <v>361</v>
      </c>
      <c r="AH4470" t="inlineStr">
        <is>
          <t>CV. SERBA SERBI - PPN (PDG)</t>
        </is>
      </c>
      <c r="AI4470" t="n">
        <v>363</v>
      </c>
      <c r="AJ4470" t="inlineStr">
        <is>
          <t>PONDS</t>
        </is>
      </c>
      <c r="AK4470" t="n">
        <v>21</v>
      </c>
      <c r="AL4470" t="inlineStr">
        <is>
          <t>Miss Glam Damar</t>
        </is>
      </c>
      <c r="AM4470" t="n">
        <v>2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PONDS</t>
        </is>
      </c>
      <c r="B4471" s="2">
        <f>"8999999556846"</f>
        <v/>
      </c>
      <c r="C4471" t="inlineStr">
        <is>
          <t>PONDS Bright Beauty Perfect Potion Essence 50ml</t>
        </is>
      </c>
      <c r="D4471" t="inlineStr">
        <is>
          <t>Miss Glam Damar</t>
        </is>
      </c>
      <c r="E4471" t="n">
        <v>5</v>
      </c>
      <c r="F4471" t="n">
        <v>0.0364</v>
      </c>
      <c r="G4471" t="n">
        <v>0.91</v>
      </c>
      <c r="H4471" t="n">
        <v>3</v>
      </c>
      <c r="I4471" t="n">
        <v>5</v>
      </c>
      <c r="J4471" t="n">
        <v>3</v>
      </c>
      <c r="K4471" t="n">
        <v>0</v>
      </c>
      <c r="L4471" t="n">
        <v>37253</v>
      </c>
      <c r="M4471" t="n">
        <v>47500</v>
      </c>
      <c r="N4471" t="n">
        <v>91</v>
      </c>
      <c r="O4471" t="n">
        <v>0.91</v>
      </c>
      <c r="P4471" t="n">
        <v>1</v>
      </c>
      <c r="Q4471" t="n">
        <v>0.07000000000000001</v>
      </c>
      <c r="R4471" t="n">
        <v>1</v>
      </c>
      <c r="S4471" t="n">
        <v>1729</v>
      </c>
      <c r="T4471" t="n">
        <v>5</v>
      </c>
      <c r="U4471" t="n">
        <v>6</v>
      </c>
      <c r="V4471" t="n">
        <v>30</v>
      </c>
      <c r="W4471" t="n">
        <v>2</v>
      </c>
      <c r="X4471" t="n">
        <v>137.3626373626373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1555</v>
      </c>
      <c r="AG4471" t="n">
        <v>361</v>
      </c>
      <c r="AH4471" t="inlineStr">
        <is>
          <t>CV. SERBA SERBI - PPN (PDG)</t>
        </is>
      </c>
      <c r="AI4471" t="n">
        <v>363</v>
      </c>
      <c r="AJ4471" t="inlineStr">
        <is>
          <t>PONDS</t>
        </is>
      </c>
      <c r="AK4471" t="n">
        <v>21</v>
      </c>
      <c r="AL4471" t="inlineStr">
        <is>
          <t>Miss Glam Damar</t>
        </is>
      </c>
      <c r="AM4471" t="n">
        <v>2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PONDS</t>
        </is>
      </c>
      <c r="B4472" s="2">
        <f>"8999999053048"</f>
        <v/>
      </c>
      <c r="C4472" t="inlineStr">
        <is>
          <t>PONDS Bright Miracle Facial Foam Oil 100g</t>
        </is>
      </c>
      <c r="D4472" t="inlineStr">
        <is>
          <t>Miss Glam Damar</t>
        </is>
      </c>
      <c r="E4472" t="n">
        <v>9</v>
      </c>
      <c r="F4472" t="n">
        <v>0.2457</v>
      </c>
      <c r="G4472" t="n">
        <v>1.82</v>
      </c>
      <c r="H4472" t="n">
        <v>3</v>
      </c>
      <c r="I4472" t="n">
        <v>5</v>
      </c>
      <c r="J4472" t="n">
        <v>3</v>
      </c>
      <c r="K4472" t="n">
        <v>0</v>
      </c>
      <c r="L4472" t="n">
        <v>32021</v>
      </c>
      <c r="M4472" t="n">
        <v>39000</v>
      </c>
      <c r="N4472" t="n">
        <v>91</v>
      </c>
      <c r="O4472" t="n">
        <v>0.91</v>
      </c>
      <c r="P4472" t="n">
        <v>1</v>
      </c>
      <c r="Q4472" t="n">
        <v>0.17</v>
      </c>
      <c r="R4472" t="n">
        <v>2</v>
      </c>
      <c r="S4472" t="n">
        <v>9582.300000000001</v>
      </c>
      <c r="T4472" t="n">
        <v>9</v>
      </c>
      <c r="U4472" t="n">
        <v>10</v>
      </c>
      <c r="V4472" t="n">
        <v>30</v>
      </c>
      <c r="W4472" t="n">
        <v>8</v>
      </c>
      <c r="X4472" t="n">
        <v>36.63003663003663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1555</v>
      </c>
      <c r="AG4472" t="n">
        <v>361</v>
      </c>
      <c r="AH4472" t="inlineStr">
        <is>
          <t>CV. SERBA SERBI - PPN (PDG)</t>
        </is>
      </c>
      <c r="AI4472" t="n">
        <v>363</v>
      </c>
      <c r="AJ4472" t="inlineStr">
        <is>
          <t>PONDS</t>
        </is>
      </c>
      <c r="AK4472" t="n">
        <v>21</v>
      </c>
      <c r="AL4472" t="inlineStr">
        <is>
          <t>Miss Glam Damar</t>
        </is>
      </c>
      <c r="AM4472" t="n">
        <v>2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PONDS</t>
        </is>
      </c>
      <c r="B4473" s="2">
        <f>"8999999052973"</f>
        <v/>
      </c>
      <c r="C4473" t="inlineStr">
        <is>
          <t>PONDS Bright Miracle Facial Foam Oil 50g</t>
        </is>
      </c>
      <c r="D4473" t="inlineStr">
        <is>
          <t>Miss Glam Damar</t>
        </is>
      </c>
      <c r="E4473" t="n">
        <v>13</v>
      </c>
      <c r="F4473" t="n">
        <v>0.182</v>
      </c>
      <c r="G4473" t="n">
        <v>1.82</v>
      </c>
      <c r="H4473" t="n">
        <v>3</v>
      </c>
      <c r="I4473" t="n">
        <v>5</v>
      </c>
      <c r="J4473" t="n">
        <v>3</v>
      </c>
      <c r="K4473" t="n">
        <v>0</v>
      </c>
      <c r="L4473" t="n">
        <v>21753</v>
      </c>
      <c r="M4473" t="n">
        <v>26000</v>
      </c>
      <c r="N4473" t="n">
        <v>91</v>
      </c>
      <c r="O4473" t="n">
        <v>0.91</v>
      </c>
      <c r="P4473" t="n">
        <v>1</v>
      </c>
      <c r="Q4473" t="n">
        <v>0.22</v>
      </c>
      <c r="R4473" t="n">
        <v>1</v>
      </c>
      <c r="S4473" t="n">
        <v>4732.000000000001</v>
      </c>
      <c r="T4473" t="n">
        <v>9</v>
      </c>
      <c r="U4473" t="n">
        <v>10</v>
      </c>
      <c r="V4473" t="n">
        <v>30</v>
      </c>
      <c r="W4473" t="n">
        <v>6</v>
      </c>
      <c r="X4473" t="n">
        <v>71.42857142857142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1555</v>
      </c>
      <c r="AG4473" t="n">
        <v>361</v>
      </c>
      <c r="AH4473" t="inlineStr">
        <is>
          <t>CV. SERBA SERBI - PPN (PDG)</t>
        </is>
      </c>
      <c r="AI4473" t="n">
        <v>363</v>
      </c>
      <c r="AJ4473" t="inlineStr">
        <is>
          <t>PONDS</t>
        </is>
      </c>
      <c r="AK4473" t="n">
        <v>21</v>
      </c>
      <c r="AL4473" t="inlineStr">
        <is>
          <t>Miss Glam Damar</t>
        </is>
      </c>
      <c r="AM4473" t="n">
        <v>2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PONDS</t>
        </is>
      </c>
      <c r="B4474" s="2">
        <f>"8999999562199"</f>
        <v/>
      </c>
      <c r="C4474" t="inlineStr">
        <is>
          <t>PONDS Bright Miracle Oil Control Whip Foam 100ml</t>
        </is>
      </c>
      <c r="D4474" t="inlineStr">
        <is>
          <t>Miss Glam Damar</t>
        </is>
      </c>
      <c r="E4474" t="n">
        <v>2</v>
      </c>
      <c r="F4474" t="n">
        <v>0.0182</v>
      </c>
      <c r="G4474" t="n">
        <v>0.91</v>
      </c>
      <c r="H4474" t="n">
        <v>3</v>
      </c>
      <c r="I4474" t="n">
        <v>5</v>
      </c>
      <c r="J4474" t="n">
        <v>3</v>
      </c>
      <c r="K4474" t="n">
        <v>0</v>
      </c>
      <c r="L4474" t="n">
        <v>35700</v>
      </c>
      <c r="M4474" t="n">
        <v>42000</v>
      </c>
      <c r="N4474" t="n">
        <v>91</v>
      </c>
      <c r="O4474" t="n">
        <v>0.91</v>
      </c>
      <c r="P4474" t="n">
        <v>1</v>
      </c>
      <c r="Q4474" t="n">
        <v>0.12</v>
      </c>
      <c r="R4474" t="n">
        <v>2</v>
      </c>
      <c r="S4474" t="n">
        <v>764.4000000000001</v>
      </c>
      <c r="T4474" t="n">
        <v>5</v>
      </c>
      <c r="U4474" t="n">
        <v>6</v>
      </c>
      <c r="V4474" t="n">
        <v>30</v>
      </c>
      <c r="W4474" t="n">
        <v>1</v>
      </c>
      <c r="X4474" t="n">
        <v>109.8901098901099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1555</v>
      </c>
      <c r="AG4474" t="n">
        <v>361</v>
      </c>
      <c r="AH4474" t="inlineStr">
        <is>
          <t>CV. SERBA SERBI - PPN (PDG)</t>
        </is>
      </c>
      <c r="AI4474" t="n">
        <v>363</v>
      </c>
      <c r="AJ4474" t="inlineStr">
        <is>
          <t>PONDS</t>
        </is>
      </c>
      <c r="AK4474" t="n">
        <v>21</v>
      </c>
      <c r="AL4474" t="inlineStr">
        <is>
          <t>Miss Glam Damar</t>
        </is>
      </c>
      <c r="AM4474" t="n">
        <v>2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PONDS</t>
        </is>
      </c>
      <c r="B4475" s="2">
        <f>"8999999056841"</f>
        <v/>
      </c>
      <c r="C4475" t="inlineStr">
        <is>
          <t>PONDS Bright Miracle Ultimate Clarity Cream 20gr</t>
        </is>
      </c>
      <c r="D4475" t="inlineStr">
        <is>
          <t>Miss Glam Damar</t>
        </is>
      </c>
      <c r="E4475" t="n">
        <v>8</v>
      </c>
      <c r="F4475" t="n">
        <v>0.19</v>
      </c>
      <c r="G4475" t="n">
        <v>2</v>
      </c>
      <c r="H4475" t="n">
        <v>3</v>
      </c>
      <c r="I4475" t="n">
        <v>5</v>
      </c>
      <c r="J4475" t="n">
        <v>3</v>
      </c>
      <c r="K4475" t="n">
        <v>0</v>
      </c>
      <c r="L4475" t="n">
        <v>26495</v>
      </c>
      <c r="M4475" t="n">
        <v>33500</v>
      </c>
      <c r="N4475" t="n">
        <v>91</v>
      </c>
      <c r="O4475" t="n">
        <v>0.91</v>
      </c>
      <c r="P4475" t="n">
        <v>0</v>
      </c>
      <c r="Q4475" t="n">
        <v>0.19</v>
      </c>
      <c r="R4475" t="n">
        <v>2</v>
      </c>
      <c r="S4475" t="n">
        <v>6365</v>
      </c>
      <c r="T4475" t="n">
        <v>10</v>
      </c>
      <c r="U4475" t="n">
        <v>11</v>
      </c>
      <c r="V4475" t="n">
        <v>30</v>
      </c>
      <c r="W4475" t="n">
        <v>6</v>
      </c>
      <c r="X4475" t="n">
        <v>42.10526315789474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1555</v>
      </c>
      <c r="AG4475" t="n">
        <v>361</v>
      </c>
      <c r="AH4475" t="inlineStr">
        <is>
          <t>CV. SERBA SERBI - PPN (PDG)</t>
        </is>
      </c>
      <c r="AI4475" t="n">
        <v>363</v>
      </c>
      <c r="AJ4475" t="inlineStr">
        <is>
          <t>PONDS</t>
        </is>
      </c>
      <c r="AK4475" t="n">
        <v>21</v>
      </c>
      <c r="AL4475" t="inlineStr">
        <is>
          <t>Miss Glam Damar</t>
        </is>
      </c>
      <c r="AM4475" t="n">
        <v>2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PONDS</t>
        </is>
      </c>
      <c r="B4476" s="2">
        <f>"8999999056858"</f>
        <v/>
      </c>
      <c r="C4476" t="inlineStr">
        <is>
          <t>PONDS Bright Miracle Ultimate Clarity Cream 40gr</t>
        </is>
      </c>
      <c r="D4476" t="inlineStr">
        <is>
          <t>Miss Glam Damar</t>
        </is>
      </c>
      <c r="E4476" t="n">
        <v>5</v>
      </c>
      <c r="F4476" t="n">
        <v>0.15</v>
      </c>
      <c r="G4476" t="n">
        <v>2</v>
      </c>
      <c r="H4476" t="n">
        <v>3</v>
      </c>
      <c r="I4476" t="n">
        <v>5</v>
      </c>
      <c r="J4476" t="n">
        <v>3</v>
      </c>
      <c r="K4476" t="n">
        <v>0</v>
      </c>
      <c r="L4476" t="n">
        <v>49354</v>
      </c>
      <c r="M4476" t="n">
        <v>58500</v>
      </c>
      <c r="N4476" t="n">
        <v>91</v>
      </c>
      <c r="O4476" t="n">
        <v>0.91</v>
      </c>
      <c r="P4476" t="n">
        <v>0</v>
      </c>
      <c r="Q4476" t="n">
        <v>0.15</v>
      </c>
      <c r="R4476" t="n">
        <v>2</v>
      </c>
      <c r="S4476" t="n">
        <v>8775</v>
      </c>
      <c r="T4476" t="n">
        <v>10</v>
      </c>
      <c r="U4476" t="n">
        <v>11</v>
      </c>
      <c r="V4476" t="n">
        <v>30</v>
      </c>
      <c r="W4476" t="n">
        <v>5</v>
      </c>
      <c r="X4476" t="n">
        <v>33.33333333333334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1555</v>
      </c>
      <c r="AG4476" t="n">
        <v>361</v>
      </c>
      <c r="AH4476" t="inlineStr">
        <is>
          <t>CV. SERBA SERBI - PPN (PDG)</t>
        </is>
      </c>
      <c r="AI4476" t="n">
        <v>363</v>
      </c>
      <c r="AJ4476" t="inlineStr">
        <is>
          <t>PONDS</t>
        </is>
      </c>
      <c r="AK4476" t="n">
        <v>21</v>
      </c>
      <c r="AL4476" t="inlineStr">
        <is>
          <t>Miss Glam Damar</t>
        </is>
      </c>
      <c r="AM4476" t="n">
        <v>2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PONDS</t>
        </is>
      </c>
      <c r="B4477" s="2">
        <f>"8999999056988"</f>
        <v/>
      </c>
      <c r="C4477" t="inlineStr">
        <is>
          <t>PONDS Bright Miracle Ultimate Clarity Cream 7.5gr</t>
        </is>
      </c>
      <c r="D4477" t="inlineStr">
        <is>
          <t>Miss Glam Damar</t>
        </is>
      </c>
      <c r="E4477" t="n">
        <v>0</v>
      </c>
      <c r="F4477" t="n">
        <v>0.03</v>
      </c>
      <c r="G4477" t="n">
        <v>1</v>
      </c>
      <c r="H4477" t="n">
        <v>3</v>
      </c>
      <c r="I4477" t="n">
        <v>5</v>
      </c>
      <c r="J4477" t="n">
        <v>3</v>
      </c>
      <c r="K4477" t="n">
        <v>0</v>
      </c>
      <c r="L4477" t="n">
        <v>3480</v>
      </c>
      <c r="M4477" t="n">
        <v>4900</v>
      </c>
      <c r="N4477" t="n">
        <v>91</v>
      </c>
      <c r="O4477" t="n">
        <v>0.91</v>
      </c>
      <c r="P4477" t="n">
        <v>0</v>
      </c>
      <c r="Q4477" t="n">
        <v>0.03</v>
      </c>
      <c r="R4477" t="n">
        <v>1</v>
      </c>
      <c r="S4477" t="n">
        <v>147</v>
      </c>
      <c r="T4477" t="n">
        <v>5</v>
      </c>
      <c r="U4477" t="n">
        <v>6</v>
      </c>
      <c r="V4477" t="n">
        <v>30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n">
        <v>0</v>
      </c>
      <c r="AC4477" t="n">
        <v>0</v>
      </c>
      <c r="AD4477" t="n">
        <v>3480</v>
      </c>
      <c r="AE4477" t="n">
        <v>0</v>
      </c>
      <c r="AF4477" t="n">
        <v>1555</v>
      </c>
      <c r="AG4477" t="n">
        <v>361</v>
      </c>
      <c r="AH4477" t="inlineStr">
        <is>
          <t>CV. SERBA SERBI - PPN (PDG)</t>
        </is>
      </c>
      <c r="AI4477" t="n">
        <v>363</v>
      </c>
      <c r="AJ4477" t="inlineStr">
        <is>
          <t>PONDS</t>
        </is>
      </c>
      <c r="AK4477" t="n">
        <v>21</v>
      </c>
      <c r="AL4477" t="inlineStr">
        <is>
          <t>Miss Glam Damar</t>
        </is>
      </c>
      <c r="AM4477" t="n">
        <v>2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PONDS</t>
        </is>
      </c>
      <c r="B4478" s="2">
        <f>"8999999056919"</f>
        <v/>
      </c>
      <c r="C4478" t="inlineStr">
        <is>
          <t>PONDS Bright Miracle Ultimate Clarity Cream For Oily Skin 20gr</t>
        </is>
      </c>
      <c r="D4478" t="inlineStr">
        <is>
          <t>Miss Glam Damar</t>
        </is>
      </c>
      <c r="E4478" t="n">
        <v>5</v>
      </c>
      <c r="F4478" t="n">
        <v>0.2639</v>
      </c>
      <c r="G4478" t="n">
        <v>3.64</v>
      </c>
      <c r="H4478" t="n">
        <v>3</v>
      </c>
      <c r="I4478" t="n">
        <v>5</v>
      </c>
      <c r="J4478" t="n">
        <v>3</v>
      </c>
      <c r="K4478" t="n">
        <v>0</v>
      </c>
      <c r="L4478" t="n">
        <v>26806</v>
      </c>
      <c r="M4478" t="n">
        <v>31500</v>
      </c>
      <c r="N4478" t="n">
        <v>91</v>
      </c>
      <c r="O4478" t="n">
        <v>0.91</v>
      </c>
      <c r="P4478" t="n">
        <v>1</v>
      </c>
      <c r="Q4478" t="n">
        <v>0.08</v>
      </c>
      <c r="R4478" t="n">
        <v>2</v>
      </c>
      <c r="S4478" t="n">
        <v>8312.849999999999</v>
      </c>
      <c r="T4478" t="n">
        <v>18</v>
      </c>
      <c r="U4478" t="n">
        <v>19</v>
      </c>
      <c r="V4478" t="n">
        <v>30</v>
      </c>
      <c r="W4478" t="n">
        <v>8</v>
      </c>
      <c r="X4478" t="n">
        <v>18.9465706707086</v>
      </c>
      <c r="Y4478" t="n">
        <v>1</v>
      </c>
      <c r="Z4478" t="n">
        <v>3</v>
      </c>
      <c r="AA4478" t="n">
        <v>0</v>
      </c>
      <c r="AB4478" t="n">
        <v>3</v>
      </c>
      <c r="AC4478" t="n">
        <v>3</v>
      </c>
      <c r="AD4478" t="n">
        <v>0</v>
      </c>
      <c r="AE4478" t="n">
        <v>80418</v>
      </c>
      <c r="AF4478" t="n">
        <v>1555</v>
      </c>
      <c r="AG4478" t="n">
        <v>361</v>
      </c>
      <c r="AH4478" t="inlineStr">
        <is>
          <t>CV. SERBA SERBI - PPN (PDG)</t>
        </is>
      </c>
      <c r="AI4478" t="n">
        <v>363</v>
      </c>
      <c r="AJ4478" t="inlineStr">
        <is>
          <t>PONDS</t>
        </is>
      </c>
      <c r="AK4478" t="n">
        <v>21</v>
      </c>
      <c r="AL4478" t="inlineStr">
        <is>
          <t>Miss Glam Damar</t>
        </is>
      </c>
      <c r="AM4478" t="n">
        <v>2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PONDS</t>
        </is>
      </c>
      <c r="B4479" s="2">
        <f>"8999999056889"</f>
        <v/>
      </c>
      <c r="C4479" t="inlineStr">
        <is>
          <t>PONDS Bright Miracle Ultimate Clarity Cream SPF 30+++ 20 gr</t>
        </is>
      </c>
      <c r="D4479" t="inlineStr">
        <is>
          <t>Miss Glam Damar</t>
        </is>
      </c>
      <c r="E4479" t="n">
        <v>7</v>
      </c>
      <c r="F4479" t="n">
        <v>0.2821</v>
      </c>
      <c r="G4479" t="n">
        <v>1.82</v>
      </c>
      <c r="H4479" t="n">
        <v>3</v>
      </c>
      <c r="I4479" t="n">
        <v>5</v>
      </c>
      <c r="J4479" t="n">
        <v>3</v>
      </c>
      <c r="K4479" t="n">
        <v>0</v>
      </c>
      <c r="L4479" t="n">
        <v>29644</v>
      </c>
      <c r="M4479" t="n">
        <v>35500</v>
      </c>
      <c r="N4479" t="n">
        <v>91</v>
      </c>
      <c r="O4479" t="n">
        <v>0.91</v>
      </c>
      <c r="P4479" t="n">
        <v>1</v>
      </c>
      <c r="Q4479" t="n">
        <v>0.14</v>
      </c>
      <c r="R4479" t="n">
        <v>2</v>
      </c>
      <c r="S4479" t="n">
        <v>10014.55</v>
      </c>
      <c r="T4479" t="n">
        <v>9</v>
      </c>
      <c r="U4479" t="n">
        <v>10</v>
      </c>
      <c r="V4479" t="n">
        <v>30</v>
      </c>
      <c r="W4479" t="n">
        <v>9</v>
      </c>
      <c r="X4479" t="n">
        <v>24.81389578163772</v>
      </c>
      <c r="Y4479" t="n">
        <v>1</v>
      </c>
      <c r="Z4479" t="n">
        <v>2</v>
      </c>
      <c r="AA4479" t="n">
        <v>0</v>
      </c>
      <c r="AB4479" t="n">
        <v>2</v>
      </c>
      <c r="AC4479" t="n">
        <v>3</v>
      </c>
      <c r="AD4479" t="n">
        <v>0</v>
      </c>
      <c r="AE4479" t="n">
        <v>88932</v>
      </c>
      <c r="AF4479" t="n">
        <v>1555</v>
      </c>
      <c r="AG4479" t="n">
        <v>361</v>
      </c>
      <c r="AH4479" t="inlineStr">
        <is>
          <t>CV. SERBA SERBI - PPN (PDG)</t>
        </is>
      </c>
      <c r="AI4479" t="n">
        <v>363</v>
      </c>
      <c r="AJ4479" t="inlineStr">
        <is>
          <t>PONDS</t>
        </is>
      </c>
      <c r="AK4479" t="n">
        <v>21</v>
      </c>
      <c r="AL4479" t="inlineStr">
        <is>
          <t>Miss Glam Damar</t>
        </is>
      </c>
      <c r="AM4479" t="n">
        <v>2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PONDS</t>
        </is>
      </c>
      <c r="B4480" s="2">
        <f>"8999999553258"</f>
        <v/>
      </c>
      <c r="C4480" t="inlineStr">
        <is>
          <t>PONDS Bright Miracle Ultimate Clarity Hya-Gel Moisturizer 20gr</t>
        </is>
      </c>
      <c r="D4480" t="inlineStr">
        <is>
          <t>Miss Glam Damar</t>
        </is>
      </c>
      <c r="E4480" t="n">
        <v>5</v>
      </c>
      <c r="F4480" t="n">
        <v>0.05</v>
      </c>
      <c r="G4480" t="n">
        <v>1</v>
      </c>
      <c r="H4480" t="n">
        <v>3</v>
      </c>
      <c r="I4480" t="n">
        <v>5</v>
      </c>
      <c r="J4480" t="n">
        <v>3</v>
      </c>
      <c r="K4480" t="n">
        <v>0</v>
      </c>
      <c r="L4480" t="n">
        <v>34802</v>
      </c>
      <c r="M4480" t="n">
        <v>41000</v>
      </c>
      <c r="N4480" t="n">
        <v>91</v>
      </c>
      <c r="O4480" t="n">
        <v>0.91</v>
      </c>
      <c r="P4480" t="n">
        <v>0</v>
      </c>
      <c r="Q4480" t="n">
        <v>0.05</v>
      </c>
      <c r="R4480" t="n">
        <v>1</v>
      </c>
      <c r="S4480" t="n">
        <v>2050</v>
      </c>
      <c r="T4480" t="n">
        <v>5</v>
      </c>
      <c r="U4480" t="n">
        <v>6</v>
      </c>
      <c r="V4480" t="n">
        <v>30</v>
      </c>
      <c r="W4480" t="n">
        <v>2</v>
      </c>
      <c r="X4480" t="n">
        <v>100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1555</v>
      </c>
      <c r="AG4480" t="n">
        <v>361</v>
      </c>
      <c r="AH4480" t="inlineStr">
        <is>
          <t>CV. SERBA SERBI - PPN (PDG)</t>
        </is>
      </c>
      <c r="AI4480" t="n">
        <v>363</v>
      </c>
      <c r="AJ4480" t="inlineStr">
        <is>
          <t>PONDS</t>
        </is>
      </c>
      <c r="AK4480" t="n">
        <v>21</v>
      </c>
      <c r="AL4480" t="inlineStr">
        <is>
          <t>Miss Glam Damar</t>
        </is>
      </c>
      <c r="AM4480" t="n">
        <v>2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PONDS</t>
        </is>
      </c>
      <c r="B4481" s="2">
        <f>"8999999053031"</f>
        <v/>
      </c>
      <c r="C4481" t="inlineStr">
        <is>
          <t>PONDS Bright Miracle Ultimate Facial Foam 100gr</t>
        </is>
      </c>
      <c r="D4481" t="inlineStr">
        <is>
          <t>Miss Glam Damar</t>
        </is>
      </c>
      <c r="E4481" t="n">
        <v>18</v>
      </c>
      <c r="F4481" t="n">
        <v>0.8463000000000001</v>
      </c>
      <c r="G4481" t="n">
        <v>3.64</v>
      </c>
      <c r="H4481" t="n">
        <v>3</v>
      </c>
      <c r="I4481" t="n">
        <v>5</v>
      </c>
      <c r="J4481" t="n">
        <v>3</v>
      </c>
      <c r="K4481" t="n">
        <v>0</v>
      </c>
      <c r="L4481" t="n">
        <v>30685</v>
      </c>
      <c r="M4481" t="n">
        <v>36500</v>
      </c>
      <c r="N4481" t="n">
        <v>91</v>
      </c>
      <c r="O4481" t="n">
        <v>0.91</v>
      </c>
      <c r="P4481" t="n">
        <v>1</v>
      </c>
      <c r="Q4481" t="n">
        <v>0.36</v>
      </c>
      <c r="R4481" t="n">
        <v>2</v>
      </c>
      <c r="S4481" t="n">
        <v>30889.95</v>
      </c>
      <c r="T4481" t="n">
        <v>16</v>
      </c>
      <c r="U4481" t="n">
        <v>19</v>
      </c>
      <c r="V4481" t="n">
        <v>30</v>
      </c>
      <c r="W4481" t="n">
        <v>26</v>
      </c>
      <c r="X4481" t="n">
        <v>21.26905352711804</v>
      </c>
      <c r="Y4481" t="n">
        <v>1</v>
      </c>
      <c r="Z4481" t="n">
        <v>8</v>
      </c>
      <c r="AA4481" t="n">
        <v>0</v>
      </c>
      <c r="AB4481" t="n">
        <v>8</v>
      </c>
      <c r="AC4481" t="n">
        <v>8</v>
      </c>
      <c r="AD4481" t="n">
        <v>0</v>
      </c>
      <c r="AE4481" t="n">
        <v>245480</v>
      </c>
      <c r="AF4481" t="n">
        <v>1555</v>
      </c>
      <c r="AG4481" t="n">
        <v>361</v>
      </c>
      <c r="AH4481" t="inlineStr">
        <is>
          <t>CV. SERBA SERBI - PPN (PDG)</t>
        </is>
      </c>
      <c r="AI4481" t="n">
        <v>363</v>
      </c>
      <c r="AJ4481" t="inlineStr">
        <is>
          <t>PONDS</t>
        </is>
      </c>
      <c r="AK4481" t="n">
        <v>21</v>
      </c>
      <c r="AL4481" t="inlineStr">
        <is>
          <t>Miss Glam Damar</t>
        </is>
      </c>
      <c r="AM4481" t="n">
        <v>2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PONDS</t>
        </is>
      </c>
      <c r="B4482" s="2">
        <f>"8999999600419"</f>
        <v/>
      </c>
      <c r="C4482" t="inlineStr">
        <is>
          <t>PONDS Bright Miracle Ultimate Facial Foam 200gr</t>
        </is>
      </c>
      <c r="D4482" t="inlineStr">
        <is>
          <t>Miss Glam Damar</t>
        </is>
      </c>
      <c r="E4482" t="n">
        <v>9</v>
      </c>
      <c r="F4482" t="n">
        <v>0.1</v>
      </c>
      <c r="G4482" t="n">
        <v>1</v>
      </c>
      <c r="H4482" t="n">
        <v>3</v>
      </c>
      <c r="I4482" t="n">
        <v>5</v>
      </c>
      <c r="J4482" t="n">
        <v>3</v>
      </c>
      <c r="K4482" t="n">
        <v>0</v>
      </c>
      <c r="L4482" t="n">
        <v>51739</v>
      </c>
      <c r="M4482" t="n">
        <v>61000</v>
      </c>
      <c r="N4482" t="n">
        <v>91</v>
      </c>
      <c r="O4482" t="n">
        <v>0.91</v>
      </c>
      <c r="P4482" t="n">
        <v>0</v>
      </c>
      <c r="Q4482" t="n">
        <v>0.1</v>
      </c>
      <c r="R4482" t="n">
        <v>1</v>
      </c>
      <c r="S4482" t="n">
        <v>6100</v>
      </c>
      <c r="T4482" t="n">
        <v>5</v>
      </c>
      <c r="U4482" t="n">
        <v>6</v>
      </c>
      <c r="V4482" t="n">
        <v>30</v>
      </c>
      <c r="W4482" t="n">
        <v>3</v>
      </c>
      <c r="X4482" t="n">
        <v>90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1555</v>
      </c>
      <c r="AG4482" t="n">
        <v>361</v>
      </c>
      <c r="AH4482" t="inlineStr">
        <is>
          <t>CV. SERBA SERBI - PPN (PDG)</t>
        </is>
      </c>
      <c r="AI4482" t="n">
        <v>363</v>
      </c>
      <c r="AJ4482" t="inlineStr">
        <is>
          <t>PONDS</t>
        </is>
      </c>
      <c r="AK4482" t="n">
        <v>21</v>
      </c>
      <c r="AL4482" t="inlineStr">
        <is>
          <t>Miss Glam Damar</t>
        </is>
      </c>
      <c r="AM4482" t="n">
        <v>2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PONDS</t>
        </is>
      </c>
      <c r="B4483" s="2">
        <f>"8999999052959"</f>
        <v/>
      </c>
      <c r="C4483" t="inlineStr">
        <is>
          <t>PONDS Bright Miracle Ultimate Facial Foam 50gr</t>
        </is>
      </c>
      <c r="D4483" t="inlineStr">
        <is>
          <t>Miss Glam Damar</t>
        </is>
      </c>
      <c r="E4483" t="n">
        <v>12</v>
      </c>
      <c r="F4483" t="n">
        <v>0.5369</v>
      </c>
      <c r="G4483" t="n">
        <v>2.73</v>
      </c>
      <c r="H4483" t="n">
        <v>3</v>
      </c>
      <c r="I4483" t="n">
        <v>5</v>
      </c>
      <c r="J4483" t="n">
        <v>3</v>
      </c>
      <c r="K4483" t="n">
        <v>0</v>
      </c>
      <c r="L4483" t="n">
        <v>19755</v>
      </c>
      <c r="M4483" t="n">
        <v>24000</v>
      </c>
      <c r="N4483" t="n">
        <v>91</v>
      </c>
      <c r="O4483" t="n">
        <v>0.91</v>
      </c>
      <c r="P4483" t="n">
        <v>1</v>
      </c>
      <c r="Q4483" t="n">
        <v>0.49</v>
      </c>
      <c r="R4483" t="n">
        <v>3</v>
      </c>
      <c r="S4483" t="n">
        <v>12885.6</v>
      </c>
      <c r="T4483" t="n">
        <v>13</v>
      </c>
      <c r="U4483" t="n">
        <v>15</v>
      </c>
      <c r="V4483" t="n">
        <v>30</v>
      </c>
      <c r="W4483" t="n">
        <v>17</v>
      </c>
      <c r="X4483" t="n">
        <v>22.35053082510709</v>
      </c>
      <c r="Y4483" t="n">
        <v>1</v>
      </c>
      <c r="Z4483" t="n">
        <v>5</v>
      </c>
      <c r="AA4483" t="n">
        <v>0</v>
      </c>
      <c r="AB4483" t="n">
        <v>5</v>
      </c>
      <c r="AC4483" t="n">
        <v>5</v>
      </c>
      <c r="AD4483" t="n">
        <v>0</v>
      </c>
      <c r="AE4483" t="n">
        <v>98775</v>
      </c>
      <c r="AF4483" t="n">
        <v>1555</v>
      </c>
      <c r="AG4483" t="n">
        <v>361</v>
      </c>
      <c r="AH4483" t="inlineStr">
        <is>
          <t>CV. SERBA SERBI - PPN (PDG)</t>
        </is>
      </c>
      <c r="AI4483" t="n">
        <v>363</v>
      </c>
      <c r="AJ4483" t="inlineStr">
        <is>
          <t>PONDS</t>
        </is>
      </c>
      <c r="AK4483" t="n">
        <v>21</v>
      </c>
      <c r="AL4483" t="inlineStr">
        <is>
          <t>Miss Glam Damar</t>
        </is>
      </c>
      <c r="AM4483" t="n">
        <v>2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PONDS</t>
        </is>
      </c>
      <c r="B4484" s="2">
        <f>"8999999053062"</f>
        <v/>
      </c>
      <c r="C4484" t="inlineStr">
        <is>
          <t>PONDS Bright Miracle Ultimate Pore Clear Ultimate Scrub 100gr</t>
        </is>
      </c>
      <c r="D4484" t="inlineStr">
        <is>
          <t>Miss Glam Damar</t>
        </is>
      </c>
      <c r="E4484" t="n">
        <v>5</v>
      </c>
      <c r="F4484" t="n">
        <v>0.1274</v>
      </c>
      <c r="G4484" t="n">
        <v>0.91</v>
      </c>
      <c r="H4484" t="n">
        <v>3</v>
      </c>
      <c r="I4484" t="n">
        <v>5</v>
      </c>
      <c r="J4484" t="n">
        <v>3</v>
      </c>
      <c r="K4484" t="n">
        <v>0</v>
      </c>
      <c r="L4484" t="n">
        <v>36290</v>
      </c>
      <c r="M4484" t="n">
        <v>43000</v>
      </c>
      <c r="N4484" t="n">
        <v>91</v>
      </c>
      <c r="O4484" t="n">
        <v>0.91</v>
      </c>
      <c r="P4484" t="n">
        <v>1</v>
      </c>
      <c r="Q4484" t="n">
        <v>0.19</v>
      </c>
      <c r="R4484" t="n">
        <v>2</v>
      </c>
      <c r="S4484" t="n">
        <v>5478.200000000001</v>
      </c>
      <c r="T4484" t="n">
        <v>5</v>
      </c>
      <c r="U4484" t="n">
        <v>6</v>
      </c>
      <c r="V4484" t="n">
        <v>30</v>
      </c>
      <c r="W4484" t="n">
        <v>4</v>
      </c>
      <c r="X4484" t="n">
        <v>39.24646781789639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1555</v>
      </c>
      <c r="AG4484" t="n">
        <v>361</v>
      </c>
      <c r="AH4484" t="inlineStr">
        <is>
          <t>CV. SERBA SERBI - PPN (PDG)</t>
        </is>
      </c>
      <c r="AI4484" t="n">
        <v>363</v>
      </c>
      <c r="AJ4484" t="inlineStr">
        <is>
          <t>PONDS</t>
        </is>
      </c>
      <c r="AK4484" t="n">
        <v>21</v>
      </c>
      <c r="AL4484" t="inlineStr">
        <is>
          <t>Miss Glam Damar</t>
        </is>
      </c>
      <c r="AM4484" t="n">
        <v>2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PONDS</t>
        </is>
      </c>
      <c r="B4485" s="2">
        <f>"8999999562182"</f>
        <v/>
      </c>
      <c r="C4485" t="inlineStr">
        <is>
          <t>PONDS Bright Miracle Whip Foam 100ml</t>
        </is>
      </c>
      <c r="D4485" t="inlineStr">
        <is>
          <t>Miss Glam Damar</t>
        </is>
      </c>
      <c r="E4485" t="n">
        <v>8</v>
      </c>
      <c r="F4485" t="n">
        <v>0.1274</v>
      </c>
      <c r="G4485" t="n">
        <v>0.91</v>
      </c>
      <c r="H4485" t="n">
        <v>3</v>
      </c>
      <c r="I4485" t="n">
        <v>5</v>
      </c>
      <c r="J4485" t="n">
        <v>3</v>
      </c>
      <c r="K4485" t="n">
        <v>0</v>
      </c>
      <c r="L4485" t="n">
        <v>35700</v>
      </c>
      <c r="M4485" t="n">
        <v>42000</v>
      </c>
      <c r="N4485" t="n">
        <v>91</v>
      </c>
      <c r="O4485" t="n">
        <v>0.91</v>
      </c>
      <c r="P4485" t="n">
        <v>1</v>
      </c>
      <c r="Q4485" t="n">
        <v>0.25</v>
      </c>
      <c r="R4485" t="n">
        <v>2</v>
      </c>
      <c r="S4485" t="n">
        <v>5350.8</v>
      </c>
      <c r="T4485" t="n">
        <v>5</v>
      </c>
      <c r="U4485" t="n">
        <v>6</v>
      </c>
      <c r="V4485" t="n">
        <v>30</v>
      </c>
      <c r="W4485" t="n">
        <v>4</v>
      </c>
      <c r="X4485" t="n">
        <v>62.79434850863422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1555</v>
      </c>
      <c r="AG4485" t="n">
        <v>361</v>
      </c>
      <c r="AH4485" t="inlineStr">
        <is>
          <t>CV. SERBA SERBI - PPN (PDG)</t>
        </is>
      </c>
      <c r="AI4485" t="n">
        <v>363</v>
      </c>
      <c r="AJ4485" t="inlineStr">
        <is>
          <t>PONDS</t>
        </is>
      </c>
      <c r="AK4485" t="n">
        <v>21</v>
      </c>
      <c r="AL4485" t="inlineStr">
        <is>
          <t>Miss Glam Damar</t>
        </is>
      </c>
      <c r="AM4485" t="n">
        <v>2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PONDS</t>
        </is>
      </c>
      <c r="B4486" s="2">
        <f>"8999999600426"</f>
        <v/>
      </c>
      <c r="C4486" t="inlineStr">
        <is>
          <t>PONDS Bright Miracleb Ultimate Oil Control Activated Charcoal Facial Foam 200gr</t>
        </is>
      </c>
      <c r="D4486" t="inlineStr">
        <is>
          <t>Miss Glam Damar</t>
        </is>
      </c>
      <c r="E4486" t="n">
        <v>3</v>
      </c>
      <c r="F4486" t="n">
        <v>0.0273</v>
      </c>
      <c r="G4486" t="n">
        <v>0.91</v>
      </c>
      <c r="H4486" t="n">
        <v>3</v>
      </c>
      <c r="I4486" t="n">
        <v>5</v>
      </c>
      <c r="J4486" t="n">
        <v>3</v>
      </c>
      <c r="K4486" t="n">
        <v>0</v>
      </c>
      <c r="L4486" t="n">
        <v>54506</v>
      </c>
      <c r="M4486" t="n">
        <v>64000</v>
      </c>
      <c r="N4486" t="n">
        <v>91</v>
      </c>
      <c r="O4486" t="n">
        <v>0.91</v>
      </c>
      <c r="P4486" t="n">
        <v>1</v>
      </c>
      <c r="Q4486" t="n">
        <v>0.07000000000000001</v>
      </c>
      <c r="R4486" t="n">
        <v>1</v>
      </c>
      <c r="S4486" t="n">
        <v>1747.2</v>
      </c>
      <c r="T4486" t="n">
        <v>5</v>
      </c>
      <c r="U4486" t="n">
        <v>6</v>
      </c>
      <c r="V4486" t="n">
        <v>30</v>
      </c>
      <c r="W4486" t="n">
        <v>1</v>
      </c>
      <c r="X4486" t="n">
        <v>109.8901098901099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1555</v>
      </c>
      <c r="AG4486" t="n">
        <v>361</v>
      </c>
      <c r="AH4486" t="inlineStr">
        <is>
          <t>CV. SERBA SERBI - PPN (PDG)</t>
        </is>
      </c>
      <c r="AI4486" t="n">
        <v>363</v>
      </c>
      <c r="AJ4486" t="inlineStr">
        <is>
          <t>PONDS</t>
        </is>
      </c>
      <c r="AK4486" t="n">
        <v>21</v>
      </c>
      <c r="AL4486" t="inlineStr">
        <is>
          <t>Miss Glam Damar</t>
        </is>
      </c>
      <c r="AM4486" t="n">
        <v>2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PONDS</t>
        </is>
      </c>
      <c r="B4487" s="2">
        <f>"8999999601690"</f>
        <v/>
      </c>
      <c r="C4487" t="inlineStr">
        <is>
          <t>PONDS Brightening Micellar Water Niasorcinol 400ml</t>
        </is>
      </c>
      <c r="D4487" t="inlineStr">
        <is>
          <t>Miss Glam Damar</t>
        </is>
      </c>
      <c r="E4487" t="n">
        <v>3</v>
      </c>
      <c r="F4487" t="n">
        <v>0.04550000000000001</v>
      </c>
      <c r="G4487" t="n">
        <v>0.91</v>
      </c>
      <c r="H4487" t="n">
        <v>3</v>
      </c>
      <c r="I4487" t="n">
        <v>5</v>
      </c>
      <c r="J4487" t="n">
        <v>3</v>
      </c>
      <c r="K4487" t="n">
        <v>0</v>
      </c>
      <c r="L4487" t="n">
        <v>81911</v>
      </c>
      <c r="M4487" t="n">
        <v>96500</v>
      </c>
      <c r="N4487" t="n">
        <v>91</v>
      </c>
      <c r="O4487" t="n">
        <v>0.91</v>
      </c>
      <c r="P4487" t="n">
        <v>1</v>
      </c>
      <c r="Q4487" t="n">
        <v>0.03</v>
      </c>
      <c r="R4487" t="n">
        <v>1</v>
      </c>
      <c r="S4487" t="n">
        <v>4390.750000000001</v>
      </c>
      <c r="T4487" t="n">
        <v>5</v>
      </c>
      <c r="U4487" t="n">
        <v>6</v>
      </c>
      <c r="V4487" t="n">
        <v>30</v>
      </c>
      <c r="W4487" t="n">
        <v>2</v>
      </c>
      <c r="X4487" t="n">
        <v>65.93406593406593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1555</v>
      </c>
      <c r="AG4487" t="n">
        <v>361</v>
      </c>
      <c r="AH4487" t="inlineStr">
        <is>
          <t>CV. SERBA SERBI - PPN (PDG)</t>
        </is>
      </c>
      <c r="AI4487" t="n">
        <v>363</v>
      </c>
      <c r="AJ4487" t="inlineStr">
        <is>
          <t>PONDS</t>
        </is>
      </c>
      <c r="AK4487" t="n">
        <v>21</v>
      </c>
      <c r="AL4487" t="inlineStr">
        <is>
          <t>Miss Glam Damar</t>
        </is>
      </c>
      <c r="AM4487" t="n">
        <v>2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PONDS</t>
        </is>
      </c>
      <c r="B4488" s="2">
        <f>"8999999719760"</f>
        <v/>
      </c>
      <c r="C4488" t="inlineStr">
        <is>
          <t>PONDS Clear Solution Shake And Clean 100ml</t>
        </is>
      </c>
      <c r="D4488" t="inlineStr">
        <is>
          <t>Miss Glam Damar</t>
        </is>
      </c>
      <c r="E4488" t="n">
        <v>9</v>
      </c>
      <c r="F4488" t="n">
        <v>0.06370000000000001</v>
      </c>
      <c r="G4488" t="n">
        <v>0.91</v>
      </c>
      <c r="H4488" t="n">
        <v>3</v>
      </c>
      <c r="I4488" t="n">
        <v>5</v>
      </c>
      <c r="J4488" t="n">
        <v>3</v>
      </c>
      <c r="K4488" t="n">
        <v>0</v>
      </c>
      <c r="L4488" t="n">
        <v>24645</v>
      </c>
      <c r="M4488" t="n">
        <v>31000</v>
      </c>
      <c r="N4488" t="n">
        <v>91</v>
      </c>
      <c r="O4488" t="n">
        <v>0.91</v>
      </c>
      <c r="P4488" t="n">
        <v>1</v>
      </c>
      <c r="Q4488" t="n">
        <v>0.15</v>
      </c>
      <c r="R4488" t="n">
        <v>4</v>
      </c>
      <c r="S4488" t="n">
        <v>1974.7</v>
      </c>
      <c r="T4488" t="n">
        <v>5</v>
      </c>
      <c r="U4488" t="n">
        <v>6</v>
      </c>
      <c r="V4488" t="n">
        <v>30</v>
      </c>
      <c r="W4488" t="n">
        <v>2</v>
      </c>
      <c r="X4488" t="n">
        <v>141.287284144427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1555</v>
      </c>
      <c r="AG4488" t="n">
        <v>361</v>
      </c>
      <c r="AH4488" t="inlineStr">
        <is>
          <t>CV. SERBA SERBI - PPN (PDG)</t>
        </is>
      </c>
      <c r="AI4488" t="n">
        <v>363</v>
      </c>
      <c r="AJ4488" t="inlineStr">
        <is>
          <t>PONDS</t>
        </is>
      </c>
      <c r="AK4488" t="n">
        <v>21</v>
      </c>
      <c r="AL4488" t="inlineStr">
        <is>
          <t>Miss Glam Damar</t>
        </is>
      </c>
      <c r="AM4488" t="n">
        <v>2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PONDS</t>
        </is>
      </c>
      <c r="B4489" s="2">
        <f>"8999999058340"</f>
        <v/>
      </c>
      <c r="C4489" t="inlineStr">
        <is>
          <t>PONDS Facial Foam Acne Solution 100gr</t>
        </is>
      </c>
      <c r="D4489" t="inlineStr">
        <is>
          <t>Miss Glam Damar</t>
        </is>
      </c>
      <c r="E4489" t="n">
        <v>4</v>
      </c>
      <c r="F4489" t="n">
        <v>0.0728</v>
      </c>
      <c r="G4489" t="n">
        <v>1.82</v>
      </c>
      <c r="H4489" t="n">
        <v>3</v>
      </c>
      <c r="I4489" t="n">
        <v>5</v>
      </c>
      <c r="J4489" t="n">
        <v>3</v>
      </c>
      <c r="K4489" t="n">
        <v>0</v>
      </c>
      <c r="L4489" t="n">
        <v>36290</v>
      </c>
      <c r="M4489" t="n">
        <v>43000</v>
      </c>
      <c r="N4489" t="n">
        <v>91</v>
      </c>
      <c r="O4489" t="n">
        <v>0.91</v>
      </c>
      <c r="P4489" t="n">
        <v>1</v>
      </c>
      <c r="Q4489" t="n">
        <v>0.1</v>
      </c>
      <c r="R4489" t="n">
        <v>1</v>
      </c>
      <c r="S4489" t="n">
        <v>3130.4</v>
      </c>
      <c r="T4489" t="n">
        <v>9</v>
      </c>
      <c r="U4489" t="n">
        <v>10</v>
      </c>
      <c r="V4489" t="n">
        <v>30</v>
      </c>
      <c r="W4489" t="n">
        <v>3</v>
      </c>
      <c r="X4489" t="n">
        <v>54.94505494505494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1555</v>
      </c>
      <c r="AG4489" t="n">
        <v>361</v>
      </c>
      <c r="AH4489" t="inlineStr">
        <is>
          <t>CV. SERBA SERBI - PPN (PDG)</t>
        </is>
      </c>
      <c r="AI4489" t="n">
        <v>363</v>
      </c>
      <c r="AJ4489" t="inlineStr">
        <is>
          <t>PONDS</t>
        </is>
      </c>
      <c r="AK4489" t="n">
        <v>21</v>
      </c>
      <c r="AL4489" t="inlineStr">
        <is>
          <t>Miss Glam Damar</t>
        </is>
      </c>
      <c r="AM4489" t="n">
        <v>2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PONDS</t>
        </is>
      </c>
      <c r="B4490" s="2">
        <f>"8999999058357"</f>
        <v/>
      </c>
      <c r="C4490" t="inlineStr">
        <is>
          <t>PONDS Facial Foam Bright Miracle Acne 50Gr</t>
        </is>
      </c>
      <c r="D4490" t="inlineStr">
        <is>
          <t>Miss Glam Damar</t>
        </is>
      </c>
      <c r="E4490" t="n">
        <v>7</v>
      </c>
      <c r="F4490" t="n">
        <v>0.1729</v>
      </c>
      <c r="G4490" t="n">
        <v>1.82</v>
      </c>
      <c r="H4490" t="n">
        <v>3</v>
      </c>
      <c r="I4490" t="n">
        <v>5</v>
      </c>
      <c r="J4490" t="n">
        <v>3</v>
      </c>
      <c r="K4490" t="n">
        <v>0</v>
      </c>
      <c r="L4490" t="n">
        <v>23502</v>
      </c>
      <c r="M4490" t="n">
        <v>28000</v>
      </c>
      <c r="N4490" t="n">
        <v>91</v>
      </c>
      <c r="O4490" t="n">
        <v>0.91</v>
      </c>
      <c r="P4490" t="n">
        <v>1</v>
      </c>
      <c r="Q4490" t="n">
        <v>0.19</v>
      </c>
      <c r="R4490" t="n">
        <v>2</v>
      </c>
      <c r="S4490" t="n">
        <v>4841.2</v>
      </c>
      <c r="T4490" t="n">
        <v>9</v>
      </c>
      <c r="U4490" t="n">
        <v>10</v>
      </c>
      <c r="V4490" t="n">
        <v>30</v>
      </c>
      <c r="W4490" t="n">
        <v>6</v>
      </c>
      <c r="X4490" t="n">
        <v>40.48582995951417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1555</v>
      </c>
      <c r="AG4490" t="n">
        <v>361</v>
      </c>
      <c r="AH4490" t="inlineStr">
        <is>
          <t>CV. SERBA SERBI - PPN (PDG)</t>
        </is>
      </c>
      <c r="AI4490" t="n">
        <v>363</v>
      </c>
      <c r="AJ4490" t="inlineStr">
        <is>
          <t>PONDS</t>
        </is>
      </c>
      <c r="AK4490" t="n">
        <v>21</v>
      </c>
      <c r="AL4490" t="inlineStr">
        <is>
          <t>Miss Glam Damar</t>
        </is>
      </c>
      <c r="AM4490" t="n">
        <v>2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PONDS</t>
        </is>
      </c>
      <c r="B4491" s="2">
        <f>"8851932301572"</f>
        <v/>
      </c>
      <c r="C4491" t="inlineStr">
        <is>
          <t>PONDS Magic Powder BB 50gr</t>
        </is>
      </c>
      <c r="D4491" t="inlineStr">
        <is>
          <t>Miss Glam Damar</t>
        </is>
      </c>
      <c r="E4491" t="n">
        <v>7</v>
      </c>
      <c r="F4491" t="n">
        <v>0.2639</v>
      </c>
      <c r="G4491" t="n">
        <v>1.82</v>
      </c>
      <c r="H4491" t="n">
        <v>3</v>
      </c>
      <c r="I4491" t="n">
        <v>5</v>
      </c>
      <c r="J4491" t="n">
        <v>3</v>
      </c>
      <c r="K4491" t="n">
        <v>0</v>
      </c>
      <c r="L4491" t="n">
        <v>27533</v>
      </c>
      <c r="M4491" t="n">
        <v>33500</v>
      </c>
      <c r="N4491" t="n">
        <v>91</v>
      </c>
      <c r="O4491" t="n">
        <v>0.91</v>
      </c>
      <c r="P4491" t="n">
        <v>1</v>
      </c>
      <c r="Q4491" t="n">
        <v>0.08</v>
      </c>
      <c r="R4491" t="n">
        <v>1</v>
      </c>
      <c r="S4491" t="n">
        <v>8840.65</v>
      </c>
      <c r="T4491" t="n">
        <v>9</v>
      </c>
      <c r="U4491" t="n">
        <v>10</v>
      </c>
      <c r="V4491" t="n">
        <v>30</v>
      </c>
      <c r="W4491" t="n">
        <v>8</v>
      </c>
      <c r="X4491" t="n">
        <v>26.52519893899204</v>
      </c>
      <c r="Y4491" t="n">
        <v>1</v>
      </c>
      <c r="Z4491" t="n">
        <v>1</v>
      </c>
      <c r="AA4491" t="n">
        <v>0</v>
      </c>
      <c r="AB4491" t="n">
        <v>1</v>
      </c>
      <c r="AC4491" t="n">
        <v>3</v>
      </c>
      <c r="AD4491" t="n">
        <v>0</v>
      </c>
      <c r="AE4491" t="n">
        <v>82599</v>
      </c>
      <c r="AF4491" t="n">
        <v>1555</v>
      </c>
      <c r="AG4491" t="n">
        <v>361</v>
      </c>
      <c r="AH4491" t="inlineStr">
        <is>
          <t>CV. SERBA SERBI - PPN (PDG)</t>
        </is>
      </c>
      <c r="AI4491" t="n">
        <v>363</v>
      </c>
      <c r="AJ4491" t="inlineStr">
        <is>
          <t>PONDS</t>
        </is>
      </c>
      <c r="AK4491" t="n">
        <v>21</v>
      </c>
      <c r="AL4491" t="inlineStr">
        <is>
          <t>Miss Glam Damar</t>
        </is>
      </c>
      <c r="AM4491" t="n">
        <v>2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PONDS</t>
        </is>
      </c>
      <c r="B4492" s="2">
        <f>"8999999719753"</f>
        <v/>
      </c>
      <c r="C4492" t="inlineStr">
        <is>
          <t>PONDS Shake &amp; Clean Make Up Remover White Beauty 100ml</t>
        </is>
      </c>
      <c r="D4492" t="inlineStr">
        <is>
          <t>Miss Glam Damar</t>
        </is>
      </c>
      <c r="E4492" t="n">
        <v>6</v>
      </c>
      <c r="F4492" t="n">
        <v>0.12</v>
      </c>
      <c r="G4492" t="n">
        <v>2</v>
      </c>
      <c r="H4492" t="n">
        <v>3</v>
      </c>
      <c r="I4492" t="n">
        <v>5</v>
      </c>
      <c r="J4492" t="n">
        <v>3</v>
      </c>
      <c r="K4492" t="n">
        <v>0</v>
      </c>
      <c r="L4492" t="n">
        <v>24645</v>
      </c>
      <c r="M4492" t="n">
        <v>31000</v>
      </c>
      <c r="N4492" t="n">
        <v>91</v>
      </c>
      <c r="O4492" t="n">
        <v>0.91</v>
      </c>
      <c r="P4492" t="n">
        <v>0</v>
      </c>
      <c r="Q4492" t="n">
        <v>0.12</v>
      </c>
      <c r="R4492" t="n">
        <v>2</v>
      </c>
      <c r="S4492" t="n">
        <v>3720</v>
      </c>
      <c r="T4492" t="n">
        <v>10</v>
      </c>
      <c r="U4492" t="n">
        <v>11</v>
      </c>
      <c r="V4492" t="n">
        <v>30</v>
      </c>
      <c r="W4492" t="n">
        <v>4</v>
      </c>
      <c r="X4492" t="n">
        <v>50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1555</v>
      </c>
      <c r="AG4492" t="n">
        <v>361</v>
      </c>
      <c r="AH4492" t="inlineStr">
        <is>
          <t>CV. SERBA SERBI - PPN (PDG)</t>
        </is>
      </c>
      <c r="AI4492" t="n">
        <v>363</v>
      </c>
      <c r="AJ4492" t="inlineStr">
        <is>
          <t>PONDS</t>
        </is>
      </c>
      <c r="AK4492" t="n">
        <v>21</v>
      </c>
      <c r="AL4492" t="inlineStr">
        <is>
          <t>Miss Glam Damar</t>
        </is>
      </c>
      <c r="AM4492" t="n">
        <v>2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PONDS</t>
        </is>
      </c>
      <c r="B4493" s="2">
        <f>"8851932406611"</f>
        <v/>
      </c>
      <c r="C4493" t="inlineStr">
        <is>
          <t>PONDS Skin Age Miracle Ultimate Youth Day Serum 30gr</t>
        </is>
      </c>
      <c r="D4493" t="inlineStr">
        <is>
          <t>Miss Glam Damar</t>
        </is>
      </c>
      <c r="E4493" t="n">
        <v>0</v>
      </c>
      <c r="F4493" t="n">
        <v>0.0182</v>
      </c>
      <c r="G4493" t="n">
        <v>0.91</v>
      </c>
      <c r="H4493" t="n">
        <v>3</v>
      </c>
      <c r="I4493" t="n">
        <v>5</v>
      </c>
      <c r="J4493" t="n">
        <v>3</v>
      </c>
      <c r="K4493" t="n">
        <v>0</v>
      </c>
      <c r="L4493" t="n">
        <v>182972</v>
      </c>
      <c r="M4493" t="n">
        <v>240000</v>
      </c>
      <c r="N4493" t="n">
        <v>91</v>
      </c>
      <c r="O4493" t="n">
        <v>0.91</v>
      </c>
      <c r="P4493" t="n">
        <v>1</v>
      </c>
      <c r="Q4493" t="n">
        <v>0.03</v>
      </c>
      <c r="R4493" t="n">
        <v>1</v>
      </c>
      <c r="S4493" t="n">
        <v>4368</v>
      </c>
      <c r="T4493" t="n">
        <v>5</v>
      </c>
      <c r="U4493" t="n">
        <v>6</v>
      </c>
      <c r="V4493" t="n">
        <v>30</v>
      </c>
      <c r="W4493" t="n">
        <v>1</v>
      </c>
      <c r="X4493" t="n">
        <v>0</v>
      </c>
      <c r="Y4493" t="n">
        <v>1</v>
      </c>
      <c r="Z4493" t="n">
        <v>1</v>
      </c>
      <c r="AA4493" t="n">
        <v>1</v>
      </c>
      <c r="AB4493" t="n">
        <v>0</v>
      </c>
      <c r="AC4493" t="n">
        <v>0</v>
      </c>
      <c r="AD4493" t="n">
        <v>182972</v>
      </c>
      <c r="AE4493" t="n">
        <v>0</v>
      </c>
      <c r="AF4493" t="n">
        <v>1555</v>
      </c>
      <c r="AG4493" t="n">
        <v>361</v>
      </c>
      <c r="AH4493" t="inlineStr">
        <is>
          <t>CV. SERBA SERBI - PPN (PDG)</t>
        </is>
      </c>
      <c r="AI4493" t="n">
        <v>363</v>
      </c>
      <c r="AJ4493" t="inlineStr">
        <is>
          <t>PONDS</t>
        </is>
      </c>
      <c r="AK4493" t="n">
        <v>21</v>
      </c>
      <c r="AL4493" t="inlineStr">
        <is>
          <t>Miss Glam Damar</t>
        </is>
      </c>
      <c r="AM4493" t="n">
        <v>2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PONDS</t>
        </is>
      </c>
      <c r="B4494" s="2">
        <f>"10400514946"</f>
        <v/>
      </c>
      <c r="C4494" t="inlineStr">
        <is>
          <t>PONDS Skin Instatute UV Miracle Protect &amp; Repair Bright SPF 50+ PA++++ 25gr</t>
        </is>
      </c>
      <c r="D4494" t="inlineStr">
        <is>
          <t>Miss Glam Damar</t>
        </is>
      </c>
      <c r="E4494" t="n">
        <v>7</v>
      </c>
      <c r="F4494" t="n">
        <v>0.1</v>
      </c>
      <c r="G4494" t="n">
        <v>2</v>
      </c>
      <c r="H4494" t="n">
        <v>3</v>
      </c>
      <c r="I4494" t="n">
        <v>5</v>
      </c>
      <c r="J4494" t="n">
        <v>3</v>
      </c>
      <c r="K4494" t="n">
        <v>0</v>
      </c>
      <c r="L4494" t="n">
        <v>48782</v>
      </c>
      <c r="M4494" t="n">
        <v>57500</v>
      </c>
      <c r="N4494" t="n">
        <v>91</v>
      </c>
      <c r="O4494" t="n">
        <v>0.91</v>
      </c>
      <c r="P4494" t="n">
        <v>0</v>
      </c>
      <c r="Q4494" t="n">
        <v>0.1</v>
      </c>
      <c r="R4494" t="n">
        <v>2</v>
      </c>
      <c r="S4494" t="n">
        <v>5750</v>
      </c>
      <c r="T4494" t="n">
        <v>10</v>
      </c>
      <c r="U4494" t="n">
        <v>11</v>
      </c>
      <c r="V4494" t="n">
        <v>30</v>
      </c>
      <c r="W4494" t="n">
        <v>3</v>
      </c>
      <c r="X4494" t="n">
        <v>70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1555</v>
      </c>
      <c r="AG4494" t="n">
        <v>361</v>
      </c>
      <c r="AH4494" t="inlineStr">
        <is>
          <t>CV. SERBA SERBI - PPN (PDG)</t>
        </is>
      </c>
      <c r="AI4494" t="n">
        <v>363</v>
      </c>
      <c r="AJ4494" t="inlineStr">
        <is>
          <t>PONDS</t>
        </is>
      </c>
      <c r="AK4494" t="n">
        <v>21</v>
      </c>
      <c r="AL4494" t="inlineStr">
        <is>
          <t>Miss Glam Damar</t>
        </is>
      </c>
      <c r="AM4494" t="n">
        <v>2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PONDS</t>
        </is>
      </c>
      <c r="B4495" s="2">
        <f>"8999999593339"</f>
        <v/>
      </c>
      <c r="C4495" t="inlineStr">
        <is>
          <t>PONDS Uv Protecy Sun Serum SPF50 30gr</t>
        </is>
      </c>
      <c r="D4495" t="inlineStr">
        <is>
          <t>Miss Glam Damar</t>
        </is>
      </c>
      <c r="E4495" t="n">
        <v>3</v>
      </c>
      <c r="F4495" t="n">
        <v>0.02</v>
      </c>
      <c r="G4495" t="n">
        <v>1</v>
      </c>
      <c r="H4495" t="n">
        <v>3</v>
      </c>
      <c r="I4495" t="n">
        <v>5</v>
      </c>
      <c r="J4495" t="n">
        <v>3</v>
      </c>
      <c r="K4495" t="n">
        <v>0</v>
      </c>
      <c r="L4495" t="n">
        <v>95425</v>
      </c>
      <c r="M4495" t="n">
        <v>113500</v>
      </c>
      <c r="N4495" t="n">
        <v>91</v>
      </c>
      <c r="O4495" t="n">
        <v>0.91</v>
      </c>
      <c r="P4495" t="n">
        <v>0</v>
      </c>
      <c r="Q4495" t="n">
        <v>0.02</v>
      </c>
      <c r="R4495" t="n">
        <v>1</v>
      </c>
      <c r="S4495" t="n">
        <v>2270</v>
      </c>
      <c r="T4495" t="n">
        <v>5</v>
      </c>
      <c r="U4495" t="n">
        <v>6</v>
      </c>
      <c r="V4495" t="n">
        <v>30</v>
      </c>
      <c r="W4495" t="n">
        <v>1</v>
      </c>
      <c r="X4495" t="n">
        <v>150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1555</v>
      </c>
      <c r="AG4495" t="n">
        <v>361</v>
      </c>
      <c r="AH4495" t="inlineStr">
        <is>
          <t>CV. SERBA SERBI - PPN (PDG)</t>
        </is>
      </c>
      <c r="AI4495" t="n">
        <v>363</v>
      </c>
      <c r="AJ4495" t="inlineStr">
        <is>
          <t>PONDS</t>
        </is>
      </c>
      <c r="AK4495" t="n">
        <v>21</v>
      </c>
      <c r="AL4495" t="inlineStr">
        <is>
          <t>Miss Glam Damar</t>
        </is>
      </c>
      <c r="AM4495" t="n">
        <v>2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PONDS</t>
        </is>
      </c>
      <c r="B4496" s="2">
        <f>"8999999549565"</f>
        <v/>
      </c>
      <c r="C4496" t="inlineStr">
        <is>
          <t>PONDS Vitamin Micellar Water Brightening Rose 100ml</t>
        </is>
      </c>
      <c r="D4496" t="inlineStr">
        <is>
          <t>Miss Glam Damar</t>
        </is>
      </c>
      <c r="E4496" t="n">
        <v>6</v>
      </c>
      <c r="F4496" t="n">
        <v>0.0273</v>
      </c>
      <c r="G4496" t="n">
        <v>0.91</v>
      </c>
      <c r="H4496" t="n">
        <v>3</v>
      </c>
      <c r="I4496" t="n">
        <v>5</v>
      </c>
      <c r="J4496" t="n">
        <v>3</v>
      </c>
      <c r="K4496" t="n">
        <v>0</v>
      </c>
      <c r="L4496" t="n">
        <v>26459</v>
      </c>
      <c r="M4496" t="n">
        <v>34000</v>
      </c>
      <c r="N4496" t="n">
        <v>91</v>
      </c>
      <c r="O4496" t="n">
        <v>0.91</v>
      </c>
      <c r="P4496" t="n">
        <v>1</v>
      </c>
      <c r="Q4496" t="n">
        <v>0.14</v>
      </c>
      <c r="R4496" t="n">
        <v>2</v>
      </c>
      <c r="S4496" t="n">
        <v>928.2</v>
      </c>
      <c r="T4496" t="n">
        <v>5</v>
      </c>
      <c r="U4496" t="n">
        <v>6</v>
      </c>
      <c r="V4496" t="n">
        <v>30</v>
      </c>
      <c r="W4496" t="n">
        <v>1</v>
      </c>
      <c r="X4496" t="n">
        <v>219.7802197802198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1555</v>
      </c>
      <c r="AG4496" t="n">
        <v>361</v>
      </c>
      <c r="AH4496" t="inlineStr">
        <is>
          <t>CV. SERBA SERBI - PPN (PDG)</t>
        </is>
      </c>
      <c r="AI4496" t="n">
        <v>363</v>
      </c>
      <c r="AJ4496" t="inlineStr">
        <is>
          <t>PONDS</t>
        </is>
      </c>
      <c r="AK4496" t="n">
        <v>21</v>
      </c>
      <c r="AL4496" t="inlineStr">
        <is>
          <t>Miss Glam Damar</t>
        </is>
      </c>
      <c r="AM4496" t="n">
        <v>2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PONDS</t>
        </is>
      </c>
      <c r="B4497" s="2">
        <f>"8999999549589"</f>
        <v/>
      </c>
      <c r="C4497" t="inlineStr">
        <is>
          <t>PONDS Vitamin Micellar Water DToxx Charcoal 100ml</t>
        </is>
      </c>
      <c r="D4497" t="inlineStr">
        <is>
          <t>Miss Glam Damar</t>
        </is>
      </c>
      <c r="E4497" t="n">
        <v>8</v>
      </c>
      <c r="F4497" t="n">
        <v>0.12</v>
      </c>
      <c r="G4497" t="n">
        <v>3</v>
      </c>
      <c r="H4497" t="n">
        <v>3</v>
      </c>
      <c r="I4497" t="n">
        <v>5</v>
      </c>
      <c r="J4497" t="n">
        <v>3</v>
      </c>
      <c r="K4497" t="n">
        <v>0</v>
      </c>
      <c r="L4497" t="n">
        <v>26499</v>
      </c>
      <c r="M4497" t="n">
        <v>31500</v>
      </c>
      <c r="N4497" t="n">
        <v>91</v>
      </c>
      <c r="O4497" t="n">
        <v>0.91</v>
      </c>
      <c r="P4497" t="n">
        <v>0</v>
      </c>
      <c r="Q4497" t="n">
        <v>0.12</v>
      </c>
      <c r="R4497" t="n">
        <v>3</v>
      </c>
      <c r="S4497" t="n">
        <v>3780</v>
      </c>
      <c r="T4497" t="n">
        <v>15</v>
      </c>
      <c r="U4497" t="n">
        <v>16</v>
      </c>
      <c r="V4497" t="n">
        <v>30</v>
      </c>
      <c r="W4497" t="n">
        <v>4</v>
      </c>
      <c r="X4497" t="n">
        <v>66.66666666666667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1555</v>
      </c>
      <c r="AG4497" t="n">
        <v>361</v>
      </c>
      <c r="AH4497" t="inlineStr">
        <is>
          <t>CV. SERBA SERBI - PPN (PDG)</t>
        </is>
      </c>
      <c r="AI4497" t="n">
        <v>363</v>
      </c>
      <c r="AJ4497" t="inlineStr">
        <is>
          <t>PONDS</t>
        </is>
      </c>
      <c r="AK4497" t="n">
        <v>21</v>
      </c>
      <c r="AL4497" t="inlineStr">
        <is>
          <t>Miss Glam Damar</t>
        </is>
      </c>
      <c r="AM4497" t="n">
        <v>2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PONDS</t>
        </is>
      </c>
      <c r="B4498" s="2">
        <f>"8999999719746"</f>
        <v/>
      </c>
      <c r="C4498" t="inlineStr">
        <is>
          <t>PONDS White Beauty Cleansing Milk 150ml</t>
        </is>
      </c>
      <c r="D4498" t="inlineStr">
        <is>
          <t>Miss Glam Damar</t>
        </is>
      </c>
      <c r="E4498" t="n">
        <v>5</v>
      </c>
      <c r="F4498" t="n">
        <v>0.07000000000000001</v>
      </c>
      <c r="G4498" t="n">
        <v>1</v>
      </c>
      <c r="H4498" t="n">
        <v>3</v>
      </c>
      <c r="I4498" t="n">
        <v>5</v>
      </c>
      <c r="J4498" t="n">
        <v>3</v>
      </c>
      <c r="K4498" t="n">
        <v>0</v>
      </c>
      <c r="L4498" t="n">
        <v>26265</v>
      </c>
      <c r="M4498" t="n">
        <v>32500</v>
      </c>
      <c r="N4498" t="n">
        <v>91</v>
      </c>
      <c r="O4498" t="n">
        <v>0.91</v>
      </c>
      <c r="P4498" t="n">
        <v>0</v>
      </c>
      <c r="Q4498" t="n">
        <v>0.07000000000000001</v>
      </c>
      <c r="R4498" t="n">
        <v>1</v>
      </c>
      <c r="S4498" t="n">
        <v>2275</v>
      </c>
      <c r="T4498" t="n">
        <v>5</v>
      </c>
      <c r="U4498" t="n">
        <v>6</v>
      </c>
      <c r="V4498" t="n">
        <v>30</v>
      </c>
      <c r="W4498" t="n">
        <v>3</v>
      </c>
      <c r="X4498" t="n">
        <v>71.42857142857142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1555</v>
      </c>
      <c r="AG4498" t="n">
        <v>361</v>
      </c>
      <c r="AH4498" t="inlineStr">
        <is>
          <t>CV. SERBA SERBI - PPN (PDG)</t>
        </is>
      </c>
      <c r="AI4498" t="n">
        <v>363</v>
      </c>
      <c r="AJ4498" t="inlineStr">
        <is>
          <t>PONDS</t>
        </is>
      </c>
      <c r="AK4498" t="n">
        <v>21</v>
      </c>
      <c r="AL4498" t="inlineStr">
        <is>
          <t>Miss Glam Damar</t>
        </is>
      </c>
      <c r="AM4498" t="n">
        <v>2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POSH</t>
        </is>
      </c>
      <c r="B4499" s="2">
        <f>"8998866107945"</f>
        <v/>
      </c>
      <c r="C4499" t="inlineStr">
        <is>
          <t>POSH Anti Perspirant Deodorant Anti Stain</t>
        </is>
      </c>
      <c r="D4499" t="inlineStr">
        <is>
          <t>Miss Glam Damar</t>
        </is>
      </c>
      <c r="E4499" t="n">
        <v>10</v>
      </c>
      <c r="F4499" t="n">
        <v>0.5824</v>
      </c>
      <c r="G4499" t="n">
        <v>2.73</v>
      </c>
      <c r="H4499" t="n">
        <v>2</v>
      </c>
      <c r="I4499" t="n">
        <v>6</v>
      </c>
      <c r="J4499" t="n">
        <v>3</v>
      </c>
      <c r="K4499" t="n">
        <v>0</v>
      </c>
      <c r="L4499" t="n">
        <v>12863</v>
      </c>
      <c r="M4499" t="n">
        <v>16000</v>
      </c>
      <c r="N4499" t="n">
        <v>91</v>
      </c>
      <c r="O4499" t="n">
        <v>0.91</v>
      </c>
      <c r="P4499" t="n">
        <v>1</v>
      </c>
      <c r="Q4499" t="n">
        <v>0.25</v>
      </c>
      <c r="R4499" t="n">
        <v>2</v>
      </c>
      <c r="S4499" t="n">
        <v>9318.4</v>
      </c>
      <c r="T4499" t="n">
        <v>16</v>
      </c>
      <c r="U4499" t="n">
        <v>18</v>
      </c>
      <c r="V4499" t="n">
        <v>30</v>
      </c>
      <c r="W4499" t="n">
        <v>18</v>
      </c>
      <c r="X4499" t="n">
        <v>17.17032967032967</v>
      </c>
      <c r="Y4499" t="n">
        <v>1</v>
      </c>
      <c r="Z4499" t="n">
        <v>8</v>
      </c>
      <c r="AA4499" t="n">
        <v>0</v>
      </c>
      <c r="AB4499" t="n">
        <v>8</v>
      </c>
      <c r="AC4499" t="n">
        <v>8</v>
      </c>
      <c r="AD4499" t="n">
        <v>0</v>
      </c>
      <c r="AE4499" t="n">
        <v>102904</v>
      </c>
      <c r="AF4499" t="n">
        <v>11343</v>
      </c>
      <c r="AG4499" t="n">
        <v>448</v>
      </c>
      <c r="AH4499" t="inlineStr">
        <is>
          <t>PT. PADANG DISTRIBUSINDO RAYA - PPN (PDG)</t>
        </is>
      </c>
      <c r="AI4499" t="n">
        <v>449</v>
      </c>
      <c r="AJ4499" t="inlineStr">
        <is>
          <t>POSH</t>
        </is>
      </c>
      <c r="AK4499" t="n">
        <v>21</v>
      </c>
      <c r="AL4499" t="inlineStr">
        <is>
          <t>Miss Glam Damar</t>
        </is>
      </c>
      <c r="AM4499" t="n">
        <v>3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POSH</t>
        </is>
      </c>
      <c r="B4500" s="2">
        <f>"8998866107938"</f>
        <v/>
      </c>
      <c r="C4500" t="inlineStr">
        <is>
          <t>POSH Anti Perspirant Deodorant Whitening</t>
        </is>
      </c>
      <c r="D4500" t="inlineStr">
        <is>
          <t>Miss Glam Damar</t>
        </is>
      </c>
      <c r="E4500" t="n">
        <v>26</v>
      </c>
      <c r="F4500" t="n">
        <v>1.5925</v>
      </c>
      <c r="G4500" t="n">
        <v>6.37</v>
      </c>
      <c r="H4500" t="n">
        <v>2</v>
      </c>
      <c r="I4500" t="n">
        <v>6</v>
      </c>
      <c r="J4500" t="n">
        <v>12</v>
      </c>
      <c r="K4500" t="n">
        <v>0</v>
      </c>
      <c r="L4500" t="n">
        <v>12882</v>
      </c>
      <c r="M4500" t="n">
        <v>16000</v>
      </c>
      <c r="N4500" t="n">
        <v>91</v>
      </c>
      <c r="O4500" t="n">
        <v>0.91</v>
      </c>
      <c r="P4500" t="n">
        <v>1</v>
      </c>
      <c r="Q4500" t="n">
        <v>0.66</v>
      </c>
      <c r="R4500" t="n">
        <v>4</v>
      </c>
      <c r="S4500" t="n">
        <v>25480</v>
      </c>
      <c r="T4500" t="n">
        <v>36</v>
      </c>
      <c r="U4500" t="n">
        <v>40</v>
      </c>
      <c r="V4500" t="n">
        <v>30</v>
      </c>
      <c r="W4500" t="n">
        <v>48</v>
      </c>
      <c r="X4500" t="n">
        <v>16.3265306122449</v>
      </c>
      <c r="Y4500" t="n">
        <v>1</v>
      </c>
      <c r="Z4500" t="n">
        <v>22</v>
      </c>
      <c r="AA4500" t="n">
        <v>0</v>
      </c>
      <c r="AB4500" t="n">
        <v>22</v>
      </c>
      <c r="AC4500" t="n">
        <v>22</v>
      </c>
      <c r="AD4500" t="n">
        <v>0</v>
      </c>
      <c r="AE4500" t="n">
        <v>283404</v>
      </c>
      <c r="AF4500" t="n">
        <v>11343</v>
      </c>
      <c r="AG4500" t="n">
        <v>448</v>
      </c>
      <c r="AH4500" t="inlineStr">
        <is>
          <t>PT. PADANG DISTRIBUSINDO RAYA - PPN (PDG)</t>
        </is>
      </c>
      <c r="AI4500" t="n">
        <v>449</v>
      </c>
      <c r="AJ4500" t="inlineStr">
        <is>
          <t>POSH</t>
        </is>
      </c>
      <c r="AK4500" t="n">
        <v>21</v>
      </c>
      <c r="AL4500" t="inlineStr">
        <is>
          <t>Miss Glam Damar</t>
        </is>
      </c>
      <c r="AM4500" t="n">
        <v>3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POSH</t>
        </is>
      </c>
      <c r="B4501" s="2">
        <f>"8998866107464"</f>
        <v/>
      </c>
      <c r="C4501" t="inlineStr">
        <is>
          <t>POSH Body Spray Perfumed Fresh Spirit 150ml</t>
        </is>
      </c>
      <c r="D4501" t="inlineStr">
        <is>
          <t>Miss Glam Damar</t>
        </is>
      </c>
      <c r="E4501" t="n">
        <v>13</v>
      </c>
      <c r="F4501" t="n">
        <v>0.3367</v>
      </c>
      <c r="G4501" t="n">
        <v>2.73</v>
      </c>
      <c r="H4501" t="n">
        <v>2</v>
      </c>
      <c r="I4501" t="n">
        <v>6</v>
      </c>
      <c r="J4501" t="n">
        <v>3</v>
      </c>
      <c r="K4501" t="n">
        <v>0</v>
      </c>
      <c r="L4501" t="n">
        <v>17560</v>
      </c>
      <c r="M4501" t="n">
        <v>25000</v>
      </c>
      <c r="N4501" t="n">
        <v>91</v>
      </c>
      <c r="O4501" t="n">
        <v>0.91</v>
      </c>
      <c r="P4501" t="n">
        <v>1</v>
      </c>
      <c r="Q4501" t="n">
        <v>0.31</v>
      </c>
      <c r="R4501" t="n">
        <v>2</v>
      </c>
      <c r="S4501" t="n">
        <v>8417.5</v>
      </c>
      <c r="T4501" t="n">
        <v>16</v>
      </c>
      <c r="U4501" t="n">
        <v>17</v>
      </c>
      <c r="V4501" t="n">
        <v>30</v>
      </c>
      <c r="W4501" t="n">
        <v>11</v>
      </c>
      <c r="X4501" t="n">
        <v>38.61003861003861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11343</v>
      </c>
      <c r="AG4501" t="n">
        <v>448</v>
      </c>
      <c r="AH4501" t="inlineStr">
        <is>
          <t>PT. PADANG DISTRIBUSINDO RAYA - PPN (PDG)</t>
        </is>
      </c>
      <c r="AI4501" t="n">
        <v>449</v>
      </c>
      <c r="AJ4501" t="inlineStr">
        <is>
          <t>POSH</t>
        </is>
      </c>
      <c r="AK4501" t="n">
        <v>21</v>
      </c>
      <c r="AL4501" t="inlineStr">
        <is>
          <t>Miss Glam Damar</t>
        </is>
      </c>
      <c r="AM4501" t="n">
        <v>3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POSH</t>
        </is>
      </c>
      <c r="B4502" s="2">
        <f>"8998866109918"</f>
        <v/>
      </c>
      <c r="C4502" t="inlineStr">
        <is>
          <t>POSH Fascinate Fine Fragrance Spray Dazzle 150ml</t>
        </is>
      </c>
      <c r="D4502" t="inlineStr">
        <is>
          <t>Miss Glam Damar</t>
        </is>
      </c>
      <c r="E4502" t="n">
        <v>62</v>
      </c>
      <c r="F4502" t="n">
        <v>0.06370000000000001</v>
      </c>
      <c r="G4502" t="n">
        <v>0.91</v>
      </c>
      <c r="H4502" t="n">
        <v>2</v>
      </c>
      <c r="I4502" t="n">
        <v>6</v>
      </c>
      <c r="J4502" t="n">
        <v>3</v>
      </c>
      <c r="K4502" t="n">
        <v>0</v>
      </c>
      <c r="L4502" t="n">
        <v>18167</v>
      </c>
      <c r="M4502" t="n">
        <v>23000</v>
      </c>
      <c r="N4502" t="n">
        <v>91</v>
      </c>
      <c r="O4502" t="n">
        <v>0.91</v>
      </c>
      <c r="P4502" t="n">
        <v>1</v>
      </c>
      <c r="Q4502" t="n">
        <v>0.12</v>
      </c>
      <c r="R4502" t="n">
        <v>2</v>
      </c>
      <c r="S4502" t="n">
        <v>1465.1</v>
      </c>
      <c r="T4502" t="n">
        <v>6</v>
      </c>
      <c r="U4502" t="n">
        <v>7</v>
      </c>
      <c r="V4502" t="n">
        <v>30</v>
      </c>
      <c r="W4502" t="n">
        <v>2</v>
      </c>
      <c r="X4502" t="n">
        <v>973.3124018838304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11343</v>
      </c>
      <c r="AG4502" t="n">
        <v>448</v>
      </c>
      <c r="AH4502" t="inlineStr">
        <is>
          <t>PT. PADANG DISTRIBUSINDO RAYA - PPN (PDG)</t>
        </is>
      </c>
      <c r="AI4502" t="n">
        <v>449</v>
      </c>
      <c r="AJ4502" t="inlineStr">
        <is>
          <t>POSH</t>
        </is>
      </c>
      <c r="AK4502" t="n">
        <v>21</v>
      </c>
      <c r="AL4502" t="inlineStr">
        <is>
          <t>Miss Glam Damar</t>
        </is>
      </c>
      <c r="AM4502" t="n">
        <v>3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POSH</t>
        </is>
      </c>
      <c r="B4503" s="2">
        <f>"8998866109901"</f>
        <v/>
      </c>
      <c r="C4503" t="inlineStr">
        <is>
          <t>POSH Fascinate Fine Fragrance Spray Glam 150ml</t>
        </is>
      </c>
      <c r="D4503" t="inlineStr">
        <is>
          <t>Miss Glam Damar</t>
        </is>
      </c>
      <c r="E4503" t="n">
        <v>5</v>
      </c>
      <c r="F4503" t="n">
        <v>0.09100000000000001</v>
      </c>
      <c r="G4503" t="n">
        <v>0.91</v>
      </c>
      <c r="H4503" t="n">
        <v>2</v>
      </c>
      <c r="I4503" t="n">
        <v>6</v>
      </c>
      <c r="J4503" t="n">
        <v>3</v>
      </c>
      <c r="K4503" t="n">
        <v>0</v>
      </c>
      <c r="L4503" t="n">
        <v>18812</v>
      </c>
      <c r="M4503" t="n">
        <v>23000</v>
      </c>
      <c r="N4503" t="n">
        <v>91</v>
      </c>
      <c r="O4503" t="n">
        <v>0.91</v>
      </c>
      <c r="P4503" t="n">
        <v>1</v>
      </c>
      <c r="Q4503" t="n">
        <v>0.08</v>
      </c>
      <c r="R4503" t="n">
        <v>1</v>
      </c>
      <c r="S4503" t="n">
        <v>2093</v>
      </c>
      <c r="T4503" t="n">
        <v>6</v>
      </c>
      <c r="U4503" t="n">
        <v>7</v>
      </c>
      <c r="V4503" t="n">
        <v>30</v>
      </c>
      <c r="W4503" t="n">
        <v>3</v>
      </c>
      <c r="X4503" t="n">
        <v>54.94505494505494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11343</v>
      </c>
      <c r="AG4503" t="n">
        <v>448</v>
      </c>
      <c r="AH4503" t="inlineStr">
        <is>
          <t>PT. PADANG DISTRIBUSINDO RAYA - PPN (PDG)</t>
        </is>
      </c>
      <c r="AI4503" t="n">
        <v>449</v>
      </c>
      <c r="AJ4503" t="inlineStr">
        <is>
          <t>POSH</t>
        </is>
      </c>
      <c r="AK4503" t="n">
        <v>21</v>
      </c>
      <c r="AL4503" t="inlineStr">
        <is>
          <t>Miss Glam Damar</t>
        </is>
      </c>
      <c r="AM4503" t="n">
        <v>3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POSH</t>
        </is>
      </c>
      <c r="B4504" s="2">
        <f>"8998866108102"</f>
        <v/>
      </c>
      <c r="C4504" t="inlineStr">
        <is>
          <t>POSH Parfumed Body Spray Hijab Chic Green Blossom 150ml</t>
        </is>
      </c>
      <c r="D4504" t="inlineStr">
        <is>
          <t>Miss Glam Damar</t>
        </is>
      </c>
      <c r="E4504" t="n">
        <v>30</v>
      </c>
      <c r="F4504" t="n">
        <v>1.1739</v>
      </c>
      <c r="G4504" t="n">
        <v>6.37</v>
      </c>
      <c r="H4504" t="n">
        <v>2</v>
      </c>
      <c r="I4504" t="n">
        <v>6</v>
      </c>
      <c r="J4504" t="n">
        <v>12</v>
      </c>
      <c r="K4504" t="n">
        <v>0</v>
      </c>
      <c r="L4504" t="n">
        <v>16441</v>
      </c>
      <c r="M4504" t="n">
        <v>22500</v>
      </c>
      <c r="N4504" t="n">
        <v>91</v>
      </c>
      <c r="O4504" t="n">
        <v>0.91</v>
      </c>
      <c r="P4504" t="n">
        <v>1</v>
      </c>
      <c r="Q4504" t="n">
        <v>0.8100000000000001</v>
      </c>
      <c r="R4504" t="n">
        <v>5</v>
      </c>
      <c r="S4504" t="n">
        <v>26412.75</v>
      </c>
      <c r="T4504" t="n">
        <v>36</v>
      </c>
      <c r="U4504" t="n">
        <v>39</v>
      </c>
      <c r="V4504" t="n">
        <v>30</v>
      </c>
      <c r="W4504" t="n">
        <v>36</v>
      </c>
      <c r="X4504" t="n">
        <v>25.55583950932788</v>
      </c>
      <c r="Y4504" t="n">
        <v>1</v>
      </c>
      <c r="Z4504" t="n">
        <v>6</v>
      </c>
      <c r="AA4504" t="n">
        <v>0</v>
      </c>
      <c r="AB4504" t="n">
        <v>6</v>
      </c>
      <c r="AC4504" t="n">
        <v>12</v>
      </c>
      <c r="AD4504" t="n">
        <v>0</v>
      </c>
      <c r="AE4504" t="n">
        <v>197292</v>
      </c>
      <c r="AF4504" t="n">
        <v>11343</v>
      </c>
      <c r="AG4504" t="n">
        <v>448</v>
      </c>
      <c r="AH4504" t="inlineStr">
        <is>
          <t>PT. PADANG DISTRIBUSINDO RAYA - PPN (PDG)</t>
        </is>
      </c>
      <c r="AI4504" t="n">
        <v>449</v>
      </c>
      <c r="AJ4504" t="inlineStr">
        <is>
          <t>POSH</t>
        </is>
      </c>
      <c r="AK4504" t="n">
        <v>21</v>
      </c>
      <c r="AL4504" t="inlineStr">
        <is>
          <t>Miss Glam Damar</t>
        </is>
      </c>
      <c r="AM4504" t="n">
        <v>3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POSH</t>
        </is>
      </c>
      <c r="B4505" s="2">
        <f>"8998866108119"</f>
        <v/>
      </c>
      <c r="C4505" t="inlineStr">
        <is>
          <t>POSH Parfumed Body Spray Hijab Chic Purple Wish 150ml</t>
        </is>
      </c>
      <c r="D4505" t="inlineStr">
        <is>
          <t>Miss Glam Damar</t>
        </is>
      </c>
      <c r="E4505" t="n">
        <v>37</v>
      </c>
      <c r="F4505" t="n">
        <v>1.3559</v>
      </c>
      <c r="G4505" t="n">
        <v>4.55</v>
      </c>
      <c r="H4505" t="n">
        <v>2</v>
      </c>
      <c r="I4505" t="n">
        <v>6</v>
      </c>
      <c r="J4505" t="n">
        <v>3</v>
      </c>
      <c r="K4505" t="n">
        <v>0</v>
      </c>
      <c r="L4505" t="n">
        <v>18194</v>
      </c>
      <c r="M4505" t="n">
        <v>25000</v>
      </c>
      <c r="N4505" t="n">
        <v>91</v>
      </c>
      <c r="O4505" t="n">
        <v>0.91</v>
      </c>
      <c r="P4505" t="n">
        <v>1</v>
      </c>
      <c r="Q4505" t="n">
        <v>0.83</v>
      </c>
      <c r="R4505" t="n">
        <v>3</v>
      </c>
      <c r="S4505" t="n">
        <v>33897.5</v>
      </c>
      <c r="T4505" t="n">
        <v>25</v>
      </c>
      <c r="U4505" t="n">
        <v>28</v>
      </c>
      <c r="V4505" t="n">
        <v>30</v>
      </c>
      <c r="W4505" t="n">
        <v>41</v>
      </c>
      <c r="X4505" t="n">
        <v>27.28814809351722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11343</v>
      </c>
      <c r="AG4505" t="n">
        <v>448</v>
      </c>
      <c r="AH4505" t="inlineStr">
        <is>
          <t>PT. PADANG DISTRIBUSINDO RAYA - PPN (PDG)</t>
        </is>
      </c>
      <c r="AI4505" t="n">
        <v>449</v>
      </c>
      <c r="AJ4505" t="inlineStr">
        <is>
          <t>POSH</t>
        </is>
      </c>
      <c r="AK4505" t="n">
        <v>21</v>
      </c>
      <c r="AL4505" t="inlineStr">
        <is>
          <t>Miss Glam Damar</t>
        </is>
      </c>
      <c r="AM4505" t="n">
        <v>3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POSH</t>
        </is>
      </c>
      <c r="B4506" s="2">
        <f>"8998866106474"</f>
        <v/>
      </c>
      <c r="C4506" t="inlineStr">
        <is>
          <t>POSH Perfume Body Spray Blaze Pink 150ml</t>
        </is>
      </c>
      <c r="D4506" t="inlineStr">
        <is>
          <t>Miss Glam Damar</t>
        </is>
      </c>
      <c r="E4506" t="n">
        <v>28</v>
      </c>
      <c r="F4506" t="n">
        <v>0.4641</v>
      </c>
      <c r="G4506" t="n">
        <v>3.64</v>
      </c>
      <c r="H4506" t="n">
        <v>2</v>
      </c>
      <c r="I4506" t="n">
        <v>6</v>
      </c>
      <c r="J4506" t="n">
        <v>3</v>
      </c>
      <c r="K4506" t="n">
        <v>0</v>
      </c>
      <c r="L4506" t="n">
        <v>16494</v>
      </c>
      <c r="M4506" t="n">
        <v>24500</v>
      </c>
      <c r="N4506" t="n">
        <v>91</v>
      </c>
      <c r="O4506" t="n">
        <v>0.91</v>
      </c>
      <c r="P4506" t="n">
        <v>1</v>
      </c>
      <c r="Q4506" t="n">
        <v>0.41</v>
      </c>
      <c r="R4506" t="n">
        <v>3</v>
      </c>
      <c r="S4506" t="n">
        <v>11370.45</v>
      </c>
      <c r="T4506" t="n">
        <v>21</v>
      </c>
      <c r="U4506" t="n">
        <v>22</v>
      </c>
      <c r="V4506" t="n">
        <v>30</v>
      </c>
      <c r="W4506" t="n">
        <v>14</v>
      </c>
      <c r="X4506" t="n">
        <v>60.33182503770739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11343</v>
      </c>
      <c r="AG4506" t="n">
        <v>448</v>
      </c>
      <c r="AH4506" t="inlineStr">
        <is>
          <t>PT. PADANG DISTRIBUSINDO RAYA - PPN (PDG)</t>
        </is>
      </c>
      <c r="AI4506" t="n">
        <v>449</v>
      </c>
      <c r="AJ4506" t="inlineStr">
        <is>
          <t>POSH</t>
        </is>
      </c>
      <c r="AK4506" t="n">
        <v>21</v>
      </c>
      <c r="AL4506" t="inlineStr">
        <is>
          <t>Miss Glam Damar</t>
        </is>
      </c>
      <c r="AM4506" t="n">
        <v>3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POSH</t>
        </is>
      </c>
      <c r="B4507" s="2">
        <f>"8998866108126"</f>
        <v/>
      </c>
      <c r="C4507" t="inlineStr">
        <is>
          <t>POSH Perfumed Body Spray Hijab Chic Winter Magic 150ml</t>
        </is>
      </c>
      <c r="D4507" t="inlineStr">
        <is>
          <t>Miss Glam Damar</t>
        </is>
      </c>
      <c r="E4507" t="n">
        <v>9</v>
      </c>
      <c r="F4507" t="n">
        <v>0.8372000000000001</v>
      </c>
      <c r="G4507" t="n">
        <v>3.64</v>
      </c>
      <c r="H4507" t="n">
        <v>2</v>
      </c>
      <c r="I4507" t="n">
        <v>6</v>
      </c>
      <c r="J4507" t="n">
        <v>3</v>
      </c>
      <c r="K4507" t="n">
        <v>0</v>
      </c>
      <c r="L4507" t="n">
        <v>17880</v>
      </c>
      <c r="M4507" t="n">
        <v>25000</v>
      </c>
      <c r="N4507" t="n">
        <v>91</v>
      </c>
      <c r="O4507" t="n">
        <v>0.91</v>
      </c>
      <c r="P4507" t="n">
        <v>1</v>
      </c>
      <c r="Q4507" t="n">
        <v>0.53</v>
      </c>
      <c r="R4507" t="n">
        <v>2</v>
      </c>
      <c r="S4507" t="n">
        <v>20930</v>
      </c>
      <c r="T4507" t="n">
        <v>21</v>
      </c>
      <c r="U4507" t="n">
        <v>23</v>
      </c>
      <c r="V4507" t="n">
        <v>30</v>
      </c>
      <c r="W4507" t="n">
        <v>26</v>
      </c>
      <c r="X4507" t="n">
        <v>10.75011944577162</v>
      </c>
      <c r="Y4507" t="n">
        <v>1</v>
      </c>
      <c r="Z4507" t="n">
        <v>17</v>
      </c>
      <c r="AA4507" t="n">
        <v>0</v>
      </c>
      <c r="AB4507" t="n">
        <v>17</v>
      </c>
      <c r="AC4507" t="n">
        <v>17</v>
      </c>
      <c r="AD4507" t="n">
        <v>0</v>
      </c>
      <c r="AE4507" t="n">
        <v>303960</v>
      </c>
      <c r="AF4507" t="n">
        <v>11343</v>
      </c>
      <c r="AG4507" t="n">
        <v>448</v>
      </c>
      <c r="AH4507" t="inlineStr">
        <is>
          <t>PT. PADANG DISTRIBUSINDO RAYA - PPN (PDG)</t>
        </is>
      </c>
      <c r="AI4507" t="n">
        <v>449</v>
      </c>
      <c r="AJ4507" t="inlineStr">
        <is>
          <t>POSH</t>
        </is>
      </c>
      <c r="AK4507" t="n">
        <v>21</v>
      </c>
      <c r="AL4507" t="inlineStr">
        <is>
          <t>Miss Glam Damar</t>
        </is>
      </c>
      <c r="AM4507" t="n">
        <v>3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POSH</t>
        </is>
      </c>
      <c r="B4508" s="2">
        <f>"8998866107457"</f>
        <v/>
      </c>
      <c r="C4508" t="inlineStr">
        <is>
          <t>POSH Perfumed Body Spray Summer Love 150ml</t>
        </is>
      </c>
      <c r="D4508" t="inlineStr">
        <is>
          <t>Miss Glam Damar</t>
        </is>
      </c>
      <c r="E4508" t="n">
        <v>5</v>
      </c>
      <c r="F4508" t="n">
        <v>0.4368</v>
      </c>
      <c r="G4508" t="n">
        <v>2.73</v>
      </c>
      <c r="H4508" t="n">
        <v>2</v>
      </c>
      <c r="I4508" t="n">
        <v>6</v>
      </c>
      <c r="J4508" t="n">
        <v>3</v>
      </c>
      <c r="K4508" t="n">
        <v>0</v>
      </c>
      <c r="L4508" t="n">
        <v>17232</v>
      </c>
      <c r="M4508" t="n">
        <v>25000</v>
      </c>
      <c r="N4508" t="n">
        <v>91</v>
      </c>
      <c r="O4508" t="n">
        <v>0.91</v>
      </c>
      <c r="P4508" t="n">
        <v>1</v>
      </c>
      <c r="Q4508" t="n">
        <v>0.08</v>
      </c>
      <c r="R4508" t="n">
        <v>2</v>
      </c>
      <c r="S4508" t="n">
        <v>10920</v>
      </c>
      <c r="T4508" t="n">
        <v>16</v>
      </c>
      <c r="U4508" t="n">
        <v>17</v>
      </c>
      <c r="V4508" t="n">
        <v>30</v>
      </c>
      <c r="W4508" t="n">
        <v>14</v>
      </c>
      <c r="X4508" t="n">
        <v>11.44688644688645</v>
      </c>
      <c r="Y4508" t="n">
        <v>1</v>
      </c>
      <c r="Z4508" t="n">
        <v>9</v>
      </c>
      <c r="AA4508" t="n">
        <v>0</v>
      </c>
      <c r="AB4508" t="n">
        <v>9</v>
      </c>
      <c r="AC4508" t="n">
        <v>9</v>
      </c>
      <c r="AD4508" t="n">
        <v>0</v>
      </c>
      <c r="AE4508" t="n">
        <v>155088</v>
      </c>
      <c r="AF4508" t="n">
        <v>11343</v>
      </c>
      <c r="AG4508" t="n">
        <v>448</v>
      </c>
      <c r="AH4508" t="inlineStr">
        <is>
          <t>PT. PADANG DISTRIBUSINDO RAYA - PPN (PDG)</t>
        </is>
      </c>
      <c r="AI4508" t="n">
        <v>449</v>
      </c>
      <c r="AJ4508" t="inlineStr">
        <is>
          <t>POSH</t>
        </is>
      </c>
      <c r="AK4508" t="n">
        <v>21</v>
      </c>
      <c r="AL4508" t="inlineStr">
        <is>
          <t>Miss Glam Damar</t>
        </is>
      </c>
      <c r="AM4508" t="n">
        <v>3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POSH</t>
        </is>
      </c>
      <c r="B4509" s="2">
        <f>"8998866106467"</f>
        <v/>
      </c>
      <c r="C4509" t="inlineStr">
        <is>
          <t>POSH Spray Cologne Love Song Botol 150ml</t>
        </is>
      </c>
      <c r="D4509" t="inlineStr">
        <is>
          <t>Miss Glam Damar</t>
        </is>
      </c>
      <c r="E4509" t="n">
        <v>6</v>
      </c>
      <c r="F4509" t="n">
        <v>0.04550000000000001</v>
      </c>
      <c r="G4509" t="n">
        <v>0.91</v>
      </c>
      <c r="H4509" t="n">
        <v>2</v>
      </c>
      <c r="I4509" t="n">
        <v>6</v>
      </c>
      <c r="J4509" t="n">
        <v>3</v>
      </c>
      <c r="K4509" t="n">
        <v>0</v>
      </c>
      <c r="L4509" t="n">
        <v>18812</v>
      </c>
      <c r="M4509" t="n">
        <v>25000</v>
      </c>
      <c r="N4509" t="n">
        <v>91</v>
      </c>
      <c r="O4509" t="n">
        <v>0.91</v>
      </c>
      <c r="P4509" t="n">
        <v>1</v>
      </c>
      <c r="Q4509" t="n">
        <v>0.05</v>
      </c>
      <c r="R4509" t="n">
        <v>1</v>
      </c>
      <c r="S4509" t="n">
        <v>1137.5</v>
      </c>
      <c r="T4509" t="n">
        <v>6</v>
      </c>
      <c r="U4509" t="n">
        <v>7</v>
      </c>
      <c r="V4509" t="n">
        <v>30</v>
      </c>
      <c r="W4509" t="n">
        <v>2</v>
      </c>
      <c r="X4509" t="n">
        <v>131.8681318681319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11343</v>
      </c>
      <c r="AG4509" t="n">
        <v>448</v>
      </c>
      <c r="AH4509" t="inlineStr">
        <is>
          <t>PT. PADANG DISTRIBUSINDO RAYA - PPN (PDG)</t>
        </is>
      </c>
      <c r="AI4509" t="n">
        <v>449</v>
      </c>
      <c r="AJ4509" t="inlineStr">
        <is>
          <t>POSH</t>
        </is>
      </c>
      <c r="AK4509" t="n">
        <v>21</v>
      </c>
      <c r="AL4509" t="inlineStr">
        <is>
          <t>Miss Glam Damar</t>
        </is>
      </c>
      <c r="AM4509" t="n">
        <v>3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POSH MEN</t>
        </is>
      </c>
      <c r="B4510" s="2">
        <f>"8998866108867"</f>
        <v/>
      </c>
      <c r="C4510" t="inlineStr">
        <is>
          <t>POSH Men Anti Perspirant Deodorant Active Cool 50ml</t>
        </is>
      </c>
      <c r="D4510" t="inlineStr">
        <is>
          <t>Miss Glam Damar</t>
        </is>
      </c>
      <c r="E4510" t="n">
        <v>10</v>
      </c>
      <c r="F4510" t="n">
        <v>0.4277</v>
      </c>
      <c r="G4510" t="n">
        <v>1.82</v>
      </c>
      <c r="H4510" t="n">
        <v>2</v>
      </c>
      <c r="I4510" t="n">
        <v>6</v>
      </c>
      <c r="J4510" t="n">
        <v>3</v>
      </c>
      <c r="K4510" t="n">
        <v>0</v>
      </c>
      <c r="L4510" t="n">
        <v>12679</v>
      </c>
      <c r="M4510" t="n">
        <v>16000</v>
      </c>
      <c r="N4510" t="n">
        <v>91</v>
      </c>
      <c r="O4510" t="n">
        <v>0.91</v>
      </c>
      <c r="P4510" t="n">
        <v>1</v>
      </c>
      <c r="Q4510" t="n">
        <v>0.02</v>
      </c>
      <c r="R4510" t="n">
        <v>0</v>
      </c>
      <c r="S4510" t="n">
        <v>6843.2</v>
      </c>
      <c r="T4510" t="n">
        <v>11</v>
      </c>
      <c r="U4510" t="n">
        <v>12</v>
      </c>
      <c r="V4510" t="n">
        <v>30</v>
      </c>
      <c r="W4510" t="n">
        <v>13</v>
      </c>
      <c r="X4510" t="n">
        <v>23.38087444470423</v>
      </c>
      <c r="Y4510" t="n">
        <v>1</v>
      </c>
      <c r="Z4510" t="n">
        <v>3</v>
      </c>
      <c r="AA4510" t="n">
        <v>0</v>
      </c>
      <c r="AB4510" t="n">
        <v>3</v>
      </c>
      <c r="AC4510" t="n">
        <v>3</v>
      </c>
      <c r="AD4510" t="n">
        <v>0</v>
      </c>
      <c r="AE4510" t="n">
        <v>38037</v>
      </c>
      <c r="AF4510" t="n">
        <v>11347</v>
      </c>
      <c r="AG4510" t="n">
        <v>448</v>
      </c>
      <c r="AH4510" t="inlineStr">
        <is>
          <t>PT. PADANG DISTRIBUSINDO RAYA - PPN (PDG)</t>
        </is>
      </c>
      <c r="AI4510" t="n">
        <v>2281</v>
      </c>
      <c r="AJ4510" t="inlineStr">
        <is>
          <t>POSH MEN</t>
        </is>
      </c>
      <c r="AK4510" t="n">
        <v>21</v>
      </c>
      <c r="AL4510" t="inlineStr">
        <is>
          <t>Miss Glam Damar</t>
        </is>
      </c>
      <c r="AM4510" t="n">
        <v>3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POSH MEN</t>
        </is>
      </c>
      <c r="B4511" s="2">
        <f>"8998866108881"</f>
        <v/>
      </c>
      <c r="C4511" t="inlineStr">
        <is>
          <t>POSH Men Anti Perspirant Deodorant Active Pro 50ml</t>
        </is>
      </c>
      <c r="D4511" t="inlineStr">
        <is>
          <t>Miss Glam Damar</t>
        </is>
      </c>
      <c r="E4511" t="n">
        <v>23</v>
      </c>
      <c r="F4511" t="n">
        <v>0.2275</v>
      </c>
      <c r="G4511" t="n">
        <v>1.82</v>
      </c>
      <c r="H4511" t="n">
        <v>2</v>
      </c>
      <c r="I4511" t="n">
        <v>6</v>
      </c>
      <c r="J4511" t="n">
        <v>3</v>
      </c>
      <c r="K4511" t="n">
        <v>0</v>
      </c>
      <c r="L4511" t="n">
        <v>12875</v>
      </c>
      <c r="M4511" t="n">
        <v>16000</v>
      </c>
      <c r="N4511" t="n">
        <v>91</v>
      </c>
      <c r="O4511" t="n">
        <v>0.91</v>
      </c>
      <c r="P4511" t="n">
        <v>1</v>
      </c>
      <c r="Q4511" t="n">
        <v>0.22</v>
      </c>
      <c r="R4511" t="n">
        <v>2</v>
      </c>
      <c r="S4511" t="n">
        <v>3640</v>
      </c>
      <c r="T4511" t="n">
        <v>11</v>
      </c>
      <c r="U4511" t="n">
        <v>12</v>
      </c>
      <c r="V4511" t="n">
        <v>30</v>
      </c>
      <c r="W4511" t="n">
        <v>7</v>
      </c>
      <c r="X4511" t="n">
        <v>101.0989010989011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11347</v>
      </c>
      <c r="AG4511" t="n">
        <v>448</v>
      </c>
      <c r="AH4511" t="inlineStr">
        <is>
          <t>PT. PADANG DISTRIBUSINDO RAYA - PPN (PDG)</t>
        </is>
      </c>
      <c r="AI4511" t="n">
        <v>2281</v>
      </c>
      <c r="AJ4511" t="inlineStr">
        <is>
          <t>POSH MEN</t>
        </is>
      </c>
      <c r="AK4511" t="n">
        <v>21</v>
      </c>
      <c r="AL4511" t="inlineStr">
        <is>
          <t>Miss Glam Damar</t>
        </is>
      </c>
      <c r="AM4511" t="n">
        <v>3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POSH MEN</t>
        </is>
      </c>
      <c r="B4512" s="2">
        <f>"8998866108874"</f>
        <v/>
      </c>
      <c r="C4512" t="inlineStr">
        <is>
          <t>POSH Men Anti Perspirant Deodorant Active Sport 50ml</t>
        </is>
      </c>
      <c r="D4512" t="inlineStr">
        <is>
          <t>Miss Glam Damar</t>
        </is>
      </c>
      <c r="E4512" t="n">
        <v>4</v>
      </c>
      <c r="F4512" t="n">
        <v>0.1274</v>
      </c>
      <c r="G4512" t="n">
        <v>1.82</v>
      </c>
      <c r="H4512" t="n">
        <v>2</v>
      </c>
      <c r="I4512" t="n">
        <v>6</v>
      </c>
      <c r="J4512" t="n">
        <v>3</v>
      </c>
      <c r="K4512" t="n">
        <v>0</v>
      </c>
      <c r="L4512" t="n">
        <v>12800</v>
      </c>
      <c r="M4512" t="n">
        <v>16000</v>
      </c>
      <c r="N4512" t="n">
        <v>91</v>
      </c>
      <c r="O4512" t="n">
        <v>0.91</v>
      </c>
      <c r="P4512" t="n">
        <v>1</v>
      </c>
      <c r="Q4512" t="n">
        <v>0.03</v>
      </c>
      <c r="R4512" t="n">
        <v>1</v>
      </c>
      <c r="S4512" t="n">
        <v>2038.4</v>
      </c>
      <c r="T4512" t="n">
        <v>11</v>
      </c>
      <c r="U4512" t="n">
        <v>12</v>
      </c>
      <c r="V4512" t="n">
        <v>30</v>
      </c>
      <c r="W4512" t="n">
        <v>4</v>
      </c>
      <c r="X4512" t="n">
        <v>31.39717425431711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11347</v>
      </c>
      <c r="AG4512" t="n">
        <v>448</v>
      </c>
      <c r="AH4512" t="inlineStr">
        <is>
          <t>PT. PADANG DISTRIBUSINDO RAYA - PPN (PDG)</t>
        </is>
      </c>
      <c r="AI4512" t="n">
        <v>2281</v>
      </c>
      <c r="AJ4512" t="inlineStr">
        <is>
          <t>POSH MEN</t>
        </is>
      </c>
      <c r="AK4512" t="n">
        <v>21</v>
      </c>
      <c r="AL4512" t="inlineStr">
        <is>
          <t>Miss Glam Damar</t>
        </is>
      </c>
      <c r="AM4512" t="n">
        <v>3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POSH MEN</t>
        </is>
      </c>
      <c r="B4513" s="2">
        <f>"8998866108928"</f>
        <v/>
      </c>
      <c r="C4513" t="inlineStr">
        <is>
          <t>POSH MEN Blue Gravity Eau De Toilette 100ml</t>
        </is>
      </c>
      <c r="D4513" t="inlineStr">
        <is>
          <t>Miss Glam Damar</t>
        </is>
      </c>
      <c r="E4513" t="n">
        <v>5</v>
      </c>
      <c r="F4513" t="n">
        <v>0.3003</v>
      </c>
      <c r="G4513" t="n">
        <v>2.73</v>
      </c>
      <c r="H4513" t="n">
        <v>2</v>
      </c>
      <c r="I4513" t="n">
        <v>6</v>
      </c>
      <c r="J4513" t="n">
        <v>12</v>
      </c>
      <c r="K4513" t="n">
        <v>0</v>
      </c>
      <c r="L4513" t="n">
        <v>19878</v>
      </c>
      <c r="M4513" t="n">
        <v>28000</v>
      </c>
      <c r="N4513" t="n">
        <v>91</v>
      </c>
      <c r="O4513" t="n">
        <v>0.91</v>
      </c>
      <c r="P4513" t="n">
        <v>1</v>
      </c>
      <c r="Q4513" t="n">
        <v>0.19</v>
      </c>
      <c r="R4513" t="n">
        <v>2</v>
      </c>
      <c r="S4513" t="n">
        <v>8408.4</v>
      </c>
      <c r="T4513" t="n">
        <v>16</v>
      </c>
      <c r="U4513" t="n">
        <v>17</v>
      </c>
      <c r="V4513" t="n">
        <v>30</v>
      </c>
      <c r="W4513" t="n">
        <v>10</v>
      </c>
      <c r="X4513" t="n">
        <v>16.65001665001665</v>
      </c>
      <c r="Y4513" t="n">
        <v>1</v>
      </c>
      <c r="Z4513" t="n">
        <v>5</v>
      </c>
      <c r="AA4513" t="n">
        <v>0</v>
      </c>
      <c r="AB4513" t="n">
        <v>5</v>
      </c>
      <c r="AC4513" t="n">
        <v>12</v>
      </c>
      <c r="AD4513" t="n">
        <v>0</v>
      </c>
      <c r="AE4513" t="n">
        <v>238536</v>
      </c>
      <c r="AF4513" t="n">
        <v>11347</v>
      </c>
      <c r="AG4513" t="n">
        <v>448</v>
      </c>
      <c r="AH4513" t="inlineStr">
        <is>
          <t>PT. PADANG DISTRIBUSINDO RAYA - PPN (PDG)</t>
        </is>
      </c>
      <c r="AI4513" t="n">
        <v>2281</v>
      </c>
      <c r="AJ4513" t="inlineStr">
        <is>
          <t>POSH MEN</t>
        </is>
      </c>
      <c r="AK4513" t="n">
        <v>21</v>
      </c>
      <c r="AL4513" t="inlineStr">
        <is>
          <t>Miss Glam Damar</t>
        </is>
      </c>
      <c r="AM4513" t="n">
        <v>3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POSH MEN</t>
        </is>
      </c>
      <c r="B4514" s="2">
        <f>"8998866107143"</f>
        <v/>
      </c>
      <c r="C4514" t="inlineStr">
        <is>
          <t>POSH Men Perfumed Body Spray Cool Blue 150ml</t>
        </is>
      </c>
      <c r="D4514" t="inlineStr">
        <is>
          <t>Miss Glam Damar</t>
        </is>
      </c>
      <c r="E4514" t="n">
        <v>8</v>
      </c>
      <c r="F4514" t="n">
        <v>0.3822</v>
      </c>
      <c r="G4514" t="n">
        <v>1.82</v>
      </c>
      <c r="H4514" t="n">
        <v>2</v>
      </c>
      <c r="I4514" t="n">
        <v>6</v>
      </c>
      <c r="J4514" t="n">
        <v>3</v>
      </c>
      <c r="K4514" t="n">
        <v>0</v>
      </c>
      <c r="L4514" t="n">
        <v>18655</v>
      </c>
      <c r="M4514" t="n">
        <v>23500</v>
      </c>
      <c r="N4514" t="n">
        <v>91</v>
      </c>
      <c r="O4514" t="n">
        <v>0.91</v>
      </c>
      <c r="P4514" t="n">
        <v>1</v>
      </c>
      <c r="Q4514" t="n">
        <v>0.32</v>
      </c>
      <c r="R4514" t="n">
        <v>2</v>
      </c>
      <c r="S4514" t="n">
        <v>8981.699999999999</v>
      </c>
      <c r="T4514" t="n">
        <v>11</v>
      </c>
      <c r="U4514" t="n">
        <v>12</v>
      </c>
      <c r="V4514" t="n">
        <v>30</v>
      </c>
      <c r="W4514" t="n">
        <v>12</v>
      </c>
      <c r="X4514" t="n">
        <v>20.93144950287807</v>
      </c>
      <c r="Y4514" t="n">
        <v>1</v>
      </c>
      <c r="Z4514" t="n">
        <v>4</v>
      </c>
      <c r="AA4514" t="n">
        <v>0</v>
      </c>
      <c r="AB4514" t="n">
        <v>4</v>
      </c>
      <c r="AC4514" t="n">
        <v>4</v>
      </c>
      <c r="AD4514" t="n">
        <v>0</v>
      </c>
      <c r="AE4514" t="n">
        <v>74620</v>
      </c>
      <c r="AF4514" t="n">
        <v>11347</v>
      </c>
      <c r="AG4514" t="n">
        <v>448</v>
      </c>
      <c r="AH4514" t="inlineStr">
        <is>
          <t>PT. PADANG DISTRIBUSINDO RAYA - PPN (PDG)</t>
        </is>
      </c>
      <c r="AI4514" t="n">
        <v>2281</v>
      </c>
      <c r="AJ4514" t="inlineStr">
        <is>
          <t>POSH MEN</t>
        </is>
      </c>
      <c r="AK4514" t="n">
        <v>21</v>
      </c>
      <c r="AL4514" t="inlineStr">
        <is>
          <t>Miss Glam Damar</t>
        </is>
      </c>
      <c r="AM4514" t="n">
        <v>3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POSH MEN</t>
        </is>
      </c>
      <c r="B4515" s="2">
        <f>"8998866107686"</f>
        <v/>
      </c>
      <c r="C4515" t="inlineStr">
        <is>
          <t>POSH Men Perfumed Body Spray Green Motion 150ml</t>
        </is>
      </c>
      <c r="D4515" t="inlineStr">
        <is>
          <t>Miss Glam Damar</t>
        </is>
      </c>
      <c r="E4515" t="n">
        <v>16</v>
      </c>
      <c r="F4515" t="n">
        <v>0.47</v>
      </c>
      <c r="G4515" t="n">
        <v>8</v>
      </c>
      <c r="H4515" t="n">
        <v>2</v>
      </c>
      <c r="I4515" t="n">
        <v>6</v>
      </c>
      <c r="J4515" t="n">
        <v>3</v>
      </c>
      <c r="K4515" t="n">
        <v>0</v>
      </c>
      <c r="L4515" t="n">
        <v>18499</v>
      </c>
      <c r="M4515" t="n">
        <v>23500</v>
      </c>
      <c r="N4515" t="n">
        <v>91</v>
      </c>
      <c r="O4515" t="n">
        <v>0.91</v>
      </c>
      <c r="P4515" t="n">
        <v>0</v>
      </c>
      <c r="Q4515" t="n">
        <v>0.47</v>
      </c>
      <c r="R4515" t="n">
        <v>8</v>
      </c>
      <c r="S4515" t="n">
        <v>11045</v>
      </c>
      <c r="T4515" t="n">
        <v>48</v>
      </c>
      <c r="U4515" t="n">
        <v>49</v>
      </c>
      <c r="V4515" t="n">
        <v>30</v>
      </c>
      <c r="W4515" t="n">
        <v>15</v>
      </c>
      <c r="X4515" t="n">
        <v>34.04255319148936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11347</v>
      </c>
      <c r="AG4515" t="n">
        <v>448</v>
      </c>
      <c r="AH4515" t="inlineStr">
        <is>
          <t>PT. PADANG DISTRIBUSINDO RAYA - PPN (PDG)</t>
        </is>
      </c>
      <c r="AI4515" t="n">
        <v>2281</v>
      </c>
      <c r="AJ4515" t="inlineStr">
        <is>
          <t>POSH MEN</t>
        </is>
      </c>
      <c r="AK4515" t="n">
        <v>21</v>
      </c>
      <c r="AL4515" t="inlineStr">
        <is>
          <t>Miss Glam Damar</t>
        </is>
      </c>
      <c r="AM4515" t="n">
        <v>3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POSH MEN</t>
        </is>
      </c>
      <c r="B4516" s="2">
        <f>"8998866107662"</f>
        <v/>
      </c>
      <c r="C4516" t="inlineStr">
        <is>
          <t>POSH Men Perfumed Body Spray Red Extreme 150ml</t>
        </is>
      </c>
      <c r="D4516" t="inlineStr">
        <is>
          <t>Miss Glam Damar</t>
        </is>
      </c>
      <c r="E4516" t="n">
        <v>4</v>
      </c>
      <c r="F4516" t="n">
        <v>0.1365</v>
      </c>
      <c r="G4516" t="n">
        <v>0.91</v>
      </c>
      <c r="H4516" t="n">
        <v>2</v>
      </c>
      <c r="I4516" t="n">
        <v>6</v>
      </c>
      <c r="J4516" t="n">
        <v>3</v>
      </c>
      <c r="K4516" t="n">
        <v>0</v>
      </c>
      <c r="L4516" t="n">
        <v>18812</v>
      </c>
      <c r="M4516" t="n">
        <v>23500</v>
      </c>
      <c r="N4516" t="n">
        <v>91</v>
      </c>
      <c r="O4516" t="n">
        <v>0.91</v>
      </c>
      <c r="P4516" t="n">
        <v>1</v>
      </c>
      <c r="Q4516" t="n">
        <v>0.08</v>
      </c>
      <c r="R4516" t="n">
        <v>2</v>
      </c>
      <c r="S4516" t="n">
        <v>3207.75</v>
      </c>
      <c r="T4516" t="n">
        <v>6</v>
      </c>
      <c r="U4516" t="n">
        <v>7</v>
      </c>
      <c r="V4516" t="n">
        <v>30</v>
      </c>
      <c r="W4516" t="n">
        <v>5</v>
      </c>
      <c r="X4516" t="n">
        <v>29.3040293040293</v>
      </c>
      <c r="Y4516" t="n">
        <v>1</v>
      </c>
      <c r="Z4516" t="n">
        <v>1</v>
      </c>
      <c r="AA4516" t="n">
        <v>0</v>
      </c>
      <c r="AB4516" t="n">
        <v>1</v>
      </c>
      <c r="AC4516" t="n">
        <v>3</v>
      </c>
      <c r="AD4516" t="n">
        <v>0</v>
      </c>
      <c r="AE4516" t="n">
        <v>56436</v>
      </c>
      <c r="AF4516" t="n">
        <v>11347</v>
      </c>
      <c r="AG4516" t="n">
        <v>448</v>
      </c>
      <c r="AH4516" t="inlineStr">
        <is>
          <t>PT. PADANG DISTRIBUSINDO RAYA - PPN (PDG)</t>
        </is>
      </c>
      <c r="AI4516" t="n">
        <v>2281</v>
      </c>
      <c r="AJ4516" t="inlineStr">
        <is>
          <t>POSH MEN</t>
        </is>
      </c>
      <c r="AK4516" t="n">
        <v>21</v>
      </c>
      <c r="AL4516" t="inlineStr">
        <is>
          <t>Miss Glam Damar</t>
        </is>
      </c>
      <c r="AM4516" t="n">
        <v>3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POSH MEN</t>
        </is>
      </c>
      <c r="B4517" s="2">
        <f>"8998866107679"</f>
        <v/>
      </c>
      <c r="C4517" t="inlineStr">
        <is>
          <t>POSH Men Perfumed Spray Brown Legacy 150ml</t>
        </is>
      </c>
      <c r="D4517" t="inlineStr">
        <is>
          <t>Miss Glam Damar</t>
        </is>
      </c>
      <c r="E4517" t="n">
        <v>11</v>
      </c>
      <c r="F4517" t="n">
        <v>0.2002</v>
      </c>
      <c r="G4517" t="n">
        <v>1.82</v>
      </c>
      <c r="H4517" t="n">
        <v>2</v>
      </c>
      <c r="I4517" t="n">
        <v>6</v>
      </c>
      <c r="J4517" t="n">
        <v>3</v>
      </c>
      <c r="K4517" t="n">
        <v>0</v>
      </c>
      <c r="L4517" t="n">
        <v>18209</v>
      </c>
      <c r="M4517" t="n">
        <v>23500</v>
      </c>
      <c r="N4517" t="n">
        <v>91</v>
      </c>
      <c r="O4517" t="n">
        <v>0.91</v>
      </c>
      <c r="P4517" t="n">
        <v>1</v>
      </c>
      <c r="Q4517" t="n">
        <v>0.25</v>
      </c>
      <c r="R4517" t="n">
        <v>3</v>
      </c>
      <c r="S4517" t="n">
        <v>4704.700000000001</v>
      </c>
      <c r="T4517" t="n">
        <v>11</v>
      </c>
      <c r="U4517" t="n">
        <v>12</v>
      </c>
      <c r="V4517" t="n">
        <v>30</v>
      </c>
      <c r="W4517" t="n">
        <v>7</v>
      </c>
      <c r="X4517" t="n">
        <v>54.94505494505494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11347</v>
      </c>
      <c r="AG4517" t="n">
        <v>448</v>
      </c>
      <c r="AH4517" t="inlineStr">
        <is>
          <t>PT. PADANG DISTRIBUSINDO RAYA - PPN (PDG)</t>
        </is>
      </c>
      <c r="AI4517" t="n">
        <v>2281</v>
      </c>
      <c r="AJ4517" t="inlineStr">
        <is>
          <t>POSH MEN</t>
        </is>
      </c>
      <c r="AK4517" t="n">
        <v>21</v>
      </c>
      <c r="AL4517" t="inlineStr">
        <is>
          <t>Miss Glam Damar</t>
        </is>
      </c>
      <c r="AM4517" t="n">
        <v>3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PRAMY</t>
        </is>
      </c>
      <c r="B4518" s="2">
        <f>"6974445741979"</f>
        <v/>
      </c>
      <c r="C4518" t="inlineStr">
        <is>
          <t>PRAMY Moisturizing Setting Spray Dewy Finish 100ml</t>
        </is>
      </c>
      <c r="D4518" t="inlineStr">
        <is>
          <t>Miss Glam Damar</t>
        </is>
      </c>
      <c r="E4518" t="n">
        <v>6</v>
      </c>
      <c r="F4518" t="n">
        <v>0.0182</v>
      </c>
      <c r="G4518" t="n">
        <v>0.91</v>
      </c>
      <c r="H4518" t="n">
        <v>4</v>
      </c>
      <c r="I4518" t="n">
        <v>21</v>
      </c>
      <c r="J4518" t="n">
        <v>1</v>
      </c>
      <c r="K4518" t="n">
        <v>0</v>
      </c>
      <c r="L4518" t="n">
        <v>117073</v>
      </c>
      <c r="M4518" t="n">
        <v>145000</v>
      </c>
      <c r="N4518" t="n">
        <v>91</v>
      </c>
      <c r="O4518" t="n">
        <v>0.91</v>
      </c>
      <c r="P4518" t="n">
        <v>1</v>
      </c>
      <c r="Q4518" t="n">
        <v>0.02</v>
      </c>
      <c r="R4518" t="n">
        <v>1</v>
      </c>
      <c r="S4518" t="n">
        <v>2639</v>
      </c>
      <c r="T4518" t="n">
        <v>20</v>
      </c>
      <c r="U4518" t="n">
        <v>21</v>
      </c>
      <c r="V4518" t="n">
        <v>30</v>
      </c>
      <c r="W4518" t="n">
        <v>1</v>
      </c>
      <c r="X4518" t="n">
        <v>329.6703296703296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7802</v>
      </c>
      <c r="AG4518" t="n">
        <v>1</v>
      </c>
      <c r="AH4518" t="inlineStr">
        <is>
          <t>PT. BERSAMA DISTRIVERSA INDONESIA (DC CIPUTAT)</t>
        </is>
      </c>
      <c r="AI4518" t="n">
        <v>2324</v>
      </c>
      <c r="AJ4518" t="inlineStr">
        <is>
          <t>PRAMY</t>
        </is>
      </c>
      <c r="AK4518" t="n">
        <v>21</v>
      </c>
      <c r="AL4518" t="inlineStr">
        <is>
          <t>Miss Glam Damar</t>
        </is>
      </c>
      <c r="AM4518" t="n">
        <v>2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PRAMY</t>
        </is>
      </c>
      <c r="B4519" s="2">
        <f>"20101208330"</f>
        <v/>
      </c>
      <c r="C4519" t="inlineStr">
        <is>
          <t>PRAMY Moisturizing Setting Spray Dewy Finish 65ml</t>
        </is>
      </c>
      <c r="D4519" t="inlineStr">
        <is>
          <t>Miss Glam Damar</t>
        </is>
      </c>
      <c r="E4519" t="n">
        <v>14</v>
      </c>
      <c r="F4519" t="n">
        <v>0.06370000000000001</v>
      </c>
      <c r="G4519" t="n">
        <v>0.91</v>
      </c>
      <c r="H4519" t="n">
        <v>4</v>
      </c>
      <c r="I4519" t="n">
        <v>21</v>
      </c>
      <c r="J4519" t="n">
        <v>1</v>
      </c>
      <c r="K4519" t="n">
        <v>0</v>
      </c>
      <c r="L4519" t="n">
        <v>87390</v>
      </c>
      <c r="M4519" t="n">
        <v>109000</v>
      </c>
      <c r="N4519" t="n">
        <v>91</v>
      </c>
      <c r="O4519" t="n">
        <v>0.91</v>
      </c>
      <c r="P4519" t="n">
        <v>1</v>
      </c>
      <c r="Q4519" t="n">
        <v>0.07000000000000001</v>
      </c>
      <c r="R4519" t="n">
        <v>1</v>
      </c>
      <c r="S4519" t="n">
        <v>6943.300000000001</v>
      </c>
      <c r="T4519" t="n">
        <v>19</v>
      </c>
      <c r="U4519" t="n">
        <v>20</v>
      </c>
      <c r="V4519" t="n">
        <v>30</v>
      </c>
      <c r="W4519" t="n">
        <v>2</v>
      </c>
      <c r="X4519" t="n">
        <v>219.7802197802198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7802</v>
      </c>
      <c r="AG4519" t="n">
        <v>1</v>
      </c>
      <c r="AH4519" t="inlineStr">
        <is>
          <t>PT. BERSAMA DISTRIVERSA INDONESIA (DC CIPUTAT)</t>
        </is>
      </c>
      <c r="AI4519" t="n">
        <v>2324</v>
      </c>
      <c r="AJ4519" t="inlineStr">
        <is>
          <t>PRAMY</t>
        </is>
      </c>
      <c r="AK4519" t="n">
        <v>21</v>
      </c>
      <c r="AL4519" t="inlineStr">
        <is>
          <t>Miss Glam Damar</t>
        </is>
      </c>
      <c r="AM4519" t="n">
        <v>2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PRAMY</t>
        </is>
      </c>
      <c r="B4520" s="2">
        <f>"6974445741962"</f>
        <v/>
      </c>
      <c r="C4520" t="inlineStr">
        <is>
          <t>PRAMY Moisturizing Setting Spray Matte Finish 100ml</t>
        </is>
      </c>
      <c r="D4520" t="inlineStr">
        <is>
          <t>Miss Glam Damar</t>
        </is>
      </c>
      <c r="E4520" t="n">
        <v>12</v>
      </c>
      <c r="F4520" t="n">
        <v>0.14</v>
      </c>
      <c r="G4520" t="n">
        <v>3</v>
      </c>
      <c r="H4520" t="n">
        <v>4</v>
      </c>
      <c r="I4520" t="n">
        <v>21</v>
      </c>
      <c r="J4520" t="n">
        <v>1</v>
      </c>
      <c r="K4520" t="n">
        <v>0</v>
      </c>
      <c r="L4520" t="n">
        <v>116493</v>
      </c>
      <c r="M4520" t="n">
        <v>145000</v>
      </c>
      <c r="N4520" t="n">
        <v>91</v>
      </c>
      <c r="O4520" t="n">
        <v>0.91</v>
      </c>
      <c r="P4520" t="n">
        <v>0</v>
      </c>
      <c r="Q4520" t="n">
        <v>0.14</v>
      </c>
      <c r="R4520" t="n">
        <v>3</v>
      </c>
      <c r="S4520" t="n">
        <v>20300</v>
      </c>
      <c r="T4520" t="n">
        <v>63</v>
      </c>
      <c r="U4520" t="n">
        <v>64</v>
      </c>
      <c r="V4520" t="n">
        <v>30</v>
      </c>
      <c r="W4520" t="n">
        <v>5</v>
      </c>
      <c r="X4520" t="n">
        <v>85.71428571428571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7802</v>
      </c>
      <c r="AG4520" t="n">
        <v>1</v>
      </c>
      <c r="AH4520" t="inlineStr">
        <is>
          <t>PT. BERSAMA DISTRIVERSA INDONESIA (DC CIPUTAT)</t>
        </is>
      </c>
      <c r="AI4520" t="n">
        <v>2324</v>
      </c>
      <c r="AJ4520" t="inlineStr">
        <is>
          <t>PRAMY</t>
        </is>
      </c>
      <c r="AK4520" t="n">
        <v>21</v>
      </c>
      <c r="AL4520" t="inlineStr">
        <is>
          <t>Miss Glam Damar</t>
        </is>
      </c>
      <c r="AM4520" t="n">
        <v>2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PRAMY</t>
        </is>
      </c>
      <c r="B4521" s="2">
        <f>"20101208503"</f>
        <v/>
      </c>
      <c r="C4521" t="inlineStr">
        <is>
          <t>PRAMY Moisturizing Setting Spray Matte Finish 65ml</t>
        </is>
      </c>
      <c r="D4521" t="inlineStr">
        <is>
          <t>Miss Glam Damar</t>
        </is>
      </c>
      <c r="E4521" t="n">
        <v>4</v>
      </c>
      <c r="F4521" t="n">
        <v>0.2821</v>
      </c>
      <c r="G4521" t="n">
        <v>1.82</v>
      </c>
      <c r="H4521" t="n">
        <v>4</v>
      </c>
      <c r="I4521" t="n">
        <v>21</v>
      </c>
      <c r="J4521" t="n">
        <v>1</v>
      </c>
      <c r="K4521" t="n">
        <v>0</v>
      </c>
      <c r="L4521" t="n">
        <v>87493</v>
      </c>
      <c r="M4521" t="n">
        <v>109000</v>
      </c>
      <c r="N4521" t="n">
        <v>91</v>
      </c>
      <c r="O4521" t="n">
        <v>0.91</v>
      </c>
      <c r="P4521" t="n">
        <v>1</v>
      </c>
      <c r="Q4521" t="n">
        <v>0.14</v>
      </c>
      <c r="R4521" t="n">
        <v>1</v>
      </c>
      <c r="S4521" t="n">
        <v>30748.9</v>
      </c>
      <c r="T4521" t="n">
        <v>38</v>
      </c>
      <c r="U4521" t="n">
        <v>40</v>
      </c>
      <c r="V4521" t="n">
        <v>30</v>
      </c>
      <c r="W4521" t="n">
        <v>9</v>
      </c>
      <c r="X4521" t="n">
        <v>14.1793690180787</v>
      </c>
      <c r="Y4521" t="n">
        <v>1</v>
      </c>
      <c r="Z4521" t="n">
        <v>5</v>
      </c>
      <c r="AA4521" t="n">
        <v>2</v>
      </c>
      <c r="AB4521" t="n">
        <v>3</v>
      </c>
      <c r="AC4521" t="n">
        <v>3</v>
      </c>
      <c r="AD4521" t="n">
        <v>174986</v>
      </c>
      <c r="AE4521" t="n">
        <v>262479</v>
      </c>
      <c r="AF4521" t="n">
        <v>7802</v>
      </c>
      <c r="AG4521" t="n">
        <v>1</v>
      </c>
      <c r="AH4521" t="inlineStr">
        <is>
          <t>PT. BERSAMA DISTRIVERSA INDONESIA (DC CIPUTAT)</t>
        </is>
      </c>
      <c r="AI4521" t="n">
        <v>2324</v>
      </c>
      <c r="AJ4521" t="inlineStr">
        <is>
          <t>PRAMY</t>
        </is>
      </c>
      <c r="AK4521" t="n">
        <v>21</v>
      </c>
      <c r="AL4521" t="inlineStr">
        <is>
          <t>Miss Glam Damar</t>
        </is>
      </c>
      <c r="AM4521" t="n">
        <v>2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PRECIOUS SKIN</t>
        </is>
      </c>
      <c r="B4522" s="2">
        <f>"8859690401053"</f>
        <v/>
      </c>
      <c r="C4522" t="inlineStr">
        <is>
          <t>PRECIOUS SKIN Aha Body Booster Bright Serum 30ml</t>
        </is>
      </c>
      <c r="D4522" t="inlineStr">
        <is>
          <t>Miss Glam Damar</t>
        </is>
      </c>
      <c r="E4522" t="n">
        <v>0</v>
      </c>
      <c r="F4522" t="n">
        <v>0.3094</v>
      </c>
      <c r="G4522" t="n">
        <v>3.64</v>
      </c>
      <c r="H4522" t="n">
        <v>4</v>
      </c>
      <c r="I4522" t="n">
        <v>21</v>
      </c>
      <c r="J4522" t="n">
        <v>3</v>
      </c>
      <c r="K4522" t="n">
        <v>18</v>
      </c>
      <c r="L4522" t="n">
        <v>23000</v>
      </c>
      <c r="M4522" t="n">
        <v>30000</v>
      </c>
      <c r="N4522" t="n">
        <v>91</v>
      </c>
      <c r="O4522" t="n">
        <v>0.91</v>
      </c>
      <c r="P4522" t="n">
        <v>1</v>
      </c>
      <c r="Q4522" t="n">
        <v>0.66</v>
      </c>
      <c r="R4522" t="n">
        <v>5</v>
      </c>
      <c r="S4522" t="n">
        <v>9282</v>
      </c>
      <c r="T4522" t="n">
        <v>76</v>
      </c>
      <c r="U4522" t="n">
        <v>78</v>
      </c>
      <c r="V4522" t="n">
        <v>30</v>
      </c>
      <c r="W4522" t="n">
        <v>10</v>
      </c>
      <c r="X4522" t="n">
        <v>0</v>
      </c>
      <c r="Y4522" t="n">
        <v>1</v>
      </c>
      <c r="Z4522" t="n">
        <v>0</v>
      </c>
      <c r="AA4522" t="n">
        <v>6</v>
      </c>
      <c r="AB4522" t="n">
        <v>0</v>
      </c>
      <c r="AC4522" t="n">
        <v>0</v>
      </c>
      <c r="AD4522" t="n">
        <v>138000</v>
      </c>
      <c r="AE4522" t="n">
        <v>0</v>
      </c>
      <c r="AF4522" t="n">
        <v>7868</v>
      </c>
      <c r="AG4522" t="n">
        <v>1</v>
      </c>
      <c r="AH4522" t="inlineStr">
        <is>
          <t>PT. BERSAMA DISTRIVERSA INDONESIA (DC CIPUTAT)</t>
        </is>
      </c>
      <c r="AI4522" t="n">
        <v>657</v>
      </c>
      <c r="AJ4522" t="inlineStr">
        <is>
          <t>PRECIOUS SKIN</t>
        </is>
      </c>
      <c r="AK4522" t="n">
        <v>21</v>
      </c>
      <c r="AL4522" t="inlineStr">
        <is>
          <t>Miss Glam Damar</t>
        </is>
      </c>
      <c r="AM4522" t="n">
        <v>4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PRECIOUS SKIN</t>
        </is>
      </c>
      <c r="B4523" s="2">
        <f>"8859690401008"</f>
        <v/>
      </c>
      <c r="C4523" t="inlineStr">
        <is>
          <t>PRECIOUS SKIN Alpha Arbutin 3 Plus Collagen Body Serum 500ml</t>
        </is>
      </c>
      <c r="D4523" t="inlineStr">
        <is>
          <t>Miss Glam Damar</t>
        </is>
      </c>
      <c r="E4523" t="n">
        <v>0</v>
      </c>
      <c r="F4523" t="n">
        <v>0.11</v>
      </c>
      <c r="G4523" t="n">
        <v>1</v>
      </c>
      <c r="H4523" t="n">
        <v>4</v>
      </c>
      <c r="I4523" t="n">
        <v>21</v>
      </c>
      <c r="J4523" t="n">
        <v>3</v>
      </c>
      <c r="K4523" t="n">
        <v>3</v>
      </c>
      <c r="L4523" t="n">
        <v>88258</v>
      </c>
      <c r="M4523" t="n">
        <v>110000</v>
      </c>
      <c r="N4523" t="n">
        <v>91</v>
      </c>
      <c r="O4523" t="n">
        <v>0.91</v>
      </c>
      <c r="P4523" t="n">
        <v>0</v>
      </c>
      <c r="Q4523" t="n">
        <v>0.11</v>
      </c>
      <c r="R4523" t="n">
        <v>1</v>
      </c>
      <c r="S4523" t="n">
        <v>12100</v>
      </c>
      <c r="T4523" t="n">
        <v>21</v>
      </c>
      <c r="U4523" t="n">
        <v>22</v>
      </c>
      <c r="V4523" t="n">
        <v>30</v>
      </c>
      <c r="W4523" t="n">
        <v>4</v>
      </c>
      <c r="X4523" t="n">
        <v>0</v>
      </c>
      <c r="Y4523" t="n">
        <v>1</v>
      </c>
      <c r="Z4523" t="n">
        <v>1</v>
      </c>
      <c r="AA4523" t="n">
        <v>2</v>
      </c>
      <c r="AB4523" t="n">
        <v>0</v>
      </c>
      <c r="AC4523" t="n">
        <v>0</v>
      </c>
      <c r="AD4523" t="n">
        <v>176516</v>
      </c>
      <c r="AE4523" t="n">
        <v>0</v>
      </c>
      <c r="AF4523" t="n">
        <v>7868</v>
      </c>
      <c r="AG4523" t="n">
        <v>1</v>
      </c>
      <c r="AH4523" t="inlineStr">
        <is>
          <t>PT. BERSAMA DISTRIVERSA INDONESIA (DC CIPUTAT)</t>
        </is>
      </c>
      <c r="AI4523" t="n">
        <v>657</v>
      </c>
      <c r="AJ4523" t="inlineStr">
        <is>
          <t>PRECIOUS SKIN</t>
        </is>
      </c>
      <c r="AK4523" t="n">
        <v>21</v>
      </c>
      <c r="AL4523" t="inlineStr">
        <is>
          <t>Miss Glam Damar</t>
        </is>
      </c>
      <c r="AM4523" t="n">
        <v>4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PRECIOUS SKIN</t>
        </is>
      </c>
      <c r="B4524" s="2">
        <f>"8859690401015"</f>
        <v/>
      </c>
      <c r="C4524" t="inlineStr">
        <is>
          <t>PRECIOUS SKIN Alpha Arbutin 3+ Plus Soap 80gr</t>
        </is>
      </c>
      <c r="D4524" t="inlineStr">
        <is>
          <t>Miss Glam Damar</t>
        </is>
      </c>
      <c r="E4524" t="n">
        <v>0</v>
      </c>
      <c r="F4524" t="n">
        <v>0.1729</v>
      </c>
      <c r="G4524" t="n">
        <v>2.73</v>
      </c>
      <c r="H4524" t="n">
        <v>4</v>
      </c>
      <c r="I4524" t="n">
        <v>21</v>
      </c>
      <c r="J4524" t="n">
        <v>3</v>
      </c>
      <c r="K4524" t="n">
        <v>6</v>
      </c>
      <c r="L4524" t="n">
        <v>18500</v>
      </c>
      <c r="M4524" t="n">
        <v>29000</v>
      </c>
      <c r="N4524" t="n">
        <v>91</v>
      </c>
      <c r="O4524" t="n">
        <v>0.91</v>
      </c>
      <c r="P4524" t="n">
        <v>1</v>
      </c>
      <c r="Q4524" t="n">
        <v>0.21</v>
      </c>
      <c r="R4524" t="n">
        <v>2</v>
      </c>
      <c r="S4524" t="n">
        <v>5014.1</v>
      </c>
      <c r="T4524" t="n">
        <v>57</v>
      </c>
      <c r="U4524" t="n">
        <v>58</v>
      </c>
      <c r="V4524" t="n">
        <v>30</v>
      </c>
      <c r="W4524" t="n">
        <v>6</v>
      </c>
      <c r="X4524" t="n">
        <v>0</v>
      </c>
      <c r="Y4524" t="n">
        <v>1</v>
      </c>
      <c r="Z4524" t="n">
        <v>0</v>
      </c>
      <c r="AA4524" t="n">
        <v>3</v>
      </c>
      <c r="AB4524" t="n">
        <v>0</v>
      </c>
      <c r="AC4524" t="n">
        <v>0</v>
      </c>
      <c r="AD4524" t="n">
        <v>55500</v>
      </c>
      <c r="AE4524" t="n">
        <v>0</v>
      </c>
      <c r="AF4524" t="n">
        <v>7868</v>
      </c>
      <c r="AG4524" t="n">
        <v>1</v>
      </c>
      <c r="AH4524" t="inlineStr">
        <is>
          <t>PT. BERSAMA DISTRIVERSA INDONESIA (DC CIPUTAT)</t>
        </is>
      </c>
      <c r="AI4524" t="n">
        <v>657</v>
      </c>
      <c r="AJ4524" t="inlineStr">
        <is>
          <t>PRECIOUS SKIN</t>
        </is>
      </c>
      <c r="AK4524" t="n">
        <v>21</v>
      </c>
      <c r="AL4524" t="inlineStr">
        <is>
          <t>Miss Glam Damar</t>
        </is>
      </c>
      <c r="AM4524" t="n">
        <v>4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PRECIOUS SKIN</t>
        </is>
      </c>
      <c r="B4525" s="2">
        <f>"8854411377532"</f>
        <v/>
      </c>
      <c r="C4525" t="inlineStr">
        <is>
          <t>PRECIOUS SKIN Alpha Arbutin Collagen Body Serum Uv Protection 500gr</t>
        </is>
      </c>
      <c r="D4525" t="inlineStr">
        <is>
          <t>Miss Glam Damar</t>
        </is>
      </c>
      <c r="E4525" t="n">
        <v>1</v>
      </c>
      <c r="F4525" t="n">
        <v>0.04550000000000001</v>
      </c>
      <c r="G4525" t="n">
        <v>0.91</v>
      </c>
      <c r="H4525" t="n">
        <v>4</v>
      </c>
      <c r="I4525" t="n">
        <v>21</v>
      </c>
      <c r="J4525" t="n">
        <v>3</v>
      </c>
      <c r="K4525" t="n">
        <v>0</v>
      </c>
      <c r="L4525" t="n">
        <v>65000</v>
      </c>
      <c r="M4525" t="n">
        <v>90000</v>
      </c>
      <c r="N4525" t="n">
        <v>91</v>
      </c>
      <c r="O4525" t="n">
        <v>0.91</v>
      </c>
      <c r="P4525" t="n">
        <v>1</v>
      </c>
      <c r="Q4525" t="n">
        <v>0.12</v>
      </c>
      <c r="R4525" t="n">
        <v>1</v>
      </c>
      <c r="S4525" t="n">
        <v>4095</v>
      </c>
      <c r="T4525" t="n">
        <v>19</v>
      </c>
      <c r="U4525" t="n">
        <v>20</v>
      </c>
      <c r="V4525" t="n">
        <v>30</v>
      </c>
      <c r="W4525" t="n">
        <v>2</v>
      </c>
      <c r="X4525" t="n">
        <v>21.97802197802197</v>
      </c>
      <c r="Y4525" t="n">
        <v>1</v>
      </c>
      <c r="Z4525" t="n">
        <v>1</v>
      </c>
      <c r="AA4525" t="n">
        <v>0</v>
      </c>
      <c r="AB4525" t="n">
        <v>1</v>
      </c>
      <c r="AC4525" t="n">
        <v>3</v>
      </c>
      <c r="AD4525" t="n">
        <v>0</v>
      </c>
      <c r="AE4525" t="n">
        <v>195000</v>
      </c>
      <c r="AF4525" t="n">
        <v>7868</v>
      </c>
      <c r="AG4525" t="n">
        <v>1</v>
      </c>
      <c r="AH4525" t="inlineStr">
        <is>
          <t>PT. BERSAMA DISTRIVERSA INDONESIA (DC CIPUTAT)</t>
        </is>
      </c>
      <c r="AI4525" t="n">
        <v>657</v>
      </c>
      <c r="AJ4525" t="inlineStr">
        <is>
          <t>PRECIOUS SKIN</t>
        </is>
      </c>
      <c r="AK4525" t="n">
        <v>21</v>
      </c>
      <c r="AL4525" t="inlineStr">
        <is>
          <t>Miss Glam Damar</t>
        </is>
      </c>
      <c r="AM4525" t="n">
        <v>4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PRECIOUS SKIN</t>
        </is>
      </c>
      <c r="B4526" s="2">
        <f>"8859690400346"</f>
        <v/>
      </c>
      <c r="C4526" t="inlineStr">
        <is>
          <t>PRECIOUS SKIN Alpha Arbutin Whitening Plus 25ml</t>
        </is>
      </c>
      <c r="D4526" t="inlineStr">
        <is>
          <t>Miss Glam Damar</t>
        </is>
      </c>
      <c r="E4526" t="n">
        <v>16</v>
      </c>
      <c r="F4526" t="n">
        <v>0.06370000000000001</v>
      </c>
      <c r="G4526" t="n">
        <v>0.91</v>
      </c>
      <c r="H4526" t="n">
        <v>4</v>
      </c>
      <c r="I4526" t="n">
        <v>21</v>
      </c>
      <c r="J4526" t="n">
        <v>3</v>
      </c>
      <c r="K4526" t="n">
        <v>0</v>
      </c>
      <c r="L4526" t="n">
        <v>35000</v>
      </c>
      <c r="M4526" t="n">
        <v>48500</v>
      </c>
      <c r="N4526" t="n">
        <v>91</v>
      </c>
      <c r="O4526" t="n">
        <v>0.91</v>
      </c>
      <c r="P4526" t="n">
        <v>1</v>
      </c>
      <c r="Q4526" t="n">
        <v>0.12</v>
      </c>
      <c r="R4526" t="n">
        <v>2</v>
      </c>
      <c r="S4526" t="n">
        <v>3089.45</v>
      </c>
      <c r="T4526" t="n">
        <v>19</v>
      </c>
      <c r="U4526" t="n">
        <v>20</v>
      </c>
      <c r="V4526" t="n">
        <v>30</v>
      </c>
      <c r="W4526" t="n">
        <v>2</v>
      </c>
      <c r="X4526" t="n">
        <v>251.1773940345369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7868</v>
      </c>
      <c r="AG4526" t="n">
        <v>1</v>
      </c>
      <c r="AH4526" t="inlineStr">
        <is>
          <t>PT. BERSAMA DISTRIVERSA INDONESIA (DC CIPUTAT)</t>
        </is>
      </c>
      <c r="AI4526" t="n">
        <v>657</v>
      </c>
      <c r="AJ4526" t="inlineStr">
        <is>
          <t>PRECIOUS SKIN</t>
        </is>
      </c>
      <c r="AK4526" t="n">
        <v>21</v>
      </c>
      <c r="AL4526" t="inlineStr">
        <is>
          <t>Miss Glam Damar</t>
        </is>
      </c>
      <c r="AM4526" t="n">
        <v>4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PRECIOUS SKIN</t>
        </is>
      </c>
      <c r="B4527" s="2">
        <f>"8859690401374"</f>
        <v/>
      </c>
      <c r="C4527" t="inlineStr">
        <is>
          <t>PRECIOUS SKIN Charcoal Keratin Treatment Mask 310g</t>
        </is>
      </c>
      <c r="D4527" t="inlineStr">
        <is>
          <t>Miss Glam Damar</t>
        </is>
      </c>
      <c r="E4527" t="n">
        <v>2</v>
      </c>
      <c r="F4527" t="n">
        <v>0.02</v>
      </c>
      <c r="G4527" t="n">
        <v>0</v>
      </c>
      <c r="H4527" t="n">
        <v>4</v>
      </c>
      <c r="I4527" t="n">
        <v>21</v>
      </c>
      <c r="J4527" t="n">
        <v>3</v>
      </c>
      <c r="K4527" t="n">
        <v>0</v>
      </c>
      <c r="L4527" t="n">
        <v>42500</v>
      </c>
      <c r="M4527" t="n">
        <v>56500</v>
      </c>
      <c r="N4527" t="n">
        <v>91</v>
      </c>
      <c r="O4527" t="n">
        <v>0.91</v>
      </c>
      <c r="P4527" t="n">
        <v>0</v>
      </c>
      <c r="Q4527" t="n">
        <v>0.02</v>
      </c>
      <c r="R4527" t="n">
        <v>0</v>
      </c>
      <c r="S4527" t="n">
        <v>1130</v>
      </c>
      <c r="T4527" t="n">
        <v>0</v>
      </c>
      <c r="U4527" t="n">
        <v>1</v>
      </c>
      <c r="V4527" t="n">
        <v>30</v>
      </c>
      <c r="W4527" t="n">
        <v>1</v>
      </c>
      <c r="X4527" t="n">
        <v>100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7868</v>
      </c>
      <c r="AG4527" t="n">
        <v>1</v>
      </c>
      <c r="AH4527" t="inlineStr">
        <is>
          <t>PT. BERSAMA DISTRIVERSA INDONESIA (DC CIPUTAT)</t>
        </is>
      </c>
      <c r="AI4527" t="n">
        <v>657</v>
      </c>
      <c r="AJ4527" t="inlineStr">
        <is>
          <t>PRECIOUS SKIN</t>
        </is>
      </c>
      <c r="AK4527" t="n">
        <v>21</v>
      </c>
      <c r="AL4527" t="inlineStr">
        <is>
          <t>Miss Glam Damar</t>
        </is>
      </c>
      <c r="AM4527" t="n">
        <v>4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PRECIOUS SKIN</t>
        </is>
      </c>
      <c r="B4528" s="2">
        <f>"8859690400797"</f>
        <v/>
      </c>
      <c r="C4528" t="inlineStr">
        <is>
          <t>PRECIOUS SKIN Extra Pure Gluta White Soap 80g</t>
        </is>
      </c>
      <c r="D4528" t="inlineStr">
        <is>
          <t>Miss Glam Damar</t>
        </is>
      </c>
      <c r="E4528" t="n">
        <v>0</v>
      </c>
      <c r="F4528" t="n">
        <v>0.1911</v>
      </c>
      <c r="G4528" t="n">
        <v>1.82</v>
      </c>
      <c r="H4528" t="n">
        <v>4</v>
      </c>
      <c r="I4528" t="n">
        <v>21</v>
      </c>
      <c r="J4528" t="n">
        <v>3</v>
      </c>
      <c r="K4528" t="n">
        <v>3</v>
      </c>
      <c r="L4528" t="n">
        <v>18500</v>
      </c>
      <c r="M4528" t="n">
        <v>28000</v>
      </c>
      <c r="N4528" t="n">
        <v>91</v>
      </c>
      <c r="O4528" t="n">
        <v>0.91</v>
      </c>
      <c r="P4528" t="n">
        <v>1</v>
      </c>
      <c r="Q4528" t="n">
        <v>0.09</v>
      </c>
      <c r="R4528" t="n">
        <v>1</v>
      </c>
      <c r="S4528" t="n">
        <v>5350.8</v>
      </c>
      <c r="T4528" t="n">
        <v>38</v>
      </c>
      <c r="U4528" t="n">
        <v>39</v>
      </c>
      <c r="V4528" t="n">
        <v>30</v>
      </c>
      <c r="W4528" t="n">
        <v>6</v>
      </c>
      <c r="X4528" t="n">
        <v>0</v>
      </c>
      <c r="Y4528" t="n">
        <v>1</v>
      </c>
      <c r="Z4528" t="n">
        <v>3</v>
      </c>
      <c r="AA4528" t="n">
        <v>4</v>
      </c>
      <c r="AB4528" t="n">
        <v>0</v>
      </c>
      <c r="AC4528" t="n">
        <v>0</v>
      </c>
      <c r="AD4528" t="n">
        <v>74000</v>
      </c>
      <c r="AE4528" t="n">
        <v>0</v>
      </c>
      <c r="AF4528" t="n">
        <v>7868</v>
      </c>
      <c r="AG4528" t="n">
        <v>1</v>
      </c>
      <c r="AH4528" t="inlineStr">
        <is>
          <t>PT. BERSAMA DISTRIVERSA INDONESIA (DC CIPUTAT)</t>
        </is>
      </c>
      <c r="AI4528" t="n">
        <v>657</v>
      </c>
      <c r="AJ4528" t="inlineStr">
        <is>
          <t>PRECIOUS SKIN</t>
        </is>
      </c>
      <c r="AK4528" t="n">
        <v>21</v>
      </c>
      <c r="AL4528" t="inlineStr">
        <is>
          <t>Miss Glam Damar</t>
        </is>
      </c>
      <c r="AM4528" t="n">
        <v>4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PRECIOUS SKIN</t>
        </is>
      </c>
      <c r="B4529" s="2">
        <f>"8859690401671"</f>
        <v/>
      </c>
      <c r="C4529" t="inlineStr">
        <is>
          <t>PRECIOUS SKIN Extra Pure White Lotion 300ml</t>
        </is>
      </c>
      <c r="D4529" t="inlineStr">
        <is>
          <t>Miss Glam Damar</t>
        </is>
      </c>
      <c r="E4529" t="n">
        <v>0</v>
      </c>
      <c r="F4529" t="n">
        <v>0.0182</v>
      </c>
      <c r="G4529" t="n">
        <v>0.91</v>
      </c>
      <c r="H4529" t="n">
        <v>4</v>
      </c>
      <c r="I4529" t="n">
        <v>21</v>
      </c>
      <c r="J4529" t="n">
        <v>3</v>
      </c>
      <c r="K4529" t="n">
        <v>3</v>
      </c>
      <c r="L4529" t="n">
        <v>95000</v>
      </c>
      <c r="M4529" t="n">
        <v>116000</v>
      </c>
      <c r="N4529" t="n">
        <v>91</v>
      </c>
      <c r="O4529" t="n">
        <v>0.91</v>
      </c>
      <c r="P4529" t="n">
        <v>1</v>
      </c>
      <c r="Q4529" t="n">
        <v>0.08</v>
      </c>
      <c r="R4529" t="n">
        <v>1</v>
      </c>
      <c r="S4529" t="n">
        <v>2111.2</v>
      </c>
      <c r="T4529" t="n">
        <v>20</v>
      </c>
      <c r="U4529" t="n">
        <v>21</v>
      </c>
      <c r="V4529" t="n">
        <v>30</v>
      </c>
      <c r="W4529" t="n">
        <v>1</v>
      </c>
      <c r="X4529" t="n">
        <v>0</v>
      </c>
      <c r="Y4529" t="n">
        <v>1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7868</v>
      </c>
      <c r="AG4529" t="n">
        <v>1</v>
      </c>
      <c r="AH4529" t="inlineStr">
        <is>
          <t>PT. BERSAMA DISTRIVERSA INDONESIA (DC CIPUTAT)</t>
        </is>
      </c>
      <c r="AI4529" t="n">
        <v>657</v>
      </c>
      <c r="AJ4529" t="inlineStr">
        <is>
          <t>PRECIOUS SKIN</t>
        </is>
      </c>
      <c r="AK4529" t="n">
        <v>21</v>
      </c>
      <c r="AL4529" t="inlineStr">
        <is>
          <t>Miss Glam Damar</t>
        </is>
      </c>
      <c r="AM4529" t="n">
        <v>4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PRECIOUS SKIN</t>
        </is>
      </c>
      <c r="B4530" s="2">
        <f>"8859690400841"</f>
        <v/>
      </c>
      <c r="C4530" t="inlineStr">
        <is>
          <t>PRECIOUS SKIN HYA Brightening Soap 80gr</t>
        </is>
      </c>
      <c r="D4530" t="inlineStr">
        <is>
          <t>Miss Glam Damar</t>
        </is>
      </c>
      <c r="E4530" t="n">
        <v>4</v>
      </c>
      <c r="F4530" t="n">
        <v>0.04550000000000001</v>
      </c>
      <c r="G4530" t="n">
        <v>1.82</v>
      </c>
      <c r="H4530" t="n">
        <v>4</v>
      </c>
      <c r="I4530" t="n">
        <v>21</v>
      </c>
      <c r="J4530" t="n">
        <v>3</v>
      </c>
      <c r="K4530" t="n">
        <v>0</v>
      </c>
      <c r="L4530" t="n">
        <v>19319</v>
      </c>
      <c r="M4530" t="n">
        <v>26000</v>
      </c>
      <c r="N4530" t="n">
        <v>91</v>
      </c>
      <c r="O4530" t="n">
        <v>0.91</v>
      </c>
      <c r="P4530" t="n">
        <v>1</v>
      </c>
      <c r="Q4530" t="n">
        <v>0.03</v>
      </c>
      <c r="R4530" t="n">
        <v>1</v>
      </c>
      <c r="S4530" t="n">
        <v>1183</v>
      </c>
      <c r="T4530" t="n">
        <v>39</v>
      </c>
      <c r="U4530" t="n">
        <v>40</v>
      </c>
      <c r="V4530" t="n">
        <v>30</v>
      </c>
      <c r="W4530" t="n">
        <v>2</v>
      </c>
      <c r="X4530" t="n">
        <v>87.9120879120879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7868</v>
      </c>
      <c r="AG4530" t="n">
        <v>1</v>
      </c>
      <c r="AH4530" t="inlineStr">
        <is>
          <t>PT. BERSAMA DISTRIVERSA INDONESIA (DC CIPUTAT)</t>
        </is>
      </c>
      <c r="AI4530" t="n">
        <v>657</v>
      </c>
      <c r="AJ4530" t="inlineStr">
        <is>
          <t>PRECIOUS SKIN</t>
        </is>
      </c>
      <c r="AK4530" t="n">
        <v>21</v>
      </c>
      <c r="AL4530" t="inlineStr">
        <is>
          <t>Miss Glam Damar</t>
        </is>
      </c>
      <c r="AM4530" t="n">
        <v>4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PRECIOUS SKIN</t>
        </is>
      </c>
      <c r="B4531" s="2">
        <f>"8859690401107"</f>
        <v/>
      </c>
      <c r="C4531" t="inlineStr">
        <is>
          <t>PRECIOUS SKIN Niacinamide 10% Whitening Body Serum 35ml</t>
        </is>
      </c>
      <c r="D4531" t="inlineStr">
        <is>
          <t>Miss Glam Damar</t>
        </is>
      </c>
      <c r="E4531" t="n">
        <v>0</v>
      </c>
      <c r="F4531" t="n">
        <v>0.2184</v>
      </c>
      <c r="G4531" t="n">
        <v>2.73</v>
      </c>
      <c r="H4531" t="n">
        <v>4</v>
      </c>
      <c r="I4531" t="n">
        <v>21</v>
      </c>
      <c r="J4531" t="n">
        <v>3</v>
      </c>
      <c r="K4531" t="n">
        <v>9</v>
      </c>
      <c r="L4531" t="n">
        <v>26752</v>
      </c>
      <c r="M4531" t="n">
        <v>35000</v>
      </c>
      <c r="N4531" t="n">
        <v>91</v>
      </c>
      <c r="O4531" t="n">
        <v>0.91</v>
      </c>
      <c r="P4531" t="n">
        <v>1</v>
      </c>
      <c r="Q4531" t="n">
        <v>0.34</v>
      </c>
      <c r="R4531" t="n">
        <v>2</v>
      </c>
      <c r="S4531" t="n">
        <v>7644</v>
      </c>
      <c r="T4531" t="n">
        <v>57</v>
      </c>
      <c r="U4531" t="n">
        <v>58</v>
      </c>
      <c r="V4531" t="n">
        <v>30</v>
      </c>
      <c r="W4531" t="n">
        <v>7</v>
      </c>
      <c r="X4531" t="n">
        <v>0</v>
      </c>
      <c r="Y4531" t="n">
        <v>1</v>
      </c>
      <c r="Z4531" t="n">
        <v>0</v>
      </c>
      <c r="AA4531" t="n">
        <v>4</v>
      </c>
      <c r="AB4531" t="n">
        <v>0</v>
      </c>
      <c r="AC4531" t="n">
        <v>0</v>
      </c>
      <c r="AD4531" t="n">
        <v>107008</v>
      </c>
      <c r="AE4531" t="n">
        <v>0</v>
      </c>
      <c r="AF4531" t="n">
        <v>7868</v>
      </c>
      <c r="AG4531" t="n">
        <v>1</v>
      </c>
      <c r="AH4531" t="inlineStr">
        <is>
          <t>PT. BERSAMA DISTRIVERSA INDONESIA (DC CIPUTAT)</t>
        </is>
      </c>
      <c r="AI4531" t="n">
        <v>657</v>
      </c>
      <c r="AJ4531" t="inlineStr">
        <is>
          <t>PRECIOUS SKIN</t>
        </is>
      </c>
      <c r="AK4531" t="n">
        <v>21</v>
      </c>
      <c r="AL4531" t="inlineStr">
        <is>
          <t>Miss Glam Damar</t>
        </is>
      </c>
      <c r="AM4531" t="n">
        <v>4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PROJECT 1945</t>
        </is>
      </c>
      <c r="B4532" s="2">
        <f>"30400255421"</f>
        <v/>
      </c>
      <c r="C4532" t="inlineStr">
        <is>
          <t>PROJECT 1945 Bamboe Roencing EDP 100ml</t>
        </is>
      </c>
      <c r="D4532" t="inlineStr">
        <is>
          <t>Miss Glam Damar</t>
        </is>
      </c>
      <c r="E4532" t="n">
        <v>7</v>
      </c>
      <c r="F4532" t="n">
        <v>0.03</v>
      </c>
      <c r="G4532" t="n">
        <v>1</v>
      </c>
      <c r="H4532" t="n">
        <v>4</v>
      </c>
      <c r="I4532" t="n">
        <v>21</v>
      </c>
      <c r="J4532" t="n">
        <v>1</v>
      </c>
      <c r="K4532" t="n">
        <v>0</v>
      </c>
      <c r="L4532" t="n">
        <v>227500</v>
      </c>
      <c r="M4532" t="n">
        <v>325000</v>
      </c>
      <c r="N4532" t="n">
        <v>91</v>
      </c>
      <c r="O4532" t="n">
        <v>0.91</v>
      </c>
      <c r="P4532" t="n">
        <v>0</v>
      </c>
      <c r="Q4532" t="n">
        <v>0.03</v>
      </c>
      <c r="R4532" t="n">
        <v>1</v>
      </c>
      <c r="S4532" t="n">
        <v>9750</v>
      </c>
      <c r="T4532" t="n">
        <v>21</v>
      </c>
      <c r="U4532" t="n">
        <v>22</v>
      </c>
      <c r="V4532" t="n">
        <v>30</v>
      </c>
      <c r="W4532" t="n">
        <v>1</v>
      </c>
      <c r="X4532" t="n">
        <v>233.3333333333333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7901</v>
      </c>
      <c r="AG4532" t="n">
        <v>1</v>
      </c>
      <c r="AH4532" t="inlineStr">
        <is>
          <t>PT. BERSAMA DISTRIVERSA INDONESIA (DC CIPUTAT)</t>
        </is>
      </c>
      <c r="AI4532" t="n">
        <v>2321</v>
      </c>
      <c r="AJ4532" t="inlineStr">
        <is>
          <t>PROJECT 1945</t>
        </is>
      </c>
      <c r="AK4532" t="n">
        <v>21</v>
      </c>
      <c r="AL4532" t="inlineStr">
        <is>
          <t>Miss Glam Damar</t>
        </is>
      </c>
      <c r="AM4532" t="n">
        <v>3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PROJECT 1945</t>
        </is>
      </c>
      <c r="B4533" s="2">
        <f>"30400255114"</f>
        <v/>
      </c>
      <c r="C4533" t="inlineStr">
        <is>
          <t>PROJECT 1945 Princess Of Java EDP 100ml</t>
        </is>
      </c>
      <c r="D4533" t="inlineStr">
        <is>
          <t>Miss Glam Damar</t>
        </is>
      </c>
      <c r="E4533" t="n">
        <v>1</v>
      </c>
      <c r="F4533" t="n">
        <v>0.04550000000000001</v>
      </c>
      <c r="G4533" t="n">
        <v>0.91</v>
      </c>
      <c r="H4533" t="n">
        <v>4</v>
      </c>
      <c r="I4533" t="n">
        <v>21</v>
      </c>
      <c r="J4533" t="n">
        <v>1</v>
      </c>
      <c r="K4533" t="n">
        <v>0</v>
      </c>
      <c r="L4533" t="n">
        <v>234325</v>
      </c>
      <c r="M4533" t="n">
        <v>325000</v>
      </c>
      <c r="N4533" t="n">
        <v>91</v>
      </c>
      <c r="O4533" t="n">
        <v>0.91</v>
      </c>
      <c r="P4533" t="n">
        <v>1</v>
      </c>
      <c r="Q4533" t="n">
        <v>0.02</v>
      </c>
      <c r="R4533" t="n">
        <v>1</v>
      </c>
      <c r="S4533" t="n">
        <v>14787.5</v>
      </c>
      <c r="T4533" t="n">
        <v>19</v>
      </c>
      <c r="U4533" t="n">
        <v>20</v>
      </c>
      <c r="V4533" t="n">
        <v>30</v>
      </c>
      <c r="W4533" t="n">
        <v>2</v>
      </c>
      <c r="X4533" t="n">
        <v>21.97802197802197</v>
      </c>
      <c r="Y4533" t="n">
        <v>1</v>
      </c>
      <c r="Z4533" t="n">
        <v>1</v>
      </c>
      <c r="AA4533" t="n">
        <v>0</v>
      </c>
      <c r="AB4533" t="n">
        <v>1</v>
      </c>
      <c r="AC4533" t="n">
        <v>1</v>
      </c>
      <c r="AD4533" t="n">
        <v>0</v>
      </c>
      <c r="AE4533" t="n">
        <v>234325</v>
      </c>
      <c r="AF4533" t="n">
        <v>7901</v>
      </c>
      <c r="AG4533" t="n">
        <v>1</v>
      </c>
      <c r="AH4533" t="inlineStr">
        <is>
          <t>PT. BERSAMA DISTRIVERSA INDONESIA (DC CIPUTAT)</t>
        </is>
      </c>
      <c r="AI4533" t="n">
        <v>2321</v>
      </c>
      <c r="AJ4533" t="inlineStr">
        <is>
          <t>PROJECT 1945</t>
        </is>
      </c>
      <c r="AK4533" t="n">
        <v>21</v>
      </c>
      <c r="AL4533" t="inlineStr">
        <is>
          <t>Miss Glam Damar</t>
        </is>
      </c>
      <c r="AM4533" t="n">
        <v>3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PROJECT 1945</t>
        </is>
      </c>
      <c r="B4534" s="2">
        <f>"30400255256"</f>
        <v/>
      </c>
      <c r="C4534" t="inlineStr">
        <is>
          <t>PROJECT 1945 Sunset In Sumba 2.0 EDP 100ml</t>
        </is>
      </c>
      <c r="D4534" t="inlineStr">
        <is>
          <t>Miss Glam Damar</t>
        </is>
      </c>
      <c r="E4534" t="n">
        <v>4</v>
      </c>
      <c r="F4534" t="n">
        <v>0.0273</v>
      </c>
      <c r="G4534" t="n">
        <v>0.91</v>
      </c>
      <c r="H4534" t="n">
        <v>4</v>
      </c>
      <c r="I4534" t="n">
        <v>21</v>
      </c>
      <c r="J4534" t="n">
        <v>1</v>
      </c>
      <c r="K4534" t="n">
        <v>0</v>
      </c>
      <c r="L4534" t="n">
        <v>231595</v>
      </c>
      <c r="M4534" t="n">
        <v>325000</v>
      </c>
      <c r="N4534" t="n">
        <v>91</v>
      </c>
      <c r="O4534" t="n">
        <v>0.91</v>
      </c>
      <c r="P4534" t="n">
        <v>1</v>
      </c>
      <c r="Q4534" t="n">
        <v>0.07000000000000001</v>
      </c>
      <c r="R4534" t="n">
        <v>1</v>
      </c>
      <c r="S4534" t="n">
        <v>8872.5</v>
      </c>
      <c r="T4534" t="n">
        <v>20</v>
      </c>
      <c r="U4534" t="n">
        <v>21</v>
      </c>
      <c r="V4534" t="n">
        <v>30</v>
      </c>
      <c r="W4534" t="n">
        <v>1</v>
      </c>
      <c r="X4534" t="n">
        <v>146.5201465201465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7901</v>
      </c>
      <c r="AG4534" t="n">
        <v>1</v>
      </c>
      <c r="AH4534" t="inlineStr">
        <is>
          <t>PT. BERSAMA DISTRIVERSA INDONESIA (DC CIPUTAT)</t>
        </is>
      </c>
      <c r="AI4534" t="n">
        <v>2321</v>
      </c>
      <c r="AJ4534" t="inlineStr">
        <is>
          <t>PROJECT 1945</t>
        </is>
      </c>
      <c r="AK4534" t="n">
        <v>21</v>
      </c>
      <c r="AL4534" t="inlineStr">
        <is>
          <t>Miss Glam Damar</t>
        </is>
      </c>
      <c r="AM4534" t="n">
        <v>3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PROJECT 1945</t>
        </is>
      </c>
      <c r="B4535" s="2">
        <f>"30400255350"</f>
        <v/>
      </c>
      <c r="C4535" t="inlineStr">
        <is>
          <t>PROJECT 1945 The Great Batavia EDP 100ml</t>
        </is>
      </c>
      <c r="D4535" t="inlineStr">
        <is>
          <t>Miss Glam Damar</t>
        </is>
      </c>
      <c r="E4535" t="n">
        <v>7</v>
      </c>
      <c r="F4535" t="n">
        <v>0.04550000000000001</v>
      </c>
      <c r="G4535" t="n">
        <v>1.82</v>
      </c>
      <c r="H4535" t="n">
        <v>4</v>
      </c>
      <c r="I4535" t="n">
        <v>21</v>
      </c>
      <c r="J4535" t="n">
        <v>1</v>
      </c>
      <c r="K4535" t="n">
        <v>0</v>
      </c>
      <c r="L4535" t="n">
        <v>227500</v>
      </c>
      <c r="M4535" t="n">
        <v>325000</v>
      </c>
      <c r="N4535" t="n">
        <v>91</v>
      </c>
      <c r="O4535" t="n">
        <v>0.91</v>
      </c>
      <c r="P4535" t="n">
        <v>1</v>
      </c>
      <c r="Q4535" t="n">
        <v>0.03</v>
      </c>
      <c r="R4535" t="n">
        <v>1</v>
      </c>
      <c r="S4535" t="n">
        <v>14787.5</v>
      </c>
      <c r="T4535" t="n">
        <v>39</v>
      </c>
      <c r="U4535" t="n">
        <v>40</v>
      </c>
      <c r="V4535" t="n">
        <v>30</v>
      </c>
      <c r="W4535" t="n">
        <v>2</v>
      </c>
      <c r="X4535" t="n">
        <v>153.8461538461538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7901</v>
      </c>
      <c r="AG4535" t="n">
        <v>1</v>
      </c>
      <c r="AH4535" t="inlineStr">
        <is>
          <t>PT. BERSAMA DISTRIVERSA INDONESIA (DC CIPUTAT)</t>
        </is>
      </c>
      <c r="AI4535" t="n">
        <v>2321</v>
      </c>
      <c r="AJ4535" t="inlineStr">
        <is>
          <t>PROJECT 1945</t>
        </is>
      </c>
      <c r="AK4535" t="n">
        <v>21</v>
      </c>
      <c r="AL4535" t="inlineStr">
        <is>
          <t>Miss Glam Damar</t>
        </is>
      </c>
      <c r="AM4535" t="n">
        <v>3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PUCELLE</t>
        </is>
      </c>
      <c r="B4536" s="2">
        <f>"8992222093101"</f>
        <v/>
      </c>
      <c r="C4536" t="inlineStr">
        <is>
          <t>PUCELLE Audacity Eau De Parfum Ascendant</t>
        </is>
      </c>
      <c r="D4536" t="inlineStr">
        <is>
          <t>Miss Glam Damar</t>
        </is>
      </c>
      <c r="E4536" t="n">
        <v>3</v>
      </c>
      <c r="F4536" t="n">
        <v>0.0273</v>
      </c>
      <c r="G4536" t="n">
        <v>0.91</v>
      </c>
      <c r="H4536" t="n">
        <v>2</v>
      </c>
      <c r="I4536" t="n">
        <v>6</v>
      </c>
      <c r="J4536" t="n">
        <v>3</v>
      </c>
      <c r="K4536" t="n">
        <v>0</v>
      </c>
      <c r="L4536" t="n">
        <v>33075</v>
      </c>
      <c r="M4536" t="n">
        <v>41000</v>
      </c>
      <c r="N4536" t="n">
        <v>91</v>
      </c>
      <c r="O4536" t="n">
        <v>0.91</v>
      </c>
      <c r="P4536" t="n">
        <v>1</v>
      </c>
      <c r="Q4536" t="n">
        <v>0.05</v>
      </c>
      <c r="R4536" t="n">
        <v>1</v>
      </c>
      <c r="S4536" t="n">
        <v>1119.3</v>
      </c>
      <c r="T4536" t="n">
        <v>6</v>
      </c>
      <c r="U4536" t="n">
        <v>7</v>
      </c>
      <c r="V4536" t="n">
        <v>30</v>
      </c>
      <c r="W4536" t="n">
        <v>1</v>
      </c>
      <c r="X4536" t="n">
        <v>109.8901098901099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2690</v>
      </c>
      <c r="AG4536" t="n">
        <v>104</v>
      </c>
      <c r="AH4536" t="inlineStr">
        <is>
          <t>PT. ASIA PARAMITA - PPN (PDG)</t>
        </is>
      </c>
      <c r="AI4536" t="n">
        <v>565</v>
      </c>
      <c r="AJ4536" t="inlineStr">
        <is>
          <t>PUCELLE</t>
        </is>
      </c>
      <c r="AK4536" t="n">
        <v>21</v>
      </c>
      <c r="AL4536" t="inlineStr">
        <is>
          <t>Miss Glam Damar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PUCELLE</t>
        </is>
      </c>
      <c r="B4537" s="2">
        <f>"8992222093088"</f>
        <v/>
      </c>
      <c r="C4537" t="inlineStr">
        <is>
          <t>PUCELLE Audacity Eau De Parfum Glimmery</t>
        </is>
      </c>
      <c r="D4537" t="inlineStr">
        <is>
          <t>Miss Glam Damar</t>
        </is>
      </c>
      <c r="E4537" t="n">
        <v>16</v>
      </c>
      <c r="F4537" t="n">
        <v>0.5369</v>
      </c>
      <c r="G4537" t="n">
        <v>3.64</v>
      </c>
      <c r="H4537" t="n">
        <v>2</v>
      </c>
      <c r="I4537" t="n">
        <v>6</v>
      </c>
      <c r="J4537" t="n">
        <v>3</v>
      </c>
      <c r="K4537" t="n">
        <v>0</v>
      </c>
      <c r="L4537" t="n">
        <v>33073</v>
      </c>
      <c r="M4537" t="n">
        <v>41000</v>
      </c>
      <c r="N4537" t="n">
        <v>91</v>
      </c>
      <c r="O4537" t="n">
        <v>0.91</v>
      </c>
      <c r="P4537" t="n">
        <v>1</v>
      </c>
      <c r="Q4537" t="n">
        <v>0.41</v>
      </c>
      <c r="R4537" t="n">
        <v>4</v>
      </c>
      <c r="S4537" t="n">
        <v>22012.9</v>
      </c>
      <c r="T4537" t="n">
        <v>21</v>
      </c>
      <c r="U4537" t="n">
        <v>23</v>
      </c>
      <c r="V4537" t="n">
        <v>30</v>
      </c>
      <c r="W4537" t="n">
        <v>17</v>
      </c>
      <c r="X4537" t="n">
        <v>29.80070776680946</v>
      </c>
      <c r="Y4537" t="n">
        <v>1</v>
      </c>
      <c r="Z4537" t="n">
        <v>1</v>
      </c>
      <c r="AA4537" t="n">
        <v>0</v>
      </c>
      <c r="AB4537" t="n">
        <v>1</v>
      </c>
      <c r="AC4537" t="n">
        <v>3</v>
      </c>
      <c r="AD4537" t="n">
        <v>0</v>
      </c>
      <c r="AE4537" t="n">
        <v>99219</v>
      </c>
      <c r="AF4537" t="n">
        <v>2690</v>
      </c>
      <c r="AG4537" t="n">
        <v>104</v>
      </c>
      <c r="AH4537" t="inlineStr">
        <is>
          <t>PT. ASIA PARAMITA - PPN (PDG)</t>
        </is>
      </c>
      <c r="AI4537" t="n">
        <v>565</v>
      </c>
      <c r="AJ4537" t="inlineStr">
        <is>
          <t>PUCELLE</t>
        </is>
      </c>
      <c r="AK4537" t="n">
        <v>21</v>
      </c>
      <c r="AL4537" t="inlineStr">
        <is>
          <t>Miss Glam Damar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PUCELLE</t>
        </is>
      </c>
      <c r="B4538" s="2">
        <f>"8992222093095"</f>
        <v/>
      </c>
      <c r="C4538" t="inlineStr">
        <is>
          <t>PUCELLE Audacity Eau De Parfum Valorous</t>
        </is>
      </c>
      <c r="D4538" t="inlineStr">
        <is>
          <t>Miss Glam Damar</t>
        </is>
      </c>
      <c r="E4538" t="n">
        <v>5</v>
      </c>
      <c r="F4538" t="n">
        <v>0.4459</v>
      </c>
      <c r="G4538" t="n">
        <v>1.82</v>
      </c>
      <c r="H4538" t="n">
        <v>2</v>
      </c>
      <c r="I4538" t="n">
        <v>6</v>
      </c>
      <c r="J4538" t="n">
        <v>3</v>
      </c>
      <c r="K4538" t="n">
        <v>0</v>
      </c>
      <c r="L4538" t="n">
        <v>33075</v>
      </c>
      <c r="M4538" t="n">
        <v>41000</v>
      </c>
      <c r="N4538" t="n">
        <v>91</v>
      </c>
      <c r="O4538" t="n">
        <v>0.91</v>
      </c>
      <c r="P4538" t="n">
        <v>1</v>
      </c>
      <c r="Q4538" t="n">
        <v>0.34</v>
      </c>
      <c r="R4538" t="n">
        <v>2</v>
      </c>
      <c r="S4538" t="n">
        <v>18281.9</v>
      </c>
      <c r="T4538" t="n">
        <v>11</v>
      </c>
      <c r="U4538" t="n">
        <v>12</v>
      </c>
      <c r="V4538" t="n">
        <v>30</v>
      </c>
      <c r="W4538" t="n">
        <v>14</v>
      </c>
      <c r="X4538" t="n">
        <v>11.21327651939897</v>
      </c>
      <c r="Y4538" t="n">
        <v>1</v>
      </c>
      <c r="Z4538" t="n">
        <v>9</v>
      </c>
      <c r="AA4538" t="n">
        <v>0</v>
      </c>
      <c r="AB4538" t="n">
        <v>9</v>
      </c>
      <c r="AC4538" t="n">
        <v>9</v>
      </c>
      <c r="AD4538" t="n">
        <v>0</v>
      </c>
      <c r="AE4538" t="n">
        <v>297675</v>
      </c>
      <c r="AF4538" t="n">
        <v>2690</v>
      </c>
      <c r="AG4538" t="n">
        <v>104</v>
      </c>
      <c r="AH4538" t="inlineStr">
        <is>
          <t>PT. ASIA PARAMITA - PPN (PDG)</t>
        </is>
      </c>
      <c r="AI4538" t="n">
        <v>565</v>
      </c>
      <c r="AJ4538" t="inlineStr">
        <is>
          <t>PUCELLE</t>
        </is>
      </c>
      <c r="AK4538" t="n">
        <v>21</v>
      </c>
      <c r="AL4538" t="inlineStr">
        <is>
          <t>Miss Glam Damar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PUCELLE</t>
        </is>
      </c>
      <c r="B4539" s="2">
        <f>"8992222093019"</f>
        <v/>
      </c>
      <c r="C4539" t="inlineStr">
        <is>
          <t>PUCELLE Eau De Luxe Body Spray Azure 150ml</t>
        </is>
      </c>
      <c r="D4539" t="inlineStr">
        <is>
          <t>Miss Glam Damar</t>
        </is>
      </c>
      <c r="E4539" t="n">
        <v>4</v>
      </c>
      <c r="F4539" t="n">
        <v>0.5369</v>
      </c>
      <c r="G4539" t="n">
        <v>3.64</v>
      </c>
      <c r="H4539" t="n">
        <v>2</v>
      </c>
      <c r="I4539" t="n">
        <v>6</v>
      </c>
      <c r="J4539" t="n">
        <v>3</v>
      </c>
      <c r="K4539" t="n">
        <v>0</v>
      </c>
      <c r="L4539" t="n">
        <v>20008</v>
      </c>
      <c r="M4539" t="n">
        <v>24000</v>
      </c>
      <c r="N4539" t="n">
        <v>91</v>
      </c>
      <c r="O4539" t="n">
        <v>0.91</v>
      </c>
      <c r="P4539" t="n">
        <v>1</v>
      </c>
      <c r="Q4539" t="n">
        <v>0.17</v>
      </c>
      <c r="R4539" t="n">
        <v>2</v>
      </c>
      <c r="S4539" t="n">
        <v>12885.6</v>
      </c>
      <c r="T4539" t="n">
        <v>21</v>
      </c>
      <c r="U4539" t="n">
        <v>23</v>
      </c>
      <c r="V4539" t="n">
        <v>30</v>
      </c>
      <c r="W4539" t="n">
        <v>17</v>
      </c>
      <c r="X4539" t="n">
        <v>7.450176941702365</v>
      </c>
      <c r="Y4539" t="n">
        <v>1</v>
      </c>
      <c r="Z4539" t="n">
        <v>13</v>
      </c>
      <c r="AA4539" t="n">
        <v>0</v>
      </c>
      <c r="AB4539" t="n">
        <v>13</v>
      </c>
      <c r="AC4539" t="n">
        <v>13</v>
      </c>
      <c r="AD4539" t="n">
        <v>0</v>
      </c>
      <c r="AE4539" t="n">
        <v>260104</v>
      </c>
      <c r="AF4539" t="n">
        <v>2690</v>
      </c>
      <c r="AG4539" t="n">
        <v>104</v>
      </c>
      <c r="AH4539" t="inlineStr">
        <is>
          <t>PT. ASIA PARAMITA - PPN (PDG)</t>
        </is>
      </c>
      <c r="AI4539" t="n">
        <v>565</v>
      </c>
      <c r="AJ4539" t="inlineStr">
        <is>
          <t>PUCELLE</t>
        </is>
      </c>
      <c r="AK4539" t="n">
        <v>21</v>
      </c>
      <c r="AL4539" t="inlineStr">
        <is>
          <t>Miss Glam Damar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PUCELLE</t>
        </is>
      </c>
      <c r="B4540" s="2">
        <f>"8992222093026"</f>
        <v/>
      </c>
      <c r="C4540" t="inlineStr">
        <is>
          <t>PUCELLE Eau De Luxe Body Spray Dainty 150ml</t>
        </is>
      </c>
      <c r="D4540" t="inlineStr">
        <is>
          <t>Miss Glam Damar</t>
        </is>
      </c>
      <c r="E4540" t="n">
        <v>18</v>
      </c>
      <c r="F4540" t="n">
        <v>0.91</v>
      </c>
      <c r="G4540" t="n">
        <v>3.64</v>
      </c>
      <c r="H4540" t="n">
        <v>2</v>
      </c>
      <c r="I4540" t="n">
        <v>6</v>
      </c>
      <c r="J4540" t="n">
        <v>3</v>
      </c>
      <c r="K4540" t="n">
        <v>0</v>
      </c>
      <c r="L4540" t="n">
        <v>20008</v>
      </c>
      <c r="M4540" t="n">
        <v>24000</v>
      </c>
      <c r="N4540" t="n">
        <v>91</v>
      </c>
      <c r="O4540" t="n">
        <v>0.91</v>
      </c>
      <c r="P4540" t="n">
        <v>1</v>
      </c>
      <c r="Q4540" t="n">
        <v>0.64</v>
      </c>
      <c r="R4540" t="n">
        <v>3</v>
      </c>
      <c r="S4540" t="n">
        <v>21840</v>
      </c>
      <c r="T4540" t="n">
        <v>21</v>
      </c>
      <c r="U4540" t="n">
        <v>23</v>
      </c>
      <c r="V4540" t="n">
        <v>30</v>
      </c>
      <c r="W4540" t="n">
        <v>28</v>
      </c>
      <c r="X4540" t="n">
        <v>19.78021978021978</v>
      </c>
      <c r="Y4540" t="n">
        <v>1</v>
      </c>
      <c r="Z4540" t="n">
        <v>10</v>
      </c>
      <c r="AA4540" t="n">
        <v>0</v>
      </c>
      <c r="AB4540" t="n">
        <v>10</v>
      </c>
      <c r="AC4540" t="n">
        <v>10</v>
      </c>
      <c r="AD4540" t="n">
        <v>0</v>
      </c>
      <c r="AE4540" t="n">
        <v>200080</v>
      </c>
      <c r="AF4540" t="n">
        <v>2690</v>
      </c>
      <c r="AG4540" t="n">
        <v>104</v>
      </c>
      <c r="AH4540" t="inlineStr">
        <is>
          <t>PT. ASIA PARAMITA - PPN (PDG)</t>
        </is>
      </c>
      <c r="AI4540" t="n">
        <v>565</v>
      </c>
      <c r="AJ4540" t="inlineStr">
        <is>
          <t>PUCELLE</t>
        </is>
      </c>
      <c r="AK4540" t="n">
        <v>21</v>
      </c>
      <c r="AL4540" t="inlineStr">
        <is>
          <t>Miss Glam Damar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PUCELLE</t>
        </is>
      </c>
      <c r="B4541" s="2">
        <f>"8992222093033"</f>
        <v/>
      </c>
      <c r="C4541" t="inlineStr">
        <is>
          <t>PUCELLE Eau De Luxe Body Spray Finesse 150ml</t>
        </is>
      </c>
      <c r="D4541" t="inlineStr">
        <is>
          <t>Miss Glam Damar</t>
        </is>
      </c>
      <c r="E4541" t="n">
        <v>11</v>
      </c>
      <c r="F4541" t="n">
        <v>0.4823000000000001</v>
      </c>
      <c r="G4541" t="n">
        <v>2.73</v>
      </c>
      <c r="H4541" t="n">
        <v>2</v>
      </c>
      <c r="I4541" t="n">
        <v>6</v>
      </c>
      <c r="J4541" t="n">
        <v>3</v>
      </c>
      <c r="K4541" t="n">
        <v>0</v>
      </c>
      <c r="L4541" t="n">
        <v>20008</v>
      </c>
      <c r="M4541" t="n">
        <v>24000</v>
      </c>
      <c r="N4541" t="n">
        <v>91</v>
      </c>
      <c r="O4541" t="n">
        <v>0.91</v>
      </c>
      <c r="P4541" t="n">
        <v>1</v>
      </c>
      <c r="Q4541" t="n">
        <v>0.24</v>
      </c>
      <c r="R4541" t="n">
        <v>2</v>
      </c>
      <c r="S4541" t="n">
        <v>11575.2</v>
      </c>
      <c r="T4541" t="n">
        <v>16</v>
      </c>
      <c r="U4541" t="n">
        <v>17</v>
      </c>
      <c r="V4541" t="n">
        <v>30</v>
      </c>
      <c r="W4541" t="n">
        <v>15</v>
      </c>
      <c r="X4541" t="n">
        <v>22.80738129794733</v>
      </c>
      <c r="Y4541" t="n">
        <v>1</v>
      </c>
      <c r="Z4541" t="n">
        <v>4</v>
      </c>
      <c r="AA4541" t="n">
        <v>0</v>
      </c>
      <c r="AB4541" t="n">
        <v>4</v>
      </c>
      <c r="AC4541" t="n">
        <v>4</v>
      </c>
      <c r="AD4541" t="n">
        <v>0</v>
      </c>
      <c r="AE4541" t="n">
        <v>80032</v>
      </c>
      <c r="AF4541" t="n">
        <v>2690</v>
      </c>
      <c r="AG4541" t="n">
        <v>104</v>
      </c>
      <c r="AH4541" t="inlineStr">
        <is>
          <t>PT. ASIA PARAMITA - PPN (PDG)</t>
        </is>
      </c>
      <c r="AI4541" t="n">
        <v>565</v>
      </c>
      <c r="AJ4541" t="inlineStr">
        <is>
          <t>PUCELLE</t>
        </is>
      </c>
      <c r="AK4541" t="n">
        <v>21</v>
      </c>
      <c r="AL4541" t="inlineStr">
        <is>
          <t>Miss Glam Damar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PUCELLE</t>
        </is>
      </c>
      <c r="B4542" s="2">
        <f>"8992222093040"</f>
        <v/>
      </c>
      <c r="C4542" t="inlineStr">
        <is>
          <t>PUCELLE Eau De Luxe Body Spray Glitzy 150ml</t>
        </is>
      </c>
      <c r="D4542" t="inlineStr">
        <is>
          <t>Miss Glam Damar</t>
        </is>
      </c>
      <c r="E4542" t="n">
        <v>22</v>
      </c>
      <c r="F4542" t="n">
        <v>0.6006</v>
      </c>
      <c r="G4542" t="n">
        <v>3.64</v>
      </c>
      <c r="H4542" t="n">
        <v>2</v>
      </c>
      <c r="I4542" t="n">
        <v>6</v>
      </c>
      <c r="J4542" t="n">
        <v>3</v>
      </c>
      <c r="K4542" t="n">
        <v>0</v>
      </c>
      <c r="L4542" t="n">
        <v>19882</v>
      </c>
      <c r="M4542" t="n">
        <v>24000</v>
      </c>
      <c r="N4542" t="n">
        <v>91</v>
      </c>
      <c r="O4542" t="n">
        <v>0.91</v>
      </c>
      <c r="P4542" t="n">
        <v>1</v>
      </c>
      <c r="Q4542" t="n">
        <v>0.83</v>
      </c>
      <c r="R4542" t="n">
        <v>4</v>
      </c>
      <c r="S4542" t="n">
        <v>14414.4</v>
      </c>
      <c r="T4542" t="n">
        <v>21</v>
      </c>
      <c r="U4542" t="n">
        <v>23</v>
      </c>
      <c r="V4542" t="n">
        <v>30</v>
      </c>
      <c r="W4542" t="n">
        <v>19</v>
      </c>
      <c r="X4542" t="n">
        <v>36.63003663003663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2690</v>
      </c>
      <c r="AG4542" t="n">
        <v>104</v>
      </c>
      <c r="AH4542" t="inlineStr">
        <is>
          <t>PT. ASIA PARAMITA - PPN (PDG)</t>
        </is>
      </c>
      <c r="AI4542" t="n">
        <v>565</v>
      </c>
      <c r="AJ4542" t="inlineStr">
        <is>
          <t>PUCELLE</t>
        </is>
      </c>
      <c r="AK4542" t="n">
        <v>21</v>
      </c>
      <c r="AL4542" t="inlineStr">
        <is>
          <t>Miss Glam Damar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PUCELLE</t>
        </is>
      </c>
      <c r="B4543" s="2">
        <f>"8992222093170"</f>
        <v/>
      </c>
      <c r="C4543" t="inlineStr">
        <is>
          <t>PUCELLE Eau De Luxe Body Spray Lucent 150ml</t>
        </is>
      </c>
      <c r="D4543" t="inlineStr">
        <is>
          <t>Miss Glam Damar</t>
        </is>
      </c>
      <c r="E4543" t="n">
        <v>23</v>
      </c>
      <c r="F4543" t="n">
        <v>1.0192</v>
      </c>
      <c r="G4543" t="n">
        <v>3.64</v>
      </c>
      <c r="H4543" t="n">
        <v>2</v>
      </c>
      <c r="I4543" t="n">
        <v>6</v>
      </c>
      <c r="J4543" t="n">
        <v>3</v>
      </c>
      <c r="K4543" t="n">
        <v>0</v>
      </c>
      <c r="L4543" t="n">
        <v>20008</v>
      </c>
      <c r="M4543" t="n">
        <v>24000</v>
      </c>
      <c r="N4543" t="n">
        <v>91</v>
      </c>
      <c r="O4543" t="n">
        <v>0.91</v>
      </c>
      <c r="P4543" t="n">
        <v>1</v>
      </c>
      <c r="Q4543" t="n">
        <v>0.75</v>
      </c>
      <c r="R4543" t="n">
        <v>4</v>
      </c>
      <c r="S4543" t="n">
        <v>24460.8</v>
      </c>
      <c r="T4543" t="n">
        <v>20</v>
      </c>
      <c r="U4543" t="n">
        <v>23</v>
      </c>
      <c r="V4543" t="n">
        <v>30</v>
      </c>
      <c r="W4543" t="n">
        <v>31</v>
      </c>
      <c r="X4543" t="n">
        <v>22.56671899529042</v>
      </c>
      <c r="Y4543" t="n">
        <v>1</v>
      </c>
      <c r="Z4543" t="n">
        <v>8</v>
      </c>
      <c r="AA4543" t="n">
        <v>0</v>
      </c>
      <c r="AB4543" t="n">
        <v>8</v>
      </c>
      <c r="AC4543" t="n">
        <v>8</v>
      </c>
      <c r="AD4543" t="n">
        <v>0</v>
      </c>
      <c r="AE4543" t="n">
        <v>160064</v>
      </c>
      <c r="AF4543" t="n">
        <v>2690</v>
      </c>
      <c r="AG4543" t="n">
        <v>104</v>
      </c>
      <c r="AH4543" t="inlineStr">
        <is>
          <t>PT. ASIA PARAMITA - PPN (PDG)</t>
        </is>
      </c>
      <c r="AI4543" t="n">
        <v>565</v>
      </c>
      <c r="AJ4543" t="inlineStr">
        <is>
          <t>PUCELLE</t>
        </is>
      </c>
      <c r="AK4543" t="n">
        <v>21</v>
      </c>
      <c r="AL4543" t="inlineStr">
        <is>
          <t>Miss Glam Damar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PUCELLE</t>
        </is>
      </c>
      <c r="B4544" s="2">
        <f>"8992222093057"</f>
        <v/>
      </c>
      <c r="C4544" t="inlineStr">
        <is>
          <t>PUCELLE Eau de Luxe Body Spray Victress 150ml</t>
        </is>
      </c>
      <c r="D4544" t="inlineStr">
        <is>
          <t>Miss Glam Damar</t>
        </is>
      </c>
      <c r="E4544" t="n">
        <v>11</v>
      </c>
      <c r="F4544" t="n">
        <v>0.8190000000000001</v>
      </c>
      <c r="G4544" t="n">
        <v>3.64</v>
      </c>
      <c r="H4544" t="n">
        <v>2</v>
      </c>
      <c r="I4544" t="n">
        <v>6</v>
      </c>
      <c r="J4544" t="n">
        <v>3</v>
      </c>
      <c r="K4544" t="n">
        <v>0</v>
      </c>
      <c r="L4544" t="n">
        <v>20008</v>
      </c>
      <c r="M4544" t="n">
        <v>24000</v>
      </c>
      <c r="N4544" t="n">
        <v>91</v>
      </c>
      <c r="O4544" t="n">
        <v>0.91</v>
      </c>
      <c r="P4544" t="n">
        <v>1</v>
      </c>
      <c r="Q4544" t="n">
        <v>0.53</v>
      </c>
      <c r="R4544" t="n">
        <v>4</v>
      </c>
      <c r="S4544" t="n">
        <v>19656</v>
      </c>
      <c r="T4544" t="n">
        <v>21</v>
      </c>
      <c r="U4544" t="n">
        <v>23</v>
      </c>
      <c r="V4544" t="n">
        <v>30</v>
      </c>
      <c r="W4544" t="n">
        <v>25</v>
      </c>
      <c r="X4544" t="n">
        <v>13.43101343101343</v>
      </c>
      <c r="Y4544" t="n">
        <v>1</v>
      </c>
      <c r="Z4544" t="n">
        <v>14</v>
      </c>
      <c r="AA4544" t="n">
        <v>0</v>
      </c>
      <c r="AB4544" t="n">
        <v>14</v>
      </c>
      <c r="AC4544" t="n">
        <v>14</v>
      </c>
      <c r="AD4544" t="n">
        <v>0</v>
      </c>
      <c r="AE4544" t="n">
        <v>280112</v>
      </c>
      <c r="AF4544" t="n">
        <v>2690</v>
      </c>
      <c r="AG4544" t="n">
        <v>104</v>
      </c>
      <c r="AH4544" t="inlineStr">
        <is>
          <t>PT. ASIA PARAMITA - PPN (PDG)</t>
        </is>
      </c>
      <c r="AI4544" t="n">
        <v>565</v>
      </c>
      <c r="AJ4544" t="inlineStr">
        <is>
          <t>PUCELLE</t>
        </is>
      </c>
      <c r="AK4544" t="n">
        <v>21</v>
      </c>
      <c r="AL4544" t="inlineStr">
        <is>
          <t>Miss Glam Damar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PUCELLE</t>
        </is>
      </c>
      <c r="B4545" s="2">
        <f>"8992222092968"</f>
        <v/>
      </c>
      <c r="C4545" t="inlineStr">
        <is>
          <t>PUCELLE Eau De Luxe Cologne Azure 100ml</t>
        </is>
      </c>
      <c r="D4545" t="inlineStr">
        <is>
          <t>Miss Glam Damar</t>
        </is>
      </c>
      <c r="E4545" t="n">
        <v>8</v>
      </c>
      <c r="F4545" t="n">
        <v>0.9737000000000001</v>
      </c>
      <c r="G4545" t="n">
        <v>3.64</v>
      </c>
      <c r="H4545" t="n">
        <v>2</v>
      </c>
      <c r="I4545" t="n">
        <v>6</v>
      </c>
      <c r="J4545" t="n">
        <v>3</v>
      </c>
      <c r="K4545" t="n">
        <v>0</v>
      </c>
      <c r="L4545" t="n">
        <v>31033</v>
      </c>
      <c r="M4545" t="n">
        <v>39000</v>
      </c>
      <c r="N4545" t="n">
        <v>91</v>
      </c>
      <c r="O4545" t="n">
        <v>0.91</v>
      </c>
      <c r="P4545" t="n">
        <v>1</v>
      </c>
      <c r="Q4545" t="n">
        <v>0.2</v>
      </c>
      <c r="R4545" t="n">
        <v>2</v>
      </c>
      <c r="S4545" t="n">
        <v>37974.3</v>
      </c>
      <c r="T4545" t="n">
        <v>20</v>
      </c>
      <c r="U4545" t="n">
        <v>22</v>
      </c>
      <c r="V4545" t="n">
        <v>30</v>
      </c>
      <c r="W4545" t="n">
        <v>30</v>
      </c>
      <c r="X4545" t="n">
        <v>8.216082982438122</v>
      </c>
      <c r="Y4545" t="n">
        <v>1</v>
      </c>
      <c r="Z4545" t="n">
        <v>22</v>
      </c>
      <c r="AA4545" t="n">
        <v>0</v>
      </c>
      <c r="AB4545" t="n">
        <v>22</v>
      </c>
      <c r="AC4545" t="n">
        <v>22</v>
      </c>
      <c r="AD4545" t="n">
        <v>0</v>
      </c>
      <c r="AE4545" t="n">
        <v>682726</v>
      </c>
      <c r="AF4545" t="n">
        <v>2690</v>
      </c>
      <c r="AG4545" t="n">
        <v>104</v>
      </c>
      <c r="AH4545" t="inlineStr">
        <is>
          <t>PT. ASIA PARAMITA - PPN (PDG)</t>
        </is>
      </c>
      <c r="AI4545" t="n">
        <v>565</v>
      </c>
      <c r="AJ4545" t="inlineStr">
        <is>
          <t>PUCELLE</t>
        </is>
      </c>
      <c r="AK4545" t="n">
        <v>21</v>
      </c>
      <c r="AL4545" t="inlineStr">
        <is>
          <t>Miss Glam Damar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PUCELLE</t>
        </is>
      </c>
      <c r="B4546" s="2">
        <f>"8992222092975"</f>
        <v/>
      </c>
      <c r="C4546" t="inlineStr">
        <is>
          <t>PUCELLE Eau De Luxe Cologne Dainty 100ml</t>
        </is>
      </c>
      <c r="D4546" t="inlineStr">
        <is>
          <t>Miss Glam Damar</t>
        </is>
      </c>
      <c r="E4546" t="n">
        <v>15</v>
      </c>
      <c r="F4546" t="n">
        <v>1.7563</v>
      </c>
      <c r="G4546" t="n">
        <v>7.28</v>
      </c>
      <c r="H4546" t="n">
        <v>2</v>
      </c>
      <c r="I4546" t="n">
        <v>6</v>
      </c>
      <c r="J4546" t="n">
        <v>3</v>
      </c>
      <c r="K4546" t="n">
        <v>0</v>
      </c>
      <c r="L4546" t="n">
        <v>31034</v>
      </c>
      <c r="M4546" t="n">
        <v>37000</v>
      </c>
      <c r="N4546" t="n">
        <v>91</v>
      </c>
      <c r="O4546" t="n">
        <v>0.91</v>
      </c>
      <c r="P4546" t="n">
        <v>1</v>
      </c>
      <c r="Q4546" t="n">
        <v>0.51</v>
      </c>
      <c r="R4546" t="n">
        <v>3</v>
      </c>
      <c r="S4546" t="n">
        <v>64983.1</v>
      </c>
      <c r="T4546" t="n">
        <v>41</v>
      </c>
      <c r="U4546" t="n">
        <v>45</v>
      </c>
      <c r="V4546" t="n">
        <v>30</v>
      </c>
      <c r="W4546" t="n">
        <v>53</v>
      </c>
      <c r="X4546" t="n">
        <v>8.54068211581165</v>
      </c>
      <c r="Y4546" t="n">
        <v>1</v>
      </c>
      <c r="Z4546" t="n">
        <v>38</v>
      </c>
      <c r="AA4546" t="n">
        <v>0</v>
      </c>
      <c r="AB4546" t="n">
        <v>38</v>
      </c>
      <c r="AC4546" t="n">
        <v>38</v>
      </c>
      <c r="AD4546" t="n">
        <v>0</v>
      </c>
      <c r="AE4546" t="n">
        <v>1179292</v>
      </c>
      <c r="AF4546" t="n">
        <v>2690</v>
      </c>
      <c r="AG4546" t="n">
        <v>104</v>
      </c>
      <c r="AH4546" t="inlineStr">
        <is>
          <t>PT. ASIA PARAMITA - PPN (PDG)</t>
        </is>
      </c>
      <c r="AI4546" t="n">
        <v>565</v>
      </c>
      <c r="AJ4546" t="inlineStr">
        <is>
          <t>PUCELLE</t>
        </is>
      </c>
      <c r="AK4546" t="n">
        <v>21</v>
      </c>
      <c r="AL4546" t="inlineStr">
        <is>
          <t>Miss Glam Damar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PUCELLE</t>
        </is>
      </c>
      <c r="B4547" s="2">
        <f>"8992222092982"</f>
        <v/>
      </c>
      <c r="C4547" t="inlineStr">
        <is>
          <t>PUCELLE Eau De Luxe Cologne Finesse 100ml</t>
        </is>
      </c>
      <c r="D4547" t="inlineStr">
        <is>
          <t>Miss Glam Damar</t>
        </is>
      </c>
      <c r="E4547" t="n">
        <v>6</v>
      </c>
      <c r="F4547" t="n">
        <v>0.9373</v>
      </c>
      <c r="G4547" t="n">
        <v>2.73</v>
      </c>
      <c r="H4547" t="n">
        <v>2</v>
      </c>
      <c r="I4547" t="n">
        <v>6</v>
      </c>
      <c r="J4547" t="n">
        <v>3</v>
      </c>
      <c r="K4547" t="n">
        <v>0</v>
      </c>
      <c r="L4547" t="n">
        <v>31033</v>
      </c>
      <c r="M4547" t="n">
        <v>37000</v>
      </c>
      <c r="N4547" t="n">
        <v>91</v>
      </c>
      <c r="O4547" t="n">
        <v>0.91</v>
      </c>
      <c r="P4547" t="n">
        <v>1</v>
      </c>
      <c r="Q4547" t="n">
        <v>0.46</v>
      </c>
      <c r="R4547" t="n">
        <v>4</v>
      </c>
      <c r="S4547" t="n">
        <v>34680.1</v>
      </c>
      <c r="T4547" t="n">
        <v>15</v>
      </c>
      <c r="U4547" t="n">
        <v>17</v>
      </c>
      <c r="V4547" t="n">
        <v>30</v>
      </c>
      <c r="W4547" t="n">
        <v>29</v>
      </c>
      <c r="X4547" t="n">
        <v>6.401365624666595</v>
      </c>
      <c r="Y4547" t="n">
        <v>1</v>
      </c>
      <c r="Z4547" t="n">
        <v>23</v>
      </c>
      <c r="AA4547" t="n">
        <v>0</v>
      </c>
      <c r="AB4547" t="n">
        <v>23</v>
      </c>
      <c r="AC4547" t="n">
        <v>23</v>
      </c>
      <c r="AD4547" t="n">
        <v>0</v>
      </c>
      <c r="AE4547" t="n">
        <v>713759</v>
      </c>
      <c r="AF4547" t="n">
        <v>2690</v>
      </c>
      <c r="AG4547" t="n">
        <v>104</v>
      </c>
      <c r="AH4547" t="inlineStr">
        <is>
          <t>PT. ASIA PARAMITA - PPN (PDG)</t>
        </is>
      </c>
      <c r="AI4547" t="n">
        <v>565</v>
      </c>
      <c r="AJ4547" t="inlineStr">
        <is>
          <t>PUCELLE</t>
        </is>
      </c>
      <c r="AK4547" t="n">
        <v>21</v>
      </c>
      <c r="AL4547" t="inlineStr">
        <is>
          <t>Miss Glam Damar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PUCELLE</t>
        </is>
      </c>
      <c r="B4548" s="2">
        <f>"8992222092999"</f>
        <v/>
      </c>
      <c r="C4548" t="inlineStr">
        <is>
          <t>PUCELLE Eau De Luxe Cologne Glitzy 100ml</t>
        </is>
      </c>
      <c r="D4548" t="inlineStr">
        <is>
          <t>Miss Glam Damar</t>
        </is>
      </c>
      <c r="E4548" t="n">
        <v>9</v>
      </c>
      <c r="F4548" t="n">
        <v>0.4914000000000001</v>
      </c>
      <c r="G4548" t="n">
        <v>3.64</v>
      </c>
      <c r="H4548" t="n">
        <v>2</v>
      </c>
      <c r="I4548" t="n">
        <v>6</v>
      </c>
      <c r="J4548" t="n">
        <v>3</v>
      </c>
      <c r="K4548" t="n">
        <v>0</v>
      </c>
      <c r="L4548" t="n">
        <v>31023</v>
      </c>
      <c r="M4548" t="n">
        <v>37000</v>
      </c>
      <c r="N4548" t="n">
        <v>91</v>
      </c>
      <c r="O4548" t="n">
        <v>0.91</v>
      </c>
      <c r="P4548" t="n">
        <v>1</v>
      </c>
      <c r="Q4548" t="n">
        <v>0.15</v>
      </c>
      <c r="R4548" t="n">
        <v>2</v>
      </c>
      <c r="S4548" t="n">
        <v>18181.8</v>
      </c>
      <c r="T4548" t="n">
        <v>21</v>
      </c>
      <c r="U4548" t="n">
        <v>22</v>
      </c>
      <c r="V4548" t="n">
        <v>30</v>
      </c>
      <c r="W4548" t="n">
        <v>15</v>
      </c>
      <c r="X4548" t="n">
        <v>18.31501831501831</v>
      </c>
      <c r="Y4548" t="n">
        <v>1</v>
      </c>
      <c r="Z4548" t="n">
        <v>6</v>
      </c>
      <c r="AA4548" t="n">
        <v>0</v>
      </c>
      <c r="AB4548" t="n">
        <v>6</v>
      </c>
      <c r="AC4548" t="n">
        <v>6</v>
      </c>
      <c r="AD4548" t="n">
        <v>0</v>
      </c>
      <c r="AE4548" t="n">
        <v>186138</v>
      </c>
      <c r="AF4548" t="n">
        <v>2690</v>
      </c>
      <c r="AG4548" t="n">
        <v>104</v>
      </c>
      <c r="AH4548" t="inlineStr">
        <is>
          <t>PT. ASIA PARAMITA - PPN (PDG)</t>
        </is>
      </c>
      <c r="AI4548" t="n">
        <v>565</v>
      </c>
      <c r="AJ4548" t="inlineStr">
        <is>
          <t>PUCELLE</t>
        </is>
      </c>
      <c r="AK4548" t="n">
        <v>21</v>
      </c>
      <c r="AL4548" t="inlineStr">
        <is>
          <t>Miss Glam Damar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PUCELLE</t>
        </is>
      </c>
      <c r="B4549" s="2">
        <f>"8992222093163"</f>
        <v/>
      </c>
      <c r="C4549" t="inlineStr">
        <is>
          <t>PUCELLE Eau De Luxe Cologne Lucent 100ml</t>
        </is>
      </c>
      <c r="D4549" t="inlineStr">
        <is>
          <t>Miss Glam Damar</t>
        </is>
      </c>
      <c r="E4549" t="n">
        <v>24</v>
      </c>
      <c r="F4549" t="n">
        <v>1.2194</v>
      </c>
      <c r="G4549" t="n">
        <v>4.55</v>
      </c>
      <c r="H4549" t="n">
        <v>2</v>
      </c>
      <c r="I4549" t="n">
        <v>6</v>
      </c>
      <c r="J4549" t="n">
        <v>3</v>
      </c>
      <c r="K4549" t="n">
        <v>0</v>
      </c>
      <c r="L4549" t="n">
        <v>31033</v>
      </c>
      <c r="M4549" t="n">
        <v>39100</v>
      </c>
      <c r="N4549" t="n">
        <v>91</v>
      </c>
      <c r="O4549" t="n">
        <v>0.91</v>
      </c>
      <c r="P4549" t="n">
        <v>1</v>
      </c>
      <c r="Q4549" t="n">
        <v>0.44</v>
      </c>
      <c r="R4549" t="n">
        <v>4</v>
      </c>
      <c r="S4549" t="n">
        <v>47678.54</v>
      </c>
      <c r="T4549" t="n">
        <v>25</v>
      </c>
      <c r="U4549" t="n">
        <v>28</v>
      </c>
      <c r="V4549" t="n">
        <v>30</v>
      </c>
      <c r="W4549" t="n">
        <v>37</v>
      </c>
      <c r="X4549" t="n">
        <v>19.68181072658685</v>
      </c>
      <c r="Y4549" t="n">
        <v>1</v>
      </c>
      <c r="Z4549" t="n">
        <v>13</v>
      </c>
      <c r="AA4549" t="n">
        <v>0</v>
      </c>
      <c r="AB4549" t="n">
        <v>13</v>
      </c>
      <c r="AC4549" t="n">
        <v>13</v>
      </c>
      <c r="AD4549" t="n">
        <v>0</v>
      </c>
      <c r="AE4549" t="n">
        <v>403429</v>
      </c>
      <c r="AF4549" t="n">
        <v>2690</v>
      </c>
      <c r="AG4549" t="n">
        <v>104</v>
      </c>
      <c r="AH4549" t="inlineStr">
        <is>
          <t>PT. ASIA PARAMITA - PPN (PDG)</t>
        </is>
      </c>
      <c r="AI4549" t="n">
        <v>565</v>
      </c>
      <c r="AJ4549" t="inlineStr">
        <is>
          <t>PUCELLE</t>
        </is>
      </c>
      <c r="AK4549" t="n">
        <v>21</v>
      </c>
      <c r="AL4549" t="inlineStr">
        <is>
          <t>Miss Glam Damar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PUCELLE</t>
        </is>
      </c>
      <c r="B4550" s="2">
        <f>"8992222093002"</f>
        <v/>
      </c>
      <c r="C4550" t="inlineStr">
        <is>
          <t>PUCELLE Eau De Luxe Cologne Victress 100ml</t>
        </is>
      </c>
      <c r="D4550" t="inlineStr">
        <is>
          <t>Miss Glam Damar</t>
        </is>
      </c>
      <c r="E4550" t="n">
        <v>13</v>
      </c>
      <c r="F4550" t="n">
        <v>1.1284</v>
      </c>
      <c r="G4550" t="n">
        <v>4.55</v>
      </c>
      <c r="H4550" t="n">
        <v>2</v>
      </c>
      <c r="I4550" t="n">
        <v>6</v>
      </c>
      <c r="J4550" t="n">
        <v>3</v>
      </c>
      <c r="K4550" t="n">
        <v>0</v>
      </c>
      <c r="L4550" t="n">
        <v>31033</v>
      </c>
      <c r="M4550" t="n">
        <v>39000</v>
      </c>
      <c r="N4550" t="n">
        <v>91</v>
      </c>
      <c r="O4550" t="n">
        <v>0.91</v>
      </c>
      <c r="P4550" t="n">
        <v>1</v>
      </c>
      <c r="Q4550" t="n">
        <v>0.34</v>
      </c>
      <c r="R4550" t="n">
        <v>2</v>
      </c>
      <c r="S4550" t="n">
        <v>44007.60000000001</v>
      </c>
      <c r="T4550" t="n">
        <v>26</v>
      </c>
      <c r="U4550" t="n">
        <v>29</v>
      </c>
      <c r="V4550" t="n">
        <v>30</v>
      </c>
      <c r="W4550" t="n">
        <v>34</v>
      </c>
      <c r="X4550" t="n">
        <v>11.52073732718894</v>
      </c>
      <c r="Y4550" t="n">
        <v>1</v>
      </c>
      <c r="Z4550" t="n">
        <v>21</v>
      </c>
      <c r="AA4550" t="n">
        <v>0</v>
      </c>
      <c r="AB4550" t="n">
        <v>21</v>
      </c>
      <c r="AC4550" t="n">
        <v>21</v>
      </c>
      <c r="AD4550" t="n">
        <v>0</v>
      </c>
      <c r="AE4550" t="n">
        <v>651693</v>
      </c>
      <c r="AF4550" t="n">
        <v>2690</v>
      </c>
      <c r="AG4550" t="n">
        <v>104</v>
      </c>
      <c r="AH4550" t="inlineStr">
        <is>
          <t>PT. ASIA PARAMITA - PPN (PDG)</t>
        </is>
      </c>
      <c r="AI4550" t="n">
        <v>565</v>
      </c>
      <c r="AJ4550" t="inlineStr">
        <is>
          <t>PUCELLE</t>
        </is>
      </c>
      <c r="AK4550" t="n">
        <v>21</v>
      </c>
      <c r="AL4550" t="inlineStr">
        <is>
          <t>Miss Glam Damar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PUCELLE</t>
        </is>
      </c>
      <c r="B4551" s="2">
        <f>"30400254138"</f>
        <v/>
      </c>
      <c r="C4551" t="inlineStr">
        <is>
          <t>PUCELLE Eau De Luxe Eau De Toilette Dubai Elegance 100ml</t>
        </is>
      </c>
      <c r="D4551" t="inlineStr">
        <is>
          <t>Miss Glam Damar</t>
        </is>
      </c>
      <c r="E4551" t="n">
        <v>3</v>
      </c>
      <c r="F4551" t="n">
        <v>0.2002</v>
      </c>
      <c r="G4551" t="n">
        <v>0.91</v>
      </c>
      <c r="H4551" t="n">
        <v>2</v>
      </c>
      <c r="I4551" t="n">
        <v>6</v>
      </c>
      <c r="J4551" t="n">
        <v>1</v>
      </c>
      <c r="K4551" t="n">
        <v>0</v>
      </c>
      <c r="L4551" t="n">
        <v>32258</v>
      </c>
      <c r="M4551" t="n">
        <v>40000</v>
      </c>
      <c r="N4551" t="n">
        <v>91</v>
      </c>
      <c r="O4551" t="n">
        <v>0.91</v>
      </c>
      <c r="P4551" t="n">
        <v>1</v>
      </c>
      <c r="Q4551" t="n">
        <v>0.08</v>
      </c>
      <c r="R4551" t="n">
        <v>1</v>
      </c>
      <c r="S4551" t="n">
        <v>8008.000000000001</v>
      </c>
      <c r="T4551" t="n">
        <v>6</v>
      </c>
      <c r="U4551" t="n">
        <v>7</v>
      </c>
      <c r="V4551" t="n">
        <v>30</v>
      </c>
      <c r="W4551" t="n">
        <v>7</v>
      </c>
      <c r="X4551" t="n">
        <v>14.98501498501498</v>
      </c>
      <c r="Y4551" t="n">
        <v>1</v>
      </c>
      <c r="Z4551" t="n">
        <v>4</v>
      </c>
      <c r="AA4551" t="n">
        <v>0</v>
      </c>
      <c r="AB4551" t="n">
        <v>4</v>
      </c>
      <c r="AC4551" t="n">
        <v>4</v>
      </c>
      <c r="AD4551" t="n">
        <v>0</v>
      </c>
      <c r="AE4551" t="n">
        <v>129032</v>
      </c>
      <c r="AF4551" t="n">
        <v>2690</v>
      </c>
      <c r="AG4551" t="n">
        <v>104</v>
      </c>
      <c r="AH4551" t="inlineStr">
        <is>
          <t>PT. ASIA PARAMITA - PPN (PDG)</t>
        </is>
      </c>
      <c r="AI4551" t="n">
        <v>565</v>
      </c>
      <c r="AJ4551" t="inlineStr">
        <is>
          <t>PUCELLE</t>
        </is>
      </c>
      <c r="AK4551" t="n">
        <v>21</v>
      </c>
      <c r="AL4551" t="inlineStr">
        <is>
          <t>Miss Glam Damar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PUCELLE</t>
        </is>
      </c>
      <c r="B4552" s="2">
        <f>"30400253854"</f>
        <v/>
      </c>
      <c r="C4552" t="inlineStr">
        <is>
          <t>PUCELLE Eau De Luxe Eau De Toilette London Serenade 100ml</t>
        </is>
      </c>
      <c r="D4552" t="inlineStr">
        <is>
          <t>Miss Glam Damar</t>
        </is>
      </c>
      <c r="E4552" t="n">
        <v>6</v>
      </c>
      <c r="F4552" t="n">
        <v>0.0728</v>
      </c>
      <c r="G4552" t="n">
        <v>0.91</v>
      </c>
      <c r="H4552" t="n">
        <v>2</v>
      </c>
      <c r="I4552" t="n">
        <v>6</v>
      </c>
      <c r="J4552" t="n">
        <v>1</v>
      </c>
      <c r="K4552" t="n">
        <v>0</v>
      </c>
      <c r="L4552" t="n">
        <v>32258</v>
      </c>
      <c r="M4552" t="n">
        <v>40000</v>
      </c>
      <c r="N4552" t="n">
        <v>91</v>
      </c>
      <c r="O4552" t="n">
        <v>0.91</v>
      </c>
      <c r="P4552" t="n">
        <v>1</v>
      </c>
      <c r="Q4552" t="n">
        <v>0.03</v>
      </c>
      <c r="R4552" t="n">
        <v>1</v>
      </c>
      <c r="S4552" t="n">
        <v>2912</v>
      </c>
      <c r="T4552" t="n">
        <v>6</v>
      </c>
      <c r="U4552" t="n">
        <v>7</v>
      </c>
      <c r="V4552" t="n">
        <v>30</v>
      </c>
      <c r="W4552" t="n">
        <v>3</v>
      </c>
      <c r="X4552" t="n">
        <v>82.41758241758241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2690</v>
      </c>
      <c r="AG4552" t="n">
        <v>104</v>
      </c>
      <c r="AH4552" t="inlineStr">
        <is>
          <t>PT. ASIA PARAMITA - PPN (PDG)</t>
        </is>
      </c>
      <c r="AI4552" t="n">
        <v>565</v>
      </c>
      <c r="AJ4552" t="inlineStr">
        <is>
          <t>PUCELLE</t>
        </is>
      </c>
      <c r="AK4552" t="n">
        <v>21</v>
      </c>
      <c r="AL4552" t="inlineStr">
        <is>
          <t>Miss Glam Damar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PUCELLE</t>
        </is>
      </c>
      <c r="B4553" s="2">
        <f>"30400253604"</f>
        <v/>
      </c>
      <c r="C4553" t="inlineStr">
        <is>
          <t>PUCELLE Eau De Luxe Eau De Toilette New York Midnight 100ml</t>
        </is>
      </c>
      <c r="D4553" t="inlineStr">
        <is>
          <t>Miss Glam Damar</t>
        </is>
      </c>
      <c r="E4553" t="n">
        <v>5</v>
      </c>
      <c r="F4553" t="n">
        <v>0.04550000000000001</v>
      </c>
      <c r="G4553" t="n">
        <v>0.91</v>
      </c>
      <c r="H4553" t="n">
        <v>2</v>
      </c>
      <c r="I4553" t="n">
        <v>6</v>
      </c>
      <c r="J4553" t="n">
        <v>1</v>
      </c>
      <c r="K4553" t="n">
        <v>0</v>
      </c>
      <c r="L4553" t="n">
        <v>32258</v>
      </c>
      <c r="M4553" t="n">
        <v>40000</v>
      </c>
      <c r="N4553" t="n">
        <v>91</v>
      </c>
      <c r="O4553" t="n">
        <v>0.91</v>
      </c>
      <c r="P4553" t="n">
        <v>1</v>
      </c>
      <c r="Q4553" t="n">
        <v>0.08</v>
      </c>
      <c r="R4553" t="n">
        <v>1</v>
      </c>
      <c r="S4553" t="n">
        <v>1820</v>
      </c>
      <c r="T4553" t="n">
        <v>6</v>
      </c>
      <c r="U4553" t="n">
        <v>7</v>
      </c>
      <c r="V4553" t="n">
        <v>30</v>
      </c>
      <c r="W4553" t="n">
        <v>2</v>
      </c>
      <c r="X4553" t="n">
        <v>109.8901098901099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2690</v>
      </c>
      <c r="AG4553" t="n">
        <v>104</v>
      </c>
      <c r="AH4553" t="inlineStr">
        <is>
          <t>PT. ASIA PARAMITA - PPN (PDG)</t>
        </is>
      </c>
      <c r="AI4553" t="n">
        <v>565</v>
      </c>
      <c r="AJ4553" t="inlineStr">
        <is>
          <t>PUCELLE</t>
        </is>
      </c>
      <c r="AK4553" t="n">
        <v>21</v>
      </c>
      <c r="AL4553" t="inlineStr">
        <is>
          <t>Miss Glam Damar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PUCELLE</t>
        </is>
      </c>
      <c r="B4554" s="2">
        <f>"30400253724"</f>
        <v/>
      </c>
      <c r="C4554" t="inlineStr">
        <is>
          <t>PUCELLE Eau De Luxe Eau De Toilette Paris Romantic 100ml</t>
        </is>
      </c>
      <c r="D4554" t="inlineStr">
        <is>
          <t>Miss Glam Damar</t>
        </is>
      </c>
      <c r="E4554" t="n">
        <v>4</v>
      </c>
      <c r="F4554" t="n">
        <v>0.09100000000000001</v>
      </c>
      <c r="G4554" t="n">
        <v>0.91</v>
      </c>
      <c r="H4554" t="n">
        <v>2</v>
      </c>
      <c r="I4554" t="n">
        <v>6</v>
      </c>
      <c r="J4554" t="n">
        <v>1</v>
      </c>
      <c r="K4554" t="n">
        <v>0</v>
      </c>
      <c r="L4554" t="n">
        <v>32258</v>
      </c>
      <c r="M4554" t="n">
        <v>40000</v>
      </c>
      <c r="N4554" t="n">
        <v>91</v>
      </c>
      <c r="O4554" t="n">
        <v>0.91</v>
      </c>
      <c r="P4554" t="n">
        <v>1</v>
      </c>
      <c r="Q4554" t="n">
        <v>0.14</v>
      </c>
      <c r="R4554" t="n">
        <v>1</v>
      </c>
      <c r="S4554" t="n">
        <v>3640</v>
      </c>
      <c r="T4554" t="n">
        <v>6</v>
      </c>
      <c r="U4554" t="n">
        <v>7</v>
      </c>
      <c r="V4554" t="n">
        <v>30</v>
      </c>
      <c r="W4554" t="n">
        <v>3</v>
      </c>
      <c r="X4554" t="n">
        <v>43.95604395604395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2690</v>
      </c>
      <c r="AG4554" t="n">
        <v>104</v>
      </c>
      <c r="AH4554" t="inlineStr">
        <is>
          <t>PT. ASIA PARAMITA - PPN (PDG)</t>
        </is>
      </c>
      <c r="AI4554" t="n">
        <v>565</v>
      </c>
      <c r="AJ4554" t="inlineStr">
        <is>
          <t>PUCELLE</t>
        </is>
      </c>
      <c r="AK4554" t="n">
        <v>21</v>
      </c>
      <c r="AL4554" t="inlineStr">
        <is>
          <t>Miss Glam Damar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PUCELLE</t>
        </is>
      </c>
      <c r="B4555" s="2">
        <f>"30400254057"</f>
        <v/>
      </c>
      <c r="C4555" t="inlineStr">
        <is>
          <t>PUCELLE Eau De Luxe Eau De Toilette Seoul Rhythm 100ml</t>
        </is>
      </c>
      <c r="D4555" t="inlineStr">
        <is>
          <t>Miss Glam Damar</t>
        </is>
      </c>
      <c r="E4555" t="n">
        <v>5</v>
      </c>
      <c r="F4555" t="n">
        <v>0.182</v>
      </c>
      <c r="G4555" t="n">
        <v>1.82</v>
      </c>
      <c r="H4555" t="n">
        <v>2</v>
      </c>
      <c r="I4555" t="n">
        <v>6</v>
      </c>
      <c r="J4555" t="n">
        <v>1</v>
      </c>
      <c r="K4555" t="n">
        <v>0</v>
      </c>
      <c r="L4555" t="n">
        <v>32258</v>
      </c>
      <c r="M4555" t="n">
        <v>40000</v>
      </c>
      <c r="N4555" t="n">
        <v>91</v>
      </c>
      <c r="O4555" t="n">
        <v>0.91</v>
      </c>
      <c r="P4555" t="n">
        <v>1</v>
      </c>
      <c r="Q4555" t="n">
        <v>0.15</v>
      </c>
      <c r="R4555" t="n">
        <v>2</v>
      </c>
      <c r="S4555" t="n">
        <v>7280.000000000001</v>
      </c>
      <c r="T4555" t="n">
        <v>11</v>
      </c>
      <c r="U4555" t="n">
        <v>12</v>
      </c>
      <c r="V4555" t="n">
        <v>30</v>
      </c>
      <c r="W4555" t="n">
        <v>6</v>
      </c>
      <c r="X4555" t="n">
        <v>27.47252747252747</v>
      </c>
      <c r="Y4555" t="n">
        <v>1</v>
      </c>
      <c r="Z4555" t="n">
        <v>1</v>
      </c>
      <c r="AA4555" t="n">
        <v>0</v>
      </c>
      <c r="AB4555" t="n">
        <v>1</v>
      </c>
      <c r="AC4555" t="n">
        <v>1</v>
      </c>
      <c r="AD4555" t="n">
        <v>0</v>
      </c>
      <c r="AE4555" t="n">
        <v>32258</v>
      </c>
      <c r="AF4555" t="n">
        <v>2690</v>
      </c>
      <c r="AG4555" t="n">
        <v>104</v>
      </c>
      <c r="AH4555" t="inlineStr">
        <is>
          <t>PT. ASIA PARAMITA - PPN (PDG)</t>
        </is>
      </c>
      <c r="AI4555" t="n">
        <v>565</v>
      </c>
      <c r="AJ4555" t="inlineStr">
        <is>
          <t>PUCELLE</t>
        </is>
      </c>
      <c r="AK4555" t="n">
        <v>21</v>
      </c>
      <c r="AL4555" t="inlineStr">
        <is>
          <t>Miss Glam Damar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PUCELLE</t>
        </is>
      </c>
      <c r="B4556" s="2">
        <f>"30400253927"</f>
        <v/>
      </c>
      <c r="C4556" t="inlineStr">
        <is>
          <t>PUCELLE Eau De Luxe Eau De Toilette Tokyo Delight 100ml</t>
        </is>
      </c>
      <c r="D4556" t="inlineStr">
        <is>
          <t>Miss Glam Damar</t>
        </is>
      </c>
      <c r="E4556" t="n">
        <v>2</v>
      </c>
      <c r="F4556" t="n">
        <v>0.02</v>
      </c>
      <c r="G4556" t="n">
        <v>1</v>
      </c>
      <c r="H4556" t="n">
        <v>2</v>
      </c>
      <c r="I4556" t="n">
        <v>6</v>
      </c>
      <c r="J4556" t="n">
        <v>1</v>
      </c>
      <c r="K4556" t="n">
        <v>0</v>
      </c>
      <c r="L4556" t="n">
        <v>32258</v>
      </c>
      <c r="M4556" t="n">
        <v>40000</v>
      </c>
      <c r="N4556" t="n">
        <v>91</v>
      </c>
      <c r="O4556" t="n">
        <v>0.91</v>
      </c>
      <c r="P4556" t="n">
        <v>0</v>
      </c>
      <c r="Q4556" t="n">
        <v>0.02</v>
      </c>
      <c r="R4556" t="n">
        <v>1</v>
      </c>
      <c r="S4556" t="n">
        <v>800</v>
      </c>
      <c r="T4556" t="n">
        <v>6</v>
      </c>
      <c r="U4556" t="n">
        <v>7</v>
      </c>
      <c r="V4556" t="n">
        <v>30</v>
      </c>
      <c r="W4556" t="n">
        <v>1</v>
      </c>
      <c r="X4556" t="n">
        <v>100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2690</v>
      </c>
      <c r="AG4556" t="n">
        <v>104</v>
      </c>
      <c r="AH4556" t="inlineStr">
        <is>
          <t>PT. ASIA PARAMITA - PPN (PDG)</t>
        </is>
      </c>
      <c r="AI4556" t="n">
        <v>565</v>
      </c>
      <c r="AJ4556" t="inlineStr">
        <is>
          <t>PUCELLE</t>
        </is>
      </c>
      <c r="AK4556" t="n">
        <v>21</v>
      </c>
      <c r="AL4556" t="inlineStr">
        <is>
          <t>Miss Glam Damar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PUCELLE</t>
        </is>
      </c>
      <c r="B4557" s="2">
        <f>"8992222093217"</f>
        <v/>
      </c>
      <c r="C4557" t="inlineStr">
        <is>
          <t>PUCELLE Eau De Luxe Parfum The Alpha 50ml</t>
        </is>
      </c>
      <c r="D4557" t="inlineStr">
        <is>
          <t>Miss Glam Damar</t>
        </is>
      </c>
      <c r="E4557" t="n">
        <v>19</v>
      </c>
      <c r="F4557" t="n">
        <v>1.0829</v>
      </c>
      <c r="G4557" t="n">
        <v>5.46</v>
      </c>
      <c r="H4557" t="n">
        <v>2</v>
      </c>
      <c r="I4557" t="n">
        <v>6</v>
      </c>
      <c r="J4557" t="n">
        <v>3</v>
      </c>
      <c r="K4557" t="n">
        <v>0</v>
      </c>
      <c r="L4557" t="n">
        <v>24230</v>
      </c>
      <c r="M4557" t="n">
        <v>29000</v>
      </c>
      <c r="N4557" t="n">
        <v>91</v>
      </c>
      <c r="O4557" t="n">
        <v>0.91</v>
      </c>
      <c r="P4557" t="n">
        <v>1</v>
      </c>
      <c r="Q4557" t="n">
        <v>0.76</v>
      </c>
      <c r="R4557" t="n">
        <v>3</v>
      </c>
      <c r="S4557" t="n">
        <v>31404.1</v>
      </c>
      <c r="T4557" t="n">
        <v>31</v>
      </c>
      <c r="U4557" t="n">
        <v>34</v>
      </c>
      <c r="V4557" t="n">
        <v>30</v>
      </c>
      <c r="W4557" t="n">
        <v>33</v>
      </c>
      <c r="X4557" t="n">
        <v>17.54547973035368</v>
      </c>
      <c r="Y4557" t="n">
        <v>1</v>
      </c>
      <c r="Z4557" t="n">
        <v>14</v>
      </c>
      <c r="AA4557" t="n">
        <v>0</v>
      </c>
      <c r="AB4557" t="n">
        <v>14</v>
      </c>
      <c r="AC4557" t="n">
        <v>14</v>
      </c>
      <c r="AD4557" t="n">
        <v>0</v>
      </c>
      <c r="AE4557" t="n">
        <v>339220</v>
      </c>
      <c r="AF4557" t="n">
        <v>2690</v>
      </c>
      <c r="AG4557" t="n">
        <v>104</v>
      </c>
      <c r="AH4557" t="inlineStr">
        <is>
          <t>PT. ASIA PARAMITA - PPN (PDG)</t>
        </is>
      </c>
      <c r="AI4557" t="n">
        <v>565</v>
      </c>
      <c r="AJ4557" t="inlineStr">
        <is>
          <t>PUCELLE</t>
        </is>
      </c>
      <c r="AK4557" t="n">
        <v>21</v>
      </c>
      <c r="AL4557" t="inlineStr">
        <is>
          <t>Miss Glam Damar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PUCELLE</t>
        </is>
      </c>
      <c r="B4558" s="2">
        <f>"8992222093224"</f>
        <v/>
      </c>
      <c r="C4558" t="inlineStr">
        <is>
          <t>PUCELLE Eau De Luxe Parfum The Beta 50ml</t>
        </is>
      </c>
      <c r="D4558" t="inlineStr">
        <is>
          <t>Miss Glam Damar</t>
        </is>
      </c>
      <c r="E4558" t="n">
        <v>15</v>
      </c>
      <c r="F4558" t="n">
        <v>3.7492</v>
      </c>
      <c r="G4558" t="n">
        <v>16.38</v>
      </c>
      <c r="H4558" t="n">
        <v>2</v>
      </c>
      <c r="I4558" t="n">
        <v>6</v>
      </c>
      <c r="J4558" t="n">
        <v>3</v>
      </c>
      <c r="K4558" t="n">
        <v>0</v>
      </c>
      <c r="L4558" t="n">
        <v>24405</v>
      </c>
      <c r="M4558" t="n">
        <v>29000</v>
      </c>
      <c r="N4558" t="n">
        <v>91</v>
      </c>
      <c r="O4558" t="n">
        <v>0.91</v>
      </c>
      <c r="P4558" t="n">
        <v>1</v>
      </c>
      <c r="Q4558" t="n">
        <v>1.37</v>
      </c>
      <c r="R4558" t="n">
        <v>6</v>
      </c>
      <c r="S4558" t="n">
        <v>108726.8</v>
      </c>
      <c r="T4558" t="n">
        <v>91</v>
      </c>
      <c r="U4558" t="n">
        <v>99</v>
      </c>
      <c r="V4558" t="n">
        <v>30</v>
      </c>
      <c r="W4558" t="n">
        <v>113</v>
      </c>
      <c r="X4558" t="n">
        <v>4.000853515416622</v>
      </c>
      <c r="Y4558" t="n">
        <v>1</v>
      </c>
      <c r="Z4558" t="n">
        <v>98</v>
      </c>
      <c r="AA4558" t="n">
        <v>8</v>
      </c>
      <c r="AB4558" t="n">
        <v>90</v>
      </c>
      <c r="AC4558" t="n">
        <v>90</v>
      </c>
      <c r="AD4558" t="n">
        <v>195240</v>
      </c>
      <c r="AE4558" t="n">
        <v>2196450</v>
      </c>
      <c r="AF4558" t="n">
        <v>2690</v>
      </c>
      <c r="AG4558" t="n">
        <v>104</v>
      </c>
      <c r="AH4558" t="inlineStr">
        <is>
          <t>PT. ASIA PARAMITA - PPN (PDG)</t>
        </is>
      </c>
      <c r="AI4558" t="n">
        <v>565</v>
      </c>
      <c r="AJ4558" t="inlineStr">
        <is>
          <t>PUCELLE</t>
        </is>
      </c>
      <c r="AK4558" t="n">
        <v>21</v>
      </c>
      <c r="AL4558" t="inlineStr">
        <is>
          <t>Miss Glam Damar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PUCELLE</t>
        </is>
      </c>
      <c r="B4559" s="2">
        <f>"8992222093200"</f>
        <v/>
      </c>
      <c r="C4559" t="inlineStr">
        <is>
          <t>PUCELLE Eau De Luxe Parfum The Dazzler 50ml</t>
        </is>
      </c>
      <c r="D4559" t="inlineStr">
        <is>
          <t>Miss Glam Damar</t>
        </is>
      </c>
      <c r="E4559" t="n">
        <v>22</v>
      </c>
      <c r="F4559" t="n">
        <v>1.8655</v>
      </c>
      <c r="G4559" t="n">
        <v>6.37</v>
      </c>
      <c r="H4559" t="n">
        <v>2</v>
      </c>
      <c r="I4559" t="n">
        <v>6</v>
      </c>
      <c r="J4559" t="n">
        <v>3</v>
      </c>
      <c r="K4559" t="n">
        <v>0</v>
      </c>
      <c r="L4559" t="n">
        <v>24395</v>
      </c>
      <c r="M4559" t="n">
        <v>29000</v>
      </c>
      <c r="N4559" t="n">
        <v>91</v>
      </c>
      <c r="O4559" t="n">
        <v>0.91</v>
      </c>
      <c r="P4559" t="n">
        <v>1</v>
      </c>
      <c r="Q4559" t="n">
        <v>1.12</v>
      </c>
      <c r="R4559" t="n">
        <v>6</v>
      </c>
      <c r="S4559" t="n">
        <v>54099.5</v>
      </c>
      <c r="T4559" t="n">
        <v>35</v>
      </c>
      <c r="U4559" t="n">
        <v>39</v>
      </c>
      <c r="V4559" t="n">
        <v>30</v>
      </c>
      <c r="W4559" t="n">
        <v>56</v>
      </c>
      <c r="X4559" t="n">
        <v>11.79308496381667</v>
      </c>
      <c r="Y4559" t="n">
        <v>1</v>
      </c>
      <c r="Z4559" t="n">
        <v>34</v>
      </c>
      <c r="AA4559" t="n">
        <v>0</v>
      </c>
      <c r="AB4559" t="n">
        <v>34</v>
      </c>
      <c r="AC4559" t="n">
        <v>34</v>
      </c>
      <c r="AD4559" t="n">
        <v>0</v>
      </c>
      <c r="AE4559" t="n">
        <v>829430</v>
      </c>
      <c r="AF4559" t="n">
        <v>2690</v>
      </c>
      <c r="AG4559" t="n">
        <v>104</v>
      </c>
      <c r="AH4559" t="inlineStr">
        <is>
          <t>PT. ASIA PARAMITA - PPN (PDG)</t>
        </is>
      </c>
      <c r="AI4559" t="n">
        <v>565</v>
      </c>
      <c r="AJ4559" t="inlineStr">
        <is>
          <t>PUCELLE</t>
        </is>
      </c>
      <c r="AK4559" t="n">
        <v>21</v>
      </c>
      <c r="AL4559" t="inlineStr">
        <is>
          <t>Miss Glam Damar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PUCELLE</t>
        </is>
      </c>
      <c r="B4560" s="2">
        <f>"8992222093194"</f>
        <v/>
      </c>
      <c r="C4560" t="inlineStr">
        <is>
          <t>PUCELLE Eau De Luxe Parfum The Goddes 50ml</t>
        </is>
      </c>
      <c r="D4560" t="inlineStr">
        <is>
          <t>Miss Glam Damar</t>
        </is>
      </c>
      <c r="E4560" t="n">
        <v>8</v>
      </c>
      <c r="F4560" t="n">
        <v>1.3377</v>
      </c>
      <c r="G4560" t="n">
        <v>5.46</v>
      </c>
      <c r="H4560" t="n">
        <v>2</v>
      </c>
      <c r="I4560" t="n">
        <v>6</v>
      </c>
      <c r="J4560" t="n">
        <v>3</v>
      </c>
      <c r="K4560" t="n">
        <v>0</v>
      </c>
      <c r="L4560" t="n">
        <v>25296</v>
      </c>
      <c r="M4560" t="n">
        <v>29000</v>
      </c>
      <c r="N4560" t="n">
        <v>91</v>
      </c>
      <c r="O4560" t="n">
        <v>0.91</v>
      </c>
      <c r="P4560" t="n">
        <v>1</v>
      </c>
      <c r="Q4560" t="n">
        <v>0.39</v>
      </c>
      <c r="R4560" t="n">
        <v>2</v>
      </c>
      <c r="S4560" t="n">
        <v>38793.3</v>
      </c>
      <c r="T4560" t="n">
        <v>31</v>
      </c>
      <c r="U4560" t="n">
        <v>34</v>
      </c>
      <c r="V4560" t="n">
        <v>30</v>
      </c>
      <c r="W4560" t="n">
        <v>41</v>
      </c>
      <c r="X4560" t="n">
        <v>5.980414143679449</v>
      </c>
      <c r="Y4560" t="n">
        <v>1</v>
      </c>
      <c r="Z4560" t="n">
        <v>33</v>
      </c>
      <c r="AA4560" t="n">
        <v>1</v>
      </c>
      <c r="AB4560" t="n">
        <v>32</v>
      </c>
      <c r="AC4560" t="n">
        <v>32</v>
      </c>
      <c r="AD4560" t="n">
        <v>25296</v>
      </c>
      <c r="AE4560" t="n">
        <v>809472</v>
      </c>
      <c r="AF4560" t="n">
        <v>2690</v>
      </c>
      <c r="AG4560" t="n">
        <v>104</v>
      </c>
      <c r="AH4560" t="inlineStr">
        <is>
          <t>PT. ASIA PARAMITA - PPN (PDG)</t>
        </is>
      </c>
      <c r="AI4560" t="n">
        <v>565</v>
      </c>
      <c r="AJ4560" t="inlineStr">
        <is>
          <t>PUCELLE</t>
        </is>
      </c>
      <c r="AK4560" t="n">
        <v>21</v>
      </c>
      <c r="AL4560" t="inlineStr">
        <is>
          <t>Miss Glam Damar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PUCELLE</t>
        </is>
      </c>
      <c r="B4561" s="2">
        <f>"8992222093231"</f>
        <v/>
      </c>
      <c r="C4561" t="inlineStr">
        <is>
          <t>PUCELLE Eau De Luxe Parfum The Sigma 50ml</t>
        </is>
      </c>
      <c r="D4561" t="inlineStr">
        <is>
          <t>Miss Glam Damar</t>
        </is>
      </c>
      <c r="E4561" t="n">
        <v>21</v>
      </c>
      <c r="F4561" t="n">
        <v>1.2649</v>
      </c>
      <c r="G4561" t="n">
        <v>4.55</v>
      </c>
      <c r="H4561" t="n">
        <v>2</v>
      </c>
      <c r="I4561" t="n">
        <v>6</v>
      </c>
      <c r="J4561" t="n">
        <v>3</v>
      </c>
      <c r="K4561" t="n">
        <v>0</v>
      </c>
      <c r="L4561" t="n">
        <v>24880</v>
      </c>
      <c r="M4561" t="n">
        <v>29000</v>
      </c>
      <c r="N4561" t="n">
        <v>91</v>
      </c>
      <c r="O4561" t="n">
        <v>0.91</v>
      </c>
      <c r="P4561" t="n">
        <v>1</v>
      </c>
      <c r="Q4561" t="n">
        <v>0.83</v>
      </c>
      <c r="R4561" t="n">
        <v>4</v>
      </c>
      <c r="S4561" t="n">
        <v>36682.1</v>
      </c>
      <c r="T4561" t="n">
        <v>25</v>
      </c>
      <c r="U4561" t="n">
        <v>28</v>
      </c>
      <c r="V4561" t="n">
        <v>30</v>
      </c>
      <c r="W4561" t="n">
        <v>38</v>
      </c>
      <c r="X4561" t="n">
        <v>16.60210293303819</v>
      </c>
      <c r="Y4561" t="n">
        <v>1</v>
      </c>
      <c r="Z4561" t="n">
        <v>17</v>
      </c>
      <c r="AA4561" t="n">
        <v>0</v>
      </c>
      <c r="AB4561" t="n">
        <v>17</v>
      </c>
      <c r="AC4561" t="n">
        <v>17</v>
      </c>
      <c r="AD4561" t="n">
        <v>0</v>
      </c>
      <c r="AE4561" t="n">
        <v>422960</v>
      </c>
      <c r="AF4561" t="n">
        <v>2690</v>
      </c>
      <c r="AG4561" t="n">
        <v>104</v>
      </c>
      <c r="AH4561" t="inlineStr">
        <is>
          <t>PT. ASIA PARAMITA - PPN (PDG)</t>
        </is>
      </c>
      <c r="AI4561" t="n">
        <v>565</v>
      </c>
      <c r="AJ4561" t="inlineStr">
        <is>
          <t>PUCELLE</t>
        </is>
      </c>
      <c r="AK4561" t="n">
        <v>21</v>
      </c>
      <c r="AL4561" t="inlineStr">
        <is>
          <t>Miss Glam Damar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PUCELLE</t>
        </is>
      </c>
      <c r="B4562" s="2">
        <f>"8992222093187"</f>
        <v/>
      </c>
      <c r="C4562" t="inlineStr">
        <is>
          <t>PUCELLE Eau De Luxe Parfum The Stuner 50ml</t>
        </is>
      </c>
      <c r="D4562" t="inlineStr">
        <is>
          <t>Miss Glam Damar</t>
        </is>
      </c>
      <c r="E4562" t="n">
        <v>25</v>
      </c>
      <c r="F4562" t="n">
        <v>2.7755</v>
      </c>
      <c r="G4562" t="n">
        <v>10.01</v>
      </c>
      <c r="H4562" t="n">
        <v>2</v>
      </c>
      <c r="I4562" t="n">
        <v>6</v>
      </c>
      <c r="J4562" t="n">
        <v>3</v>
      </c>
      <c r="K4562" t="n">
        <v>0</v>
      </c>
      <c r="L4562" t="n">
        <v>24396</v>
      </c>
      <c r="M4562" t="n">
        <v>29000</v>
      </c>
      <c r="N4562" t="n">
        <v>91</v>
      </c>
      <c r="O4562" t="n">
        <v>0.91</v>
      </c>
      <c r="P4562" t="n">
        <v>1</v>
      </c>
      <c r="Q4562" t="n">
        <v>1.54</v>
      </c>
      <c r="R4562" t="n">
        <v>6</v>
      </c>
      <c r="S4562" t="n">
        <v>80489.5</v>
      </c>
      <c r="T4562" t="n">
        <v>55</v>
      </c>
      <c r="U4562" t="n">
        <v>61</v>
      </c>
      <c r="V4562" t="n">
        <v>30</v>
      </c>
      <c r="W4562" t="n">
        <v>84</v>
      </c>
      <c r="X4562" t="n">
        <v>9.007386056566384</v>
      </c>
      <c r="Y4562" t="n">
        <v>1</v>
      </c>
      <c r="Z4562" t="n">
        <v>59</v>
      </c>
      <c r="AA4562" t="n">
        <v>0</v>
      </c>
      <c r="AB4562" t="n">
        <v>59</v>
      </c>
      <c r="AC4562" t="n">
        <v>59</v>
      </c>
      <c r="AD4562" t="n">
        <v>0</v>
      </c>
      <c r="AE4562" t="n">
        <v>1439364</v>
      </c>
      <c r="AF4562" t="n">
        <v>2690</v>
      </c>
      <c r="AG4562" t="n">
        <v>104</v>
      </c>
      <c r="AH4562" t="inlineStr">
        <is>
          <t>PT. ASIA PARAMITA - PPN (PDG)</t>
        </is>
      </c>
      <c r="AI4562" t="n">
        <v>565</v>
      </c>
      <c r="AJ4562" t="inlineStr">
        <is>
          <t>PUCELLE</t>
        </is>
      </c>
      <c r="AK4562" t="n">
        <v>21</v>
      </c>
      <c r="AL4562" t="inlineStr">
        <is>
          <t>Miss Glam Damar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PUCELLE</t>
        </is>
      </c>
      <c r="B4563" s="2">
        <f>"30200193614"</f>
        <v/>
      </c>
      <c r="C4563" t="inlineStr">
        <is>
          <t>PUCELLE The Dazzler Eau De Luxe Parfume Body Lotion 160ml</t>
        </is>
      </c>
      <c r="D4563" t="inlineStr">
        <is>
          <t>Miss Glam Damar</t>
        </is>
      </c>
      <c r="E4563" t="n">
        <v>17</v>
      </c>
      <c r="F4563" t="n">
        <v>0.8372000000000001</v>
      </c>
      <c r="G4563" t="n">
        <v>4.55</v>
      </c>
      <c r="H4563" t="n">
        <v>2</v>
      </c>
      <c r="I4563" t="n">
        <v>6</v>
      </c>
      <c r="J4563" t="n">
        <v>1</v>
      </c>
      <c r="K4563" t="n">
        <v>0</v>
      </c>
      <c r="L4563" t="n">
        <v>24500</v>
      </c>
      <c r="M4563" t="n">
        <v>29000</v>
      </c>
      <c r="N4563" t="n">
        <v>91</v>
      </c>
      <c r="O4563" t="n">
        <v>0.91</v>
      </c>
      <c r="P4563" t="n">
        <v>1</v>
      </c>
      <c r="Q4563" t="n">
        <v>0.49</v>
      </c>
      <c r="R4563" t="n">
        <v>4</v>
      </c>
      <c r="S4563" t="n">
        <v>24278.8</v>
      </c>
      <c r="T4563" t="n">
        <v>26</v>
      </c>
      <c r="U4563" t="n">
        <v>28</v>
      </c>
      <c r="V4563" t="n">
        <v>30</v>
      </c>
      <c r="W4563" t="n">
        <v>26</v>
      </c>
      <c r="X4563" t="n">
        <v>20.30578117534639</v>
      </c>
      <c r="Y4563" t="n">
        <v>1</v>
      </c>
      <c r="Z4563" t="n">
        <v>9</v>
      </c>
      <c r="AA4563" t="n">
        <v>0</v>
      </c>
      <c r="AB4563" t="n">
        <v>9</v>
      </c>
      <c r="AC4563" t="n">
        <v>9</v>
      </c>
      <c r="AD4563" t="n">
        <v>0</v>
      </c>
      <c r="AE4563" t="n">
        <v>220500</v>
      </c>
      <c r="AF4563" t="n">
        <v>2690</v>
      </c>
      <c r="AG4563" t="n">
        <v>104</v>
      </c>
      <c r="AH4563" t="inlineStr">
        <is>
          <t>PT. ASIA PARAMITA - PPN (PDG)</t>
        </is>
      </c>
      <c r="AI4563" t="n">
        <v>565</v>
      </c>
      <c r="AJ4563" t="inlineStr">
        <is>
          <t>PUCELLE</t>
        </is>
      </c>
      <c r="AK4563" t="n">
        <v>21</v>
      </c>
      <c r="AL4563" t="inlineStr">
        <is>
          <t>Miss Glam Damar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PUCELLE</t>
        </is>
      </c>
      <c r="B4564" s="2">
        <f>"30200193541"</f>
        <v/>
      </c>
      <c r="C4564" t="inlineStr">
        <is>
          <t>PUCELLE The Goddess Eau De Luxe Parfume Body Lotion 160ml</t>
        </is>
      </c>
      <c r="D4564" t="inlineStr">
        <is>
          <t>Miss Glam Damar</t>
        </is>
      </c>
      <c r="E4564" t="n">
        <v>11</v>
      </c>
      <c r="F4564" t="n">
        <v>0.5096000000000001</v>
      </c>
      <c r="G4564" t="n">
        <v>2.73</v>
      </c>
      <c r="H4564" t="n">
        <v>2</v>
      </c>
      <c r="I4564" t="n">
        <v>6</v>
      </c>
      <c r="J4564" t="n">
        <v>1</v>
      </c>
      <c r="K4564" t="n">
        <v>0</v>
      </c>
      <c r="L4564" t="n">
        <v>24499</v>
      </c>
      <c r="M4564" t="n">
        <v>29000</v>
      </c>
      <c r="N4564" t="n">
        <v>91</v>
      </c>
      <c r="O4564" t="n">
        <v>0.91</v>
      </c>
      <c r="P4564" t="n">
        <v>1</v>
      </c>
      <c r="Q4564" t="n">
        <v>0.19</v>
      </c>
      <c r="R4564" t="n">
        <v>2</v>
      </c>
      <c r="S4564" t="n">
        <v>14778.4</v>
      </c>
      <c r="T4564" t="n">
        <v>16</v>
      </c>
      <c r="U4564" t="n">
        <v>18</v>
      </c>
      <c r="V4564" t="n">
        <v>30</v>
      </c>
      <c r="W4564" t="n">
        <v>16</v>
      </c>
      <c r="X4564" t="n">
        <v>21.58555729984301</v>
      </c>
      <c r="Y4564" t="n">
        <v>1</v>
      </c>
      <c r="Z4564" t="n">
        <v>5</v>
      </c>
      <c r="AA4564" t="n">
        <v>0</v>
      </c>
      <c r="AB4564" t="n">
        <v>5</v>
      </c>
      <c r="AC4564" t="n">
        <v>5</v>
      </c>
      <c r="AD4564" t="n">
        <v>0</v>
      </c>
      <c r="AE4564" t="n">
        <v>122495</v>
      </c>
      <c r="AF4564" t="n">
        <v>2690</v>
      </c>
      <c r="AG4564" t="n">
        <v>104</v>
      </c>
      <c r="AH4564" t="inlineStr">
        <is>
          <t>PT. ASIA PARAMITA - PPN (PDG)</t>
        </is>
      </c>
      <c r="AI4564" t="n">
        <v>565</v>
      </c>
      <c r="AJ4564" t="inlineStr">
        <is>
          <t>PUCELLE</t>
        </is>
      </c>
      <c r="AK4564" t="n">
        <v>21</v>
      </c>
      <c r="AL4564" t="inlineStr">
        <is>
          <t>Miss Glam Damar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PUCELLE</t>
        </is>
      </c>
      <c r="B4565" s="2">
        <f>"30200193443"</f>
        <v/>
      </c>
      <c r="C4565" t="inlineStr">
        <is>
          <t>PUCELLE The Stuner Eau De Luxe Parfume Body Lotion 160ml</t>
        </is>
      </c>
      <c r="D4565" t="inlineStr">
        <is>
          <t>Miss Glam Damar</t>
        </is>
      </c>
      <c r="E4565" t="n">
        <v>26</v>
      </c>
      <c r="F4565" t="n">
        <v>1.5925</v>
      </c>
      <c r="G4565" t="n">
        <v>9.1</v>
      </c>
      <c r="H4565" t="n">
        <v>2</v>
      </c>
      <c r="I4565" t="n">
        <v>6</v>
      </c>
      <c r="J4565" t="n">
        <v>1</v>
      </c>
      <c r="K4565" t="n">
        <v>0</v>
      </c>
      <c r="L4565" t="n">
        <v>24240</v>
      </c>
      <c r="M4565" t="n">
        <v>29000</v>
      </c>
      <c r="N4565" t="n">
        <v>91</v>
      </c>
      <c r="O4565" t="n">
        <v>0.91</v>
      </c>
      <c r="P4565" t="n">
        <v>1</v>
      </c>
      <c r="Q4565" t="n">
        <v>1.41</v>
      </c>
      <c r="R4565" t="n">
        <v>5</v>
      </c>
      <c r="S4565" t="n">
        <v>46182.5</v>
      </c>
      <c r="T4565" t="n">
        <v>52</v>
      </c>
      <c r="U4565" t="n">
        <v>56</v>
      </c>
      <c r="V4565" t="n">
        <v>30</v>
      </c>
      <c r="W4565" t="n">
        <v>48</v>
      </c>
      <c r="X4565" t="n">
        <v>16.3265306122449</v>
      </c>
      <c r="Y4565" t="n">
        <v>1</v>
      </c>
      <c r="Z4565" t="n">
        <v>22</v>
      </c>
      <c r="AA4565" t="n">
        <v>0</v>
      </c>
      <c r="AB4565" t="n">
        <v>22</v>
      </c>
      <c r="AC4565" t="n">
        <v>22</v>
      </c>
      <c r="AD4565" t="n">
        <v>0</v>
      </c>
      <c r="AE4565" t="n">
        <v>533280</v>
      </c>
      <c r="AF4565" t="n">
        <v>2690</v>
      </c>
      <c r="AG4565" t="n">
        <v>104</v>
      </c>
      <c r="AH4565" t="inlineStr">
        <is>
          <t>PT. ASIA PARAMITA - PPN (PDG)</t>
        </is>
      </c>
      <c r="AI4565" t="n">
        <v>565</v>
      </c>
      <c r="AJ4565" t="inlineStr">
        <is>
          <t>PUCELLE</t>
        </is>
      </c>
      <c r="AK4565" t="n">
        <v>21</v>
      </c>
      <c r="AL4565" t="inlineStr">
        <is>
          <t>Miss Glam Damar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PURBASARI</t>
        </is>
      </c>
      <c r="B4566" s="2">
        <f>"30100245014"</f>
        <v/>
      </c>
      <c r="C4566" t="inlineStr">
        <is>
          <t>PURBASARI Body Scrub Rinseless Pineapple 200gr</t>
        </is>
      </c>
      <c r="D4566" t="inlineStr">
        <is>
          <t>Miss Glam Damar</t>
        </is>
      </c>
      <c r="E4566" t="n">
        <v>7</v>
      </c>
      <c r="F4566" t="n">
        <v>0.0273</v>
      </c>
      <c r="G4566" t="n">
        <v>0.91</v>
      </c>
      <c r="H4566" t="n">
        <v>3</v>
      </c>
      <c r="I4566" t="n">
        <v>11</v>
      </c>
      <c r="J4566" t="n">
        <v>1</v>
      </c>
      <c r="K4566" t="n">
        <v>0</v>
      </c>
      <c r="L4566" t="n">
        <v>28000</v>
      </c>
      <c r="M4566" t="n">
        <v>35000</v>
      </c>
      <c r="N4566" t="n">
        <v>91</v>
      </c>
      <c r="O4566" t="n">
        <v>0.91</v>
      </c>
      <c r="P4566" t="n">
        <v>1</v>
      </c>
      <c r="Q4566" t="n">
        <v>0.03</v>
      </c>
      <c r="R4566" t="n">
        <v>1</v>
      </c>
      <c r="S4566" t="n">
        <v>955.5</v>
      </c>
      <c r="T4566" t="n">
        <v>10</v>
      </c>
      <c r="U4566" t="n">
        <v>11</v>
      </c>
      <c r="V4566" t="n">
        <v>30</v>
      </c>
      <c r="W4566" t="n">
        <v>1</v>
      </c>
      <c r="X4566" t="n">
        <v>256.4102564102564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10162</v>
      </c>
      <c r="AG4566" t="n">
        <v>78</v>
      </c>
      <c r="AH4566" t="inlineStr">
        <is>
          <t>PT. GLORIENTA P.H - PPN (PDG)</t>
        </is>
      </c>
      <c r="AI4566" t="n">
        <v>130</v>
      </c>
      <c r="AJ4566" t="inlineStr">
        <is>
          <t>PURBASARI</t>
        </is>
      </c>
      <c r="AK4566" t="n">
        <v>21</v>
      </c>
      <c r="AL4566" t="inlineStr">
        <is>
          <t>Miss Glam Damar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PURBASARI</t>
        </is>
      </c>
      <c r="B4567" s="2">
        <f>"30100245158"</f>
        <v/>
      </c>
      <c r="C4567" t="inlineStr">
        <is>
          <t>PURBASARI Body Scrub Rinseless Watermelon 200gr</t>
        </is>
      </c>
      <c r="D4567" t="inlineStr">
        <is>
          <t>Miss Glam Damar</t>
        </is>
      </c>
      <c r="E4567" t="n">
        <v>10</v>
      </c>
      <c r="F4567" t="n">
        <v>0.06370000000000001</v>
      </c>
      <c r="G4567" t="n">
        <v>0.91</v>
      </c>
      <c r="H4567" t="n">
        <v>3</v>
      </c>
      <c r="I4567" t="n">
        <v>11</v>
      </c>
      <c r="J4567" t="n">
        <v>1</v>
      </c>
      <c r="K4567" t="n">
        <v>0</v>
      </c>
      <c r="L4567" t="n">
        <v>28000</v>
      </c>
      <c r="M4567" t="n">
        <v>35000</v>
      </c>
      <c r="N4567" t="n">
        <v>91</v>
      </c>
      <c r="O4567" t="n">
        <v>0.91</v>
      </c>
      <c r="P4567" t="n">
        <v>1</v>
      </c>
      <c r="Q4567" t="n">
        <v>0.07000000000000001</v>
      </c>
      <c r="R4567" t="n">
        <v>2</v>
      </c>
      <c r="S4567" t="n">
        <v>2229.5</v>
      </c>
      <c r="T4567" t="n">
        <v>10</v>
      </c>
      <c r="U4567" t="n">
        <v>11</v>
      </c>
      <c r="V4567" t="n">
        <v>30</v>
      </c>
      <c r="W4567" t="n">
        <v>2</v>
      </c>
      <c r="X4567" t="n">
        <v>156.9858712715856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10162</v>
      </c>
      <c r="AG4567" t="n">
        <v>78</v>
      </c>
      <c r="AH4567" t="inlineStr">
        <is>
          <t>PT. GLORIENTA P.H - PPN (PDG)</t>
        </is>
      </c>
      <c r="AI4567" t="n">
        <v>130</v>
      </c>
      <c r="AJ4567" t="inlineStr">
        <is>
          <t>PURBASARI</t>
        </is>
      </c>
      <c r="AK4567" t="n">
        <v>21</v>
      </c>
      <c r="AL4567" t="inlineStr">
        <is>
          <t>Miss Glam Damar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PURBASARI</t>
        </is>
      </c>
      <c r="B4568" s="2">
        <f>"30100244934"</f>
        <v/>
      </c>
      <c r="C4568" t="inlineStr">
        <is>
          <t>PURBASARI Body Scrub Rinseless Yuzu &amp; Saffron 200gr</t>
        </is>
      </c>
      <c r="D4568" t="inlineStr">
        <is>
          <t>Miss Glam Damar</t>
        </is>
      </c>
      <c r="E4568" t="n">
        <v>5</v>
      </c>
      <c r="F4568" t="n">
        <v>0.04550000000000001</v>
      </c>
      <c r="G4568" t="n">
        <v>2.73</v>
      </c>
      <c r="H4568" t="n">
        <v>3</v>
      </c>
      <c r="I4568" t="n">
        <v>11</v>
      </c>
      <c r="J4568" t="n">
        <v>1</v>
      </c>
      <c r="K4568" t="n">
        <v>0</v>
      </c>
      <c r="L4568" t="n">
        <v>28000</v>
      </c>
      <c r="M4568" t="n">
        <v>35000</v>
      </c>
      <c r="N4568" t="n">
        <v>91</v>
      </c>
      <c r="O4568" t="n">
        <v>0.91</v>
      </c>
      <c r="P4568" t="n">
        <v>1</v>
      </c>
      <c r="Q4568" t="n">
        <v>0.1</v>
      </c>
      <c r="R4568" t="n">
        <v>1</v>
      </c>
      <c r="S4568" t="n">
        <v>1592.5</v>
      </c>
      <c r="T4568" t="n">
        <v>30</v>
      </c>
      <c r="U4568" t="n">
        <v>31</v>
      </c>
      <c r="V4568" t="n">
        <v>30</v>
      </c>
      <c r="W4568" t="n">
        <v>2</v>
      </c>
      <c r="X4568" t="n">
        <v>109.8901098901099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10162</v>
      </c>
      <c r="AG4568" t="n">
        <v>78</v>
      </c>
      <c r="AH4568" t="inlineStr">
        <is>
          <t>PT. GLORIENTA P.H - PPN (PDG)</t>
        </is>
      </c>
      <c r="AI4568" t="n">
        <v>130</v>
      </c>
      <c r="AJ4568" t="inlineStr">
        <is>
          <t>PURBASARI</t>
        </is>
      </c>
      <c r="AK4568" t="n">
        <v>21</v>
      </c>
      <c r="AL4568" t="inlineStr">
        <is>
          <t>Miss Glam Damar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PURBASARI</t>
        </is>
      </c>
      <c r="B4569" s="2">
        <f>"30200429243"</f>
        <v/>
      </c>
      <c r="C4569" t="inlineStr">
        <is>
          <t>PURBASARI Body Serum Gluta-Hya 180ml</t>
        </is>
      </c>
      <c r="D4569" t="inlineStr">
        <is>
          <t>Miss Glam Damar</t>
        </is>
      </c>
      <c r="E4569" t="n">
        <v>52</v>
      </c>
      <c r="F4569" t="n">
        <v>4.3589</v>
      </c>
      <c r="G4569" t="n">
        <v>14.56</v>
      </c>
      <c r="H4569" t="n">
        <v>3</v>
      </c>
      <c r="I4569" t="n">
        <v>11</v>
      </c>
      <c r="J4569" t="n">
        <v>1</v>
      </c>
      <c r="K4569" t="n">
        <v>0</v>
      </c>
      <c r="L4569" t="n">
        <v>20667</v>
      </c>
      <c r="M4569" t="n">
        <v>27000</v>
      </c>
      <c r="N4569" t="n">
        <v>91</v>
      </c>
      <c r="O4569" t="n">
        <v>0.91</v>
      </c>
      <c r="P4569" t="n">
        <v>1</v>
      </c>
      <c r="Q4569" t="n">
        <v>2.02</v>
      </c>
      <c r="R4569" t="n">
        <v>8</v>
      </c>
      <c r="S4569" t="n">
        <v>117690.3</v>
      </c>
      <c r="T4569" t="n">
        <v>148</v>
      </c>
      <c r="U4569" t="n">
        <v>162</v>
      </c>
      <c r="V4569" t="n">
        <v>30</v>
      </c>
      <c r="W4569" t="n">
        <v>131</v>
      </c>
      <c r="X4569" t="n">
        <v>11.92961526990755</v>
      </c>
      <c r="Y4569" t="n">
        <v>1</v>
      </c>
      <c r="Z4569" t="n">
        <v>79</v>
      </c>
      <c r="AA4569" t="n">
        <v>0</v>
      </c>
      <c r="AB4569" t="n">
        <v>79</v>
      </c>
      <c r="AC4569" t="n">
        <v>79</v>
      </c>
      <c r="AD4569" t="n">
        <v>0</v>
      </c>
      <c r="AE4569" t="n">
        <v>1632693</v>
      </c>
      <c r="AF4569" t="n">
        <v>10162</v>
      </c>
      <c r="AG4569" t="n">
        <v>78</v>
      </c>
      <c r="AH4569" t="inlineStr">
        <is>
          <t>PT. GLORIENTA P.H - PPN (PDG)</t>
        </is>
      </c>
      <c r="AI4569" t="n">
        <v>130</v>
      </c>
      <c r="AJ4569" t="inlineStr">
        <is>
          <t>PURBASARI</t>
        </is>
      </c>
      <c r="AK4569" t="n">
        <v>21</v>
      </c>
      <c r="AL4569" t="inlineStr">
        <is>
          <t>Miss Glam Damar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PURBASARI</t>
        </is>
      </c>
      <c r="B4570" s="2">
        <f>"8999225912224"</f>
        <v/>
      </c>
      <c r="C4570" t="inlineStr">
        <is>
          <t>PURBASARI Ceramide Barrier Body Serum 180ml</t>
        </is>
      </c>
      <c r="D4570" t="inlineStr">
        <is>
          <t>Miss Glam Damar</t>
        </is>
      </c>
      <c r="E4570" t="n">
        <v>9</v>
      </c>
      <c r="F4570" t="n">
        <v>0.2002</v>
      </c>
      <c r="G4570" t="n">
        <v>1.82</v>
      </c>
      <c r="H4570" t="n">
        <v>3</v>
      </c>
      <c r="I4570" t="n">
        <v>11</v>
      </c>
      <c r="J4570" t="n">
        <v>3</v>
      </c>
      <c r="K4570" t="n">
        <v>0</v>
      </c>
      <c r="L4570" t="n">
        <v>20455</v>
      </c>
      <c r="M4570" t="n">
        <v>27000</v>
      </c>
      <c r="N4570" t="n">
        <v>91</v>
      </c>
      <c r="O4570" t="n">
        <v>0.91</v>
      </c>
      <c r="P4570" t="n">
        <v>1</v>
      </c>
      <c r="Q4570" t="n">
        <v>0.08</v>
      </c>
      <c r="R4570" t="n">
        <v>1</v>
      </c>
      <c r="S4570" t="n">
        <v>5405.400000000001</v>
      </c>
      <c r="T4570" t="n">
        <v>20</v>
      </c>
      <c r="U4570" t="n">
        <v>21</v>
      </c>
      <c r="V4570" t="n">
        <v>30</v>
      </c>
      <c r="W4570" t="n">
        <v>7</v>
      </c>
      <c r="X4570" t="n">
        <v>44.95504495504495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10162</v>
      </c>
      <c r="AG4570" t="n">
        <v>78</v>
      </c>
      <c r="AH4570" t="inlineStr">
        <is>
          <t>PT. GLORIENTA P.H - PPN (PDG)</t>
        </is>
      </c>
      <c r="AI4570" t="n">
        <v>130</v>
      </c>
      <c r="AJ4570" t="inlineStr">
        <is>
          <t>PURBASARI</t>
        </is>
      </c>
      <c r="AK4570" t="n">
        <v>21</v>
      </c>
      <c r="AL4570" t="inlineStr">
        <is>
          <t>Miss Glam Damar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PURBASARI</t>
        </is>
      </c>
      <c r="B4571" s="2">
        <f>"8999225912200"</f>
        <v/>
      </c>
      <c r="C4571" t="inlineStr">
        <is>
          <t>PURBASARI Cybright Whitening Body Serum 180ml</t>
        </is>
      </c>
      <c r="D4571" t="inlineStr">
        <is>
          <t>Miss Glam Damar</t>
        </is>
      </c>
      <c r="E4571" t="n">
        <v>27</v>
      </c>
      <c r="F4571" t="n">
        <v>1.4378</v>
      </c>
      <c r="G4571" t="n">
        <v>4.55</v>
      </c>
      <c r="H4571" t="n">
        <v>3</v>
      </c>
      <c r="I4571" t="n">
        <v>11</v>
      </c>
      <c r="J4571" t="n">
        <v>3</v>
      </c>
      <c r="K4571" t="n">
        <v>0</v>
      </c>
      <c r="L4571" t="n">
        <v>21040</v>
      </c>
      <c r="M4571" t="n">
        <v>27000</v>
      </c>
      <c r="N4571" t="n">
        <v>91</v>
      </c>
      <c r="O4571" t="n">
        <v>0.91</v>
      </c>
      <c r="P4571" t="n">
        <v>1</v>
      </c>
      <c r="Q4571" t="n">
        <v>0.61</v>
      </c>
      <c r="R4571" t="n">
        <v>5</v>
      </c>
      <c r="S4571" t="n">
        <v>38820.60000000001</v>
      </c>
      <c r="T4571" t="n">
        <v>46</v>
      </c>
      <c r="U4571" t="n">
        <v>51</v>
      </c>
      <c r="V4571" t="n">
        <v>30</v>
      </c>
      <c r="W4571" t="n">
        <v>44</v>
      </c>
      <c r="X4571" t="n">
        <v>18.77868966476561</v>
      </c>
      <c r="Y4571" t="n">
        <v>1</v>
      </c>
      <c r="Z4571" t="n">
        <v>17</v>
      </c>
      <c r="AA4571" t="n">
        <v>0</v>
      </c>
      <c r="AB4571" t="n">
        <v>17</v>
      </c>
      <c r="AC4571" t="n">
        <v>17</v>
      </c>
      <c r="AD4571" t="n">
        <v>0</v>
      </c>
      <c r="AE4571" t="n">
        <v>357680</v>
      </c>
      <c r="AF4571" t="n">
        <v>10162</v>
      </c>
      <c r="AG4571" t="n">
        <v>78</v>
      </c>
      <c r="AH4571" t="inlineStr">
        <is>
          <t>PT. GLORIENTA P.H - PPN (PDG)</t>
        </is>
      </c>
      <c r="AI4571" t="n">
        <v>130</v>
      </c>
      <c r="AJ4571" t="inlineStr">
        <is>
          <t>PURBASARI</t>
        </is>
      </c>
      <c r="AK4571" t="n">
        <v>21</v>
      </c>
      <c r="AL4571" t="inlineStr">
        <is>
          <t>Miss Glam Damar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PURBASARI</t>
        </is>
      </c>
      <c r="B4572" s="2">
        <f>"8999225910930"</f>
        <v/>
      </c>
      <c r="C4572" t="inlineStr">
        <is>
          <t>PURBASARI Glow Facial Foam Brightening 100gr</t>
        </is>
      </c>
      <c r="D4572" t="inlineStr">
        <is>
          <t>Miss Glam Damar</t>
        </is>
      </c>
      <c r="E4572" t="n">
        <v>1</v>
      </c>
      <c r="F4572" t="n">
        <v>0.1547</v>
      </c>
      <c r="G4572" t="n">
        <v>1.82</v>
      </c>
      <c r="H4572" t="n">
        <v>3</v>
      </c>
      <c r="I4572" t="n">
        <v>11</v>
      </c>
      <c r="J4572" t="n">
        <v>3</v>
      </c>
      <c r="K4572" t="n">
        <v>0</v>
      </c>
      <c r="L4572" t="n">
        <v>19840</v>
      </c>
      <c r="M4572" t="n">
        <v>23500</v>
      </c>
      <c r="N4572" t="n">
        <v>91</v>
      </c>
      <c r="O4572" t="n">
        <v>0.91</v>
      </c>
      <c r="P4572" t="n">
        <v>1</v>
      </c>
      <c r="Q4572" t="n">
        <v>0.08</v>
      </c>
      <c r="R4572" t="n">
        <v>1</v>
      </c>
      <c r="S4572" t="n">
        <v>3635.45</v>
      </c>
      <c r="T4572" t="n">
        <v>20</v>
      </c>
      <c r="U4572" t="n">
        <v>21</v>
      </c>
      <c r="V4572" t="n">
        <v>30</v>
      </c>
      <c r="W4572" t="n">
        <v>5</v>
      </c>
      <c r="X4572" t="n">
        <v>6.464124111182935</v>
      </c>
      <c r="Y4572" t="n">
        <v>1</v>
      </c>
      <c r="Z4572" t="n">
        <v>4</v>
      </c>
      <c r="AA4572" t="n">
        <v>1</v>
      </c>
      <c r="AB4572" t="n">
        <v>3</v>
      </c>
      <c r="AC4572" t="n">
        <v>3</v>
      </c>
      <c r="AD4572" t="n">
        <v>19840</v>
      </c>
      <c r="AE4572" t="n">
        <v>59520</v>
      </c>
      <c r="AF4572" t="n">
        <v>10162</v>
      </c>
      <c r="AG4572" t="n">
        <v>78</v>
      </c>
      <c r="AH4572" t="inlineStr">
        <is>
          <t>PT. GLORIENTA P.H - PPN (PDG)</t>
        </is>
      </c>
      <c r="AI4572" t="n">
        <v>130</v>
      </c>
      <c r="AJ4572" t="inlineStr">
        <is>
          <t>PURBASARI</t>
        </is>
      </c>
      <c r="AK4572" t="n">
        <v>21</v>
      </c>
      <c r="AL4572" t="inlineStr">
        <is>
          <t>Miss Glam Damar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PURBASARI</t>
        </is>
      </c>
      <c r="B4573" s="2">
        <f>"8999225910954"</f>
        <v/>
      </c>
      <c r="C4573" t="inlineStr">
        <is>
          <t>PURBASARI Glow Facial Foam Moisturizing 100gr</t>
        </is>
      </c>
      <c r="D4573" t="inlineStr">
        <is>
          <t>Miss Glam Damar</t>
        </is>
      </c>
      <c r="E4573" t="n">
        <v>2</v>
      </c>
      <c r="F4573" t="n">
        <v>0.0273</v>
      </c>
      <c r="G4573" t="n">
        <v>0.91</v>
      </c>
      <c r="H4573" t="n">
        <v>3</v>
      </c>
      <c r="I4573" t="n">
        <v>11</v>
      </c>
      <c r="J4573" t="n">
        <v>3</v>
      </c>
      <c r="K4573" t="n">
        <v>0</v>
      </c>
      <c r="L4573" t="n">
        <v>19840</v>
      </c>
      <c r="M4573" t="n">
        <v>25000</v>
      </c>
      <c r="N4573" t="n">
        <v>91</v>
      </c>
      <c r="O4573" t="n">
        <v>0.91</v>
      </c>
      <c r="P4573" t="n">
        <v>1</v>
      </c>
      <c r="Q4573" t="n">
        <v>0.05</v>
      </c>
      <c r="R4573" t="n">
        <v>1</v>
      </c>
      <c r="S4573" t="n">
        <v>682.5</v>
      </c>
      <c r="T4573" t="n">
        <v>10</v>
      </c>
      <c r="U4573" t="n">
        <v>11</v>
      </c>
      <c r="V4573" t="n">
        <v>30</v>
      </c>
      <c r="W4573" t="n">
        <v>1</v>
      </c>
      <c r="X4573" t="n">
        <v>73.26007326007326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10162</v>
      </c>
      <c r="AG4573" t="n">
        <v>78</v>
      </c>
      <c r="AH4573" t="inlineStr">
        <is>
          <t>PT. GLORIENTA P.H - PPN (PDG)</t>
        </is>
      </c>
      <c r="AI4573" t="n">
        <v>130</v>
      </c>
      <c r="AJ4573" t="inlineStr">
        <is>
          <t>PURBASARI</t>
        </is>
      </c>
      <c r="AK4573" t="n">
        <v>21</v>
      </c>
      <c r="AL4573" t="inlineStr">
        <is>
          <t>Miss Glam Damar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PURBASARI</t>
        </is>
      </c>
      <c r="B4574" s="2">
        <f>"8999225911210"</f>
        <v/>
      </c>
      <c r="C4574" t="inlineStr">
        <is>
          <t>PURBASARI Glowing Rose Water 100ml</t>
        </is>
      </c>
      <c r="D4574" t="inlineStr">
        <is>
          <t>Miss Glam Damar</t>
        </is>
      </c>
      <c r="E4574" t="n">
        <v>9</v>
      </c>
      <c r="F4574" t="n">
        <v>0.1092</v>
      </c>
      <c r="G4574" t="n">
        <v>0.91</v>
      </c>
      <c r="H4574" t="n">
        <v>3</v>
      </c>
      <c r="I4574" t="n">
        <v>11</v>
      </c>
      <c r="J4574" t="n">
        <v>3</v>
      </c>
      <c r="K4574" t="n">
        <v>0</v>
      </c>
      <c r="L4574" t="n">
        <v>9600</v>
      </c>
      <c r="M4574" t="n">
        <v>12000</v>
      </c>
      <c r="N4574" t="n">
        <v>91</v>
      </c>
      <c r="O4574" t="n">
        <v>0.91</v>
      </c>
      <c r="P4574" t="n">
        <v>1</v>
      </c>
      <c r="Q4574" t="n">
        <v>0.12</v>
      </c>
      <c r="R4574" t="n">
        <v>2</v>
      </c>
      <c r="S4574" t="n">
        <v>1310.4</v>
      </c>
      <c r="T4574" t="n">
        <v>10</v>
      </c>
      <c r="U4574" t="n">
        <v>11</v>
      </c>
      <c r="V4574" t="n">
        <v>30</v>
      </c>
      <c r="W4574" t="n">
        <v>4</v>
      </c>
      <c r="X4574" t="n">
        <v>82.41758241758241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10162</v>
      </c>
      <c r="AG4574" t="n">
        <v>78</v>
      </c>
      <c r="AH4574" t="inlineStr">
        <is>
          <t>PT. GLORIENTA P.H - PPN (PDG)</t>
        </is>
      </c>
      <c r="AI4574" t="n">
        <v>130</v>
      </c>
      <c r="AJ4574" t="inlineStr">
        <is>
          <t>PURBASARI</t>
        </is>
      </c>
      <c r="AK4574" t="n">
        <v>21</v>
      </c>
      <c r="AL4574" t="inlineStr">
        <is>
          <t>Miss Glam Damar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PURBASARI</t>
        </is>
      </c>
      <c r="B4575" s="2">
        <f>"8999225911227"</f>
        <v/>
      </c>
      <c r="C4575" t="inlineStr">
        <is>
          <t>PURBASARI Glowing Rose Water 200ml</t>
        </is>
      </c>
      <c r="D4575" t="inlineStr">
        <is>
          <t>Miss Glam Damar</t>
        </is>
      </c>
      <c r="E4575" t="n">
        <v>7</v>
      </c>
      <c r="F4575" t="n">
        <v>0.1274</v>
      </c>
      <c r="G4575" t="n">
        <v>1.82</v>
      </c>
      <c r="H4575" t="n">
        <v>3</v>
      </c>
      <c r="I4575" t="n">
        <v>11</v>
      </c>
      <c r="J4575" t="n">
        <v>3</v>
      </c>
      <c r="K4575" t="n">
        <v>0</v>
      </c>
      <c r="L4575" t="n">
        <v>14401</v>
      </c>
      <c r="M4575" t="n">
        <v>18000</v>
      </c>
      <c r="N4575" t="n">
        <v>91</v>
      </c>
      <c r="O4575" t="n">
        <v>0.91</v>
      </c>
      <c r="P4575" t="n">
        <v>1</v>
      </c>
      <c r="Q4575" t="n">
        <v>0.37</v>
      </c>
      <c r="R4575" t="n">
        <v>3</v>
      </c>
      <c r="S4575" t="n">
        <v>2293.2</v>
      </c>
      <c r="T4575" t="n">
        <v>20</v>
      </c>
      <c r="U4575" t="n">
        <v>21</v>
      </c>
      <c r="V4575" t="n">
        <v>30</v>
      </c>
      <c r="W4575" t="n">
        <v>4</v>
      </c>
      <c r="X4575" t="n">
        <v>54.94505494505494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10162</v>
      </c>
      <c r="AG4575" t="n">
        <v>78</v>
      </c>
      <c r="AH4575" t="inlineStr">
        <is>
          <t>PT. GLORIENTA P.H - PPN (PDG)</t>
        </is>
      </c>
      <c r="AI4575" t="n">
        <v>130</v>
      </c>
      <c r="AJ4575" t="inlineStr">
        <is>
          <t>PURBASARI</t>
        </is>
      </c>
      <c r="AK4575" t="n">
        <v>21</v>
      </c>
      <c r="AL4575" t="inlineStr">
        <is>
          <t>Miss Glam Damar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PURBASARI</t>
        </is>
      </c>
      <c r="B4576" s="2">
        <f>"30200194504"</f>
        <v/>
      </c>
      <c r="C4576" t="inlineStr">
        <is>
          <t>PURBASARI Hand &amp; Body Lotion Habbatus Sauda 100ml</t>
        </is>
      </c>
      <c r="D4576" t="inlineStr">
        <is>
          <t>Miss Glam Damar</t>
        </is>
      </c>
      <c r="E4576" t="n">
        <v>55</v>
      </c>
      <c r="F4576" t="n">
        <v>3.8675</v>
      </c>
      <c r="G4576" t="n">
        <v>14.56</v>
      </c>
      <c r="H4576" t="n">
        <v>3</v>
      </c>
      <c r="I4576" t="n">
        <v>11</v>
      </c>
      <c r="J4576" t="n">
        <v>1</v>
      </c>
      <c r="K4576" t="n">
        <v>0</v>
      </c>
      <c r="L4576" t="n">
        <v>8948</v>
      </c>
      <c r="M4576" t="n">
        <v>12000</v>
      </c>
      <c r="N4576" t="n">
        <v>91</v>
      </c>
      <c r="O4576" t="n">
        <v>0.91</v>
      </c>
      <c r="P4576" t="n">
        <v>1</v>
      </c>
      <c r="Q4576" t="n">
        <v>2.1</v>
      </c>
      <c r="R4576" t="n">
        <v>6</v>
      </c>
      <c r="S4576" t="n">
        <v>46410</v>
      </c>
      <c r="T4576" t="n">
        <v>149</v>
      </c>
      <c r="U4576" t="n">
        <v>161</v>
      </c>
      <c r="V4576" t="n">
        <v>30</v>
      </c>
      <c r="W4576" t="n">
        <v>117</v>
      </c>
      <c r="X4576" t="n">
        <v>14.22107304460246</v>
      </c>
      <c r="Y4576" t="n">
        <v>1</v>
      </c>
      <c r="Z4576" t="n">
        <v>62</v>
      </c>
      <c r="AA4576" t="n">
        <v>0</v>
      </c>
      <c r="AB4576" t="n">
        <v>62</v>
      </c>
      <c r="AC4576" t="n">
        <v>62</v>
      </c>
      <c r="AD4576" t="n">
        <v>0</v>
      </c>
      <c r="AE4576" t="n">
        <v>554776</v>
      </c>
      <c r="AF4576" t="n">
        <v>10162</v>
      </c>
      <c r="AG4576" t="n">
        <v>78</v>
      </c>
      <c r="AH4576" t="inlineStr">
        <is>
          <t>PT. GLORIENTA P.H - PPN (PDG)</t>
        </is>
      </c>
      <c r="AI4576" t="n">
        <v>130</v>
      </c>
      <c r="AJ4576" t="inlineStr">
        <is>
          <t>PURBASARI</t>
        </is>
      </c>
      <c r="AK4576" t="n">
        <v>21</v>
      </c>
      <c r="AL4576" t="inlineStr">
        <is>
          <t>Miss Glam Damar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PURBASARI</t>
        </is>
      </c>
      <c r="B4577" s="2">
        <f>"30200194646"</f>
        <v/>
      </c>
      <c r="C4577" t="inlineStr">
        <is>
          <t>PURBASARI Hand &amp; Body Lotion Habbatus Sauda 220ml</t>
        </is>
      </c>
      <c r="D4577" t="inlineStr">
        <is>
          <t>Miss Glam Damar</t>
        </is>
      </c>
      <c r="E4577" t="n">
        <v>0</v>
      </c>
      <c r="F4577" t="n">
        <v>7.1435</v>
      </c>
      <c r="G4577" t="n">
        <v>15.47</v>
      </c>
      <c r="H4577" t="n">
        <v>3</v>
      </c>
      <c r="I4577" t="n">
        <v>11</v>
      </c>
      <c r="J4577" t="n">
        <v>1</v>
      </c>
      <c r="K4577" t="n">
        <v>0</v>
      </c>
      <c r="L4577" t="n">
        <v>13570</v>
      </c>
      <c r="M4577" t="n">
        <v>18000</v>
      </c>
      <c r="N4577" t="n">
        <v>91</v>
      </c>
      <c r="O4577" t="n">
        <v>0.91</v>
      </c>
      <c r="P4577" t="n">
        <v>1</v>
      </c>
      <c r="Q4577" t="n">
        <v>2.98</v>
      </c>
      <c r="R4577" t="n">
        <v>7</v>
      </c>
      <c r="S4577" t="n">
        <v>128583</v>
      </c>
      <c r="T4577" t="n">
        <v>149</v>
      </c>
      <c r="U4577" t="n">
        <v>171</v>
      </c>
      <c r="V4577" t="n">
        <v>30</v>
      </c>
      <c r="W4577" t="n">
        <v>215</v>
      </c>
      <c r="X4577" t="n">
        <v>0</v>
      </c>
      <c r="Y4577" t="n">
        <v>1</v>
      </c>
      <c r="Z4577" t="n">
        <v>215</v>
      </c>
      <c r="AA4577" t="n">
        <v>79</v>
      </c>
      <c r="AB4577" t="n">
        <v>136</v>
      </c>
      <c r="AC4577" t="n">
        <v>136</v>
      </c>
      <c r="AD4577" t="n">
        <v>1072030</v>
      </c>
      <c r="AE4577" t="n">
        <v>1845520</v>
      </c>
      <c r="AF4577" t="n">
        <v>10162</v>
      </c>
      <c r="AG4577" t="n">
        <v>78</v>
      </c>
      <c r="AH4577" t="inlineStr">
        <is>
          <t>PT. GLORIENTA P.H - PPN (PDG)</t>
        </is>
      </c>
      <c r="AI4577" t="n">
        <v>130</v>
      </c>
      <c r="AJ4577" t="inlineStr">
        <is>
          <t>PURBASARI</t>
        </is>
      </c>
      <c r="AK4577" t="n">
        <v>21</v>
      </c>
      <c r="AL4577" t="inlineStr">
        <is>
          <t>Miss Glam Damar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PURBASARI</t>
        </is>
      </c>
      <c r="B4578" s="2">
        <f>"8999225908333"</f>
        <v/>
      </c>
      <c r="C4578" t="inlineStr">
        <is>
          <t>PURBASARI Hand And Body Lotion Zaitun 220ml</t>
        </is>
      </c>
      <c r="D4578" t="inlineStr">
        <is>
          <t>Miss Glam Damar</t>
        </is>
      </c>
      <c r="E4578" t="n">
        <v>26</v>
      </c>
      <c r="F4578" t="n">
        <v>0.4459</v>
      </c>
      <c r="G4578" t="n">
        <v>2.73</v>
      </c>
      <c r="H4578" t="n">
        <v>3</v>
      </c>
      <c r="I4578" t="n">
        <v>11</v>
      </c>
      <c r="J4578" t="n">
        <v>3</v>
      </c>
      <c r="K4578" t="n">
        <v>0</v>
      </c>
      <c r="L4578" t="n">
        <v>14000</v>
      </c>
      <c r="M4578" t="n">
        <v>18000</v>
      </c>
      <c r="N4578" t="n">
        <v>91</v>
      </c>
      <c r="O4578" t="n">
        <v>0.91</v>
      </c>
      <c r="P4578" t="n">
        <v>1</v>
      </c>
      <c r="Q4578" t="n">
        <v>0.76</v>
      </c>
      <c r="R4578" t="n">
        <v>3</v>
      </c>
      <c r="S4578" t="n">
        <v>8026.200000000001</v>
      </c>
      <c r="T4578" t="n">
        <v>29</v>
      </c>
      <c r="U4578" t="n">
        <v>31</v>
      </c>
      <c r="V4578" t="n">
        <v>30</v>
      </c>
      <c r="W4578" t="n">
        <v>14</v>
      </c>
      <c r="X4578" t="n">
        <v>58.30903790087464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10162</v>
      </c>
      <c r="AG4578" t="n">
        <v>78</v>
      </c>
      <c r="AH4578" t="inlineStr">
        <is>
          <t>PT. GLORIENTA P.H - PPN (PDG)</t>
        </is>
      </c>
      <c r="AI4578" t="n">
        <v>130</v>
      </c>
      <c r="AJ4578" t="inlineStr">
        <is>
          <t>PURBASARI</t>
        </is>
      </c>
      <c r="AK4578" t="n">
        <v>21</v>
      </c>
      <c r="AL4578" t="inlineStr">
        <is>
          <t>Miss Glam Damar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PURBASARI</t>
        </is>
      </c>
      <c r="B4579" s="2">
        <f>"8999225908616"</f>
        <v/>
      </c>
      <c r="C4579" t="inlineStr">
        <is>
          <t>PURBASARI Hand and Body Lotion Zaitun Olive Oil 100ml</t>
        </is>
      </c>
      <c r="D4579" t="inlineStr">
        <is>
          <t>Miss Glam Damar</t>
        </is>
      </c>
      <c r="E4579" t="n">
        <v>1</v>
      </c>
      <c r="F4579" t="n">
        <v>0.4186</v>
      </c>
      <c r="G4579" t="n">
        <v>1.82</v>
      </c>
      <c r="H4579" t="n">
        <v>3</v>
      </c>
      <c r="I4579" t="n">
        <v>11</v>
      </c>
      <c r="J4579" t="n">
        <v>3</v>
      </c>
      <c r="K4579" t="n">
        <v>0</v>
      </c>
      <c r="L4579" t="n">
        <v>10000</v>
      </c>
      <c r="M4579" t="n">
        <v>12500</v>
      </c>
      <c r="N4579" t="n">
        <v>91</v>
      </c>
      <c r="O4579" t="n">
        <v>0.91</v>
      </c>
      <c r="P4579" t="n">
        <v>1</v>
      </c>
      <c r="Q4579" t="n">
        <v>0.17</v>
      </c>
      <c r="R4579" t="n">
        <v>1</v>
      </c>
      <c r="S4579" t="n">
        <v>5232.5</v>
      </c>
      <c r="T4579" t="n">
        <v>19</v>
      </c>
      <c r="U4579" t="n">
        <v>21</v>
      </c>
      <c r="V4579" t="n">
        <v>30</v>
      </c>
      <c r="W4579" t="n">
        <v>13</v>
      </c>
      <c r="X4579" t="n">
        <v>2.388915432393693</v>
      </c>
      <c r="Y4579" t="n">
        <v>1</v>
      </c>
      <c r="Z4579" t="n">
        <v>12</v>
      </c>
      <c r="AA4579" t="n">
        <v>4</v>
      </c>
      <c r="AB4579" t="n">
        <v>8</v>
      </c>
      <c r="AC4579" t="n">
        <v>8</v>
      </c>
      <c r="AD4579" t="n">
        <v>40000</v>
      </c>
      <c r="AE4579" t="n">
        <v>80000</v>
      </c>
      <c r="AF4579" t="n">
        <v>10162</v>
      </c>
      <c r="AG4579" t="n">
        <v>78</v>
      </c>
      <c r="AH4579" t="inlineStr">
        <is>
          <t>PT. GLORIENTA P.H - PPN (PDG)</t>
        </is>
      </c>
      <c r="AI4579" t="n">
        <v>130</v>
      </c>
      <c r="AJ4579" t="inlineStr">
        <is>
          <t>PURBASARI</t>
        </is>
      </c>
      <c r="AK4579" t="n">
        <v>21</v>
      </c>
      <c r="AL4579" t="inlineStr">
        <is>
          <t>Miss Glam Damar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PURBASARI</t>
        </is>
      </c>
      <c r="B4580" s="2">
        <f>"8999225785545"</f>
        <v/>
      </c>
      <c r="C4580" t="inlineStr">
        <is>
          <t>PURBASARI Kanna Cream 15gr</t>
        </is>
      </c>
      <c r="D4580" t="inlineStr">
        <is>
          <t>Miss Glam Damar</t>
        </is>
      </c>
      <c r="E4580" t="n">
        <v>2</v>
      </c>
      <c r="F4580" t="n">
        <v>0.182</v>
      </c>
      <c r="G4580" t="n">
        <v>2.73</v>
      </c>
      <c r="H4580" t="n">
        <v>3</v>
      </c>
      <c r="I4580" t="n">
        <v>11</v>
      </c>
      <c r="J4580" t="n">
        <v>3</v>
      </c>
      <c r="K4580" t="n">
        <v>0</v>
      </c>
      <c r="L4580" t="n">
        <v>9600</v>
      </c>
      <c r="M4580" t="n">
        <v>12000</v>
      </c>
      <c r="N4580" t="n">
        <v>91</v>
      </c>
      <c r="O4580" t="n">
        <v>0.91</v>
      </c>
      <c r="P4580" t="n">
        <v>1</v>
      </c>
      <c r="Q4580" t="n">
        <v>0.17</v>
      </c>
      <c r="R4580" t="n">
        <v>2</v>
      </c>
      <c r="S4580" t="n">
        <v>2184</v>
      </c>
      <c r="T4580" t="n">
        <v>30</v>
      </c>
      <c r="U4580" t="n">
        <v>31</v>
      </c>
      <c r="V4580" t="n">
        <v>30</v>
      </c>
      <c r="W4580" t="n">
        <v>6</v>
      </c>
      <c r="X4580" t="n">
        <v>10.98901098901099</v>
      </c>
      <c r="Y4580" t="n">
        <v>1</v>
      </c>
      <c r="Z4580" t="n">
        <v>4</v>
      </c>
      <c r="AA4580" t="n">
        <v>1</v>
      </c>
      <c r="AB4580" t="n">
        <v>3</v>
      </c>
      <c r="AC4580" t="n">
        <v>3</v>
      </c>
      <c r="AD4580" t="n">
        <v>9600</v>
      </c>
      <c r="AE4580" t="n">
        <v>28800</v>
      </c>
      <c r="AF4580" t="n">
        <v>10162</v>
      </c>
      <c r="AG4580" t="n">
        <v>78</v>
      </c>
      <c r="AH4580" t="inlineStr">
        <is>
          <t>PT. GLORIENTA P.H - PPN (PDG)</t>
        </is>
      </c>
      <c r="AI4580" t="n">
        <v>130</v>
      </c>
      <c r="AJ4580" t="inlineStr">
        <is>
          <t>PURBASARI</t>
        </is>
      </c>
      <c r="AK4580" t="n">
        <v>21</v>
      </c>
      <c r="AL4580" t="inlineStr">
        <is>
          <t>Miss Glam Damar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PURBASARI</t>
        </is>
      </c>
      <c r="B4581" s="2">
        <f>"8999225783107"</f>
        <v/>
      </c>
      <c r="C4581" t="inlineStr">
        <is>
          <t>PURBASARI Kanna Cream 30gr</t>
        </is>
      </c>
      <c r="D4581" t="inlineStr">
        <is>
          <t>Miss Glam Damar</t>
        </is>
      </c>
      <c r="E4581" t="n">
        <v>1</v>
      </c>
      <c r="F4581" t="n">
        <v>0.4186</v>
      </c>
      <c r="G4581" t="n">
        <v>1.82</v>
      </c>
      <c r="H4581" t="n">
        <v>3</v>
      </c>
      <c r="I4581" t="n">
        <v>11</v>
      </c>
      <c r="J4581" t="n">
        <v>3</v>
      </c>
      <c r="K4581" t="n">
        <v>0</v>
      </c>
      <c r="L4581" t="n">
        <v>15600</v>
      </c>
      <c r="M4581" t="n">
        <v>18500</v>
      </c>
      <c r="N4581" t="n">
        <v>91</v>
      </c>
      <c r="O4581" t="n">
        <v>0.91</v>
      </c>
      <c r="P4581" t="n">
        <v>1</v>
      </c>
      <c r="Q4581" t="n">
        <v>0.41</v>
      </c>
      <c r="R4581" t="n">
        <v>2</v>
      </c>
      <c r="S4581" t="n">
        <v>7744.1</v>
      </c>
      <c r="T4581" t="n">
        <v>19</v>
      </c>
      <c r="U4581" t="n">
        <v>21</v>
      </c>
      <c r="V4581" t="n">
        <v>30</v>
      </c>
      <c r="W4581" t="n">
        <v>13</v>
      </c>
      <c r="X4581" t="n">
        <v>2.388915432393693</v>
      </c>
      <c r="Y4581" t="n">
        <v>1</v>
      </c>
      <c r="Z4581" t="n">
        <v>12</v>
      </c>
      <c r="AA4581" t="n">
        <v>4</v>
      </c>
      <c r="AB4581" t="n">
        <v>8</v>
      </c>
      <c r="AC4581" t="n">
        <v>8</v>
      </c>
      <c r="AD4581" t="n">
        <v>62400</v>
      </c>
      <c r="AE4581" t="n">
        <v>124800</v>
      </c>
      <c r="AF4581" t="n">
        <v>10162</v>
      </c>
      <c r="AG4581" t="n">
        <v>78</v>
      </c>
      <c r="AH4581" t="inlineStr">
        <is>
          <t>PT. GLORIENTA P.H - PPN (PDG)</t>
        </is>
      </c>
      <c r="AI4581" t="n">
        <v>130</v>
      </c>
      <c r="AJ4581" t="inlineStr">
        <is>
          <t>PURBASARI</t>
        </is>
      </c>
      <c r="AK4581" t="n">
        <v>21</v>
      </c>
      <c r="AL4581" t="inlineStr">
        <is>
          <t>Miss Glam Damar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PURBASARI</t>
        </is>
      </c>
      <c r="B4582" s="2">
        <f>"8999225906360"</f>
        <v/>
      </c>
      <c r="C4582" t="inlineStr">
        <is>
          <t>PURBASARI Kanna White Cream 30gr</t>
        </is>
      </c>
      <c r="D4582" t="inlineStr">
        <is>
          <t>Miss Glam Damar</t>
        </is>
      </c>
      <c r="E4582" t="n">
        <v>0</v>
      </c>
      <c r="F4582" t="n">
        <v>0.1274</v>
      </c>
      <c r="G4582" t="n">
        <v>0.91</v>
      </c>
      <c r="H4582" t="n">
        <v>3</v>
      </c>
      <c r="I4582" t="n">
        <v>11</v>
      </c>
      <c r="J4582" t="n">
        <v>3</v>
      </c>
      <c r="K4582" t="n">
        <v>0</v>
      </c>
      <c r="L4582" t="n">
        <v>18400</v>
      </c>
      <c r="M4582" t="n">
        <v>23000</v>
      </c>
      <c r="N4582" t="n">
        <v>91</v>
      </c>
      <c r="O4582" t="n">
        <v>0.91</v>
      </c>
      <c r="P4582" t="n">
        <v>1</v>
      </c>
      <c r="Q4582" t="n">
        <v>0.12</v>
      </c>
      <c r="R4582" t="n">
        <v>3</v>
      </c>
      <c r="S4582" t="n">
        <v>2930.2</v>
      </c>
      <c r="T4582" t="n">
        <v>10</v>
      </c>
      <c r="U4582" t="n">
        <v>11</v>
      </c>
      <c r="V4582" t="n">
        <v>30</v>
      </c>
      <c r="W4582" t="n">
        <v>4</v>
      </c>
      <c r="X4582" t="n">
        <v>0</v>
      </c>
      <c r="Y4582" t="n">
        <v>1</v>
      </c>
      <c r="Z4582" t="n">
        <v>4</v>
      </c>
      <c r="AA4582" t="n">
        <v>2</v>
      </c>
      <c r="AB4582" t="n">
        <v>2</v>
      </c>
      <c r="AC4582" t="n">
        <v>3</v>
      </c>
      <c r="AD4582" t="n">
        <v>36800</v>
      </c>
      <c r="AE4582" t="n">
        <v>55200</v>
      </c>
      <c r="AF4582" t="n">
        <v>10162</v>
      </c>
      <c r="AG4582" t="n">
        <v>78</v>
      </c>
      <c r="AH4582" t="inlineStr">
        <is>
          <t>PT. GLORIENTA P.H - PPN (PDG)</t>
        </is>
      </c>
      <c r="AI4582" t="n">
        <v>130</v>
      </c>
      <c r="AJ4582" t="inlineStr">
        <is>
          <t>PURBASARI</t>
        </is>
      </c>
      <c r="AK4582" t="n">
        <v>21</v>
      </c>
      <c r="AL4582" t="inlineStr">
        <is>
          <t>Miss Glam Damar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PURBASARI</t>
        </is>
      </c>
      <c r="B4583" s="2">
        <f>"8999225783732"</f>
        <v/>
      </c>
      <c r="C4583" t="inlineStr">
        <is>
          <t>PURBASARI Lulur Mamdi Green Tea 125g</t>
        </is>
      </c>
      <c r="D4583" t="inlineStr">
        <is>
          <t>Miss Glam Damar</t>
        </is>
      </c>
      <c r="E4583" t="n">
        <v>9</v>
      </c>
      <c r="F4583" t="n">
        <v>0.4459</v>
      </c>
      <c r="G4583" t="n">
        <v>4.55</v>
      </c>
      <c r="H4583" t="n">
        <v>3</v>
      </c>
      <c r="I4583" t="n">
        <v>11</v>
      </c>
      <c r="J4583" t="n">
        <v>3</v>
      </c>
      <c r="K4583" t="n">
        <v>0</v>
      </c>
      <c r="L4583" t="n">
        <v>9600</v>
      </c>
      <c r="M4583" t="n">
        <v>12000</v>
      </c>
      <c r="N4583" t="n">
        <v>91</v>
      </c>
      <c r="O4583" t="n">
        <v>0.91</v>
      </c>
      <c r="P4583" t="n">
        <v>1</v>
      </c>
      <c r="Q4583" t="n">
        <v>0.15</v>
      </c>
      <c r="R4583" t="n">
        <v>2</v>
      </c>
      <c r="S4583" t="n">
        <v>5350.8</v>
      </c>
      <c r="T4583" t="n">
        <v>49</v>
      </c>
      <c r="U4583" t="n">
        <v>51</v>
      </c>
      <c r="V4583" t="n">
        <v>30</v>
      </c>
      <c r="W4583" t="n">
        <v>14</v>
      </c>
      <c r="X4583" t="n">
        <v>20.18389773491814</v>
      </c>
      <c r="Y4583" t="n">
        <v>1</v>
      </c>
      <c r="Z4583" t="n">
        <v>5</v>
      </c>
      <c r="AA4583" t="n">
        <v>0</v>
      </c>
      <c r="AB4583" t="n">
        <v>5</v>
      </c>
      <c r="AC4583" t="n">
        <v>5</v>
      </c>
      <c r="AD4583" t="n">
        <v>0</v>
      </c>
      <c r="AE4583" t="n">
        <v>48000</v>
      </c>
      <c r="AF4583" t="n">
        <v>10162</v>
      </c>
      <c r="AG4583" t="n">
        <v>78</v>
      </c>
      <c r="AH4583" t="inlineStr">
        <is>
          <t>PT. GLORIENTA P.H - PPN (PDG)</t>
        </is>
      </c>
      <c r="AI4583" t="n">
        <v>130</v>
      </c>
      <c r="AJ4583" t="inlineStr">
        <is>
          <t>PURBASARI</t>
        </is>
      </c>
      <c r="AK4583" t="n">
        <v>21</v>
      </c>
      <c r="AL4583" t="inlineStr">
        <is>
          <t>Miss Glam Damar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PURBASARI</t>
        </is>
      </c>
      <c r="B4584" s="2">
        <f>"8999225783169"</f>
        <v/>
      </c>
      <c r="C4584" t="inlineStr">
        <is>
          <t>PURBASARI Lulur Mandi Bengkoang 125gr</t>
        </is>
      </c>
      <c r="D4584" t="inlineStr">
        <is>
          <t>Miss Glam Damar</t>
        </is>
      </c>
      <c r="E4584" t="n">
        <v>13</v>
      </c>
      <c r="F4584" t="n">
        <v>0.75</v>
      </c>
      <c r="G4584" t="n">
        <v>3</v>
      </c>
      <c r="H4584" t="n">
        <v>3</v>
      </c>
      <c r="I4584" t="n">
        <v>11</v>
      </c>
      <c r="J4584" t="n">
        <v>3</v>
      </c>
      <c r="K4584" t="n">
        <v>0</v>
      </c>
      <c r="L4584" t="n">
        <v>9600</v>
      </c>
      <c r="M4584" t="n">
        <v>12000</v>
      </c>
      <c r="N4584" t="n">
        <v>91</v>
      </c>
      <c r="O4584" t="n">
        <v>0.91</v>
      </c>
      <c r="P4584" t="n">
        <v>0</v>
      </c>
      <c r="Q4584" t="n">
        <v>0.75</v>
      </c>
      <c r="R4584" t="n">
        <v>3</v>
      </c>
      <c r="S4584" t="n">
        <v>9000</v>
      </c>
      <c r="T4584" t="n">
        <v>31</v>
      </c>
      <c r="U4584" t="n">
        <v>34</v>
      </c>
      <c r="V4584" t="n">
        <v>30</v>
      </c>
      <c r="W4584" t="n">
        <v>23</v>
      </c>
      <c r="X4584" t="n">
        <v>17.33333333333333</v>
      </c>
      <c r="Y4584" t="n">
        <v>1</v>
      </c>
      <c r="Z4584" t="n">
        <v>10</v>
      </c>
      <c r="AA4584" t="n">
        <v>0</v>
      </c>
      <c r="AB4584" t="n">
        <v>10</v>
      </c>
      <c r="AC4584" t="n">
        <v>10</v>
      </c>
      <c r="AD4584" t="n">
        <v>0</v>
      </c>
      <c r="AE4584" t="n">
        <v>96000</v>
      </c>
      <c r="AF4584" t="n">
        <v>10162</v>
      </c>
      <c r="AG4584" t="n">
        <v>78</v>
      </c>
      <c r="AH4584" t="inlineStr">
        <is>
          <t>PT. GLORIENTA P.H - PPN (PDG)</t>
        </is>
      </c>
      <c r="AI4584" t="n">
        <v>130</v>
      </c>
      <c r="AJ4584" t="inlineStr">
        <is>
          <t>PURBASARI</t>
        </is>
      </c>
      <c r="AK4584" t="n">
        <v>21</v>
      </c>
      <c r="AL4584" t="inlineStr">
        <is>
          <t>Miss Glam Damar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PURBASARI</t>
        </is>
      </c>
      <c r="B4585" s="2">
        <f>"8999225783152"</f>
        <v/>
      </c>
      <c r="C4585" t="inlineStr">
        <is>
          <t>PURBASARI Lulur Mandi Bengkoang 235ml</t>
        </is>
      </c>
      <c r="D4585" t="inlineStr">
        <is>
          <t>Miss Glam Damar</t>
        </is>
      </c>
      <c r="E4585" t="n">
        <v>32</v>
      </c>
      <c r="F4585" t="n">
        <v>1.7108</v>
      </c>
      <c r="G4585" t="n">
        <v>4.55</v>
      </c>
      <c r="H4585" t="n">
        <v>3</v>
      </c>
      <c r="I4585" t="n">
        <v>11</v>
      </c>
      <c r="J4585" t="n">
        <v>3</v>
      </c>
      <c r="K4585" t="n">
        <v>0</v>
      </c>
      <c r="L4585" t="n">
        <v>14880</v>
      </c>
      <c r="M4585" t="n">
        <v>20500</v>
      </c>
      <c r="N4585" t="n">
        <v>91</v>
      </c>
      <c r="O4585" t="n">
        <v>0.91</v>
      </c>
      <c r="P4585" t="n">
        <v>1</v>
      </c>
      <c r="Q4585" t="n">
        <v>1.02</v>
      </c>
      <c r="R4585" t="n">
        <v>9</v>
      </c>
      <c r="S4585" t="n">
        <v>35071.39999999999</v>
      </c>
      <c r="T4585" t="n">
        <v>45</v>
      </c>
      <c r="U4585" t="n">
        <v>51</v>
      </c>
      <c r="V4585" t="n">
        <v>30</v>
      </c>
      <c r="W4585" t="n">
        <v>52</v>
      </c>
      <c r="X4585" t="n">
        <v>18.70469955576339</v>
      </c>
      <c r="Y4585" t="n">
        <v>1</v>
      </c>
      <c r="Z4585" t="n">
        <v>20</v>
      </c>
      <c r="AA4585" t="n">
        <v>0</v>
      </c>
      <c r="AB4585" t="n">
        <v>20</v>
      </c>
      <c r="AC4585" t="n">
        <v>20</v>
      </c>
      <c r="AD4585" t="n">
        <v>0</v>
      </c>
      <c r="AE4585" t="n">
        <v>297600</v>
      </c>
      <c r="AF4585" t="n">
        <v>10162</v>
      </c>
      <c r="AG4585" t="n">
        <v>78</v>
      </c>
      <c r="AH4585" t="inlineStr">
        <is>
          <t>PT. GLORIENTA P.H - PPN (PDG)</t>
        </is>
      </c>
      <c r="AI4585" t="n">
        <v>130</v>
      </c>
      <c r="AJ4585" t="inlineStr">
        <is>
          <t>PURBASARI</t>
        </is>
      </c>
      <c r="AK4585" t="n">
        <v>21</v>
      </c>
      <c r="AL4585" t="inlineStr">
        <is>
          <t>Miss Glam Damar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PURBASARI</t>
        </is>
      </c>
      <c r="B4586" s="2">
        <f>"8999225783114"</f>
        <v/>
      </c>
      <c r="C4586" t="inlineStr">
        <is>
          <t>PURBASARI Lulur Mandi Brightening + vit E 125ml</t>
        </is>
      </c>
      <c r="D4586" t="inlineStr">
        <is>
          <t>Miss Glam Damar</t>
        </is>
      </c>
      <c r="E4586" t="n">
        <v>17</v>
      </c>
      <c r="F4586" t="n">
        <v>1.4651</v>
      </c>
      <c r="G4586" t="n">
        <v>5.46</v>
      </c>
      <c r="H4586" t="n">
        <v>3</v>
      </c>
      <c r="I4586" t="n">
        <v>11</v>
      </c>
      <c r="J4586" t="n">
        <v>3</v>
      </c>
      <c r="K4586" t="n">
        <v>0</v>
      </c>
      <c r="L4586" t="n">
        <v>9600</v>
      </c>
      <c r="M4586" t="n">
        <v>12000</v>
      </c>
      <c r="N4586" t="n">
        <v>91</v>
      </c>
      <c r="O4586" t="n">
        <v>0.91</v>
      </c>
      <c r="P4586" t="n">
        <v>1</v>
      </c>
      <c r="Q4586" t="n">
        <v>0.6899999999999999</v>
      </c>
      <c r="R4586" t="n">
        <v>3</v>
      </c>
      <c r="S4586" t="n">
        <v>17581.2</v>
      </c>
      <c r="T4586" t="n">
        <v>56</v>
      </c>
      <c r="U4586" t="n">
        <v>61</v>
      </c>
      <c r="V4586" t="n">
        <v>30</v>
      </c>
      <c r="W4586" t="n">
        <v>44</v>
      </c>
      <c r="X4586" t="n">
        <v>11.60330352876937</v>
      </c>
      <c r="Y4586" t="n">
        <v>1</v>
      </c>
      <c r="Z4586" t="n">
        <v>27</v>
      </c>
      <c r="AA4586" t="n">
        <v>0</v>
      </c>
      <c r="AB4586" t="n">
        <v>27</v>
      </c>
      <c r="AC4586" t="n">
        <v>27</v>
      </c>
      <c r="AD4586" t="n">
        <v>0</v>
      </c>
      <c r="AE4586" t="n">
        <v>259200</v>
      </c>
      <c r="AF4586" t="n">
        <v>10162</v>
      </c>
      <c r="AG4586" t="n">
        <v>78</v>
      </c>
      <c r="AH4586" t="inlineStr">
        <is>
          <t>PT. GLORIENTA P.H - PPN (PDG)</t>
        </is>
      </c>
      <c r="AI4586" t="n">
        <v>130</v>
      </c>
      <c r="AJ4586" t="inlineStr">
        <is>
          <t>PURBASARI</t>
        </is>
      </c>
      <c r="AK4586" t="n">
        <v>21</v>
      </c>
      <c r="AL4586" t="inlineStr">
        <is>
          <t>Miss Glam Damar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PURBASARI</t>
        </is>
      </c>
      <c r="B4587" s="2">
        <f>"8999225782179"</f>
        <v/>
      </c>
      <c r="C4587" t="inlineStr">
        <is>
          <t>PURBASARI Lulur Mandi Brightening 200gr</t>
        </is>
      </c>
      <c r="D4587" t="inlineStr">
        <is>
          <t>Miss Glam Damar</t>
        </is>
      </c>
      <c r="E4587" t="n">
        <v>27</v>
      </c>
      <c r="F4587" t="n">
        <v>1.2831</v>
      </c>
      <c r="G4587" t="n">
        <v>4.55</v>
      </c>
      <c r="H4587" t="n">
        <v>3</v>
      </c>
      <c r="I4587" t="n">
        <v>11</v>
      </c>
      <c r="J4587" t="n">
        <v>3</v>
      </c>
      <c r="K4587" t="n">
        <v>0</v>
      </c>
      <c r="L4587" t="n">
        <v>14880</v>
      </c>
      <c r="M4587" t="n">
        <v>19000</v>
      </c>
      <c r="N4587" t="n">
        <v>91</v>
      </c>
      <c r="O4587" t="n">
        <v>0.91</v>
      </c>
      <c r="P4587" t="n">
        <v>1</v>
      </c>
      <c r="Q4587" t="n">
        <v>1.12</v>
      </c>
      <c r="R4587" t="n">
        <v>4</v>
      </c>
      <c r="S4587" t="n">
        <v>24378.9</v>
      </c>
      <c r="T4587" t="n">
        <v>47</v>
      </c>
      <c r="U4587" t="n">
        <v>51</v>
      </c>
      <c r="V4587" t="n">
        <v>30</v>
      </c>
      <c r="W4587" t="n">
        <v>39</v>
      </c>
      <c r="X4587" t="n">
        <v>21.04278700023381</v>
      </c>
      <c r="Y4587" t="n">
        <v>1</v>
      </c>
      <c r="Z4587" t="n">
        <v>12</v>
      </c>
      <c r="AA4587" t="n">
        <v>0</v>
      </c>
      <c r="AB4587" t="n">
        <v>12</v>
      </c>
      <c r="AC4587" t="n">
        <v>12</v>
      </c>
      <c r="AD4587" t="n">
        <v>0</v>
      </c>
      <c r="AE4587" t="n">
        <v>178560</v>
      </c>
      <c r="AF4587" t="n">
        <v>10162</v>
      </c>
      <c r="AG4587" t="n">
        <v>78</v>
      </c>
      <c r="AH4587" t="inlineStr">
        <is>
          <t>PT. GLORIENTA P.H - PPN (PDG)</t>
        </is>
      </c>
      <c r="AI4587" t="n">
        <v>130</v>
      </c>
      <c r="AJ4587" t="inlineStr">
        <is>
          <t>PURBASARI</t>
        </is>
      </c>
      <c r="AK4587" t="n">
        <v>21</v>
      </c>
      <c r="AL4587" t="inlineStr">
        <is>
          <t>Miss Glam Damar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PURBASARI</t>
        </is>
      </c>
      <c r="B4588" s="2">
        <f>"8999225783718"</f>
        <v/>
      </c>
      <c r="C4588" t="inlineStr">
        <is>
          <t>PURBASARI Lulur Mandi Green Tea 235gr</t>
        </is>
      </c>
      <c r="D4588" t="inlineStr">
        <is>
          <t>Miss Glam Damar</t>
        </is>
      </c>
      <c r="E4588" t="n">
        <v>8</v>
      </c>
      <c r="F4588" t="n">
        <v>0.4641</v>
      </c>
      <c r="G4588" t="n">
        <v>1.82</v>
      </c>
      <c r="H4588" t="n">
        <v>3</v>
      </c>
      <c r="I4588" t="n">
        <v>11</v>
      </c>
      <c r="J4588" t="n">
        <v>3</v>
      </c>
      <c r="K4588" t="n">
        <v>0</v>
      </c>
      <c r="L4588" t="n">
        <v>14880</v>
      </c>
      <c r="M4588" t="n">
        <v>18600</v>
      </c>
      <c r="N4588" t="n">
        <v>91</v>
      </c>
      <c r="O4588" t="n">
        <v>0.91</v>
      </c>
      <c r="P4588" t="n">
        <v>1</v>
      </c>
      <c r="Q4588" t="n">
        <v>0.24</v>
      </c>
      <c r="R4588" t="n">
        <v>2</v>
      </c>
      <c r="S4588" t="n">
        <v>8632.26</v>
      </c>
      <c r="T4588" t="n">
        <v>19</v>
      </c>
      <c r="U4588" t="n">
        <v>21</v>
      </c>
      <c r="V4588" t="n">
        <v>30</v>
      </c>
      <c r="W4588" t="n">
        <v>14</v>
      </c>
      <c r="X4588" t="n">
        <v>17.23766429648783</v>
      </c>
      <c r="Y4588" t="n">
        <v>1</v>
      </c>
      <c r="Z4588" t="n">
        <v>6</v>
      </c>
      <c r="AA4588" t="n">
        <v>0</v>
      </c>
      <c r="AB4588" t="n">
        <v>6</v>
      </c>
      <c r="AC4588" t="n">
        <v>6</v>
      </c>
      <c r="AD4588" t="n">
        <v>0</v>
      </c>
      <c r="AE4588" t="n">
        <v>89280</v>
      </c>
      <c r="AF4588" t="n">
        <v>10162</v>
      </c>
      <c r="AG4588" t="n">
        <v>78</v>
      </c>
      <c r="AH4588" t="inlineStr">
        <is>
          <t>PT. GLORIENTA P.H - PPN (PDG)</t>
        </is>
      </c>
      <c r="AI4588" t="n">
        <v>130</v>
      </c>
      <c r="AJ4588" t="inlineStr">
        <is>
          <t>PURBASARI</t>
        </is>
      </c>
      <c r="AK4588" t="n">
        <v>21</v>
      </c>
      <c r="AL4588" t="inlineStr">
        <is>
          <t>Miss Glam Damar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PURBASARI</t>
        </is>
      </c>
      <c r="B4589" s="2">
        <f>"8999225906964"</f>
        <v/>
      </c>
      <c r="C4589" t="inlineStr">
        <is>
          <t>PURBASARI Lulur Mandi Pengantin Brightening + Bengkoang 500gr</t>
        </is>
      </c>
      <c r="D4589" t="inlineStr">
        <is>
          <t>Miss Glam Damar</t>
        </is>
      </c>
      <c r="E4589" t="n">
        <v>59</v>
      </c>
      <c r="F4589" t="n">
        <v>5.9878</v>
      </c>
      <c r="G4589" t="n">
        <v>13.65</v>
      </c>
      <c r="H4589" t="n">
        <v>3</v>
      </c>
      <c r="I4589" t="n">
        <v>11</v>
      </c>
      <c r="J4589" t="n">
        <v>3</v>
      </c>
      <c r="K4589" t="n">
        <v>0</v>
      </c>
      <c r="L4589" t="n">
        <v>24195</v>
      </c>
      <c r="M4589" t="n">
        <v>32000</v>
      </c>
      <c r="N4589" t="n">
        <v>91</v>
      </c>
      <c r="O4589" t="n">
        <v>0.91</v>
      </c>
      <c r="P4589" t="n">
        <v>1</v>
      </c>
      <c r="Q4589" t="n">
        <v>1.61</v>
      </c>
      <c r="R4589" t="n">
        <v>8</v>
      </c>
      <c r="S4589" t="n">
        <v>191609.6</v>
      </c>
      <c r="T4589" t="n">
        <v>133</v>
      </c>
      <c r="U4589" t="n">
        <v>151</v>
      </c>
      <c r="V4589" t="n">
        <v>30</v>
      </c>
      <c r="W4589" t="n">
        <v>180</v>
      </c>
      <c r="X4589" t="n">
        <v>9.853368515982497</v>
      </c>
      <c r="Y4589" t="n">
        <v>1</v>
      </c>
      <c r="Z4589" t="n">
        <v>121</v>
      </c>
      <c r="AA4589" t="n">
        <v>7</v>
      </c>
      <c r="AB4589" t="n">
        <v>114</v>
      </c>
      <c r="AC4589" t="n">
        <v>114</v>
      </c>
      <c r="AD4589" t="n">
        <v>169365</v>
      </c>
      <c r="AE4589" t="n">
        <v>2758230</v>
      </c>
      <c r="AF4589" t="n">
        <v>10162</v>
      </c>
      <c r="AG4589" t="n">
        <v>78</v>
      </c>
      <c r="AH4589" t="inlineStr">
        <is>
          <t>PT. GLORIENTA P.H - PPN (PDG)</t>
        </is>
      </c>
      <c r="AI4589" t="n">
        <v>130</v>
      </c>
      <c r="AJ4589" t="inlineStr">
        <is>
          <t>PURBASARI</t>
        </is>
      </c>
      <c r="AK4589" t="n">
        <v>21</v>
      </c>
      <c r="AL4589" t="inlineStr">
        <is>
          <t>Miss Glam Damar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PURBASARI</t>
        </is>
      </c>
      <c r="B4590" s="2">
        <f>"8999225906971"</f>
        <v/>
      </c>
      <c r="C4590" t="inlineStr">
        <is>
          <t>PURBASARI Lulur Mandi Pengantin Brightening + Mutiara 500gr</t>
        </is>
      </c>
      <c r="D4590" t="inlineStr">
        <is>
          <t>Miss Glam Damar</t>
        </is>
      </c>
      <c r="E4590" t="n">
        <v>28</v>
      </c>
      <c r="F4590" t="n">
        <v>0.5824</v>
      </c>
      <c r="G4590" t="n">
        <v>3.64</v>
      </c>
      <c r="H4590" t="n">
        <v>3</v>
      </c>
      <c r="I4590" t="n">
        <v>11</v>
      </c>
      <c r="J4590" t="n">
        <v>3</v>
      </c>
      <c r="K4590" t="n">
        <v>0</v>
      </c>
      <c r="L4590" t="n">
        <v>24244</v>
      </c>
      <c r="M4590" t="n">
        <v>32000</v>
      </c>
      <c r="N4590" t="n">
        <v>91</v>
      </c>
      <c r="O4590" t="n">
        <v>0.91</v>
      </c>
      <c r="P4590" t="n">
        <v>1</v>
      </c>
      <c r="Q4590" t="n">
        <v>0.95</v>
      </c>
      <c r="R4590" t="n">
        <v>4</v>
      </c>
      <c r="S4590" t="n">
        <v>18636.8</v>
      </c>
      <c r="T4590" t="n">
        <v>39</v>
      </c>
      <c r="U4590" t="n">
        <v>41</v>
      </c>
      <c r="V4590" t="n">
        <v>30</v>
      </c>
      <c r="W4590" t="n">
        <v>18</v>
      </c>
      <c r="X4590" t="n">
        <v>48.07692307692307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10162</v>
      </c>
      <c r="AG4590" t="n">
        <v>78</v>
      </c>
      <c r="AH4590" t="inlineStr">
        <is>
          <t>PT. GLORIENTA P.H - PPN (PDG)</t>
        </is>
      </c>
      <c r="AI4590" t="n">
        <v>130</v>
      </c>
      <c r="AJ4590" t="inlineStr">
        <is>
          <t>PURBASARI</t>
        </is>
      </c>
      <c r="AK4590" t="n">
        <v>21</v>
      </c>
      <c r="AL4590" t="inlineStr">
        <is>
          <t>Miss Glam Damar</t>
        </is>
      </c>
      <c r="AM4590" t="n">
        <v>1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PURBASARI</t>
        </is>
      </c>
      <c r="B4591" s="2">
        <f>"8999225906988"</f>
        <v/>
      </c>
      <c r="C4591" t="inlineStr">
        <is>
          <t>PURBASARI Lulur Mandi Pengantin Brightening + Susu 500gr</t>
        </is>
      </c>
      <c r="D4591" t="inlineStr">
        <is>
          <t>Miss Glam Damar</t>
        </is>
      </c>
      <c r="E4591" t="n">
        <v>2</v>
      </c>
      <c r="F4591" t="n">
        <v>0.8008000000000001</v>
      </c>
      <c r="G4591" t="n">
        <v>4.55</v>
      </c>
      <c r="H4591" t="n">
        <v>3</v>
      </c>
      <c r="I4591" t="n">
        <v>11</v>
      </c>
      <c r="J4591" t="n">
        <v>3</v>
      </c>
      <c r="K4591" t="n">
        <v>0</v>
      </c>
      <c r="L4591" t="n">
        <v>23000</v>
      </c>
      <c r="M4591" t="n">
        <v>32000</v>
      </c>
      <c r="N4591" t="n">
        <v>91</v>
      </c>
      <c r="O4591" t="n">
        <v>0.91</v>
      </c>
      <c r="P4591" t="n">
        <v>1</v>
      </c>
      <c r="Q4591" t="n">
        <v>0.37</v>
      </c>
      <c r="R4591" t="n">
        <v>5</v>
      </c>
      <c r="S4591" t="n">
        <v>25625.6</v>
      </c>
      <c r="T4591" t="n">
        <v>48</v>
      </c>
      <c r="U4591" t="n">
        <v>51</v>
      </c>
      <c r="V4591" t="n">
        <v>30</v>
      </c>
      <c r="W4591" t="n">
        <v>25</v>
      </c>
      <c r="X4591" t="n">
        <v>2.497502497502497</v>
      </c>
      <c r="Y4591" t="n">
        <v>1</v>
      </c>
      <c r="Z4591" t="n">
        <v>23</v>
      </c>
      <c r="AA4591" t="n">
        <v>7</v>
      </c>
      <c r="AB4591" t="n">
        <v>16</v>
      </c>
      <c r="AC4591" t="n">
        <v>16</v>
      </c>
      <c r="AD4591" t="n">
        <v>161000</v>
      </c>
      <c r="AE4591" t="n">
        <v>368000</v>
      </c>
      <c r="AF4591" t="n">
        <v>10162</v>
      </c>
      <c r="AG4591" t="n">
        <v>78</v>
      </c>
      <c r="AH4591" t="inlineStr">
        <is>
          <t>PT. GLORIENTA P.H - PPN (PDG)</t>
        </is>
      </c>
      <c r="AI4591" t="n">
        <v>130</v>
      </c>
      <c r="AJ4591" t="inlineStr">
        <is>
          <t>PURBASARI</t>
        </is>
      </c>
      <c r="AK4591" t="n">
        <v>21</v>
      </c>
      <c r="AL4591" t="inlineStr">
        <is>
          <t>Miss Glam Damar</t>
        </is>
      </c>
      <c r="AM4591" t="n">
        <v>1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PURBASARI</t>
        </is>
      </c>
      <c r="B4592" s="2">
        <f>"8999225782506"</f>
        <v/>
      </c>
      <c r="C4592" t="inlineStr">
        <is>
          <t>PURBASARI Lulur Mandi Putih 100gr</t>
        </is>
      </c>
      <c r="D4592" t="inlineStr">
        <is>
          <t>Miss Glam Damar</t>
        </is>
      </c>
      <c r="E4592" t="n">
        <v>36</v>
      </c>
      <c r="F4592" t="n">
        <v>6.3427</v>
      </c>
      <c r="G4592" t="n">
        <v>11.83</v>
      </c>
      <c r="H4592" t="n">
        <v>3</v>
      </c>
      <c r="I4592" t="n">
        <v>11</v>
      </c>
      <c r="J4592" t="n">
        <v>3</v>
      </c>
      <c r="K4592" t="n">
        <v>0</v>
      </c>
      <c r="L4592" t="n">
        <v>9600</v>
      </c>
      <c r="M4592" t="n">
        <v>12000</v>
      </c>
      <c r="N4592" t="n">
        <v>91</v>
      </c>
      <c r="O4592" t="n">
        <v>0.91</v>
      </c>
      <c r="P4592" t="n">
        <v>1</v>
      </c>
      <c r="Q4592" t="n">
        <v>1.42</v>
      </c>
      <c r="R4592" t="n">
        <v>5</v>
      </c>
      <c r="S4592" t="n">
        <v>76112.39999999999</v>
      </c>
      <c r="T4592" t="n">
        <v>112</v>
      </c>
      <c r="U4592" t="n">
        <v>132</v>
      </c>
      <c r="V4592" t="n">
        <v>30</v>
      </c>
      <c r="W4592" t="n">
        <v>191</v>
      </c>
      <c r="X4592" t="n">
        <v>5.675816292745992</v>
      </c>
      <c r="Y4592" t="n">
        <v>1</v>
      </c>
      <c r="Z4592" t="n">
        <v>155</v>
      </c>
      <c r="AA4592" t="n">
        <v>34</v>
      </c>
      <c r="AB4592" t="n">
        <v>121</v>
      </c>
      <c r="AC4592" t="n">
        <v>121</v>
      </c>
      <c r="AD4592" t="n">
        <v>326400</v>
      </c>
      <c r="AE4592" t="n">
        <v>1161600</v>
      </c>
      <c r="AF4592" t="n">
        <v>10162</v>
      </c>
      <c r="AG4592" t="n">
        <v>78</v>
      </c>
      <c r="AH4592" t="inlineStr">
        <is>
          <t>PT. GLORIENTA P.H - PPN (PDG)</t>
        </is>
      </c>
      <c r="AI4592" t="n">
        <v>130</v>
      </c>
      <c r="AJ4592" t="inlineStr">
        <is>
          <t>PURBASARI</t>
        </is>
      </c>
      <c r="AK4592" t="n">
        <v>21</v>
      </c>
      <c r="AL4592" t="inlineStr">
        <is>
          <t>Miss Glam Damar</t>
        </is>
      </c>
      <c r="AM4592" t="n">
        <v>1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PURBASARI</t>
        </is>
      </c>
      <c r="B4593" s="2">
        <f>"8999225782681"</f>
        <v/>
      </c>
      <c r="C4593" t="inlineStr">
        <is>
          <t>PURBASARI Lulur Mandi Susu &amp; Bengkoang 125gr</t>
        </is>
      </c>
      <c r="D4593" t="inlineStr">
        <is>
          <t>Miss Glam Damar</t>
        </is>
      </c>
      <c r="E4593" t="n">
        <v>4</v>
      </c>
      <c r="F4593" t="n">
        <v>0.6916</v>
      </c>
      <c r="G4593" t="n">
        <v>2.73</v>
      </c>
      <c r="H4593" t="n">
        <v>3</v>
      </c>
      <c r="I4593" t="n">
        <v>11</v>
      </c>
      <c r="J4593" t="n">
        <v>3</v>
      </c>
      <c r="K4593" t="n">
        <v>0</v>
      </c>
      <c r="L4593" t="n">
        <v>9600</v>
      </c>
      <c r="M4593" t="n">
        <v>12000</v>
      </c>
      <c r="N4593" t="n">
        <v>91</v>
      </c>
      <c r="O4593" t="n">
        <v>0.91</v>
      </c>
      <c r="P4593" t="n">
        <v>1</v>
      </c>
      <c r="Q4593" t="n">
        <v>0.2</v>
      </c>
      <c r="R4593" t="n">
        <v>2</v>
      </c>
      <c r="S4593" t="n">
        <v>8299.200000000001</v>
      </c>
      <c r="T4593" t="n">
        <v>28</v>
      </c>
      <c r="U4593" t="n">
        <v>31</v>
      </c>
      <c r="V4593" t="n">
        <v>30</v>
      </c>
      <c r="W4593" t="n">
        <v>21</v>
      </c>
      <c r="X4593" t="n">
        <v>5.78368999421631</v>
      </c>
      <c r="Y4593" t="n">
        <v>1</v>
      </c>
      <c r="Z4593" t="n">
        <v>17</v>
      </c>
      <c r="AA4593" t="n">
        <v>4</v>
      </c>
      <c r="AB4593" t="n">
        <v>13</v>
      </c>
      <c r="AC4593" t="n">
        <v>13</v>
      </c>
      <c r="AD4593" t="n">
        <v>38400</v>
      </c>
      <c r="AE4593" t="n">
        <v>124800</v>
      </c>
      <c r="AF4593" t="n">
        <v>10162</v>
      </c>
      <c r="AG4593" t="n">
        <v>78</v>
      </c>
      <c r="AH4593" t="inlineStr">
        <is>
          <t>PT. GLORIENTA P.H - PPN (PDG)</t>
        </is>
      </c>
      <c r="AI4593" t="n">
        <v>130</v>
      </c>
      <c r="AJ4593" t="inlineStr">
        <is>
          <t>PURBASARI</t>
        </is>
      </c>
      <c r="AK4593" t="n">
        <v>21</v>
      </c>
      <c r="AL4593" t="inlineStr">
        <is>
          <t>Miss Glam Damar</t>
        </is>
      </c>
      <c r="AM4593" t="n">
        <v>1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PURBASARI</t>
        </is>
      </c>
      <c r="B4594" s="2">
        <f>"8999225782667"</f>
        <v/>
      </c>
      <c r="C4594" t="inlineStr">
        <is>
          <t>PURBASARI Lulur Mandi Susu &amp; Bengkoang 235gr</t>
        </is>
      </c>
      <c r="D4594" t="inlineStr">
        <is>
          <t>Miss Glam Damar</t>
        </is>
      </c>
      <c r="E4594" t="n">
        <v>9</v>
      </c>
      <c r="F4594" t="n">
        <v>0.2912</v>
      </c>
      <c r="G4594" t="n">
        <v>1.82</v>
      </c>
      <c r="H4594" t="n">
        <v>3</v>
      </c>
      <c r="I4594" t="n">
        <v>11</v>
      </c>
      <c r="J4594" t="n">
        <v>3</v>
      </c>
      <c r="K4594" t="n">
        <v>0</v>
      </c>
      <c r="L4594" t="n">
        <v>14880</v>
      </c>
      <c r="M4594" t="n">
        <v>22500</v>
      </c>
      <c r="N4594" t="n">
        <v>91</v>
      </c>
      <c r="O4594" t="n">
        <v>0.91</v>
      </c>
      <c r="P4594" t="n">
        <v>1</v>
      </c>
      <c r="Q4594" t="n">
        <v>0.27</v>
      </c>
      <c r="R4594" t="n">
        <v>2</v>
      </c>
      <c r="S4594" t="n">
        <v>6552</v>
      </c>
      <c r="T4594" t="n">
        <v>20</v>
      </c>
      <c r="U4594" t="n">
        <v>21</v>
      </c>
      <c r="V4594" t="n">
        <v>30</v>
      </c>
      <c r="W4594" t="n">
        <v>9</v>
      </c>
      <c r="X4594" t="n">
        <v>30.90659340659341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10162</v>
      </c>
      <c r="AG4594" t="n">
        <v>78</v>
      </c>
      <c r="AH4594" t="inlineStr">
        <is>
          <t>PT. GLORIENTA P.H - PPN (PDG)</t>
        </is>
      </c>
      <c r="AI4594" t="n">
        <v>130</v>
      </c>
      <c r="AJ4594" t="inlineStr">
        <is>
          <t>PURBASARI</t>
        </is>
      </c>
      <c r="AK4594" t="n">
        <v>21</v>
      </c>
      <c r="AL4594" t="inlineStr">
        <is>
          <t>Miss Glam Damar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PURBASARI</t>
        </is>
      </c>
      <c r="B4595" s="2">
        <f>"8999225908548"</f>
        <v/>
      </c>
      <c r="C4595" t="inlineStr">
        <is>
          <t>PURBASARI Lulur Mandi Zaitun 125gr</t>
        </is>
      </c>
      <c r="D4595" t="inlineStr">
        <is>
          <t>Miss Glam Damar</t>
        </is>
      </c>
      <c r="E4595" t="n">
        <v>4</v>
      </c>
      <c r="F4595" t="n">
        <v>0.1365</v>
      </c>
      <c r="G4595" t="n">
        <v>1.82</v>
      </c>
      <c r="H4595" t="n">
        <v>3</v>
      </c>
      <c r="I4595" t="n">
        <v>11</v>
      </c>
      <c r="J4595" t="n">
        <v>3</v>
      </c>
      <c r="K4595" t="n">
        <v>0</v>
      </c>
      <c r="L4595" t="n">
        <v>9600</v>
      </c>
      <c r="M4595" t="n">
        <v>12000</v>
      </c>
      <c r="N4595" t="n">
        <v>91</v>
      </c>
      <c r="O4595" t="n">
        <v>0.91</v>
      </c>
      <c r="P4595" t="n">
        <v>1</v>
      </c>
      <c r="Q4595" t="n">
        <v>0.15</v>
      </c>
      <c r="R4595" t="n">
        <v>2</v>
      </c>
      <c r="S4595" t="n">
        <v>1638</v>
      </c>
      <c r="T4595" t="n">
        <v>20</v>
      </c>
      <c r="U4595" t="n">
        <v>21</v>
      </c>
      <c r="V4595" t="n">
        <v>30</v>
      </c>
      <c r="W4595" t="n">
        <v>5</v>
      </c>
      <c r="X4595" t="n">
        <v>29.3040293040293</v>
      </c>
      <c r="Y4595" t="n">
        <v>1</v>
      </c>
      <c r="Z4595" t="n">
        <v>1</v>
      </c>
      <c r="AA4595" t="n">
        <v>0</v>
      </c>
      <c r="AB4595" t="n">
        <v>1</v>
      </c>
      <c r="AC4595" t="n">
        <v>3</v>
      </c>
      <c r="AD4595" t="n">
        <v>0</v>
      </c>
      <c r="AE4595" t="n">
        <v>28800</v>
      </c>
      <c r="AF4595" t="n">
        <v>10162</v>
      </c>
      <c r="AG4595" t="n">
        <v>78</v>
      </c>
      <c r="AH4595" t="inlineStr">
        <is>
          <t>PT. GLORIENTA P.H - PPN (PDG)</t>
        </is>
      </c>
      <c r="AI4595" t="n">
        <v>130</v>
      </c>
      <c r="AJ4595" t="inlineStr">
        <is>
          <t>PURBASARI</t>
        </is>
      </c>
      <c r="AK4595" t="n">
        <v>21</v>
      </c>
      <c r="AL4595" t="inlineStr">
        <is>
          <t>Miss Glam Damar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PURBASARI</t>
        </is>
      </c>
      <c r="B4596" s="2">
        <f>"8999225783770"</f>
        <v/>
      </c>
      <c r="C4596" t="inlineStr">
        <is>
          <t>PURBASARI Lulur Mutiara 125ml</t>
        </is>
      </c>
      <c r="D4596" t="inlineStr">
        <is>
          <t>Miss Glam Damar</t>
        </is>
      </c>
      <c r="E4596" t="n">
        <v>3</v>
      </c>
      <c r="F4596" t="n">
        <v>0.5369</v>
      </c>
      <c r="G4596" t="n">
        <v>2.73</v>
      </c>
      <c r="H4596" t="n">
        <v>3</v>
      </c>
      <c r="I4596" t="n">
        <v>11</v>
      </c>
      <c r="J4596" t="n">
        <v>3</v>
      </c>
      <c r="K4596" t="n">
        <v>0</v>
      </c>
      <c r="L4596" t="n">
        <v>9600</v>
      </c>
      <c r="M4596" t="n">
        <v>12000</v>
      </c>
      <c r="N4596" t="n">
        <v>91</v>
      </c>
      <c r="O4596" t="n">
        <v>0.91</v>
      </c>
      <c r="P4596" t="n">
        <v>1</v>
      </c>
      <c r="Q4596" t="n">
        <v>0.2</v>
      </c>
      <c r="R4596" t="n">
        <v>2</v>
      </c>
      <c r="S4596" t="n">
        <v>6442.8</v>
      </c>
      <c r="T4596" t="n">
        <v>29</v>
      </c>
      <c r="U4596" t="n">
        <v>31</v>
      </c>
      <c r="V4596" t="n">
        <v>30</v>
      </c>
      <c r="W4596" t="n">
        <v>17</v>
      </c>
      <c r="X4596" t="n">
        <v>5.587632706276773</v>
      </c>
      <c r="Y4596" t="n">
        <v>1</v>
      </c>
      <c r="Z4596" t="n">
        <v>14</v>
      </c>
      <c r="AA4596" t="n">
        <v>3</v>
      </c>
      <c r="AB4596" t="n">
        <v>11</v>
      </c>
      <c r="AC4596" t="n">
        <v>11</v>
      </c>
      <c r="AD4596" t="n">
        <v>28800</v>
      </c>
      <c r="AE4596" t="n">
        <v>105600</v>
      </c>
      <c r="AF4596" t="n">
        <v>10162</v>
      </c>
      <c r="AG4596" t="n">
        <v>78</v>
      </c>
      <c r="AH4596" t="inlineStr">
        <is>
          <t>PT. GLORIENTA P.H - PPN (PDG)</t>
        </is>
      </c>
      <c r="AI4596" t="n">
        <v>130</v>
      </c>
      <c r="AJ4596" t="inlineStr">
        <is>
          <t>PURBASARI</t>
        </is>
      </c>
      <c r="AK4596" t="n">
        <v>21</v>
      </c>
      <c r="AL4596" t="inlineStr">
        <is>
          <t>Miss Glam Damar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PURBASARI</t>
        </is>
      </c>
      <c r="B4597" s="2">
        <f>"8999225783756"</f>
        <v/>
      </c>
      <c r="C4597" t="inlineStr">
        <is>
          <t>PURBASARI Lulur Mutiara 235ml</t>
        </is>
      </c>
      <c r="D4597" t="inlineStr">
        <is>
          <t>Miss Glam Damar</t>
        </is>
      </c>
      <c r="E4597" t="n">
        <v>12</v>
      </c>
      <c r="F4597" t="n">
        <v>0.3094</v>
      </c>
      <c r="G4597" t="n">
        <v>2.73</v>
      </c>
      <c r="H4597" t="n">
        <v>3</v>
      </c>
      <c r="I4597" t="n">
        <v>11</v>
      </c>
      <c r="J4597" t="n">
        <v>3</v>
      </c>
      <c r="K4597" t="n">
        <v>0</v>
      </c>
      <c r="L4597" t="n">
        <v>14880</v>
      </c>
      <c r="M4597" t="n">
        <v>20500</v>
      </c>
      <c r="N4597" t="n">
        <v>91</v>
      </c>
      <c r="O4597" t="n">
        <v>0.91</v>
      </c>
      <c r="P4597" t="n">
        <v>1</v>
      </c>
      <c r="Q4597" t="n">
        <v>0.31</v>
      </c>
      <c r="R4597" t="n">
        <v>2</v>
      </c>
      <c r="S4597" t="n">
        <v>6342.7</v>
      </c>
      <c r="T4597" t="n">
        <v>30</v>
      </c>
      <c r="U4597" t="n">
        <v>31</v>
      </c>
      <c r="V4597" t="n">
        <v>30</v>
      </c>
      <c r="W4597" t="n">
        <v>10</v>
      </c>
      <c r="X4597" t="n">
        <v>38.78474466709761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10162</v>
      </c>
      <c r="AG4597" t="n">
        <v>78</v>
      </c>
      <c r="AH4597" t="inlineStr">
        <is>
          <t>PT. GLORIENTA P.H - PPN (PDG)</t>
        </is>
      </c>
      <c r="AI4597" t="n">
        <v>130</v>
      </c>
      <c r="AJ4597" t="inlineStr">
        <is>
          <t>PURBASARI</t>
        </is>
      </c>
      <c r="AK4597" t="n">
        <v>21</v>
      </c>
      <c r="AL4597" t="inlineStr">
        <is>
          <t>Miss Glam Damar</t>
        </is>
      </c>
      <c r="AM4597" t="n">
        <v>1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PURBASARI</t>
        </is>
      </c>
      <c r="B4598" s="2">
        <f>"8999225812500"</f>
        <v/>
      </c>
      <c r="C4598" t="inlineStr">
        <is>
          <t>PURBASARI Lulur Putih 235ml</t>
        </is>
      </c>
      <c r="D4598" t="inlineStr">
        <is>
          <t>Miss Glam Damar</t>
        </is>
      </c>
      <c r="E4598" t="n">
        <v>59</v>
      </c>
      <c r="F4598" t="n">
        <v>0.09100000000000001</v>
      </c>
      <c r="G4598" t="n">
        <v>0</v>
      </c>
      <c r="H4598" t="n">
        <v>3</v>
      </c>
      <c r="I4598" t="n">
        <v>11</v>
      </c>
      <c r="J4598" t="n">
        <v>3</v>
      </c>
      <c r="K4598" t="n">
        <v>0</v>
      </c>
      <c r="L4598" t="n">
        <v>14880</v>
      </c>
      <c r="M4598" t="n">
        <v>18500</v>
      </c>
      <c r="N4598" t="n">
        <v>91</v>
      </c>
      <c r="O4598" t="n">
        <v>0.91</v>
      </c>
      <c r="P4598" t="n">
        <v>1</v>
      </c>
      <c r="Q4598" t="n">
        <v>2.85</v>
      </c>
      <c r="R4598" t="n">
        <v>8</v>
      </c>
      <c r="S4598" t="n">
        <v>1683.5</v>
      </c>
      <c r="T4598" t="n">
        <v>0</v>
      </c>
      <c r="U4598" t="n">
        <v>1</v>
      </c>
      <c r="V4598" t="n">
        <v>30</v>
      </c>
      <c r="W4598" t="n">
        <v>3</v>
      </c>
      <c r="X4598" t="n">
        <v>648.3516483516482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10162</v>
      </c>
      <c r="AG4598" t="n">
        <v>78</v>
      </c>
      <c r="AH4598" t="inlineStr">
        <is>
          <t>PT. GLORIENTA P.H - PPN (PDG)</t>
        </is>
      </c>
      <c r="AI4598" t="n">
        <v>130</v>
      </c>
      <c r="AJ4598" t="inlineStr">
        <is>
          <t>PURBASARI</t>
        </is>
      </c>
      <c r="AK4598" t="n">
        <v>21</v>
      </c>
      <c r="AL4598" t="inlineStr">
        <is>
          <t>Miss Glam Damar</t>
        </is>
      </c>
      <c r="AM4598" t="n">
        <v>1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PURBASARI</t>
        </is>
      </c>
      <c r="B4599" s="2">
        <f>"8999225910480"</f>
        <v/>
      </c>
      <c r="C4599" t="inlineStr">
        <is>
          <t>PURBASARI Minyak Zaitun Olive Oil 150ml</t>
        </is>
      </c>
      <c r="D4599" t="inlineStr">
        <is>
          <t>Miss Glam Damar</t>
        </is>
      </c>
      <c r="E4599" t="n">
        <v>9</v>
      </c>
      <c r="F4599" t="n">
        <v>0.3276</v>
      </c>
      <c r="G4599" t="n">
        <v>3.64</v>
      </c>
      <c r="H4599" t="n">
        <v>3</v>
      </c>
      <c r="I4599" t="n">
        <v>11</v>
      </c>
      <c r="J4599" t="n">
        <v>3</v>
      </c>
      <c r="K4599" t="n">
        <v>0</v>
      </c>
      <c r="L4599" t="n">
        <v>21200</v>
      </c>
      <c r="M4599" t="n">
        <v>30500</v>
      </c>
      <c r="N4599" t="n">
        <v>91</v>
      </c>
      <c r="O4599" t="n">
        <v>0.91</v>
      </c>
      <c r="P4599" t="n">
        <v>1</v>
      </c>
      <c r="Q4599" t="n">
        <v>0.29</v>
      </c>
      <c r="R4599" t="n">
        <v>1</v>
      </c>
      <c r="S4599" t="n">
        <v>9991.799999999999</v>
      </c>
      <c r="T4599" t="n">
        <v>40</v>
      </c>
      <c r="U4599" t="n">
        <v>41</v>
      </c>
      <c r="V4599" t="n">
        <v>30</v>
      </c>
      <c r="W4599" t="n">
        <v>10</v>
      </c>
      <c r="X4599" t="n">
        <v>27.47252747252747</v>
      </c>
      <c r="Y4599" t="n">
        <v>1</v>
      </c>
      <c r="Z4599" t="n">
        <v>1</v>
      </c>
      <c r="AA4599" t="n">
        <v>0</v>
      </c>
      <c r="AB4599" t="n">
        <v>1</v>
      </c>
      <c r="AC4599" t="n">
        <v>3</v>
      </c>
      <c r="AD4599" t="n">
        <v>0</v>
      </c>
      <c r="AE4599" t="n">
        <v>63600</v>
      </c>
      <c r="AF4599" t="n">
        <v>10162</v>
      </c>
      <c r="AG4599" t="n">
        <v>78</v>
      </c>
      <c r="AH4599" t="inlineStr">
        <is>
          <t>PT. GLORIENTA P.H - PPN (PDG)</t>
        </is>
      </c>
      <c r="AI4599" t="n">
        <v>130</v>
      </c>
      <c r="AJ4599" t="inlineStr">
        <is>
          <t>PURBASARI</t>
        </is>
      </c>
      <c r="AK4599" t="n">
        <v>21</v>
      </c>
      <c r="AL4599" t="inlineStr">
        <is>
          <t>Miss Glam Damar</t>
        </is>
      </c>
      <c r="AM4599" t="n">
        <v>1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PURBASARI</t>
        </is>
      </c>
      <c r="B4600" s="2">
        <f>"8999225910961"</f>
        <v/>
      </c>
      <c r="C4600" t="inlineStr">
        <is>
          <t>PURBASARI Minyak Zaitun Olive Oil With Jasmine Essential Oil 75ml</t>
        </is>
      </c>
      <c r="D4600" t="inlineStr">
        <is>
          <t>Miss Glam Damar</t>
        </is>
      </c>
      <c r="E4600" t="n">
        <v>35</v>
      </c>
      <c r="F4600" t="n">
        <v>2.1476</v>
      </c>
      <c r="G4600" t="n">
        <v>10.01</v>
      </c>
      <c r="H4600" t="n">
        <v>3</v>
      </c>
      <c r="I4600" t="n">
        <v>11</v>
      </c>
      <c r="J4600" t="n">
        <v>3</v>
      </c>
      <c r="K4600" t="n">
        <v>0</v>
      </c>
      <c r="L4600" t="n">
        <v>12800</v>
      </c>
      <c r="M4600" t="n">
        <v>16000</v>
      </c>
      <c r="N4600" t="n">
        <v>91</v>
      </c>
      <c r="O4600" t="n">
        <v>0.91</v>
      </c>
      <c r="P4600" t="n">
        <v>1</v>
      </c>
      <c r="Q4600" t="n">
        <v>1.27</v>
      </c>
      <c r="R4600" t="n">
        <v>5</v>
      </c>
      <c r="S4600" t="n">
        <v>34361.60000000001</v>
      </c>
      <c r="T4600" t="n">
        <v>104</v>
      </c>
      <c r="U4600" t="n">
        <v>111</v>
      </c>
      <c r="V4600" t="n">
        <v>30</v>
      </c>
      <c r="W4600" t="n">
        <v>65</v>
      </c>
      <c r="X4600" t="n">
        <v>16.29726205997392</v>
      </c>
      <c r="Y4600" t="n">
        <v>1</v>
      </c>
      <c r="Z4600" t="n">
        <v>30</v>
      </c>
      <c r="AA4600" t="n">
        <v>0</v>
      </c>
      <c r="AB4600" t="n">
        <v>30</v>
      </c>
      <c r="AC4600" t="n">
        <v>30</v>
      </c>
      <c r="AD4600" t="n">
        <v>0</v>
      </c>
      <c r="AE4600" t="n">
        <v>384000</v>
      </c>
      <c r="AF4600" t="n">
        <v>10162</v>
      </c>
      <c r="AG4600" t="n">
        <v>78</v>
      </c>
      <c r="AH4600" t="inlineStr">
        <is>
          <t>PT. GLORIENTA P.H - PPN (PDG)</t>
        </is>
      </c>
      <c r="AI4600" t="n">
        <v>130</v>
      </c>
      <c r="AJ4600" t="inlineStr">
        <is>
          <t>PURBASARI</t>
        </is>
      </c>
      <c r="AK4600" t="n">
        <v>21</v>
      </c>
      <c r="AL4600" t="inlineStr">
        <is>
          <t>Miss Glam Damar</t>
        </is>
      </c>
      <c r="AM4600" t="n">
        <v>1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PURBASARI</t>
        </is>
      </c>
      <c r="B4601" s="2">
        <f>"8999225911128"</f>
        <v/>
      </c>
      <c r="C4601" t="inlineStr">
        <is>
          <t>PURBASARI Minyak Zaitun Olive Oil With Rose Essential Oil 150ml</t>
        </is>
      </c>
      <c r="D4601" t="inlineStr">
        <is>
          <t>Miss Glam Damar</t>
        </is>
      </c>
      <c r="E4601" t="n">
        <v>0</v>
      </c>
      <c r="F4601" t="n">
        <v>0.3367</v>
      </c>
      <c r="G4601" t="n">
        <v>1.82</v>
      </c>
      <c r="H4601" t="n">
        <v>3</v>
      </c>
      <c r="I4601" t="n">
        <v>11</v>
      </c>
      <c r="J4601" t="n">
        <v>3</v>
      </c>
      <c r="K4601" t="n">
        <v>0</v>
      </c>
      <c r="L4601" t="n">
        <v>21200</v>
      </c>
      <c r="M4601" t="n">
        <v>25000</v>
      </c>
      <c r="N4601" t="n">
        <v>91</v>
      </c>
      <c r="O4601" t="n">
        <v>0.91</v>
      </c>
      <c r="P4601" t="n">
        <v>1</v>
      </c>
      <c r="Q4601" t="n">
        <v>0.66</v>
      </c>
      <c r="R4601" t="n">
        <v>3</v>
      </c>
      <c r="S4601" t="n">
        <v>8417.5</v>
      </c>
      <c r="T4601" t="n">
        <v>20</v>
      </c>
      <c r="U4601" t="n">
        <v>22</v>
      </c>
      <c r="V4601" t="n">
        <v>30</v>
      </c>
      <c r="W4601" t="n">
        <v>11</v>
      </c>
      <c r="X4601" t="n">
        <v>0</v>
      </c>
      <c r="Y4601" t="n">
        <v>1</v>
      </c>
      <c r="Z4601" t="n">
        <v>11</v>
      </c>
      <c r="AA4601" t="n">
        <v>4</v>
      </c>
      <c r="AB4601" t="n">
        <v>7</v>
      </c>
      <c r="AC4601" t="n">
        <v>7</v>
      </c>
      <c r="AD4601" t="n">
        <v>84800</v>
      </c>
      <c r="AE4601" t="n">
        <v>148400</v>
      </c>
      <c r="AF4601" t="n">
        <v>10162</v>
      </c>
      <c r="AG4601" t="n">
        <v>78</v>
      </c>
      <c r="AH4601" t="inlineStr">
        <is>
          <t>PT. GLORIENTA P.H - PPN (PDG)</t>
        </is>
      </c>
      <c r="AI4601" t="n">
        <v>130</v>
      </c>
      <c r="AJ4601" t="inlineStr">
        <is>
          <t>PURBASARI</t>
        </is>
      </c>
      <c r="AK4601" t="n">
        <v>21</v>
      </c>
      <c r="AL4601" t="inlineStr">
        <is>
          <t>Miss Glam Damar</t>
        </is>
      </c>
      <c r="AM4601" t="n">
        <v>1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PURBASARI</t>
        </is>
      </c>
      <c r="B4602" s="2">
        <f>"8999225906995"</f>
        <v/>
      </c>
      <c r="C4602" t="inlineStr">
        <is>
          <t>PURBASARI New Cell Eye Serum Roll On 15ml</t>
        </is>
      </c>
      <c r="D4602" t="inlineStr">
        <is>
          <t>Miss Glam Damar</t>
        </is>
      </c>
      <c r="E4602" t="n">
        <v>2</v>
      </c>
      <c r="F4602" t="n">
        <v>0.3822</v>
      </c>
      <c r="G4602" t="n">
        <v>2.73</v>
      </c>
      <c r="H4602" t="n">
        <v>3</v>
      </c>
      <c r="I4602" t="n">
        <v>11</v>
      </c>
      <c r="J4602" t="n">
        <v>3</v>
      </c>
      <c r="K4602" t="n">
        <v>0</v>
      </c>
      <c r="L4602" t="n">
        <v>28000</v>
      </c>
      <c r="M4602" t="n">
        <v>35000</v>
      </c>
      <c r="N4602" t="n">
        <v>91</v>
      </c>
      <c r="O4602" t="n">
        <v>0.91</v>
      </c>
      <c r="P4602" t="n">
        <v>1</v>
      </c>
      <c r="Q4602" t="n">
        <v>0.49</v>
      </c>
      <c r="R4602" t="n">
        <v>3</v>
      </c>
      <c r="S4602" t="n">
        <v>13377</v>
      </c>
      <c r="T4602" t="n">
        <v>29</v>
      </c>
      <c r="U4602" t="n">
        <v>31</v>
      </c>
      <c r="V4602" t="n">
        <v>30</v>
      </c>
      <c r="W4602" t="n">
        <v>12</v>
      </c>
      <c r="X4602" t="n">
        <v>5.232862375719519</v>
      </c>
      <c r="Y4602" t="n">
        <v>1</v>
      </c>
      <c r="Z4602" t="n">
        <v>10</v>
      </c>
      <c r="AA4602" t="n">
        <v>3</v>
      </c>
      <c r="AB4602" t="n">
        <v>7</v>
      </c>
      <c r="AC4602" t="n">
        <v>7</v>
      </c>
      <c r="AD4602" t="n">
        <v>84000</v>
      </c>
      <c r="AE4602" t="n">
        <v>196000</v>
      </c>
      <c r="AF4602" t="n">
        <v>10162</v>
      </c>
      <c r="AG4602" t="n">
        <v>78</v>
      </c>
      <c r="AH4602" t="inlineStr">
        <is>
          <t>PT. GLORIENTA P.H - PPN (PDG)</t>
        </is>
      </c>
      <c r="AI4602" t="n">
        <v>130</v>
      </c>
      <c r="AJ4602" t="inlineStr">
        <is>
          <t>PURBASARI</t>
        </is>
      </c>
      <c r="AK4602" t="n">
        <v>21</v>
      </c>
      <c r="AL4602" t="inlineStr">
        <is>
          <t>Miss Glam Damar</t>
        </is>
      </c>
      <c r="AM4602" t="n">
        <v>1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PURBASARI</t>
        </is>
      </c>
      <c r="B4603" s="2">
        <f>"8999225910329"</f>
        <v/>
      </c>
      <c r="C4603" t="inlineStr">
        <is>
          <t>PURBASARI ONYX Hair Serum Styling Heat 65ml</t>
        </is>
      </c>
      <c r="D4603" t="inlineStr">
        <is>
          <t>Miss Glam Damar</t>
        </is>
      </c>
      <c r="E4603" t="n">
        <v>6</v>
      </c>
      <c r="F4603" t="n">
        <v>0.44</v>
      </c>
      <c r="G4603" t="n">
        <v>3</v>
      </c>
      <c r="H4603" t="n">
        <v>3</v>
      </c>
      <c r="I4603" t="n">
        <v>11</v>
      </c>
      <c r="J4603" t="n">
        <v>3</v>
      </c>
      <c r="K4603" t="n">
        <v>0</v>
      </c>
      <c r="L4603" t="n">
        <v>35560</v>
      </c>
      <c r="M4603" t="n">
        <v>44000</v>
      </c>
      <c r="N4603" t="n">
        <v>91</v>
      </c>
      <c r="O4603" t="n">
        <v>0.91</v>
      </c>
      <c r="P4603" t="n">
        <v>0</v>
      </c>
      <c r="Q4603" t="n">
        <v>0.44</v>
      </c>
      <c r="R4603" t="n">
        <v>3</v>
      </c>
      <c r="S4603" t="n">
        <v>19360</v>
      </c>
      <c r="T4603" t="n">
        <v>32</v>
      </c>
      <c r="U4603" t="n">
        <v>34</v>
      </c>
      <c r="V4603" t="n">
        <v>30</v>
      </c>
      <c r="W4603" t="n">
        <v>14</v>
      </c>
      <c r="X4603" t="n">
        <v>13.63636363636364</v>
      </c>
      <c r="Y4603" t="n">
        <v>1</v>
      </c>
      <c r="Z4603" t="n">
        <v>8</v>
      </c>
      <c r="AA4603" t="n">
        <v>0</v>
      </c>
      <c r="AB4603" t="n">
        <v>8</v>
      </c>
      <c r="AC4603" t="n">
        <v>8</v>
      </c>
      <c r="AD4603" t="n">
        <v>0</v>
      </c>
      <c r="AE4603" t="n">
        <v>284480</v>
      </c>
      <c r="AF4603" t="n">
        <v>10162</v>
      </c>
      <c r="AG4603" t="n">
        <v>78</v>
      </c>
      <c r="AH4603" t="inlineStr">
        <is>
          <t>PT. GLORIENTA P.H - PPN (PDG)</t>
        </is>
      </c>
      <c r="AI4603" t="n">
        <v>130</v>
      </c>
      <c r="AJ4603" t="inlineStr">
        <is>
          <t>PURBASARI</t>
        </is>
      </c>
      <c r="AK4603" t="n">
        <v>21</v>
      </c>
      <c r="AL4603" t="inlineStr">
        <is>
          <t>Miss Glam Damar</t>
        </is>
      </c>
      <c r="AM4603" t="n">
        <v>1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PURBASARI</t>
        </is>
      </c>
      <c r="B4604" s="2">
        <f>"8999225912217"</f>
        <v/>
      </c>
      <c r="C4604" t="inlineStr">
        <is>
          <t>PURBASARI Phyto Cell-C Body Serum 180ml</t>
        </is>
      </c>
      <c r="D4604" t="inlineStr">
        <is>
          <t>Miss Glam Damar</t>
        </is>
      </c>
      <c r="E4604" t="n">
        <v>7</v>
      </c>
      <c r="F4604" t="n">
        <v>0.1274</v>
      </c>
      <c r="G4604" t="n">
        <v>1.82</v>
      </c>
      <c r="H4604" t="n">
        <v>3</v>
      </c>
      <c r="I4604" t="n">
        <v>11</v>
      </c>
      <c r="J4604" t="n">
        <v>3</v>
      </c>
      <c r="K4604" t="n">
        <v>0</v>
      </c>
      <c r="L4604" t="n">
        <v>21601</v>
      </c>
      <c r="M4604" t="n">
        <v>27000</v>
      </c>
      <c r="N4604" t="n">
        <v>91</v>
      </c>
      <c r="O4604" t="n">
        <v>0.91</v>
      </c>
      <c r="P4604" t="n">
        <v>1</v>
      </c>
      <c r="Q4604" t="n">
        <v>0.1</v>
      </c>
      <c r="R4604" t="n">
        <v>2</v>
      </c>
      <c r="S4604" t="n">
        <v>3439.8</v>
      </c>
      <c r="T4604" t="n">
        <v>20</v>
      </c>
      <c r="U4604" t="n">
        <v>21</v>
      </c>
      <c r="V4604" t="n">
        <v>30</v>
      </c>
      <c r="W4604" t="n">
        <v>4</v>
      </c>
      <c r="X4604" t="n">
        <v>54.94505494505494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10162</v>
      </c>
      <c r="AG4604" t="n">
        <v>78</v>
      </c>
      <c r="AH4604" t="inlineStr">
        <is>
          <t>PT. GLORIENTA P.H - PPN (PDG)</t>
        </is>
      </c>
      <c r="AI4604" t="n">
        <v>130</v>
      </c>
      <c r="AJ4604" t="inlineStr">
        <is>
          <t>PURBASARI</t>
        </is>
      </c>
      <c r="AK4604" t="n">
        <v>21</v>
      </c>
      <c r="AL4604" t="inlineStr">
        <is>
          <t>Miss Glam Damar</t>
        </is>
      </c>
      <c r="AM4604" t="n">
        <v>1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PURBASARI</t>
        </is>
      </c>
      <c r="B4605" s="2">
        <f>"8999225911401"</f>
        <v/>
      </c>
      <c r="C4605" t="inlineStr">
        <is>
          <t>PURBASARI Skin Firming Body Serum 3x Anti-Aging Actives 180ml</t>
        </is>
      </c>
      <c r="D4605" t="inlineStr">
        <is>
          <t>Miss Glam Damar</t>
        </is>
      </c>
      <c r="E4605" t="n">
        <v>15</v>
      </c>
      <c r="F4605" t="n">
        <v>0.8008000000000001</v>
      </c>
      <c r="G4605" t="n">
        <v>2.73</v>
      </c>
      <c r="H4605" t="n">
        <v>3</v>
      </c>
      <c r="I4605" t="n">
        <v>11</v>
      </c>
      <c r="J4605" t="n">
        <v>3</v>
      </c>
      <c r="K4605" t="n">
        <v>0</v>
      </c>
      <c r="L4605" t="n">
        <v>20550</v>
      </c>
      <c r="M4605" t="n">
        <v>27500</v>
      </c>
      <c r="N4605" t="n">
        <v>91</v>
      </c>
      <c r="O4605" t="n">
        <v>0.91</v>
      </c>
      <c r="P4605" t="n">
        <v>1</v>
      </c>
      <c r="Q4605" t="n">
        <v>0.47</v>
      </c>
      <c r="R4605" t="n">
        <v>2</v>
      </c>
      <c r="S4605" t="n">
        <v>22022</v>
      </c>
      <c r="T4605" t="n">
        <v>28</v>
      </c>
      <c r="U4605" t="n">
        <v>31</v>
      </c>
      <c r="V4605" t="n">
        <v>30</v>
      </c>
      <c r="W4605" t="n">
        <v>25</v>
      </c>
      <c r="X4605" t="n">
        <v>18.73126873126873</v>
      </c>
      <c r="Y4605" t="n">
        <v>1</v>
      </c>
      <c r="Z4605" t="n">
        <v>10</v>
      </c>
      <c r="AA4605" t="n">
        <v>0</v>
      </c>
      <c r="AB4605" t="n">
        <v>10</v>
      </c>
      <c r="AC4605" t="n">
        <v>10</v>
      </c>
      <c r="AD4605" t="n">
        <v>0</v>
      </c>
      <c r="AE4605" t="n">
        <v>205500</v>
      </c>
      <c r="AF4605" t="n">
        <v>10162</v>
      </c>
      <c r="AG4605" t="n">
        <v>78</v>
      </c>
      <c r="AH4605" t="inlineStr">
        <is>
          <t>PT. GLORIENTA P.H - PPN (PDG)</t>
        </is>
      </c>
      <c r="AI4605" t="n">
        <v>130</v>
      </c>
      <c r="AJ4605" t="inlineStr">
        <is>
          <t>PURBASARI</t>
        </is>
      </c>
      <c r="AK4605" t="n">
        <v>21</v>
      </c>
      <c r="AL4605" t="inlineStr">
        <is>
          <t>Miss Glam Damar</t>
        </is>
      </c>
      <c r="AM4605" t="n">
        <v>1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PURBASARI</t>
        </is>
      </c>
      <c r="B4606" s="2">
        <f>"30100241818"</f>
        <v/>
      </c>
      <c r="C4606" t="inlineStr">
        <is>
          <t>PURBASARI Superfood Body Scrub Pineapple &amp; Royal Jelly 200ml</t>
        </is>
      </c>
      <c r="D4606" t="inlineStr">
        <is>
          <t>Miss Glam Damar</t>
        </is>
      </c>
      <c r="E4606" t="n">
        <v>5</v>
      </c>
      <c r="F4606" t="n">
        <v>0.06370000000000001</v>
      </c>
      <c r="G4606" t="n">
        <v>0.91</v>
      </c>
      <c r="H4606" t="n">
        <v>3</v>
      </c>
      <c r="I4606" t="n">
        <v>11</v>
      </c>
      <c r="J4606" t="n">
        <v>3</v>
      </c>
      <c r="K4606" t="n">
        <v>0</v>
      </c>
      <c r="L4606" t="n">
        <v>20000</v>
      </c>
      <c r="M4606" t="n">
        <v>25000</v>
      </c>
      <c r="N4606" t="n">
        <v>91</v>
      </c>
      <c r="O4606" t="n">
        <v>0.91</v>
      </c>
      <c r="P4606" t="n">
        <v>1</v>
      </c>
      <c r="Q4606" t="n">
        <v>0.1</v>
      </c>
      <c r="R4606" t="n">
        <v>2</v>
      </c>
      <c r="S4606" t="n">
        <v>1592.5</v>
      </c>
      <c r="T4606" t="n">
        <v>10</v>
      </c>
      <c r="U4606" t="n">
        <v>11</v>
      </c>
      <c r="V4606" t="n">
        <v>30</v>
      </c>
      <c r="W4606" t="n">
        <v>2</v>
      </c>
      <c r="X4606" t="n">
        <v>78.49293563579278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10162</v>
      </c>
      <c r="AG4606" t="n">
        <v>78</v>
      </c>
      <c r="AH4606" t="inlineStr">
        <is>
          <t>PT. GLORIENTA P.H - PPN (PDG)</t>
        </is>
      </c>
      <c r="AI4606" t="n">
        <v>130</v>
      </c>
      <c r="AJ4606" t="inlineStr">
        <is>
          <t>PURBASARI</t>
        </is>
      </c>
      <c r="AK4606" t="n">
        <v>21</v>
      </c>
      <c r="AL4606" t="inlineStr">
        <is>
          <t>Miss Glam Damar</t>
        </is>
      </c>
      <c r="AM4606" t="n">
        <v>1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PURBASARI</t>
        </is>
      </c>
      <c r="B4607" s="2">
        <f>"30100241957"</f>
        <v/>
      </c>
      <c r="C4607" t="inlineStr">
        <is>
          <t>PURBASARI Superfood Body Scrub Watermelon &amp; Moringa 200ml</t>
        </is>
      </c>
      <c r="D4607" t="inlineStr">
        <is>
          <t>Miss Glam Damar</t>
        </is>
      </c>
      <c r="E4607" t="n">
        <v>2</v>
      </c>
      <c r="F4607" t="n">
        <v>0.0728</v>
      </c>
      <c r="G4607" t="n">
        <v>0.91</v>
      </c>
      <c r="H4607" t="n">
        <v>3</v>
      </c>
      <c r="I4607" t="n">
        <v>11</v>
      </c>
      <c r="J4607" t="n">
        <v>3</v>
      </c>
      <c r="K4607" t="n">
        <v>0</v>
      </c>
      <c r="L4607" t="n">
        <v>20000</v>
      </c>
      <c r="M4607" t="n">
        <v>25000</v>
      </c>
      <c r="N4607" t="n">
        <v>91</v>
      </c>
      <c r="O4607" t="n">
        <v>0.91</v>
      </c>
      <c r="P4607" t="n">
        <v>1</v>
      </c>
      <c r="Q4607" t="n">
        <v>0.08</v>
      </c>
      <c r="R4607" t="n">
        <v>1</v>
      </c>
      <c r="S4607" t="n">
        <v>1820</v>
      </c>
      <c r="T4607" t="n">
        <v>10</v>
      </c>
      <c r="U4607" t="n">
        <v>11</v>
      </c>
      <c r="V4607" t="n">
        <v>30</v>
      </c>
      <c r="W4607" t="n">
        <v>3</v>
      </c>
      <c r="X4607" t="n">
        <v>27.47252747252747</v>
      </c>
      <c r="Y4607" t="n">
        <v>1</v>
      </c>
      <c r="Z4607" t="n">
        <v>1</v>
      </c>
      <c r="AA4607" t="n">
        <v>0</v>
      </c>
      <c r="AB4607" t="n">
        <v>1</v>
      </c>
      <c r="AC4607" t="n">
        <v>3</v>
      </c>
      <c r="AD4607" t="n">
        <v>0</v>
      </c>
      <c r="AE4607" t="n">
        <v>60000</v>
      </c>
      <c r="AF4607" t="n">
        <v>10162</v>
      </c>
      <c r="AG4607" t="n">
        <v>78</v>
      </c>
      <c r="AH4607" t="inlineStr">
        <is>
          <t>PT. GLORIENTA P.H - PPN (PDG)</t>
        </is>
      </c>
      <c r="AI4607" t="n">
        <v>130</v>
      </c>
      <c r="AJ4607" t="inlineStr">
        <is>
          <t>PURBASARI</t>
        </is>
      </c>
      <c r="AK4607" t="n">
        <v>21</v>
      </c>
      <c r="AL4607" t="inlineStr">
        <is>
          <t>Miss Glam Damar</t>
        </is>
      </c>
      <c r="AM4607" t="n">
        <v>1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PURBASARI</t>
        </is>
      </c>
      <c r="B4608" s="2">
        <f>"30100242025"</f>
        <v/>
      </c>
      <c r="C4608" t="inlineStr">
        <is>
          <t>PURBASARI Superfood Body Scrub Yuzu &amp; Saffron 200ml</t>
        </is>
      </c>
      <c r="D4608" t="inlineStr">
        <is>
          <t>Miss Glam Damar</t>
        </is>
      </c>
      <c r="E4608" t="n">
        <v>9</v>
      </c>
      <c r="F4608" t="n">
        <v>0.1547</v>
      </c>
      <c r="G4608" t="n">
        <v>0.91</v>
      </c>
      <c r="H4608" t="n">
        <v>3</v>
      </c>
      <c r="I4608" t="n">
        <v>11</v>
      </c>
      <c r="J4608" t="n">
        <v>3</v>
      </c>
      <c r="K4608" t="n">
        <v>0</v>
      </c>
      <c r="L4608" t="n">
        <v>20000</v>
      </c>
      <c r="M4608" t="n">
        <v>25000</v>
      </c>
      <c r="N4608" t="n">
        <v>91</v>
      </c>
      <c r="O4608" t="n">
        <v>0.91</v>
      </c>
      <c r="P4608" t="n">
        <v>1</v>
      </c>
      <c r="Q4608" t="n">
        <v>0.17</v>
      </c>
      <c r="R4608" t="n">
        <v>2</v>
      </c>
      <c r="S4608" t="n">
        <v>3867.5</v>
      </c>
      <c r="T4608" t="n">
        <v>10</v>
      </c>
      <c r="U4608" t="n">
        <v>11</v>
      </c>
      <c r="V4608" t="n">
        <v>30</v>
      </c>
      <c r="W4608" t="n">
        <v>5</v>
      </c>
      <c r="X4608" t="n">
        <v>58.17711700064641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10162</v>
      </c>
      <c r="AG4608" t="n">
        <v>78</v>
      </c>
      <c r="AH4608" t="inlineStr">
        <is>
          <t>PT. GLORIENTA P.H - PPN (PDG)</t>
        </is>
      </c>
      <c r="AI4608" t="n">
        <v>130</v>
      </c>
      <c r="AJ4608" t="inlineStr">
        <is>
          <t>PURBASARI</t>
        </is>
      </c>
      <c r="AK4608" t="n">
        <v>21</v>
      </c>
      <c r="AL4608" t="inlineStr">
        <is>
          <t>Miss Glam Damar</t>
        </is>
      </c>
      <c r="AM4608" t="n">
        <v>1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PURBASARI</t>
        </is>
      </c>
      <c r="B4609" s="2">
        <f>"8999225912521"</f>
        <v/>
      </c>
      <c r="C4609" t="inlineStr">
        <is>
          <t>PURBASARI Superfood Body Serum Pineapple &amp; Royal Jelly 180ml</t>
        </is>
      </c>
      <c r="D4609" t="inlineStr">
        <is>
          <t>Miss Glam Damar</t>
        </is>
      </c>
      <c r="E4609" t="n">
        <v>3</v>
      </c>
      <c r="F4609" t="n">
        <v>0.1274</v>
      </c>
      <c r="G4609" t="n">
        <v>1.82</v>
      </c>
      <c r="H4609" t="n">
        <v>3</v>
      </c>
      <c r="I4609" t="n">
        <v>11</v>
      </c>
      <c r="J4609" t="n">
        <v>3</v>
      </c>
      <c r="K4609" t="n">
        <v>0</v>
      </c>
      <c r="L4609" t="n">
        <v>21601</v>
      </c>
      <c r="M4609" t="n">
        <v>27000</v>
      </c>
      <c r="N4609" t="n">
        <v>91</v>
      </c>
      <c r="O4609" t="n">
        <v>0.91</v>
      </c>
      <c r="P4609" t="n">
        <v>1</v>
      </c>
      <c r="Q4609" t="n">
        <v>0.03</v>
      </c>
      <c r="R4609" t="n">
        <v>1</v>
      </c>
      <c r="S4609" t="n">
        <v>3439.8</v>
      </c>
      <c r="T4609" t="n">
        <v>20</v>
      </c>
      <c r="U4609" t="n">
        <v>21</v>
      </c>
      <c r="V4609" t="n">
        <v>30</v>
      </c>
      <c r="W4609" t="n">
        <v>4</v>
      </c>
      <c r="X4609" t="n">
        <v>23.54788069073783</v>
      </c>
      <c r="Y4609" t="n">
        <v>1</v>
      </c>
      <c r="Z4609" t="n">
        <v>1</v>
      </c>
      <c r="AA4609" t="n">
        <v>0</v>
      </c>
      <c r="AB4609" t="n">
        <v>1</v>
      </c>
      <c r="AC4609" t="n">
        <v>3</v>
      </c>
      <c r="AD4609" t="n">
        <v>0</v>
      </c>
      <c r="AE4609" t="n">
        <v>64803</v>
      </c>
      <c r="AF4609" t="n">
        <v>10162</v>
      </c>
      <c r="AG4609" t="n">
        <v>78</v>
      </c>
      <c r="AH4609" t="inlineStr">
        <is>
          <t>PT. GLORIENTA P.H - PPN (PDG)</t>
        </is>
      </c>
      <c r="AI4609" t="n">
        <v>130</v>
      </c>
      <c r="AJ4609" t="inlineStr">
        <is>
          <t>PURBASARI</t>
        </is>
      </c>
      <c r="AK4609" t="n">
        <v>21</v>
      </c>
      <c r="AL4609" t="inlineStr">
        <is>
          <t>Miss Glam Damar</t>
        </is>
      </c>
      <c r="AM4609" t="n">
        <v>1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PURBASARI</t>
        </is>
      </c>
      <c r="B4610" s="2">
        <f>"8999225912514"</f>
        <v/>
      </c>
      <c r="C4610" t="inlineStr">
        <is>
          <t>PURBASARI Superfood Body Serum Watermelon &amp; Moringa 180ml</t>
        </is>
      </c>
      <c r="D4610" t="inlineStr">
        <is>
          <t>Miss Glam Damar</t>
        </is>
      </c>
      <c r="E4610" t="n">
        <v>2</v>
      </c>
      <c r="F4610" t="n">
        <v>0.1092</v>
      </c>
      <c r="G4610" t="n">
        <v>0.91</v>
      </c>
      <c r="H4610" t="n">
        <v>3</v>
      </c>
      <c r="I4610" t="n">
        <v>11</v>
      </c>
      <c r="J4610" t="n">
        <v>3</v>
      </c>
      <c r="K4610" t="n">
        <v>0</v>
      </c>
      <c r="L4610" t="n">
        <v>21601</v>
      </c>
      <c r="M4610" t="n">
        <v>27000</v>
      </c>
      <c r="N4610" t="n">
        <v>91</v>
      </c>
      <c r="O4610" t="n">
        <v>0.91</v>
      </c>
      <c r="P4610" t="n">
        <v>1</v>
      </c>
      <c r="Q4610" t="n">
        <v>0.02</v>
      </c>
      <c r="R4610" t="n">
        <v>1</v>
      </c>
      <c r="S4610" t="n">
        <v>2948.4</v>
      </c>
      <c r="T4610" t="n">
        <v>10</v>
      </c>
      <c r="U4610" t="n">
        <v>11</v>
      </c>
      <c r="V4610" t="n">
        <v>30</v>
      </c>
      <c r="W4610" t="n">
        <v>4</v>
      </c>
      <c r="X4610" t="n">
        <v>18.31501831501831</v>
      </c>
      <c r="Y4610" t="n">
        <v>1</v>
      </c>
      <c r="Z4610" t="n">
        <v>2</v>
      </c>
      <c r="AA4610" t="n">
        <v>0</v>
      </c>
      <c r="AB4610" t="n">
        <v>2</v>
      </c>
      <c r="AC4610" t="n">
        <v>3</v>
      </c>
      <c r="AD4610" t="n">
        <v>0</v>
      </c>
      <c r="AE4610" t="n">
        <v>64803</v>
      </c>
      <c r="AF4610" t="n">
        <v>10162</v>
      </c>
      <c r="AG4610" t="n">
        <v>78</v>
      </c>
      <c r="AH4610" t="inlineStr">
        <is>
          <t>PT. GLORIENTA P.H - PPN (PDG)</t>
        </is>
      </c>
      <c r="AI4610" t="n">
        <v>130</v>
      </c>
      <c r="AJ4610" t="inlineStr">
        <is>
          <t>PURBASARI</t>
        </is>
      </c>
      <c r="AK4610" t="n">
        <v>21</v>
      </c>
      <c r="AL4610" t="inlineStr">
        <is>
          <t>Miss Glam Damar</t>
        </is>
      </c>
      <c r="AM4610" t="n">
        <v>1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PURBASARI</t>
        </is>
      </c>
      <c r="B4611" s="2">
        <f>"8999225912507"</f>
        <v/>
      </c>
      <c r="C4611" t="inlineStr">
        <is>
          <t>PURBASARI Superfood Body Serum Yuzu &amp; Saffron 180ml</t>
        </is>
      </c>
      <c r="D4611" t="inlineStr">
        <is>
          <t>Miss Glam Damar</t>
        </is>
      </c>
      <c r="E4611" t="n">
        <v>0</v>
      </c>
      <c r="F4611" t="n">
        <v>0.2002</v>
      </c>
      <c r="G4611" t="n">
        <v>1.82</v>
      </c>
      <c r="H4611" t="n">
        <v>3</v>
      </c>
      <c r="I4611" t="n">
        <v>11</v>
      </c>
      <c r="J4611" t="n">
        <v>3</v>
      </c>
      <c r="K4611" t="n">
        <v>0</v>
      </c>
      <c r="L4611" t="n">
        <v>21601</v>
      </c>
      <c r="M4611" t="n">
        <v>27000</v>
      </c>
      <c r="N4611" t="n">
        <v>91</v>
      </c>
      <c r="O4611" t="n">
        <v>0.91</v>
      </c>
      <c r="P4611" t="n">
        <v>1</v>
      </c>
      <c r="Q4611" t="n">
        <v>0.11</v>
      </c>
      <c r="R4611" t="n">
        <v>1</v>
      </c>
      <c r="S4611" t="n">
        <v>5405.400000000001</v>
      </c>
      <c r="T4611" t="n">
        <v>20</v>
      </c>
      <c r="U4611" t="n">
        <v>21</v>
      </c>
      <c r="V4611" t="n">
        <v>30</v>
      </c>
      <c r="W4611" t="n">
        <v>7</v>
      </c>
      <c r="X4611" t="n">
        <v>0</v>
      </c>
      <c r="Y4611" t="n">
        <v>1</v>
      </c>
      <c r="Z4611" t="n">
        <v>7</v>
      </c>
      <c r="AA4611" t="n">
        <v>3</v>
      </c>
      <c r="AB4611" t="n">
        <v>4</v>
      </c>
      <c r="AC4611" t="n">
        <v>4</v>
      </c>
      <c r="AD4611" t="n">
        <v>64803</v>
      </c>
      <c r="AE4611" t="n">
        <v>86404</v>
      </c>
      <c r="AF4611" t="n">
        <v>10162</v>
      </c>
      <c r="AG4611" t="n">
        <v>78</v>
      </c>
      <c r="AH4611" t="inlineStr">
        <is>
          <t>PT. GLORIENTA P.H - PPN (PDG)</t>
        </is>
      </c>
      <c r="AI4611" t="n">
        <v>130</v>
      </c>
      <c r="AJ4611" t="inlineStr">
        <is>
          <t>PURBASARI</t>
        </is>
      </c>
      <c r="AK4611" t="n">
        <v>21</v>
      </c>
      <c r="AL4611" t="inlineStr">
        <is>
          <t>Miss Glam Damar</t>
        </is>
      </c>
      <c r="AM4611" t="n">
        <v>1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PURBASARI</t>
        </is>
      </c>
      <c r="B4612" s="2">
        <f>"30100166341"</f>
        <v/>
      </c>
      <c r="C4612" t="inlineStr">
        <is>
          <t>PURBASARI Superfood Shower Scrub Pineapple &amp; Royal Jelly 280ml</t>
        </is>
      </c>
      <c r="D4612" t="inlineStr">
        <is>
          <t>Miss Glam Damar</t>
        </is>
      </c>
      <c r="E4612" t="n">
        <v>5</v>
      </c>
      <c r="F4612" t="n">
        <v>0.0182</v>
      </c>
      <c r="G4612" t="n">
        <v>0.91</v>
      </c>
      <c r="H4612" t="n">
        <v>3</v>
      </c>
      <c r="I4612" t="n">
        <v>11</v>
      </c>
      <c r="J4612" t="n">
        <v>3</v>
      </c>
      <c r="K4612" t="n">
        <v>0</v>
      </c>
      <c r="L4612" t="n">
        <v>32000</v>
      </c>
      <c r="M4612" t="n">
        <v>40000</v>
      </c>
      <c r="N4612" t="n">
        <v>91</v>
      </c>
      <c r="O4612" t="n">
        <v>0.91</v>
      </c>
      <c r="P4612" t="n">
        <v>1</v>
      </c>
      <c r="Q4612" t="n">
        <v>0.02</v>
      </c>
      <c r="R4612" t="n">
        <v>1</v>
      </c>
      <c r="S4612" t="n">
        <v>728</v>
      </c>
      <c r="T4612" t="n">
        <v>10</v>
      </c>
      <c r="U4612" t="n">
        <v>11</v>
      </c>
      <c r="V4612" t="n">
        <v>30</v>
      </c>
      <c r="W4612" t="n">
        <v>1</v>
      </c>
      <c r="X4612" t="n">
        <v>274.7252747252747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10162</v>
      </c>
      <c r="AG4612" t="n">
        <v>78</v>
      </c>
      <c r="AH4612" t="inlineStr">
        <is>
          <t>PT. GLORIENTA P.H - PPN (PDG)</t>
        </is>
      </c>
      <c r="AI4612" t="n">
        <v>130</v>
      </c>
      <c r="AJ4612" t="inlineStr">
        <is>
          <t>PURBASARI</t>
        </is>
      </c>
      <c r="AK4612" t="n">
        <v>21</v>
      </c>
      <c r="AL4612" t="inlineStr">
        <is>
          <t>Miss Glam Damar</t>
        </is>
      </c>
      <c r="AM4612" t="n">
        <v>1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PURBASARI</t>
        </is>
      </c>
      <c r="B4613" s="2">
        <f>"30100166410"</f>
        <v/>
      </c>
      <c r="C4613" t="inlineStr">
        <is>
          <t>PURBASARI Superfood Shower Scrub Watermelon &amp; Moringa 280ml</t>
        </is>
      </c>
      <c r="D4613" t="inlineStr">
        <is>
          <t>Miss Glam Damar</t>
        </is>
      </c>
      <c r="E4613" t="n">
        <v>3</v>
      </c>
      <c r="F4613" t="n">
        <v>0.0182</v>
      </c>
      <c r="G4613" t="n">
        <v>0.91</v>
      </c>
      <c r="H4613" t="n">
        <v>3</v>
      </c>
      <c r="I4613" t="n">
        <v>11</v>
      </c>
      <c r="J4613" t="n">
        <v>3</v>
      </c>
      <c r="K4613" t="n">
        <v>0</v>
      </c>
      <c r="L4613" t="n">
        <v>32000</v>
      </c>
      <c r="M4613" t="n">
        <v>40000</v>
      </c>
      <c r="N4613" t="n">
        <v>91</v>
      </c>
      <c r="O4613" t="n">
        <v>0.91</v>
      </c>
      <c r="P4613" t="n">
        <v>1</v>
      </c>
      <c r="Q4613" t="n">
        <v>0.03</v>
      </c>
      <c r="R4613" t="n">
        <v>1</v>
      </c>
      <c r="S4613" t="n">
        <v>728</v>
      </c>
      <c r="T4613" t="n">
        <v>10</v>
      </c>
      <c r="U4613" t="n">
        <v>11</v>
      </c>
      <c r="V4613" t="n">
        <v>30</v>
      </c>
      <c r="W4613" t="n">
        <v>1</v>
      </c>
      <c r="X4613" t="n">
        <v>164.8351648351648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10162</v>
      </c>
      <c r="AG4613" t="n">
        <v>78</v>
      </c>
      <c r="AH4613" t="inlineStr">
        <is>
          <t>PT. GLORIENTA P.H - PPN (PDG)</t>
        </is>
      </c>
      <c r="AI4613" t="n">
        <v>130</v>
      </c>
      <c r="AJ4613" t="inlineStr">
        <is>
          <t>PURBASARI</t>
        </is>
      </c>
      <c r="AK4613" t="n">
        <v>21</v>
      </c>
      <c r="AL4613" t="inlineStr">
        <is>
          <t>Miss Glam Damar</t>
        </is>
      </c>
      <c r="AM4613" t="n">
        <v>1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PURBASARI</t>
        </is>
      </c>
      <c r="B4614" s="2">
        <f>"30100166539"</f>
        <v/>
      </c>
      <c r="C4614" t="inlineStr">
        <is>
          <t>PURBASARI Superfood Shower Scrub Yuzu &amp; Saffron 280ml</t>
        </is>
      </c>
      <c r="D4614" t="inlineStr">
        <is>
          <t>Miss Glam Damar</t>
        </is>
      </c>
      <c r="E4614" t="n">
        <v>4</v>
      </c>
      <c r="F4614" t="n">
        <v>0.0182</v>
      </c>
      <c r="G4614" t="n">
        <v>0.91</v>
      </c>
      <c r="H4614" t="n">
        <v>3</v>
      </c>
      <c r="I4614" t="n">
        <v>11</v>
      </c>
      <c r="J4614" t="n">
        <v>3</v>
      </c>
      <c r="K4614" t="n">
        <v>0</v>
      </c>
      <c r="L4614" t="n">
        <v>32000</v>
      </c>
      <c r="M4614" t="n">
        <v>40000</v>
      </c>
      <c r="N4614" t="n">
        <v>91</v>
      </c>
      <c r="O4614" t="n">
        <v>0.91</v>
      </c>
      <c r="P4614" t="n">
        <v>1</v>
      </c>
      <c r="Q4614" t="n">
        <v>0.02</v>
      </c>
      <c r="R4614" t="n">
        <v>1</v>
      </c>
      <c r="S4614" t="n">
        <v>728</v>
      </c>
      <c r="T4614" t="n">
        <v>10</v>
      </c>
      <c r="U4614" t="n">
        <v>11</v>
      </c>
      <c r="V4614" t="n">
        <v>30</v>
      </c>
      <c r="W4614" t="n">
        <v>1</v>
      </c>
      <c r="X4614" t="n">
        <v>219.7802197802198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10162</v>
      </c>
      <c r="AG4614" t="n">
        <v>78</v>
      </c>
      <c r="AH4614" t="inlineStr">
        <is>
          <t>PT. GLORIENTA P.H - PPN (PDG)</t>
        </is>
      </c>
      <c r="AI4614" t="n">
        <v>130</v>
      </c>
      <c r="AJ4614" t="inlineStr">
        <is>
          <t>PURBASARI</t>
        </is>
      </c>
      <c r="AK4614" t="n">
        <v>21</v>
      </c>
      <c r="AL4614" t="inlineStr">
        <is>
          <t>Miss Glam Damar</t>
        </is>
      </c>
      <c r="AM4614" t="n">
        <v>1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PURBASARI</t>
        </is>
      </c>
      <c r="B4615" s="2">
        <f>"8999225911258"</f>
        <v/>
      </c>
      <c r="C4615" t="inlineStr">
        <is>
          <t>PURBASARI White Glow Body Serum 3x Active Whitening 180ml</t>
        </is>
      </c>
      <c r="D4615" t="inlineStr">
        <is>
          <t>Miss Glam Damar</t>
        </is>
      </c>
      <c r="E4615" t="n">
        <v>39</v>
      </c>
      <c r="F4615" t="n">
        <v>3.2214</v>
      </c>
      <c r="G4615" t="n">
        <v>8.19</v>
      </c>
      <c r="H4615" t="n">
        <v>3</v>
      </c>
      <c r="I4615" t="n">
        <v>11</v>
      </c>
      <c r="J4615" t="n">
        <v>3</v>
      </c>
      <c r="K4615" t="n">
        <v>0</v>
      </c>
      <c r="L4615" t="n">
        <v>21601</v>
      </c>
      <c r="M4615" t="n">
        <v>27500</v>
      </c>
      <c r="N4615" t="n">
        <v>91</v>
      </c>
      <c r="O4615" t="n">
        <v>0.91</v>
      </c>
      <c r="P4615" t="n">
        <v>1</v>
      </c>
      <c r="Q4615" t="n">
        <v>1.19</v>
      </c>
      <c r="R4615" t="n">
        <v>5</v>
      </c>
      <c r="S4615" t="n">
        <v>88588.5</v>
      </c>
      <c r="T4615" t="n">
        <v>81</v>
      </c>
      <c r="U4615" t="n">
        <v>91</v>
      </c>
      <c r="V4615" t="n">
        <v>30</v>
      </c>
      <c r="W4615" t="n">
        <v>97</v>
      </c>
      <c r="X4615" t="n">
        <v>12.10653753026634</v>
      </c>
      <c r="Y4615" t="n">
        <v>1</v>
      </c>
      <c r="Z4615" t="n">
        <v>58</v>
      </c>
      <c r="AA4615" t="n">
        <v>0</v>
      </c>
      <c r="AB4615" t="n">
        <v>58</v>
      </c>
      <c r="AC4615" t="n">
        <v>58</v>
      </c>
      <c r="AD4615" t="n">
        <v>0</v>
      </c>
      <c r="AE4615" t="n">
        <v>1252858</v>
      </c>
      <c r="AF4615" t="n">
        <v>10162</v>
      </c>
      <c r="AG4615" t="n">
        <v>78</v>
      </c>
      <c r="AH4615" t="inlineStr">
        <is>
          <t>PT. GLORIENTA P.H - PPN (PDG)</t>
        </is>
      </c>
      <c r="AI4615" t="n">
        <v>130</v>
      </c>
      <c r="AJ4615" t="inlineStr">
        <is>
          <t>PURBASARI</t>
        </is>
      </c>
      <c r="AK4615" t="n">
        <v>21</v>
      </c>
      <c r="AL4615" t="inlineStr">
        <is>
          <t>Miss Glam Damar</t>
        </is>
      </c>
      <c r="AM4615" t="n">
        <v>1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PURE PAWPAW</t>
        </is>
      </c>
      <c r="B4616" s="2">
        <f>"9329401000350"</f>
        <v/>
      </c>
      <c r="C4616" t="inlineStr">
        <is>
          <t>PURE PAWPAW Ointment Grape 25gr</t>
        </is>
      </c>
      <c r="D4616" t="inlineStr">
        <is>
          <t>Miss Glam Damar</t>
        </is>
      </c>
      <c r="E4616" t="n">
        <v>3</v>
      </c>
      <c r="F4616" t="n">
        <v>0.1729</v>
      </c>
      <c r="G4616" t="n">
        <v>1.82</v>
      </c>
      <c r="H4616" t="n">
        <v>2</v>
      </c>
      <c r="I4616" t="n">
        <v>11</v>
      </c>
      <c r="J4616" t="n">
        <v>3</v>
      </c>
      <c r="K4616" t="n">
        <v>0</v>
      </c>
      <c r="L4616" t="n">
        <v>62010</v>
      </c>
      <c r="M4616" t="n">
        <v>75000</v>
      </c>
      <c r="N4616" t="n">
        <v>91</v>
      </c>
      <c r="O4616" t="n">
        <v>0.91</v>
      </c>
      <c r="P4616" t="n">
        <v>1</v>
      </c>
      <c r="Q4616" t="n">
        <v>0.1</v>
      </c>
      <c r="R4616" t="n">
        <v>1</v>
      </c>
      <c r="S4616" t="n">
        <v>12967.5</v>
      </c>
      <c r="T4616" t="n">
        <v>20</v>
      </c>
      <c r="U4616" t="n">
        <v>21</v>
      </c>
      <c r="V4616" t="n">
        <v>30</v>
      </c>
      <c r="W4616" t="n">
        <v>6</v>
      </c>
      <c r="X4616" t="n">
        <v>17.35106998264893</v>
      </c>
      <c r="Y4616" t="n">
        <v>1</v>
      </c>
      <c r="Z4616" t="n">
        <v>3</v>
      </c>
      <c r="AA4616" t="n">
        <v>0</v>
      </c>
      <c r="AB4616" t="n">
        <v>3</v>
      </c>
      <c r="AC4616" t="n">
        <v>3</v>
      </c>
      <c r="AD4616" t="n">
        <v>0</v>
      </c>
      <c r="AE4616" t="n">
        <v>186030</v>
      </c>
      <c r="AF4616" t="n">
        <v>12376</v>
      </c>
      <c r="AG4616" t="n">
        <v>92</v>
      </c>
      <c r="AH4616" t="inlineStr">
        <is>
          <t>PT. SAI (PDG)</t>
        </is>
      </c>
      <c r="AI4616" t="n">
        <v>381</v>
      </c>
      <c r="AJ4616" t="inlineStr">
        <is>
          <t>PURE PAWPAW</t>
        </is>
      </c>
      <c r="AK4616" t="n">
        <v>21</v>
      </c>
      <c r="AL4616" t="inlineStr">
        <is>
          <t>Miss Glam Damar</t>
        </is>
      </c>
      <c r="AM4616" t="n">
        <v>1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PURE PAWPAW</t>
        </is>
      </c>
      <c r="B4617" s="2">
        <f>"9329401000305"</f>
        <v/>
      </c>
      <c r="C4617" t="inlineStr">
        <is>
          <t>PURE PAWPAW Ointment Original 25gr</t>
        </is>
      </c>
      <c r="D4617" t="inlineStr">
        <is>
          <t>Miss Glam Damar</t>
        </is>
      </c>
      <c r="E4617" t="n">
        <v>11</v>
      </c>
      <c r="F4617" t="n">
        <v>0.7280000000000001</v>
      </c>
      <c r="G4617" t="n">
        <v>2.73</v>
      </c>
      <c r="H4617" t="n">
        <v>2</v>
      </c>
      <c r="I4617" t="n">
        <v>11</v>
      </c>
      <c r="J4617" t="n">
        <v>3</v>
      </c>
      <c r="K4617" t="n">
        <v>0</v>
      </c>
      <c r="L4617" t="n">
        <v>62556</v>
      </c>
      <c r="M4617" t="n">
        <v>75000</v>
      </c>
      <c r="N4617" t="n">
        <v>91</v>
      </c>
      <c r="O4617" t="n">
        <v>0.91</v>
      </c>
      <c r="P4617" t="n">
        <v>1</v>
      </c>
      <c r="Q4617" t="n">
        <v>0.41</v>
      </c>
      <c r="R4617" t="n">
        <v>2</v>
      </c>
      <c r="S4617" t="n">
        <v>54600.00000000001</v>
      </c>
      <c r="T4617" t="n">
        <v>29</v>
      </c>
      <c r="U4617" t="n">
        <v>31</v>
      </c>
      <c r="V4617" t="n">
        <v>30</v>
      </c>
      <c r="W4617" t="n">
        <v>22</v>
      </c>
      <c r="X4617" t="n">
        <v>15.10989010989011</v>
      </c>
      <c r="Y4617" t="n">
        <v>1</v>
      </c>
      <c r="Z4617" t="n">
        <v>11</v>
      </c>
      <c r="AA4617" t="n">
        <v>0</v>
      </c>
      <c r="AB4617" t="n">
        <v>11</v>
      </c>
      <c r="AC4617" t="n">
        <v>11</v>
      </c>
      <c r="AD4617" t="n">
        <v>0</v>
      </c>
      <c r="AE4617" t="n">
        <v>688116</v>
      </c>
      <c r="AF4617" t="n">
        <v>12376</v>
      </c>
      <c r="AG4617" t="n">
        <v>92</v>
      </c>
      <c r="AH4617" t="inlineStr">
        <is>
          <t>PT. SAI (PDG)</t>
        </is>
      </c>
      <c r="AI4617" t="n">
        <v>381</v>
      </c>
      <c r="AJ4617" t="inlineStr">
        <is>
          <t>PURE PAWPAW</t>
        </is>
      </c>
      <c r="AK4617" t="n">
        <v>21</v>
      </c>
      <c r="AL4617" t="inlineStr">
        <is>
          <t>Miss Glam Damar</t>
        </is>
      </c>
      <c r="AM4617" t="n">
        <v>1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PURE PAWPAW</t>
        </is>
      </c>
      <c r="B4618" s="2">
        <f>"9329401000336"</f>
        <v/>
      </c>
      <c r="C4618" t="inlineStr">
        <is>
          <t>PURE PAWPAW Ointment Passion Fruit 25gr</t>
        </is>
      </c>
      <c r="D4618" t="inlineStr">
        <is>
          <t>Miss Glam Damar</t>
        </is>
      </c>
      <c r="E4618" t="n">
        <v>3</v>
      </c>
      <c r="F4618" t="n">
        <v>0.1274</v>
      </c>
      <c r="G4618" t="n">
        <v>0.91</v>
      </c>
      <c r="H4618" t="n">
        <v>2</v>
      </c>
      <c r="I4618" t="n">
        <v>11</v>
      </c>
      <c r="J4618" t="n">
        <v>3</v>
      </c>
      <c r="K4618" t="n">
        <v>0</v>
      </c>
      <c r="L4618" t="n">
        <v>56373</v>
      </c>
      <c r="M4618" t="n">
        <v>75000</v>
      </c>
      <c r="N4618" t="n">
        <v>91</v>
      </c>
      <c r="O4618" t="n">
        <v>0.91</v>
      </c>
      <c r="P4618" t="n">
        <v>1</v>
      </c>
      <c r="Q4618" t="n">
        <v>0.15</v>
      </c>
      <c r="R4618" t="n">
        <v>1</v>
      </c>
      <c r="S4618" t="n">
        <v>9555.000000000002</v>
      </c>
      <c r="T4618" t="n">
        <v>10</v>
      </c>
      <c r="U4618" t="n">
        <v>11</v>
      </c>
      <c r="V4618" t="n">
        <v>30</v>
      </c>
      <c r="W4618" t="n">
        <v>4</v>
      </c>
      <c r="X4618" t="n">
        <v>23.54788069073783</v>
      </c>
      <c r="Y4618" t="n">
        <v>1</v>
      </c>
      <c r="Z4618" t="n">
        <v>1</v>
      </c>
      <c r="AA4618" t="n">
        <v>0</v>
      </c>
      <c r="AB4618" t="n">
        <v>1</v>
      </c>
      <c r="AC4618" t="n">
        <v>3</v>
      </c>
      <c r="AD4618" t="n">
        <v>0</v>
      </c>
      <c r="AE4618" t="n">
        <v>169119</v>
      </c>
      <c r="AF4618" t="n">
        <v>12376</v>
      </c>
      <c r="AG4618" t="n">
        <v>92</v>
      </c>
      <c r="AH4618" t="inlineStr">
        <is>
          <t>PT. SAI (PDG)</t>
        </is>
      </c>
      <c r="AI4618" t="n">
        <v>381</v>
      </c>
      <c r="AJ4618" t="inlineStr">
        <is>
          <t>PURE PAWPAW</t>
        </is>
      </c>
      <c r="AK4618" t="n">
        <v>21</v>
      </c>
      <c r="AL4618" t="inlineStr">
        <is>
          <t>Miss Glam Damar</t>
        </is>
      </c>
      <c r="AM4618" t="n">
        <v>1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PURE PAWPAW</t>
        </is>
      </c>
      <c r="B4619" s="2">
        <f>"9329401000329"</f>
        <v/>
      </c>
      <c r="C4619" t="inlineStr">
        <is>
          <t>PURE PAWPAW Ointment Strawberry 25gr</t>
        </is>
      </c>
      <c r="D4619" t="inlineStr">
        <is>
          <t>Miss Glam Damar</t>
        </is>
      </c>
      <c r="E4619" t="n">
        <v>14</v>
      </c>
      <c r="F4619" t="n">
        <v>1.1375</v>
      </c>
      <c r="G4619" t="n">
        <v>5.46</v>
      </c>
      <c r="H4619" t="n">
        <v>2</v>
      </c>
      <c r="I4619" t="n">
        <v>11</v>
      </c>
      <c r="J4619" t="n">
        <v>3</v>
      </c>
      <c r="K4619" t="n">
        <v>0</v>
      </c>
      <c r="L4619" t="n">
        <v>62475</v>
      </c>
      <c r="M4619" t="n">
        <v>75000</v>
      </c>
      <c r="N4619" t="n">
        <v>91</v>
      </c>
      <c r="O4619" t="n">
        <v>0.91</v>
      </c>
      <c r="P4619" t="n">
        <v>1</v>
      </c>
      <c r="Q4619" t="n">
        <v>1.19</v>
      </c>
      <c r="R4619" t="n">
        <v>7</v>
      </c>
      <c r="S4619" t="n">
        <v>85312.5</v>
      </c>
      <c r="T4619" t="n">
        <v>58</v>
      </c>
      <c r="U4619" t="n">
        <v>61</v>
      </c>
      <c r="V4619" t="n">
        <v>30</v>
      </c>
      <c r="W4619" t="n">
        <v>35</v>
      </c>
      <c r="X4619" t="n">
        <v>12.30769230769231</v>
      </c>
      <c r="Y4619" t="n">
        <v>1</v>
      </c>
      <c r="Z4619" t="n">
        <v>21</v>
      </c>
      <c r="AA4619" t="n">
        <v>0</v>
      </c>
      <c r="AB4619" t="n">
        <v>21</v>
      </c>
      <c r="AC4619" t="n">
        <v>21</v>
      </c>
      <c r="AD4619" t="n">
        <v>0</v>
      </c>
      <c r="AE4619" t="n">
        <v>1311975</v>
      </c>
      <c r="AF4619" t="n">
        <v>12376</v>
      </c>
      <c r="AG4619" t="n">
        <v>92</v>
      </c>
      <c r="AH4619" t="inlineStr">
        <is>
          <t>PT. SAI (PDG)</t>
        </is>
      </c>
      <c r="AI4619" t="n">
        <v>381</v>
      </c>
      <c r="AJ4619" t="inlineStr">
        <is>
          <t>PURE PAWPAW</t>
        </is>
      </c>
      <c r="AK4619" t="n">
        <v>21</v>
      </c>
      <c r="AL4619" t="inlineStr">
        <is>
          <t>Miss Glam Damar</t>
        </is>
      </c>
      <c r="AM4619" t="n">
        <v>1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PURE PAWPAW</t>
        </is>
      </c>
      <c r="B4620" s="2">
        <f>"9329401000343"</f>
        <v/>
      </c>
      <c r="C4620" t="inlineStr">
        <is>
          <t>PURE PAWPAW Ointment Watermelon 25gr</t>
        </is>
      </c>
      <c r="D4620" t="inlineStr">
        <is>
          <t>Miss Glam Damar</t>
        </is>
      </c>
      <c r="E4620" t="n">
        <v>6</v>
      </c>
      <c r="F4620" t="n">
        <v>0.0182</v>
      </c>
      <c r="G4620" t="n">
        <v>0.91</v>
      </c>
      <c r="H4620" t="n">
        <v>2</v>
      </c>
      <c r="I4620" t="n">
        <v>11</v>
      </c>
      <c r="J4620" t="n">
        <v>3</v>
      </c>
      <c r="K4620" t="n">
        <v>0</v>
      </c>
      <c r="L4620" t="n">
        <v>62636</v>
      </c>
      <c r="M4620" t="n">
        <v>75000</v>
      </c>
      <c r="N4620" t="n">
        <v>91</v>
      </c>
      <c r="O4620" t="n">
        <v>0.91</v>
      </c>
      <c r="P4620" t="n">
        <v>1</v>
      </c>
      <c r="Q4620" t="n">
        <v>0.22</v>
      </c>
      <c r="R4620" t="n">
        <v>3</v>
      </c>
      <c r="S4620" t="n">
        <v>1365</v>
      </c>
      <c r="T4620" t="n">
        <v>10</v>
      </c>
      <c r="U4620" t="n">
        <v>11</v>
      </c>
      <c r="V4620" t="n">
        <v>30</v>
      </c>
      <c r="W4620" t="n">
        <v>1</v>
      </c>
      <c r="X4620" t="n">
        <v>329.6703296703296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12376</v>
      </c>
      <c r="AG4620" t="n">
        <v>92</v>
      </c>
      <c r="AH4620" t="inlineStr">
        <is>
          <t>PT. SAI (PDG)</t>
        </is>
      </c>
      <c r="AI4620" t="n">
        <v>381</v>
      </c>
      <c r="AJ4620" t="inlineStr">
        <is>
          <t>PURE PAWPAW</t>
        </is>
      </c>
      <c r="AK4620" t="n">
        <v>21</v>
      </c>
      <c r="AL4620" t="inlineStr">
        <is>
          <t>Miss Glam Damar</t>
        </is>
      </c>
      <c r="AM4620" t="n">
        <v>1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PUTRI</t>
        </is>
      </c>
      <c r="B4621" s="2">
        <f>"40200407454"</f>
        <v/>
      </c>
      <c r="C4621" t="inlineStr">
        <is>
          <t>PUTRI Hair Tonic (gingseng) 450ml</t>
        </is>
      </c>
      <c r="D4621" t="inlineStr">
        <is>
          <t>Miss Glam Damar</t>
        </is>
      </c>
      <c r="E4621" t="n">
        <v>12</v>
      </c>
      <c r="F4621" t="n">
        <v>0.3549</v>
      </c>
      <c r="G4621" t="n">
        <v>2.73</v>
      </c>
      <c r="H4621" t="n">
        <v>2</v>
      </c>
      <c r="I4621" t="n">
        <v>6</v>
      </c>
      <c r="J4621" t="n">
        <v>1</v>
      </c>
      <c r="K4621" t="n">
        <v>0</v>
      </c>
      <c r="L4621" t="n">
        <v>36549</v>
      </c>
      <c r="M4621" t="n">
        <v>43000</v>
      </c>
      <c r="N4621" t="n">
        <v>91</v>
      </c>
      <c r="O4621" t="n">
        <v>0.91</v>
      </c>
      <c r="P4621" t="n">
        <v>1</v>
      </c>
      <c r="Q4621" t="n">
        <v>0.41</v>
      </c>
      <c r="R4621" t="n">
        <v>2</v>
      </c>
      <c r="S4621" t="n">
        <v>15260.7</v>
      </c>
      <c r="T4621" t="n">
        <v>16</v>
      </c>
      <c r="U4621" t="n">
        <v>17</v>
      </c>
      <c r="V4621" t="n">
        <v>30</v>
      </c>
      <c r="W4621" t="n">
        <v>11</v>
      </c>
      <c r="X4621" t="n">
        <v>33.81234150464919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11719</v>
      </c>
      <c r="AG4621" t="n">
        <v>63</v>
      </c>
      <c r="AH4621" t="inlineStr">
        <is>
          <t>PT. PARAMA GLOBAL INSPIRA - PPN (PDG)</t>
        </is>
      </c>
      <c r="AI4621" t="n">
        <v>296</v>
      </c>
      <c r="AJ4621" t="inlineStr">
        <is>
          <t>PUTRI</t>
        </is>
      </c>
      <c r="AK4621" t="n">
        <v>21</v>
      </c>
      <c r="AL4621" t="inlineStr">
        <is>
          <t>Miss Glam Damar</t>
        </is>
      </c>
      <c r="AM4621" t="n">
        <v>1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PUTRI</t>
        </is>
      </c>
      <c r="B4622" s="2">
        <f>"40200407534"</f>
        <v/>
      </c>
      <c r="C4622" t="inlineStr">
        <is>
          <t>PUTRI Hair Tonic (normal to oily) 450ml</t>
        </is>
      </c>
      <c r="D4622" t="inlineStr">
        <is>
          <t>Miss Glam Damar</t>
        </is>
      </c>
      <c r="E4622" t="n">
        <v>8</v>
      </c>
      <c r="F4622" t="n">
        <v>0.1092</v>
      </c>
      <c r="G4622" t="n">
        <v>0.91</v>
      </c>
      <c r="H4622" t="n">
        <v>2</v>
      </c>
      <c r="I4622" t="n">
        <v>6</v>
      </c>
      <c r="J4622" t="n">
        <v>1</v>
      </c>
      <c r="K4622" t="n">
        <v>0</v>
      </c>
      <c r="L4622" t="n">
        <v>36543</v>
      </c>
      <c r="M4622" t="n">
        <v>43000</v>
      </c>
      <c r="N4622" t="n">
        <v>91</v>
      </c>
      <c r="O4622" t="n">
        <v>0.91</v>
      </c>
      <c r="P4622" t="n">
        <v>1</v>
      </c>
      <c r="Q4622" t="n">
        <v>0.22</v>
      </c>
      <c r="R4622" t="n">
        <v>2</v>
      </c>
      <c r="S4622" t="n">
        <v>4695.6</v>
      </c>
      <c r="T4622" t="n">
        <v>6</v>
      </c>
      <c r="U4622" t="n">
        <v>7</v>
      </c>
      <c r="V4622" t="n">
        <v>30</v>
      </c>
      <c r="W4622" t="n">
        <v>4</v>
      </c>
      <c r="X4622" t="n">
        <v>73.26007326007326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11719</v>
      </c>
      <c r="AG4622" t="n">
        <v>63</v>
      </c>
      <c r="AH4622" t="inlineStr">
        <is>
          <t>PT. PARAMA GLOBAL INSPIRA - PPN (PDG)</t>
        </is>
      </c>
      <c r="AI4622" t="n">
        <v>296</v>
      </c>
      <c r="AJ4622" t="inlineStr">
        <is>
          <t>PUTRI</t>
        </is>
      </c>
      <c r="AK4622" t="n">
        <v>21</v>
      </c>
      <c r="AL4622" t="inlineStr">
        <is>
          <t>Miss Glam Damar</t>
        </is>
      </c>
      <c r="AM4622" t="n">
        <v>1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PUTRI</t>
        </is>
      </c>
      <c r="B4623" s="2">
        <f>"40200407306"</f>
        <v/>
      </c>
      <c r="C4623" t="inlineStr">
        <is>
          <t>PUTRI Hair Tonic (normal)450ml</t>
        </is>
      </c>
      <c r="D4623" t="inlineStr">
        <is>
          <t>Miss Glam Damar</t>
        </is>
      </c>
      <c r="E4623" t="n">
        <v>4</v>
      </c>
      <c r="F4623" t="n">
        <v>0.07000000000000001</v>
      </c>
      <c r="G4623" t="n">
        <v>1</v>
      </c>
      <c r="H4623" t="n">
        <v>2</v>
      </c>
      <c r="I4623" t="n">
        <v>6</v>
      </c>
      <c r="J4623" t="n">
        <v>1</v>
      </c>
      <c r="K4623" t="n">
        <v>0</v>
      </c>
      <c r="L4623" t="n">
        <v>36549</v>
      </c>
      <c r="M4623" t="n">
        <v>43000</v>
      </c>
      <c r="N4623" t="n">
        <v>91</v>
      </c>
      <c r="O4623" t="n">
        <v>0.91</v>
      </c>
      <c r="P4623" t="n">
        <v>0</v>
      </c>
      <c r="Q4623" t="n">
        <v>0.07000000000000001</v>
      </c>
      <c r="R4623" t="n">
        <v>1</v>
      </c>
      <c r="S4623" t="n">
        <v>3010</v>
      </c>
      <c r="T4623" t="n">
        <v>6</v>
      </c>
      <c r="U4623" t="n">
        <v>7</v>
      </c>
      <c r="V4623" t="n">
        <v>30</v>
      </c>
      <c r="W4623" t="n">
        <v>3</v>
      </c>
      <c r="X4623" t="n">
        <v>57.14285714285714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11719</v>
      </c>
      <c r="AG4623" t="n">
        <v>63</v>
      </c>
      <c r="AH4623" t="inlineStr">
        <is>
          <t>PT. PARAMA GLOBAL INSPIRA - PPN (PDG)</t>
        </is>
      </c>
      <c r="AI4623" t="n">
        <v>296</v>
      </c>
      <c r="AJ4623" t="inlineStr">
        <is>
          <t>PUTRI</t>
        </is>
      </c>
      <c r="AK4623" t="n">
        <v>21</v>
      </c>
      <c r="AL4623" t="inlineStr">
        <is>
          <t>Miss Glam Damar</t>
        </is>
      </c>
      <c r="AM4623" t="n">
        <v>1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PUTRI</t>
        </is>
      </c>
      <c r="B4624" s="2">
        <f>"8993137262002"</f>
        <v/>
      </c>
      <c r="C4624" t="inlineStr">
        <is>
          <t>PUTRI Hair Tonic Ginseng 200ml</t>
        </is>
      </c>
      <c r="D4624" t="inlineStr">
        <is>
          <t>Miss Glam Damar</t>
        </is>
      </c>
      <c r="E4624" t="n">
        <v>78</v>
      </c>
      <c r="F4624" t="n">
        <v>3.1759</v>
      </c>
      <c r="G4624" t="n">
        <v>9.1</v>
      </c>
      <c r="H4624" t="n">
        <v>2</v>
      </c>
      <c r="I4624" t="n">
        <v>6</v>
      </c>
      <c r="J4624" t="n">
        <v>3</v>
      </c>
      <c r="K4624" t="n">
        <v>0</v>
      </c>
      <c r="L4624" t="n">
        <v>25074</v>
      </c>
      <c r="M4624" t="n">
        <v>29500</v>
      </c>
      <c r="N4624" t="n">
        <v>91</v>
      </c>
      <c r="O4624" t="n">
        <v>0.91</v>
      </c>
      <c r="P4624" t="n">
        <v>1</v>
      </c>
      <c r="Q4624" t="n">
        <v>3.39</v>
      </c>
      <c r="R4624" t="n">
        <v>8</v>
      </c>
      <c r="S4624" t="n">
        <v>93689.05000000002</v>
      </c>
      <c r="T4624" t="n">
        <v>49</v>
      </c>
      <c r="U4624" t="n">
        <v>56</v>
      </c>
      <c r="V4624" t="n">
        <v>30</v>
      </c>
      <c r="W4624" t="n">
        <v>96</v>
      </c>
      <c r="X4624" t="n">
        <v>24.55996725337699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11719</v>
      </c>
      <c r="AG4624" t="n">
        <v>63</v>
      </c>
      <c r="AH4624" t="inlineStr">
        <is>
          <t>PT. PARAMA GLOBAL INSPIRA - PPN (PDG)</t>
        </is>
      </c>
      <c r="AI4624" t="n">
        <v>296</v>
      </c>
      <c r="AJ4624" t="inlineStr">
        <is>
          <t>PUTRI</t>
        </is>
      </c>
      <c r="AK4624" t="n">
        <v>21</v>
      </c>
      <c r="AL4624" t="inlineStr">
        <is>
          <t>Miss Glam Damar</t>
        </is>
      </c>
      <c r="AM4624" t="n">
        <v>1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PUTRI</t>
        </is>
      </c>
      <c r="B4625" s="2">
        <f>"8993137252003"</f>
        <v/>
      </c>
      <c r="C4625" t="inlineStr">
        <is>
          <t>PUTRI Hair Tonic Normal 200ml</t>
        </is>
      </c>
      <c r="D4625" t="inlineStr">
        <is>
          <t>Miss Glam Damar</t>
        </is>
      </c>
      <c r="E4625" t="n">
        <v>5</v>
      </c>
      <c r="F4625" t="n">
        <v>0.3367</v>
      </c>
      <c r="G4625" t="n">
        <v>1.82</v>
      </c>
      <c r="H4625" t="n">
        <v>2</v>
      </c>
      <c r="I4625" t="n">
        <v>6</v>
      </c>
      <c r="J4625" t="n">
        <v>3</v>
      </c>
      <c r="K4625" t="n">
        <v>0</v>
      </c>
      <c r="L4625" t="n">
        <v>25037</v>
      </c>
      <c r="M4625" t="n">
        <v>28500</v>
      </c>
      <c r="N4625" t="n">
        <v>91</v>
      </c>
      <c r="O4625" t="n">
        <v>0.91</v>
      </c>
      <c r="P4625" t="n">
        <v>1</v>
      </c>
      <c r="Q4625" t="n">
        <v>0.36</v>
      </c>
      <c r="R4625" t="n">
        <v>2</v>
      </c>
      <c r="S4625" t="n">
        <v>9595.950000000001</v>
      </c>
      <c r="T4625" t="n">
        <v>11</v>
      </c>
      <c r="U4625" t="n">
        <v>12</v>
      </c>
      <c r="V4625" t="n">
        <v>30</v>
      </c>
      <c r="W4625" t="n">
        <v>11</v>
      </c>
      <c r="X4625" t="n">
        <v>14.85001485001485</v>
      </c>
      <c r="Y4625" t="n">
        <v>1</v>
      </c>
      <c r="Z4625" t="n">
        <v>6</v>
      </c>
      <c r="AA4625" t="n">
        <v>0</v>
      </c>
      <c r="AB4625" t="n">
        <v>6</v>
      </c>
      <c r="AC4625" t="n">
        <v>6</v>
      </c>
      <c r="AD4625" t="n">
        <v>0</v>
      </c>
      <c r="AE4625" t="n">
        <v>150222</v>
      </c>
      <c r="AF4625" t="n">
        <v>11719</v>
      </c>
      <c r="AG4625" t="n">
        <v>63</v>
      </c>
      <c r="AH4625" t="inlineStr">
        <is>
          <t>PT. PARAMA GLOBAL INSPIRA - PPN (PDG)</t>
        </is>
      </c>
      <c r="AI4625" t="n">
        <v>296</v>
      </c>
      <c r="AJ4625" t="inlineStr">
        <is>
          <t>PUTRI</t>
        </is>
      </c>
      <c r="AK4625" t="n">
        <v>21</v>
      </c>
      <c r="AL4625" t="inlineStr">
        <is>
          <t>Miss Glam Damar</t>
        </is>
      </c>
      <c r="AM4625" t="n">
        <v>1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PUTRI</t>
        </is>
      </c>
      <c r="B4626" s="2">
        <f>"8993137253024"</f>
        <v/>
      </c>
      <c r="C4626" t="inlineStr">
        <is>
          <t>PUTRI Hair Tonic Normal To Oily 200ml</t>
        </is>
      </c>
      <c r="D4626" t="inlineStr">
        <is>
          <t>Miss Glam Damar</t>
        </is>
      </c>
      <c r="E4626" t="n">
        <v>18</v>
      </c>
      <c r="F4626" t="n">
        <v>1.0374</v>
      </c>
      <c r="G4626" t="n">
        <v>3.64</v>
      </c>
      <c r="H4626" t="n">
        <v>2</v>
      </c>
      <c r="I4626" t="n">
        <v>6</v>
      </c>
      <c r="J4626" t="n">
        <v>3</v>
      </c>
      <c r="K4626" t="n">
        <v>0</v>
      </c>
      <c r="L4626" t="n">
        <v>25075</v>
      </c>
      <c r="M4626" t="n">
        <v>28500</v>
      </c>
      <c r="N4626" t="n">
        <v>91</v>
      </c>
      <c r="O4626" t="n">
        <v>0.91</v>
      </c>
      <c r="P4626" t="n">
        <v>1</v>
      </c>
      <c r="Q4626" t="n">
        <v>0.85</v>
      </c>
      <c r="R4626" t="n">
        <v>4</v>
      </c>
      <c r="S4626" t="n">
        <v>29565.9</v>
      </c>
      <c r="T4626" t="n">
        <v>20</v>
      </c>
      <c r="U4626" t="n">
        <v>23</v>
      </c>
      <c r="V4626" t="n">
        <v>30</v>
      </c>
      <c r="W4626" t="n">
        <v>32</v>
      </c>
      <c r="X4626" t="n">
        <v>17.35106998264893</v>
      </c>
      <c r="Y4626" t="n">
        <v>1</v>
      </c>
      <c r="Z4626" t="n">
        <v>14</v>
      </c>
      <c r="AA4626" t="n">
        <v>0</v>
      </c>
      <c r="AB4626" t="n">
        <v>14</v>
      </c>
      <c r="AC4626" t="n">
        <v>14</v>
      </c>
      <c r="AD4626" t="n">
        <v>0</v>
      </c>
      <c r="AE4626" t="n">
        <v>351050</v>
      </c>
      <c r="AF4626" t="n">
        <v>11719</v>
      </c>
      <c r="AG4626" t="n">
        <v>63</v>
      </c>
      <c r="AH4626" t="inlineStr">
        <is>
          <t>PT. PARAMA GLOBAL INSPIRA - PPN (PDG)</t>
        </is>
      </c>
      <c r="AI4626" t="n">
        <v>296</v>
      </c>
      <c r="AJ4626" t="inlineStr">
        <is>
          <t>PUTRI</t>
        </is>
      </c>
      <c r="AK4626" t="n">
        <v>21</v>
      </c>
      <c r="AL4626" t="inlineStr">
        <is>
          <t>Miss Glam Damar</t>
        </is>
      </c>
      <c r="AM4626" t="n">
        <v>1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PUTRI</t>
        </is>
      </c>
      <c r="B4627" s="2">
        <f>"8993137172004"</f>
        <v/>
      </c>
      <c r="C4627" t="inlineStr">
        <is>
          <t>PUTRI Pure Clean Moisturizing Conditioner Apple 200ml</t>
        </is>
      </c>
      <c r="D4627" t="inlineStr">
        <is>
          <t>Miss Glam Damar</t>
        </is>
      </c>
      <c r="E4627" t="n">
        <v>17</v>
      </c>
      <c r="F4627" t="n">
        <v>0.3094</v>
      </c>
      <c r="G4627" t="n">
        <v>2.73</v>
      </c>
      <c r="H4627" t="n">
        <v>2</v>
      </c>
      <c r="I4627" t="n">
        <v>6</v>
      </c>
      <c r="J4627" t="n">
        <v>3</v>
      </c>
      <c r="K4627" t="n">
        <v>0</v>
      </c>
      <c r="L4627" t="n">
        <v>14874</v>
      </c>
      <c r="M4627" t="n">
        <v>17500</v>
      </c>
      <c r="N4627" t="n">
        <v>91</v>
      </c>
      <c r="O4627" t="n">
        <v>0.91</v>
      </c>
      <c r="P4627" t="n">
        <v>1</v>
      </c>
      <c r="Q4627" t="n">
        <v>0.36</v>
      </c>
      <c r="R4627" t="n">
        <v>3</v>
      </c>
      <c r="S4627" t="n">
        <v>5414.5</v>
      </c>
      <c r="T4627" t="n">
        <v>16</v>
      </c>
      <c r="U4627" t="n">
        <v>17</v>
      </c>
      <c r="V4627" t="n">
        <v>30</v>
      </c>
      <c r="W4627" t="n">
        <v>10</v>
      </c>
      <c r="X4627" t="n">
        <v>54.94505494505494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11719</v>
      </c>
      <c r="AG4627" t="n">
        <v>63</v>
      </c>
      <c r="AH4627" t="inlineStr">
        <is>
          <t>PT. PARAMA GLOBAL INSPIRA - PPN (PDG)</t>
        </is>
      </c>
      <c r="AI4627" t="n">
        <v>296</v>
      </c>
      <c r="AJ4627" t="inlineStr">
        <is>
          <t>PUTRI</t>
        </is>
      </c>
      <c r="AK4627" t="n">
        <v>21</v>
      </c>
      <c r="AL4627" t="inlineStr">
        <is>
          <t>Miss Glam Damar</t>
        </is>
      </c>
      <c r="AM4627" t="n">
        <v>1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PUTRI</t>
        </is>
      </c>
      <c r="B4628" s="2">
        <f>"8993137172011"</f>
        <v/>
      </c>
      <c r="C4628" t="inlineStr">
        <is>
          <t>PUTRI Pure Clean Moisturizing Conditioner Floral Fragrance 200ml</t>
        </is>
      </c>
      <c r="D4628" t="inlineStr">
        <is>
          <t>Miss Glam Damar</t>
        </is>
      </c>
      <c r="E4628" t="n">
        <v>17</v>
      </c>
      <c r="F4628" t="n">
        <v>0.3276</v>
      </c>
      <c r="G4628" t="n">
        <v>1.82</v>
      </c>
      <c r="H4628" t="n">
        <v>2</v>
      </c>
      <c r="I4628" t="n">
        <v>6</v>
      </c>
      <c r="J4628" t="n">
        <v>3</v>
      </c>
      <c r="K4628" t="n">
        <v>0</v>
      </c>
      <c r="L4628" t="n">
        <v>14874</v>
      </c>
      <c r="M4628" t="n">
        <v>17500</v>
      </c>
      <c r="N4628" t="n">
        <v>91</v>
      </c>
      <c r="O4628" t="n">
        <v>0.91</v>
      </c>
      <c r="P4628" t="n">
        <v>1</v>
      </c>
      <c r="Q4628" t="n">
        <v>0.44</v>
      </c>
      <c r="R4628" t="n">
        <v>2</v>
      </c>
      <c r="S4628" t="n">
        <v>5733</v>
      </c>
      <c r="T4628" t="n">
        <v>11</v>
      </c>
      <c r="U4628" t="n">
        <v>12</v>
      </c>
      <c r="V4628" t="n">
        <v>30</v>
      </c>
      <c r="W4628" t="n">
        <v>10</v>
      </c>
      <c r="X4628" t="n">
        <v>51.89255189255189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11719</v>
      </c>
      <c r="AG4628" t="n">
        <v>63</v>
      </c>
      <c r="AH4628" t="inlineStr">
        <is>
          <t>PT. PARAMA GLOBAL INSPIRA - PPN (PDG)</t>
        </is>
      </c>
      <c r="AI4628" t="n">
        <v>296</v>
      </c>
      <c r="AJ4628" t="inlineStr">
        <is>
          <t>PUTRI</t>
        </is>
      </c>
      <c r="AK4628" t="n">
        <v>21</v>
      </c>
      <c r="AL4628" t="inlineStr">
        <is>
          <t>Miss Glam Damar</t>
        </is>
      </c>
      <c r="AM4628" t="n">
        <v>1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PUTRI</t>
        </is>
      </c>
      <c r="B4629" s="2">
        <f>"8993137182041"</f>
        <v/>
      </c>
      <c r="C4629" t="inlineStr">
        <is>
          <t>PUTRI Pure Clean Shampoo Apple 200ml</t>
        </is>
      </c>
      <c r="D4629" t="inlineStr">
        <is>
          <t>Miss Glam Damar</t>
        </is>
      </c>
      <c r="E4629" t="n">
        <v>10</v>
      </c>
      <c r="F4629" t="n">
        <v>0.2457</v>
      </c>
      <c r="G4629" t="n">
        <v>1.82</v>
      </c>
      <c r="H4629" t="n">
        <v>2</v>
      </c>
      <c r="I4629" t="n">
        <v>6</v>
      </c>
      <c r="J4629" t="n">
        <v>3</v>
      </c>
      <c r="K4629" t="n">
        <v>0</v>
      </c>
      <c r="L4629" t="n">
        <v>16144</v>
      </c>
      <c r="M4629" t="n">
        <v>19000</v>
      </c>
      <c r="N4629" t="n">
        <v>91</v>
      </c>
      <c r="O4629" t="n">
        <v>0.91</v>
      </c>
      <c r="P4629" t="n">
        <v>1</v>
      </c>
      <c r="Q4629" t="n">
        <v>0.41</v>
      </c>
      <c r="R4629" t="n">
        <v>2</v>
      </c>
      <c r="S4629" t="n">
        <v>4668.3</v>
      </c>
      <c r="T4629" t="n">
        <v>11</v>
      </c>
      <c r="U4629" t="n">
        <v>12</v>
      </c>
      <c r="V4629" t="n">
        <v>30</v>
      </c>
      <c r="W4629" t="n">
        <v>8</v>
      </c>
      <c r="X4629" t="n">
        <v>40.7000407000407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11719</v>
      </c>
      <c r="AG4629" t="n">
        <v>63</v>
      </c>
      <c r="AH4629" t="inlineStr">
        <is>
          <t>PT. PARAMA GLOBAL INSPIRA - PPN (PDG)</t>
        </is>
      </c>
      <c r="AI4629" t="n">
        <v>296</v>
      </c>
      <c r="AJ4629" t="inlineStr">
        <is>
          <t>PUTRI</t>
        </is>
      </c>
      <c r="AK4629" t="n">
        <v>21</v>
      </c>
      <c r="AL4629" t="inlineStr">
        <is>
          <t>Miss Glam Damar</t>
        </is>
      </c>
      <c r="AM4629" t="n">
        <v>1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PUTRI</t>
        </is>
      </c>
      <c r="B4630" s="2">
        <f>"8993137182096"</f>
        <v/>
      </c>
      <c r="C4630" t="inlineStr">
        <is>
          <t>PUTRI Shampoo Ginseng 200ml</t>
        </is>
      </c>
      <c r="D4630" t="inlineStr">
        <is>
          <t>Miss Glam Damar</t>
        </is>
      </c>
      <c r="E4630" t="n">
        <v>22</v>
      </c>
      <c r="F4630" t="n">
        <v>0.6279</v>
      </c>
      <c r="G4630" t="n">
        <v>2.73</v>
      </c>
      <c r="H4630" t="n">
        <v>2</v>
      </c>
      <c r="I4630" t="n">
        <v>6</v>
      </c>
      <c r="J4630" t="n">
        <v>3</v>
      </c>
      <c r="K4630" t="n">
        <v>0</v>
      </c>
      <c r="L4630" t="n">
        <v>16150</v>
      </c>
      <c r="M4630" t="n">
        <v>19000</v>
      </c>
      <c r="N4630" t="n">
        <v>91</v>
      </c>
      <c r="O4630" t="n">
        <v>0.91</v>
      </c>
      <c r="P4630" t="n">
        <v>1</v>
      </c>
      <c r="Q4630" t="n">
        <v>0.76</v>
      </c>
      <c r="R4630" t="n">
        <v>5</v>
      </c>
      <c r="S4630" t="n">
        <v>11930.1</v>
      </c>
      <c r="T4630" t="n">
        <v>16</v>
      </c>
      <c r="U4630" t="n">
        <v>18</v>
      </c>
      <c r="V4630" t="n">
        <v>30</v>
      </c>
      <c r="W4630" t="n">
        <v>19</v>
      </c>
      <c r="X4630" t="n">
        <v>35.03742634177416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11719</v>
      </c>
      <c r="AG4630" t="n">
        <v>63</v>
      </c>
      <c r="AH4630" t="inlineStr">
        <is>
          <t>PT. PARAMA GLOBAL INSPIRA - PPN (PDG)</t>
        </is>
      </c>
      <c r="AI4630" t="n">
        <v>296</v>
      </c>
      <c r="AJ4630" t="inlineStr">
        <is>
          <t>PUTRI</t>
        </is>
      </c>
      <c r="AK4630" t="n">
        <v>21</v>
      </c>
      <c r="AL4630" t="inlineStr">
        <is>
          <t>Miss Glam Damar</t>
        </is>
      </c>
      <c r="AM4630" t="n">
        <v>1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PUTRI</t>
        </is>
      </c>
      <c r="B4631" s="2">
        <f>"8993137182058"</f>
        <v/>
      </c>
      <c r="C4631" t="inlineStr">
        <is>
          <t>PUTRI Shampoo Lemon Pure Clean 200ml</t>
        </is>
      </c>
      <c r="D4631" t="inlineStr">
        <is>
          <t>Miss Glam Damar</t>
        </is>
      </c>
      <c r="E4631" t="n">
        <v>4</v>
      </c>
      <c r="F4631" t="n">
        <v>0.1274</v>
      </c>
      <c r="G4631" t="n">
        <v>1.82</v>
      </c>
      <c r="H4631" t="n">
        <v>2</v>
      </c>
      <c r="I4631" t="n">
        <v>6</v>
      </c>
      <c r="J4631" t="n">
        <v>3</v>
      </c>
      <c r="K4631" t="n">
        <v>0</v>
      </c>
      <c r="L4631" t="n">
        <v>16150</v>
      </c>
      <c r="M4631" t="n">
        <v>19000</v>
      </c>
      <c r="N4631" t="n">
        <v>91</v>
      </c>
      <c r="O4631" t="n">
        <v>0.91</v>
      </c>
      <c r="P4631" t="n">
        <v>1</v>
      </c>
      <c r="Q4631" t="n">
        <v>0.14</v>
      </c>
      <c r="R4631" t="n">
        <v>2</v>
      </c>
      <c r="S4631" t="n">
        <v>2420.6</v>
      </c>
      <c r="T4631" t="n">
        <v>11</v>
      </c>
      <c r="U4631" t="n">
        <v>12</v>
      </c>
      <c r="V4631" t="n">
        <v>30</v>
      </c>
      <c r="W4631" t="n">
        <v>4</v>
      </c>
      <c r="X4631" t="n">
        <v>31.39717425431711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11719</v>
      </c>
      <c r="AG4631" t="n">
        <v>63</v>
      </c>
      <c r="AH4631" t="inlineStr">
        <is>
          <t>PT. PARAMA GLOBAL INSPIRA - PPN (PDG)</t>
        </is>
      </c>
      <c r="AI4631" t="n">
        <v>296</v>
      </c>
      <c r="AJ4631" t="inlineStr">
        <is>
          <t>PUTRI</t>
        </is>
      </c>
      <c r="AK4631" t="n">
        <v>21</v>
      </c>
      <c r="AL4631" t="inlineStr">
        <is>
          <t>Miss Glam Damar</t>
        </is>
      </c>
      <c r="AM4631" t="n">
        <v>1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PYARY</t>
        </is>
      </c>
      <c r="B4632" s="2">
        <f>"8908000105010"</f>
        <v/>
      </c>
      <c r="C4632" t="inlineStr">
        <is>
          <t>PYARY Ayurvedic Soap Turmeric 75gr</t>
        </is>
      </c>
      <c r="D4632" t="inlineStr">
        <is>
          <t>Miss Glam Damar</t>
        </is>
      </c>
      <c r="E4632" t="n">
        <v>0</v>
      </c>
      <c r="F4632" t="n">
        <v>2.9848</v>
      </c>
      <c r="G4632" t="n">
        <v>10.01</v>
      </c>
      <c r="H4632" t="n">
        <v>4</v>
      </c>
      <c r="I4632" t="n">
        <v>21</v>
      </c>
      <c r="J4632" t="n">
        <v>3</v>
      </c>
      <c r="K4632" t="n">
        <v>0</v>
      </c>
      <c r="L4632" t="n">
        <v>14000</v>
      </c>
      <c r="M4632" t="n">
        <v>22000</v>
      </c>
      <c r="N4632" t="n">
        <v>91</v>
      </c>
      <c r="O4632" t="n">
        <v>0.91</v>
      </c>
      <c r="P4632" t="n">
        <v>1</v>
      </c>
      <c r="Q4632" t="n">
        <v>1.6</v>
      </c>
      <c r="R4632" t="n">
        <v>5</v>
      </c>
      <c r="S4632" t="n">
        <v>65665.59999999999</v>
      </c>
      <c r="T4632" t="n">
        <v>199</v>
      </c>
      <c r="U4632" t="n">
        <v>211</v>
      </c>
      <c r="V4632" t="n">
        <v>30</v>
      </c>
      <c r="W4632" t="n">
        <v>90</v>
      </c>
      <c r="X4632" t="n">
        <v>0</v>
      </c>
      <c r="Y4632" t="n">
        <v>1</v>
      </c>
      <c r="Z4632" t="n">
        <v>90</v>
      </c>
      <c r="AA4632" t="n">
        <v>63</v>
      </c>
      <c r="AB4632" t="n">
        <v>27</v>
      </c>
      <c r="AC4632" t="n">
        <v>27</v>
      </c>
      <c r="AD4632" t="n">
        <v>882000</v>
      </c>
      <c r="AE4632" t="n">
        <v>378000</v>
      </c>
      <c r="AF4632" t="n">
        <v>7934</v>
      </c>
      <c r="AG4632" t="n">
        <v>1</v>
      </c>
      <c r="AH4632" t="inlineStr">
        <is>
          <t>PT. BERSAMA DISTRIVERSA INDONESIA (DC CIPUTAT)</t>
        </is>
      </c>
      <c r="AI4632" t="n">
        <v>1508</v>
      </c>
      <c r="AJ4632" t="inlineStr">
        <is>
          <t>PYARY</t>
        </is>
      </c>
      <c r="AK4632" t="n">
        <v>21</v>
      </c>
      <c r="AL4632" t="inlineStr">
        <is>
          <t>Miss Glam Damar</t>
        </is>
      </c>
      <c r="AM4632" t="n">
        <v>1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PYARY</t>
        </is>
      </c>
      <c r="B4633" s="2">
        <f>"8908000105133"</f>
        <v/>
      </c>
      <c r="C4633" t="inlineStr">
        <is>
          <t>PYARY Nalpamara Herbal Soap Batang</t>
        </is>
      </c>
      <c r="D4633" t="inlineStr">
        <is>
          <t>Miss Glam Damar</t>
        </is>
      </c>
      <c r="E4633" t="n">
        <v>1</v>
      </c>
      <c r="F4633" t="n">
        <v>53.51710000000001</v>
      </c>
      <c r="G4633" t="n">
        <v>93.73</v>
      </c>
      <c r="H4633" t="n">
        <v>4</v>
      </c>
      <c r="I4633" t="n">
        <v>21</v>
      </c>
      <c r="J4633" t="n">
        <v>3</v>
      </c>
      <c r="K4633" t="n">
        <v>0</v>
      </c>
      <c r="L4633" t="n">
        <v>17711</v>
      </c>
      <c r="M4633" t="n">
        <v>25000</v>
      </c>
      <c r="N4633" t="n">
        <v>91</v>
      </c>
      <c r="O4633" t="n">
        <v>0.91</v>
      </c>
      <c r="P4633" t="n">
        <v>1</v>
      </c>
      <c r="Q4633" t="n">
        <v>34</v>
      </c>
      <c r="R4633" t="n">
        <v>62</v>
      </c>
      <c r="S4633" t="n">
        <v>1337927.5</v>
      </c>
      <c r="T4633" t="n">
        <v>1755</v>
      </c>
      <c r="U4633" t="n">
        <v>1970</v>
      </c>
      <c r="V4633" t="n">
        <v>30</v>
      </c>
      <c r="W4633" t="n">
        <v>1606</v>
      </c>
      <c r="X4633" t="n">
        <v>0.01868561637308449</v>
      </c>
      <c r="Y4633" t="n">
        <v>1</v>
      </c>
      <c r="Z4633" t="n">
        <v>1605</v>
      </c>
      <c r="AA4633" t="n">
        <v>1123</v>
      </c>
      <c r="AB4633" t="n">
        <v>482</v>
      </c>
      <c r="AC4633" t="n">
        <v>482</v>
      </c>
      <c r="AD4633" t="n">
        <v>19889453</v>
      </c>
      <c r="AE4633" t="n">
        <v>8536702</v>
      </c>
      <c r="AF4633" t="n">
        <v>7934</v>
      </c>
      <c r="AG4633" t="n">
        <v>1</v>
      </c>
      <c r="AH4633" t="inlineStr">
        <is>
          <t>PT. BERSAMA DISTRIVERSA INDONESIA (DC CIPUTAT)</t>
        </is>
      </c>
      <c r="AI4633" t="n">
        <v>1508</v>
      </c>
      <c r="AJ4633" t="inlineStr">
        <is>
          <t>PYARY</t>
        </is>
      </c>
      <c r="AK4633" t="n">
        <v>21</v>
      </c>
      <c r="AL4633" t="inlineStr">
        <is>
          <t>Miss Glam Damar</t>
        </is>
      </c>
      <c r="AM4633" t="n">
        <v>1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PYUNKANG YUL</t>
        </is>
      </c>
      <c r="B4634" s="2">
        <f>"8809486680353"</f>
        <v/>
      </c>
      <c r="C4634" t="inlineStr">
        <is>
          <t>PYUNKANG YUL Essence Toner 100ml</t>
        </is>
      </c>
      <c r="D4634" t="inlineStr">
        <is>
          <t>Miss Glam Damar</t>
        </is>
      </c>
      <c r="E4634" t="n">
        <v>1</v>
      </c>
      <c r="F4634" t="n">
        <v>0.03</v>
      </c>
      <c r="G4634" t="n">
        <v>1</v>
      </c>
      <c r="H4634" t="n">
        <v>4</v>
      </c>
      <c r="I4634" t="n">
        <v>21</v>
      </c>
      <c r="J4634" t="n">
        <v>3</v>
      </c>
      <c r="K4634" t="n">
        <v>0</v>
      </c>
      <c r="L4634" t="n">
        <v>90230</v>
      </c>
      <c r="M4634" t="n">
        <v>119000</v>
      </c>
      <c r="N4634" t="n">
        <v>91</v>
      </c>
      <c r="O4634" t="n">
        <v>0.91</v>
      </c>
      <c r="P4634" t="n">
        <v>0</v>
      </c>
      <c r="Q4634" t="n">
        <v>0.03</v>
      </c>
      <c r="R4634" t="n">
        <v>1</v>
      </c>
      <c r="S4634" t="n">
        <v>3570</v>
      </c>
      <c r="T4634" t="n">
        <v>21</v>
      </c>
      <c r="U4634" t="n">
        <v>22</v>
      </c>
      <c r="V4634" t="n">
        <v>30</v>
      </c>
      <c r="W4634" t="n">
        <v>1</v>
      </c>
      <c r="X4634" t="n">
        <v>33.33333333333334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7967</v>
      </c>
      <c r="AG4634" t="n">
        <v>1</v>
      </c>
      <c r="AH4634" t="inlineStr">
        <is>
          <t>PT. BERSAMA DISTRIVERSA INDONESIA (DC CIPUTAT)</t>
        </is>
      </c>
      <c r="AI4634" t="n">
        <v>324</v>
      </c>
      <c r="AJ4634" t="inlineStr">
        <is>
          <t>PYUNKANG YUL</t>
        </is>
      </c>
      <c r="AK4634" t="n">
        <v>21</v>
      </c>
      <c r="AL4634" t="inlineStr">
        <is>
          <t>Miss Glam Damar</t>
        </is>
      </c>
      <c r="AM4634" t="n">
        <v>1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PYUNKANG YUL</t>
        </is>
      </c>
      <c r="B4635" s="2">
        <f>"8809486680056"</f>
        <v/>
      </c>
      <c r="C4635" t="inlineStr">
        <is>
          <t>PYUNKANG YUL Essence Toner 200ml</t>
        </is>
      </c>
      <c r="D4635" t="inlineStr">
        <is>
          <t>Miss Glam Damar</t>
        </is>
      </c>
      <c r="E4635" t="n">
        <v>2</v>
      </c>
      <c r="F4635" t="n">
        <v>0.0273</v>
      </c>
      <c r="G4635" t="n">
        <v>0.91</v>
      </c>
      <c r="H4635" t="n">
        <v>4</v>
      </c>
      <c r="I4635" t="n">
        <v>21</v>
      </c>
      <c r="J4635" t="n">
        <v>3</v>
      </c>
      <c r="K4635" t="n">
        <v>0</v>
      </c>
      <c r="L4635" t="n">
        <v>132051</v>
      </c>
      <c r="M4635" t="n">
        <v>162500</v>
      </c>
      <c r="N4635" t="n">
        <v>91</v>
      </c>
      <c r="O4635" t="n">
        <v>0.91</v>
      </c>
      <c r="P4635" t="n">
        <v>1</v>
      </c>
      <c r="Q4635" t="n">
        <v>0.08</v>
      </c>
      <c r="R4635" t="n">
        <v>2</v>
      </c>
      <c r="S4635" t="n">
        <v>4436.25</v>
      </c>
      <c r="T4635" t="n">
        <v>20</v>
      </c>
      <c r="U4635" t="n">
        <v>21</v>
      </c>
      <c r="V4635" t="n">
        <v>30</v>
      </c>
      <c r="W4635" t="n">
        <v>1</v>
      </c>
      <c r="X4635" t="n">
        <v>73.26007326007326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7967</v>
      </c>
      <c r="AG4635" t="n">
        <v>1</v>
      </c>
      <c r="AH4635" t="inlineStr">
        <is>
          <t>PT. BERSAMA DISTRIVERSA INDONESIA (DC CIPUTAT)</t>
        </is>
      </c>
      <c r="AI4635" t="n">
        <v>324</v>
      </c>
      <c r="AJ4635" t="inlineStr">
        <is>
          <t>PYUNKANG YUL</t>
        </is>
      </c>
      <c r="AK4635" t="n">
        <v>21</v>
      </c>
      <c r="AL4635" t="inlineStr">
        <is>
          <t>Miss Glam Damar</t>
        </is>
      </c>
      <c r="AM4635" t="n">
        <v>1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PYUNKANG YUL</t>
        </is>
      </c>
      <c r="B4636" s="2">
        <f>"8809486681329"</f>
        <v/>
      </c>
      <c r="C4636" t="inlineStr">
        <is>
          <t>PYUNKANG YUL Essence Toner 30ml</t>
        </is>
      </c>
      <c r="D4636" t="inlineStr">
        <is>
          <t>Miss Glam Damar</t>
        </is>
      </c>
      <c r="E4636" t="n">
        <v>4</v>
      </c>
      <c r="F4636" t="n">
        <v>0.0728</v>
      </c>
      <c r="G4636" t="n">
        <v>0.91</v>
      </c>
      <c r="H4636" t="n">
        <v>4</v>
      </c>
      <c r="I4636" t="n">
        <v>21</v>
      </c>
      <c r="J4636" t="n">
        <v>3</v>
      </c>
      <c r="K4636" t="n">
        <v>0</v>
      </c>
      <c r="L4636" t="n">
        <v>29564</v>
      </c>
      <c r="M4636" t="n">
        <v>38000</v>
      </c>
      <c r="N4636" t="n">
        <v>91</v>
      </c>
      <c r="O4636" t="n">
        <v>0.91</v>
      </c>
      <c r="P4636" t="n">
        <v>1</v>
      </c>
      <c r="Q4636" t="n">
        <v>0.25</v>
      </c>
      <c r="R4636" t="n">
        <v>2</v>
      </c>
      <c r="S4636" t="n">
        <v>2766.4</v>
      </c>
      <c r="T4636" t="n">
        <v>19</v>
      </c>
      <c r="U4636" t="n">
        <v>20</v>
      </c>
      <c r="V4636" t="n">
        <v>30</v>
      </c>
      <c r="W4636" t="n">
        <v>3</v>
      </c>
      <c r="X4636" t="n">
        <v>54.94505494505494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7967</v>
      </c>
      <c r="AG4636" t="n">
        <v>1</v>
      </c>
      <c r="AH4636" t="inlineStr">
        <is>
          <t>PT. BERSAMA DISTRIVERSA INDONESIA (DC CIPUTAT)</t>
        </is>
      </c>
      <c r="AI4636" t="n">
        <v>324</v>
      </c>
      <c r="AJ4636" t="inlineStr">
        <is>
          <t>PYUNKANG YUL</t>
        </is>
      </c>
      <c r="AK4636" t="n">
        <v>21</v>
      </c>
      <c r="AL4636" t="inlineStr">
        <is>
          <t>Miss Glam Damar</t>
        </is>
      </c>
      <c r="AM4636" t="n">
        <v>1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QL</t>
        </is>
      </c>
      <c r="B4637" s="2">
        <f>"8997011397040"</f>
        <v/>
      </c>
      <c r="C4637" t="inlineStr">
        <is>
          <t>QL Body Tone Up Firming Lotion 150ml</t>
        </is>
      </c>
      <c r="D4637" t="inlineStr">
        <is>
          <t>Miss Glam Damar</t>
        </is>
      </c>
      <c r="E4637" t="n">
        <v>0</v>
      </c>
      <c r="F4637" t="n">
        <v>0.05</v>
      </c>
      <c r="G4637" t="n">
        <v>1</v>
      </c>
      <c r="H4637" t="n">
        <v>3</v>
      </c>
      <c r="I4637" t="n">
        <v>11</v>
      </c>
      <c r="J4637" t="n">
        <v>3</v>
      </c>
      <c r="K4637" t="n">
        <v>0</v>
      </c>
      <c r="L4637" t="n">
        <v>28543</v>
      </c>
      <c r="M4637" t="n">
        <v>34000</v>
      </c>
      <c r="N4637" t="n">
        <v>91</v>
      </c>
      <c r="O4637" t="n">
        <v>0.91</v>
      </c>
      <c r="P4637" t="n">
        <v>0</v>
      </c>
      <c r="Q4637" t="n">
        <v>0.05</v>
      </c>
      <c r="R4637" t="n">
        <v>1</v>
      </c>
      <c r="S4637" t="n">
        <v>1700</v>
      </c>
      <c r="T4637" t="n">
        <v>11</v>
      </c>
      <c r="U4637" t="n">
        <v>12</v>
      </c>
      <c r="V4637" t="n">
        <v>30</v>
      </c>
      <c r="W4637" t="n">
        <v>2</v>
      </c>
      <c r="X4637" t="n">
        <v>0</v>
      </c>
      <c r="Y4637" t="n">
        <v>1</v>
      </c>
      <c r="Z4637" t="n">
        <v>2</v>
      </c>
      <c r="AA4637" t="n">
        <v>1</v>
      </c>
      <c r="AB4637" t="n">
        <v>1</v>
      </c>
      <c r="AC4637" t="n">
        <v>3</v>
      </c>
      <c r="AD4637" t="n">
        <v>28543</v>
      </c>
      <c r="AE4637" t="n">
        <v>85629</v>
      </c>
      <c r="AF4637" t="n">
        <v>10172</v>
      </c>
      <c r="AG4637" t="n">
        <v>78</v>
      </c>
      <c r="AH4637" t="inlineStr">
        <is>
          <t>PT. GLORIENTA P.H - PPN (PDG)</t>
        </is>
      </c>
      <c r="AI4637" t="n">
        <v>132</v>
      </c>
      <c r="AJ4637" t="inlineStr">
        <is>
          <t>QL</t>
        </is>
      </c>
      <c r="AK4637" t="n">
        <v>21</v>
      </c>
      <c r="AL4637" t="inlineStr">
        <is>
          <t>Miss Glam Damar</t>
        </is>
      </c>
      <c r="AM4637" t="n">
        <v>1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QL</t>
        </is>
      </c>
      <c r="B4638" s="2">
        <f>"8997011397460"</f>
        <v/>
      </c>
      <c r="C4638" t="inlineStr">
        <is>
          <t>QL Cleansing Balm Normal To Dry Skin 50gr</t>
        </is>
      </c>
      <c r="D4638" t="inlineStr">
        <is>
          <t>Miss Glam Damar</t>
        </is>
      </c>
      <c r="E4638" t="n">
        <v>10</v>
      </c>
      <c r="F4638" t="n">
        <v>0.2821</v>
      </c>
      <c r="G4638" t="n">
        <v>1.82</v>
      </c>
      <c r="H4638" t="n">
        <v>3</v>
      </c>
      <c r="I4638" t="n">
        <v>11</v>
      </c>
      <c r="J4638" t="n">
        <v>3</v>
      </c>
      <c r="K4638" t="n">
        <v>0</v>
      </c>
      <c r="L4638" t="n">
        <v>35530</v>
      </c>
      <c r="M4638" t="n">
        <v>42000</v>
      </c>
      <c r="N4638" t="n">
        <v>91</v>
      </c>
      <c r="O4638" t="n">
        <v>0.91</v>
      </c>
      <c r="P4638" t="n">
        <v>1</v>
      </c>
      <c r="Q4638" t="n">
        <v>0.15</v>
      </c>
      <c r="R4638" t="n">
        <v>1</v>
      </c>
      <c r="S4638" t="n">
        <v>11848.2</v>
      </c>
      <c r="T4638" t="n">
        <v>20</v>
      </c>
      <c r="U4638" t="n">
        <v>21</v>
      </c>
      <c r="V4638" t="n">
        <v>30</v>
      </c>
      <c r="W4638" t="n">
        <v>9</v>
      </c>
      <c r="X4638" t="n">
        <v>35.44842254519673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10172</v>
      </c>
      <c r="AG4638" t="n">
        <v>78</v>
      </c>
      <c r="AH4638" t="inlineStr">
        <is>
          <t>PT. GLORIENTA P.H - PPN (PDG)</t>
        </is>
      </c>
      <c r="AI4638" t="n">
        <v>132</v>
      </c>
      <c r="AJ4638" t="inlineStr">
        <is>
          <t>QL</t>
        </is>
      </c>
      <c r="AK4638" t="n">
        <v>21</v>
      </c>
      <c r="AL4638" t="inlineStr">
        <is>
          <t>Miss Glam Damar</t>
        </is>
      </c>
      <c r="AM4638" t="n">
        <v>1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QL</t>
        </is>
      </c>
      <c r="B4639" s="2">
        <f>"10100606312"</f>
        <v/>
      </c>
      <c r="C4639" t="inlineStr">
        <is>
          <t>QL Cleansing Balm Normal To Oily Skin 50gr</t>
        </is>
      </c>
      <c r="D4639" t="inlineStr">
        <is>
          <t>Miss Glam Damar</t>
        </is>
      </c>
      <c r="E4639" t="n">
        <v>4</v>
      </c>
      <c r="F4639" t="n">
        <v>0.2821</v>
      </c>
      <c r="G4639" t="n">
        <v>1.82</v>
      </c>
      <c r="H4639" t="n">
        <v>3</v>
      </c>
      <c r="I4639" t="n">
        <v>11</v>
      </c>
      <c r="J4639" t="n">
        <v>3</v>
      </c>
      <c r="K4639" t="n">
        <v>0</v>
      </c>
      <c r="L4639" t="n">
        <v>35530</v>
      </c>
      <c r="M4639" t="n">
        <v>42000</v>
      </c>
      <c r="N4639" t="n">
        <v>91</v>
      </c>
      <c r="O4639" t="n">
        <v>0.91</v>
      </c>
      <c r="P4639" t="n">
        <v>1</v>
      </c>
      <c r="Q4639" t="n">
        <v>0.25</v>
      </c>
      <c r="R4639" t="n">
        <v>1</v>
      </c>
      <c r="S4639" t="n">
        <v>11848.2</v>
      </c>
      <c r="T4639" t="n">
        <v>20</v>
      </c>
      <c r="U4639" t="n">
        <v>21</v>
      </c>
      <c r="V4639" t="n">
        <v>30</v>
      </c>
      <c r="W4639" t="n">
        <v>9</v>
      </c>
      <c r="X4639" t="n">
        <v>14.1793690180787</v>
      </c>
      <c r="Y4639" t="n">
        <v>1</v>
      </c>
      <c r="Z4639" t="n">
        <v>5</v>
      </c>
      <c r="AA4639" t="n">
        <v>0</v>
      </c>
      <c r="AB4639" t="n">
        <v>5</v>
      </c>
      <c r="AC4639" t="n">
        <v>5</v>
      </c>
      <c r="AD4639" t="n">
        <v>0</v>
      </c>
      <c r="AE4639" t="n">
        <v>177650</v>
      </c>
      <c r="AF4639" t="n">
        <v>10172</v>
      </c>
      <c r="AG4639" t="n">
        <v>78</v>
      </c>
      <c r="AH4639" t="inlineStr">
        <is>
          <t>PT. GLORIENTA P.H - PPN (PDG)</t>
        </is>
      </c>
      <c r="AI4639" t="n">
        <v>132</v>
      </c>
      <c r="AJ4639" t="inlineStr">
        <is>
          <t>QL</t>
        </is>
      </c>
      <c r="AK4639" t="n">
        <v>21</v>
      </c>
      <c r="AL4639" t="inlineStr">
        <is>
          <t>Miss Glam Damar</t>
        </is>
      </c>
      <c r="AM4639" t="n">
        <v>1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QL</t>
        </is>
      </c>
      <c r="B4640" s="2">
        <f>"8997011393172"</f>
        <v/>
      </c>
      <c r="C4640" t="inlineStr">
        <is>
          <t>QL Cosmetic  Sabun Lulur Goat Milk</t>
        </is>
      </c>
      <c r="D4640" t="inlineStr">
        <is>
          <t>Miss Glam Damar</t>
        </is>
      </c>
      <c r="E4640" t="n">
        <v>0</v>
      </c>
      <c r="F4640" t="n">
        <v>0.12</v>
      </c>
      <c r="G4640" t="n">
        <v>2</v>
      </c>
      <c r="H4640" t="n">
        <v>3</v>
      </c>
      <c r="I4640" t="n">
        <v>11</v>
      </c>
      <c r="J4640" t="n">
        <v>3</v>
      </c>
      <c r="K4640" t="n">
        <v>0</v>
      </c>
      <c r="L4640" t="n">
        <v>9181</v>
      </c>
      <c r="M4640" t="n">
        <v>11000</v>
      </c>
      <c r="N4640" t="n">
        <v>91</v>
      </c>
      <c r="O4640" t="n">
        <v>0.91</v>
      </c>
      <c r="P4640" t="n">
        <v>0</v>
      </c>
      <c r="Q4640" t="n">
        <v>0.12</v>
      </c>
      <c r="R4640" t="n">
        <v>2</v>
      </c>
      <c r="S4640" t="n">
        <v>1320</v>
      </c>
      <c r="T4640" t="n">
        <v>22</v>
      </c>
      <c r="U4640" t="n">
        <v>23</v>
      </c>
      <c r="V4640" t="n">
        <v>30</v>
      </c>
      <c r="W4640" t="n">
        <v>4</v>
      </c>
      <c r="X4640" t="n">
        <v>0</v>
      </c>
      <c r="Y4640" t="n">
        <v>1</v>
      </c>
      <c r="Z4640" t="n">
        <v>4</v>
      </c>
      <c r="AA4640" t="n">
        <v>2</v>
      </c>
      <c r="AB4640" t="n">
        <v>2</v>
      </c>
      <c r="AC4640" t="n">
        <v>3</v>
      </c>
      <c r="AD4640" t="n">
        <v>18362</v>
      </c>
      <c r="AE4640" t="n">
        <v>27543</v>
      </c>
      <c r="AF4640" t="n">
        <v>10172</v>
      </c>
      <c r="AG4640" t="n">
        <v>78</v>
      </c>
      <c r="AH4640" t="inlineStr">
        <is>
          <t>PT. GLORIENTA P.H - PPN (PDG)</t>
        </is>
      </c>
      <c r="AI4640" t="n">
        <v>132</v>
      </c>
      <c r="AJ4640" t="inlineStr">
        <is>
          <t>QL</t>
        </is>
      </c>
      <c r="AK4640" t="n">
        <v>21</v>
      </c>
      <c r="AL4640" t="inlineStr">
        <is>
          <t>Miss Glam Damar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QL</t>
        </is>
      </c>
      <c r="B4641" s="2">
        <f>"8997011396913"</f>
        <v/>
      </c>
      <c r="C4641" t="inlineStr">
        <is>
          <t>QL Cosmetic Body ToneUp Lotion 150ml</t>
        </is>
      </c>
      <c r="D4641" t="inlineStr">
        <is>
          <t>Miss Glam Damar</t>
        </is>
      </c>
      <c r="E4641" t="n">
        <v>5</v>
      </c>
      <c r="F4641" t="n">
        <v>0.17</v>
      </c>
      <c r="G4641" t="n">
        <v>2</v>
      </c>
      <c r="H4641" t="n">
        <v>3</v>
      </c>
      <c r="I4641" t="n">
        <v>11</v>
      </c>
      <c r="J4641" t="n">
        <v>3</v>
      </c>
      <c r="K4641" t="n">
        <v>0</v>
      </c>
      <c r="L4641" t="n">
        <v>23129</v>
      </c>
      <c r="M4641" t="n">
        <v>27500</v>
      </c>
      <c r="N4641" t="n">
        <v>91</v>
      </c>
      <c r="O4641" t="n">
        <v>0.91</v>
      </c>
      <c r="P4641" t="n">
        <v>0</v>
      </c>
      <c r="Q4641" t="n">
        <v>0.17</v>
      </c>
      <c r="R4641" t="n">
        <v>2</v>
      </c>
      <c r="S4641" t="n">
        <v>4675</v>
      </c>
      <c r="T4641" t="n">
        <v>22</v>
      </c>
      <c r="U4641" t="n">
        <v>23</v>
      </c>
      <c r="V4641" t="n">
        <v>30</v>
      </c>
      <c r="W4641" t="n">
        <v>6</v>
      </c>
      <c r="X4641" t="n">
        <v>29.41176470588235</v>
      </c>
      <c r="Y4641" t="n">
        <v>1</v>
      </c>
      <c r="Z4641" t="n">
        <v>1</v>
      </c>
      <c r="AA4641" t="n">
        <v>0</v>
      </c>
      <c r="AB4641" t="n">
        <v>1</v>
      </c>
      <c r="AC4641" t="n">
        <v>3</v>
      </c>
      <c r="AD4641" t="n">
        <v>0</v>
      </c>
      <c r="AE4641" t="n">
        <v>69387</v>
      </c>
      <c r="AF4641" t="n">
        <v>10172</v>
      </c>
      <c r="AG4641" t="n">
        <v>78</v>
      </c>
      <c r="AH4641" t="inlineStr">
        <is>
          <t>PT. GLORIENTA P.H - PPN (PDG)</t>
        </is>
      </c>
      <c r="AI4641" t="n">
        <v>132</v>
      </c>
      <c r="AJ4641" t="inlineStr">
        <is>
          <t>QL</t>
        </is>
      </c>
      <c r="AK4641" t="n">
        <v>21</v>
      </c>
      <c r="AL4641" t="inlineStr">
        <is>
          <t>Miss Glam Damar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QL</t>
        </is>
      </c>
      <c r="B4642" s="2">
        <f>"8997011392243"</f>
        <v/>
      </c>
      <c r="C4642" t="inlineStr">
        <is>
          <t>QL Cosmetic Eye catching 2 Step Mascara 6 ml</t>
        </is>
      </c>
      <c r="D4642" t="inlineStr">
        <is>
          <t>Miss Glam Damar</t>
        </is>
      </c>
      <c r="E4642" t="n">
        <v>3</v>
      </c>
      <c r="F4642" t="n">
        <v>0.04550000000000001</v>
      </c>
      <c r="G4642" t="n">
        <v>0.91</v>
      </c>
      <c r="H4642" t="n">
        <v>3</v>
      </c>
      <c r="I4642" t="n">
        <v>11</v>
      </c>
      <c r="J4642" t="n">
        <v>3</v>
      </c>
      <c r="K4642" t="n">
        <v>0</v>
      </c>
      <c r="L4642" t="n">
        <v>55760</v>
      </c>
      <c r="M4642" t="n">
        <v>66000</v>
      </c>
      <c r="N4642" t="n">
        <v>91</v>
      </c>
      <c r="O4642" t="n">
        <v>0.91</v>
      </c>
      <c r="P4642" t="n">
        <v>1</v>
      </c>
      <c r="Q4642" t="n">
        <v>0.02</v>
      </c>
      <c r="R4642" t="n">
        <v>1</v>
      </c>
      <c r="S4642" t="n">
        <v>3003</v>
      </c>
      <c r="T4642" t="n">
        <v>10</v>
      </c>
      <c r="U4642" t="n">
        <v>11</v>
      </c>
      <c r="V4642" t="n">
        <v>30</v>
      </c>
      <c r="W4642" t="n">
        <v>2</v>
      </c>
      <c r="X4642" t="n">
        <v>65.93406593406593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10172</v>
      </c>
      <c r="AG4642" t="n">
        <v>78</v>
      </c>
      <c r="AH4642" t="inlineStr">
        <is>
          <t>PT. GLORIENTA P.H - PPN (PDG)</t>
        </is>
      </c>
      <c r="AI4642" t="n">
        <v>132</v>
      </c>
      <c r="AJ4642" t="inlineStr">
        <is>
          <t>QL</t>
        </is>
      </c>
      <c r="AK4642" t="n">
        <v>21</v>
      </c>
      <c r="AL4642" t="inlineStr">
        <is>
          <t>Miss Glam Damar</t>
        </is>
      </c>
      <c r="AM4642" t="n">
        <v>1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QL</t>
        </is>
      </c>
      <c r="B4643" s="2">
        <f>"8997011394971"</f>
        <v/>
      </c>
      <c r="C4643" t="inlineStr">
        <is>
          <t>QL Cosmetic Eyeliner Waterproof Spidol 8ml</t>
        </is>
      </c>
      <c r="D4643" t="inlineStr">
        <is>
          <t>Miss Glam Damar</t>
        </is>
      </c>
      <c r="E4643" t="n">
        <v>2</v>
      </c>
      <c r="F4643" t="n">
        <v>0.05</v>
      </c>
      <c r="G4643" t="n">
        <v>1</v>
      </c>
      <c r="H4643" t="n">
        <v>3</v>
      </c>
      <c r="I4643" t="n">
        <v>11</v>
      </c>
      <c r="J4643" t="n">
        <v>3</v>
      </c>
      <c r="K4643" t="n">
        <v>0</v>
      </c>
      <c r="L4643" t="n">
        <v>39652</v>
      </c>
      <c r="M4643" t="n">
        <v>47000</v>
      </c>
      <c r="N4643" t="n">
        <v>91</v>
      </c>
      <c r="O4643" t="n">
        <v>0.91</v>
      </c>
      <c r="P4643" t="n">
        <v>0</v>
      </c>
      <c r="Q4643" t="n">
        <v>0.05</v>
      </c>
      <c r="R4643" t="n">
        <v>1</v>
      </c>
      <c r="S4643" t="n">
        <v>2350</v>
      </c>
      <c r="T4643" t="n">
        <v>11</v>
      </c>
      <c r="U4643" t="n">
        <v>12</v>
      </c>
      <c r="V4643" t="n">
        <v>30</v>
      </c>
      <c r="W4643" t="n">
        <v>2</v>
      </c>
      <c r="X4643" t="n">
        <v>40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10172</v>
      </c>
      <c r="AG4643" t="n">
        <v>78</v>
      </c>
      <c r="AH4643" t="inlineStr">
        <is>
          <t>PT. GLORIENTA P.H - PPN (PDG)</t>
        </is>
      </c>
      <c r="AI4643" t="n">
        <v>132</v>
      </c>
      <c r="AJ4643" t="inlineStr">
        <is>
          <t>QL</t>
        </is>
      </c>
      <c r="AK4643" t="n">
        <v>21</v>
      </c>
      <c r="AL4643" t="inlineStr">
        <is>
          <t>Miss Glam Damar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QL</t>
        </is>
      </c>
      <c r="B4644" s="2">
        <f>"8997011394797"</f>
        <v/>
      </c>
      <c r="C4644" t="inlineStr">
        <is>
          <t>Ql Cosmetic Fashion Eyeliner Black Waterproof 0,8g</t>
        </is>
      </c>
      <c r="D4644" t="inlineStr">
        <is>
          <t>Miss Glam Damar</t>
        </is>
      </c>
      <c r="E4644" t="n">
        <v>1</v>
      </c>
      <c r="F4644" t="n">
        <v>0.0182</v>
      </c>
      <c r="G4644" t="n">
        <v>0.91</v>
      </c>
      <c r="H4644" t="n">
        <v>3</v>
      </c>
      <c r="I4644" t="n">
        <v>11</v>
      </c>
      <c r="J4644" t="n">
        <v>3</v>
      </c>
      <c r="K4644" t="n">
        <v>0</v>
      </c>
      <c r="L4644" t="n">
        <v>34850</v>
      </c>
      <c r="M4644" t="n">
        <v>42500</v>
      </c>
      <c r="N4644" t="n">
        <v>91</v>
      </c>
      <c r="O4644" t="n">
        <v>0.91</v>
      </c>
      <c r="P4644" t="n">
        <v>1</v>
      </c>
      <c r="Q4644" t="n">
        <v>0.02</v>
      </c>
      <c r="R4644" t="n">
        <v>1</v>
      </c>
      <c r="S4644" t="n">
        <v>773.5</v>
      </c>
      <c r="T4644" t="n">
        <v>10</v>
      </c>
      <c r="U4644" t="n">
        <v>11</v>
      </c>
      <c r="V4644" t="n">
        <v>30</v>
      </c>
      <c r="W4644" t="n">
        <v>1</v>
      </c>
      <c r="X4644" t="n">
        <v>54.94505494505494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10172</v>
      </c>
      <c r="AG4644" t="n">
        <v>78</v>
      </c>
      <c r="AH4644" t="inlineStr">
        <is>
          <t>PT. GLORIENTA P.H - PPN (PDG)</t>
        </is>
      </c>
      <c r="AI4644" t="n">
        <v>132</v>
      </c>
      <c r="AJ4644" t="inlineStr">
        <is>
          <t>QL</t>
        </is>
      </c>
      <c r="AK4644" t="n">
        <v>21</v>
      </c>
      <c r="AL4644" t="inlineStr">
        <is>
          <t>Miss Glam Damar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QL</t>
        </is>
      </c>
      <c r="B4645" s="2">
        <f>"8997011394827"</f>
        <v/>
      </c>
      <c r="C4645" t="inlineStr">
        <is>
          <t>QL Cosmetic Waterproof Curling Mascara 8ml</t>
        </is>
      </c>
      <c r="D4645" t="inlineStr">
        <is>
          <t>Miss Glam Damar</t>
        </is>
      </c>
      <c r="E4645" t="n">
        <v>11</v>
      </c>
      <c r="F4645" t="n">
        <v>0.27</v>
      </c>
      <c r="G4645" t="n">
        <v>2</v>
      </c>
      <c r="H4645" t="n">
        <v>3</v>
      </c>
      <c r="I4645" t="n">
        <v>11</v>
      </c>
      <c r="J4645" t="n">
        <v>3</v>
      </c>
      <c r="K4645" t="n">
        <v>0</v>
      </c>
      <c r="L4645" t="n">
        <v>39653</v>
      </c>
      <c r="M4645" t="n">
        <v>47000</v>
      </c>
      <c r="N4645" t="n">
        <v>91</v>
      </c>
      <c r="O4645" t="n">
        <v>0.91</v>
      </c>
      <c r="P4645" t="n">
        <v>0</v>
      </c>
      <c r="Q4645" t="n">
        <v>0.27</v>
      </c>
      <c r="R4645" t="n">
        <v>2</v>
      </c>
      <c r="S4645" t="n">
        <v>12690</v>
      </c>
      <c r="T4645" t="n">
        <v>22</v>
      </c>
      <c r="U4645" t="n">
        <v>23</v>
      </c>
      <c r="V4645" t="n">
        <v>30</v>
      </c>
      <c r="W4645" t="n">
        <v>9</v>
      </c>
      <c r="X4645" t="n">
        <v>40.74074074074074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10172</v>
      </c>
      <c r="AG4645" t="n">
        <v>78</v>
      </c>
      <c r="AH4645" t="inlineStr">
        <is>
          <t>PT. GLORIENTA P.H - PPN (PDG)</t>
        </is>
      </c>
      <c r="AI4645" t="n">
        <v>132</v>
      </c>
      <c r="AJ4645" t="inlineStr">
        <is>
          <t>QL</t>
        </is>
      </c>
      <c r="AK4645" t="n">
        <v>21</v>
      </c>
      <c r="AL4645" t="inlineStr">
        <is>
          <t>Miss Glam Damar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QL</t>
        </is>
      </c>
      <c r="B4646" s="2">
        <f>"8997011396920"</f>
        <v/>
      </c>
      <c r="C4646" t="inlineStr">
        <is>
          <t>QL Facial Wash Brightening 150ml</t>
        </is>
      </c>
      <c r="D4646" t="inlineStr">
        <is>
          <t>Miss Glam Damar</t>
        </is>
      </c>
      <c r="E4646" t="n">
        <v>5</v>
      </c>
      <c r="F4646" t="n">
        <v>0.03</v>
      </c>
      <c r="G4646" t="n">
        <v>1</v>
      </c>
      <c r="H4646" t="n">
        <v>3</v>
      </c>
      <c r="I4646" t="n">
        <v>11</v>
      </c>
      <c r="J4646" t="n">
        <v>3</v>
      </c>
      <c r="K4646" t="n">
        <v>0</v>
      </c>
      <c r="L4646" t="n">
        <v>28050</v>
      </c>
      <c r="M4646" t="n">
        <v>33000</v>
      </c>
      <c r="N4646" t="n">
        <v>91</v>
      </c>
      <c r="O4646" t="n">
        <v>0.91</v>
      </c>
      <c r="P4646" t="n">
        <v>0</v>
      </c>
      <c r="Q4646" t="n">
        <v>0.03</v>
      </c>
      <c r="R4646" t="n">
        <v>1</v>
      </c>
      <c r="S4646" t="n">
        <v>990</v>
      </c>
      <c r="T4646" t="n">
        <v>11</v>
      </c>
      <c r="U4646" t="n">
        <v>12</v>
      </c>
      <c r="V4646" t="n">
        <v>30</v>
      </c>
      <c r="W4646" t="n">
        <v>1</v>
      </c>
      <c r="X4646" t="n">
        <v>166.6666666666667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10172</v>
      </c>
      <c r="AG4646" t="n">
        <v>78</v>
      </c>
      <c r="AH4646" t="inlineStr">
        <is>
          <t>PT. GLORIENTA P.H - PPN (PDG)</t>
        </is>
      </c>
      <c r="AI4646" t="n">
        <v>132</v>
      </c>
      <c r="AJ4646" t="inlineStr">
        <is>
          <t>QL</t>
        </is>
      </c>
      <c r="AK4646" t="n">
        <v>21</v>
      </c>
      <c r="AL4646" t="inlineStr">
        <is>
          <t>Miss Glam Damar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REMIMPI</t>
        </is>
      </c>
      <c r="B4647" s="2">
        <f>"6972755025079"</f>
        <v/>
      </c>
      <c r="C4647" t="inlineStr">
        <is>
          <t>REMIMPI Anti Hair Fall Hair Treatment Shampoo 300ml</t>
        </is>
      </c>
      <c r="D4647" t="inlineStr">
        <is>
          <t>Miss Glam Damar</t>
        </is>
      </c>
      <c r="E4647" t="n">
        <v>14</v>
      </c>
      <c r="F4647" t="n">
        <v>0.1365</v>
      </c>
      <c r="G4647" t="n">
        <v>1.82</v>
      </c>
      <c r="H4647" t="n">
        <v>4</v>
      </c>
      <c r="I4647" t="n">
        <v>21</v>
      </c>
      <c r="J4647" t="n">
        <v>3</v>
      </c>
      <c r="K4647" t="n">
        <v>0</v>
      </c>
      <c r="L4647" t="n">
        <v>23690</v>
      </c>
      <c r="M4647" t="n">
        <v>45000</v>
      </c>
      <c r="N4647" t="n">
        <v>91</v>
      </c>
      <c r="O4647" t="n">
        <v>0.91</v>
      </c>
      <c r="P4647" t="n">
        <v>1</v>
      </c>
      <c r="Q4647" t="n">
        <v>0.12</v>
      </c>
      <c r="R4647" t="n">
        <v>2</v>
      </c>
      <c r="S4647" t="n">
        <v>6142.500000000001</v>
      </c>
      <c r="T4647" t="n">
        <v>38</v>
      </c>
      <c r="U4647" t="n">
        <v>39</v>
      </c>
      <c r="V4647" t="n">
        <v>30</v>
      </c>
      <c r="W4647" t="n">
        <v>5</v>
      </c>
      <c r="X4647" t="n">
        <v>102.5641025641026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8099</v>
      </c>
      <c r="AG4647" t="n">
        <v>1</v>
      </c>
      <c r="AH4647" t="inlineStr">
        <is>
          <t>PT. BERSAMA DISTRIVERSA INDONESIA (DC CIPUTAT)</t>
        </is>
      </c>
      <c r="AI4647" t="n">
        <v>1876</v>
      </c>
      <c r="AJ4647" t="inlineStr">
        <is>
          <t>REMIMPI</t>
        </is>
      </c>
      <c r="AK4647" t="n">
        <v>21</v>
      </c>
      <c r="AL4647" t="inlineStr">
        <is>
          <t>Miss Glam Damar</t>
        </is>
      </c>
      <c r="AM4647" t="n">
        <v>4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RESIK V</t>
        </is>
      </c>
      <c r="B4648" s="2">
        <f>"8993417168215"</f>
        <v/>
      </c>
      <c r="C4648" t="inlineStr">
        <is>
          <t>RESIK V Godokan Sirih 100ml</t>
        </is>
      </c>
      <c r="D4648" t="inlineStr">
        <is>
          <t>Miss Glam Damar</t>
        </is>
      </c>
      <c r="E4648" t="n">
        <v>5</v>
      </c>
      <c r="F4648" t="n">
        <v>0.2639</v>
      </c>
      <c r="G4648" t="n">
        <v>1.82</v>
      </c>
      <c r="H4648" t="n">
        <v>3</v>
      </c>
      <c r="I4648" t="n">
        <v>30</v>
      </c>
      <c r="J4648" t="n">
        <v>3</v>
      </c>
      <c r="K4648" t="n">
        <v>0</v>
      </c>
      <c r="L4648" t="n">
        <v>20200</v>
      </c>
      <c r="M4648" t="n">
        <v>24000</v>
      </c>
      <c r="N4648" t="n">
        <v>91</v>
      </c>
      <c r="O4648" t="n">
        <v>0.91</v>
      </c>
      <c r="P4648" t="n">
        <v>1</v>
      </c>
      <c r="Q4648" t="n">
        <v>0.22</v>
      </c>
      <c r="R4648" t="n">
        <v>2</v>
      </c>
      <c r="S4648" t="n">
        <v>6333.599999999999</v>
      </c>
      <c r="T4648" t="n">
        <v>54</v>
      </c>
      <c r="U4648" t="n">
        <v>55</v>
      </c>
      <c r="V4648" t="n">
        <v>30</v>
      </c>
      <c r="W4648" t="n">
        <v>8</v>
      </c>
      <c r="X4648" t="n">
        <v>18.9465706707086</v>
      </c>
      <c r="Y4648" t="n">
        <v>1</v>
      </c>
      <c r="Z4648" t="n">
        <v>3</v>
      </c>
      <c r="AA4648" t="n">
        <v>3</v>
      </c>
      <c r="AB4648" t="n">
        <v>0</v>
      </c>
      <c r="AC4648" t="n">
        <v>0</v>
      </c>
      <c r="AD4648" t="n">
        <v>60600</v>
      </c>
      <c r="AE4648" t="n">
        <v>0</v>
      </c>
      <c r="AF4648" t="n">
        <v>13386</v>
      </c>
      <c r="AG4648" t="n">
        <v>64</v>
      </c>
      <c r="AH4648" t="inlineStr">
        <is>
          <t>PT. YUSUF KOSASIH - PPN  (PDG)</t>
        </is>
      </c>
      <c r="AI4648" t="n">
        <v>133</v>
      </c>
      <c r="AJ4648" t="inlineStr">
        <is>
          <t>RESIK V</t>
        </is>
      </c>
      <c r="AK4648" t="n">
        <v>21</v>
      </c>
      <c r="AL4648" t="inlineStr">
        <is>
          <t>Miss Glam Damar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RESIK V</t>
        </is>
      </c>
      <c r="B4649" s="2">
        <f>"8993417165115"</f>
        <v/>
      </c>
      <c r="C4649" t="inlineStr">
        <is>
          <t>RESIK V Khasiat Manjakani 90ml</t>
        </is>
      </c>
      <c r="D4649" t="inlineStr">
        <is>
          <t>Miss Glam Damar</t>
        </is>
      </c>
      <c r="E4649" t="n">
        <v>6</v>
      </c>
      <c r="F4649" t="n">
        <v>0.1547</v>
      </c>
      <c r="G4649" t="n">
        <v>1.82</v>
      </c>
      <c r="H4649" t="n">
        <v>3</v>
      </c>
      <c r="I4649" t="n">
        <v>30</v>
      </c>
      <c r="J4649" t="n">
        <v>3</v>
      </c>
      <c r="K4649" t="n">
        <v>0</v>
      </c>
      <c r="L4649" t="n">
        <v>18466</v>
      </c>
      <c r="M4649" t="n">
        <v>25000</v>
      </c>
      <c r="N4649" t="n">
        <v>91</v>
      </c>
      <c r="O4649" t="n">
        <v>0.91</v>
      </c>
      <c r="P4649" t="n">
        <v>1</v>
      </c>
      <c r="Q4649" t="n">
        <v>0.15</v>
      </c>
      <c r="R4649" t="n">
        <v>1</v>
      </c>
      <c r="S4649" t="n">
        <v>3867.5</v>
      </c>
      <c r="T4649" t="n">
        <v>55</v>
      </c>
      <c r="U4649" t="n">
        <v>56</v>
      </c>
      <c r="V4649" t="n">
        <v>30</v>
      </c>
      <c r="W4649" t="n">
        <v>5</v>
      </c>
      <c r="X4649" t="n">
        <v>38.78474466709761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13386</v>
      </c>
      <c r="AG4649" t="n">
        <v>64</v>
      </c>
      <c r="AH4649" t="inlineStr">
        <is>
          <t>PT. YUSUF KOSASIH - PPN  (PDG)</t>
        </is>
      </c>
      <c r="AI4649" t="n">
        <v>133</v>
      </c>
      <c r="AJ4649" t="inlineStr">
        <is>
          <t>RESIK V</t>
        </is>
      </c>
      <c r="AK4649" t="n">
        <v>21</v>
      </c>
      <c r="AL4649" t="inlineStr">
        <is>
          <t>Miss Glam Damar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REXONA</t>
        </is>
      </c>
      <c r="B4650" s="2">
        <f>"8999999049454"</f>
        <v/>
      </c>
      <c r="C4650" t="inlineStr">
        <is>
          <t>REXONA Deo Free Spirit  45ml</t>
        </is>
      </c>
      <c r="D4650" t="inlineStr">
        <is>
          <t>Miss Glam Damar</t>
        </is>
      </c>
      <c r="E4650" t="n">
        <v>20</v>
      </c>
      <c r="F4650" t="n">
        <v>0.6279</v>
      </c>
      <c r="G4650" t="n">
        <v>4.55</v>
      </c>
      <c r="H4650" t="n">
        <v>3</v>
      </c>
      <c r="I4650" t="n">
        <v>5</v>
      </c>
      <c r="J4650" t="n">
        <v>3</v>
      </c>
      <c r="K4650" t="n">
        <v>0</v>
      </c>
      <c r="L4650" t="n">
        <v>15856</v>
      </c>
      <c r="M4650" t="n">
        <v>23500</v>
      </c>
      <c r="N4650" t="n">
        <v>91</v>
      </c>
      <c r="O4650" t="n">
        <v>0.91</v>
      </c>
      <c r="P4650" t="n">
        <v>1</v>
      </c>
      <c r="Q4650" t="n">
        <v>0.42</v>
      </c>
      <c r="R4650" t="n">
        <v>3</v>
      </c>
      <c r="S4650" t="n">
        <v>14755.65</v>
      </c>
      <c r="T4650" t="n">
        <v>21</v>
      </c>
      <c r="U4650" t="n">
        <v>23</v>
      </c>
      <c r="V4650" t="n">
        <v>30</v>
      </c>
      <c r="W4650" t="n">
        <v>19</v>
      </c>
      <c r="X4650" t="n">
        <v>31.85220576524924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1563</v>
      </c>
      <c r="AG4650" t="n">
        <v>361</v>
      </c>
      <c r="AH4650" t="inlineStr">
        <is>
          <t>CV. SERBA SERBI - PPN (PDG)</t>
        </is>
      </c>
      <c r="AI4650" t="n">
        <v>362</v>
      </c>
      <c r="AJ4650" t="inlineStr">
        <is>
          <t>REXONA</t>
        </is>
      </c>
      <c r="AK4650" t="n">
        <v>21</v>
      </c>
      <c r="AL4650" t="inlineStr">
        <is>
          <t>Miss Glam Damar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REXONA</t>
        </is>
      </c>
      <c r="B4651" s="2">
        <f>"8999999049485"</f>
        <v/>
      </c>
      <c r="C4651" t="inlineStr">
        <is>
          <t>REXONA Deo Passion 45ml</t>
        </is>
      </c>
      <c r="D4651" t="inlineStr">
        <is>
          <t>Miss Glam Damar</t>
        </is>
      </c>
      <c r="E4651" t="n">
        <v>4</v>
      </c>
      <c r="F4651" t="n">
        <v>0.1274</v>
      </c>
      <c r="G4651" t="n">
        <v>1.82</v>
      </c>
      <c r="H4651" t="n">
        <v>3</v>
      </c>
      <c r="I4651" t="n">
        <v>5</v>
      </c>
      <c r="J4651" t="n">
        <v>3</v>
      </c>
      <c r="K4651" t="n">
        <v>0</v>
      </c>
      <c r="L4651" t="n">
        <v>17374</v>
      </c>
      <c r="M4651" t="n">
        <v>20500</v>
      </c>
      <c r="N4651" t="n">
        <v>91</v>
      </c>
      <c r="O4651" t="n">
        <v>0.91</v>
      </c>
      <c r="P4651" t="n">
        <v>1</v>
      </c>
      <c r="Q4651" t="n">
        <v>0.15</v>
      </c>
      <c r="R4651" t="n">
        <v>2</v>
      </c>
      <c r="S4651" t="n">
        <v>2611.7</v>
      </c>
      <c r="T4651" t="n">
        <v>9</v>
      </c>
      <c r="U4651" t="n">
        <v>10</v>
      </c>
      <c r="V4651" t="n">
        <v>30</v>
      </c>
      <c r="W4651" t="n">
        <v>4</v>
      </c>
      <c r="X4651" t="n">
        <v>31.39717425431711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1563</v>
      </c>
      <c r="AG4651" t="n">
        <v>361</v>
      </c>
      <c r="AH4651" t="inlineStr">
        <is>
          <t>CV. SERBA SERBI - PPN (PDG)</t>
        </is>
      </c>
      <c r="AI4651" t="n">
        <v>362</v>
      </c>
      <c r="AJ4651" t="inlineStr">
        <is>
          <t>REXONA</t>
        </is>
      </c>
      <c r="AK4651" t="n">
        <v>21</v>
      </c>
      <c r="AL4651" t="inlineStr">
        <is>
          <t>Miss Glam Damar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REXONA</t>
        </is>
      </c>
      <c r="B4652" s="2">
        <f>"8999999049447"</f>
        <v/>
      </c>
      <c r="C4652" t="inlineStr">
        <is>
          <t>REXONA Deo Vitamin + Bright Advanced Brightening 45ml</t>
        </is>
      </c>
      <c r="D4652" t="inlineStr">
        <is>
          <t>Miss Glam Damar</t>
        </is>
      </c>
      <c r="E4652" t="n">
        <v>40</v>
      </c>
      <c r="F4652" t="n">
        <v>1.0374</v>
      </c>
      <c r="G4652" t="n">
        <v>3.64</v>
      </c>
      <c r="H4652" t="n">
        <v>3</v>
      </c>
      <c r="I4652" t="n">
        <v>5</v>
      </c>
      <c r="J4652" t="n">
        <v>3</v>
      </c>
      <c r="K4652" t="n">
        <v>0</v>
      </c>
      <c r="L4652" t="n">
        <v>19740</v>
      </c>
      <c r="M4652" t="n">
        <v>26000</v>
      </c>
      <c r="N4652" t="n">
        <v>91</v>
      </c>
      <c r="O4652" t="n">
        <v>0.91</v>
      </c>
      <c r="P4652" t="n">
        <v>1</v>
      </c>
      <c r="Q4652" t="n">
        <v>0.8</v>
      </c>
      <c r="R4652" t="n">
        <v>3</v>
      </c>
      <c r="S4652" t="n">
        <v>26972.4</v>
      </c>
      <c r="T4652" t="n">
        <v>16</v>
      </c>
      <c r="U4652" t="n">
        <v>20</v>
      </c>
      <c r="V4652" t="n">
        <v>30</v>
      </c>
      <c r="W4652" t="n">
        <v>32</v>
      </c>
      <c r="X4652" t="n">
        <v>38.5579332947754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1563</v>
      </c>
      <c r="AG4652" t="n">
        <v>361</v>
      </c>
      <c r="AH4652" t="inlineStr">
        <is>
          <t>CV. SERBA SERBI - PPN (PDG)</t>
        </is>
      </c>
      <c r="AI4652" t="n">
        <v>362</v>
      </c>
      <c r="AJ4652" t="inlineStr">
        <is>
          <t>REXONA</t>
        </is>
      </c>
      <c r="AK4652" t="n">
        <v>21</v>
      </c>
      <c r="AL4652" t="inlineStr">
        <is>
          <t>Miss Glam Damar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REXONA</t>
        </is>
      </c>
      <c r="B4653" s="2">
        <f>"8999999597764"</f>
        <v/>
      </c>
      <c r="C4653" t="inlineStr">
        <is>
          <t>REXONA Deo-Lotion Free Spirit Tube 45gr</t>
        </is>
      </c>
      <c r="D4653" t="inlineStr">
        <is>
          <t>Miss Glam Damar</t>
        </is>
      </c>
      <c r="E4653" t="n">
        <v>9</v>
      </c>
      <c r="F4653" t="n">
        <v>0.6279</v>
      </c>
      <c r="G4653" t="n">
        <v>2.73</v>
      </c>
      <c r="H4653" t="n">
        <v>3</v>
      </c>
      <c r="I4653" t="n">
        <v>5</v>
      </c>
      <c r="J4653" t="n">
        <v>3</v>
      </c>
      <c r="K4653" t="n">
        <v>0</v>
      </c>
      <c r="L4653" t="n">
        <v>12934</v>
      </c>
      <c r="M4653" t="n">
        <v>19500</v>
      </c>
      <c r="N4653" t="n">
        <v>91</v>
      </c>
      <c r="O4653" t="n">
        <v>0.91</v>
      </c>
      <c r="P4653" t="n">
        <v>1</v>
      </c>
      <c r="Q4653" t="n">
        <v>0.27</v>
      </c>
      <c r="R4653" t="n">
        <v>1</v>
      </c>
      <c r="S4653" t="n">
        <v>12244.05</v>
      </c>
      <c r="T4653" t="n">
        <v>12</v>
      </c>
      <c r="U4653" t="n">
        <v>14</v>
      </c>
      <c r="V4653" t="n">
        <v>30</v>
      </c>
      <c r="W4653" t="n">
        <v>19</v>
      </c>
      <c r="X4653" t="n">
        <v>14.33349259436216</v>
      </c>
      <c r="Y4653" t="n">
        <v>1</v>
      </c>
      <c r="Z4653" t="n">
        <v>10</v>
      </c>
      <c r="AA4653" t="n">
        <v>0</v>
      </c>
      <c r="AB4653" t="n">
        <v>10</v>
      </c>
      <c r="AC4653" t="n">
        <v>10</v>
      </c>
      <c r="AD4653" t="n">
        <v>0</v>
      </c>
      <c r="AE4653" t="n">
        <v>129340</v>
      </c>
      <c r="AF4653" t="n">
        <v>1563</v>
      </c>
      <c r="AG4653" t="n">
        <v>361</v>
      </c>
      <c r="AH4653" t="inlineStr">
        <is>
          <t>CV. SERBA SERBI - PPN (PDG)</t>
        </is>
      </c>
      <c r="AI4653" t="n">
        <v>362</v>
      </c>
      <c r="AJ4653" t="inlineStr">
        <is>
          <t>REXONA</t>
        </is>
      </c>
      <c r="AK4653" t="n">
        <v>21</v>
      </c>
      <c r="AL4653" t="inlineStr">
        <is>
          <t>Miss Glam Damar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REXONA</t>
        </is>
      </c>
      <c r="B4654" s="2">
        <f>"8999999049461"</f>
        <v/>
      </c>
      <c r="C4654" t="inlineStr">
        <is>
          <t>REXONA Deodorant Invisible Dry + Fresh 45ml</t>
        </is>
      </c>
      <c r="D4654" t="inlineStr">
        <is>
          <t>Miss Glam Damar</t>
        </is>
      </c>
      <c r="E4654" t="n">
        <v>0</v>
      </c>
      <c r="F4654" t="n">
        <v>0.1274</v>
      </c>
      <c r="G4654" t="n">
        <v>0.91</v>
      </c>
      <c r="H4654" t="n">
        <v>3</v>
      </c>
      <c r="I4654" t="n">
        <v>5</v>
      </c>
      <c r="J4654" t="n">
        <v>3</v>
      </c>
      <c r="K4654" t="n">
        <v>0</v>
      </c>
      <c r="L4654" t="n">
        <v>17323</v>
      </c>
      <c r="M4654" t="n">
        <v>24000</v>
      </c>
      <c r="N4654" t="n">
        <v>91</v>
      </c>
      <c r="O4654" t="n">
        <v>0.91</v>
      </c>
      <c r="P4654" t="n">
        <v>1</v>
      </c>
      <c r="Q4654" t="n">
        <v>0.12</v>
      </c>
      <c r="R4654" t="n">
        <v>2</v>
      </c>
      <c r="S4654" t="n">
        <v>3057.6</v>
      </c>
      <c r="T4654" t="n">
        <v>5</v>
      </c>
      <c r="U4654" t="n">
        <v>6</v>
      </c>
      <c r="V4654" t="n">
        <v>30</v>
      </c>
      <c r="W4654" t="n">
        <v>4</v>
      </c>
      <c r="X4654" t="n">
        <v>0</v>
      </c>
      <c r="Y4654" t="n">
        <v>1</v>
      </c>
      <c r="Z4654" t="n">
        <v>4</v>
      </c>
      <c r="AA4654" t="n">
        <v>1</v>
      </c>
      <c r="AB4654" t="n">
        <v>3</v>
      </c>
      <c r="AC4654" t="n">
        <v>3</v>
      </c>
      <c r="AD4654" t="n">
        <v>17323</v>
      </c>
      <c r="AE4654" t="n">
        <v>51969</v>
      </c>
      <c r="AF4654" t="n">
        <v>1563</v>
      </c>
      <c r="AG4654" t="n">
        <v>361</v>
      </c>
      <c r="AH4654" t="inlineStr">
        <is>
          <t>CV. SERBA SERBI - PPN (PDG)</t>
        </is>
      </c>
      <c r="AI4654" t="n">
        <v>362</v>
      </c>
      <c r="AJ4654" t="inlineStr">
        <is>
          <t>REXONA</t>
        </is>
      </c>
      <c r="AK4654" t="n">
        <v>21</v>
      </c>
      <c r="AL4654" t="inlineStr">
        <is>
          <t>Miss Glam Damar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REXONA</t>
        </is>
      </c>
      <c r="B4655" s="2">
        <f>"8999999520175"</f>
        <v/>
      </c>
      <c r="C4655" t="inlineStr">
        <is>
          <t>REXONA Deodorant Roll On Invisible + Antibacterial 45ml</t>
        </is>
      </c>
      <c r="D4655" t="inlineStr">
        <is>
          <t>Miss Glam Damar</t>
        </is>
      </c>
      <c r="E4655" t="n">
        <v>4</v>
      </c>
      <c r="F4655" t="n">
        <v>0.2639</v>
      </c>
      <c r="G4655" t="n">
        <v>1.82</v>
      </c>
      <c r="H4655" t="n">
        <v>3</v>
      </c>
      <c r="I4655" t="n">
        <v>5</v>
      </c>
      <c r="J4655" t="n">
        <v>3</v>
      </c>
      <c r="K4655" t="n">
        <v>0</v>
      </c>
      <c r="L4655" t="n">
        <v>21340</v>
      </c>
      <c r="M4655" t="n">
        <v>25500</v>
      </c>
      <c r="N4655" t="n">
        <v>91</v>
      </c>
      <c r="O4655" t="n">
        <v>0.91</v>
      </c>
      <c r="P4655" t="n">
        <v>1</v>
      </c>
      <c r="Q4655" t="n">
        <v>0.1</v>
      </c>
      <c r="R4655" t="n">
        <v>1</v>
      </c>
      <c r="S4655" t="n">
        <v>6729.449999999999</v>
      </c>
      <c r="T4655" t="n">
        <v>9</v>
      </c>
      <c r="U4655" t="n">
        <v>10</v>
      </c>
      <c r="V4655" t="n">
        <v>30</v>
      </c>
      <c r="W4655" t="n">
        <v>8</v>
      </c>
      <c r="X4655" t="n">
        <v>15.15725653656688</v>
      </c>
      <c r="Y4655" t="n">
        <v>1</v>
      </c>
      <c r="Z4655" t="n">
        <v>4</v>
      </c>
      <c r="AA4655" t="n">
        <v>0</v>
      </c>
      <c r="AB4655" t="n">
        <v>4</v>
      </c>
      <c r="AC4655" t="n">
        <v>4</v>
      </c>
      <c r="AD4655" t="n">
        <v>0</v>
      </c>
      <c r="AE4655" t="n">
        <v>85360</v>
      </c>
      <c r="AF4655" t="n">
        <v>1563</v>
      </c>
      <c r="AG4655" t="n">
        <v>361</v>
      </c>
      <c r="AH4655" t="inlineStr">
        <is>
          <t>CV. SERBA SERBI - PPN (PDG)</t>
        </is>
      </c>
      <c r="AI4655" t="n">
        <v>362</v>
      </c>
      <c r="AJ4655" t="inlineStr">
        <is>
          <t>REXONA</t>
        </is>
      </c>
      <c r="AK4655" t="n">
        <v>21</v>
      </c>
      <c r="AL4655" t="inlineStr">
        <is>
          <t>Miss Glam Damar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REXONA</t>
        </is>
      </c>
      <c r="B4656" s="2">
        <f>"8999999049492"</f>
        <v/>
      </c>
      <c r="C4656" t="inlineStr">
        <is>
          <t>REXONA Deodorant Roll On Powder Dry 45ml Anti Bakteri</t>
        </is>
      </c>
      <c r="D4656" t="inlineStr">
        <is>
          <t>Miss Glam Damar</t>
        </is>
      </c>
      <c r="E4656" t="n">
        <v>12</v>
      </c>
      <c r="F4656" t="n">
        <v>0.6461</v>
      </c>
      <c r="G4656" t="n">
        <v>2.73</v>
      </c>
      <c r="H4656" t="n">
        <v>3</v>
      </c>
      <c r="I4656" t="n">
        <v>5</v>
      </c>
      <c r="J4656" t="n">
        <v>3</v>
      </c>
      <c r="K4656" t="n">
        <v>0</v>
      </c>
      <c r="L4656" t="n">
        <v>16691</v>
      </c>
      <c r="M4656" t="n">
        <v>22000</v>
      </c>
      <c r="N4656" t="n">
        <v>91</v>
      </c>
      <c r="O4656" t="n">
        <v>0.91</v>
      </c>
      <c r="P4656" t="n">
        <v>1</v>
      </c>
      <c r="Q4656" t="n">
        <v>0.34</v>
      </c>
      <c r="R4656" t="n">
        <v>5</v>
      </c>
      <c r="S4656" t="n">
        <v>14214.2</v>
      </c>
      <c r="T4656" t="n">
        <v>12</v>
      </c>
      <c r="U4656" t="n">
        <v>14</v>
      </c>
      <c r="V4656" t="n">
        <v>30</v>
      </c>
      <c r="W4656" t="n">
        <v>20</v>
      </c>
      <c r="X4656" t="n">
        <v>18.57297631945519</v>
      </c>
      <c r="Y4656" t="n">
        <v>1</v>
      </c>
      <c r="Z4656" t="n">
        <v>8</v>
      </c>
      <c r="AA4656" t="n">
        <v>0</v>
      </c>
      <c r="AB4656" t="n">
        <v>8</v>
      </c>
      <c r="AC4656" t="n">
        <v>8</v>
      </c>
      <c r="AD4656" t="n">
        <v>0</v>
      </c>
      <c r="AE4656" t="n">
        <v>133528</v>
      </c>
      <c r="AF4656" t="n">
        <v>1563</v>
      </c>
      <c r="AG4656" t="n">
        <v>361</v>
      </c>
      <c r="AH4656" t="inlineStr">
        <is>
          <t>CV. SERBA SERBI - PPN (PDG)</t>
        </is>
      </c>
      <c r="AI4656" t="n">
        <v>362</v>
      </c>
      <c r="AJ4656" t="inlineStr">
        <is>
          <t>REXONA</t>
        </is>
      </c>
      <c r="AK4656" t="n">
        <v>21</v>
      </c>
      <c r="AL4656" t="inlineStr">
        <is>
          <t>Miss Glam Damar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REXONA</t>
        </is>
      </c>
      <c r="B4657" s="2">
        <f>"8999999548650"</f>
        <v/>
      </c>
      <c r="C4657" t="inlineStr">
        <is>
          <t>REXONA Dry Serum Natural Brightening Fresh Sakura 50ml</t>
        </is>
      </c>
      <c r="D4657" t="inlineStr">
        <is>
          <t>Miss Glam Damar</t>
        </is>
      </c>
      <c r="E4657" t="n">
        <v>22</v>
      </c>
      <c r="F4657" t="n">
        <v>0.8644999999999999</v>
      </c>
      <c r="G4657" t="n">
        <v>4.55</v>
      </c>
      <c r="H4657" t="n">
        <v>3</v>
      </c>
      <c r="I4657" t="n">
        <v>5</v>
      </c>
      <c r="J4657" t="n">
        <v>3</v>
      </c>
      <c r="K4657" t="n">
        <v>0</v>
      </c>
      <c r="L4657" t="n">
        <v>20556</v>
      </c>
      <c r="M4657" t="n">
        <v>24500</v>
      </c>
      <c r="N4657" t="n">
        <v>91</v>
      </c>
      <c r="O4657" t="n">
        <v>0.91</v>
      </c>
      <c r="P4657" t="n">
        <v>1</v>
      </c>
      <c r="Q4657" t="n">
        <v>0.8100000000000001</v>
      </c>
      <c r="R4657" t="n">
        <v>4</v>
      </c>
      <c r="S4657" t="n">
        <v>21180.25</v>
      </c>
      <c r="T4657" t="n">
        <v>21</v>
      </c>
      <c r="U4657" t="n">
        <v>24</v>
      </c>
      <c r="V4657" t="n">
        <v>30</v>
      </c>
      <c r="W4657" t="n">
        <v>26</v>
      </c>
      <c r="X4657" t="n">
        <v>25.44823597455177</v>
      </c>
      <c r="Y4657" t="n">
        <v>1</v>
      </c>
      <c r="Z4657" t="n">
        <v>4</v>
      </c>
      <c r="AA4657" t="n">
        <v>0</v>
      </c>
      <c r="AB4657" t="n">
        <v>4</v>
      </c>
      <c r="AC4657" t="n">
        <v>4</v>
      </c>
      <c r="AD4657" t="n">
        <v>0</v>
      </c>
      <c r="AE4657" t="n">
        <v>82224</v>
      </c>
      <c r="AF4657" t="n">
        <v>1563</v>
      </c>
      <c r="AG4657" t="n">
        <v>361</v>
      </c>
      <c r="AH4657" t="inlineStr">
        <is>
          <t>CV. SERBA SERBI - PPN (PDG)</t>
        </is>
      </c>
      <c r="AI4657" t="n">
        <v>362</v>
      </c>
      <c r="AJ4657" t="inlineStr">
        <is>
          <t>REXONA</t>
        </is>
      </c>
      <c r="AK4657" t="n">
        <v>21</v>
      </c>
      <c r="AL4657" t="inlineStr">
        <is>
          <t>Miss Glam Damar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REXONA</t>
        </is>
      </c>
      <c r="B4658" s="2">
        <f>"8999999534660"</f>
        <v/>
      </c>
      <c r="C4658" t="inlineStr">
        <is>
          <t>REXONA For Gilrs Dreamy Bright 40ml</t>
        </is>
      </c>
      <c r="D4658" t="inlineStr">
        <is>
          <t>Miss Glam Damar</t>
        </is>
      </c>
      <c r="E4658" t="n">
        <v>18</v>
      </c>
      <c r="F4658" t="n">
        <v>0.7280000000000001</v>
      </c>
      <c r="G4658" t="n">
        <v>3.64</v>
      </c>
      <c r="H4658" t="n">
        <v>3</v>
      </c>
      <c r="I4658" t="n">
        <v>5</v>
      </c>
      <c r="J4658" t="n">
        <v>12</v>
      </c>
      <c r="K4658" t="n">
        <v>0</v>
      </c>
      <c r="L4658" t="n">
        <v>13276</v>
      </c>
      <c r="M4658" t="n">
        <v>17000</v>
      </c>
      <c r="N4658" t="n">
        <v>91</v>
      </c>
      <c r="O4658" t="n">
        <v>0.91</v>
      </c>
      <c r="P4658" t="n">
        <v>1</v>
      </c>
      <c r="Q4658" t="n">
        <v>0.58</v>
      </c>
      <c r="R4658" t="n">
        <v>2</v>
      </c>
      <c r="S4658" t="n">
        <v>12376</v>
      </c>
      <c r="T4658" t="n">
        <v>17</v>
      </c>
      <c r="U4658" t="n">
        <v>20</v>
      </c>
      <c r="V4658" t="n">
        <v>30</v>
      </c>
      <c r="W4658" t="n">
        <v>22</v>
      </c>
      <c r="X4658" t="n">
        <v>24.72527472527472</v>
      </c>
      <c r="Y4658" t="n">
        <v>1</v>
      </c>
      <c r="Z4658" t="n">
        <v>4</v>
      </c>
      <c r="AA4658" t="n">
        <v>0</v>
      </c>
      <c r="AB4658" t="n">
        <v>4</v>
      </c>
      <c r="AC4658" t="n">
        <v>12</v>
      </c>
      <c r="AD4658" t="n">
        <v>0</v>
      </c>
      <c r="AE4658" t="n">
        <v>159312</v>
      </c>
      <c r="AF4658" t="n">
        <v>1563</v>
      </c>
      <c r="AG4658" t="n">
        <v>361</v>
      </c>
      <c r="AH4658" t="inlineStr">
        <is>
          <t>CV. SERBA SERBI - PPN (PDG)</t>
        </is>
      </c>
      <c r="AI4658" t="n">
        <v>362</v>
      </c>
      <c r="AJ4658" t="inlineStr">
        <is>
          <t>REXONA</t>
        </is>
      </c>
      <c r="AK4658" t="n">
        <v>21</v>
      </c>
      <c r="AL4658" t="inlineStr">
        <is>
          <t>Miss Glam Damar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REXONA</t>
        </is>
      </c>
      <c r="B4659" s="2">
        <f>"8999999534677"</f>
        <v/>
      </c>
      <c r="C4659" t="inlineStr">
        <is>
          <t>REXONA for Girls Glowing White 40ml</t>
        </is>
      </c>
      <c r="D4659" t="inlineStr">
        <is>
          <t>Miss Glam Damar</t>
        </is>
      </c>
      <c r="E4659" t="n">
        <v>34</v>
      </c>
      <c r="F4659" t="n">
        <v>0.7826</v>
      </c>
      <c r="G4659" t="n">
        <v>2.73</v>
      </c>
      <c r="H4659" t="n">
        <v>3</v>
      </c>
      <c r="I4659" t="n">
        <v>5</v>
      </c>
      <c r="J4659" t="n">
        <v>3</v>
      </c>
      <c r="K4659" t="n">
        <v>0</v>
      </c>
      <c r="L4659" t="n">
        <v>11982</v>
      </c>
      <c r="M4659" t="n">
        <v>17000</v>
      </c>
      <c r="N4659" t="n">
        <v>91</v>
      </c>
      <c r="O4659" t="n">
        <v>0.91</v>
      </c>
      <c r="P4659" t="n">
        <v>1</v>
      </c>
      <c r="Q4659" t="n">
        <v>0.6899999999999999</v>
      </c>
      <c r="R4659" t="n">
        <v>2</v>
      </c>
      <c r="S4659" t="n">
        <v>13304.2</v>
      </c>
      <c r="T4659" t="n">
        <v>12</v>
      </c>
      <c r="U4659" t="n">
        <v>15</v>
      </c>
      <c r="V4659" t="n">
        <v>30</v>
      </c>
      <c r="W4659" t="n">
        <v>24</v>
      </c>
      <c r="X4659" t="n">
        <v>43.4449271658574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1563</v>
      </c>
      <c r="AG4659" t="n">
        <v>361</v>
      </c>
      <c r="AH4659" t="inlineStr">
        <is>
          <t>CV. SERBA SERBI - PPN (PDG)</t>
        </is>
      </c>
      <c r="AI4659" t="n">
        <v>362</v>
      </c>
      <c r="AJ4659" t="inlineStr">
        <is>
          <t>REXONA</t>
        </is>
      </c>
      <c r="AK4659" t="n">
        <v>21</v>
      </c>
      <c r="AL4659" t="inlineStr">
        <is>
          <t>Miss Glam Damar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REXONA</t>
        </is>
      </c>
      <c r="B4660" s="2">
        <f>"8999999582661"</f>
        <v/>
      </c>
      <c r="C4660" t="inlineStr">
        <is>
          <t>REXONA Hijab Natural Peach &amp; Mint Cool 45ml</t>
        </is>
      </c>
      <c r="D4660" t="inlineStr">
        <is>
          <t>Miss Glam Damar</t>
        </is>
      </c>
      <c r="E4660" t="n">
        <v>11</v>
      </c>
      <c r="F4660" t="n">
        <v>0.2275</v>
      </c>
      <c r="G4660" t="n">
        <v>1.82</v>
      </c>
      <c r="H4660" t="n">
        <v>3</v>
      </c>
      <c r="I4660" t="n">
        <v>5</v>
      </c>
      <c r="J4660" t="n">
        <v>3</v>
      </c>
      <c r="K4660" t="n">
        <v>0</v>
      </c>
      <c r="L4660" t="n">
        <v>19715</v>
      </c>
      <c r="M4660" t="n">
        <v>26000</v>
      </c>
      <c r="N4660" t="n">
        <v>91</v>
      </c>
      <c r="O4660" t="n">
        <v>0.91</v>
      </c>
      <c r="P4660" t="n">
        <v>1</v>
      </c>
      <c r="Q4660" t="n">
        <v>0.22</v>
      </c>
      <c r="R4660" t="n">
        <v>2</v>
      </c>
      <c r="S4660" t="n">
        <v>5915</v>
      </c>
      <c r="T4660" t="n">
        <v>9</v>
      </c>
      <c r="U4660" t="n">
        <v>10</v>
      </c>
      <c r="V4660" t="n">
        <v>30</v>
      </c>
      <c r="W4660" t="n">
        <v>7</v>
      </c>
      <c r="X4660" t="n">
        <v>48.35164835164835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1563</v>
      </c>
      <c r="AG4660" t="n">
        <v>361</v>
      </c>
      <c r="AH4660" t="inlineStr">
        <is>
          <t>CV. SERBA SERBI - PPN (PDG)</t>
        </is>
      </c>
      <c r="AI4660" t="n">
        <v>362</v>
      </c>
      <c r="AJ4660" t="inlineStr">
        <is>
          <t>REXONA</t>
        </is>
      </c>
      <c r="AK4660" t="n">
        <v>21</v>
      </c>
      <c r="AL4660" t="inlineStr">
        <is>
          <t>Miss Glam Damar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REXONA</t>
        </is>
      </c>
      <c r="B4661" s="2">
        <f>"8999999602802"</f>
        <v/>
      </c>
      <c r="C4661" t="inlineStr">
        <is>
          <t>REXONA Vitamin + Bright Advanced Smooth 45ml</t>
        </is>
      </c>
      <c r="D4661" t="inlineStr">
        <is>
          <t>Miss Glam Damar</t>
        </is>
      </c>
      <c r="E4661" t="n">
        <v>4</v>
      </c>
      <c r="F4661" t="n">
        <v>0.1729</v>
      </c>
      <c r="G4661" t="n">
        <v>1.82</v>
      </c>
      <c r="H4661" t="n">
        <v>3</v>
      </c>
      <c r="I4661" t="n">
        <v>5</v>
      </c>
      <c r="J4661" t="n">
        <v>3</v>
      </c>
      <c r="K4661" t="n">
        <v>0</v>
      </c>
      <c r="L4661" t="n">
        <v>19945</v>
      </c>
      <c r="M4661" t="n">
        <v>26000</v>
      </c>
      <c r="N4661" t="n">
        <v>91</v>
      </c>
      <c r="O4661" t="n">
        <v>0.91</v>
      </c>
      <c r="P4661" t="n">
        <v>1</v>
      </c>
      <c r="Q4661" t="n">
        <v>0.22</v>
      </c>
      <c r="R4661" t="n">
        <v>2</v>
      </c>
      <c r="S4661" t="n">
        <v>4495.4</v>
      </c>
      <c r="T4661" t="n">
        <v>9</v>
      </c>
      <c r="U4661" t="n">
        <v>10</v>
      </c>
      <c r="V4661" t="n">
        <v>30</v>
      </c>
      <c r="W4661" t="n">
        <v>6</v>
      </c>
      <c r="X4661" t="n">
        <v>23.13475997686524</v>
      </c>
      <c r="Y4661" t="n">
        <v>1</v>
      </c>
      <c r="Z4661" t="n">
        <v>2</v>
      </c>
      <c r="AA4661" t="n">
        <v>0</v>
      </c>
      <c r="AB4661" t="n">
        <v>2</v>
      </c>
      <c r="AC4661" t="n">
        <v>3</v>
      </c>
      <c r="AD4661" t="n">
        <v>0</v>
      </c>
      <c r="AE4661" t="n">
        <v>59835</v>
      </c>
      <c r="AF4661" t="n">
        <v>1563</v>
      </c>
      <c r="AG4661" t="n">
        <v>361</v>
      </c>
      <c r="AH4661" t="inlineStr">
        <is>
          <t>CV. SERBA SERBI - PPN (PDG)</t>
        </is>
      </c>
      <c r="AI4661" t="n">
        <v>362</v>
      </c>
      <c r="AJ4661" t="inlineStr">
        <is>
          <t>REXONA</t>
        </is>
      </c>
      <c r="AK4661" t="n">
        <v>21</v>
      </c>
      <c r="AL4661" t="inlineStr">
        <is>
          <t>Miss Glam Damar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REXONA</t>
        </is>
      </c>
      <c r="B4662" s="2">
        <f>"8999999049508"</f>
        <v/>
      </c>
      <c r="C4662" t="inlineStr">
        <is>
          <t>REXONA Women Anti Perspirant Deodorant Roll On Shower Clean 45ml</t>
        </is>
      </c>
      <c r="D4662" t="inlineStr">
        <is>
          <t>Miss Glam Damar</t>
        </is>
      </c>
      <c r="E4662" t="n">
        <v>19</v>
      </c>
      <c r="F4662" t="n">
        <v>0.6461</v>
      </c>
      <c r="G4662" t="n">
        <v>2.73</v>
      </c>
      <c r="H4662" t="n">
        <v>3</v>
      </c>
      <c r="I4662" t="n">
        <v>5</v>
      </c>
      <c r="J4662" t="n">
        <v>3</v>
      </c>
      <c r="K4662" t="n">
        <v>0</v>
      </c>
      <c r="L4662" t="n">
        <v>17353</v>
      </c>
      <c r="M4662" t="n">
        <v>21000</v>
      </c>
      <c r="N4662" t="n">
        <v>91</v>
      </c>
      <c r="O4662" t="n">
        <v>0.91</v>
      </c>
      <c r="P4662" t="n">
        <v>1</v>
      </c>
      <c r="Q4662" t="n">
        <v>0.41</v>
      </c>
      <c r="R4662" t="n">
        <v>2</v>
      </c>
      <c r="S4662" t="n">
        <v>13568.1</v>
      </c>
      <c r="T4662" t="n">
        <v>12</v>
      </c>
      <c r="U4662" t="n">
        <v>14</v>
      </c>
      <c r="V4662" t="n">
        <v>30</v>
      </c>
      <c r="W4662" t="n">
        <v>20</v>
      </c>
      <c r="X4662" t="n">
        <v>29.40721250580405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1563</v>
      </c>
      <c r="AG4662" t="n">
        <v>361</v>
      </c>
      <c r="AH4662" t="inlineStr">
        <is>
          <t>CV. SERBA SERBI - PPN (PDG)</t>
        </is>
      </c>
      <c r="AI4662" t="n">
        <v>362</v>
      </c>
      <c r="AJ4662" t="inlineStr">
        <is>
          <t>REXONA</t>
        </is>
      </c>
      <c r="AK4662" t="n">
        <v>21</v>
      </c>
      <c r="AL4662" t="inlineStr">
        <is>
          <t>Miss Glam Damar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REXONA MEN</t>
        </is>
      </c>
      <c r="B4663" s="2">
        <f>"8999999580773"</f>
        <v/>
      </c>
      <c r="C4663" t="inlineStr">
        <is>
          <t>REXONA Men Invisible Dry 72 Jam 45ml</t>
        </is>
      </c>
      <c r="D4663" t="inlineStr">
        <is>
          <t>Miss Glam Damar</t>
        </is>
      </c>
      <c r="E4663" t="n">
        <v>13</v>
      </c>
      <c r="F4663" t="n">
        <v>0.2002</v>
      </c>
      <c r="G4663" t="n">
        <v>1.82</v>
      </c>
      <c r="H4663" t="n">
        <v>3</v>
      </c>
      <c r="I4663" t="n">
        <v>5</v>
      </c>
      <c r="J4663" t="n">
        <v>3</v>
      </c>
      <c r="K4663" t="n">
        <v>0</v>
      </c>
      <c r="L4663" t="n">
        <v>17323</v>
      </c>
      <c r="M4663" t="n">
        <v>20500</v>
      </c>
      <c r="N4663" t="n">
        <v>91</v>
      </c>
      <c r="O4663" t="n">
        <v>0.91</v>
      </c>
      <c r="P4663" t="n">
        <v>1</v>
      </c>
      <c r="Q4663" t="n">
        <v>0.2</v>
      </c>
      <c r="R4663" t="n">
        <v>2</v>
      </c>
      <c r="S4663" t="n">
        <v>4104.1</v>
      </c>
      <c r="T4663" t="n">
        <v>9</v>
      </c>
      <c r="U4663" t="n">
        <v>10</v>
      </c>
      <c r="V4663" t="n">
        <v>30</v>
      </c>
      <c r="W4663" t="n">
        <v>7</v>
      </c>
      <c r="X4663" t="n">
        <v>64.93506493506493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1567</v>
      </c>
      <c r="AG4663" t="n">
        <v>361</v>
      </c>
      <c r="AH4663" t="inlineStr">
        <is>
          <t>CV. SERBA SERBI - PPN (PDG)</t>
        </is>
      </c>
      <c r="AI4663" t="n">
        <v>2283</v>
      </c>
      <c r="AJ4663" t="inlineStr">
        <is>
          <t>REXONA MEN</t>
        </is>
      </c>
      <c r="AK4663" t="n">
        <v>21</v>
      </c>
      <c r="AL4663" t="inlineStr">
        <is>
          <t>Miss Glam Damar</t>
        </is>
      </c>
      <c r="AM4663" t="n">
        <v>2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REXONA MEN</t>
        </is>
      </c>
      <c r="B4664" s="2">
        <f>"8999999580797"</f>
        <v/>
      </c>
      <c r="C4664" t="inlineStr">
        <is>
          <t>REXONA Men Motion Activated Activ-Bright 45ml</t>
        </is>
      </c>
      <c r="D4664" t="inlineStr">
        <is>
          <t>Miss Glam Damar</t>
        </is>
      </c>
      <c r="E4664" t="n">
        <v>5</v>
      </c>
      <c r="F4664" t="n">
        <v>0.09100000000000001</v>
      </c>
      <c r="G4664" t="n">
        <v>0.91</v>
      </c>
      <c r="H4664" t="n">
        <v>3</v>
      </c>
      <c r="I4664" t="n">
        <v>5</v>
      </c>
      <c r="J4664" t="n">
        <v>3</v>
      </c>
      <c r="K4664" t="n">
        <v>0</v>
      </c>
      <c r="L4664" t="n">
        <v>21640</v>
      </c>
      <c r="M4664" t="n">
        <v>25500</v>
      </c>
      <c r="N4664" t="n">
        <v>91</v>
      </c>
      <c r="O4664" t="n">
        <v>0.91</v>
      </c>
      <c r="P4664" t="n">
        <v>1</v>
      </c>
      <c r="Q4664" t="n">
        <v>0.08</v>
      </c>
      <c r="R4664" t="n">
        <v>2</v>
      </c>
      <c r="S4664" t="n">
        <v>2320.5</v>
      </c>
      <c r="T4664" t="n">
        <v>5</v>
      </c>
      <c r="U4664" t="n">
        <v>6</v>
      </c>
      <c r="V4664" t="n">
        <v>30</v>
      </c>
      <c r="W4664" t="n">
        <v>3</v>
      </c>
      <c r="X4664" t="n">
        <v>54.94505494505494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1567</v>
      </c>
      <c r="AG4664" t="n">
        <v>361</v>
      </c>
      <c r="AH4664" t="inlineStr">
        <is>
          <t>CV. SERBA SERBI - PPN (PDG)</t>
        </is>
      </c>
      <c r="AI4664" t="n">
        <v>2283</v>
      </c>
      <c r="AJ4664" t="inlineStr">
        <is>
          <t>REXONA MEN</t>
        </is>
      </c>
      <c r="AK4664" t="n">
        <v>21</v>
      </c>
      <c r="AL4664" t="inlineStr">
        <is>
          <t>Miss Glam Damar</t>
        </is>
      </c>
      <c r="AM4664" t="n">
        <v>2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REXONA MEN</t>
        </is>
      </c>
      <c r="B4665" s="2">
        <f>"8999999580759"</f>
        <v/>
      </c>
      <c r="C4665" t="inlineStr">
        <is>
          <t>REXONA Men Motion Activated Adventure 45ml</t>
        </is>
      </c>
      <c r="D4665" t="inlineStr">
        <is>
          <t>Miss Glam Damar</t>
        </is>
      </c>
      <c r="E4665" t="n">
        <v>2</v>
      </c>
      <c r="F4665" t="n">
        <v>0.09100000000000001</v>
      </c>
      <c r="G4665" t="n">
        <v>0.91</v>
      </c>
      <c r="H4665" t="n">
        <v>3</v>
      </c>
      <c r="I4665" t="n">
        <v>5</v>
      </c>
      <c r="J4665" t="n">
        <v>3</v>
      </c>
      <c r="K4665" t="n">
        <v>0</v>
      </c>
      <c r="L4665" t="n">
        <v>17578</v>
      </c>
      <c r="M4665" t="n">
        <v>21000</v>
      </c>
      <c r="N4665" t="n">
        <v>91</v>
      </c>
      <c r="O4665" t="n">
        <v>0.91</v>
      </c>
      <c r="P4665" t="n">
        <v>1</v>
      </c>
      <c r="Q4665" t="n">
        <v>0.07000000000000001</v>
      </c>
      <c r="R4665" t="n">
        <v>1</v>
      </c>
      <c r="S4665" t="n">
        <v>1911</v>
      </c>
      <c r="T4665" t="n">
        <v>5</v>
      </c>
      <c r="U4665" t="n">
        <v>6</v>
      </c>
      <c r="V4665" t="n">
        <v>30</v>
      </c>
      <c r="W4665" t="n">
        <v>3</v>
      </c>
      <c r="X4665" t="n">
        <v>21.97802197802197</v>
      </c>
      <c r="Y4665" t="n">
        <v>1</v>
      </c>
      <c r="Z4665" t="n">
        <v>1</v>
      </c>
      <c r="AA4665" t="n">
        <v>0</v>
      </c>
      <c r="AB4665" t="n">
        <v>1</v>
      </c>
      <c r="AC4665" t="n">
        <v>3</v>
      </c>
      <c r="AD4665" t="n">
        <v>0</v>
      </c>
      <c r="AE4665" t="n">
        <v>52734</v>
      </c>
      <c r="AF4665" t="n">
        <v>1567</v>
      </c>
      <c r="AG4665" t="n">
        <v>361</v>
      </c>
      <c r="AH4665" t="inlineStr">
        <is>
          <t>CV. SERBA SERBI - PPN (PDG)</t>
        </is>
      </c>
      <c r="AI4665" t="n">
        <v>2283</v>
      </c>
      <c r="AJ4665" t="inlineStr">
        <is>
          <t>REXONA MEN</t>
        </is>
      </c>
      <c r="AK4665" t="n">
        <v>21</v>
      </c>
      <c r="AL4665" t="inlineStr">
        <is>
          <t>Miss Glam Damar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REXONA MEN</t>
        </is>
      </c>
      <c r="B4666" s="2">
        <f>"8999999580735"</f>
        <v/>
      </c>
      <c r="C4666" t="inlineStr">
        <is>
          <t>REXONA MEN Motion Activated Ice Cool 45ml</t>
        </is>
      </c>
      <c r="D4666" t="inlineStr">
        <is>
          <t>Miss Glam Damar</t>
        </is>
      </c>
      <c r="E4666" t="n">
        <v>20</v>
      </c>
      <c r="F4666" t="n">
        <v>0.4004</v>
      </c>
      <c r="G4666" t="n">
        <v>1.82</v>
      </c>
      <c r="H4666" t="n">
        <v>3</v>
      </c>
      <c r="I4666" t="n">
        <v>5</v>
      </c>
      <c r="J4666" t="n">
        <v>3</v>
      </c>
      <c r="K4666" t="n">
        <v>0</v>
      </c>
      <c r="L4666" t="n">
        <v>15615</v>
      </c>
      <c r="M4666" t="n">
        <v>20500</v>
      </c>
      <c r="N4666" t="n">
        <v>91</v>
      </c>
      <c r="O4666" t="n">
        <v>0.91</v>
      </c>
      <c r="P4666" t="n">
        <v>1</v>
      </c>
      <c r="Q4666" t="n">
        <v>0.41</v>
      </c>
      <c r="R4666" t="n">
        <v>2</v>
      </c>
      <c r="S4666" t="n">
        <v>8208.200000000001</v>
      </c>
      <c r="T4666" t="n">
        <v>8</v>
      </c>
      <c r="U4666" t="n">
        <v>10</v>
      </c>
      <c r="V4666" t="n">
        <v>30</v>
      </c>
      <c r="W4666" t="n">
        <v>13</v>
      </c>
      <c r="X4666" t="n">
        <v>49.95004995004994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1567</v>
      </c>
      <c r="AG4666" t="n">
        <v>361</v>
      </c>
      <c r="AH4666" t="inlineStr">
        <is>
          <t>CV. SERBA SERBI - PPN (PDG)</t>
        </is>
      </c>
      <c r="AI4666" t="n">
        <v>2283</v>
      </c>
      <c r="AJ4666" t="inlineStr">
        <is>
          <t>REXONA MEN</t>
        </is>
      </c>
      <c r="AK4666" t="n">
        <v>21</v>
      </c>
      <c r="AL4666" t="inlineStr">
        <is>
          <t>Miss Glam Damar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REXONA MEN</t>
        </is>
      </c>
      <c r="B4667" s="2">
        <f>"8999999580780"</f>
        <v/>
      </c>
      <c r="C4667" t="inlineStr">
        <is>
          <t>REXONA Men Motion activated Invisible + Antibacterial 45ml</t>
        </is>
      </c>
      <c r="D4667" t="inlineStr">
        <is>
          <t>Miss Glam Damar</t>
        </is>
      </c>
      <c r="E4667" t="n">
        <v>4</v>
      </c>
      <c r="F4667" t="n">
        <v>0.09100000000000001</v>
      </c>
      <c r="G4667" t="n">
        <v>1.82</v>
      </c>
      <c r="H4667" t="n">
        <v>3</v>
      </c>
      <c r="I4667" t="n">
        <v>5</v>
      </c>
      <c r="J4667" t="n">
        <v>3</v>
      </c>
      <c r="K4667" t="n">
        <v>0</v>
      </c>
      <c r="L4667" t="n">
        <v>21640</v>
      </c>
      <c r="M4667" t="n">
        <v>25500</v>
      </c>
      <c r="N4667" t="n">
        <v>91</v>
      </c>
      <c r="O4667" t="n">
        <v>0.91</v>
      </c>
      <c r="P4667" t="n">
        <v>1</v>
      </c>
      <c r="Q4667" t="n">
        <v>0.03</v>
      </c>
      <c r="R4667" t="n">
        <v>1</v>
      </c>
      <c r="S4667" t="n">
        <v>2320.5</v>
      </c>
      <c r="T4667" t="n">
        <v>9</v>
      </c>
      <c r="U4667" t="n">
        <v>10</v>
      </c>
      <c r="V4667" t="n">
        <v>30</v>
      </c>
      <c r="W4667" t="n">
        <v>3</v>
      </c>
      <c r="X4667" t="n">
        <v>43.95604395604395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1567</v>
      </c>
      <c r="AG4667" t="n">
        <v>361</v>
      </c>
      <c r="AH4667" t="inlineStr">
        <is>
          <t>CV. SERBA SERBI - PPN (PDG)</t>
        </is>
      </c>
      <c r="AI4667" t="n">
        <v>2283</v>
      </c>
      <c r="AJ4667" t="inlineStr">
        <is>
          <t>REXONA MEN</t>
        </is>
      </c>
      <c r="AK4667" t="n">
        <v>21</v>
      </c>
      <c r="AL4667" t="inlineStr">
        <is>
          <t>Miss Glam Damar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REXONA MEN</t>
        </is>
      </c>
      <c r="B4668" s="2">
        <f>"8999999580803"</f>
        <v/>
      </c>
      <c r="C4668" t="inlineStr">
        <is>
          <t>REXONA Men Motion Activated Natural Fresh Chorcoal Fresh 45ml</t>
        </is>
      </c>
      <c r="D4668" t="inlineStr">
        <is>
          <t>Miss Glam Damar</t>
        </is>
      </c>
      <c r="E4668" t="n">
        <v>4</v>
      </c>
      <c r="F4668" t="n">
        <v>0.09100000000000001</v>
      </c>
      <c r="G4668" t="n">
        <v>0.91</v>
      </c>
      <c r="H4668" t="n">
        <v>3</v>
      </c>
      <c r="I4668" t="n">
        <v>5</v>
      </c>
      <c r="J4668" t="n">
        <v>3</v>
      </c>
      <c r="K4668" t="n">
        <v>0</v>
      </c>
      <c r="L4668" t="n">
        <v>21640</v>
      </c>
      <c r="M4668" t="n">
        <v>25500</v>
      </c>
      <c r="N4668" t="n">
        <v>91</v>
      </c>
      <c r="O4668" t="n">
        <v>0.91</v>
      </c>
      <c r="P4668" t="n">
        <v>1</v>
      </c>
      <c r="Q4668" t="n">
        <v>0.17</v>
      </c>
      <c r="R4668" t="n">
        <v>2</v>
      </c>
      <c r="S4668" t="n">
        <v>2320.5</v>
      </c>
      <c r="T4668" t="n">
        <v>5</v>
      </c>
      <c r="U4668" t="n">
        <v>6</v>
      </c>
      <c r="V4668" t="n">
        <v>30</v>
      </c>
      <c r="W4668" t="n">
        <v>3</v>
      </c>
      <c r="X4668" t="n">
        <v>43.95604395604395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1567</v>
      </c>
      <c r="AG4668" t="n">
        <v>361</v>
      </c>
      <c r="AH4668" t="inlineStr">
        <is>
          <t>CV. SERBA SERBI - PPN (PDG)</t>
        </is>
      </c>
      <c r="AI4668" t="n">
        <v>2283</v>
      </c>
      <c r="AJ4668" t="inlineStr">
        <is>
          <t>REXONA MEN</t>
        </is>
      </c>
      <c r="AK4668" t="n">
        <v>21</v>
      </c>
      <c r="AL4668" t="inlineStr">
        <is>
          <t>Miss Glam Damar</t>
        </is>
      </c>
      <c r="AM4668" t="n">
        <v>2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REXONA MEN</t>
        </is>
      </c>
      <c r="B4669" s="2">
        <f>"8999999580810"</f>
        <v/>
      </c>
      <c r="C4669" t="inlineStr">
        <is>
          <t>REXONA Men Motion Activated Natural Fresh Lime Cool 45ml</t>
        </is>
      </c>
      <c r="D4669" t="inlineStr">
        <is>
          <t>Miss Glam Damar</t>
        </is>
      </c>
      <c r="E4669" t="n">
        <v>4</v>
      </c>
      <c r="F4669" t="n">
        <v>0.1729</v>
      </c>
      <c r="G4669" t="n">
        <v>1.82</v>
      </c>
      <c r="H4669" t="n">
        <v>3</v>
      </c>
      <c r="I4669" t="n">
        <v>5</v>
      </c>
      <c r="J4669" t="n">
        <v>3</v>
      </c>
      <c r="K4669" t="n">
        <v>0</v>
      </c>
      <c r="L4669" t="n">
        <v>21640</v>
      </c>
      <c r="M4669" t="n">
        <v>25500</v>
      </c>
      <c r="N4669" t="n">
        <v>91</v>
      </c>
      <c r="O4669" t="n">
        <v>0.91</v>
      </c>
      <c r="P4669" t="n">
        <v>1</v>
      </c>
      <c r="Q4669" t="n">
        <v>0.1</v>
      </c>
      <c r="R4669" t="n">
        <v>1</v>
      </c>
      <c r="S4669" t="n">
        <v>4408.95</v>
      </c>
      <c r="T4669" t="n">
        <v>9</v>
      </c>
      <c r="U4669" t="n">
        <v>10</v>
      </c>
      <c r="V4669" t="n">
        <v>30</v>
      </c>
      <c r="W4669" t="n">
        <v>6</v>
      </c>
      <c r="X4669" t="n">
        <v>23.13475997686524</v>
      </c>
      <c r="Y4669" t="n">
        <v>1</v>
      </c>
      <c r="Z4669" t="n">
        <v>2</v>
      </c>
      <c r="AA4669" t="n">
        <v>0</v>
      </c>
      <c r="AB4669" t="n">
        <v>2</v>
      </c>
      <c r="AC4669" t="n">
        <v>3</v>
      </c>
      <c r="AD4669" t="n">
        <v>0</v>
      </c>
      <c r="AE4669" t="n">
        <v>64920</v>
      </c>
      <c r="AF4669" t="n">
        <v>1567</v>
      </c>
      <c r="AG4669" t="n">
        <v>361</v>
      </c>
      <c r="AH4669" t="inlineStr">
        <is>
          <t>CV. SERBA SERBI - PPN (PDG)</t>
        </is>
      </c>
      <c r="AI4669" t="n">
        <v>2283</v>
      </c>
      <c r="AJ4669" t="inlineStr">
        <is>
          <t>REXONA MEN</t>
        </is>
      </c>
      <c r="AK4669" t="n">
        <v>21</v>
      </c>
      <c r="AL4669" t="inlineStr">
        <is>
          <t>Miss Glam Damar</t>
        </is>
      </c>
      <c r="AM4669" t="n">
        <v>2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REXONA MEN</t>
        </is>
      </c>
      <c r="B4670" s="2">
        <f>"8999999580766"</f>
        <v/>
      </c>
      <c r="C4670" t="inlineStr">
        <is>
          <t>REXONA Men Motion Activated Ultra Recharge 45ml</t>
        </is>
      </c>
      <c r="D4670" t="inlineStr">
        <is>
          <t>Miss Glam Damar</t>
        </is>
      </c>
      <c r="E4670" t="n">
        <v>13</v>
      </c>
      <c r="F4670" t="n">
        <v>0.0728</v>
      </c>
      <c r="G4670" t="n">
        <v>0.91</v>
      </c>
      <c r="H4670" t="n">
        <v>3</v>
      </c>
      <c r="I4670" t="n">
        <v>5</v>
      </c>
      <c r="J4670" t="n">
        <v>3</v>
      </c>
      <c r="K4670" t="n">
        <v>0</v>
      </c>
      <c r="L4670" t="n">
        <v>17323</v>
      </c>
      <c r="M4670" t="n">
        <v>20500</v>
      </c>
      <c r="N4670" t="n">
        <v>91</v>
      </c>
      <c r="O4670" t="n">
        <v>0.91</v>
      </c>
      <c r="P4670" t="n">
        <v>1</v>
      </c>
      <c r="Q4670" t="n">
        <v>0.15</v>
      </c>
      <c r="R4670" t="n">
        <v>4</v>
      </c>
      <c r="S4670" t="n">
        <v>1492.4</v>
      </c>
      <c r="T4670" t="n">
        <v>5</v>
      </c>
      <c r="U4670" t="n">
        <v>6</v>
      </c>
      <c r="V4670" t="n">
        <v>30</v>
      </c>
      <c r="W4670" t="n">
        <v>3</v>
      </c>
      <c r="X4670" t="n">
        <v>178.5714285714286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1567</v>
      </c>
      <c r="AG4670" t="n">
        <v>361</v>
      </c>
      <c r="AH4670" t="inlineStr">
        <is>
          <t>CV. SERBA SERBI - PPN (PDG)</t>
        </is>
      </c>
      <c r="AI4670" t="n">
        <v>2283</v>
      </c>
      <c r="AJ4670" t="inlineStr">
        <is>
          <t>REXONA MEN</t>
        </is>
      </c>
      <c r="AK4670" t="n">
        <v>21</v>
      </c>
      <c r="AL4670" t="inlineStr">
        <is>
          <t>Miss Glam Damar</t>
        </is>
      </c>
      <c r="AM4670" t="n">
        <v>2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RIVYA</t>
        </is>
      </c>
      <c r="B4671" s="2">
        <f>"8993319020048"</f>
        <v/>
      </c>
      <c r="C4671" t="inlineStr">
        <is>
          <t>RIVYA Backhousia Facial Wash 100ml</t>
        </is>
      </c>
      <c r="D4671" t="inlineStr">
        <is>
          <t>Miss Glam Damar</t>
        </is>
      </c>
      <c r="E4671" t="n">
        <v>84</v>
      </c>
      <c r="F4671" t="n">
        <v>2.548</v>
      </c>
      <c r="G4671" t="n">
        <v>11.83</v>
      </c>
      <c r="H4671" t="n">
        <v>2</v>
      </c>
      <c r="I4671" t="n">
        <v>16</v>
      </c>
      <c r="J4671" t="n">
        <v>3</v>
      </c>
      <c r="K4671" t="n">
        <v>0</v>
      </c>
      <c r="L4671" t="n">
        <v>79200</v>
      </c>
      <c r="M4671" t="n">
        <v>99000</v>
      </c>
      <c r="N4671" t="n">
        <v>91</v>
      </c>
      <c r="O4671" t="n">
        <v>0.91</v>
      </c>
      <c r="P4671" t="n">
        <v>1</v>
      </c>
      <c r="Q4671" t="n">
        <v>3.02</v>
      </c>
      <c r="R4671" t="n">
        <v>10</v>
      </c>
      <c r="S4671" t="n">
        <v>252252</v>
      </c>
      <c r="T4671" t="n">
        <v>185</v>
      </c>
      <c r="U4671" t="n">
        <v>191</v>
      </c>
      <c r="V4671" t="n">
        <v>30</v>
      </c>
      <c r="W4671" t="n">
        <v>77</v>
      </c>
      <c r="X4671" t="n">
        <v>32.96703296703296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665</v>
      </c>
      <c r="AG4671" t="n">
        <v>107</v>
      </c>
      <c r="AH4671" t="inlineStr">
        <is>
          <t xml:space="preserve">CV. DAHLIA - PPN (PDG) </t>
        </is>
      </c>
      <c r="AI4671" t="n">
        <v>1398</v>
      </c>
      <c r="AJ4671" t="inlineStr">
        <is>
          <t>RIVYA</t>
        </is>
      </c>
      <c r="AK4671" t="n">
        <v>21</v>
      </c>
      <c r="AL4671" t="inlineStr">
        <is>
          <t>Miss Glam Damar</t>
        </is>
      </c>
      <c r="AM4671" t="n">
        <v>2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RIVYA</t>
        </is>
      </c>
      <c r="B4672" s="2">
        <f>"8993319020079"</f>
        <v/>
      </c>
      <c r="C4672" t="inlineStr">
        <is>
          <t>RIVYA Backhousia Glowing Essence Toner 100ml</t>
        </is>
      </c>
      <c r="D4672" t="inlineStr">
        <is>
          <t>Miss Glam Damar</t>
        </is>
      </c>
      <c r="E4672" t="n">
        <v>49</v>
      </c>
      <c r="F4672" t="n">
        <v>0.6916</v>
      </c>
      <c r="G4672" t="n">
        <v>4.55</v>
      </c>
      <c r="H4672" t="n">
        <v>2</v>
      </c>
      <c r="I4672" t="n">
        <v>16</v>
      </c>
      <c r="J4672" t="n">
        <v>3</v>
      </c>
      <c r="K4672" t="n">
        <v>0</v>
      </c>
      <c r="L4672" t="n">
        <v>71200</v>
      </c>
      <c r="M4672" t="n">
        <v>89000</v>
      </c>
      <c r="N4672" t="n">
        <v>91</v>
      </c>
      <c r="O4672" t="n">
        <v>0.91</v>
      </c>
      <c r="P4672" t="n">
        <v>1</v>
      </c>
      <c r="Q4672" t="n">
        <v>0.98</v>
      </c>
      <c r="R4672" t="n">
        <v>5</v>
      </c>
      <c r="S4672" t="n">
        <v>61552.4</v>
      </c>
      <c r="T4672" t="n">
        <v>72</v>
      </c>
      <c r="U4672" t="n">
        <v>74</v>
      </c>
      <c r="V4672" t="n">
        <v>30</v>
      </c>
      <c r="W4672" t="n">
        <v>21</v>
      </c>
      <c r="X4672" t="n">
        <v>70.8502024291498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665</v>
      </c>
      <c r="AG4672" t="n">
        <v>107</v>
      </c>
      <c r="AH4672" t="inlineStr">
        <is>
          <t xml:space="preserve">CV. DAHLIA - PPN (PDG) </t>
        </is>
      </c>
      <c r="AI4672" t="n">
        <v>1398</v>
      </c>
      <c r="AJ4672" t="inlineStr">
        <is>
          <t>RIVYA</t>
        </is>
      </c>
      <c r="AK4672" t="n">
        <v>21</v>
      </c>
      <c r="AL4672" t="inlineStr">
        <is>
          <t>Miss Glam Damar</t>
        </is>
      </c>
      <c r="AM4672" t="n">
        <v>2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RIVYA</t>
        </is>
      </c>
      <c r="B4673" s="2">
        <f>"8993319020154"</f>
        <v/>
      </c>
      <c r="C4673" t="inlineStr">
        <is>
          <t>RIVYA Backhousia Rejuvenation Cream 15gr</t>
        </is>
      </c>
      <c r="D4673" t="inlineStr">
        <is>
          <t>Miss Glam Damar</t>
        </is>
      </c>
      <c r="E4673" t="n">
        <v>55</v>
      </c>
      <c r="F4673" t="n">
        <v>1.0829</v>
      </c>
      <c r="G4673" t="n">
        <v>6.37</v>
      </c>
      <c r="H4673" t="n">
        <v>2</v>
      </c>
      <c r="I4673" t="n">
        <v>16</v>
      </c>
      <c r="J4673" t="n">
        <v>3</v>
      </c>
      <c r="K4673" t="n">
        <v>0</v>
      </c>
      <c r="L4673" t="n">
        <v>135200</v>
      </c>
      <c r="M4673" t="n">
        <v>169000</v>
      </c>
      <c r="N4673" t="n">
        <v>91</v>
      </c>
      <c r="O4673" t="n">
        <v>0.91</v>
      </c>
      <c r="P4673" t="n">
        <v>1</v>
      </c>
      <c r="Q4673" t="n">
        <v>0.92</v>
      </c>
      <c r="R4673" t="n">
        <v>6</v>
      </c>
      <c r="S4673" t="n">
        <v>183010.1</v>
      </c>
      <c r="T4673" t="n">
        <v>100</v>
      </c>
      <c r="U4673" t="n">
        <v>103</v>
      </c>
      <c r="V4673" t="n">
        <v>30</v>
      </c>
      <c r="W4673" t="n">
        <v>33</v>
      </c>
      <c r="X4673" t="n">
        <v>50.78954658786591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665</v>
      </c>
      <c r="AG4673" t="n">
        <v>107</v>
      </c>
      <c r="AH4673" t="inlineStr">
        <is>
          <t xml:space="preserve">CV. DAHLIA - PPN (PDG) </t>
        </is>
      </c>
      <c r="AI4673" t="n">
        <v>1398</v>
      </c>
      <c r="AJ4673" t="inlineStr">
        <is>
          <t>RIVYA</t>
        </is>
      </c>
      <c r="AK4673" t="n">
        <v>21</v>
      </c>
      <c r="AL4673" t="inlineStr">
        <is>
          <t>Miss Glam Damar</t>
        </is>
      </c>
      <c r="AM4673" t="n">
        <v>2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RIVYA</t>
        </is>
      </c>
      <c r="B4674" s="2">
        <f>"8993319020017"</f>
        <v/>
      </c>
      <c r="C4674" t="inlineStr">
        <is>
          <t>RIVYA Backhousia Sleep Care Infused Serum 20ml</t>
        </is>
      </c>
      <c r="D4674" t="inlineStr">
        <is>
          <t>Miss Glam Damar</t>
        </is>
      </c>
      <c r="E4674" t="n">
        <v>29</v>
      </c>
      <c r="F4674" t="n">
        <v>0.7098000000000001</v>
      </c>
      <c r="G4674" t="n">
        <v>4.55</v>
      </c>
      <c r="H4674" t="n">
        <v>2</v>
      </c>
      <c r="I4674" t="n">
        <v>16</v>
      </c>
      <c r="J4674" t="n">
        <v>3</v>
      </c>
      <c r="K4674" t="n">
        <v>0</v>
      </c>
      <c r="L4674" t="n">
        <v>127200</v>
      </c>
      <c r="M4674" t="n">
        <v>159000</v>
      </c>
      <c r="N4674" t="n">
        <v>91</v>
      </c>
      <c r="O4674" t="n">
        <v>0.91</v>
      </c>
      <c r="P4674" t="n">
        <v>1</v>
      </c>
      <c r="Q4674" t="n">
        <v>0.85</v>
      </c>
      <c r="R4674" t="n">
        <v>8</v>
      </c>
      <c r="S4674" t="n">
        <v>112858.2</v>
      </c>
      <c r="T4674" t="n">
        <v>72</v>
      </c>
      <c r="U4674" t="n">
        <v>74</v>
      </c>
      <c r="V4674" t="n">
        <v>30</v>
      </c>
      <c r="W4674" t="n">
        <v>22</v>
      </c>
      <c r="X4674" t="n">
        <v>40.85657931811777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665</v>
      </c>
      <c r="AG4674" t="n">
        <v>107</v>
      </c>
      <c r="AH4674" t="inlineStr">
        <is>
          <t xml:space="preserve">CV. DAHLIA - PPN (PDG) </t>
        </is>
      </c>
      <c r="AI4674" t="n">
        <v>1398</v>
      </c>
      <c r="AJ4674" t="inlineStr">
        <is>
          <t>RIVYA</t>
        </is>
      </c>
      <c r="AK4674" t="n">
        <v>21</v>
      </c>
      <c r="AL4674" t="inlineStr">
        <is>
          <t>Miss Glam Damar</t>
        </is>
      </c>
      <c r="AM4674" t="n">
        <v>2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ROMANO</t>
        </is>
      </c>
      <c r="B4675" s="2">
        <f>"8992856908000"</f>
        <v/>
      </c>
      <c r="C4675" t="inlineStr">
        <is>
          <t>ROMANO Gentleman Eau De Toilette Pour Homme 100ml</t>
        </is>
      </c>
      <c r="D4675" t="inlineStr">
        <is>
          <t>Miss Glam Damar</t>
        </is>
      </c>
      <c r="E4675" t="n">
        <v>3</v>
      </c>
      <c r="F4675" t="n">
        <v>0.04550000000000001</v>
      </c>
      <c r="G4675" t="n">
        <v>0.91</v>
      </c>
      <c r="H4675" t="n">
        <v>2</v>
      </c>
      <c r="I4675" t="n">
        <v>7</v>
      </c>
      <c r="J4675" t="n">
        <v>3</v>
      </c>
      <c r="K4675" t="n">
        <v>0</v>
      </c>
      <c r="L4675" t="n">
        <v>37160</v>
      </c>
      <c r="M4675" t="n">
        <v>54000</v>
      </c>
      <c r="N4675" t="n">
        <v>91</v>
      </c>
      <c r="O4675" t="n">
        <v>0.91</v>
      </c>
      <c r="P4675" t="n">
        <v>1</v>
      </c>
      <c r="Q4675" t="n">
        <v>0.02</v>
      </c>
      <c r="R4675" t="n">
        <v>1</v>
      </c>
      <c r="S4675" t="n">
        <v>2457</v>
      </c>
      <c r="T4675" t="n">
        <v>7</v>
      </c>
      <c r="U4675" t="n">
        <v>8</v>
      </c>
      <c r="V4675" t="n">
        <v>30</v>
      </c>
      <c r="W4675" t="n">
        <v>2</v>
      </c>
      <c r="X4675" t="n">
        <v>65.93406593406593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1797</v>
      </c>
      <c r="AG4675" t="n">
        <v>2044</v>
      </c>
      <c r="AH4675" t="inlineStr">
        <is>
          <t>CV. WINEMERI BERKARYA - PPN (PDG)</t>
        </is>
      </c>
      <c r="AI4675" t="n">
        <v>1848</v>
      </c>
      <c r="AJ4675" t="inlineStr">
        <is>
          <t>ROMANO</t>
        </is>
      </c>
      <c r="AK4675" t="n">
        <v>21</v>
      </c>
      <c r="AL4675" t="inlineStr">
        <is>
          <t>Miss Glam Damar</t>
        </is>
      </c>
      <c r="AM4675" t="n">
        <v>2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ROMANO</t>
        </is>
      </c>
      <c r="B4676" s="2">
        <f>"8992856905061"</f>
        <v/>
      </c>
      <c r="C4676" t="inlineStr">
        <is>
          <t>ROMANO Vision Eau De Toilette Pour Homme 100ml</t>
        </is>
      </c>
      <c r="D4676" t="inlineStr">
        <is>
          <t>Miss Glam Damar</t>
        </is>
      </c>
      <c r="E4676" t="n">
        <v>8</v>
      </c>
      <c r="F4676" t="n">
        <v>0.1365</v>
      </c>
      <c r="G4676" t="n">
        <v>1.82</v>
      </c>
      <c r="H4676" t="n">
        <v>2</v>
      </c>
      <c r="I4676" t="n">
        <v>7</v>
      </c>
      <c r="J4676" t="n">
        <v>3</v>
      </c>
      <c r="K4676" t="n">
        <v>0</v>
      </c>
      <c r="L4676" t="n">
        <v>39018</v>
      </c>
      <c r="M4676" t="n">
        <v>54000</v>
      </c>
      <c r="N4676" t="n">
        <v>91</v>
      </c>
      <c r="O4676" t="n">
        <v>0.91</v>
      </c>
      <c r="P4676" t="n">
        <v>1</v>
      </c>
      <c r="Q4676" t="n">
        <v>0.02</v>
      </c>
      <c r="R4676" t="n">
        <v>1</v>
      </c>
      <c r="S4676" t="n">
        <v>7371.000000000001</v>
      </c>
      <c r="T4676" t="n">
        <v>13</v>
      </c>
      <c r="U4676" t="n">
        <v>14</v>
      </c>
      <c r="V4676" t="n">
        <v>30</v>
      </c>
      <c r="W4676" t="n">
        <v>5</v>
      </c>
      <c r="X4676" t="n">
        <v>58.60805860805861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1797</v>
      </c>
      <c r="AG4676" t="n">
        <v>2044</v>
      </c>
      <c r="AH4676" t="inlineStr">
        <is>
          <t>CV. WINEMERI BERKARYA - PPN (PDG)</t>
        </is>
      </c>
      <c r="AI4676" t="n">
        <v>1848</v>
      </c>
      <c r="AJ4676" t="inlineStr">
        <is>
          <t>ROMANO</t>
        </is>
      </c>
      <c r="AK4676" t="n">
        <v>21</v>
      </c>
      <c r="AL4676" t="inlineStr">
        <is>
          <t>Miss Glam Damar</t>
        </is>
      </c>
      <c r="AM4676" t="n">
        <v>2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ROOVE</t>
        </is>
      </c>
      <c r="B4677" s="2">
        <f>"8994448510035"</f>
        <v/>
      </c>
      <c r="C4677" t="inlineStr">
        <is>
          <t>ROOVE Minuman Serbuk Rasa Blueberry 150gr (10 Sachet @15gr) - Pouch</t>
        </is>
      </c>
      <c r="D4677" t="inlineStr">
        <is>
          <t>Miss Glam Damar</t>
        </is>
      </c>
      <c r="E4677" t="n">
        <v>0</v>
      </c>
      <c r="F4677" t="n">
        <v>0.06370000000000001</v>
      </c>
      <c r="G4677" t="n">
        <v>0.91</v>
      </c>
      <c r="H4677" t="n">
        <v>4</v>
      </c>
      <c r="I4677" t="n">
        <v>21</v>
      </c>
      <c r="J4677" t="n">
        <v>3</v>
      </c>
      <c r="K4677" t="n">
        <v>0</v>
      </c>
      <c r="L4677" t="n">
        <v>165666</v>
      </c>
      <c r="M4677" t="n">
        <v>205000</v>
      </c>
      <c r="N4677" t="n">
        <v>91</v>
      </c>
      <c r="O4677" t="n">
        <v>0.91</v>
      </c>
      <c r="P4677" t="n">
        <v>1</v>
      </c>
      <c r="Q4677" t="n">
        <v>0.04</v>
      </c>
      <c r="R4677" t="n">
        <v>1</v>
      </c>
      <c r="S4677" t="n">
        <v>13058.5</v>
      </c>
      <c r="T4677" t="n">
        <v>19</v>
      </c>
      <c r="U4677" t="n">
        <v>20</v>
      </c>
      <c r="V4677" t="n">
        <v>30</v>
      </c>
      <c r="W4677" t="n">
        <v>2</v>
      </c>
      <c r="X4677" t="n">
        <v>0</v>
      </c>
      <c r="Y4677" t="n">
        <v>1</v>
      </c>
      <c r="Z4677" t="n">
        <v>2</v>
      </c>
      <c r="AA4677" t="n">
        <v>2</v>
      </c>
      <c r="AB4677" t="n">
        <v>0</v>
      </c>
      <c r="AC4677" t="n">
        <v>0</v>
      </c>
      <c r="AD4677" t="n">
        <v>331332</v>
      </c>
      <c r="AE4677" t="n">
        <v>0</v>
      </c>
      <c r="AF4677" t="n">
        <v>8231</v>
      </c>
      <c r="AG4677" t="n">
        <v>1</v>
      </c>
      <c r="AH4677" t="inlineStr">
        <is>
          <t>PT. BERSAMA DISTRIVERSA INDONESIA (DC CIPUTAT)</t>
        </is>
      </c>
      <c r="AI4677" t="n">
        <v>1014</v>
      </c>
      <c r="AJ4677" t="inlineStr">
        <is>
          <t>ROOVE</t>
        </is>
      </c>
      <c r="AK4677" t="n">
        <v>21</v>
      </c>
      <c r="AL4677" t="inlineStr">
        <is>
          <t>Miss Glam Damar</t>
        </is>
      </c>
      <c r="AM4677" t="n">
        <v>4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SAFF &amp; CO</t>
        </is>
      </c>
      <c r="B4678" s="2">
        <f>"8997015191590"</f>
        <v/>
      </c>
      <c r="C4678" t="inlineStr">
        <is>
          <t>SAFF &amp; CO Annabel Lee Cloud Mist 150ml</t>
        </is>
      </c>
      <c r="D4678" t="inlineStr">
        <is>
          <t>Miss Glam Damar</t>
        </is>
      </c>
      <c r="E4678" t="n">
        <v>9</v>
      </c>
      <c r="F4678" t="n">
        <v>0.1092</v>
      </c>
      <c r="G4678" t="n">
        <v>1.82</v>
      </c>
      <c r="H4678" t="n">
        <v>2</v>
      </c>
      <c r="I4678" t="n">
        <v>16</v>
      </c>
      <c r="J4678" t="n">
        <v>3</v>
      </c>
      <c r="K4678" t="n">
        <v>0</v>
      </c>
      <c r="L4678" t="n">
        <v>119250</v>
      </c>
      <c r="M4678" t="n">
        <v>159000</v>
      </c>
      <c r="N4678" t="n">
        <v>91</v>
      </c>
      <c r="O4678" t="n">
        <v>0.91</v>
      </c>
      <c r="P4678" t="n">
        <v>1</v>
      </c>
      <c r="Q4678" t="n">
        <v>0.31</v>
      </c>
      <c r="R4678" t="n">
        <v>2</v>
      </c>
      <c r="S4678" t="n">
        <v>17362.8</v>
      </c>
      <c r="T4678" t="n">
        <v>29</v>
      </c>
      <c r="U4678" t="n">
        <v>30</v>
      </c>
      <c r="V4678" t="n">
        <v>30</v>
      </c>
      <c r="W4678" t="n">
        <v>4</v>
      </c>
      <c r="X4678" t="n">
        <v>82.41758241758241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676</v>
      </c>
      <c r="AG4678" t="n">
        <v>107</v>
      </c>
      <c r="AH4678" t="inlineStr">
        <is>
          <t xml:space="preserve">CV. DAHLIA - PPN (PDG) </t>
        </is>
      </c>
      <c r="AI4678" t="n">
        <v>1680</v>
      </c>
      <c r="AJ4678" t="inlineStr">
        <is>
          <t>SAFF &amp; CO</t>
        </is>
      </c>
      <c r="AK4678" t="n">
        <v>21</v>
      </c>
      <c r="AL4678" t="inlineStr">
        <is>
          <t>Miss Glam Damar</t>
        </is>
      </c>
      <c r="AM4678" t="n">
        <v>4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SAFF &amp; CO</t>
        </is>
      </c>
      <c r="B4679" s="2">
        <f>"30400261642"</f>
        <v/>
      </c>
      <c r="C4679" t="inlineStr">
        <is>
          <t>SAFF &amp; CO Body Potion Ode To Ostara 150 ml</t>
        </is>
      </c>
      <c r="D4679" t="inlineStr">
        <is>
          <t>Miss Glam Damar</t>
        </is>
      </c>
      <c r="E4679" t="n">
        <v>5</v>
      </c>
      <c r="F4679" t="n">
        <v>0.05</v>
      </c>
      <c r="G4679" t="n">
        <v>1</v>
      </c>
      <c r="H4679" t="n">
        <v>2</v>
      </c>
      <c r="I4679" t="n">
        <v>16</v>
      </c>
      <c r="J4679" t="n">
        <v>1</v>
      </c>
      <c r="K4679" t="n">
        <v>0</v>
      </c>
      <c r="L4679" t="n">
        <v>96750</v>
      </c>
      <c r="M4679" t="n">
        <v>129000</v>
      </c>
      <c r="N4679" t="n">
        <v>91</v>
      </c>
      <c r="O4679" t="n">
        <v>0.91</v>
      </c>
      <c r="P4679" t="n">
        <v>0</v>
      </c>
      <c r="Q4679" t="n">
        <v>0.05</v>
      </c>
      <c r="R4679" t="n">
        <v>1</v>
      </c>
      <c r="S4679" t="n">
        <v>6450</v>
      </c>
      <c r="T4679" t="n">
        <v>16</v>
      </c>
      <c r="U4679" t="n">
        <v>17</v>
      </c>
      <c r="V4679" t="n">
        <v>30</v>
      </c>
      <c r="W4679" t="n">
        <v>2</v>
      </c>
      <c r="X4679" t="n">
        <v>100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676</v>
      </c>
      <c r="AG4679" t="n">
        <v>107</v>
      </c>
      <c r="AH4679" t="inlineStr">
        <is>
          <t xml:space="preserve">CV. DAHLIA - PPN (PDG) </t>
        </is>
      </c>
      <c r="AI4679" t="n">
        <v>1680</v>
      </c>
      <c r="AJ4679" t="inlineStr">
        <is>
          <t>SAFF &amp; CO</t>
        </is>
      </c>
      <c r="AK4679" t="n">
        <v>21</v>
      </c>
      <c r="AL4679" t="inlineStr">
        <is>
          <t>Miss Glam Damar</t>
        </is>
      </c>
      <c r="AM4679" t="n">
        <v>4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SAFF &amp; CO</t>
        </is>
      </c>
      <c r="B4680" s="2">
        <f>"30400261535"</f>
        <v/>
      </c>
      <c r="C4680" t="inlineStr">
        <is>
          <t>SAFF &amp; CO Body Potion Sanctum On The Beach 150ml</t>
        </is>
      </c>
      <c r="D4680" t="inlineStr">
        <is>
          <t>Miss Glam Damar</t>
        </is>
      </c>
      <c r="E4680" t="n">
        <v>5</v>
      </c>
      <c r="F4680" t="n">
        <v>0.0182</v>
      </c>
      <c r="G4680" t="n">
        <v>0.91</v>
      </c>
      <c r="H4680" t="n">
        <v>2</v>
      </c>
      <c r="I4680" t="n">
        <v>16</v>
      </c>
      <c r="J4680" t="n">
        <v>1</v>
      </c>
      <c r="K4680" t="n">
        <v>0</v>
      </c>
      <c r="L4680" t="n">
        <v>96750</v>
      </c>
      <c r="M4680" t="n">
        <v>129000</v>
      </c>
      <c r="N4680" t="n">
        <v>91</v>
      </c>
      <c r="O4680" t="n">
        <v>0.91</v>
      </c>
      <c r="P4680" t="n">
        <v>1</v>
      </c>
      <c r="Q4680" t="n">
        <v>0.07000000000000001</v>
      </c>
      <c r="R4680" t="n">
        <v>1</v>
      </c>
      <c r="S4680" t="n">
        <v>2347.8</v>
      </c>
      <c r="T4680" t="n">
        <v>15</v>
      </c>
      <c r="U4680" t="n">
        <v>16</v>
      </c>
      <c r="V4680" t="n">
        <v>30</v>
      </c>
      <c r="W4680" t="n">
        <v>1</v>
      </c>
      <c r="X4680" t="n">
        <v>274.7252747252747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676</v>
      </c>
      <c r="AG4680" t="n">
        <v>107</v>
      </c>
      <c r="AH4680" t="inlineStr">
        <is>
          <t xml:space="preserve">CV. DAHLIA - PPN (PDG) </t>
        </is>
      </c>
      <c r="AI4680" t="n">
        <v>1680</v>
      </c>
      <c r="AJ4680" t="inlineStr">
        <is>
          <t>SAFF &amp; CO</t>
        </is>
      </c>
      <c r="AK4680" t="n">
        <v>21</v>
      </c>
      <c r="AL4680" t="inlineStr">
        <is>
          <t>Miss Glam Damar</t>
        </is>
      </c>
      <c r="AM4680" t="n">
        <v>4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SAFF &amp; CO</t>
        </is>
      </c>
      <c r="B4681" s="2">
        <f>"8997019519789"</f>
        <v/>
      </c>
      <c r="C4681" t="inlineStr">
        <is>
          <t>SAFF &amp; CO Cascavel Extrait De Parfum 30ml</t>
        </is>
      </c>
      <c r="D4681" t="inlineStr">
        <is>
          <t>Miss Glam Damar</t>
        </is>
      </c>
      <c r="E4681" t="n">
        <v>7</v>
      </c>
      <c r="F4681" t="n">
        <v>0.0273</v>
      </c>
      <c r="G4681" t="n">
        <v>0.91</v>
      </c>
      <c r="H4681" t="n">
        <v>2</v>
      </c>
      <c r="I4681" t="n">
        <v>16</v>
      </c>
      <c r="J4681" t="n">
        <v>3</v>
      </c>
      <c r="K4681" t="n">
        <v>0</v>
      </c>
      <c r="L4681" t="n">
        <v>141750</v>
      </c>
      <c r="M4681" t="n">
        <v>189000</v>
      </c>
      <c r="N4681" t="n">
        <v>91</v>
      </c>
      <c r="O4681" t="n">
        <v>0.91</v>
      </c>
      <c r="P4681" t="n">
        <v>1</v>
      </c>
      <c r="Q4681" t="n">
        <v>0.12</v>
      </c>
      <c r="R4681" t="n">
        <v>1</v>
      </c>
      <c r="S4681" t="n">
        <v>5159.7</v>
      </c>
      <c r="T4681" t="n">
        <v>15</v>
      </c>
      <c r="U4681" t="n">
        <v>16</v>
      </c>
      <c r="V4681" t="n">
        <v>30</v>
      </c>
      <c r="W4681" t="n">
        <v>1</v>
      </c>
      <c r="X4681" t="n">
        <v>256.4102564102564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676</v>
      </c>
      <c r="AG4681" t="n">
        <v>107</v>
      </c>
      <c r="AH4681" t="inlineStr">
        <is>
          <t xml:space="preserve">CV. DAHLIA - PPN (PDG) </t>
        </is>
      </c>
      <c r="AI4681" t="n">
        <v>1680</v>
      </c>
      <c r="AJ4681" t="inlineStr">
        <is>
          <t>SAFF &amp; CO</t>
        </is>
      </c>
      <c r="AK4681" t="n">
        <v>21</v>
      </c>
      <c r="AL4681" t="inlineStr">
        <is>
          <t>Miss Glam Damar</t>
        </is>
      </c>
      <c r="AM4681" t="n">
        <v>4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SAFF &amp; CO</t>
        </is>
      </c>
      <c r="B4682" s="2">
        <f>"8997019519307"</f>
        <v/>
      </c>
      <c r="C4682" t="inlineStr">
        <is>
          <t>SAFF &amp; CO Coco Extrait De Parfum 30ml</t>
        </is>
      </c>
      <c r="D4682" t="inlineStr">
        <is>
          <t>Miss Glam Damar</t>
        </is>
      </c>
      <c r="E4682" t="n">
        <v>5</v>
      </c>
      <c r="F4682" t="n">
        <v>0.06370000000000001</v>
      </c>
      <c r="G4682" t="n">
        <v>0.91</v>
      </c>
      <c r="H4682" t="n">
        <v>2</v>
      </c>
      <c r="I4682" t="n">
        <v>16</v>
      </c>
      <c r="J4682" t="n">
        <v>3</v>
      </c>
      <c r="K4682" t="n">
        <v>0</v>
      </c>
      <c r="L4682" t="n">
        <v>141750</v>
      </c>
      <c r="M4682" t="n">
        <v>189000</v>
      </c>
      <c r="N4682" t="n">
        <v>91</v>
      </c>
      <c r="O4682" t="n">
        <v>0.91</v>
      </c>
      <c r="P4682" t="n">
        <v>1</v>
      </c>
      <c r="Q4682" t="n">
        <v>0.12</v>
      </c>
      <c r="R4682" t="n">
        <v>2</v>
      </c>
      <c r="S4682" t="n">
        <v>12039.3</v>
      </c>
      <c r="T4682" t="n">
        <v>15</v>
      </c>
      <c r="U4682" t="n">
        <v>16</v>
      </c>
      <c r="V4682" t="n">
        <v>30</v>
      </c>
      <c r="W4682" t="n">
        <v>2</v>
      </c>
      <c r="X4682" t="n">
        <v>78.49293563579278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676</v>
      </c>
      <c r="AG4682" t="n">
        <v>107</v>
      </c>
      <c r="AH4682" t="inlineStr">
        <is>
          <t xml:space="preserve">CV. DAHLIA - PPN (PDG) </t>
        </is>
      </c>
      <c r="AI4682" t="n">
        <v>1680</v>
      </c>
      <c r="AJ4682" t="inlineStr">
        <is>
          <t>SAFF &amp; CO</t>
        </is>
      </c>
      <c r="AK4682" t="n">
        <v>21</v>
      </c>
      <c r="AL4682" t="inlineStr">
        <is>
          <t>Miss Glam Damar</t>
        </is>
      </c>
      <c r="AM4682" t="n">
        <v>4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SAFF &amp; CO</t>
        </is>
      </c>
      <c r="B4683" s="2">
        <f>"304002155014"</f>
        <v/>
      </c>
      <c r="C4683" t="inlineStr">
        <is>
          <t>SAFF &amp; CO Eau De Parfum Maleali 8ml</t>
        </is>
      </c>
      <c r="D4683" t="inlineStr">
        <is>
          <t>Miss Glam Damar</t>
        </is>
      </c>
      <c r="E4683" t="n">
        <v>4</v>
      </c>
      <c r="F4683" t="n">
        <v>0.0182</v>
      </c>
      <c r="G4683" t="n">
        <v>0.91</v>
      </c>
      <c r="H4683" t="n">
        <v>2</v>
      </c>
      <c r="I4683" t="n">
        <v>16</v>
      </c>
      <c r="J4683" t="n">
        <v>3</v>
      </c>
      <c r="K4683" t="n">
        <v>0</v>
      </c>
      <c r="L4683" t="n">
        <v>44251</v>
      </c>
      <c r="M4683" t="n">
        <v>59000</v>
      </c>
      <c r="N4683" t="n">
        <v>91</v>
      </c>
      <c r="O4683" t="n">
        <v>0.91</v>
      </c>
      <c r="P4683" t="n">
        <v>1</v>
      </c>
      <c r="Q4683" t="n">
        <v>0.02</v>
      </c>
      <c r="R4683" t="n">
        <v>0</v>
      </c>
      <c r="S4683" t="n">
        <v>1073.8</v>
      </c>
      <c r="T4683" t="n">
        <v>15</v>
      </c>
      <c r="U4683" t="n">
        <v>16</v>
      </c>
      <c r="V4683" t="n">
        <v>30</v>
      </c>
      <c r="W4683" t="n">
        <v>1</v>
      </c>
      <c r="X4683" t="n">
        <v>219.7802197802198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676</v>
      </c>
      <c r="AG4683" t="n">
        <v>107</v>
      </c>
      <c r="AH4683" t="inlineStr">
        <is>
          <t xml:space="preserve">CV. DAHLIA - PPN (PDG) </t>
        </is>
      </c>
      <c r="AI4683" t="n">
        <v>1680</v>
      </c>
      <c r="AJ4683" t="inlineStr">
        <is>
          <t>SAFF &amp; CO</t>
        </is>
      </c>
      <c r="AK4683" t="n">
        <v>21</v>
      </c>
      <c r="AL4683" t="inlineStr">
        <is>
          <t>Miss Glam Damar</t>
        </is>
      </c>
      <c r="AM4683" t="n">
        <v>4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SAFF &amp; CO</t>
        </is>
      </c>
      <c r="B4684" s="2">
        <f>"304002155107"</f>
        <v/>
      </c>
      <c r="C4684" t="inlineStr">
        <is>
          <t>SAFF &amp; CO Eau De Parfum Minouet 8ml</t>
        </is>
      </c>
      <c r="D4684" t="inlineStr">
        <is>
          <t>Miss Glam Damar</t>
        </is>
      </c>
      <c r="E4684" t="n">
        <v>4</v>
      </c>
      <c r="F4684" t="n">
        <v>0.0273</v>
      </c>
      <c r="G4684" t="n">
        <v>0.91</v>
      </c>
      <c r="H4684" t="n">
        <v>2</v>
      </c>
      <c r="I4684" t="n">
        <v>16</v>
      </c>
      <c r="J4684" t="n">
        <v>3</v>
      </c>
      <c r="K4684" t="n">
        <v>0</v>
      </c>
      <c r="L4684" t="n">
        <v>44251</v>
      </c>
      <c r="M4684" t="n">
        <v>59000</v>
      </c>
      <c r="N4684" t="n">
        <v>91</v>
      </c>
      <c r="O4684" t="n">
        <v>0.91</v>
      </c>
      <c r="P4684" t="n">
        <v>1</v>
      </c>
      <c r="Q4684" t="n">
        <v>0.12</v>
      </c>
      <c r="R4684" t="n">
        <v>2</v>
      </c>
      <c r="S4684" t="n">
        <v>1610.7</v>
      </c>
      <c r="T4684" t="n">
        <v>15</v>
      </c>
      <c r="U4684" t="n">
        <v>16</v>
      </c>
      <c r="V4684" t="n">
        <v>30</v>
      </c>
      <c r="W4684" t="n">
        <v>1</v>
      </c>
      <c r="X4684" t="n">
        <v>146.5201465201465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676</v>
      </c>
      <c r="AG4684" t="n">
        <v>107</v>
      </c>
      <c r="AH4684" t="inlineStr">
        <is>
          <t xml:space="preserve">CV. DAHLIA - PPN (PDG) </t>
        </is>
      </c>
      <c r="AI4684" t="n">
        <v>1680</v>
      </c>
      <c r="AJ4684" t="inlineStr">
        <is>
          <t>SAFF &amp; CO</t>
        </is>
      </c>
      <c r="AK4684" t="n">
        <v>21</v>
      </c>
      <c r="AL4684" t="inlineStr">
        <is>
          <t>Miss Glam Damar</t>
        </is>
      </c>
      <c r="AM4684" t="n">
        <v>4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SAFF &amp; CO</t>
        </is>
      </c>
      <c r="B4685" s="2">
        <f>"8997019519581"</f>
        <v/>
      </c>
      <c r="C4685" t="inlineStr">
        <is>
          <t>SAFF &amp; CO Extrait de Parfum - MINOUET 35ml</t>
        </is>
      </c>
      <c r="D4685" t="inlineStr">
        <is>
          <t>Miss Glam Damar</t>
        </is>
      </c>
      <c r="E4685" t="n">
        <v>4</v>
      </c>
      <c r="F4685" t="n">
        <v>0.1729</v>
      </c>
      <c r="G4685" t="n">
        <v>0.91</v>
      </c>
      <c r="H4685" t="n">
        <v>2</v>
      </c>
      <c r="I4685" t="n">
        <v>16</v>
      </c>
      <c r="J4685" t="n">
        <v>3</v>
      </c>
      <c r="K4685" t="n">
        <v>3</v>
      </c>
      <c r="L4685" t="n">
        <v>179250</v>
      </c>
      <c r="M4685" t="n">
        <v>239000</v>
      </c>
      <c r="N4685" t="n">
        <v>91</v>
      </c>
      <c r="O4685" t="n">
        <v>0.91</v>
      </c>
      <c r="P4685" t="n">
        <v>1</v>
      </c>
      <c r="Q4685" t="n">
        <v>0.24</v>
      </c>
      <c r="R4685" t="n">
        <v>2</v>
      </c>
      <c r="S4685" t="n">
        <v>41323.1</v>
      </c>
      <c r="T4685" t="n">
        <v>15</v>
      </c>
      <c r="U4685" t="n">
        <v>16</v>
      </c>
      <c r="V4685" t="n">
        <v>30</v>
      </c>
      <c r="W4685" t="n">
        <v>6</v>
      </c>
      <c r="X4685" t="n">
        <v>23.13475997686524</v>
      </c>
      <c r="Y4685" t="n">
        <v>1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676</v>
      </c>
      <c r="AG4685" t="n">
        <v>107</v>
      </c>
      <c r="AH4685" t="inlineStr">
        <is>
          <t xml:space="preserve">CV. DAHLIA - PPN (PDG) </t>
        </is>
      </c>
      <c r="AI4685" t="n">
        <v>1680</v>
      </c>
      <c r="AJ4685" t="inlineStr">
        <is>
          <t>SAFF &amp; CO</t>
        </is>
      </c>
      <c r="AK4685" t="n">
        <v>21</v>
      </c>
      <c r="AL4685" t="inlineStr">
        <is>
          <t>Miss Glam Damar</t>
        </is>
      </c>
      <c r="AM4685" t="n">
        <v>4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SAFF &amp; CO</t>
        </is>
      </c>
      <c r="B4686" s="2">
        <f>"8997019519284"</f>
        <v/>
      </c>
      <c r="C4686" t="inlineStr">
        <is>
          <t>SAFF &amp; CO Extrait De Parfum Chno 30ml</t>
        </is>
      </c>
      <c r="D4686" t="inlineStr">
        <is>
          <t>Miss Glam Damar</t>
        </is>
      </c>
      <c r="E4686" t="n">
        <v>8</v>
      </c>
      <c r="F4686" t="n">
        <v>0.1092</v>
      </c>
      <c r="G4686" t="n">
        <v>1.82</v>
      </c>
      <c r="H4686" t="n">
        <v>2</v>
      </c>
      <c r="I4686" t="n">
        <v>16</v>
      </c>
      <c r="J4686" t="n">
        <v>3</v>
      </c>
      <c r="K4686" t="n">
        <v>0</v>
      </c>
      <c r="L4686" t="n">
        <v>141750</v>
      </c>
      <c r="M4686" t="n">
        <v>189000</v>
      </c>
      <c r="N4686" t="n">
        <v>91</v>
      </c>
      <c r="O4686" t="n">
        <v>0.91</v>
      </c>
      <c r="P4686" t="n">
        <v>1</v>
      </c>
      <c r="Q4686" t="n">
        <v>0.19</v>
      </c>
      <c r="R4686" t="n">
        <v>2</v>
      </c>
      <c r="S4686" t="n">
        <v>20638.8</v>
      </c>
      <c r="T4686" t="n">
        <v>29</v>
      </c>
      <c r="U4686" t="n">
        <v>30</v>
      </c>
      <c r="V4686" t="n">
        <v>30</v>
      </c>
      <c r="W4686" t="n">
        <v>4</v>
      </c>
      <c r="X4686" t="n">
        <v>73.26007326007326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676</v>
      </c>
      <c r="AG4686" t="n">
        <v>107</v>
      </c>
      <c r="AH4686" t="inlineStr">
        <is>
          <t xml:space="preserve">CV. DAHLIA - PPN (PDG) </t>
        </is>
      </c>
      <c r="AI4686" t="n">
        <v>1680</v>
      </c>
      <c r="AJ4686" t="inlineStr">
        <is>
          <t>SAFF &amp; CO</t>
        </is>
      </c>
      <c r="AK4686" t="n">
        <v>21</v>
      </c>
      <c r="AL4686" t="inlineStr">
        <is>
          <t>Miss Glam Damar</t>
        </is>
      </c>
      <c r="AM4686" t="n">
        <v>4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SAFF &amp; CO</t>
        </is>
      </c>
      <c r="B4687" s="2">
        <f>"8997019519826"</f>
        <v/>
      </c>
      <c r="C4687" t="inlineStr">
        <is>
          <t>SAFF &amp; CO Extrait De Parfum Las Pozas 35ml</t>
        </is>
      </c>
      <c r="D4687" t="inlineStr">
        <is>
          <t>Miss Glam Damar</t>
        </is>
      </c>
      <c r="E4687" t="n">
        <v>5</v>
      </c>
      <c r="F4687" t="n">
        <v>0.0728</v>
      </c>
      <c r="G4687" t="n">
        <v>1.82</v>
      </c>
      <c r="H4687" t="n">
        <v>2</v>
      </c>
      <c r="I4687" t="n">
        <v>16</v>
      </c>
      <c r="J4687" t="n">
        <v>3</v>
      </c>
      <c r="K4687" t="n">
        <v>0</v>
      </c>
      <c r="L4687" t="n">
        <v>149250</v>
      </c>
      <c r="M4687" t="n">
        <v>199000</v>
      </c>
      <c r="N4687" t="n">
        <v>91</v>
      </c>
      <c r="O4687" t="n">
        <v>0.91</v>
      </c>
      <c r="P4687" t="n">
        <v>1</v>
      </c>
      <c r="Q4687" t="n">
        <v>0.05</v>
      </c>
      <c r="R4687" t="n">
        <v>1</v>
      </c>
      <c r="S4687" t="n">
        <v>14487.2</v>
      </c>
      <c r="T4687" t="n">
        <v>29</v>
      </c>
      <c r="U4687" t="n">
        <v>30</v>
      </c>
      <c r="V4687" t="n">
        <v>30</v>
      </c>
      <c r="W4687" t="n">
        <v>3</v>
      </c>
      <c r="X4687" t="n">
        <v>68.68131868131867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676</v>
      </c>
      <c r="AG4687" t="n">
        <v>107</v>
      </c>
      <c r="AH4687" t="inlineStr">
        <is>
          <t xml:space="preserve">CV. DAHLIA - PPN (PDG) </t>
        </is>
      </c>
      <c r="AI4687" t="n">
        <v>1680</v>
      </c>
      <c r="AJ4687" t="inlineStr">
        <is>
          <t>SAFF &amp; CO</t>
        </is>
      </c>
      <c r="AK4687" t="n">
        <v>21</v>
      </c>
      <c r="AL4687" t="inlineStr">
        <is>
          <t>Miss Glam Damar</t>
        </is>
      </c>
      <c r="AM4687" t="n">
        <v>4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SAFF &amp; CO</t>
        </is>
      </c>
      <c r="B4688" s="2">
        <f>"30400189158"</f>
        <v/>
      </c>
      <c r="C4688" t="inlineStr">
        <is>
          <t>SAFF &amp; CO Extrait de Parfum Leima 35ml</t>
        </is>
      </c>
      <c r="D4688" t="inlineStr">
        <is>
          <t>Miss Glam Damar</t>
        </is>
      </c>
      <c r="E4688" t="n">
        <v>8</v>
      </c>
      <c r="F4688" t="n">
        <v>0.1092</v>
      </c>
      <c r="G4688" t="n">
        <v>0.91</v>
      </c>
      <c r="H4688" t="n">
        <v>2</v>
      </c>
      <c r="I4688" t="n">
        <v>16</v>
      </c>
      <c r="J4688" t="n">
        <v>1</v>
      </c>
      <c r="K4688" t="n">
        <v>0</v>
      </c>
      <c r="L4688" t="n">
        <v>194250</v>
      </c>
      <c r="M4688" t="n">
        <v>259000</v>
      </c>
      <c r="N4688" t="n">
        <v>91</v>
      </c>
      <c r="O4688" t="n">
        <v>0.91</v>
      </c>
      <c r="P4688" t="n">
        <v>1</v>
      </c>
      <c r="Q4688" t="n">
        <v>0.14</v>
      </c>
      <c r="R4688" t="n">
        <v>2</v>
      </c>
      <c r="S4688" t="n">
        <v>28282.8</v>
      </c>
      <c r="T4688" t="n">
        <v>15</v>
      </c>
      <c r="U4688" t="n">
        <v>16</v>
      </c>
      <c r="V4688" t="n">
        <v>30</v>
      </c>
      <c r="W4688" t="n">
        <v>4</v>
      </c>
      <c r="X4688" t="n">
        <v>73.26007326007326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676</v>
      </c>
      <c r="AG4688" t="n">
        <v>107</v>
      </c>
      <c r="AH4688" t="inlineStr">
        <is>
          <t xml:space="preserve">CV. DAHLIA - PPN (PDG) </t>
        </is>
      </c>
      <c r="AI4688" t="n">
        <v>1680</v>
      </c>
      <c r="AJ4688" t="inlineStr">
        <is>
          <t>SAFF &amp; CO</t>
        </is>
      </c>
      <c r="AK4688" t="n">
        <v>21</v>
      </c>
      <c r="AL4688" t="inlineStr">
        <is>
          <t>Miss Glam Damar</t>
        </is>
      </c>
      <c r="AM4688" t="n">
        <v>4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SAFF &amp; CO</t>
        </is>
      </c>
      <c r="B4689" s="2">
        <f>"8997019519260"</f>
        <v/>
      </c>
      <c r="C4689" t="inlineStr">
        <is>
          <t>SAFF &amp; CO Extrait De Parfum Loui 35ml</t>
        </is>
      </c>
      <c r="D4689" t="inlineStr">
        <is>
          <t>Miss Glam Damar</t>
        </is>
      </c>
      <c r="E4689" t="n">
        <v>15</v>
      </c>
      <c r="F4689" t="n">
        <v>0.2184</v>
      </c>
      <c r="G4689" t="n">
        <v>1.82</v>
      </c>
      <c r="H4689" t="n">
        <v>2</v>
      </c>
      <c r="I4689" t="n">
        <v>16</v>
      </c>
      <c r="J4689" t="n">
        <v>3</v>
      </c>
      <c r="K4689" t="n">
        <v>0</v>
      </c>
      <c r="L4689" t="n">
        <v>141750</v>
      </c>
      <c r="M4689" t="n">
        <v>187000</v>
      </c>
      <c r="N4689" t="n">
        <v>91</v>
      </c>
      <c r="O4689" t="n">
        <v>0.91</v>
      </c>
      <c r="P4689" t="n">
        <v>1</v>
      </c>
      <c r="Q4689" t="n">
        <v>0.39</v>
      </c>
      <c r="R4689" t="n">
        <v>4</v>
      </c>
      <c r="S4689" t="n">
        <v>40840.8</v>
      </c>
      <c r="T4689" t="n">
        <v>29</v>
      </c>
      <c r="U4689" t="n">
        <v>30</v>
      </c>
      <c r="V4689" t="n">
        <v>30</v>
      </c>
      <c r="W4689" t="n">
        <v>7</v>
      </c>
      <c r="X4689" t="n">
        <v>68.68131868131867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676</v>
      </c>
      <c r="AG4689" t="n">
        <v>107</v>
      </c>
      <c r="AH4689" t="inlineStr">
        <is>
          <t xml:space="preserve">CV. DAHLIA - PPN (PDG) </t>
        </is>
      </c>
      <c r="AI4689" t="n">
        <v>1680</v>
      </c>
      <c r="AJ4689" t="inlineStr">
        <is>
          <t>SAFF &amp; CO</t>
        </is>
      </c>
      <c r="AK4689" t="n">
        <v>21</v>
      </c>
      <c r="AL4689" t="inlineStr">
        <is>
          <t>Miss Glam Damar</t>
        </is>
      </c>
      <c r="AM4689" t="n">
        <v>4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SAFF &amp; CO</t>
        </is>
      </c>
      <c r="B4690" s="2">
        <f>"8997019519871"</f>
        <v/>
      </c>
      <c r="C4690" t="inlineStr">
        <is>
          <t>SAFF &amp; CO Extrait De Parfum Maleali 30ml</t>
        </is>
      </c>
      <c r="D4690" t="inlineStr">
        <is>
          <t>Miss Glam Damar</t>
        </is>
      </c>
      <c r="E4690" t="n">
        <v>1</v>
      </c>
      <c r="F4690" t="n">
        <v>0.07000000000000001</v>
      </c>
      <c r="G4690" t="n">
        <v>1</v>
      </c>
      <c r="H4690" t="n">
        <v>2</v>
      </c>
      <c r="I4690" t="n">
        <v>16</v>
      </c>
      <c r="J4690" t="n">
        <v>3</v>
      </c>
      <c r="K4690" t="n">
        <v>0</v>
      </c>
      <c r="L4690" t="n">
        <v>171750</v>
      </c>
      <c r="M4690" t="n">
        <v>229000</v>
      </c>
      <c r="N4690" t="n">
        <v>91</v>
      </c>
      <c r="O4690" t="n">
        <v>0.91</v>
      </c>
      <c r="P4690" t="n">
        <v>0</v>
      </c>
      <c r="Q4690" t="n">
        <v>0.07000000000000001</v>
      </c>
      <c r="R4690" t="n">
        <v>1</v>
      </c>
      <c r="S4690" t="n">
        <v>16030</v>
      </c>
      <c r="T4690" t="n">
        <v>16</v>
      </c>
      <c r="U4690" t="n">
        <v>17</v>
      </c>
      <c r="V4690" t="n">
        <v>30</v>
      </c>
      <c r="W4690" t="n">
        <v>3</v>
      </c>
      <c r="X4690" t="n">
        <v>14.28571428571428</v>
      </c>
      <c r="Y4690" t="n">
        <v>1</v>
      </c>
      <c r="Z4690" t="n">
        <v>2</v>
      </c>
      <c r="AA4690" t="n">
        <v>1</v>
      </c>
      <c r="AB4690" t="n">
        <v>1</v>
      </c>
      <c r="AC4690" t="n">
        <v>3</v>
      </c>
      <c r="AD4690" t="n">
        <v>171750</v>
      </c>
      <c r="AE4690" t="n">
        <v>515250</v>
      </c>
      <c r="AF4690" t="n">
        <v>676</v>
      </c>
      <c r="AG4690" t="n">
        <v>107</v>
      </c>
      <c r="AH4690" t="inlineStr">
        <is>
          <t xml:space="preserve">CV. DAHLIA - PPN (PDG) </t>
        </is>
      </c>
      <c r="AI4690" t="n">
        <v>1680</v>
      </c>
      <c r="AJ4690" t="inlineStr">
        <is>
          <t>SAFF &amp; CO</t>
        </is>
      </c>
      <c r="AK4690" t="n">
        <v>21</v>
      </c>
      <c r="AL4690" t="inlineStr">
        <is>
          <t>Miss Glam Damar</t>
        </is>
      </c>
      <c r="AM4690" t="n">
        <v>4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SAFF &amp; CO</t>
        </is>
      </c>
      <c r="B4691" s="2">
        <f>"8997019519345"</f>
        <v/>
      </c>
      <c r="C4691" t="inlineStr">
        <is>
          <t>SAFF &amp; CO Extrait de Parfum Morfosia 35ml</t>
        </is>
      </c>
      <c r="D4691" t="inlineStr">
        <is>
          <t>Miss Glam Damar</t>
        </is>
      </c>
      <c r="E4691" t="n">
        <v>3</v>
      </c>
      <c r="F4691" t="n">
        <v>0.0182</v>
      </c>
      <c r="G4691" t="n">
        <v>0.91</v>
      </c>
      <c r="H4691" t="n">
        <v>2</v>
      </c>
      <c r="I4691" t="n">
        <v>16</v>
      </c>
      <c r="J4691" t="n">
        <v>1</v>
      </c>
      <c r="K4691" t="n">
        <v>0</v>
      </c>
      <c r="L4691" t="n">
        <v>186750</v>
      </c>
      <c r="M4691" t="n">
        <v>249000</v>
      </c>
      <c r="N4691" t="n">
        <v>91</v>
      </c>
      <c r="O4691" t="n">
        <v>0.91</v>
      </c>
      <c r="P4691" t="n">
        <v>1</v>
      </c>
      <c r="Q4691" t="n">
        <v>0.02</v>
      </c>
      <c r="R4691" t="n">
        <v>1</v>
      </c>
      <c r="S4691" t="n">
        <v>4531.8</v>
      </c>
      <c r="T4691" t="n">
        <v>15</v>
      </c>
      <c r="U4691" t="n">
        <v>16</v>
      </c>
      <c r="V4691" t="n">
        <v>30</v>
      </c>
      <c r="W4691" t="n">
        <v>1</v>
      </c>
      <c r="X4691" t="n">
        <v>164.8351648351648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676</v>
      </c>
      <c r="AG4691" t="n">
        <v>107</v>
      </c>
      <c r="AH4691" t="inlineStr">
        <is>
          <t xml:space="preserve">CV. DAHLIA - PPN (PDG) </t>
        </is>
      </c>
      <c r="AI4691" t="n">
        <v>1680</v>
      </c>
      <c r="AJ4691" t="inlineStr">
        <is>
          <t>SAFF &amp; CO</t>
        </is>
      </c>
      <c r="AK4691" t="n">
        <v>21</v>
      </c>
      <c r="AL4691" t="inlineStr">
        <is>
          <t>Miss Glam Damar</t>
        </is>
      </c>
      <c r="AM4691" t="n">
        <v>4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SAFF &amp; CO</t>
        </is>
      </c>
      <c r="B4692" s="2">
        <f>"8997019519222"</f>
        <v/>
      </c>
      <c r="C4692" t="inlineStr">
        <is>
          <t>SAFF &amp; CO Extrait De Parfum Morfosia 8ml</t>
        </is>
      </c>
      <c r="D4692" t="inlineStr">
        <is>
          <t>Miss Glam Damar</t>
        </is>
      </c>
      <c r="E4692" t="n">
        <v>3</v>
      </c>
      <c r="F4692" t="n">
        <v>0.04550000000000001</v>
      </c>
      <c r="G4692" t="n">
        <v>0.91</v>
      </c>
      <c r="H4692" t="n">
        <v>2</v>
      </c>
      <c r="I4692" t="n">
        <v>16</v>
      </c>
      <c r="J4692" t="n">
        <v>1</v>
      </c>
      <c r="K4692" t="n">
        <v>0</v>
      </c>
      <c r="L4692" t="n">
        <v>66750</v>
      </c>
      <c r="M4692" t="n">
        <v>89000</v>
      </c>
      <c r="N4692" t="n">
        <v>91</v>
      </c>
      <c r="O4692" t="n">
        <v>0.91</v>
      </c>
      <c r="P4692" t="n">
        <v>1</v>
      </c>
      <c r="Q4692" t="n">
        <v>0.1</v>
      </c>
      <c r="R4692" t="n">
        <v>1</v>
      </c>
      <c r="S4692" t="n">
        <v>4049.5</v>
      </c>
      <c r="T4692" t="n">
        <v>15</v>
      </c>
      <c r="U4692" t="n">
        <v>16</v>
      </c>
      <c r="V4692" t="n">
        <v>30</v>
      </c>
      <c r="W4692" t="n">
        <v>2</v>
      </c>
      <c r="X4692" t="n">
        <v>65.93406593406593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676</v>
      </c>
      <c r="AG4692" t="n">
        <v>107</v>
      </c>
      <c r="AH4692" t="inlineStr">
        <is>
          <t xml:space="preserve">CV. DAHLIA - PPN (PDG) </t>
        </is>
      </c>
      <c r="AI4692" t="n">
        <v>1680</v>
      </c>
      <c r="AJ4692" t="inlineStr">
        <is>
          <t>SAFF &amp; CO</t>
        </is>
      </c>
      <c r="AK4692" t="n">
        <v>21</v>
      </c>
      <c r="AL4692" t="inlineStr">
        <is>
          <t>Miss Glam Damar</t>
        </is>
      </c>
      <c r="AM4692" t="n">
        <v>4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SAFF &amp; CO</t>
        </is>
      </c>
      <c r="B4693" s="2">
        <f>"8997019519246"</f>
        <v/>
      </c>
      <c r="C4693" t="inlineStr">
        <is>
          <t>SAFF &amp; CO Extrait De Parfum Omnia 30ml</t>
        </is>
      </c>
      <c r="D4693" t="inlineStr">
        <is>
          <t>Miss Glam Damar</t>
        </is>
      </c>
      <c r="E4693" t="n">
        <v>5</v>
      </c>
      <c r="F4693" t="n">
        <v>0.1274</v>
      </c>
      <c r="G4693" t="n">
        <v>0.91</v>
      </c>
      <c r="H4693" t="n">
        <v>2</v>
      </c>
      <c r="I4693" t="n">
        <v>16</v>
      </c>
      <c r="J4693" t="n">
        <v>3</v>
      </c>
      <c r="K4693" t="n">
        <v>0</v>
      </c>
      <c r="L4693" t="n">
        <v>141750</v>
      </c>
      <c r="M4693" t="n">
        <v>189000</v>
      </c>
      <c r="N4693" t="n">
        <v>91</v>
      </c>
      <c r="O4693" t="n">
        <v>0.91</v>
      </c>
      <c r="P4693" t="n">
        <v>1</v>
      </c>
      <c r="Q4693" t="n">
        <v>0.1</v>
      </c>
      <c r="R4693" t="n">
        <v>1</v>
      </c>
      <c r="S4693" t="n">
        <v>24078.6</v>
      </c>
      <c r="T4693" t="n">
        <v>15</v>
      </c>
      <c r="U4693" t="n">
        <v>16</v>
      </c>
      <c r="V4693" t="n">
        <v>30</v>
      </c>
      <c r="W4693" t="n">
        <v>4</v>
      </c>
      <c r="X4693" t="n">
        <v>39.24646781789639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676</v>
      </c>
      <c r="AG4693" t="n">
        <v>107</v>
      </c>
      <c r="AH4693" t="inlineStr">
        <is>
          <t xml:space="preserve">CV. DAHLIA - PPN (PDG) </t>
        </is>
      </c>
      <c r="AI4693" t="n">
        <v>1680</v>
      </c>
      <c r="AJ4693" t="inlineStr">
        <is>
          <t>SAFF &amp; CO</t>
        </is>
      </c>
      <c r="AK4693" t="n">
        <v>21</v>
      </c>
      <c r="AL4693" t="inlineStr">
        <is>
          <t>Miss Glam Damar</t>
        </is>
      </c>
      <c r="AM4693" t="n">
        <v>4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SAFF &amp; CO</t>
        </is>
      </c>
      <c r="B4694" s="2">
        <f>"8997019519369"</f>
        <v/>
      </c>
      <c r="C4694" t="inlineStr">
        <is>
          <t>SAFF &amp; CO Extrait De Parfum S.O.T.B 30ml</t>
        </is>
      </c>
      <c r="D4694" t="inlineStr">
        <is>
          <t>Miss Glam Damar</t>
        </is>
      </c>
      <c r="E4694" t="n">
        <v>22</v>
      </c>
      <c r="F4694" t="n">
        <v>0.6006</v>
      </c>
      <c r="G4694" t="n">
        <v>2.73</v>
      </c>
      <c r="H4694" t="n">
        <v>2</v>
      </c>
      <c r="I4694" t="n">
        <v>16</v>
      </c>
      <c r="J4694" t="n">
        <v>3</v>
      </c>
      <c r="K4694" t="n">
        <v>0</v>
      </c>
      <c r="L4694" t="n">
        <v>186750</v>
      </c>
      <c r="M4694" t="n">
        <v>245000</v>
      </c>
      <c r="N4694" t="n">
        <v>91</v>
      </c>
      <c r="O4694" t="n">
        <v>0.91</v>
      </c>
      <c r="P4694" t="n">
        <v>1</v>
      </c>
      <c r="Q4694" t="n">
        <v>0.64</v>
      </c>
      <c r="R4694" t="n">
        <v>2</v>
      </c>
      <c r="S4694" t="n">
        <v>147147</v>
      </c>
      <c r="T4694" t="n">
        <v>43</v>
      </c>
      <c r="U4694" t="n">
        <v>45</v>
      </c>
      <c r="V4694" t="n">
        <v>30</v>
      </c>
      <c r="W4694" t="n">
        <v>19</v>
      </c>
      <c r="X4694" t="n">
        <v>36.63003663003663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676</v>
      </c>
      <c r="AG4694" t="n">
        <v>107</v>
      </c>
      <c r="AH4694" t="inlineStr">
        <is>
          <t xml:space="preserve">CV. DAHLIA - PPN (PDG) </t>
        </is>
      </c>
      <c r="AI4694" t="n">
        <v>1680</v>
      </c>
      <c r="AJ4694" t="inlineStr">
        <is>
          <t>SAFF &amp; CO</t>
        </is>
      </c>
      <c r="AK4694" t="n">
        <v>21</v>
      </c>
      <c r="AL4694" t="inlineStr">
        <is>
          <t>Miss Glam Damar</t>
        </is>
      </c>
      <c r="AM4694" t="n">
        <v>4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SAFF &amp; CO</t>
        </is>
      </c>
      <c r="B4695" s="2">
        <f>"8997019519956"</f>
        <v/>
      </c>
      <c r="C4695" t="inlineStr">
        <is>
          <t>SAFF &amp; CO Iliad Extrait De Parfum 30ml</t>
        </is>
      </c>
      <c r="D4695" t="inlineStr">
        <is>
          <t>Miss Glam Damar</t>
        </is>
      </c>
      <c r="E4695" t="n">
        <v>3</v>
      </c>
      <c r="F4695" t="n">
        <v>0.04550000000000001</v>
      </c>
      <c r="G4695" t="n">
        <v>0.91</v>
      </c>
      <c r="H4695" t="n">
        <v>2</v>
      </c>
      <c r="I4695" t="n">
        <v>16</v>
      </c>
      <c r="J4695" t="n">
        <v>3</v>
      </c>
      <c r="K4695" t="n">
        <v>0</v>
      </c>
      <c r="L4695" t="n">
        <v>171750</v>
      </c>
      <c r="M4695" t="n">
        <v>229000</v>
      </c>
      <c r="N4695" t="n">
        <v>91</v>
      </c>
      <c r="O4695" t="n">
        <v>0.91</v>
      </c>
      <c r="P4695" t="n">
        <v>1</v>
      </c>
      <c r="Q4695" t="n">
        <v>0.08</v>
      </c>
      <c r="R4695" t="n">
        <v>1</v>
      </c>
      <c r="S4695" t="n">
        <v>10419.5</v>
      </c>
      <c r="T4695" t="n">
        <v>15</v>
      </c>
      <c r="U4695" t="n">
        <v>16</v>
      </c>
      <c r="V4695" t="n">
        <v>30</v>
      </c>
      <c r="W4695" t="n">
        <v>2</v>
      </c>
      <c r="X4695" t="n">
        <v>65.93406593406593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676</v>
      </c>
      <c r="AG4695" t="n">
        <v>107</v>
      </c>
      <c r="AH4695" t="inlineStr">
        <is>
          <t xml:space="preserve">CV. DAHLIA - PPN (PDG) </t>
        </is>
      </c>
      <c r="AI4695" t="n">
        <v>1680</v>
      </c>
      <c r="AJ4695" t="inlineStr">
        <is>
          <t>SAFF &amp; CO</t>
        </is>
      </c>
      <c r="AK4695" t="n">
        <v>21</v>
      </c>
      <c r="AL4695" t="inlineStr">
        <is>
          <t>Miss Glam Damar</t>
        </is>
      </c>
      <c r="AM4695" t="n">
        <v>4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SAFF &amp; CO</t>
        </is>
      </c>
      <c r="B4696" s="2">
        <f>"8997019519291"</f>
        <v/>
      </c>
      <c r="C4696" t="inlineStr">
        <is>
          <t>SAFF &amp; CO MIni Extrait De Parfum Chno 8ml</t>
        </is>
      </c>
      <c r="D4696" t="inlineStr">
        <is>
          <t>Miss Glam Damar</t>
        </is>
      </c>
      <c r="E4696" t="n">
        <v>3</v>
      </c>
      <c r="F4696" t="n">
        <v>0.06370000000000001</v>
      </c>
      <c r="G4696" t="n">
        <v>0.91</v>
      </c>
      <c r="H4696" t="n">
        <v>2</v>
      </c>
      <c r="I4696" t="n">
        <v>16</v>
      </c>
      <c r="J4696" t="n">
        <v>3</v>
      </c>
      <c r="K4696" t="n">
        <v>0</v>
      </c>
      <c r="L4696" t="n">
        <v>59250</v>
      </c>
      <c r="M4696" t="n">
        <v>79000</v>
      </c>
      <c r="N4696" t="n">
        <v>91</v>
      </c>
      <c r="O4696" t="n">
        <v>0.91</v>
      </c>
      <c r="P4696" t="n">
        <v>1</v>
      </c>
      <c r="Q4696" t="n">
        <v>0.08</v>
      </c>
      <c r="R4696" t="n">
        <v>1</v>
      </c>
      <c r="S4696" t="n">
        <v>5032.3</v>
      </c>
      <c r="T4696" t="n">
        <v>15</v>
      </c>
      <c r="U4696" t="n">
        <v>16</v>
      </c>
      <c r="V4696" t="n">
        <v>30</v>
      </c>
      <c r="W4696" t="n">
        <v>2</v>
      </c>
      <c r="X4696" t="n">
        <v>47.09576138147566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676</v>
      </c>
      <c r="AG4696" t="n">
        <v>107</v>
      </c>
      <c r="AH4696" t="inlineStr">
        <is>
          <t xml:space="preserve">CV. DAHLIA - PPN (PDG) </t>
        </is>
      </c>
      <c r="AI4696" t="n">
        <v>1680</v>
      </c>
      <c r="AJ4696" t="inlineStr">
        <is>
          <t>SAFF &amp; CO</t>
        </is>
      </c>
      <c r="AK4696" t="n">
        <v>21</v>
      </c>
      <c r="AL4696" t="inlineStr">
        <is>
          <t>Miss Glam Damar</t>
        </is>
      </c>
      <c r="AM4696" t="n">
        <v>4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SAFF &amp; CO</t>
        </is>
      </c>
      <c r="B4697" s="2">
        <f>"8997019519154"</f>
        <v/>
      </c>
      <c r="C4697" t="inlineStr">
        <is>
          <t>SAFF &amp; CO Mini Extrait De Parfum Irai Leima 8ml</t>
        </is>
      </c>
      <c r="D4697" t="inlineStr">
        <is>
          <t>Miss Glam Damar</t>
        </is>
      </c>
      <c r="E4697" t="n">
        <v>10</v>
      </c>
      <c r="F4697" t="n">
        <v>0.1547</v>
      </c>
      <c r="G4697" t="n">
        <v>1.82</v>
      </c>
      <c r="H4697" t="n">
        <v>2</v>
      </c>
      <c r="I4697" t="n">
        <v>16</v>
      </c>
      <c r="J4697" t="n">
        <v>1</v>
      </c>
      <c r="K4697" t="n">
        <v>0</v>
      </c>
      <c r="L4697" t="n">
        <v>66750</v>
      </c>
      <c r="M4697" t="n">
        <v>89000</v>
      </c>
      <c r="N4697" t="n">
        <v>91</v>
      </c>
      <c r="O4697" t="n">
        <v>0.91</v>
      </c>
      <c r="P4697" t="n">
        <v>1</v>
      </c>
      <c r="Q4697" t="n">
        <v>0.14</v>
      </c>
      <c r="R4697" t="n">
        <v>1</v>
      </c>
      <c r="S4697" t="n">
        <v>13768.3</v>
      </c>
      <c r="T4697" t="n">
        <v>29</v>
      </c>
      <c r="U4697" t="n">
        <v>30</v>
      </c>
      <c r="V4697" t="n">
        <v>30</v>
      </c>
      <c r="W4697" t="n">
        <v>5</v>
      </c>
      <c r="X4697" t="n">
        <v>64.64124111182934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676</v>
      </c>
      <c r="AG4697" t="n">
        <v>107</v>
      </c>
      <c r="AH4697" t="inlineStr">
        <is>
          <t xml:space="preserve">CV. DAHLIA - PPN (PDG) </t>
        </is>
      </c>
      <c r="AI4697" t="n">
        <v>1680</v>
      </c>
      <c r="AJ4697" t="inlineStr">
        <is>
          <t>SAFF &amp; CO</t>
        </is>
      </c>
      <c r="AK4697" t="n">
        <v>21</v>
      </c>
      <c r="AL4697" t="inlineStr">
        <is>
          <t>Miss Glam Damar</t>
        </is>
      </c>
      <c r="AM4697" t="n">
        <v>4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SAFF &amp; CO</t>
        </is>
      </c>
      <c r="B4698" s="2">
        <f>"8997019519376"</f>
        <v/>
      </c>
      <c r="C4698" t="inlineStr">
        <is>
          <t>SAFF &amp; CO MIni Extrait De Parfum S.O.T.B 8ml</t>
        </is>
      </c>
      <c r="D4698" t="inlineStr">
        <is>
          <t>Miss Glam Damar</t>
        </is>
      </c>
      <c r="E4698" t="n">
        <v>5</v>
      </c>
      <c r="F4698" t="n">
        <v>0.2184</v>
      </c>
      <c r="G4698" t="n">
        <v>1.82</v>
      </c>
      <c r="H4698" t="n">
        <v>2</v>
      </c>
      <c r="I4698" t="n">
        <v>16</v>
      </c>
      <c r="J4698" t="n">
        <v>3</v>
      </c>
      <c r="K4698" t="n">
        <v>0</v>
      </c>
      <c r="L4698" t="n">
        <v>74250</v>
      </c>
      <c r="M4698" t="n">
        <v>99000</v>
      </c>
      <c r="N4698" t="n">
        <v>91</v>
      </c>
      <c r="O4698" t="n">
        <v>0.91</v>
      </c>
      <c r="P4698" t="n">
        <v>1</v>
      </c>
      <c r="Q4698" t="n">
        <v>0.17</v>
      </c>
      <c r="R4698" t="n">
        <v>1</v>
      </c>
      <c r="S4698" t="n">
        <v>21621.6</v>
      </c>
      <c r="T4698" t="n">
        <v>29</v>
      </c>
      <c r="U4698" t="n">
        <v>30</v>
      </c>
      <c r="V4698" t="n">
        <v>30</v>
      </c>
      <c r="W4698" t="n">
        <v>7</v>
      </c>
      <c r="X4698" t="n">
        <v>22.89377289377289</v>
      </c>
      <c r="Y4698" t="n">
        <v>1</v>
      </c>
      <c r="Z4698" t="n">
        <v>2</v>
      </c>
      <c r="AA4698" t="n">
        <v>0</v>
      </c>
      <c r="AB4698" t="n">
        <v>2</v>
      </c>
      <c r="AC4698" t="n">
        <v>3</v>
      </c>
      <c r="AD4698" t="n">
        <v>0</v>
      </c>
      <c r="AE4698" t="n">
        <v>222750</v>
      </c>
      <c r="AF4698" t="n">
        <v>676</v>
      </c>
      <c r="AG4698" t="n">
        <v>107</v>
      </c>
      <c r="AH4698" t="inlineStr">
        <is>
          <t xml:space="preserve">CV. DAHLIA - PPN (PDG) </t>
        </is>
      </c>
      <c r="AI4698" t="n">
        <v>1680</v>
      </c>
      <c r="AJ4698" t="inlineStr">
        <is>
          <t>SAFF &amp; CO</t>
        </is>
      </c>
      <c r="AK4698" t="n">
        <v>21</v>
      </c>
      <c r="AL4698" t="inlineStr">
        <is>
          <t>Miss Glam Damar</t>
        </is>
      </c>
      <c r="AM4698" t="n">
        <v>4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SAFF &amp; CO</t>
        </is>
      </c>
      <c r="B4699" s="2">
        <f>"8997019519314"</f>
        <v/>
      </c>
      <c r="C4699" t="inlineStr">
        <is>
          <t>SAFF &amp; CO Mini Size Parfum Coco 8ml</t>
        </is>
      </c>
      <c r="D4699" t="inlineStr">
        <is>
          <t>Miss Glam Damar</t>
        </is>
      </c>
      <c r="E4699" t="n">
        <v>3</v>
      </c>
      <c r="F4699" t="n">
        <v>0.0182</v>
      </c>
      <c r="G4699" t="n">
        <v>0.91</v>
      </c>
      <c r="H4699" t="n">
        <v>2</v>
      </c>
      <c r="I4699" t="n">
        <v>16</v>
      </c>
      <c r="J4699" t="n">
        <v>3</v>
      </c>
      <c r="K4699" t="n">
        <v>0</v>
      </c>
      <c r="L4699" t="n">
        <v>59250</v>
      </c>
      <c r="M4699" t="n">
        <v>79000</v>
      </c>
      <c r="N4699" t="n">
        <v>91</v>
      </c>
      <c r="O4699" t="n">
        <v>0.91</v>
      </c>
      <c r="P4699" t="n">
        <v>1</v>
      </c>
      <c r="Q4699" t="n">
        <v>0.1</v>
      </c>
      <c r="R4699" t="n">
        <v>1</v>
      </c>
      <c r="S4699" t="n">
        <v>1437.8</v>
      </c>
      <c r="T4699" t="n">
        <v>15</v>
      </c>
      <c r="U4699" t="n">
        <v>16</v>
      </c>
      <c r="V4699" t="n">
        <v>30</v>
      </c>
      <c r="W4699" t="n">
        <v>1</v>
      </c>
      <c r="X4699" t="n">
        <v>164.8351648351648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676</v>
      </c>
      <c r="AG4699" t="n">
        <v>107</v>
      </c>
      <c r="AH4699" t="inlineStr">
        <is>
          <t xml:space="preserve">CV. DAHLIA - PPN (PDG) </t>
        </is>
      </c>
      <c r="AI4699" t="n">
        <v>1680</v>
      </c>
      <c r="AJ4699" t="inlineStr">
        <is>
          <t>SAFF &amp; CO</t>
        </is>
      </c>
      <c r="AK4699" t="n">
        <v>21</v>
      </c>
      <c r="AL4699" t="inlineStr">
        <is>
          <t>Miss Glam Damar</t>
        </is>
      </c>
      <c r="AM4699" t="n">
        <v>4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SAFF &amp; CO</t>
        </is>
      </c>
      <c r="B4700" s="2">
        <f>"8997019519970"</f>
        <v/>
      </c>
      <c r="C4700" t="inlineStr">
        <is>
          <t>SAFF &amp; CO Mini Size Parfum Iliad 8ml</t>
        </is>
      </c>
      <c r="D4700" t="inlineStr">
        <is>
          <t>Miss Glam Damar</t>
        </is>
      </c>
      <c r="E4700" t="n">
        <v>4</v>
      </c>
      <c r="F4700" t="n">
        <v>0.07000000000000001</v>
      </c>
      <c r="G4700" t="n">
        <v>1</v>
      </c>
      <c r="H4700" t="n">
        <v>2</v>
      </c>
      <c r="I4700" t="n">
        <v>16</v>
      </c>
      <c r="J4700" t="n">
        <v>3</v>
      </c>
      <c r="K4700" t="n">
        <v>0</v>
      </c>
      <c r="L4700" t="n">
        <v>66750</v>
      </c>
      <c r="M4700" t="n">
        <v>89000</v>
      </c>
      <c r="N4700" t="n">
        <v>91</v>
      </c>
      <c r="O4700" t="n">
        <v>0.91</v>
      </c>
      <c r="P4700" t="n">
        <v>0</v>
      </c>
      <c r="Q4700" t="n">
        <v>0.07000000000000001</v>
      </c>
      <c r="R4700" t="n">
        <v>1</v>
      </c>
      <c r="S4700" t="n">
        <v>6230.000000000001</v>
      </c>
      <c r="T4700" t="n">
        <v>16</v>
      </c>
      <c r="U4700" t="n">
        <v>17</v>
      </c>
      <c r="V4700" t="n">
        <v>30</v>
      </c>
      <c r="W4700" t="n">
        <v>3</v>
      </c>
      <c r="X4700" t="n">
        <v>57.14285714285714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676</v>
      </c>
      <c r="AG4700" t="n">
        <v>107</v>
      </c>
      <c r="AH4700" t="inlineStr">
        <is>
          <t xml:space="preserve">CV. DAHLIA - PPN (PDG) </t>
        </is>
      </c>
      <c r="AI4700" t="n">
        <v>1680</v>
      </c>
      <c r="AJ4700" t="inlineStr">
        <is>
          <t>SAFF &amp; CO</t>
        </is>
      </c>
      <c r="AK4700" t="n">
        <v>21</v>
      </c>
      <c r="AL4700" t="inlineStr">
        <is>
          <t>Miss Glam Damar</t>
        </is>
      </c>
      <c r="AM4700" t="n">
        <v>4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SAFF &amp; CO</t>
        </is>
      </c>
      <c r="B4701" s="2">
        <f>"8997019519819"</f>
        <v/>
      </c>
      <c r="C4701" t="inlineStr">
        <is>
          <t>SAFF &amp; CO Mini Size Parfum Las Pozas 8ml</t>
        </is>
      </c>
      <c r="D4701" t="inlineStr">
        <is>
          <t>Miss Glam Damar</t>
        </is>
      </c>
      <c r="E4701" t="n">
        <v>6</v>
      </c>
      <c r="F4701" t="n">
        <v>0.0273</v>
      </c>
      <c r="G4701" t="n">
        <v>0.91</v>
      </c>
      <c r="H4701" t="n">
        <v>2</v>
      </c>
      <c r="I4701" t="n">
        <v>16</v>
      </c>
      <c r="J4701" t="n">
        <v>3</v>
      </c>
      <c r="K4701" t="n">
        <v>0</v>
      </c>
      <c r="L4701" t="n">
        <v>66750</v>
      </c>
      <c r="M4701" t="n">
        <v>89000</v>
      </c>
      <c r="N4701" t="n">
        <v>91</v>
      </c>
      <c r="O4701" t="n">
        <v>0.91</v>
      </c>
      <c r="P4701" t="n">
        <v>1</v>
      </c>
      <c r="Q4701" t="n">
        <v>0.1</v>
      </c>
      <c r="R4701" t="n">
        <v>1</v>
      </c>
      <c r="S4701" t="n">
        <v>2429.7</v>
      </c>
      <c r="T4701" t="n">
        <v>15</v>
      </c>
      <c r="U4701" t="n">
        <v>16</v>
      </c>
      <c r="V4701" t="n">
        <v>30</v>
      </c>
      <c r="W4701" t="n">
        <v>1</v>
      </c>
      <c r="X4701" t="n">
        <v>219.7802197802198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676</v>
      </c>
      <c r="AG4701" t="n">
        <v>107</v>
      </c>
      <c r="AH4701" t="inlineStr">
        <is>
          <t xml:space="preserve">CV. DAHLIA - PPN (PDG) </t>
        </is>
      </c>
      <c r="AI4701" t="n">
        <v>1680</v>
      </c>
      <c r="AJ4701" t="inlineStr">
        <is>
          <t>SAFF &amp; CO</t>
        </is>
      </c>
      <c r="AK4701" t="n">
        <v>21</v>
      </c>
      <c r="AL4701" t="inlineStr">
        <is>
          <t>Miss Glam Damar</t>
        </is>
      </c>
      <c r="AM4701" t="n">
        <v>4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SAFF &amp; CO</t>
        </is>
      </c>
      <c r="B4702" s="2">
        <f>"8997019519277"</f>
        <v/>
      </c>
      <c r="C4702" t="inlineStr">
        <is>
          <t>SAFF &amp; CO Mini Size Parfum Loui 8ml</t>
        </is>
      </c>
      <c r="D4702" t="inlineStr">
        <is>
          <t>Miss Glam Damar</t>
        </is>
      </c>
      <c r="E4702" t="n">
        <v>12</v>
      </c>
      <c r="F4702" t="n">
        <v>0.09100000000000001</v>
      </c>
      <c r="G4702" t="n">
        <v>0.91</v>
      </c>
      <c r="H4702" t="n">
        <v>2</v>
      </c>
      <c r="I4702" t="n">
        <v>16</v>
      </c>
      <c r="J4702" t="n">
        <v>3</v>
      </c>
      <c r="K4702" t="n">
        <v>0</v>
      </c>
      <c r="L4702" t="n">
        <v>59250</v>
      </c>
      <c r="M4702" t="n">
        <v>79000</v>
      </c>
      <c r="N4702" t="n">
        <v>91</v>
      </c>
      <c r="O4702" t="n">
        <v>0.91</v>
      </c>
      <c r="P4702" t="n">
        <v>1</v>
      </c>
      <c r="Q4702" t="n">
        <v>0.22</v>
      </c>
      <c r="R4702" t="n">
        <v>2</v>
      </c>
      <c r="S4702" t="n">
        <v>7189.000000000001</v>
      </c>
      <c r="T4702" t="n">
        <v>15</v>
      </c>
      <c r="U4702" t="n">
        <v>16</v>
      </c>
      <c r="V4702" t="n">
        <v>30</v>
      </c>
      <c r="W4702" t="n">
        <v>3</v>
      </c>
      <c r="X4702" t="n">
        <v>131.8681318681319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676</v>
      </c>
      <c r="AG4702" t="n">
        <v>107</v>
      </c>
      <c r="AH4702" t="inlineStr">
        <is>
          <t xml:space="preserve">CV. DAHLIA - PPN (PDG) </t>
        </is>
      </c>
      <c r="AI4702" t="n">
        <v>1680</v>
      </c>
      <c r="AJ4702" t="inlineStr">
        <is>
          <t>SAFF &amp; CO</t>
        </is>
      </c>
      <c r="AK4702" t="n">
        <v>21</v>
      </c>
      <c r="AL4702" t="inlineStr">
        <is>
          <t>Miss Glam Damar</t>
        </is>
      </c>
      <c r="AM4702" t="n">
        <v>4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SAFF &amp; CO</t>
        </is>
      </c>
      <c r="B4703" s="2">
        <f>"8997019519253"</f>
        <v/>
      </c>
      <c r="C4703" t="inlineStr">
        <is>
          <t>SAFF &amp; CO Mini Size Parfum Omnia 8ml</t>
        </is>
      </c>
      <c r="D4703" t="inlineStr">
        <is>
          <t>Miss Glam Damar</t>
        </is>
      </c>
      <c r="E4703" t="n">
        <v>3</v>
      </c>
      <c r="F4703" t="n">
        <v>0.04550000000000001</v>
      </c>
      <c r="G4703" t="n">
        <v>0.91</v>
      </c>
      <c r="H4703" t="n">
        <v>2</v>
      </c>
      <c r="I4703" t="n">
        <v>16</v>
      </c>
      <c r="J4703" t="n">
        <v>3</v>
      </c>
      <c r="K4703" t="n">
        <v>0</v>
      </c>
      <c r="L4703" t="n">
        <v>56438</v>
      </c>
      <c r="M4703" t="n">
        <v>79000</v>
      </c>
      <c r="N4703" t="n">
        <v>91</v>
      </c>
      <c r="O4703" t="n">
        <v>0.91</v>
      </c>
      <c r="P4703" t="n">
        <v>1</v>
      </c>
      <c r="Q4703" t="n">
        <v>0.05</v>
      </c>
      <c r="R4703" t="n">
        <v>1</v>
      </c>
      <c r="S4703" t="n">
        <v>3594.5</v>
      </c>
      <c r="T4703" t="n">
        <v>15</v>
      </c>
      <c r="U4703" t="n">
        <v>16</v>
      </c>
      <c r="V4703" t="n">
        <v>30</v>
      </c>
      <c r="W4703" t="n">
        <v>2</v>
      </c>
      <c r="X4703" t="n">
        <v>65.93406593406593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676</v>
      </c>
      <c r="AG4703" t="n">
        <v>107</v>
      </c>
      <c r="AH4703" t="inlineStr">
        <is>
          <t xml:space="preserve">CV. DAHLIA - PPN (PDG) </t>
        </is>
      </c>
      <c r="AI4703" t="n">
        <v>1680</v>
      </c>
      <c r="AJ4703" t="inlineStr">
        <is>
          <t>SAFF &amp; CO</t>
        </is>
      </c>
      <c r="AK4703" t="n">
        <v>21</v>
      </c>
      <c r="AL4703" t="inlineStr">
        <is>
          <t>Miss Glam Damar</t>
        </is>
      </c>
      <c r="AM4703" t="n">
        <v>4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SAFF &amp; CO</t>
        </is>
      </c>
      <c r="B4704" s="2">
        <f>"8997019519338"</f>
        <v/>
      </c>
      <c r="C4704" t="inlineStr">
        <is>
          <t>SAFF &amp; CO Mini Size Parfum Saff 8ml</t>
        </is>
      </c>
      <c r="D4704" t="inlineStr">
        <is>
          <t>Miss Glam Damar</t>
        </is>
      </c>
      <c r="E4704" t="n">
        <v>5</v>
      </c>
      <c r="F4704" t="n">
        <v>0.0728</v>
      </c>
      <c r="G4704" t="n">
        <v>0.91</v>
      </c>
      <c r="H4704" t="n">
        <v>2</v>
      </c>
      <c r="I4704" t="n">
        <v>16</v>
      </c>
      <c r="J4704" t="n">
        <v>3</v>
      </c>
      <c r="K4704" t="n">
        <v>0</v>
      </c>
      <c r="L4704" t="n">
        <v>74250</v>
      </c>
      <c r="M4704" t="n">
        <v>99000</v>
      </c>
      <c r="N4704" t="n">
        <v>91</v>
      </c>
      <c r="O4704" t="n">
        <v>0.91</v>
      </c>
      <c r="P4704" t="n">
        <v>1</v>
      </c>
      <c r="Q4704" t="n">
        <v>0.12</v>
      </c>
      <c r="R4704" t="n">
        <v>1</v>
      </c>
      <c r="S4704" t="n">
        <v>7207.200000000001</v>
      </c>
      <c r="T4704" t="n">
        <v>15</v>
      </c>
      <c r="U4704" t="n">
        <v>16</v>
      </c>
      <c r="V4704" t="n">
        <v>30</v>
      </c>
      <c r="W4704" t="n">
        <v>3</v>
      </c>
      <c r="X4704" t="n">
        <v>68.68131868131867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676</v>
      </c>
      <c r="AG4704" t="n">
        <v>107</v>
      </c>
      <c r="AH4704" t="inlineStr">
        <is>
          <t xml:space="preserve">CV. DAHLIA - PPN (PDG) </t>
        </is>
      </c>
      <c r="AI4704" t="n">
        <v>1680</v>
      </c>
      <c r="AJ4704" t="inlineStr">
        <is>
          <t>SAFF &amp; CO</t>
        </is>
      </c>
      <c r="AK4704" t="n">
        <v>21</v>
      </c>
      <c r="AL4704" t="inlineStr">
        <is>
          <t>Miss Glam Damar</t>
        </is>
      </c>
      <c r="AM4704" t="n">
        <v>4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SAFF &amp; CO</t>
        </is>
      </c>
      <c r="B4705" s="2">
        <f>"8997019519390"</f>
        <v/>
      </c>
      <c r="C4705" t="inlineStr">
        <is>
          <t>SAFF &amp; CO Mini Size Parfum Troupe 8ml</t>
        </is>
      </c>
      <c r="D4705" t="inlineStr">
        <is>
          <t>Miss Glam Damar</t>
        </is>
      </c>
      <c r="E4705" t="n">
        <v>5</v>
      </c>
      <c r="F4705" t="n">
        <v>0.03</v>
      </c>
      <c r="G4705" t="n">
        <v>1</v>
      </c>
      <c r="H4705" t="n">
        <v>2</v>
      </c>
      <c r="I4705" t="n">
        <v>16</v>
      </c>
      <c r="J4705" t="n">
        <v>3</v>
      </c>
      <c r="K4705" t="n">
        <v>0</v>
      </c>
      <c r="L4705" t="n">
        <v>59250</v>
      </c>
      <c r="M4705" t="n">
        <v>79000</v>
      </c>
      <c r="N4705" t="n">
        <v>91</v>
      </c>
      <c r="O4705" t="n">
        <v>0.91</v>
      </c>
      <c r="P4705" t="n">
        <v>0</v>
      </c>
      <c r="Q4705" t="n">
        <v>0.03</v>
      </c>
      <c r="R4705" t="n">
        <v>1</v>
      </c>
      <c r="S4705" t="n">
        <v>2370</v>
      </c>
      <c r="T4705" t="n">
        <v>16</v>
      </c>
      <c r="U4705" t="n">
        <v>17</v>
      </c>
      <c r="V4705" t="n">
        <v>30</v>
      </c>
      <c r="W4705" t="n">
        <v>1</v>
      </c>
      <c r="X4705" t="n">
        <v>166.6666666666667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676</v>
      </c>
      <c r="AG4705" t="n">
        <v>107</v>
      </c>
      <c r="AH4705" t="inlineStr">
        <is>
          <t xml:space="preserve">CV. DAHLIA - PPN (PDG) </t>
        </is>
      </c>
      <c r="AI4705" t="n">
        <v>1680</v>
      </c>
      <c r="AJ4705" t="inlineStr">
        <is>
          <t>SAFF &amp; CO</t>
        </is>
      </c>
      <c r="AK4705" t="n">
        <v>21</v>
      </c>
      <c r="AL4705" t="inlineStr">
        <is>
          <t>Miss Glam Damar</t>
        </is>
      </c>
      <c r="AM4705" t="n">
        <v>4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SAFF &amp; CO</t>
        </is>
      </c>
      <c r="B4706" s="2">
        <f>"8997019519949"</f>
        <v/>
      </c>
      <c r="C4706" t="inlineStr">
        <is>
          <t>SAFF &amp; CO Mini Size Parfum Xocolatl 8ml</t>
        </is>
      </c>
      <c r="D4706" t="inlineStr">
        <is>
          <t>Miss Glam Damar</t>
        </is>
      </c>
      <c r="E4706" t="n">
        <v>5</v>
      </c>
      <c r="F4706" t="n">
        <v>0.09100000000000001</v>
      </c>
      <c r="G4706" t="n">
        <v>1.82</v>
      </c>
      <c r="H4706" t="n">
        <v>2</v>
      </c>
      <c r="I4706" t="n">
        <v>16</v>
      </c>
      <c r="J4706" t="n">
        <v>3</v>
      </c>
      <c r="K4706" t="n">
        <v>0</v>
      </c>
      <c r="L4706" t="n">
        <v>66750</v>
      </c>
      <c r="M4706" t="n">
        <v>89000</v>
      </c>
      <c r="N4706" t="n">
        <v>91</v>
      </c>
      <c r="O4706" t="n">
        <v>0.91</v>
      </c>
      <c r="P4706" t="n">
        <v>1</v>
      </c>
      <c r="Q4706" t="n">
        <v>0.19</v>
      </c>
      <c r="R4706" t="n">
        <v>2</v>
      </c>
      <c r="S4706" t="n">
        <v>8099.000000000001</v>
      </c>
      <c r="T4706" t="n">
        <v>29</v>
      </c>
      <c r="U4706" t="n">
        <v>30</v>
      </c>
      <c r="V4706" t="n">
        <v>30</v>
      </c>
      <c r="W4706" t="n">
        <v>3</v>
      </c>
      <c r="X4706" t="n">
        <v>54.94505494505494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676</v>
      </c>
      <c r="AG4706" t="n">
        <v>107</v>
      </c>
      <c r="AH4706" t="inlineStr">
        <is>
          <t xml:space="preserve">CV. DAHLIA - PPN (PDG) </t>
        </is>
      </c>
      <c r="AI4706" t="n">
        <v>1680</v>
      </c>
      <c r="AJ4706" t="inlineStr">
        <is>
          <t>SAFF &amp; CO</t>
        </is>
      </c>
      <c r="AK4706" t="n">
        <v>21</v>
      </c>
      <c r="AL4706" t="inlineStr">
        <is>
          <t>Miss Glam Damar</t>
        </is>
      </c>
      <c r="AM4706" t="n">
        <v>4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SAFF &amp; CO</t>
        </is>
      </c>
      <c r="B4707" s="2">
        <f>"8997019519482"</f>
        <v/>
      </c>
      <c r="C4707" t="inlineStr">
        <is>
          <t>SAFF &amp; CO Ostara Extrait De Parfum 30ml</t>
        </is>
      </c>
      <c r="D4707" t="inlineStr">
        <is>
          <t>Miss Glam Damar</t>
        </is>
      </c>
      <c r="E4707" t="n">
        <v>8</v>
      </c>
      <c r="F4707" t="n">
        <v>0.182</v>
      </c>
      <c r="G4707" t="n">
        <v>1.82</v>
      </c>
      <c r="H4707" t="n">
        <v>2</v>
      </c>
      <c r="I4707" t="n">
        <v>16</v>
      </c>
      <c r="J4707" t="n">
        <v>3</v>
      </c>
      <c r="K4707" t="n">
        <v>0</v>
      </c>
      <c r="L4707" t="n">
        <v>164250</v>
      </c>
      <c r="M4707" t="n">
        <v>219000</v>
      </c>
      <c r="N4707" t="n">
        <v>91</v>
      </c>
      <c r="O4707" t="n">
        <v>0.91</v>
      </c>
      <c r="P4707" t="n">
        <v>1</v>
      </c>
      <c r="Q4707" t="n">
        <v>0.29</v>
      </c>
      <c r="R4707" t="n">
        <v>2</v>
      </c>
      <c r="S4707" t="n">
        <v>39858.00000000001</v>
      </c>
      <c r="T4707" t="n">
        <v>29</v>
      </c>
      <c r="U4707" t="n">
        <v>30</v>
      </c>
      <c r="V4707" t="n">
        <v>30</v>
      </c>
      <c r="W4707" t="n">
        <v>6</v>
      </c>
      <c r="X4707" t="n">
        <v>43.95604395604395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676</v>
      </c>
      <c r="AG4707" t="n">
        <v>107</v>
      </c>
      <c r="AH4707" t="inlineStr">
        <is>
          <t xml:space="preserve">CV. DAHLIA - PPN (PDG) </t>
        </is>
      </c>
      <c r="AI4707" t="n">
        <v>1680</v>
      </c>
      <c r="AJ4707" t="inlineStr">
        <is>
          <t>SAFF &amp; CO</t>
        </is>
      </c>
      <c r="AK4707" t="n">
        <v>21</v>
      </c>
      <c r="AL4707" t="inlineStr">
        <is>
          <t>Miss Glam Damar</t>
        </is>
      </c>
      <c r="AM4707" t="n">
        <v>4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SAFF &amp; CO</t>
        </is>
      </c>
      <c r="B4708" s="2">
        <f>"8997015191637"</f>
        <v/>
      </c>
      <c r="C4708" t="inlineStr">
        <is>
          <t>SAFF &amp; CO Remedia Amoris Cloud Mist 150ml</t>
        </is>
      </c>
      <c r="D4708" t="inlineStr">
        <is>
          <t>Miss Glam Damar</t>
        </is>
      </c>
      <c r="E4708" t="n">
        <v>3</v>
      </c>
      <c r="F4708" t="n">
        <v>0.0273</v>
      </c>
      <c r="G4708" t="n">
        <v>0.91</v>
      </c>
      <c r="H4708" t="n">
        <v>2</v>
      </c>
      <c r="I4708" t="n">
        <v>16</v>
      </c>
      <c r="J4708" t="n">
        <v>3</v>
      </c>
      <c r="K4708" t="n">
        <v>0</v>
      </c>
      <c r="L4708" t="n">
        <v>119250</v>
      </c>
      <c r="M4708" t="n">
        <v>159000</v>
      </c>
      <c r="N4708" t="n">
        <v>91</v>
      </c>
      <c r="O4708" t="n">
        <v>0.91</v>
      </c>
      <c r="P4708" t="n">
        <v>1</v>
      </c>
      <c r="Q4708" t="n">
        <v>0.03</v>
      </c>
      <c r="R4708" t="n">
        <v>1</v>
      </c>
      <c r="S4708" t="n">
        <v>4340.7</v>
      </c>
      <c r="T4708" t="n">
        <v>15</v>
      </c>
      <c r="U4708" t="n">
        <v>16</v>
      </c>
      <c r="V4708" t="n">
        <v>30</v>
      </c>
      <c r="W4708" t="n">
        <v>1</v>
      </c>
      <c r="X4708" t="n">
        <v>109.8901098901099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676</v>
      </c>
      <c r="AG4708" t="n">
        <v>107</v>
      </c>
      <c r="AH4708" t="inlineStr">
        <is>
          <t xml:space="preserve">CV. DAHLIA - PPN (PDG) </t>
        </is>
      </c>
      <c r="AI4708" t="n">
        <v>1680</v>
      </c>
      <c r="AJ4708" t="inlineStr">
        <is>
          <t>SAFF &amp; CO</t>
        </is>
      </c>
      <c r="AK4708" t="n">
        <v>21</v>
      </c>
      <c r="AL4708" t="inlineStr">
        <is>
          <t>Miss Glam Damar</t>
        </is>
      </c>
      <c r="AM4708" t="n">
        <v>4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SAFF &amp; CO</t>
        </is>
      </c>
      <c r="B4709" s="2">
        <f>"8997019519321"</f>
        <v/>
      </c>
      <c r="C4709" t="inlineStr">
        <is>
          <t>SAFF &amp; CO Saff Extrait De Parfum 30ml</t>
        </is>
      </c>
      <c r="D4709" t="inlineStr">
        <is>
          <t>Miss Glam Damar</t>
        </is>
      </c>
      <c r="E4709" t="n">
        <v>12</v>
      </c>
      <c r="F4709" t="n">
        <v>0.09100000000000001</v>
      </c>
      <c r="G4709" t="n">
        <v>0.91</v>
      </c>
      <c r="H4709" t="n">
        <v>2</v>
      </c>
      <c r="I4709" t="n">
        <v>16</v>
      </c>
      <c r="J4709" t="n">
        <v>3</v>
      </c>
      <c r="K4709" t="n">
        <v>0</v>
      </c>
      <c r="L4709" t="n">
        <v>171750</v>
      </c>
      <c r="M4709" t="n">
        <v>228000</v>
      </c>
      <c r="N4709" t="n">
        <v>91</v>
      </c>
      <c r="O4709" t="n">
        <v>0.91</v>
      </c>
      <c r="P4709" t="n">
        <v>1</v>
      </c>
      <c r="Q4709" t="n">
        <v>0.25</v>
      </c>
      <c r="R4709" t="n">
        <v>2</v>
      </c>
      <c r="S4709" t="n">
        <v>20748</v>
      </c>
      <c r="T4709" t="n">
        <v>15</v>
      </c>
      <c r="U4709" t="n">
        <v>16</v>
      </c>
      <c r="V4709" t="n">
        <v>30</v>
      </c>
      <c r="W4709" t="n">
        <v>3</v>
      </c>
      <c r="X4709" t="n">
        <v>131.8681318681319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676</v>
      </c>
      <c r="AG4709" t="n">
        <v>107</v>
      </c>
      <c r="AH4709" t="inlineStr">
        <is>
          <t xml:space="preserve">CV. DAHLIA - PPN (PDG) </t>
        </is>
      </c>
      <c r="AI4709" t="n">
        <v>1680</v>
      </c>
      <c r="AJ4709" t="inlineStr">
        <is>
          <t>SAFF &amp; CO</t>
        </is>
      </c>
      <c r="AK4709" t="n">
        <v>21</v>
      </c>
      <c r="AL4709" t="inlineStr">
        <is>
          <t>Miss Glam Damar</t>
        </is>
      </c>
      <c r="AM4709" t="n">
        <v>4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SAFF &amp; CO</t>
        </is>
      </c>
      <c r="B4710" s="2">
        <f>"8997019519659"</f>
        <v/>
      </c>
      <c r="C4710" t="inlineStr">
        <is>
          <t>SAFF &amp; CO Solaris 8ml</t>
        </is>
      </c>
      <c r="D4710" t="inlineStr">
        <is>
          <t>Miss Glam Damar</t>
        </is>
      </c>
      <c r="E4710" t="n">
        <v>3</v>
      </c>
      <c r="F4710" t="n">
        <v>0.0182</v>
      </c>
      <c r="G4710" t="n">
        <v>0.91</v>
      </c>
      <c r="H4710" t="n">
        <v>2</v>
      </c>
      <c r="I4710" t="n">
        <v>16</v>
      </c>
      <c r="J4710" t="n">
        <v>3</v>
      </c>
      <c r="K4710" t="n">
        <v>0</v>
      </c>
      <c r="L4710" t="n">
        <v>66750</v>
      </c>
      <c r="M4710" t="n">
        <v>89000</v>
      </c>
      <c r="N4710" t="n">
        <v>91</v>
      </c>
      <c r="O4710" t="n">
        <v>0.91</v>
      </c>
      <c r="P4710" t="n">
        <v>1</v>
      </c>
      <c r="Q4710" t="n">
        <v>0.07000000000000001</v>
      </c>
      <c r="R4710" t="n">
        <v>1</v>
      </c>
      <c r="S4710" t="n">
        <v>1619.8</v>
      </c>
      <c r="T4710" t="n">
        <v>15</v>
      </c>
      <c r="U4710" t="n">
        <v>16</v>
      </c>
      <c r="V4710" t="n">
        <v>30</v>
      </c>
      <c r="W4710" t="n">
        <v>1</v>
      </c>
      <c r="X4710" t="n">
        <v>164.8351648351648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676</v>
      </c>
      <c r="AG4710" t="n">
        <v>107</v>
      </c>
      <c r="AH4710" t="inlineStr">
        <is>
          <t xml:space="preserve">CV. DAHLIA - PPN (PDG) </t>
        </is>
      </c>
      <c r="AI4710" t="n">
        <v>1680</v>
      </c>
      <c r="AJ4710" t="inlineStr">
        <is>
          <t>SAFF &amp; CO</t>
        </is>
      </c>
      <c r="AK4710" t="n">
        <v>21</v>
      </c>
      <c r="AL4710" t="inlineStr">
        <is>
          <t>Miss Glam Damar</t>
        </is>
      </c>
      <c r="AM4710" t="n">
        <v>4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SAFF &amp; CO</t>
        </is>
      </c>
      <c r="B4711" s="2">
        <f>"8997019519642"</f>
        <v/>
      </c>
      <c r="C4711" t="inlineStr">
        <is>
          <t>SAFF &amp; CO Solaris Extrait De Parfum 30ml</t>
        </is>
      </c>
      <c r="D4711" t="inlineStr">
        <is>
          <t>Miss Glam Damar</t>
        </is>
      </c>
      <c r="E4711" t="n">
        <v>11</v>
      </c>
      <c r="F4711" t="n">
        <v>0.1547</v>
      </c>
      <c r="G4711" t="n">
        <v>2.73</v>
      </c>
      <c r="H4711" t="n">
        <v>2</v>
      </c>
      <c r="I4711" t="n">
        <v>16</v>
      </c>
      <c r="J4711" t="n">
        <v>3</v>
      </c>
      <c r="K4711" t="n">
        <v>0</v>
      </c>
      <c r="L4711" t="n">
        <v>164250</v>
      </c>
      <c r="M4711" t="n">
        <v>219000</v>
      </c>
      <c r="N4711" t="n">
        <v>91</v>
      </c>
      <c r="O4711" t="n">
        <v>0.91</v>
      </c>
      <c r="P4711" t="n">
        <v>1</v>
      </c>
      <c r="Q4711" t="n">
        <v>0.22</v>
      </c>
      <c r="R4711" t="n">
        <v>2</v>
      </c>
      <c r="S4711" t="n">
        <v>33879.3</v>
      </c>
      <c r="T4711" t="n">
        <v>44</v>
      </c>
      <c r="U4711" t="n">
        <v>45</v>
      </c>
      <c r="V4711" t="n">
        <v>30</v>
      </c>
      <c r="W4711" t="n">
        <v>5</v>
      </c>
      <c r="X4711" t="n">
        <v>71.10536522301229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676</v>
      </c>
      <c r="AG4711" t="n">
        <v>107</v>
      </c>
      <c r="AH4711" t="inlineStr">
        <is>
          <t xml:space="preserve">CV. DAHLIA - PPN (PDG) </t>
        </is>
      </c>
      <c r="AI4711" t="n">
        <v>1680</v>
      </c>
      <c r="AJ4711" t="inlineStr">
        <is>
          <t>SAFF &amp; CO</t>
        </is>
      </c>
      <c r="AK4711" t="n">
        <v>21</v>
      </c>
      <c r="AL4711" t="inlineStr">
        <is>
          <t>Miss Glam Damar</t>
        </is>
      </c>
      <c r="AM4711" t="n">
        <v>4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SAFF &amp; CO</t>
        </is>
      </c>
      <c r="B4712" s="2">
        <f>"30400189351"</f>
        <v/>
      </c>
      <c r="C4712" t="inlineStr">
        <is>
          <t>SAFF &amp; CO x INDOFRAGZ Cloud Mist Traumerei 160ml</t>
        </is>
      </c>
      <c r="D4712" t="inlineStr">
        <is>
          <t>Miss Glam Damar</t>
        </is>
      </c>
      <c r="E4712" t="n">
        <v>2</v>
      </c>
      <c r="F4712" t="n">
        <v>0.03</v>
      </c>
      <c r="G4712" t="n">
        <v>1</v>
      </c>
      <c r="H4712" t="n">
        <v>2</v>
      </c>
      <c r="I4712" t="n">
        <v>16</v>
      </c>
      <c r="J4712" t="n">
        <v>1</v>
      </c>
      <c r="K4712" t="n">
        <v>0</v>
      </c>
      <c r="L4712" t="n">
        <v>126750</v>
      </c>
      <c r="M4712" t="n">
        <v>169000</v>
      </c>
      <c r="N4712" t="n">
        <v>91</v>
      </c>
      <c r="O4712" t="n">
        <v>0.91</v>
      </c>
      <c r="P4712" t="n">
        <v>0</v>
      </c>
      <c r="Q4712" t="n">
        <v>0.03</v>
      </c>
      <c r="R4712" t="n">
        <v>1</v>
      </c>
      <c r="S4712" t="n">
        <v>5070</v>
      </c>
      <c r="T4712" t="n">
        <v>16</v>
      </c>
      <c r="U4712" t="n">
        <v>17</v>
      </c>
      <c r="V4712" t="n">
        <v>30</v>
      </c>
      <c r="W4712" t="n">
        <v>1</v>
      </c>
      <c r="X4712" t="n">
        <v>66.66666666666667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676</v>
      </c>
      <c r="AG4712" t="n">
        <v>107</v>
      </c>
      <c r="AH4712" t="inlineStr">
        <is>
          <t xml:space="preserve">CV. DAHLIA - PPN (PDG) </t>
        </is>
      </c>
      <c r="AI4712" t="n">
        <v>1680</v>
      </c>
      <c r="AJ4712" t="inlineStr">
        <is>
          <t>SAFF &amp; CO</t>
        </is>
      </c>
      <c r="AK4712" t="n">
        <v>21</v>
      </c>
      <c r="AL4712" t="inlineStr">
        <is>
          <t>Miss Glam Damar</t>
        </is>
      </c>
      <c r="AM4712" t="n">
        <v>4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SAFF &amp; CO</t>
        </is>
      </c>
      <c r="B4713" s="2">
        <f>"8997019519925"</f>
        <v/>
      </c>
      <c r="C4713" t="inlineStr">
        <is>
          <t>SAFF &amp; CO Xocolatl Extrait De Parfum 35ml</t>
        </is>
      </c>
      <c r="D4713" t="inlineStr">
        <is>
          <t>Miss Glam Damar</t>
        </is>
      </c>
      <c r="E4713" t="n">
        <v>8</v>
      </c>
      <c r="F4713" t="n">
        <v>0.09100000000000001</v>
      </c>
      <c r="G4713" t="n">
        <v>0.91</v>
      </c>
      <c r="H4713" t="n">
        <v>2</v>
      </c>
      <c r="I4713" t="n">
        <v>16</v>
      </c>
      <c r="J4713" t="n">
        <v>3</v>
      </c>
      <c r="K4713" t="n">
        <v>0</v>
      </c>
      <c r="L4713" t="n">
        <v>171750</v>
      </c>
      <c r="M4713" t="n">
        <v>228000</v>
      </c>
      <c r="N4713" t="n">
        <v>91</v>
      </c>
      <c r="O4713" t="n">
        <v>0.91</v>
      </c>
      <c r="P4713" t="n">
        <v>1</v>
      </c>
      <c r="Q4713" t="n">
        <v>0.29</v>
      </c>
      <c r="R4713" t="n">
        <v>2</v>
      </c>
      <c r="S4713" t="n">
        <v>20748</v>
      </c>
      <c r="T4713" t="n">
        <v>15</v>
      </c>
      <c r="U4713" t="n">
        <v>16</v>
      </c>
      <c r="V4713" t="n">
        <v>30</v>
      </c>
      <c r="W4713" t="n">
        <v>3</v>
      </c>
      <c r="X4713" t="n">
        <v>87.9120879120879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676</v>
      </c>
      <c r="AG4713" t="n">
        <v>107</v>
      </c>
      <c r="AH4713" t="inlineStr">
        <is>
          <t xml:space="preserve">CV. DAHLIA - PPN (PDG) </t>
        </is>
      </c>
      <c r="AI4713" t="n">
        <v>1680</v>
      </c>
      <c r="AJ4713" t="inlineStr">
        <is>
          <t>SAFF &amp; CO</t>
        </is>
      </c>
      <c r="AK4713" t="n">
        <v>21</v>
      </c>
      <c r="AL4713" t="inlineStr">
        <is>
          <t>Miss Glam Damar</t>
        </is>
      </c>
      <c r="AM4713" t="n">
        <v>4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SAFI</t>
        </is>
      </c>
      <c r="B4714" s="2">
        <f>"8992856900424"</f>
        <v/>
      </c>
      <c r="C4714" t="inlineStr">
        <is>
          <t>SAFI  Naturals Acne Matifying Cream 20gr</t>
        </is>
      </c>
      <c r="D4714" t="inlineStr">
        <is>
          <t>Miss Glam Damar</t>
        </is>
      </c>
      <c r="E4714" t="n">
        <v>2</v>
      </c>
      <c r="F4714" t="n">
        <v>0.04550000000000001</v>
      </c>
      <c r="G4714" t="n">
        <v>0.91</v>
      </c>
      <c r="H4714" t="n">
        <v>2</v>
      </c>
      <c r="I4714" t="n">
        <v>7</v>
      </c>
      <c r="J4714" t="n">
        <v>3</v>
      </c>
      <c r="K4714" t="n">
        <v>0</v>
      </c>
      <c r="L4714" t="n">
        <v>28785</v>
      </c>
      <c r="M4714" t="n">
        <v>38000</v>
      </c>
      <c r="N4714" t="n">
        <v>91</v>
      </c>
      <c r="O4714" t="n">
        <v>0.91</v>
      </c>
      <c r="P4714" t="n">
        <v>1</v>
      </c>
      <c r="Q4714" t="n">
        <v>0.05</v>
      </c>
      <c r="R4714" t="n">
        <v>1</v>
      </c>
      <c r="S4714" t="n">
        <v>1729</v>
      </c>
      <c r="T4714" t="n">
        <v>7</v>
      </c>
      <c r="U4714" t="n">
        <v>8</v>
      </c>
      <c r="V4714" t="n">
        <v>30</v>
      </c>
      <c r="W4714" t="n">
        <v>2</v>
      </c>
      <c r="X4714" t="n">
        <v>43.95604395604395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1802</v>
      </c>
      <c r="AG4714" t="n">
        <v>2044</v>
      </c>
      <c r="AH4714" t="inlineStr">
        <is>
          <t>CV. WINEMERI BERKARYA - PPN (PDG)</t>
        </is>
      </c>
      <c r="AI4714" t="n">
        <v>136</v>
      </c>
      <c r="AJ4714" t="inlineStr">
        <is>
          <t>SAFI</t>
        </is>
      </c>
      <c r="AK4714" t="n">
        <v>21</v>
      </c>
      <c r="AL4714" t="inlineStr">
        <is>
          <t>Miss Glam Damar</t>
        </is>
      </c>
      <c r="AM4714" t="n">
        <v>2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SAFI</t>
        </is>
      </c>
      <c r="B4715" s="2">
        <f>"8992856899582"</f>
        <v/>
      </c>
      <c r="C4715" t="inlineStr">
        <is>
          <t>SAFI  Ultimate Bright Illuminating Day Cream spf20  pa++ 25g</t>
        </is>
      </c>
      <c r="D4715" t="inlineStr">
        <is>
          <t>Miss Glam Damar</t>
        </is>
      </c>
      <c r="E4715" t="n">
        <v>4</v>
      </c>
      <c r="F4715" t="n">
        <v>0.06370000000000001</v>
      </c>
      <c r="G4715" t="n">
        <v>1.82</v>
      </c>
      <c r="H4715" t="n">
        <v>2</v>
      </c>
      <c r="I4715" t="n">
        <v>7</v>
      </c>
      <c r="J4715" t="n">
        <v>3</v>
      </c>
      <c r="K4715" t="n">
        <v>0</v>
      </c>
      <c r="L4715" t="n">
        <v>42456</v>
      </c>
      <c r="M4715" t="n">
        <v>55900</v>
      </c>
      <c r="N4715" t="n">
        <v>91</v>
      </c>
      <c r="O4715" t="n">
        <v>0.91</v>
      </c>
      <c r="P4715" t="n">
        <v>1</v>
      </c>
      <c r="Q4715" t="n">
        <v>0.05</v>
      </c>
      <c r="R4715" t="n">
        <v>1</v>
      </c>
      <c r="S4715" t="n">
        <v>3560.83</v>
      </c>
      <c r="T4715" t="n">
        <v>13</v>
      </c>
      <c r="U4715" t="n">
        <v>14</v>
      </c>
      <c r="V4715" t="n">
        <v>30</v>
      </c>
      <c r="W4715" t="n">
        <v>2</v>
      </c>
      <c r="X4715" t="n">
        <v>62.79434850863422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1802</v>
      </c>
      <c r="AG4715" t="n">
        <v>2044</v>
      </c>
      <c r="AH4715" t="inlineStr">
        <is>
          <t>CV. WINEMERI BERKARYA - PPN (PDG)</t>
        </is>
      </c>
      <c r="AI4715" t="n">
        <v>136</v>
      </c>
      <c r="AJ4715" t="inlineStr">
        <is>
          <t>SAFI</t>
        </is>
      </c>
      <c r="AK4715" t="n">
        <v>21</v>
      </c>
      <c r="AL4715" t="inlineStr">
        <is>
          <t>Miss Glam Damar</t>
        </is>
      </c>
      <c r="AM4715" t="n">
        <v>2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SAFI</t>
        </is>
      </c>
      <c r="B4716" s="2">
        <f>"8992856899698"</f>
        <v/>
      </c>
      <c r="C4716" t="inlineStr">
        <is>
          <t>SAFI  White Natural Naturally Bright Mangosteen Extract 20g</t>
        </is>
      </c>
      <c r="D4716" t="inlineStr">
        <is>
          <t>Miss Glam Damar</t>
        </is>
      </c>
      <c r="E4716" t="n">
        <v>1</v>
      </c>
      <c r="F4716" t="n">
        <v>0.04550000000000001</v>
      </c>
      <c r="G4716" t="n">
        <v>0.91</v>
      </c>
      <c r="H4716" t="n">
        <v>2</v>
      </c>
      <c r="I4716" t="n">
        <v>7</v>
      </c>
      <c r="J4716" t="n">
        <v>3</v>
      </c>
      <c r="K4716" t="n">
        <v>0</v>
      </c>
      <c r="L4716" t="n">
        <v>23712</v>
      </c>
      <c r="M4716" t="n">
        <v>30900</v>
      </c>
      <c r="N4716" t="n">
        <v>91</v>
      </c>
      <c r="O4716" t="n">
        <v>0.91</v>
      </c>
      <c r="P4716" t="n">
        <v>1</v>
      </c>
      <c r="Q4716" t="n">
        <v>0.02</v>
      </c>
      <c r="R4716" t="n">
        <v>1</v>
      </c>
      <c r="S4716" t="n">
        <v>1405.95</v>
      </c>
      <c r="T4716" t="n">
        <v>7</v>
      </c>
      <c r="U4716" t="n">
        <v>8</v>
      </c>
      <c r="V4716" t="n">
        <v>30</v>
      </c>
      <c r="W4716" t="n">
        <v>2</v>
      </c>
      <c r="X4716" t="n">
        <v>21.97802197802197</v>
      </c>
      <c r="Y4716" t="n">
        <v>1</v>
      </c>
      <c r="Z4716" t="n">
        <v>1</v>
      </c>
      <c r="AA4716" t="n">
        <v>0</v>
      </c>
      <c r="AB4716" t="n">
        <v>1</v>
      </c>
      <c r="AC4716" t="n">
        <v>3</v>
      </c>
      <c r="AD4716" t="n">
        <v>0</v>
      </c>
      <c r="AE4716" t="n">
        <v>71136</v>
      </c>
      <c r="AF4716" t="n">
        <v>1802</v>
      </c>
      <c r="AG4716" t="n">
        <v>2044</v>
      </c>
      <c r="AH4716" t="inlineStr">
        <is>
          <t>CV. WINEMERI BERKARYA - PPN (PDG)</t>
        </is>
      </c>
      <c r="AI4716" t="n">
        <v>136</v>
      </c>
      <c r="AJ4716" t="inlineStr">
        <is>
          <t>SAFI</t>
        </is>
      </c>
      <c r="AK4716" t="n">
        <v>21</v>
      </c>
      <c r="AL4716" t="inlineStr">
        <is>
          <t>Miss Glam Damar</t>
        </is>
      </c>
      <c r="AM4716" t="n">
        <v>2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SAFI</t>
        </is>
      </c>
      <c r="B4717" s="2">
        <f>"8992856902749"</f>
        <v/>
      </c>
      <c r="C4717" t="inlineStr">
        <is>
          <t>SAFI Acne Expert Clarifying 2In1 Cleanser 150ml</t>
        </is>
      </c>
      <c r="D4717" t="inlineStr">
        <is>
          <t>Miss Glam Damar</t>
        </is>
      </c>
      <c r="E4717" t="n">
        <v>10</v>
      </c>
      <c r="F4717" t="n">
        <v>0.0728</v>
      </c>
      <c r="G4717" t="n">
        <v>0.91</v>
      </c>
      <c r="H4717" t="n">
        <v>2</v>
      </c>
      <c r="I4717" t="n">
        <v>7</v>
      </c>
      <c r="J4717" t="n">
        <v>3</v>
      </c>
      <c r="K4717" t="n">
        <v>0</v>
      </c>
      <c r="L4717" t="n">
        <v>41296</v>
      </c>
      <c r="M4717" t="n">
        <v>58900</v>
      </c>
      <c r="N4717" t="n">
        <v>91</v>
      </c>
      <c r="O4717" t="n">
        <v>0.91</v>
      </c>
      <c r="P4717" t="n">
        <v>1</v>
      </c>
      <c r="Q4717" t="n">
        <v>0.15</v>
      </c>
      <c r="R4717" t="n">
        <v>3</v>
      </c>
      <c r="S4717" t="n">
        <v>4287.92</v>
      </c>
      <c r="T4717" t="n">
        <v>7</v>
      </c>
      <c r="U4717" t="n">
        <v>8</v>
      </c>
      <c r="V4717" t="n">
        <v>30</v>
      </c>
      <c r="W4717" t="n">
        <v>3</v>
      </c>
      <c r="X4717" t="n">
        <v>137.3626373626373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1802</v>
      </c>
      <c r="AG4717" t="n">
        <v>2044</v>
      </c>
      <c r="AH4717" t="inlineStr">
        <is>
          <t>CV. WINEMERI BERKARYA - PPN (PDG)</t>
        </is>
      </c>
      <c r="AI4717" t="n">
        <v>136</v>
      </c>
      <c r="AJ4717" t="inlineStr">
        <is>
          <t>SAFI</t>
        </is>
      </c>
      <c r="AK4717" t="n">
        <v>21</v>
      </c>
      <c r="AL4717" t="inlineStr">
        <is>
          <t>Miss Glam Damar</t>
        </is>
      </c>
      <c r="AM4717" t="n">
        <v>2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SAFI</t>
        </is>
      </c>
      <c r="B4718" s="2">
        <f>"8992856902732"</f>
        <v/>
      </c>
      <c r="C4718" t="inlineStr">
        <is>
          <t>SAFI Acne Expert Sebum Control Fluid Toner 100g</t>
        </is>
      </c>
      <c r="D4718" t="inlineStr">
        <is>
          <t>Miss Glam Damar</t>
        </is>
      </c>
      <c r="E4718" t="n">
        <v>4</v>
      </c>
      <c r="F4718" t="n">
        <v>0.02</v>
      </c>
      <c r="G4718" t="n">
        <v>1</v>
      </c>
      <c r="H4718" t="n">
        <v>2</v>
      </c>
      <c r="I4718" t="n">
        <v>7</v>
      </c>
      <c r="J4718" t="n">
        <v>3</v>
      </c>
      <c r="K4718" t="n">
        <v>0</v>
      </c>
      <c r="L4718" t="n">
        <v>36350</v>
      </c>
      <c r="M4718" t="n">
        <v>52000</v>
      </c>
      <c r="N4718" t="n">
        <v>91</v>
      </c>
      <c r="O4718" t="n">
        <v>0.91</v>
      </c>
      <c r="P4718" t="n">
        <v>0</v>
      </c>
      <c r="Q4718" t="n">
        <v>0.02</v>
      </c>
      <c r="R4718" t="n">
        <v>1</v>
      </c>
      <c r="S4718" t="n">
        <v>1040</v>
      </c>
      <c r="T4718" t="n">
        <v>7</v>
      </c>
      <c r="U4718" t="n">
        <v>8</v>
      </c>
      <c r="V4718" t="n">
        <v>30</v>
      </c>
      <c r="W4718" t="n">
        <v>1</v>
      </c>
      <c r="X4718" t="n">
        <v>200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1802</v>
      </c>
      <c r="AG4718" t="n">
        <v>2044</v>
      </c>
      <c r="AH4718" t="inlineStr">
        <is>
          <t>CV. WINEMERI BERKARYA - PPN (PDG)</t>
        </is>
      </c>
      <c r="AI4718" t="n">
        <v>136</v>
      </c>
      <c r="AJ4718" t="inlineStr">
        <is>
          <t>SAFI</t>
        </is>
      </c>
      <c r="AK4718" t="n">
        <v>21</v>
      </c>
      <c r="AL4718" t="inlineStr">
        <is>
          <t>Miss Glam Damar</t>
        </is>
      </c>
      <c r="AM4718" t="n">
        <v>2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SAFI</t>
        </is>
      </c>
      <c r="B4719" s="2">
        <f>"8992856902756"</f>
        <v/>
      </c>
      <c r="C4719" t="inlineStr">
        <is>
          <t>SAFI Acne Expert Whipped Foam Sebum Cleanser 100G</t>
        </is>
      </c>
      <c r="D4719" t="inlineStr">
        <is>
          <t>Miss Glam Damar</t>
        </is>
      </c>
      <c r="E4719" t="n">
        <v>1</v>
      </c>
      <c r="F4719" t="n">
        <v>0.2184</v>
      </c>
      <c r="G4719" t="n">
        <v>2.73</v>
      </c>
      <c r="H4719" t="n">
        <v>2</v>
      </c>
      <c r="I4719" t="n">
        <v>7</v>
      </c>
      <c r="J4719" t="n">
        <v>3</v>
      </c>
      <c r="K4719" t="n">
        <v>0</v>
      </c>
      <c r="L4719" t="n">
        <v>26435</v>
      </c>
      <c r="M4719" t="n">
        <v>38000</v>
      </c>
      <c r="N4719" t="n">
        <v>91</v>
      </c>
      <c r="O4719" t="n">
        <v>0.91</v>
      </c>
      <c r="P4719" t="n">
        <v>1</v>
      </c>
      <c r="Q4719" t="n">
        <v>0.14</v>
      </c>
      <c r="R4719" t="n">
        <v>1</v>
      </c>
      <c r="S4719" t="n">
        <v>8299.200000000001</v>
      </c>
      <c r="T4719" t="n">
        <v>19</v>
      </c>
      <c r="U4719" t="n">
        <v>20</v>
      </c>
      <c r="V4719" t="n">
        <v>30</v>
      </c>
      <c r="W4719" t="n">
        <v>7</v>
      </c>
      <c r="X4719" t="n">
        <v>4.578754578754578</v>
      </c>
      <c r="Y4719" t="n">
        <v>1</v>
      </c>
      <c r="Z4719" t="n">
        <v>6</v>
      </c>
      <c r="AA4719" t="n">
        <v>1</v>
      </c>
      <c r="AB4719" t="n">
        <v>5</v>
      </c>
      <c r="AC4719" t="n">
        <v>5</v>
      </c>
      <c r="AD4719" t="n">
        <v>26435</v>
      </c>
      <c r="AE4719" t="n">
        <v>132175</v>
      </c>
      <c r="AF4719" t="n">
        <v>1802</v>
      </c>
      <c r="AG4719" t="n">
        <v>2044</v>
      </c>
      <c r="AH4719" t="inlineStr">
        <is>
          <t>CV. WINEMERI BERKARYA - PPN (PDG)</t>
        </is>
      </c>
      <c r="AI4719" t="n">
        <v>136</v>
      </c>
      <c r="AJ4719" t="inlineStr">
        <is>
          <t>SAFI</t>
        </is>
      </c>
      <c r="AK4719" t="n">
        <v>21</v>
      </c>
      <c r="AL4719" t="inlineStr">
        <is>
          <t>Miss Glam Damar</t>
        </is>
      </c>
      <c r="AM4719" t="n">
        <v>2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SAFI</t>
        </is>
      </c>
      <c r="B4720" s="2">
        <f>"8992856899490"</f>
        <v/>
      </c>
      <c r="C4720" t="inlineStr">
        <is>
          <t>SAFI Age Defy Concentrated Serum 20ml</t>
        </is>
      </c>
      <c r="D4720" t="inlineStr">
        <is>
          <t>Miss Glam Damar</t>
        </is>
      </c>
      <c r="E4720" t="n">
        <v>0</v>
      </c>
      <c r="F4720" t="n">
        <v>0.06370000000000001</v>
      </c>
      <c r="G4720" t="n">
        <v>1.82</v>
      </c>
      <c r="H4720" t="n">
        <v>2</v>
      </c>
      <c r="I4720" t="n">
        <v>7</v>
      </c>
      <c r="J4720" t="n">
        <v>3</v>
      </c>
      <c r="K4720" t="n">
        <v>0</v>
      </c>
      <c r="L4720" t="n">
        <v>89051</v>
      </c>
      <c r="M4720" t="n">
        <v>123100</v>
      </c>
      <c r="N4720" t="n">
        <v>91</v>
      </c>
      <c r="O4720" t="n">
        <v>0.91</v>
      </c>
      <c r="P4720" t="n">
        <v>1</v>
      </c>
      <c r="Q4720" t="n">
        <v>0.12</v>
      </c>
      <c r="R4720" t="n">
        <v>1</v>
      </c>
      <c r="S4720" t="n">
        <v>7841.470000000001</v>
      </c>
      <c r="T4720" t="n">
        <v>13</v>
      </c>
      <c r="U4720" t="n">
        <v>14</v>
      </c>
      <c r="V4720" t="n">
        <v>30</v>
      </c>
      <c r="W4720" t="n">
        <v>2</v>
      </c>
      <c r="X4720" t="n">
        <v>0</v>
      </c>
      <c r="Y4720" t="n">
        <v>1</v>
      </c>
      <c r="Z4720" t="n">
        <v>2</v>
      </c>
      <c r="AA4720" t="n">
        <v>1</v>
      </c>
      <c r="AB4720" t="n">
        <v>1</v>
      </c>
      <c r="AC4720" t="n">
        <v>3</v>
      </c>
      <c r="AD4720" t="n">
        <v>89051</v>
      </c>
      <c r="AE4720" t="n">
        <v>267153</v>
      </c>
      <c r="AF4720" t="n">
        <v>1802</v>
      </c>
      <c r="AG4720" t="n">
        <v>2044</v>
      </c>
      <c r="AH4720" t="inlineStr">
        <is>
          <t>CV. WINEMERI BERKARYA - PPN (PDG)</t>
        </is>
      </c>
      <c r="AI4720" t="n">
        <v>136</v>
      </c>
      <c r="AJ4720" t="inlineStr">
        <is>
          <t>SAFI</t>
        </is>
      </c>
      <c r="AK4720" t="n">
        <v>21</v>
      </c>
      <c r="AL4720" t="inlineStr">
        <is>
          <t>Miss Glam Damar</t>
        </is>
      </c>
      <c r="AM4720" t="n">
        <v>2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SAFI</t>
        </is>
      </c>
      <c r="B4721" s="2">
        <f>"8992856899414"</f>
        <v/>
      </c>
      <c r="C4721" t="inlineStr">
        <is>
          <t>SAFI Age Defy Cream Cleanser 100g</t>
        </is>
      </c>
      <c r="D4721" t="inlineStr">
        <is>
          <t>Miss Glam Damar</t>
        </is>
      </c>
      <c r="E4721" t="n">
        <v>6</v>
      </c>
      <c r="F4721" t="n">
        <v>0.2002</v>
      </c>
      <c r="G4721" t="n">
        <v>1.82</v>
      </c>
      <c r="H4721" t="n">
        <v>2</v>
      </c>
      <c r="I4721" t="n">
        <v>7</v>
      </c>
      <c r="J4721" t="n">
        <v>3</v>
      </c>
      <c r="K4721" t="n">
        <v>0</v>
      </c>
      <c r="L4721" t="n">
        <v>37980</v>
      </c>
      <c r="M4721" t="n">
        <v>54000</v>
      </c>
      <c r="N4721" t="n">
        <v>91</v>
      </c>
      <c r="O4721" t="n">
        <v>0.91</v>
      </c>
      <c r="P4721" t="n">
        <v>1</v>
      </c>
      <c r="Q4721" t="n">
        <v>0.1</v>
      </c>
      <c r="R4721" t="n">
        <v>2</v>
      </c>
      <c r="S4721" t="n">
        <v>10810.8</v>
      </c>
      <c r="T4721" t="n">
        <v>13</v>
      </c>
      <c r="U4721" t="n">
        <v>14</v>
      </c>
      <c r="V4721" t="n">
        <v>30</v>
      </c>
      <c r="W4721" t="n">
        <v>7</v>
      </c>
      <c r="X4721" t="n">
        <v>29.97002997002997</v>
      </c>
      <c r="Y4721" t="n">
        <v>1</v>
      </c>
      <c r="Z4721" t="n">
        <v>1</v>
      </c>
      <c r="AA4721" t="n">
        <v>0</v>
      </c>
      <c r="AB4721" t="n">
        <v>1</v>
      </c>
      <c r="AC4721" t="n">
        <v>3</v>
      </c>
      <c r="AD4721" t="n">
        <v>0</v>
      </c>
      <c r="AE4721" t="n">
        <v>113940</v>
      </c>
      <c r="AF4721" t="n">
        <v>1802</v>
      </c>
      <c r="AG4721" t="n">
        <v>2044</v>
      </c>
      <c r="AH4721" t="inlineStr">
        <is>
          <t>CV. WINEMERI BERKARYA - PPN (PDG)</t>
        </is>
      </c>
      <c r="AI4721" t="n">
        <v>136</v>
      </c>
      <c r="AJ4721" t="inlineStr">
        <is>
          <t>SAFI</t>
        </is>
      </c>
      <c r="AK4721" t="n">
        <v>21</v>
      </c>
      <c r="AL4721" t="inlineStr">
        <is>
          <t>Miss Glam Damar</t>
        </is>
      </c>
      <c r="AM4721" t="n">
        <v>2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SAFI</t>
        </is>
      </c>
      <c r="B4722" s="2">
        <f>"8992856899445"</f>
        <v/>
      </c>
      <c r="C4722" t="inlineStr">
        <is>
          <t>SAFI Age Defy Cream Cleanser Deep Moisturizer 150ml</t>
        </is>
      </c>
      <c r="D4722" t="inlineStr">
        <is>
          <t>Miss Glam Damar</t>
        </is>
      </c>
      <c r="E4722" t="n">
        <v>4</v>
      </c>
      <c r="F4722" t="n">
        <v>0.2275</v>
      </c>
      <c r="G4722" t="n">
        <v>2.73</v>
      </c>
      <c r="H4722" t="n">
        <v>2</v>
      </c>
      <c r="I4722" t="n">
        <v>7</v>
      </c>
      <c r="J4722" t="n">
        <v>3</v>
      </c>
      <c r="K4722" t="n">
        <v>0</v>
      </c>
      <c r="L4722" t="n">
        <v>50146</v>
      </c>
      <c r="M4722" t="n">
        <v>69900</v>
      </c>
      <c r="N4722" t="n">
        <v>91</v>
      </c>
      <c r="O4722" t="n">
        <v>0.91</v>
      </c>
      <c r="P4722" t="n">
        <v>1</v>
      </c>
      <c r="Q4722" t="n">
        <v>0.24</v>
      </c>
      <c r="R4722" t="n">
        <v>2</v>
      </c>
      <c r="S4722" t="n">
        <v>15902.25</v>
      </c>
      <c r="T4722" t="n">
        <v>19</v>
      </c>
      <c r="U4722" t="n">
        <v>20</v>
      </c>
      <c r="V4722" t="n">
        <v>30</v>
      </c>
      <c r="W4722" t="n">
        <v>7</v>
      </c>
      <c r="X4722" t="n">
        <v>17.58241758241758</v>
      </c>
      <c r="Y4722" t="n">
        <v>1</v>
      </c>
      <c r="Z4722" t="n">
        <v>3</v>
      </c>
      <c r="AA4722" t="n">
        <v>0</v>
      </c>
      <c r="AB4722" t="n">
        <v>3</v>
      </c>
      <c r="AC4722" t="n">
        <v>3</v>
      </c>
      <c r="AD4722" t="n">
        <v>0</v>
      </c>
      <c r="AE4722" t="n">
        <v>150438</v>
      </c>
      <c r="AF4722" t="n">
        <v>1802</v>
      </c>
      <c r="AG4722" t="n">
        <v>2044</v>
      </c>
      <c r="AH4722" t="inlineStr">
        <is>
          <t>CV. WINEMERI BERKARYA - PPN (PDG)</t>
        </is>
      </c>
      <c r="AI4722" t="n">
        <v>136</v>
      </c>
      <c r="AJ4722" t="inlineStr">
        <is>
          <t>SAFI</t>
        </is>
      </c>
      <c r="AK4722" t="n">
        <v>21</v>
      </c>
      <c r="AL4722" t="inlineStr">
        <is>
          <t>Miss Glam Damar</t>
        </is>
      </c>
      <c r="AM4722" t="n">
        <v>2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SAFI</t>
        </is>
      </c>
      <c r="B4723" s="2">
        <f>"8992856899438"</f>
        <v/>
      </c>
      <c r="C4723" t="inlineStr">
        <is>
          <t>SAFI Age Defy Deep Exfoliator 75gr</t>
        </is>
      </c>
      <c r="D4723" t="inlineStr">
        <is>
          <t>Miss Glam Damar</t>
        </is>
      </c>
      <c r="E4723" t="n">
        <v>3</v>
      </c>
      <c r="F4723" t="n">
        <v>0.1092</v>
      </c>
      <c r="G4723" t="n">
        <v>1.82</v>
      </c>
      <c r="H4723" t="n">
        <v>2</v>
      </c>
      <c r="I4723" t="n">
        <v>7</v>
      </c>
      <c r="J4723" t="n">
        <v>3</v>
      </c>
      <c r="K4723" t="n">
        <v>0</v>
      </c>
      <c r="L4723" t="n">
        <v>34129</v>
      </c>
      <c r="M4723" t="n">
        <v>49000</v>
      </c>
      <c r="N4723" t="n">
        <v>91</v>
      </c>
      <c r="O4723" t="n">
        <v>0.91</v>
      </c>
      <c r="P4723" t="n">
        <v>1</v>
      </c>
      <c r="Q4723" t="n">
        <v>0.12</v>
      </c>
      <c r="R4723" t="n">
        <v>1</v>
      </c>
      <c r="S4723" t="n">
        <v>5350.8</v>
      </c>
      <c r="T4723" t="n">
        <v>13</v>
      </c>
      <c r="U4723" t="n">
        <v>14</v>
      </c>
      <c r="V4723" t="n">
        <v>30</v>
      </c>
      <c r="W4723" t="n">
        <v>4</v>
      </c>
      <c r="X4723" t="n">
        <v>27.47252747252747</v>
      </c>
      <c r="Y4723" t="n">
        <v>1</v>
      </c>
      <c r="Z4723" t="n">
        <v>1</v>
      </c>
      <c r="AA4723" t="n">
        <v>0</v>
      </c>
      <c r="AB4723" t="n">
        <v>1</v>
      </c>
      <c r="AC4723" t="n">
        <v>3</v>
      </c>
      <c r="AD4723" t="n">
        <v>0</v>
      </c>
      <c r="AE4723" t="n">
        <v>102387</v>
      </c>
      <c r="AF4723" t="n">
        <v>1802</v>
      </c>
      <c r="AG4723" t="n">
        <v>2044</v>
      </c>
      <c r="AH4723" t="inlineStr">
        <is>
          <t>CV. WINEMERI BERKARYA - PPN (PDG)</t>
        </is>
      </c>
      <c r="AI4723" t="n">
        <v>136</v>
      </c>
      <c r="AJ4723" t="inlineStr">
        <is>
          <t>SAFI</t>
        </is>
      </c>
      <c r="AK4723" t="n">
        <v>21</v>
      </c>
      <c r="AL4723" t="inlineStr">
        <is>
          <t>Miss Glam Damar</t>
        </is>
      </c>
      <c r="AM4723" t="n">
        <v>2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SAFI</t>
        </is>
      </c>
      <c r="B4724" s="2">
        <f>"8992856899513"</f>
        <v/>
      </c>
      <c r="C4724" t="inlineStr">
        <is>
          <t>SAFI Age Defy Gold Water Essence 100ml</t>
        </is>
      </c>
      <c r="D4724" t="inlineStr">
        <is>
          <t>Miss Glam Damar</t>
        </is>
      </c>
      <c r="E4724" t="n">
        <v>2</v>
      </c>
      <c r="F4724" t="n">
        <v>0.0273</v>
      </c>
      <c r="G4724" t="n">
        <v>0.91</v>
      </c>
      <c r="H4724" t="n">
        <v>2</v>
      </c>
      <c r="I4724" t="n">
        <v>7</v>
      </c>
      <c r="J4724" t="n">
        <v>3</v>
      </c>
      <c r="K4724" t="n">
        <v>0</v>
      </c>
      <c r="L4724" t="n">
        <v>105075</v>
      </c>
      <c r="M4724" t="n">
        <v>142900</v>
      </c>
      <c r="N4724" t="n">
        <v>91</v>
      </c>
      <c r="O4724" t="n">
        <v>0.91</v>
      </c>
      <c r="P4724" t="n">
        <v>1</v>
      </c>
      <c r="Q4724" t="n">
        <v>0.05</v>
      </c>
      <c r="R4724" t="n">
        <v>1</v>
      </c>
      <c r="S4724" t="n">
        <v>3901.17</v>
      </c>
      <c r="T4724" t="n">
        <v>7</v>
      </c>
      <c r="U4724" t="n">
        <v>8</v>
      </c>
      <c r="V4724" t="n">
        <v>30</v>
      </c>
      <c r="W4724" t="n">
        <v>1</v>
      </c>
      <c r="X4724" t="n">
        <v>73.26007326007326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1802</v>
      </c>
      <c r="AG4724" t="n">
        <v>2044</v>
      </c>
      <c r="AH4724" t="inlineStr">
        <is>
          <t>CV. WINEMERI BERKARYA - PPN (PDG)</t>
        </is>
      </c>
      <c r="AI4724" t="n">
        <v>136</v>
      </c>
      <c r="AJ4724" t="inlineStr">
        <is>
          <t>SAFI</t>
        </is>
      </c>
      <c r="AK4724" t="n">
        <v>21</v>
      </c>
      <c r="AL4724" t="inlineStr">
        <is>
          <t>Miss Glam Damar</t>
        </is>
      </c>
      <c r="AM4724" t="n">
        <v>2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SAFI</t>
        </is>
      </c>
      <c r="B4725" s="2">
        <f>"8992856901100"</f>
        <v/>
      </c>
      <c r="C4725" t="inlineStr">
        <is>
          <t>SAFI Age Defy Gold Water Essence 30ml</t>
        </is>
      </c>
      <c r="D4725" t="inlineStr">
        <is>
          <t>Miss Glam Damar</t>
        </is>
      </c>
      <c r="E4725" t="n">
        <v>4</v>
      </c>
      <c r="F4725" t="n">
        <v>0.1274</v>
      </c>
      <c r="G4725" t="n">
        <v>0.91</v>
      </c>
      <c r="H4725" t="n">
        <v>2</v>
      </c>
      <c r="I4725" t="n">
        <v>7</v>
      </c>
      <c r="J4725" t="n">
        <v>3</v>
      </c>
      <c r="K4725" t="n">
        <v>0</v>
      </c>
      <c r="L4725" t="n">
        <v>36278</v>
      </c>
      <c r="M4725" t="n">
        <v>53900</v>
      </c>
      <c r="N4725" t="n">
        <v>91</v>
      </c>
      <c r="O4725" t="n">
        <v>0.91</v>
      </c>
      <c r="P4725" t="n">
        <v>1</v>
      </c>
      <c r="Q4725" t="n">
        <v>0.14</v>
      </c>
      <c r="R4725" t="n">
        <v>1</v>
      </c>
      <c r="S4725" t="n">
        <v>6866.860000000001</v>
      </c>
      <c r="T4725" t="n">
        <v>7</v>
      </c>
      <c r="U4725" t="n">
        <v>8</v>
      </c>
      <c r="V4725" t="n">
        <v>30</v>
      </c>
      <c r="W4725" t="n">
        <v>4</v>
      </c>
      <c r="X4725" t="n">
        <v>31.39717425431711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1802</v>
      </c>
      <c r="AG4725" t="n">
        <v>2044</v>
      </c>
      <c r="AH4725" t="inlineStr">
        <is>
          <t>CV. WINEMERI BERKARYA - PPN (PDG)</t>
        </is>
      </c>
      <c r="AI4725" t="n">
        <v>136</v>
      </c>
      <c r="AJ4725" t="inlineStr">
        <is>
          <t>SAFI</t>
        </is>
      </c>
      <c r="AK4725" t="n">
        <v>21</v>
      </c>
      <c r="AL4725" t="inlineStr">
        <is>
          <t>Miss Glam Damar</t>
        </is>
      </c>
      <c r="AM4725" t="n">
        <v>2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SAFI</t>
        </is>
      </c>
      <c r="B4726" s="2">
        <f>"8992856899469"</f>
        <v/>
      </c>
      <c r="C4726" t="inlineStr">
        <is>
          <t>SAFI Age Defy Radiant Day Emulsion SPF 25 PA++ 25g</t>
        </is>
      </c>
      <c r="D4726" t="inlineStr">
        <is>
          <t>Miss Glam Damar</t>
        </is>
      </c>
      <c r="E4726" t="n">
        <v>8</v>
      </c>
      <c r="F4726" t="n">
        <v>0.2457</v>
      </c>
      <c r="G4726" t="n">
        <v>1.82</v>
      </c>
      <c r="H4726" t="n">
        <v>2</v>
      </c>
      <c r="I4726" t="n">
        <v>7</v>
      </c>
      <c r="J4726" t="n">
        <v>3</v>
      </c>
      <c r="K4726" t="n">
        <v>0</v>
      </c>
      <c r="L4726" t="n">
        <v>55705</v>
      </c>
      <c r="M4726" t="n">
        <v>77900</v>
      </c>
      <c r="N4726" t="n">
        <v>91</v>
      </c>
      <c r="O4726" t="n">
        <v>0.91</v>
      </c>
      <c r="P4726" t="n">
        <v>1</v>
      </c>
      <c r="Q4726" t="n">
        <v>0.22</v>
      </c>
      <c r="R4726" t="n">
        <v>3</v>
      </c>
      <c r="S4726" t="n">
        <v>19140.03</v>
      </c>
      <c r="T4726" t="n">
        <v>13</v>
      </c>
      <c r="U4726" t="n">
        <v>14</v>
      </c>
      <c r="V4726" t="n">
        <v>30</v>
      </c>
      <c r="W4726" t="n">
        <v>8</v>
      </c>
      <c r="X4726" t="n">
        <v>32.56003256003255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1802</v>
      </c>
      <c r="AG4726" t="n">
        <v>2044</v>
      </c>
      <c r="AH4726" t="inlineStr">
        <is>
          <t>CV. WINEMERI BERKARYA - PPN (PDG)</t>
        </is>
      </c>
      <c r="AI4726" t="n">
        <v>136</v>
      </c>
      <c r="AJ4726" t="inlineStr">
        <is>
          <t>SAFI</t>
        </is>
      </c>
      <c r="AK4726" t="n">
        <v>21</v>
      </c>
      <c r="AL4726" t="inlineStr">
        <is>
          <t>Miss Glam Damar</t>
        </is>
      </c>
      <c r="AM4726" t="n">
        <v>2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SAFI</t>
        </is>
      </c>
      <c r="B4727" s="2">
        <f>"8992856899452"</f>
        <v/>
      </c>
      <c r="C4727" t="inlineStr">
        <is>
          <t>SAFI Age Defy Radiant Day Emulsion SPF 25 PA++ 40gr</t>
        </is>
      </c>
      <c r="D4727" t="inlineStr">
        <is>
          <t>Miss Glam Damar</t>
        </is>
      </c>
      <c r="E4727" t="n">
        <v>0</v>
      </c>
      <c r="F4727" t="n">
        <v>0.0728</v>
      </c>
      <c r="G4727" t="n">
        <v>0.91</v>
      </c>
      <c r="H4727" t="n">
        <v>2</v>
      </c>
      <c r="I4727" t="n">
        <v>7</v>
      </c>
      <c r="J4727" t="n">
        <v>3</v>
      </c>
      <c r="K4727" t="n">
        <v>0</v>
      </c>
      <c r="L4727" t="n">
        <v>89051</v>
      </c>
      <c r="M4727" t="n">
        <v>123100</v>
      </c>
      <c r="N4727" t="n">
        <v>91</v>
      </c>
      <c r="O4727" t="n">
        <v>0.91</v>
      </c>
      <c r="P4727" t="n">
        <v>1</v>
      </c>
      <c r="Q4727" t="n">
        <v>0.1</v>
      </c>
      <c r="R4727" t="n">
        <v>1</v>
      </c>
      <c r="S4727" t="n">
        <v>8961.68</v>
      </c>
      <c r="T4727" t="n">
        <v>7</v>
      </c>
      <c r="U4727" t="n">
        <v>8</v>
      </c>
      <c r="V4727" t="n">
        <v>30</v>
      </c>
      <c r="W4727" t="n">
        <v>3</v>
      </c>
      <c r="X4727" t="n">
        <v>0</v>
      </c>
      <c r="Y4727" t="n">
        <v>1</v>
      </c>
      <c r="Z4727" t="n">
        <v>3</v>
      </c>
      <c r="AA4727" t="n">
        <v>1</v>
      </c>
      <c r="AB4727" t="n">
        <v>2</v>
      </c>
      <c r="AC4727" t="n">
        <v>3</v>
      </c>
      <c r="AD4727" t="n">
        <v>89051</v>
      </c>
      <c r="AE4727" t="n">
        <v>267153</v>
      </c>
      <c r="AF4727" t="n">
        <v>1802</v>
      </c>
      <c r="AG4727" t="n">
        <v>2044</v>
      </c>
      <c r="AH4727" t="inlineStr">
        <is>
          <t>CV. WINEMERI BERKARYA - PPN (PDG)</t>
        </is>
      </c>
      <c r="AI4727" t="n">
        <v>136</v>
      </c>
      <c r="AJ4727" t="inlineStr">
        <is>
          <t>SAFI</t>
        </is>
      </c>
      <c r="AK4727" t="n">
        <v>21</v>
      </c>
      <c r="AL4727" t="inlineStr">
        <is>
          <t>Miss Glam Damar</t>
        </is>
      </c>
      <c r="AM4727" t="n">
        <v>2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SAFI</t>
        </is>
      </c>
      <c r="B4728" s="2">
        <f>"8992856899483"</f>
        <v/>
      </c>
      <c r="C4728" t="inlineStr">
        <is>
          <t>SAFI Age Defy Renewal Night Cream 25g</t>
        </is>
      </c>
      <c r="D4728" t="inlineStr">
        <is>
          <t>Miss Glam Damar</t>
        </is>
      </c>
      <c r="E4728" t="n">
        <v>8</v>
      </c>
      <c r="F4728" t="n">
        <v>0.2002</v>
      </c>
      <c r="G4728" t="n">
        <v>1.82</v>
      </c>
      <c r="H4728" t="n">
        <v>2</v>
      </c>
      <c r="I4728" t="n">
        <v>7</v>
      </c>
      <c r="J4728" t="n">
        <v>3</v>
      </c>
      <c r="K4728" t="n">
        <v>0</v>
      </c>
      <c r="L4728" t="n">
        <v>62623</v>
      </c>
      <c r="M4728" t="n">
        <v>86900</v>
      </c>
      <c r="N4728" t="n">
        <v>91</v>
      </c>
      <c r="O4728" t="n">
        <v>0.91</v>
      </c>
      <c r="P4728" t="n">
        <v>1</v>
      </c>
      <c r="Q4728" t="n">
        <v>0.14</v>
      </c>
      <c r="R4728" t="n">
        <v>2</v>
      </c>
      <c r="S4728" t="n">
        <v>17397.38</v>
      </c>
      <c r="T4728" t="n">
        <v>13</v>
      </c>
      <c r="U4728" t="n">
        <v>14</v>
      </c>
      <c r="V4728" t="n">
        <v>30</v>
      </c>
      <c r="W4728" t="n">
        <v>7</v>
      </c>
      <c r="X4728" t="n">
        <v>39.96003996003996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1802</v>
      </c>
      <c r="AG4728" t="n">
        <v>2044</v>
      </c>
      <c r="AH4728" t="inlineStr">
        <is>
          <t>CV. WINEMERI BERKARYA - PPN (PDG)</t>
        </is>
      </c>
      <c r="AI4728" t="n">
        <v>136</v>
      </c>
      <c r="AJ4728" t="inlineStr">
        <is>
          <t>SAFI</t>
        </is>
      </c>
      <c r="AK4728" t="n">
        <v>21</v>
      </c>
      <c r="AL4728" t="inlineStr">
        <is>
          <t>Miss Glam Damar</t>
        </is>
      </c>
      <c r="AM4728" t="n">
        <v>2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SAFI</t>
        </is>
      </c>
      <c r="B4729" s="2">
        <f>"8992856908307"</f>
        <v/>
      </c>
      <c r="C4729" t="inlineStr">
        <is>
          <t>SAFI Age Defy Sensitive Biome Soothing Serum 30ml</t>
        </is>
      </c>
      <c r="D4729" t="inlineStr">
        <is>
          <t>Miss Glam Damar</t>
        </is>
      </c>
      <c r="E4729" t="n">
        <v>1</v>
      </c>
      <c r="F4729" t="n">
        <v>0.03</v>
      </c>
      <c r="G4729" t="n">
        <v>1</v>
      </c>
      <c r="H4729" t="n">
        <v>2</v>
      </c>
      <c r="I4729" t="n">
        <v>7</v>
      </c>
      <c r="J4729" t="n">
        <v>3</v>
      </c>
      <c r="K4729" t="n">
        <v>0</v>
      </c>
      <c r="L4729" t="n">
        <v>94859</v>
      </c>
      <c r="M4729" t="n">
        <v>125000</v>
      </c>
      <c r="N4729" t="n">
        <v>91</v>
      </c>
      <c r="O4729" t="n">
        <v>0.91</v>
      </c>
      <c r="P4729" t="n">
        <v>0</v>
      </c>
      <c r="Q4729" t="n">
        <v>0.03</v>
      </c>
      <c r="R4729" t="n">
        <v>1</v>
      </c>
      <c r="S4729" t="n">
        <v>3750</v>
      </c>
      <c r="T4729" t="n">
        <v>7</v>
      </c>
      <c r="U4729" t="n">
        <v>8</v>
      </c>
      <c r="V4729" t="n">
        <v>30</v>
      </c>
      <c r="W4729" t="n">
        <v>1</v>
      </c>
      <c r="X4729" t="n">
        <v>33.33333333333334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1802</v>
      </c>
      <c r="AG4729" t="n">
        <v>2044</v>
      </c>
      <c r="AH4729" t="inlineStr">
        <is>
          <t>CV. WINEMERI BERKARYA - PPN (PDG)</t>
        </is>
      </c>
      <c r="AI4729" t="n">
        <v>136</v>
      </c>
      <c r="AJ4729" t="inlineStr">
        <is>
          <t>SAFI</t>
        </is>
      </c>
      <c r="AK4729" t="n">
        <v>21</v>
      </c>
      <c r="AL4729" t="inlineStr">
        <is>
          <t>Miss Glam Damar</t>
        </is>
      </c>
      <c r="AM4729" t="n">
        <v>2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SAFI</t>
        </is>
      </c>
      <c r="B4730" s="2">
        <f>"8992856899520"</f>
        <v/>
      </c>
      <c r="C4730" t="inlineStr">
        <is>
          <t>SAFI Age Defy Skin Refiner 100ml</t>
        </is>
      </c>
      <c r="D4730" t="inlineStr">
        <is>
          <t>Miss Glam Damar</t>
        </is>
      </c>
      <c r="E4730" t="n">
        <v>2</v>
      </c>
      <c r="F4730" t="n">
        <v>0.0728</v>
      </c>
      <c r="G4730" t="n">
        <v>1.82</v>
      </c>
      <c r="H4730" t="n">
        <v>2</v>
      </c>
      <c r="I4730" t="n">
        <v>7</v>
      </c>
      <c r="J4730" t="n">
        <v>3</v>
      </c>
      <c r="K4730" t="n">
        <v>0</v>
      </c>
      <c r="L4730" t="n">
        <v>42615</v>
      </c>
      <c r="M4730" t="n">
        <v>59000</v>
      </c>
      <c r="N4730" t="n">
        <v>91</v>
      </c>
      <c r="O4730" t="n">
        <v>0.91</v>
      </c>
      <c r="P4730" t="n">
        <v>1</v>
      </c>
      <c r="Q4730" t="n">
        <v>0.1</v>
      </c>
      <c r="R4730" t="n">
        <v>1</v>
      </c>
      <c r="S4730" t="n">
        <v>4295.2</v>
      </c>
      <c r="T4730" t="n">
        <v>13</v>
      </c>
      <c r="U4730" t="n">
        <v>14</v>
      </c>
      <c r="V4730" t="n">
        <v>30</v>
      </c>
      <c r="W4730" t="n">
        <v>3</v>
      </c>
      <c r="X4730" t="n">
        <v>27.47252747252747</v>
      </c>
      <c r="Y4730" t="n">
        <v>1</v>
      </c>
      <c r="Z4730" t="n">
        <v>1</v>
      </c>
      <c r="AA4730" t="n">
        <v>0</v>
      </c>
      <c r="AB4730" t="n">
        <v>1</v>
      </c>
      <c r="AC4730" t="n">
        <v>3</v>
      </c>
      <c r="AD4730" t="n">
        <v>0</v>
      </c>
      <c r="AE4730" t="n">
        <v>127845</v>
      </c>
      <c r="AF4730" t="n">
        <v>1802</v>
      </c>
      <c r="AG4730" t="n">
        <v>2044</v>
      </c>
      <c r="AH4730" t="inlineStr">
        <is>
          <t>CV. WINEMERI BERKARYA - PPN (PDG)</t>
        </is>
      </c>
      <c r="AI4730" t="n">
        <v>136</v>
      </c>
      <c r="AJ4730" t="inlineStr">
        <is>
          <t>SAFI</t>
        </is>
      </c>
      <c r="AK4730" t="n">
        <v>21</v>
      </c>
      <c r="AL4730" t="inlineStr">
        <is>
          <t>Miss Glam Damar</t>
        </is>
      </c>
      <c r="AM4730" t="n">
        <v>2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SAFI</t>
        </is>
      </c>
      <c r="B4731" s="2">
        <f>"8992856901087"</f>
        <v/>
      </c>
      <c r="C4731" t="inlineStr">
        <is>
          <t>SAFI Age Defy Youth Elixir 29g</t>
        </is>
      </c>
      <c r="D4731" t="inlineStr">
        <is>
          <t>Miss Glam Damar</t>
        </is>
      </c>
      <c r="E4731" t="n">
        <v>5</v>
      </c>
      <c r="F4731" t="n">
        <v>0.1274</v>
      </c>
      <c r="G4731" t="n">
        <v>2.73</v>
      </c>
      <c r="H4731" t="n">
        <v>2</v>
      </c>
      <c r="I4731" t="n">
        <v>7</v>
      </c>
      <c r="J4731" t="n">
        <v>3</v>
      </c>
      <c r="K4731" t="n">
        <v>0</v>
      </c>
      <c r="L4731" t="n">
        <v>120842</v>
      </c>
      <c r="M4731" t="n">
        <v>169000</v>
      </c>
      <c r="N4731" t="n">
        <v>91</v>
      </c>
      <c r="O4731" t="n">
        <v>0.91</v>
      </c>
      <c r="P4731" t="n">
        <v>1</v>
      </c>
      <c r="Q4731" t="n">
        <v>0.15</v>
      </c>
      <c r="R4731" t="n">
        <v>2</v>
      </c>
      <c r="S4731" t="n">
        <v>21530.6</v>
      </c>
      <c r="T4731" t="n">
        <v>19</v>
      </c>
      <c r="U4731" t="n">
        <v>20</v>
      </c>
      <c r="V4731" t="n">
        <v>30</v>
      </c>
      <c r="W4731" t="n">
        <v>4</v>
      </c>
      <c r="X4731" t="n">
        <v>39.24646781789639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1802</v>
      </c>
      <c r="AG4731" t="n">
        <v>2044</v>
      </c>
      <c r="AH4731" t="inlineStr">
        <is>
          <t>CV. WINEMERI BERKARYA - PPN (PDG)</t>
        </is>
      </c>
      <c r="AI4731" t="n">
        <v>136</v>
      </c>
      <c r="AJ4731" t="inlineStr">
        <is>
          <t>SAFI</t>
        </is>
      </c>
      <c r="AK4731" t="n">
        <v>21</v>
      </c>
      <c r="AL4731" t="inlineStr">
        <is>
          <t>Miss Glam Damar</t>
        </is>
      </c>
      <c r="AM4731" t="n">
        <v>2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SAFI</t>
        </is>
      </c>
      <c r="B4732" s="2">
        <f>"8992856899674"</f>
        <v/>
      </c>
      <c r="C4732" t="inlineStr">
        <is>
          <t>SAFI Brightening Cleanser Mangosteen Extract 50gr</t>
        </is>
      </c>
      <c r="D4732" t="inlineStr">
        <is>
          <t>Miss Glam Damar</t>
        </is>
      </c>
      <c r="E4732" t="n">
        <v>9</v>
      </c>
      <c r="F4732" t="n">
        <v>0.1274</v>
      </c>
      <c r="G4732" t="n">
        <v>0.91</v>
      </c>
      <c r="H4732" t="n">
        <v>2</v>
      </c>
      <c r="I4732" t="n">
        <v>7</v>
      </c>
      <c r="J4732" t="n">
        <v>3</v>
      </c>
      <c r="K4732" t="n">
        <v>0</v>
      </c>
      <c r="L4732" t="n">
        <v>12485</v>
      </c>
      <c r="M4732" t="n">
        <v>18000</v>
      </c>
      <c r="N4732" t="n">
        <v>91</v>
      </c>
      <c r="O4732" t="n">
        <v>0.91</v>
      </c>
      <c r="P4732" t="n">
        <v>1</v>
      </c>
      <c r="Q4732" t="n">
        <v>0.14</v>
      </c>
      <c r="R4732" t="n">
        <v>1</v>
      </c>
      <c r="S4732" t="n">
        <v>2293.2</v>
      </c>
      <c r="T4732" t="n">
        <v>7</v>
      </c>
      <c r="U4732" t="n">
        <v>8</v>
      </c>
      <c r="V4732" t="n">
        <v>30</v>
      </c>
      <c r="W4732" t="n">
        <v>4</v>
      </c>
      <c r="X4732" t="n">
        <v>70.6436420722135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1802</v>
      </c>
      <c r="AG4732" t="n">
        <v>2044</v>
      </c>
      <c r="AH4732" t="inlineStr">
        <is>
          <t>CV. WINEMERI BERKARYA - PPN (PDG)</t>
        </is>
      </c>
      <c r="AI4732" t="n">
        <v>136</v>
      </c>
      <c r="AJ4732" t="inlineStr">
        <is>
          <t>SAFI</t>
        </is>
      </c>
      <c r="AK4732" t="n">
        <v>21</v>
      </c>
      <c r="AL4732" t="inlineStr">
        <is>
          <t>Miss Glam Damar</t>
        </is>
      </c>
      <c r="AM4732" t="n">
        <v>2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SAFI</t>
        </is>
      </c>
      <c r="B4733" s="2">
        <f>"8992856900301"</f>
        <v/>
      </c>
      <c r="C4733" t="inlineStr">
        <is>
          <t>SAFI Hair Expert  Fresh &amp;Bounce Treatment Shampo 160ml</t>
        </is>
      </c>
      <c r="D4733" t="inlineStr">
        <is>
          <t>Miss Glam Damar</t>
        </is>
      </c>
      <c r="E4733" t="n">
        <v>0</v>
      </c>
      <c r="F4733" t="n">
        <v>0.04550000000000001</v>
      </c>
      <c r="G4733" t="n">
        <v>1.82</v>
      </c>
      <c r="H4733" t="n">
        <v>2</v>
      </c>
      <c r="I4733" t="n">
        <v>7</v>
      </c>
      <c r="J4733" t="n">
        <v>3</v>
      </c>
      <c r="K4733" t="n">
        <v>0</v>
      </c>
      <c r="L4733" t="n">
        <v>21027</v>
      </c>
      <c r="M4733" t="n">
        <v>26500</v>
      </c>
      <c r="N4733" t="n">
        <v>91</v>
      </c>
      <c r="O4733" t="n">
        <v>0.91</v>
      </c>
      <c r="P4733" t="n">
        <v>1</v>
      </c>
      <c r="Q4733" t="n">
        <v>0.08</v>
      </c>
      <c r="R4733" t="n">
        <v>1</v>
      </c>
      <c r="S4733" t="n">
        <v>1205.75</v>
      </c>
      <c r="T4733" t="n">
        <v>13</v>
      </c>
      <c r="U4733" t="n">
        <v>14</v>
      </c>
      <c r="V4733" t="n">
        <v>30</v>
      </c>
      <c r="W4733" t="n">
        <v>2</v>
      </c>
      <c r="X4733" t="n">
        <v>0</v>
      </c>
      <c r="Y4733" t="n">
        <v>1</v>
      </c>
      <c r="Z4733" t="n">
        <v>2</v>
      </c>
      <c r="AA4733" t="n">
        <v>1</v>
      </c>
      <c r="AB4733" t="n">
        <v>1</v>
      </c>
      <c r="AC4733" t="n">
        <v>3</v>
      </c>
      <c r="AD4733" t="n">
        <v>21027</v>
      </c>
      <c r="AE4733" t="n">
        <v>63081</v>
      </c>
      <c r="AF4733" t="n">
        <v>1802</v>
      </c>
      <c r="AG4733" t="n">
        <v>2044</v>
      </c>
      <c r="AH4733" t="inlineStr">
        <is>
          <t>CV. WINEMERI BERKARYA - PPN (PDG)</t>
        </is>
      </c>
      <c r="AI4733" t="n">
        <v>136</v>
      </c>
      <c r="AJ4733" t="inlineStr">
        <is>
          <t>SAFI</t>
        </is>
      </c>
      <c r="AK4733" t="n">
        <v>21</v>
      </c>
      <c r="AL4733" t="inlineStr">
        <is>
          <t>Miss Glam Damar</t>
        </is>
      </c>
      <c r="AM4733" t="n">
        <v>2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SAFI</t>
        </is>
      </c>
      <c r="B4734" s="2">
        <f>"8992856900288"</f>
        <v/>
      </c>
      <c r="C4734" t="inlineStr">
        <is>
          <t>SAFI Hair Expert Hair Fall Treatment Shampoo 160ml</t>
        </is>
      </c>
      <c r="D4734" t="inlineStr">
        <is>
          <t>Miss Glam Damar</t>
        </is>
      </c>
      <c r="E4734" t="n">
        <v>6</v>
      </c>
      <c r="F4734" t="n">
        <v>0.04550000000000001</v>
      </c>
      <c r="G4734" t="n">
        <v>0.91</v>
      </c>
      <c r="H4734" t="n">
        <v>2</v>
      </c>
      <c r="I4734" t="n">
        <v>7</v>
      </c>
      <c r="J4734" t="n">
        <v>3</v>
      </c>
      <c r="K4734" t="n">
        <v>0</v>
      </c>
      <c r="L4734" t="n">
        <v>20998</v>
      </c>
      <c r="M4734" t="n">
        <v>25500</v>
      </c>
      <c r="N4734" t="n">
        <v>91</v>
      </c>
      <c r="O4734" t="n">
        <v>0.91</v>
      </c>
      <c r="P4734" t="n">
        <v>1</v>
      </c>
      <c r="Q4734" t="n">
        <v>0.07000000000000001</v>
      </c>
      <c r="R4734" t="n">
        <v>2</v>
      </c>
      <c r="S4734" t="n">
        <v>1160.25</v>
      </c>
      <c r="T4734" t="n">
        <v>7</v>
      </c>
      <c r="U4734" t="n">
        <v>8</v>
      </c>
      <c r="V4734" t="n">
        <v>30</v>
      </c>
      <c r="W4734" t="n">
        <v>2</v>
      </c>
      <c r="X4734" t="n">
        <v>131.8681318681319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1802</v>
      </c>
      <c r="AG4734" t="n">
        <v>2044</v>
      </c>
      <c r="AH4734" t="inlineStr">
        <is>
          <t>CV. WINEMERI BERKARYA - PPN (PDG)</t>
        </is>
      </c>
      <c r="AI4734" t="n">
        <v>136</v>
      </c>
      <c r="AJ4734" t="inlineStr">
        <is>
          <t>SAFI</t>
        </is>
      </c>
      <c r="AK4734" t="n">
        <v>21</v>
      </c>
      <c r="AL4734" t="inlineStr">
        <is>
          <t>Miss Glam Damar</t>
        </is>
      </c>
      <c r="AM4734" t="n">
        <v>2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SAFI</t>
        </is>
      </c>
      <c r="B4735" s="2">
        <f>"8992856900295"</f>
        <v/>
      </c>
      <c r="C4735" t="inlineStr">
        <is>
          <t>SAFI Hijab Xpert Anti Dandruff Treatment Shampoo 160ml</t>
        </is>
      </c>
      <c r="D4735" t="inlineStr">
        <is>
          <t>Miss Glam Damar</t>
        </is>
      </c>
      <c r="E4735" t="n">
        <v>0</v>
      </c>
      <c r="F4735" t="n">
        <v>0.182</v>
      </c>
      <c r="G4735" t="n">
        <v>5.46</v>
      </c>
      <c r="H4735" t="n">
        <v>2</v>
      </c>
      <c r="I4735" t="n">
        <v>7</v>
      </c>
      <c r="J4735" t="n">
        <v>3</v>
      </c>
      <c r="K4735" t="n">
        <v>0</v>
      </c>
      <c r="L4735" t="n">
        <v>21135</v>
      </c>
      <c r="M4735" t="n">
        <v>28500</v>
      </c>
      <c r="N4735" t="n">
        <v>91</v>
      </c>
      <c r="O4735" t="n">
        <v>0.91</v>
      </c>
      <c r="P4735" t="n">
        <v>1</v>
      </c>
      <c r="Q4735" t="n">
        <v>0.1</v>
      </c>
      <c r="R4735" t="n">
        <v>1</v>
      </c>
      <c r="S4735" t="n">
        <v>5187.000000000001</v>
      </c>
      <c r="T4735" t="n">
        <v>38</v>
      </c>
      <c r="U4735" t="n">
        <v>39</v>
      </c>
      <c r="V4735" t="n">
        <v>30</v>
      </c>
      <c r="W4735" t="n">
        <v>6</v>
      </c>
      <c r="X4735" t="n">
        <v>0</v>
      </c>
      <c r="Y4735" t="n">
        <v>1</v>
      </c>
      <c r="Z4735" t="n">
        <v>6</v>
      </c>
      <c r="AA4735" t="n">
        <v>2</v>
      </c>
      <c r="AB4735" t="n">
        <v>4</v>
      </c>
      <c r="AC4735" t="n">
        <v>4</v>
      </c>
      <c r="AD4735" t="n">
        <v>42270</v>
      </c>
      <c r="AE4735" t="n">
        <v>84540</v>
      </c>
      <c r="AF4735" t="n">
        <v>1802</v>
      </c>
      <c r="AG4735" t="n">
        <v>2044</v>
      </c>
      <c r="AH4735" t="inlineStr">
        <is>
          <t>CV. WINEMERI BERKARYA - PPN (PDG)</t>
        </is>
      </c>
      <c r="AI4735" t="n">
        <v>136</v>
      </c>
      <c r="AJ4735" t="inlineStr">
        <is>
          <t>SAFI</t>
        </is>
      </c>
      <c r="AK4735" t="n">
        <v>21</v>
      </c>
      <c r="AL4735" t="inlineStr">
        <is>
          <t>Miss Glam Damar</t>
        </is>
      </c>
      <c r="AM4735" t="n">
        <v>2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SAFI</t>
        </is>
      </c>
      <c r="B4736" s="2">
        <f>"8992856903029"</f>
        <v/>
      </c>
      <c r="C4736" t="inlineStr">
        <is>
          <t>SAFI Hydra Glow Hydrating Water Cleanser 125gr</t>
        </is>
      </c>
      <c r="D4736" t="inlineStr">
        <is>
          <t>Miss Glam Damar</t>
        </is>
      </c>
      <c r="E4736" t="n">
        <v>8</v>
      </c>
      <c r="F4736" t="n">
        <v>0.4277</v>
      </c>
      <c r="G4736" t="n">
        <v>3.64</v>
      </c>
      <c r="H4736" t="n">
        <v>2</v>
      </c>
      <c r="I4736" t="n">
        <v>7</v>
      </c>
      <c r="J4736" t="n">
        <v>3</v>
      </c>
      <c r="K4736" t="n">
        <v>0</v>
      </c>
      <c r="L4736" t="n">
        <v>28475</v>
      </c>
      <c r="M4736" t="n">
        <v>37500</v>
      </c>
      <c r="N4736" t="n">
        <v>91</v>
      </c>
      <c r="O4736" t="n">
        <v>0.91</v>
      </c>
      <c r="P4736" t="n">
        <v>1</v>
      </c>
      <c r="Q4736" t="n">
        <v>0.2</v>
      </c>
      <c r="R4736" t="n">
        <v>2</v>
      </c>
      <c r="S4736" t="n">
        <v>16038.75</v>
      </c>
      <c r="T4736" t="n">
        <v>25</v>
      </c>
      <c r="U4736" t="n">
        <v>26</v>
      </c>
      <c r="V4736" t="n">
        <v>30</v>
      </c>
      <c r="W4736" t="n">
        <v>13</v>
      </c>
      <c r="X4736" t="n">
        <v>18.70469955576339</v>
      </c>
      <c r="Y4736" t="n">
        <v>1</v>
      </c>
      <c r="Z4736" t="n">
        <v>5</v>
      </c>
      <c r="AA4736" t="n">
        <v>0</v>
      </c>
      <c r="AB4736" t="n">
        <v>5</v>
      </c>
      <c r="AC4736" t="n">
        <v>5</v>
      </c>
      <c r="AD4736" t="n">
        <v>0</v>
      </c>
      <c r="AE4736" t="n">
        <v>142375</v>
      </c>
      <c r="AF4736" t="n">
        <v>1802</v>
      </c>
      <c r="AG4736" t="n">
        <v>2044</v>
      </c>
      <c r="AH4736" t="inlineStr">
        <is>
          <t>CV. WINEMERI BERKARYA - PPN (PDG)</t>
        </is>
      </c>
      <c r="AI4736" t="n">
        <v>136</v>
      </c>
      <c r="AJ4736" t="inlineStr">
        <is>
          <t>SAFI</t>
        </is>
      </c>
      <c r="AK4736" t="n">
        <v>21</v>
      </c>
      <c r="AL4736" t="inlineStr">
        <is>
          <t>Miss Glam Damar</t>
        </is>
      </c>
      <c r="AM4736" t="n">
        <v>2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SAFI</t>
        </is>
      </c>
      <c r="B4737" s="2">
        <f>"8992856900448"</f>
        <v/>
      </c>
      <c r="C4737" t="inlineStr">
        <is>
          <t>SAFI Natural Acne Clarifying Cleanser Tea Tree Oil 50g</t>
        </is>
      </c>
      <c r="D4737" t="inlineStr">
        <is>
          <t>Miss Glam Damar</t>
        </is>
      </c>
      <c r="E4737" t="n">
        <v>2</v>
      </c>
      <c r="F4737" t="n">
        <v>0.2912</v>
      </c>
      <c r="G4737" t="n">
        <v>1.82</v>
      </c>
      <c r="H4737" t="n">
        <v>2</v>
      </c>
      <c r="I4737" t="n">
        <v>7</v>
      </c>
      <c r="J4737" t="n">
        <v>3</v>
      </c>
      <c r="K4737" t="n">
        <v>0</v>
      </c>
      <c r="L4737" t="n">
        <v>14272</v>
      </c>
      <c r="M4737" t="n">
        <v>19700</v>
      </c>
      <c r="N4737" t="n">
        <v>91</v>
      </c>
      <c r="O4737" t="n">
        <v>0.91</v>
      </c>
      <c r="P4737" t="n">
        <v>1</v>
      </c>
      <c r="Q4737" t="n">
        <v>0.19</v>
      </c>
      <c r="R4737" t="n">
        <v>1</v>
      </c>
      <c r="S4737" t="n">
        <v>5736.64</v>
      </c>
      <c r="T4737" t="n">
        <v>13</v>
      </c>
      <c r="U4737" t="n">
        <v>14</v>
      </c>
      <c r="V4737" t="n">
        <v>30</v>
      </c>
      <c r="W4737" t="n">
        <v>9</v>
      </c>
      <c r="X4737" t="n">
        <v>6.868131868131868</v>
      </c>
      <c r="Y4737" t="n">
        <v>1</v>
      </c>
      <c r="Z4737" t="n">
        <v>7</v>
      </c>
      <c r="AA4737" t="n">
        <v>1</v>
      </c>
      <c r="AB4737" t="n">
        <v>6</v>
      </c>
      <c r="AC4737" t="n">
        <v>6</v>
      </c>
      <c r="AD4737" t="n">
        <v>14272</v>
      </c>
      <c r="AE4737" t="n">
        <v>85632</v>
      </c>
      <c r="AF4737" t="n">
        <v>1802</v>
      </c>
      <c r="AG4737" t="n">
        <v>2044</v>
      </c>
      <c r="AH4737" t="inlineStr">
        <is>
          <t>CV. WINEMERI BERKARYA - PPN (PDG)</t>
        </is>
      </c>
      <c r="AI4737" t="n">
        <v>136</v>
      </c>
      <c r="AJ4737" t="inlineStr">
        <is>
          <t>SAFI</t>
        </is>
      </c>
      <c r="AK4737" t="n">
        <v>21</v>
      </c>
      <c r="AL4737" t="inlineStr">
        <is>
          <t>Miss Glam Damar</t>
        </is>
      </c>
      <c r="AM4737" t="n">
        <v>2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SAFI</t>
        </is>
      </c>
      <c r="B4738" s="2">
        <f>"8992856900431"</f>
        <v/>
      </c>
      <c r="C4738" t="inlineStr">
        <is>
          <t>SAFI Naturals Acne Mattifying Cream 45g</t>
        </is>
      </c>
      <c r="D4738" t="inlineStr">
        <is>
          <t>Miss Glam Damar</t>
        </is>
      </c>
      <c r="E4738" t="n">
        <v>1</v>
      </c>
      <c r="F4738" t="n">
        <v>0.0273</v>
      </c>
      <c r="G4738" t="n">
        <v>0.91</v>
      </c>
      <c r="H4738" t="n">
        <v>2</v>
      </c>
      <c r="I4738" t="n">
        <v>7</v>
      </c>
      <c r="J4738" t="n">
        <v>3</v>
      </c>
      <c r="K4738" t="n">
        <v>0</v>
      </c>
      <c r="L4738" t="n">
        <v>41396</v>
      </c>
      <c r="M4738" t="n">
        <v>57900</v>
      </c>
      <c r="N4738" t="n">
        <v>91</v>
      </c>
      <c r="O4738" t="n">
        <v>0.91</v>
      </c>
      <c r="P4738" t="n">
        <v>1</v>
      </c>
      <c r="Q4738" t="n">
        <v>0.08</v>
      </c>
      <c r="R4738" t="n">
        <v>1</v>
      </c>
      <c r="S4738" t="n">
        <v>1580.67</v>
      </c>
      <c r="T4738" t="n">
        <v>7</v>
      </c>
      <c r="U4738" t="n">
        <v>8</v>
      </c>
      <c r="V4738" t="n">
        <v>30</v>
      </c>
      <c r="W4738" t="n">
        <v>1</v>
      </c>
      <c r="X4738" t="n">
        <v>36.63003663003663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1802</v>
      </c>
      <c r="AG4738" t="n">
        <v>2044</v>
      </c>
      <c r="AH4738" t="inlineStr">
        <is>
          <t>CV. WINEMERI BERKARYA - PPN (PDG)</t>
        </is>
      </c>
      <c r="AI4738" t="n">
        <v>136</v>
      </c>
      <c r="AJ4738" t="inlineStr">
        <is>
          <t>SAFI</t>
        </is>
      </c>
      <c r="AK4738" t="n">
        <v>21</v>
      </c>
      <c r="AL4738" t="inlineStr">
        <is>
          <t>Miss Glam Damar</t>
        </is>
      </c>
      <c r="AM4738" t="n">
        <v>2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SAFI</t>
        </is>
      </c>
      <c r="B4739" s="2">
        <f>"8992856901872"</f>
        <v/>
      </c>
      <c r="C4739" t="inlineStr">
        <is>
          <t>SAFI Naturals Micellar Water Neem Leaf Extract Removes Makeup, Controls Oil &amp; Fights Bacteria 200ml</t>
        </is>
      </c>
      <c r="D4739" t="inlineStr">
        <is>
          <t>Miss Glam Damar</t>
        </is>
      </c>
      <c r="E4739" t="n">
        <v>8</v>
      </c>
      <c r="F4739" t="n">
        <v>0.0819</v>
      </c>
      <c r="G4739" t="n">
        <v>1.82</v>
      </c>
      <c r="H4739" t="n">
        <v>2</v>
      </c>
      <c r="I4739" t="n">
        <v>7</v>
      </c>
      <c r="J4739" t="n">
        <v>3</v>
      </c>
      <c r="K4739" t="n">
        <v>0</v>
      </c>
      <c r="L4739" t="n">
        <v>36108</v>
      </c>
      <c r="M4739" t="n">
        <v>49600</v>
      </c>
      <c r="N4739" t="n">
        <v>91</v>
      </c>
      <c r="O4739" t="n">
        <v>0.91</v>
      </c>
      <c r="P4739" t="n">
        <v>1</v>
      </c>
      <c r="Q4739" t="n">
        <v>0.07000000000000001</v>
      </c>
      <c r="R4739" t="n">
        <v>1</v>
      </c>
      <c r="S4739" t="n">
        <v>4062.24</v>
      </c>
      <c r="T4739" t="n">
        <v>13</v>
      </c>
      <c r="U4739" t="n">
        <v>14</v>
      </c>
      <c r="V4739" t="n">
        <v>30</v>
      </c>
      <c r="W4739" t="n">
        <v>3</v>
      </c>
      <c r="X4739" t="n">
        <v>97.68009768009767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1802</v>
      </c>
      <c r="AG4739" t="n">
        <v>2044</v>
      </c>
      <c r="AH4739" t="inlineStr">
        <is>
          <t>CV. WINEMERI BERKARYA - PPN (PDG)</t>
        </is>
      </c>
      <c r="AI4739" t="n">
        <v>136</v>
      </c>
      <c r="AJ4739" t="inlineStr">
        <is>
          <t>SAFI</t>
        </is>
      </c>
      <c r="AK4739" t="n">
        <v>21</v>
      </c>
      <c r="AL4739" t="inlineStr">
        <is>
          <t>Miss Glam Damar</t>
        </is>
      </c>
      <c r="AM4739" t="n">
        <v>2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SAFI</t>
        </is>
      </c>
      <c r="B4740" s="2">
        <f>"8992856901926"</f>
        <v/>
      </c>
      <c r="C4740" t="inlineStr">
        <is>
          <t>SAFI Naturals Micellar Water With Natural Active Ingredient Cucumber Extract 100ml</t>
        </is>
      </c>
      <c r="D4740" t="inlineStr">
        <is>
          <t>Miss Glam Damar</t>
        </is>
      </c>
      <c r="E4740" t="n">
        <v>2</v>
      </c>
      <c r="F4740" t="n">
        <v>0.0728</v>
      </c>
      <c r="G4740" t="n">
        <v>1.82</v>
      </c>
      <c r="H4740" t="n">
        <v>2</v>
      </c>
      <c r="I4740" t="n">
        <v>7</v>
      </c>
      <c r="J4740" t="n">
        <v>3</v>
      </c>
      <c r="K4740" t="n">
        <v>0</v>
      </c>
      <c r="L4740" t="n">
        <v>21511</v>
      </c>
      <c r="M4740" t="n">
        <v>30000</v>
      </c>
      <c r="N4740" t="n">
        <v>91</v>
      </c>
      <c r="O4740" t="n">
        <v>0.91</v>
      </c>
      <c r="P4740" t="n">
        <v>1</v>
      </c>
      <c r="Q4740" t="n">
        <v>0.03</v>
      </c>
      <c r="R4740" t="n">
        <v>1</v>
      </c>
      <c r="S4740" t="n">
        <v>2184</v>
      </c>
      <c r="T4740" t="n">
        <v>13</v>
      </c>
      <c r="U4740" t="n">
        <v>14</v>
      </c>
      <c r="V4740" t="n">
        <v>30</v>
      </c>
      <c r="W4740" t="n">
        <v>3</v>
      </c>
      <c r="X4740" t="n">
        <v>27.47252747252747</v>
      </c>
      <c r="Y4740" t="n">
        <v>1</v>
      </c>
      <c r="Z4740" t="n">
        <v>1</v>
      </c>
      <c r="AA4740" t="n">
        <v>0</v>
      </c>
      <c r="AB4740" t="n">
        <v>1</v>
      </c>
      <c r="AC4740" t="n">
        <v>3</v>
      </c>
      <c r="AD4740" t="n">
        <v>0</v>
      </c>
      <c r="AE4740" t="n">
        <v>64533</v>
      </c>
      <c r="AF4740" t="n">
        <v>1802</v>
      </c>
      <c r="AG4740" t="n">
        <v>2044</v>
      </c>
      <c r="AH4740" t="inlineStr">
        <is>
          <t>CV. WINEMERI BERKARYA - PPN (PDG)</t>
        </is>
      </c>
      <c r="AI4740" t="n">
        <v>136</v>
      </c>
      <c r="AJ4740" t="inlineStr">
        <is>
          <t>SAFI</t>
        </is>
      </c>
      <c r="AK4740" t="n">
        <v>21</v>
      </c>
      <c r="AL4740" t="inlineStr">
        <is>
          <t>Miss Glam Damar</t>
        </is>
      </c>
      <c r="AM4740" t="n">
        <v>2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SAFI</t>
        </is>
      </c>
      <c r="B4741" s="2">
        <f>"8992856901889"</f>
        <v/>
      </c>
      <c r="C4741" t="inlineStr">
        <is>
          <t>SAFI Naturals Micellar Water With Natural Active Ingredient Neem Leaf Extract 100ml</t>
        </is>
      </c>
      <c r="D4741" t="inlineStr">
        <is>
          <t>Miss Glam Damar</t>
        </is>
      </c>
      <c r="E4741" t="n">
        <v>4</v>
      </c>
      <c r="F4741" t="n">
        <v>0.0273</v>
      </c>
      <c r="G4741" t="n">
        <v>0.91</v>
      </c>
      <c r="H4741" t="n">
        <v>2</v>
      </c>
      <c r="I4741" t="n">
        <v>7</v>
      </c>
      <c r="J4741" t="n">
        <v>3</v>
      </c>
      <c r="K4741" t="n">
        <v>0</v>
      </c>
      <c r="L4741" t="n">
        <v>20407</v>
      </c>
      <c r="M4741" t="n">
        <v>30000</v>
      </c>
      <c r="N4741" t="n">
        <v>91</v>
      </c>
      <c r="O4741" t="n">
        <v>0.91</v>
      </c>
      <c r="P4741" t="n">
        <v>1</v>
      </c>
      <c r="Q4741" t="n">
        <v>0.03</v>
      </c>
      <c r="R4741" t="n">
        <v>1</v>
      </c>
      <c r="S4741" t="n">
        <v>819</v>
      </c>
      <c r="T4741" t="n">
        <v>7</v>
      </c>
      <c r="U4741" t="n">
        <v>8</v>
      </c>
      <c r="V4741" t="n">
        <v>30</v>
      </c>
      <c r="W4741" t="n">
        <v>1</v>
      </c>
      <c r="X4741" t="n">
        <v>146.5201465201465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1802</v>
      </c>
      <c r="AG4741" t="n">
        <v>2044</v>
      </c>
      <c r="AH4741" t="inlineStr">
        <is>
          <t>CV. WINEMERI BERKARYA - PPN (PDG)</t>
        </is>
      </c>
      <c r="AI4741" t="n">
        <v>136</v>
      </c>
      <c r="AJ4741" t="inlineStr">
        <is>
          <t>SAFI</t>
        </is>
      </c>
      <c r="AK4741" t="n">
        <v>21</v>
      </c>
      <c r="AL4741" t="inlineStr">
        <is>
          <t>Miss Glam Damar</t>
        </is>
      </c>
      <c r="AM4741" t="n">
        <v>2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SAFI</t>
        </is>
      </c>
      <c r="B4742" s="2">
        <f>"8992856901940"</f>
        <v/>
      </c>
      <c r="C4742" t="inlineStr">
        <is>
          <t>SAFI Naturals Micellar Water With Rose 100Ml</t>
        </is>
      </c>
      <c r="D4742" t="inlineStr">
        <is>
          <t>Miss Glam Damar</t>
        </is>
      </c>
      <c r="E4742" t="n">
        <v>0</v>
      </c>
      <c r="F4742" t="n">
        <v>0.0182</v>
      </c>
      <c r="G4742" t="n">
        <v>0.91</v>
      </c>
      <c r="H4742" t="n">
        <v>2</v>
      </c>
      <c r="I4742" t="n">
        <v>7</v>
      </c>
      <c r="J4742" t="n">
        <v>3</v>
      </c>
      <c r="K4742" t="n">
        <v>0</v>
      </c>
      <c r="L4742" t="n">
        <v>20176</v>
      </c>
      <c r="M4742" t="n">
        <v>30100</v>
      </c>
      <c r="N4742" t="n">
        <v>91</v>
      </c>
      <c r="O4742" t="n">
        <v>0.91</v>
      </c>
      <c r="P4742" t="n">
        <v>1</v>
      </c>
      <c r="Q4742" t="n">
        <v>0.08</v>
      </c>
      <c r="R4742" t="n">
        <v>1</v>
      </c>
      <c r="S4742" t="n">
        <v>547.8200000000001</v>
      </c>
      <c r="T4742" t="n">
        <v>7</v>
      </c>
      <c r="U4742" t="n">
        <v>8</v>
      </c>
      <c r="V4742" t="n">
        <v>30</v>
      </c>
      <c r="W4742" t="n">
        <v>1</v>
      </c>
      <c r="X4742" t="n">
        <v>0</v>
      </c>
      <c r="Y4742" t="n">
        <v>1</v>
      </c>
      <c r="Z4742" t="n">
        <v>1</v>
      </c>
      <c r="AA4742" t="n">
        <v>1</v>
      </c>
      <c r="AB4742" t="n">
        <v>0</v>
      </c>
      <c r="AC4742" t="n">
        <v>0</v>
      </c>
      <c r="AD4742" t="n">
        <v>20176</v>
      </c>
      <c r="AE4742" t="n">
        <v>0</v>
      </c>
      <c r="AF4742" t="n">
        <v>1802</v>
      </c>
      <c r="AG4742" t="n">
        <v>2044</v>
      </c>
      <c r="AH4742" t="inlineStr">
        <is>
          <t>CV. WINEMERI BERKARYA - PPN (PDG)</t>
        </is>
      </c>
      <c r="AI4742" t="n">
        <v>136</v>
      </c>
      <c r="AJ4742" t="inlineStr">
        <is>
          <t>SAFI</t>
        </is>
      </c>
      <c r="AK4742" t="n">
        <v>21</v>
      </c>
      <c r="AL4742" t="inlineStr">
        <is>
          <t>Miss Glam Damar</t>
        </is>
      </c>
      <c r="AM4742" t="n">
        <v>2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SAFI</t>
        </is>
      </c>
      <c r="B4743" s="2">
        <f>"8992856901933"</f>
        <v/>
      </c>
      <c r="C4743" t="inlineStr">
        <is>
          <t>SAFI Naturals Micellar Water With Rose 200ml</t>
        </is>
      </c>
      <c r="D4743" t="inlineStr">
        <is>
          <t>Miss Glam Damar</t>
        </is>
      </c>
      <c r="E4743" t="n">
        <v>0</v>
      </c>
      <c r="F4743" t="n">
        <v>0.06370000000000001</v>
      </c>
      <c r="G4743" t="n">
        <v>0.91</v>
      </c>
      <c r="H4743" t="n">
        <v>2</v>
      </c>
      <c r="I4743" t="n">
        <v>7</v>
      </c>
      <c r="J4743" t="n">
        <v>3</v>
      </c>
      <c r="K4743" t="n">
        <v>0</v>
      </c>
      <c r="L4743" t="n">
        <v>34602</v>
      </c>
      <c r="M4743" t="n">
        <v>48900</v>
      </c>
      <c r="N4743" t="n">
        <v>91</v>
      </c>
      <c r="O4743" t="n">
        <v>0.91</v>
      </c>
      <c r="P4743" t="n">
        <v>1</v>
      </c>
      <c r="Q4743" t="n">
        <v>0.07000000000000001</v>
      </c>
      <c r="R4743" t="n">
        <v>1</v>
      </c>
      <c r="S4743" t="n">
        <v>3114.93</v>
      </c>
      <c r="T4743" t="n">
        <v>7</v>
      </c>
      <c r="U4743" t="n">
        <v>8</v>
      </c>
      <c r="V4743" t="n">
        <v>30</v>
      </c>
      <c r="W4743" t="n">
        <v>2</v>
      </c>
      <c r="X4743" t="n">
        <v>0</v>
      </c>
      <c r="Y4743" t="n">
        <v>1</v>
      </c>
      <c r="Z4743" t="n">
        <v>2</v>
      </c>
      <c r="AA4743" t="n">
        <v>1</v>
      </c>
      <c r="AB4743" t="n">
        <v>1</v>
      </c>
      <c r="AC4743" t="n">
        <v>3</v>
      </c>
      <c r="AD4743" t="n">
        <v>34602</v>
      </c>
      <c r="AE4743" t="n">
        <v>103806</v>
      </c>
      <c r="AF4743" t="n">
        <v>1802</v>
      </c>
      <c r="AG4743" t="n">
        <v>2044</v>
      </c>
      <c r="AH4743" t="inlineStr">
        <is>
          <t>CV. WINEMERI BERKARYA - PPN (PDG)</t>
        </is>
      </c>
      <c r="AI4743" t="n">
        <v>136</v>
      </c>
      <c r="AJ4743" t="inlineStr">
        <is>
          <t>SAFI</t>
        </is>
      </c>
      <c r="AK4743" t="n">
        <v>21</v>
      </c>
      <c r="AL4743" t="inlineStr">
        <is>
          <t>Miss Glam Damar</t>
        </is>
      </c>
      <c r="AM4743" t="n">
        <v>2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SAFI</t>
        </is>
      </c>
      <c r="B4744" s="2">
        <f>"8992856908413"</f>
        <v/>
      </c>
      <c r="C4744" t="inlineStr">
        <is>
          <t>SAFI Radiant &amp; Hydrate Gold Water Essence 102ml</t>
        </is>
      </c>
      <c r="D4744" t="inlineStr">
        <is>
          <t>Miss Glam Damar</t>
        </is>
      </c>
      <c r="E4744" t="n">
        <v>2</v>
      </c>
      <c r="F4744" t="n">
        <v>0.0273</v>
      </c>
      <c r="G4744" t="n">
        <v>0.91</v>
      </c>
      <c r="H4744" t="n">
        <v>2</v>
      </c>
      <c r="I4744" t="n">
        <v>7</v>
      </c>
      <c r="J4744" t="n">
        <v>3</v>
      </c>
      <c r="K4744" t="n">
        <v>0</v>
      </c>
      <c r="L4744" t="n">
        <v>108530</v>
      </c>
      <c r="M4744" t="n">
        <v>140000</v>
      </c>
      <c r="N4744" t="n">
        <v>91</v>
      </c>
      <c r="O4744" t="n">
        <v>0.91</v>
      </c>
      <c r="P4744" t="n">
        <v>1</v>
      </c>
      <c r="Q4744" t="n">
        <v>0.03</v>
      </c>
      <c r="R4744" t="n">
        <v>1</v>
      </c>
      <c r="S4744" t="n">
        <v>3822</v>
      </c>
      <c r="T4744" t="n">
        <v>7</v>
      </c>
      <c r="U4744" t="n">
        <v>8</v>
      </c>
      <c r="V4744" t="n">
        <v>30</v>
      </c>
      <c r="W4744" t="n">
        <v>1</v>
      </c>
      <c r="X4744" t="n">
        <v>73.26007326007326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1802</v>
      </c>
      <c r="AG4744" t="n">
        <v>2044</v>
      </c>
      <c r="AH4744" t="inlineStr">
        <is>
          <t>CV. WINEMERI BERKARYA - PPN (PDG)</t>
        </is>
      </c>
      <c r="AI4744" t="n">
        <v>136</v>
      </c>
      <c r="AJ4744" t="inlineStr">
        <is>
          <t>SAFI</t>
        </is>
      </c>
      <c r="AK4744" t="n">
        <v>21</v>
      </c>
      <c r="AL4744" t="inlineStr">
        <is>
          <t>Miss Glam Damar</t>
        </is>
      </c>
      <c r="AM4744" t="n">
        <v>2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SAFI</t>
        </is>
      </c>
      <c r="B4745" s="2">
        <f>"8992856905948"</f>
        <v/>
      </c>
      <c r="C4745" t="inlineStr">
        <is>
          <t>SAFI Sun Essentials Comfort Touch Sunscreen Spf 50+ PA++ 30ml</t>
        </is>
      </c>
      <c r="D4745" t="inlineStr">
        <is>
          <t>Miss Glam Damar</t>
        </is>
      </c>
      <c r="E4745" t="n">
        <v>2</v>
      </c>
      <c r="F4745" t="n">
        <v>0.03</v>
      </c>
      <c r="G4745" t="n">
        <v>1</v>
      </c>
      <c r="H4745" t="n">
        <v>2</v>
      </c>
      <c r="I4745" t="n">
        <v>7</v>
      </c>
      <c r="J4745" t="n">
        <v>3</v>
      </c>
      <c r="K4745" t="n">
        <v>0</v>
      </c>
      <c r="L4745" t="n">
        <v>107764</v>
      </c>
      <c r="M4745" t="n">
        <v>159000</v>
      </c>
      <c r="N4745" t="n">
        <v>91</v>
      </c>
      <c r="O4745" t="n">
        <v>0.91</v>
      </c>
      <c r="P4745" t="n">
        <v>0</v>
      </c>
      <c r="Q4745" t="n">
        <v>0.03</v>
      </c>
      <c r="R4745" t="n">
        <v>1</v>
      </c>
      <c r="S4745" t="n">
        <v>4770</v>
      </c>
      <c r="T4745" t="n">
        <v>7</v>
      </c>
      <c r="U4745" t="n">
        <v>8</v>
      </c>
      <c r="V4745" t="n">
        <v>30</v>
      </c>
      <c r="W4745" t="n">
        <v>1</v>
      </c>
      <c r="X4745" t="n">
        <v>66.66666666666667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1802</v>
      </c>
      <c r="AG4745" t="n">
        <v>2044</v>
      </c>
      <c r="AH4745" t="inlineStr">
        <is>
          <t>CV. WINEMERI BERKARYA - PPN (PDG)</t>
        </is>
      </c>
      <c r="AI4745" t="n">
        <v>136</v>
      </c>
      <c r="AJ4745" t="inlineStr">
        <is>
          <t>SAFI</t>
        </is>
      </c>
      <c r="AK4745" t="n">
        <v>21</v>
      </c>
      <c r="AL4745" t="inlineStr">
        <is>
          <t>Miss Glam Damar</t>
        </is>
      </c>
      <c r="AM4745" t="n">
        <v>2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SAFI</t>
        </is>
      </c>
      <c r="B4746" s="2">
        <f>"8992856906952"</f>
        <v/>
      </c>
      <c r="C4746" t="inlineStr">
        <is>
          <t>SAFI Sun Essentials Daily Shield Sunscreen SPF 50+ PA++++ 30gr</t>
        </is>
      </c>
      <c r="D4746" t="inlineStr">
        <is>
          <t>Miss Glam Damar</t>
        </is>
      </c>
      <c r="E4746" t="n">
        <v>6</v>
      </c>
      <c r="F4746" t="n">
        <v>0.1547</v>
      </c>
      <c r="G4746" t="n">
        <v>1.82</v>
      </c>
      <c r="H4746" t="n">
        <v>2</v>
      </c>
      <c r="I4746" t="n">
        <v>7</v>
      </c>
      <c r="J4746" t="n">
        <v>3</v>
      </c>
      <c r="K4746" t="n">
        <v>0</v>
      </c>
      <c r="L4746" t="n">
        <v>39820</v>
      </c>
      <c r="M4746" t="n">
        <v>51500</v>
      </c>
      <c r="N4746" t="n">
        <v>91</v>
      </c>
      <c r="O4746" t="n">
        <v>0.91</v>
      </c>
      <c r="P4746" t="n">
        <v>1</v>
      </c>
      <c r="Q4746" t="n">
        <v>0.1</v>
      </c>
      <c r="R4746" t="n">
        <v>1</v>
      </c>
      <c r="S4746" t="n">
        <v>7967.05</v>
      </c>
      <c r="T4746" t="n">
        <v>13</v>
      </c>
      <c r="U4746" t="n">
        <v>14</v>
      </c>
      <c r="V4746" t="n">
        <v>30</v>
      </c>
      <c r="W4746" t="n">
        <v>5</v>
      </c>
      <c r="X4746" t="n">
        <v>38.78474466709761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1802</v>
      </c>
      <c r="AG4746" t="n">
        <v>2044</v>
      </c>
      <c r="AH4746" t="inlineStr">
        <is>
          <t>CV. WINEMERI BERKARYA - PPN (PDG)</t>
        </is>
      </c>
      <c r="AI4746" t="n">
        <v>136</v>
      </c>
      <c r="AJ4746" t="inlineStr">
        <is>
          <t>SAFI</t>
        </is>
      </c>
      <c r="AK4746" t="n">
        <v>21</v>
      </c>
      <c r="AL4746" t="inlineStr">
        <is>
          <t>Miss Glam Damar</t>
        </is>
      </c>
      <c r="AM4746" t="n">
        <v>2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SAFI</t>
        </is>
      </c>
      <c r="B4747" s="2">
        <f>"8992856908277"</f>
        <v/>
      </c>
      <c r="C4747" t="inlineStr">
        <is>
          <t>SAFI Ultimate Bright Light Foam Cleanser 100gr</t>
        </is>
      </c>
      <c r="D4747" t="inlineStr">
        <is>
          <t>Miss Glam Damar</t>
        </is>
      </c>
      <c r="E4747" t="n">
        <v>8</v>
      </c>
      <c r="F4747" t="n">
        <v>0.1274</v>
      </c>
      <c r="G4747" t="n">
        <v>2.73</v>
      </c>
      <c r="H4747" t="n">
        <v>2</v>
      </c>
      <c r="I4747" t="n">
        <v>7</v>
      </c>
      <c r="J4747" t="n">
        <v>3</v>
      </c>
      <c r="K4747" t="n">
        <v>0</v>
      </c>
      <c r="L4747" t="n">
        <v>24970</v>
      </c>
      <c r="M4747" t="n">
        <v>32500</v>
      </c>
      <c r="N4747" t="n">
        <v>91</v>
      </c>
      <c r="O4747" t="n">
        <v>0.91</v>
      </c>
      <c r="P4747" t="n">
        <v>1</v>
      </c>
      <c r="Q4747" t="n">
        <v>0.1</v>
      </c>
      <c r="R4747" t="n">
        <v>2</v>
      </c>
      <c r="S4747" t="n">
        <v>4140.5</v>
      </c>
      <c r="T4747" t="n">
        <v>19</v>
      </c>
      <c r="U4747" t="n">
        <v>20</v>
      </c>
      <c r="V4747" t="n">
        <v>30</v>
      </c>
      <c r="W4747" t="n">
        <v>4</v>
      </c>
      <c r="X4747" t="n">
        <v>62.79434850863422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1802</v>
      </c>
      <c r="AG4747" t="n">
        <v>2044</v>
      </c>
      <c r="AH4747" t="inlineStr">
        <is>
          <t>CV. WINEMERI BERKARYA - PPN (PDG)</t>
        </is>
      </c>
      <c r="AI4747" t="n">
        <v>136</v>
      </c>
      <c r="AJ4747" t="inlineStr">
        <is>
          <t>SAFI</t>
        </is>
      </c>
      <c r="AK4747" t="n">
        <v>21</v>
      </c>
      <c r="AL4747" t="inlineStr">
        <is>
          <t>Miss Glam Damar</t>
        </is>
      </c>
      <c r="AM4747" t="n">
        <v>2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SAFI</t>
        </is>
      </c>
      <c r="B4748" s="2">
        <f>"8992856899551"</f>
        <v/>
      </c>
      <c r="C4748" t="inlineStr">
        <is>
          <t>SAFI White Expert 2in1 Cleanser &amp; Toner 150ml</t>
        </is>
      </c>
      <c r="D4748" t="inlineStr">
        <is>
          <t>Miss Glam Damar</t>
        </is>
      </c>
      <c r="E4748" t="n">
        <v>9</v>
      </c>
      <c r="F4748" t="n">
        <v>0.182</v>
      </c>
      <c r="G4748" t="n">
        <v>1.82</v>
      </c>
      <c r="H4748" t="n">
        <v>2</v>
      </c>
      <c r="I4748" t="n">
        <v>7</v>
      </c>
      <c r="J4748" t="n">
        <v>3</v>
      </c>
      <c r="K4748" t="n">
        <v>0</v>
      </c>
      <c r="L4748" t="n">
        <v>38817</v>
      </c>
      <c r="M4748" t="n">
        <v>52200</v>
      </c>
      <c r="N4748" t="n">
        <v>91</v>
      </c>
      <c r="O4748" t="n">
        <v>0.91</v>
      </c>
      <c r="P4748" t="n">
        <v>1</v>
      </c>
      <c r="Q4748" t="n">
        <v>0.17</v>
      </c>
      <c r="R4748" t="n">
        <v>1</v>
      </c>
      <c r="S4748" t="n">
        <v>9500.400000000001</v>
      </c>
      <c r="T4748" t="n">
        <v>13</v>
      </c>
      <c r="U4748" t="n">
        <v>14</v>
      </c>
      <c r="V4748" t="n">
        <v>30</v>
      </c>
      <c r="W4748" t="n">
        <v>6</v>
      </c>
      <c r="X4748" t="n">
        <v>49.45054945054945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1802</v>
      </c>
      <c r="AG4748" t="n">
        <v>2044</v>
      </c>
      <c r="AH4748" t="inlineStr">
        <is>
          <t>CV. WINEMERI BERKARYA - PPN (PDG)</t>
        </is>
      </c>
      <c r="AI4748" t="n">
        <v>136</v>
      </c>
      <c r="AJ4748" t="inlineStr">
        <is>
          <t>SAFI</t>
        </is>
      </c>
      <c r="AK4748" t="n">
        <v>21</v>
      </c>
      <c r="AL4748" t="inlineStr">
        <is>
          <t>Miss Glam Damar</t>
        </is>
      </c>
      <c r="AM4748" t="n">
        <v>2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SAFI</t>
        </is>
      </c>
      <c r="B4749" s="2">
        <f>"8992856899568"</f>
        <v/>
      </c>
      <c r="C4749" t="inlineStr">
        <is>
          <t>SAFI White Expert Deep Exfoliator 100G</t>
        </is>
      </c>
      <c r="D4749" t="inlineStr">
        <is>
          <t>Miss Glam Damar</t>
        </is>
      </c>
      <c r="E4749" t="n">
        <v>2</v>
      </c>
      <c r="F4749" t="n">
        <v>0.06370000000000001</v>
      </c>
      <c r="G4749" t="n">
        <v>0.91</v>
      </c>
      <c r="H4749" t="n">
        <v>2</v>
      </c>
      <c r="I4749" t="n">
        <v>7</v>
      </c>
      <c r="J4749" t="n">
        <v>3</v>
      </c>
      <c r="K4749" t="n">
        <v>0</v>
      </c>
      <c r="L4749" t="n">
        <v>33458</v>
      </c>
      <c r="M4749" t="n">
        <v>46800</v>
      </c>
      <c r="N4749" t="n">
        <v>91</v>
      </c>
      <c r="O4749" t="n">
        <v>0.91</v>
      </c>
      <c r="P4749" t="n">
        <v>1</v>
      </c>
      <c r="Q4749" t="n">
        <v>0.12</v>
      </c>
      <c r="R4749" t="n">
        <v>2</v>
      </c>
      <c r="S4749" t="n">
        <v>2981.16</v>
      </c>
      <c r="T4749" t="n">
        <v>7</v>
      </c>
      <c r="U4749" t="n">
        <v>8</v>
      </c>
      <c r="V4749" t="n">
        <v>30</v>
      </c>
      <c r="W4749" t="n">
        <v>2</v>
      </c>
      <c r="X4749" t="n">
        <v>31.39717425431711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1802</v>
      </c>
      <c r="AG4749" t="n">
        <v>2044</v>
      </c>
      <c r="AH4749" t="inlineStr">
        <is>
          <t>CV. WINEMERI BERKARYA - PPN (PDG)</t>
        </is>
      </c>
      <c r="AI4749" t="n">
        <v>136</v>
      </c>
      <c r="AJ4749" t="inlineStr">
        <is>
          <t>SAFI</t>
        </is>
      </c>
      <c r="AK4749" t="n">
        <v>21</v>
      </c>
      <c r="AL4749" t="inlineStr">
        <is>
          <t>Miss Glam Damar</t>
        </is>
      </c>
      <c r="AM4749" t="n">
        <v>2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SAFI</t>
        </is>
      </c>
      <c r="B4750" s="2">
        <f>"8992856899575"</f>
        <v/>
      </c>
      <c r="C4750" t="inlineStr">
        <is>
          <t>SAFI White Expert Illuminating Day Cream SPF 15 PA++ 45g</t>
        </is>
      </c>
      <c r="D4750" t="inlineStr">
        <is>
          <t>Miss Glam Damar</t>
        </is>
      </c>
      <c r="E4750" t="n">
        <v>3</v>
      </c>
      <c r="F4750" t="n">
        <v>0.0182</v>
      </c>
      <c r="G4750" t="n">
        <v>0</v>
      </c>
      <c r="H4750" t="n">
        <v>2</v>
      </c>
      <c r="I4750" t="n">
        <v>7</v>
      </c>
      <c r="J4750" t="n">
        <v>3</v>
      </c>
      <c r="K4750" t="n">
        <v>0</v>
      </c>
      <c r="L4750" t="n">
        <v>75569</v>
      </c>
      <c r="M4750" t="n">
        <v>98100</v>
      </c>
      <c r="N4750" t="n">
        <v>91</v>
      </c>
      <c r="O4750" t="n">
        <v>0.91</v>
      </c>
      <c r="P4750" t="n">
        <v>1</v>
      </c>
      <c r="Q4750" t="n">
        <v>0.02</v>
      </c>
      <c r="R4750" t="n">
        <v>1</v>
      </c>
      <c r="S4750" t="n">
        <v>1785.42</v>
      </c>
      <c r="T4750" t="n">
        <v>0</v>
      </c>
      <c r="U4750" t="n">
        <v>1</v>
      </c>
      <c r="V4750" t="n">
        <v>30</v>
      </c>
      <c r="W4750" t="n">
        <v>1</v>
      </c>
      <c r="X4750" t="n">
        <v>164.8351648351648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1802</v>
      </c>
      <c r="AG4750" t="n">
        <v>2044</v>
      </c>
      <c r="AH4750" t="inlineStr">
        <is>
          <t>CV. WINEMERI BERKARYA - PPN (PDG)</t>
        </is>
      </c>
      <c r="AI4750" t="n">
        <v>136</v>
      </c>
      <c r="AJ4750" t="inlineStr">
        <is>
          <t>SAFI</t>
        </is>
      </c>
      <c r="AK4750" t="n">
        <v>21</v>
      </c>
      <c r="AL4750" t="inlineStr">
        <is>
          <t>Miss Glam Damar</t>
        </is>
      </c>
      <c r="AM4750" t="n">
        <v>2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SAFI</t>
        </is>
      </c>
      <c r="B4751" s="2">
        <f>"8992856899537"</f>
        <v/>
      </c>
      <c r="C4751" t="inlineStr">
        <is>
          <t>SAFI White Expert Purifying Cleanser 100gr</t>
        </is>
      </c>
      <c r="D4751" t="inlineStr">
        <is>
          <t>Miss Glam Damar</t>
        </is>
      </c>
      <c r="E4751" t="n">
        <v>13</v>
      </c>
      <c r="F4751" t="n">
        <v>0.3094</v>
      </c>
      <c r="G4751" t="n">
        <v>2.73</v>
      </c>
      <c r="H4751" t="n">
        <v>2</v>
      </c>
      <c r="I4751" t="n">
        <v>7</v>
      </c>
      <c r="J4751" t="n">
        <v>3</v>
      </c>
      <c r="K4751" t="n">
        <v>0</v>
      </c>
      <c r="L4751" t="n">
        <v>24981</v>
      </c>
      <c r="M4751" t="n">
        <v>35000</v>
      </c>
      <c r="N4751" t="n">
        <v>91</v>
      </c>
      <c r="O4751" t="n">
        <v>0.91</v>
      </c>
      <c r="P4751" t="n">
        <v>1</v>
      </c>
      <c r="Q4751" t="n">
        <v>0.25</v>
      </c>
      <c r="R4751" t="n">
        <v>2</v>
      </c>
      <c r="S4751" t="n">
        <v>10829</v>
      </c>
      <c r="T4751" t="n">
        <v>19</v>
      </c>
      <c r="U4751" t="n">
        <v>20</v>
      </c>
      <c r="V4751" t="n">
        <v>30</v>
      </c>
      <c r="W4751" t="n">
        <v>10</v>
      </c>
      <c r="X4751" t="n">
        <v>42.01680672268908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1802</v>
      </c>
      <c r="AG4751" t="n">
        <v>2044</v>
      </c>
      <c r="AH4751" t="inlineStr">
        <is>
          <t>CV. WINEMERI BERKARYA - PPN (PDG)</t>
        </is>
      </c>
      <c r="AI4751" t="n">
        <v>136</v>
      </c>
      <c r="AJ4751" t="inlineStr">
        <is>
          <t>SAFI</t>
        </is>
      </c>
      <c r="AK4751" t="n">
        <v>21</v>
      </c>
      <c r="AL4751" t="inlineStr">
        <is>
          <t>Miss Glam Damar</t>
        </is>
      </c>
      <c r="AM4751" t="n">
        <v>2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SAFI</t>
        </is>
      </c>
      <c r="B4752" s="2">
        <f>"8992856899544"</f>
        <v/>
      </c>
      <c r="C4752" t="inlineStr">
        <is>
          <t>SAFI White Expert Purifying Cleanser 50gr</t>
        </is>
      </c>
      <c r="D4752" t="inlineStr">
        <is>
          <t>Miss Glam Damar</t>
        </is>
      </c>
      <c r="E4752" t="n">
        <v>4</v>
      </c>
      <c r="F4752" t="n">
        <v>0.09100000000000001</v>
      </c>
      <c r="G4752" t="n">
        <v>0.91</v>
      </c>
      <c r="H4752" t="n">
        <v>2</v>
      </c>
      <c r="I4752" t="n">
        <v>7</v>
      </c>
      <c r="J4752" t="n">
        <v>3</v>
      </c>
      <c r="K4752" t="n">
        <v>0</v>
      </c>
      <c r="L4752" t="n">
        <v>16664</v>
      </c>
      <c r="M4752" t="n">
        <v>25000</v>
      </c>
      <c r="N4752" t="n">
        <v>91</v>
      </c>
      <c r="O4752" t="n">
        <v>0.91</v>
      </c>
      <c r="P4752" t="n">
        <v>1</v>
      </c>
      <c r="Q4752" t="n">
        <v>0.03</v>
      </c>
      <c r="R4752" t="n">
        <v>1</v>
      </c>
      <c r="S4752" t="n">
        <v>2275</v>
      </c>
      <c r="T4752" t="n">
        <v>7</v>
      </c>
      <c r="U4752" t="n">
        <v>8</v>
      </c>
      <c r="V4752" t="n">
        <v>30</v>
      </c>
      <c r="W4752" t="n">
        <v>3</v>
      </c>
      <c r="X4752" t="n">
        <v>43.95604395604395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1802</v>
      </c>
      <c r="AG4752" t="n">
        <v>2044</v>
      </c>
      <c r="AH4752" t="inlineStr">
        <is>
          <t>CV. WINEMERI BERKARYA - PPN (PDG)</t>
        </is>
      </c>
      <c r="AI4752" t="n">
        <v>136</v>
      </c>
      <c r="AJ4752" t="inlineStr">
        <is>
          <t>SAFI</t>
        </is>
      </c>
      <c r="AK4752" t="n">
        <v>21</v>
      </c>
      <c r="AL4752" t="inlineStr">
        <is>
          <t>Miss Glam Damar</t>
        </is>
      </c>
      <c r="AM4752" t="n">
        <v>2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SAFI</t>
        </is>
      </c>
      <c r="B4753" s="2">
        <f>"8992856899643"</f>
        <v/>
      </c>
      <c r="C4753" t="inlineStr">
        <is>
          <t>SAFI White Expert Purifying Make Up Remover 100ml</t>
        </is>
      </c>
      <c r="D4753" t="inlineStr">
        <is>
          <t>Miss Glam Damar</t>
        </is>
      </c>
      <c r="E4753" t="n">
        <v>1</v>
      </c>
      <c r="F4753" t="n">
        <v>0.0182</v>
      </c>
      <c r="G4753" t="n">
        <v>0.91</v>
      </c>
      <c r="H4753" t="n">
        <v>2</v>
      </c>
      <c r="I4753" t="n">
        <v>7</v>
      </c>
      <c r="J4753" t="n">
        <v>3</v>
      </c>
      <c r="K4753" t="n">
        <v>0</v>
      </c>
      <c r="L4753" t="n">
        <v>34176</v>
      </c>
      <c r="M4753" t="n">
        <v>45000</v>
      </c>
      <c r="N4753" t="n">
        <v>91</v>
      </c>
      <c r="O4753" t="n">
        <v>0.91</v>
      </c>
      <c r="P4753" t="n">
        <v>1</v>
      </c>
      <c r="Q4753" t="n">
        <v>0.05</v>
      </c>
      <c r="R4753" t="n">
        <v>1</v>
      </c>
      <c r="S4753" t="n">
        <v>819</v>
      </c>
      <c r="T4753" t="n">
        <v>7</v>
      </c>
      <c r="U4753" t="n">
        <v>8</v>
      </c>
      <c r="V4753" t="n">
        <v>30</v>
      </c>
      <c r="W4753" t="n">
        <v>1</v>
      </c>
      <c r="X4753" t="n">
        <v>54.94505494505494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1802</v>
      </c>
      <c r="AG4753" t="n">
        <v>2044</v>
      </c>
      <c r="AH4753" t="inlineStr">
        <is>
          <t>CV. WINEMERI BERKARYA - PPN (PDG)</t>
        </is>
      </c>
      <c r="AI4753" t="n">
        <v>136</v>
      </c>
      <c r="AJ4753" t="inlineStr">
        <is>
          <t>SAFI</t>
        </is>
      </c>
      <c r="AK4753" t="n">
        <v>21</v>
      </c>
      <c r="AL4753" t="inlineStr">
        <is>
          <t>Miss Glam Damar</t>
        </is>
      </c>
      <c r="AM4753" t="n">
        <v>2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SAFI</t>
        </is>
      </c>
      <c r="B4754" s="2">
        <f>"8992856899636"</f>
        <v/>
      </c>
      <c r="C4754" t="inlineStr">
        <is>
          <t>SAFI White Expert Purifying Make Up Remover 200ml</t>
        </is>
      </c>
      <c r="D4754" t="inlineStr">
        <is>
          <t>Miss Glam Damar</t>
        </is>
      </c>
      <c r="E4754" t="n">
        <v>3</v>
      </c>
      <c r="F4754" t="n">
        <v>0.06370000000000001</v>
      </c>
      <c r="G4754" t="n">
        <v>1.82</v>
      </c>
      <c r="H4754" t="n">
        <v>2</v>
      </c>
      <c r="I4754" t="n">
        <v>7</v>
      </c>
      <c r="J4754" t="n">
        <v>3</v>
      </c>
      <c r="K4754" t="n">
        <v>0</v>
      </c>
      <c r="L4754" t="n">
        <v>60249</v>
      </c>
      <c r="M4754" t="n">
        <v>79900</v>
      </c>
      <c r="N4754" t="n">
        <v>91</v>
      </c>
      <c r="O4754" t="n">
        <v>0.91</v>
      </c>
      <c r="P4754" t="n">
        <v>1</v>
      </c>
      <c r="Q4754" t="n">
        <v>0.05</v>
      </c>
      <c r="R4754" t="n">
        <v>1</v>
      </c>
      <c r="S4754" t="n">
        <v>5089.63</v>
      </c>
      <c r="T4754" t="n">
        <v>13</v>
      </c>
      <c r="U4754" t="n">
        <v>14</v>
      </c>
      <c r="V4754" t="n">
        <v>30</v>
      </c>
      <c r="W4754" t="n">
        <v>2</v>
      </c>
      <c r="X4754" t="n">
        <v>47.09576138147566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1802</v>
      </c>
      <c r="AG4754" t="n">
        <v>2044</v>
      </c>
      <c r="AH4754" t="inlineStr">
        <is>
          <t>CV. WINEMERI BERKARYA - PPN (PDG)</t>
        </is>
      </c>
      <c r="AI4754" t="n">
        <v>136</v>
      </c>
      <c r="AJ4754" t="inlineStr">
        <is>
          <t>SAFI</t>
        </is>
      </c>
      <c r="AK4754" t="n">
        <v>21</v>
      </c>
      <c r="AL4754" t="inlineStr">
        <is>
          <t>Miss Glam Damar</t>
        </is>
      </c>
      <c r="AM4754" t="n">
        <v>2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SAFI</t>
        </is>
      </c>
      <c r="B4755" s="2">
        <f>"8992856899605"</f>
        <v/>
      </c>
      <c r="C4755" t="inlineStr">
        <is>
          <t>SAFI White Expert Replenishing Night Cream 25gr</t>
        </is>
      </c>
      <c r="D4755" t="inlineStr">
        <is>
          <t>Miss Glam Damar</t>
        </is>
      </c>
      <c r="E4755" t="n">
        <v>2</v>
      </c>
      <c r="F4755" t="n">
        <v>0.04550000000000001</v>
      </c>
      <c r="G4755" t="n">
        <v>0.91</v>
      </c>
      <c r="H4755" t="n">
        <v>2</v>
      </c>
      <c r="I4755" t="n">
        <v>7</v>
      </c>
      <c r="J4755" t="n">
        <v>3</v>
      </c>
      <c r="K4755" t="n">
        <v>0</v>
      </c>
      <c r="L4755" t="n">
        <v>42898</v>
      </c>
      <c r="M4755" t="n">
        <v>56500</v>
      </c>
      <c r="N4755" t="n">
        <v>91</v>
      </c>
      <c r="O4755" t="n">
        <v>0.91</v>
      </c>
      <c r="P4755" t="n">
        <v>1</v>
      </c>
      <c r="Q4755" t="n">
        <v>0.02</v>
      </c>
      <c r="R4755" t="n">
        <v>1</v>
      </c>
      <c r="S4755" t="n">
        <v>2570.75</v>
      </c>
      <c r="T4755" t="n">
        <v>7</v>
      </c>
      <c r="U4755" t="n">
        <v>8</v>
      </c>
      <c r="V4755" t="n">
        <v>30</v>
      </c>
      <c r="W4755" t="n">
        <v>2</v>
      </c>
      <c r="X4755" t="n">
        <v>43.95604395604395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1802</v>
      </c>
      <c r="AG4755" t="n">
        <v>2044</v>
      </c>
      <c r="AH4755" t="inlineStr">
        <is>
          <t>CV. WINEMERI BERKARYA - PPN (PDG)</t>
        </is>
      </c>
      <c r="AI4755" t="n">
        <v>136</v>
      </c>
      <c r="AJ4755" t="inlineStr">
        <is>
          <t>SAFI</t>
        </is>
      </c>
      <c r="AK4755" t="n">
        <v>21</v>
      </c>
      <c r="AL4755" t="inlineStr">
        <is>
          <t>Miss Glam Damar</t>
        </is>
      </c>
      <c r="AM4755" t="n">
        <v>2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SAFI</t>
        </is>
      </c>
      <c r="B4756" s="2">
        <f>"8992856900455"</f>
        <v/>
      </c>
      <c r="C4756" t="inlineStr">
        <is>
          <t>SAFI White Natural Acne Clarifrying Cleanser Tea Tree Oil 100gr</t>
        </is>
      </c>
      <c r="D4756" t="inlineStr">
        <is>
          <t>Miss Glam Damar</t>
        </is>
      </c>
      <c r="E4756" t="n">
        <v>5</v>
      </c>
      <c r="F4756" t="n">
        <v>0.5551</v>
      </c>
      <c r="G4756" t="n">
        <v>2.73</v>
      </c>
      <c r="H4756" t="n">
        <v>2</v>
      </c>
      <c r="I4756" t="n">
        <v>7</v>
      </c>
      <c r="J4756" t="n">
        <v>3</v>
      </c>
      <c r="K4756" t="n">
        <v>0</v>
      </c>
      <c r="L4756" t="n">
        <v>23910</v>
      </c>
      <c r="M4756" t="n">
        <v>33900</v>
      </c>
      <c r="N4756" t="n">
        <v>91</v>
      </c>
      <c r="O4756" t="n">
        <v>0.91</v>
      </c>
      <c r="P4756" t="n">
        <v>1</v>
      </c>
      <c r="Q4756" t="n">
        <v>0.24</v>
      </c>
      <c r="R4756" t="n">
        <v>1</v>
      </c>
      <c r="S4756" t="n">
        <v>18817.89</v>
      </c>
      <c r="T4756" t="n">
        <v>18</v>
      </c>
      <c r="U4756" t="n">
        <v>20</v>
      </c>
      <c r="V4756" t="n">
        <v>30</v>
      </c>
      <c r="W4756" t="n">
        <v>17</v>
      </c>
      <c r="X4756" t="n">
        <v>9.007386056566384</v>
      </c>
      <c r="Y4756" t="n">
        <v>1</v>
      </c>
      <c r="Z4756" t="n">
        <v>12</v>
      </c>
      <c r="AA4756" t="n">
        <v>0</v>
      </c>
      <c r="AB4756" t="n">
        <v>12</v>
      </c>
      <c r="AC4756" t="n">
        <v>12</v>
      </c>
      <c r="AD4756" t="n">
        <v>0</v>
      </c>
      <c r="AE4756" t="n">
        <v>286920</v>
      </c>
      <c r="AF4756" t="n">
        <v>1802</v>
      </c>
      <c r="AG4756" t="n">
        <v>2044</v>
      </c>
      <c r="AH4756" t="inlineStr">
        <is>
          <t>CV. WINEMERI BERKARYA - PPN (PDG)</t>
        </is>
      </c>
      <c r="AI4756" t="n">
        <v>136</v>
      </c>
      <c r="AJ4756" t="inlineStr">
        <is>
          <t>SAFI</t>
        </is>
      </c>
      <c r="AK4756" t="n">
        <v>21</v>
      </c>
      <c r="AL4756" t="inlineStr">
        <is>
          <t>Miss Glam Damar</t>
        </is>
      </c>
      <c r="AM4756" t="n">
        <v>2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SAFI</t>
        </is>
      </c>
      <c r="B4757" s="2">
        <f>"8992856899667"</f>
        <v/>
      </c>
      <c r="C4757" t="inlineStr">
        <is>
          <t>SAFI White Natural Brightening Cleanser Naturally Bright Mangosteen Extract 100gr</t>
        </is>
      </c>
      <c r="D4757" t="inlineStr">
        <is>
          <t>Miss Glam Damar</t>
        </is>
      </c>
      <c r="E4757" t="n">
        <v>15</v>
      </c>
      <c r="F4757" t="n">
        <v>0.182</v>
      </c>
      <c r="G4757" t="n">
        <v>1.82</v>
      </c>
      <c r="H4757" t="n">
        <v>2</v>
      </c>
      <c r="I4757" t="n">
        <v>7</v>
      </c>
      <c r="J4757" t="n">
        <v>3</v>
      </c>
      <c r="K4757" t="n">
        <v>0</v>
      </c>
      <c r="L4757" t="n">
        <v>22276</v>
      </c>
      <c r="M4757" t="n">
        <v>30900</v>
      </c>
      <c r="N4757" t="n">
        <v>91</v>
      </c>
      <c r="O4757" t="n">
        <v>0.91</v>
      </c>
      <c r="P4757" t="n">
        <v>1</v>
      </c>
      <c r="Q4757" t="n">
        <v>0.25</v>
      </c>
      <c r="R4757" t="n">
        <v>3</v>
      </c>
      <c r="S4757" t="n">
        <v>5623.800000000001</v>
      </c>
      <c r="T4757" t="n">
        <v>13</v>
      </c>
      <c r="U4757" t="n">
        <v>14</v>
      </c>
      <c r="V4757" t="n">
        <v>30</v>
      </c>
      <c r="W4757" t="n">
        <v>6</v>
      </c>
      <c r="X4757" t="n">
        <v>82.41758241758241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1802</v>
      </c>
      <c r="AG4757" t="n">
        <v>2044</v>
      </c>
      <c r="AH4757" t="inlineStr">
        <is>
          <t>CV. WINEMERI BERKARYA - PPN (PDG)</t>
        </is>
      </c>
      <c r="AI4757" t="n">
        <v>136</v>
      </c>
      <c r="AJ4757" t="inlineStr">
        <is>
          <t>SAFI</t>
        </is>
      </c>
      <c r="AK4757" t="n">
        <v>21</v>
      </c>
      <c r="AL4757" t="inlineStr">
        <is>
          <t>Miss Glam Damar</t>
        </is>
      </c>
      <c r="AM4757" t="n">
        <v>2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SAFI</t>
        </is>
      </c>
      <c r="B4758" s="2">
        <f>"8992856899872"</f>
        <v/>
      </c>
      <c r="C4758" t="inlineStr">
        <is>
          <t>SAFI White Natural Brightening Cleanser Strawberry Lemon Extract 100gr</t>
        </is>
      </c>
      <c r="D4758" t="inlineStr">
        <is>
          <t>Miss Glam Damar</t>
        </is>
      </c>
      <c r="E4758" t="n">
        <v>10</v>
      </c>
      <c r="F4758" t="n">
        <v>0.1729</v>
      </c>
      <c r="G4758" t="n">
        <v>1.82</v>
      </c>
      <c r="H4758" t="n">
        <v>2</v>
      </c>
      <c r="I4758" t="n">
        <v>7</v>
      </c>
      <c r="J4758" t="n">
        <v>3</v>
      </c>
      <c r="K4758" t="n">
        <v>0</v>
      </c>
      <c r="L4758" t="n">
        <v>22154</v>
      </c>
      <c r="M4758" t="n">
        <v>30900</v>
      </c>
      <c r="N4758" t="n">
        <v>91</v>
      </c>
      <c r="O4758" t="n">
        <v>0.91</v>
      </c>
      <c r="P4758" t="n">
        <v>1</v>
      </c>
      <c r="Q4758" t="n">
        <v>0.14</v>
      </c>
      <c r="R4758" t="n">
        <v>2</v>
      </c>
      <c r="S4758" t="n">
        <v>5342.61</v>
      </c>
      <c r="T4758" t="n">
        <v>13</v>
      </c>
      <c r="U4758" t="n">
        <v>14</v>
      </c>
      <c r="V4758" t="n">
        <v>30</v>
      </c>
      <c r="W4758" t="n">
        <v>6</v>
      </c>
      <c r="X4758" t="n">
        <v>57.8368999421631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1802</v>
      </c>
      <c r="AG4758" t="n">
        <v>2044</v>
      </c>
      <c r="AH4758" t="inlineStr">
        <is>
          <t>CV. WINEMERI BERKARYA - PPN (PDG)</t>
        </is>
      </c>
      <c r="AI4758" t="n">
        <v>136</v>
      </c>
      <c r="AJ4758" t="inlineStr">
        <is>
          <t>SAFI</t>
        </is>
      </c>
      <c r="AK4758" t="n">
        <v>21</v>
      </c>
      <c r="AL4758" t="inlineStr">
        <is>
          <t>Miss Glam Damar</t>
        </is>
      </c>
      <c r="AM4758" t="n">
        <v>2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SALSA</t>
        </is>
      </c>
      <c r="B4759" s="2">
        <f>"8997207550549"</f>
        <v/>
      </c>
      <c r="C4759" t="inlineStr">
        <is>
          <t>SALSA 2in1 Waterprof Mascara + Eyeliner</t>
        </is>
      </c>
      <c r="D4759" t="inlineStr">
        <is>
          <t>Miss Glam Damar</t>
        </is>
      </c>
      <c r="E4759" t="n">
        <v>9</v>
      </c>
      <c r="F4759" t="n">
        <v>1.0192</v>
      </c>
      <c r="G4759" t="n">
        <v>5.46</v>
      </c>
      <c r="H4759" t="n">
        <v>2</v>
      </c>
      <c r="I4759" t="n">
        <v>16</v>
      </c>
      <c r="J4759" t="n">
        <v>3</v>
      </c>
      <c r="K4759" t="n">
        <v>0</v>
      </c>
      <c r="L4759" t="n">
        <v>18531</v>
      </c>
      <c r="M4759" t="n">
        <v>24000</v>
      </c>
      <c r="N4759" t="n">
        <v>91</v>
      </c>
      <c r="O4759" t="n">
        <v>0.91</v>
      </c>
      <c r="P4759" t="n">
        <v>1</v>
      </c>
      <c r="Q4759" t="n">
        <v>0.61</v>
      </c>
      <c r="R4759" t="n">
        <v>3</v>
      </c>
      <c r="S4759" t="n">
        <v>24460.8</v>
      </c>
      <c r="T4759" t="n">
        <v>86</v>
      </c>
      <c r="U4759" t="n">
        <v>89</v>
      </c>
      <c r="V4759" t="n">
        <v>30</v>
      </c>
      <c r="W4759" t="n">
        <v>31</v>
      </c>
      <c r="X4759" t="n">
        <v>8.830455259026687</v>
      </c>
      <c r="Y4759" t="n">
        <v>1</v>
      </c>
      <c r="Z4759" t="n">
        <v>22</v>
      </c>
      <c r="AA4759" t="n">
        <v>8</v>
      </c>
      <c r="AB4759" t="n">
        <v>14</v>
      </c>
      <c r="AC4759" t="n">
        <v>14</v>
      </c>
      <c r="AD4759" t="n">
        <v>148248</v>
      </c>
      <c r="AE4759" t="n">
        <v>259434</v>
      </c>
      <c r="AF4759" t="n">
        <v>689</v>
      </c>
      <c r="AG4759" t="n">
        <v>107</v>
      </c>
      <c r="AH4759" t="inlineStr">
        <is>
          <t xml:space="preserve">CV. DAHLIA - PPN (PDG) </t>
        </is>
      </c>
      <c r="AI4759" t="n">
        <v>387</v>
      </c>
      <c r="AJ4759" t="inlineStr">
        <is>
          <t>SALSA</t>
        </is>
      </c>
      <c r="AK4759" t="n">
        <v>21</v>
      </c>
      <c r="AL4759" t="inlineStr">
        <is>
          <t>Miss Glam Damar</t>
        </is>
      </c>
      <c r="AM4759" t="n">
        <v>2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SALSA</t>
        </is>
      </c>
      <c r="B4760" s="2">
        <f>"8997207558415"</f>
        <v/>
      </c>
      <c r="C4760" t="inlineStr">
        <is>
          <t>SALSA Abrakada Powder Brush 01</t>
        </is>
      </c>
      <c r="D4760" t="inlineStr">
        <is>
          <t>Miss Glam Damar</t>
        </is>
      </c>
      <c r="E4760" t="n">
        <v>11</v>
      </c>
      <c r="F4760" t="n">
        <v>1.3923</v>
      </c>
      <c r="G4760" t="n">
        <v>5.46</v>
      </c>
      <c r="H4760" t="n">
        <v>2</v>
      </c>
      <c r="I4760" t="n">
        <v>16</v>
      </c>
      <c r="J4760" t="n">
        <v>3</v>
      </c>
      <c r="K4760" t="n">
        <v>0</v>
      </c>
      <c r="L4760" t="n">
        <v>19380</v>
      </c>
      <c r="M4760" t="n">
        <v>23000</v>
      </c>
      <c r="N4760" t="n">
        <v>91</v>
      </c>
      <c r="O4760" t="n">
        <v>0.91</v>
      </c>
      <c r="P4760" t="n">
        <v>1</v>
      </c>
      <c r="Q4760" t="n">
        <v>1.05</v>
      </c>
      <c r="R4760" t="n">
        <v>5</v>
      </c>
      <c r="S4760" t="n">
        <v>32022.9</v>
      </c>
      <c r="T4760" t="n">
        <v>85</v>
      </c>
      <c r="U4760" t="n">
        <v>88</v>
      </c>
      <c r="V4760" t="n">
        <v>30</v>
      </c>
      <c r="W4760" t="n">
        <v>42</v>
      </c>
      <c r="X4760" t="n">
        <v>7.900596135890253</v>
      </c>
      <c r="Y4760" t="n">
        <v>1</v>
      </c>
      <c r="Z4760" t="n">
        <v>31</v>
      </c>
      <c r="AA4760" t="n">
        <v>12</v>
      </c>
      <c r="AB4760" t="n">
        <v>19</v>
      </c>
      <c r="AC4760" t="n">
        <v>19</v>
      </c>
      <c r="AD4760" t="n">
        <v>232560</v>
      </c>
      <c r="AE4760" t="n">
        <v>368220</v>
      </c>
      <c r="AF4760" t="n">
        <v>689</v>
      </c>
      <c r="AG4760" t="n">
        <v>107</v>
      </c>
      <c r="AH4760" t="inlineStr">
        <is>
          <t xml:space="preserve">CV. DAHLIA - PPN (PDG) </t>
        </is>
      </c>
      <c r="AI4760" t="n">
        <v>387</v>
      </c>
      <c r="AJ4760" t="inlineStr">
        <is>
          <t>SALSA</t>
        </is>
      </c>
      <c r="AK4760" t="n">
        <v>21</v>
      </c>
      <c r="AL4760" t="inlineStr">
        <is>
          <t>Miss Glam Damar</t>
        </is>
      </c>
      <c r="AM4760" t="n">
        <v>2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SALSA</t>
        </is>
      </c>
      <c r="B4761" s="2">
        <f>"8997207558422"</f>
        <v/>
      </c>
      <c r="C4761" t="inlineStr">
        <is>
          <t>SALSA Abrakada Shadow Brush 02</t>
        </is>
      </c>
      <c r="D4761" t="inlineStr">
        <is>
          <t>Miss Glam Damar</t>
        </is>
      </c>
      <c r="E4761" t="n">
        <v>15</v>
      </c>
      <c r="F4761" t="n">
        <v>0.3276</v>
      </c>
      <c r="G4761" t="n">
        <v>3.64</v>
      </c>
      <c r="H4761" t="n">
        <v>2</v>
      </c>
      <c r="I4761" t="n">
        <v>16</v>
      </c>
      <c r="J4761" t="n">
        <v>3</v>
      </c>
      <c r="K4761" t="n">
        <v>0</v>
      </c>
      <c r="L4761" t="n">
        <v>11730</v>
      </c>
      <c r="M4761" t="n">
        <v>14000</v>
      </c>
      <c r="N4761" t="n">
        <v>91</v>
      </c>
      <c r="O4761" t="n">
        <v>0.91</v>
      </c>
      <c r="P4761" t="n">
        <v>1</v>
      </c>
      <c r="Q4761" t="n">
        <v>0.36</v>
      </c>
      <c r="R4761" t="n">
        <v>3</v>
      </c>
      <c r="S4761" t="n">
        <v>4586.4</v>
      </c>
      <c r="T4761" t="n">
        <v>58</v>
      </c>
      <c r="U4761" t="n">
        <v>59</v>
      </c>
      <c r="V4761" t="n">
        <v>30</v>
      </c>
      <c r="W4761" t="n">
        <v>10</v>
      </c>
      <c r="X4761" t="n">
        <v>45.78754578754579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689</v>
      </c>
      <c r="AG4761" t="n">
        <v>107</v>
      </c>
      <c r="AH4761" t="inlineStr">
        <is>
          <t xml:space="preserve">CV. DAHLIA - PPN (PDG) </t>
        </is>
      </c>
      <c r="AI4761" t="n">
        <v>387</v>
      </c>
      <c r="AJ4761" t="inlineStr">
        <is>
          <t>SALSA</t>
        </is>
      </c>
      <c r="AK4761" t="n">
        <v>21</v>
      </c>
      <c r="AL4761" t="inlineStr">
        <is>
          <t>Miss Glam Damar</t>
        </is>
      </c>
      <c r="AM4761" t="n">
        <v>2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SALSA</t>
        </is>
      </c>
      <c r="B4762" s="2">
        <f>"8997207558439"</f>
        <v/>
      </c>
      <c r="C4762" t="inlineStr">
        <is>
          <t>SALSA Abrakadabra Brush 03</t>
        </is>
      </c>
      <c r="D4762" t="inlineStr">
        <is>
          <t>Miss Glam Damar</t>
        </is>
      </c>
      <c r="E4762" t="n">
        <v>12</v>
      </c>
      <c r="F4762" t="n">
        <v>0.1274</v>
      </c>
      <c r="G4762" t="n">
        <v>0.91</v>
      </c>
      <c r="H4762" t="n">
        <v>2</v>
      </c>
      <c r="I4762" t="n">
        <v>16</v>
      </c>
      <c r="J4762" t="n">
        <v>3</v>
      </c>
      <c r="K4762" t="n">
        <v>0</v>
      </c>
      <c r="L4762" t="n">
        <v>11730</v>
      </c>
      <c r="M4762" t="n">
        <v>14000</v>
      </c>
      <c r="N4762" t="n">
        <v>91</v>
      </c>
      <c r="O4762" t="n">
        <v>0.91</v>
      </c>
      <c r="P4762" t="n">
        <v>1</v>
      </c>
      <c r="Q4762" t="n">
        <v>0.07000000000000001</v>
      </c>
      <c r="R4762" t="n">
        <v>2</v>
      </c>
      <c r="S4762" t="n">
        <v>1783.6</v>
      </c>
      <c r="T4762" t="n">
        <v>15</v>
      </c>
      <c r="U4762" t="n">
        <v>16</v>
      </c>
      <c r="V4762" t="n">
        <v>30</v>
      </c>
      <c r="W4762" t="n">
        <v>4</v>
      </c>
      <c r="X4762" t="n">
        <v>94.19152276295132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689</v>
      </c>
      <c r="AG4762" t="n">
        <v>107</v>
      </c>
      <c r="AH4762" t="inlineStr">
        <is>
          <t xml:space="preserve">CV. DAHLIA - PPN (PDG) </t>
        </is>
      </c>
      <c r="AI4762" t="n">
        <v>387</v>
      </c>
      <c r="AJ4762" t="inlineStr">
        <is>
          <t>SALSA</t>
        </is>
      </c>
      <c r="AK4762" t="n">
        <v>21</v>
      </c>
      <c r="AL4762" t="inlineStr">
        <is>
          <t>Miss Glam Damar</t>
        </is>
      </c>
      <c r="AM4762" t="n">
        <v>2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SALSA</t>
        </is>
      </c>
      <c r="B4763" s="2">
        <f>"8997207558446"</f>
        <v/>
      </c>
      <c r="C4763" t="inlineStr">
        <is>
          <t>SALSA Abrakadabra Brush 04</t>
        </is>
      </c>
      <c r="D4763" t="inlineStr">
        <is>
          <t>Miss Glam Damar</t>
        </is>
      </c>
      <c r="E4763" t="n">
        <v>11</v>
      </c>
      <c r="F4763" t="n">
        <v>1.2194</v>
      </c>
      <c r="G4763" t="n">
        <v>4.55</v>
      </c>
      <c r="H4763" t="n">
        <v>2</v>
      </c>
      <c r="I4763" t="n">
        <v>16</v>
      </c>
      <c r="J4763" t="n">
        <v>3</v>
      </c>
      <c r="K4763" t="n">
        <v>0</v>
      </c>
      <c r="L4763" t="n">
        <v>15980</v>
      </c>
      <c r="M4763" t="n">
        <v>19000</v>
      </c>
      <c r="N4763" t="n">
        <v>91</v>
      </c>
      <c r="O4763" t="n">
        <v>0.91</v>
      </c>
      <c r="P4763" t="n">
        <v>1</v>
      </c>
      <c r="Q4763" t="n">
        <v>0.64</v>
      </c>
      <c r="R4763" t="n">
        <v>4</v>
      </c>
      <c r="S4763" t="n">
        <v>23168.6</v>
      </c>
      <c r="T4763" t="n">
        <v>71</v>
      </c>
      <c r="U4763" t="n">
        <v>74</v>
      </c>
      <c r="V4763" t="n">
        <v>30</v>
      </c>
      <c r="W4763" t="n">
        <v>37</v>
      </c>
      <c r="X4763" t="n">
        <v>9.020829916352303</v>
      </c>
      <c r="Y4763" t="n">
        <v>1</v>
      </c>
      <c r="Z4763" t="n">
        <v>26</v>
      </c>
      <c r="AA4763" t="n">
        <v>9</v>
      </c>
      <c r="AB4763" t="n">
        <v>17</v>
      </c>
      <c r="AC4763" t="n">
        <v>17</v>
      </c>
      <c r="AD4763" t="n">
        <v>143820</v>
      </c>
      <c r="AE4763" t="n">
        <v>271660</v>
      </c>
      <c r="AF4763" t="n">
        <v>689</v>
      </c>
      <c r="AG4763" t="n">
        <v>107</v>
      </c>
      <c r="AH4763" t="inlineStr">
        <is>
          <t xml:space="preserve">CV. DAHLIA - PPN (PDG) </t>
        </is>
      </c>
      <c r="AI4763" t="n">
        <v>387</v>
      </c>
      <c r="AJ4763" t="inlineStr">
        <is>
          <t>SALSA</t>
        </is>
      </c>
      <c r="AK4763" t="n">
        <v>21</v>
      </c>
      <c r="AL4763" t="inlineStr">
        <is>
          <t>Miss Glam Damar</t>
        </is>
      </c>
      <c r="AM4763" t="n">
        <v>2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SALSA</t>
        </is>
      </c>
      <c r="B4764" s="2">
        <f>"40200120027"</f>
        <v/>
      </c>
      <c r="C4764" t="inlineStr">
        <is>
          <t>SALSA Anti Dandruff Hair Serum 80ml</t>
        </is>
      </c>
      <c r="D4764" t="inlineStr">
        <is>
          <t>Miss Glam Damar</t>
        </is>
      </c>
      <c r="E4764" t="n">
        <v>8</v>
      </c>
      <c r="F4764" t="n">
        <v>0.2002</v>
      </c>
      <c r="G4764" t="n">
        <v>1.82</v>
      </c>
      <c r="H4764" t="n">
        <v>2</v>
      </c>
      <c r="I4764" t="n">
        <v>16</v>
      </c>
      <c r="J4764" t="n">
        <v>1</v>
      </c>
      <c r="K4764" t="n">
        <v>0</v>
      </c>
      <c r="L4764" t="n">
        <v>16839</v>
      </c>
      <c r="M4764" t="n">
        <v>20000</v>
      </c>
      <c r="N4764" t="n">
        <v>91</v>
      </c>
      <c r="O4764" t="n">
        <v>0.91</v>
      </c>
      <c r="P4764" t="n">
        <v>1</v>
      </c>
      <c r="Q4764" t="n">
        <v>0.2</v>
      </c>
      <c r="R4764" t="n">
        <v>2</v>
      </c>
      <c r="S4764" t="n">
        <v>4004</v>
      </c>
      <c r="T4764" t="n">
        <v>29</v>
      </c>
      <c r="U4764" t="n">
        <v>30</v>
      </c>
      <c r="V4764" t="n">
        <v>30</v>
      </c>
      <c r="W4764" t="n">
        <v>7</v>
      </c>
      <c r="X4764" t="n">
        <v>39.96003996003996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689</v>
      </c>
      <c r="AG4764" t="n">
        <v>107</v>
      </c>
      <c r="AH4764" t="inlineStr">
        <is>
          <t xml:space="preserve">CV. DAHLIA - PPN (PDG) </t>
        </is>
      </c>
      <c r="AI4764" t="n">
        <v>387</v>
      </c>
      <c r="AJ4764" t="inlineStr">
        <is>
          <t>SALSA</t>
        </is>
      </c>
      <c r="AK4764" t="n">
        <v>21</v>
      </c>
      <c r="AL4764" t="inlineStr">
        <is>
          <t>Miss Glam Damar</t>
        </is>
      </c>
      <c r="AM4764" t="n">
        <v>2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SALSA</t>
        </is>
      </c>
      <c r="B4765" s="2">
        <f>"8997207558071"</f>
        <v/>
      </c>
      <c r="C4765" t="inlineStr">
        <is>
          <t>SALSA B7 Biotin Nail Polish Serum 15ml</t>
        </is>
      </c>
      <c r="D4765" t="inlineStr">
        <is>
          <t>Miss Glam Damar</t>
        </is>
      </c>
      <c r="E4765" t="n">
        <v>9</v>
      </c>
      <c r="F4765" t="n">
        <v>0.182</v>
      </c>
      <c r="G4765" t="n">
        <v>1.82</v>
      </c>
      <c r="H4765" t="n">
        <v>2</v>
      </c>
      <c r="I4765" t="n">
        <v>16</v>
      </c>
      <c r="J4765" t="n">
        <v>3</v>
      </c>
      <c r="K4765" t="n">
        <v>0</v>
      </c>
      <c r="L4765" t="n">
        <v>15980</v>
      </c>
      <c r="M4765" t="n">
        <v>19000</v>
      </c>
      <c r="N4765" t="n">
        <v>91</v>
      </c>
      <c r="O4765" t="n">
        <v>0.91</v>
      </c>
      <c r="P4765" t="n">
        <v>1</v>
      </c>
      <c r="Q4765" t="n">
        <v>0.1</v>
      </c>
      <c r="R4765" t="n">
        <v>1</v>
      </c>
      <c r="S4765" t="n">
        <v>3458</v>
      </c>
      <c r="T4765" t="n">
        <v>29</v>
      </c>
      <c r="U4765" t="n">
        <v>30</v>
      </c>
      <c r="V4765" t="n">
        <v>30</v>
      </c>
      <c r="W4765" t="n">
        <v>6</v>
      </c>
      <c r="X4765" t="n">
        <v>49.45054945054945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689</v>
      </c>
      <c r="AG4765" t="n">
        <v>107</v>
      </c>
      <c r="AH4765" t="inlineStr">
        <is>
          <t xml:space="preserve">CV. DAHLIA - PPN (PDG) </t>
        </is>
      </c>
      <c r="AI4765" t="n">
        <v>387</v>
      </c>
      <c r="AJ4765" t="inlineStr">
        <is>
          <t>SALSA</t>
        </is>
      </c>
      <c r="AK4765" t="n">
        <v>21</v>
      </c>
      <c r="AL4765" t="inlineStr">
        <is>
          <t>Miss Glam Damar</t>
        </is>
      </c>
      <c r="AM4765" t="n">
        <v>2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SALSA</t>
        </is>
      </c>
      <c r="B4766" s="2">
        <f>"30200425344"</f>
        <v/>
      </c>
      <c r="C4766" t="inlineStr">
        <is>
          <t>SALSA Bleach Body Glow Serum Symphony 100gr</t>
        </is>
      </c>
      <c r="D4766" t="inlineStr">
        <is>
          <t>Miss Glam Damar</t>
        </is>
      </c>
      <c r="E4766" t="n">
        <v>5</v>
      </c>
      <c r="F4766" t="n">
        <v>0.2639</v>
      </c>
      <c r="G4766" t="n">
        <v>1.82</v>
      </c>
      <c r="H4766" t="n">
        <v>2</v>
      </c>
      <c r="I4766" t="n">
        <v>16</v>
      </c>
      <c r="J4766" t="n">
        <v>1</v>
      </c>
      <c r="K4766" t="n">
        <v>0</v>
      </c>
      <c r="L4766" t="n">
        <v>21250</v>
      </c>
      <c r="M4766" t="n">
        <v>25000</v>
      </c>
      <c r="N4766" t="n">
        <v>91</v>
      </c>
      <c r="O4766" t="n">
        <v>0.91</v>
      </c>
      <c r="P4766" t="n">
        <v>1</v>
      </c>
      <c r="Q4766" t="n">
        <v>0.03</v>
      </c>
      <c r="R4766" t="n">
        <v>1</v>
      </c>
      <c r="S4766" t="n">
        <v>6597.499999999999</v>
      </c>
      <c r="T4766" t="n">
        <v>29</v>
      </c>
      <c r="U4766" t="n">
        <v>30</v>
      </c>
      <c r="V4766" t="n">
        <v>30</v>
      </c>
      <c r="W4766" t="n">
        <v>8</v>
      </c>
      <c r="X4766" t="n">
        <v>18.9465706707086</v>
      </c>
      <c r="Y4766" t="n">
        <v>1</v>
      </c>
      <c r="Z4766" t="n">
        <v>3</v>
      </c>
      <c r="AA4766" t="n">
        <v>0</v>
      </c>
      <c r="AB4766" t="n">
        <v>3</v>
      </c>
      <c r="AC4766" t="n">
        <v>3</v>
      </c>
      <c r="AD4766" t="n">
        <v>0</v>
      </c>
      <c r="AE4766" t="n">
        <v>63750</v>
      </c>
      <c r="AF4766" t="n">
        <v>689</v>
      </c>
      <c r="AG4766" t="n">
        <v>107</v>
      </c>
      <c r="AH4766" t="inlineStr">
        <is>
          <t xml:space="preserve">CV. DAHLIA - PPN (PDG) </t>
        </is>
      </c>
      <c r="AI4766" t="n">
        <v>387</v>
      </c>
      <c r="AJ4766" t="inlineStr">
        <is>
          <t>SALSA</t>
        </is>
      </c>
      <c r="AK4766" t="n">
        <v>21</v>
      </c>
      <c r="AL4766" t="inlineStr">
        <is>
          <t>Miss Glam Damar</t>
        </is>
      </c>
      <c r="AM4766" t="n">
        <v>2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SALSA</t>
        </is>
      </c>
      <c r="B4767" s="2">
        <f>"20200333812"</f>
        <v/>
      </c>
      <c r="C4767" t="inlineStr">
        <is>
          <t>SALSA Bold Eyeliner 3ml</t>
        </is>
      </c>
      <c r="D4767" t="inlineStr">
        <is>
          <t>Miss Glam Damar</t>
        </is>
      </c>
      <c r="E4767" t="n">
        <v>12</v>
      </c>
      <c r="F4767" t="n">
        <v>1.001</v>
      </c>
      <c r="G4767" t="n">
        <v>3.64</v>
      </c>
      <c r="H4767" t="n">
        <v>2</v>
      </c>
      <c r="I4767" t="n">
        <v>16</v>
      </c>
      <c r="J4767" t="n">
        <v>1</v>
      </c>
      <c r="K4767" t="n">
        <v>0</v>
      </c>
      <c r="L4767" t="n">
        <v>15300</v>
      </c>
      <c r="M4767" t="n">
        <v>18000</v>
      </c>
      <c r="N4767" t="n">
        <v>91</v>
      </c>
      <c r="O4767" t="n">
        <v>0.91</v>
      </c>
      <c r="P4767" t="n">
        <v>1</v>
      </c>
      <c r="Q4767" t="n">
        <v>1.07</v>
      </c>
      <c r="R4767" t="n">
        <v>7</v>
      </c>
      <c r="S4767" t="n">
        <v>18018</v>
      </c>
      <c r="T4767" t="n">
        <v>57</v>
      </c>
      <c r="U4767" t="n">
        <v>60</v>
      </c>
      <c r="V4767" t="n">
        <v>30</v>
      </c>
      <c r="W4767" t="n">
        <v>31</v>
      </c>
      <c r="X4767" t="n">
        <v>11.98801198801199</v>
      </c>
      <c r="Y4767" t="n">
        <v>1</v>
      </c>
      <c r="Z4767" t="n">
        <v>19</v>
      </c>
      <c r="AA4767" t="n">
        <v>5</v>
      </c>
      <c r="AB4767" t="n">
        <v>14</v>
      </c>
      <c r="AC4767" t="n">
        <v>14</v>
      </c>
      <c r="AD4767" t="n">
        <v>76500</v>
      </c>
      <c r="AE4767" t="n">
        <v>214200</v>
      </c>
      <c r="AF4767" t="n">
        <v>689</v>
      </c>
      <c r="AG4767" t="n">
        <v>107</v>
      </c>
      <c r="AH4767" t="inlineStr">
        <is>
          <t xml:space="preserve">CV. DAHLIA - PPN (PDG) </t>
        </is>
      </c>
      <c r="AI4767" t="n">
        <v>387</v>
      </c>
      <c r="AJ4767" t="inlineStr">
        <is>
          <t>SALSA</t>
        </is>
      </c>
      <c r="AK4767" t="n">
        <v>21</v>
      </c>
      <c r="AL4767" t="inlineStr">
        <is>
          <t>Miss Glam Damar</t>
        </is>
      </c>
      <c r="AM4767" t="n">
        <v>2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SALSA</t>
        </is>
      </c>
      <c r="B4768" s="2">
        <f>"8997207550815"</f>
        <v/>
      </c>
      <c r="C4768" t="inlineStr">
        <is>
          <t>SALSA Cover Me BB Cushion 02 Cashew 20gr</t>
        </is>
      </c>
      <c r="D4768" t="inlineStr">
        <is>
          <t>Miss Glam Damar</t>
        </is>
      </c>
      <c r="E4768" t="n">
        <v>5</v>
      </c>
      <c r="F4768" t="n">
        <v>0.0182</v>
      </c>
      <c r="G4768" t="n">
        <v>0.91</v>
      </c>
      <c r="H4768" t="n">
        <v>2</v>
      </c>
      <c r="I4768" t="n">
        <v>16</v>
      </c>
      <c r="J4768" t="n">
        <v>3</v>
      </c>
      <c r="K4768" t="n">
        <v>0</v>
      </c>
      <c r="L4768" t="n">
        <v>56100</v>
      </c>
      <c r="M4768" t="n">
        <v>60000</v>
      </c>
      <c r="N4768" t="n">
        <v>91</v>
      </c>
      <c r="O4768" t="n">
        <v>0.91</v>
      </c>
      <c r="P4768" t="n">
        <v>1</v>
      </c>
      <c r="Q4768" t="n">
        <v>0.02</v>
      </c>
      <c r="R4768" t="n">
        <v>1</v>
      </c>
      <c r="S4768" t="n">
        <v>1092</v>
      </c>
      <c r="T4768" t="n">
        <v>15</v>
      </c>
      <c r="U4768" t="n">
        <v>16</v>
      </c>
      <c r="V4768" t="n">
        <v>30</v>
      </c>
      <c r="W4768" t="n">
        <v>1</v>
      </c>
      <c r="X4768" t="n">
        <v>274.7252747252747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689</v>
      </c>
      <c r="AG4768" t="n">
        <v>107</v>
      </c>
      <c r="AH4768" t="inlineStr">
        <is>
          <t xml:space="preserve">CV. DAHLIA - PPN (PDG) </t>
        </is>
      </c>
      <c r="AI4768" t="n">
        <v>387</v>
      </c>
      <c r="AJ4768" t="inlineStr">
        <is>
          <t>SALSA</t>
        </is>
      </c>
      <c r="AK4768" t="n">
        <v>21</v>
      </c>
      <c r="AL4768" t="inlineStr">
        <is>
          <t>Miss Glam Damar</t>
        </is>
      </c>
      <c r="AM4768" t="n">
        <v>2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SALSA</t>
        </is>
      </c>
      <c r="B4769" s="2">
        <f>"8997207557388"</f>
        <v/>
      </c>
      <c r="C4769" t="inlineStr">
        <is>
          <t>SALSA Cover Me BB Cushion Reffil 01 Ivory 20gr</t>
        </is>
      </c>
      <c r="D4769" t="inlineStr">
        <is>
          <t>Miss Glam Damar</t>
        </is>
      </c>
      <c r="E4769" t="n">
        <v>2</v>
      </c>
      <c r="F4769" t="n">
        <v>0.06370000000000001</v>
      </c>
      <c r="G4769" t="n">
        <v>0.91</v>
      </c>
      <c r="H4769" t="n">
        <v>2</v>
      </c>
      <c r="I4769" t="n">
        <v>16</v>
      </c>
      <c r="J4769" t="n">
        <v>3</v>
      </c>
      <c r="K4769" t="n">
        <v>0</v>
      </c>
      <c r="L4769" t="n">
        <v>30600</v>
      </c>
      <c r="M4769" t="n">
        <v>36000</v>
      </c>
      <c r="N4769" t="n">
        <v>91</v>
      </c>
      <c r="O4769" t="n">
        <v>0.91</v>
      </c>
      <c r="P4769" t="n">
        <v>1</v>
      </c>
      <c r="Q4769" t="n">
        <v>0.05</v>
      </c>
      <c r="R4769" t="n">
        <v>1</v>
      </c>
      <c r="S4769" t="n">
        <v>2293.2</v>
      </c>
      <c r="T4769" t="n">
        <v>15</v>
      </c>
      <c r="U4769" t="n">
        <v>16</v>
      </c>
      <c r="V4769" t="n">
        <v>30</v>
      </c>
      <c r="W4769" t="n">
        <v>2</v>
      </c>
      <c r="X4769" t="n">
        <v>31.39717425431711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689</v>
      </c>
      <c r="AG4769" t="n">
        <v>107</v>
      </c>
      <c r="AH4769" t="inlineStr">
        <is>
          <t xml:space="preserve">CV. DAHLIA - PPN (PDG) </t>
        </is>
      </c>
      <c r="AI4769" t="n">
        <v>387</v>
      </c>
      <c r="AJ4769" t="inlineStr">
        <is>
          <t>SALSA</t>
        </is>
      </c>
      <c r="AK4769" t="n">
        <v>21</v>
      </c>
      <c r="AL4769" t="inlineStr">
        <is>
          <t>Miss Glam Damar</t>
        </is>
      </c>
      <c r="AM4769" t="n">
        <v>2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SALSA</t>
        </is>
      </c>
      <c r="B4770" s="2">
        <f>"8997207557395"</f>
        <v/>
      </c>
      <c r="C4770" t="inlineStr">
        <is>
          <t>SALSA Cover Me BB Cushion Reffil 02 Cashew 20gr</t>
        </is>
      </c>
      <c r="D4770" t="inlineStr">
        <is>
          <t>Miss Glam Damar</t>
        </is>
      </c>
      <c r="E4770" t="n">
        <v>0</v>
      </c>
      <c r="F4770" t="n">
        <v>0.0273</v>
      </c>
      <c r="G4770" t="n">
        <v>0.91</v>
      </c>
      <c r="H4770" t="n">
        <v>2</v>
      </c>
      <c r="I4770" t="n">
        <v>16</v>
      </c>
      <c r="J4770" t="n">
        <v>3</v>
      </c>
      <c r="K4770" t="n">
        <v>0</v>
      </c>
      <c r="L4770" t="n">
        <v>30600</v>
      </c>
      <c r="M4770" t="n">
        <v>36000</v>
      </c>
      <c r="N4770" t="n">
        <v>91</v>
      </c>
      <c r="O4770" t="n">
        <v>0.91</v>
      </c>
      <c r="P4770" t="n">
        <v>1</v>
      </c>
      <c r="Q4770" t="n">
        <v>0.03</v>
      </c>
      <c r="R4770" t="n">
        <v>1</v>
      </c>
      <c r="S4770" t="n">
        <v>982.8000000000001</v>
      </c>
      <c r="T4770" t="n">
        <v>15</v>
      </c>
      <c r="U4770" t="n">
        <v>16</v>
      </c>
      <c r="V4770" t="n">
        <v>30</v>
      </c>
      <c r="W4770" t="n">
        <v>1</v>
      </c>
      <c r="X4770" t="n">
        <v>0</v>
      </c>
      <c r="Y4770" t="n">
        <v>1</v>
      </c>
      <c r="Z4770" t="n">
        <v>1</v>
      </c>
      <c r="AA4770" t="n">
        <v>1</v>
      </c>
      <c r="AB4770" t="n">
        <v>0</v>
      </c>
      <c r="AC4770" t="n">
        <v>0</v>
      </c>
      <c r="AD4770" t="n">
        <v>30600</v>
      </c>
      <c r="AE4770" t="n">
        <v>0</v>
      </c>
      <c r="AF4770" t="n">
        <v>689</v>
      </c>
      <c r="AG4770" t="n">
        <v>107</v>
      </c>
      <c r="AH4770" t="inlineStr">
        <is>
          <t xml:space="preserve">CV. DAHLIA - PPN (PDG) </t>
        </is>
      </c>
      <c r="AI4770" t="n">
        <v>387</v>
      </c>
      <c r="AJ4770" t="inlineStr">
        <is>
          <t>SALSA</t>
        </is>
      </c>
      <c r="AK4770" t="n">
        <v>21</v>
      </c>
      <c r="AL4770" t="inlineStr">
        <is>
          <t>Miss Glam Damar</t>
        </is>
      </c>
      <c r="AM4770" t="n">
        <v>2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SALSA</t>
        </is>
      </c>
      <c r="B4771" s="2">
        <f>"8997207557975"</f>
        <v/>
      </c>
      <c r="C4771" t="inlineStr">
        <is>
          <t>SALSA Dandelion Eau De Parfume 60 ml</t>
        </is>
      </c>
      <c r="D4771" t="inlineStr">
        <is>
          <t>Miss Glam Damar</t>
        </is>
      </c>
      <c r="E4771" t="n">
        <v>0</v>
      </c>
      <c r="F4771" t="n">
        <v>0.0728</v>
      </c>
      <c r="G4771" t="n">
        <v>1.82</v>
      </c>
      <c r="H4771" t="n">
        <v>2</v>
      </c>
      <c r="I4771" t="n">
        <v>16</v>
      </c>
      <c r="J4771" t="n">
        <v>3</v>
      </c>
      <c r="K4771" t="n">
        <v>0</v>
      </c>
      <c r="L4771" t="n">
        <v>27200</v>
      </c>
      <c r="M4771" t="n">
        <v>32000</v>
      </c>
      <c r="N4771" t="n">
        <v>91</v>
      </c>
      <c r="O4771" t="n">
        <v>0.91</v>
      </c>
      <c r="P4771" t="n">
        <v>1</v>
      </c>
      <c r="Q4771" t="n">
        <v>0.07000000000000001</v>
      </c>
      <c r="R4771" t="n">
        <v>1</v>
      </c>
      <c r="S4771" t="n">
        <v>2329.6</v>
      </c>
      <c r="T4771" t="n">
        <v>29</v>
      </c>
      <c r="U4771" t="n">
        <v>30</v>
      </c>
      <c r="V4771" t="n">
        <v>30</v>
      </c>
      <c r="W4771" t="n">
        <v>3</v>
      </c>
      <c r="X4771" t="n">
        <v>0</v>
      </c>
      <c r="Y4771" t="n">
        <v>1</v>
      </c>
      <c r="Z4771" t="n">
        <v>3</v>
      </c>
      <c r="AA4771" t="n">
        <v>2</v>
      </c>
      <c r="AB4771" t="n">
        <v>1</v>
      </c>
      <c r="AC4771" t="n">
        <v>3</v>
      </c>
      <c r="AD4771" t="n">
        <v>54400</v>
      </c>
      <c r="AE4771" t="n">
        <v>81600</v>
      </c>
      <c r="AF4771" t="n">
        <v>689</v>
      </c>
      <c r="AG4771" t="n">
        <v>107</v>
      </c>
      <c r="AH4771" t="inlineStr">
        <is>
          <t xml:space="preserve">CV. DAHLIA - PPN (PDG) </t>
        </is>
      </c>
      <c r="AI4771" t="n">
        <v>387</v>
      </c>
      <c r="AJ4771" t="inlineStr">
        <is>
          <t>SALSA</t>
        </is>
      </c>
      <c r="AK4771" t="n">
        <v>21</v>
      </c>
      <c r="AL4771" t="inlineStr">
        <is>
          <t>Miss Glam Damar</t>
        </is>
      </c>
      <c r="AM4771" t="n">
        <v>2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SALSA</t>
        </is>
      </c>
      <c r="B4772" s="2">
        <f>"30400614646"</f>
        <v/>
      </c>
      <c r="C4772" t="inlineStr">
        <is>
          <t>SALSA Deodorant Spray Cotton 80ml</t>
        </is>
      </c>
      <c r="D4772" t="inlineStr">
        <is>
          <t>Miss Glam Damar</t>
        </is>
      </c>
      <c r="E4772" t="n">
        <v>2</v>
      </c>
      <c r="F4772" t="n">
        <v>0.1274</v>
      </c>
      <c r="G4772" t="n">
        <v>1.82</v>
      </c>
      <c r="H4772" t="n">
        <v>2</v>
      </c>
      <c r="I4772" t="n">
        <v>16</v>
      </c>
      <c r="J4772" t="n">
        <v>1</v>
      </c>
      <c r="K4772" t="n">
        <v>0</v>
      </c>
      <c r="L4772" t="n">
        <v>23800</v>
      </c>
      <c r="M4772" t="n">
        <v>28000</v>
      </c>
      <c r="N4772" t="n">
        <v>91</v>
      </c>
      <c r="O4772" t="n">
        <v>0.91</v>
      </c>
      <c r="P4772" t="n">
        <v>1</v>
      </c>
      <c r="Q4772" t="n">
        <v>0.02</v>
      </c>
      <c r="R4772" t="n">
        <v>1</v>
      </c>
      <c r="S4772" t="n">
        <v>3567.2</v>
      </c>
      <c r="T4772" t="n">
        <v>29</v>
      </c>
      <c r="U4772" t="n">
        <v>30</v>
      </c>
      <c r="V4772" t="n">
        <v>30</v>
      </c>
      <c r="W4772" t="n">
        <v>4</v>
      </c>
      <c r="X4772" t="n">
        <v>15.69858712715855</v>
      </c>
      <c r="Y4772" t="n">
        <v>1</v>
      </c>
      <c r="Z4772" t="n">
        <v>2</v>
      </c>
      <c r="AA4772" t="n">
        <v>1</v>
      </c>
      <c r="AB4772" t="n">
        <v>1</v>
      </c>
      <c r="AC4772" t="n">
        <v>1</v>
      </c>
      <c r="AD4772" t="n">
        <v>23800</v>
      </c>
      <c r="AE4772" t="n">
        <v>23800</v>
      </c>
      <c r="AF4772" t="n">
        <v>689</v>
      </c>
      <c r="AG4772" t="n">
        <v>107</v>
      </c>
      <c r="AH4772" t="inlineStr">
        <is>
          <t xml:space="preserve">CV. DAHLIA - PPN (PDG) </t>
        </is>
      </c>
      <c r="AI4772" t="n">
        <v>387</v>
      </c>
      <c r="AJ4772" t="inlineStr">
        <is>
          <t>SALSA</t>
        </is>
      </c>
      <c r="AK4772" t="n">
        <v>21</v>
      </c>
      <c r="AL4772" t="inlineStr">
        <is>
          <t>Miss Glam Damar</t>
        </is>
      </c>
      <c r="AM4772" t="n">
        <v>2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SALSA</t>
        </is>
      </c>
      <c r="B4773" s="2">
        <f>"30400614852"</f>
        <v/>
      </c>
      <c r="C4773" t="inlineStr">
        <is>
          <t>SALSA Deodorant Spray Match 80ml</t>
        </is>
      </c>
      <c r="D4773" t="inlineStr">
        <is>
          <t>Miss Glam Damar</t>
        </is>
      </c>
      <c r="E4773" t="n">
        <v>2</v>
      </c>
      <c r="F4773" t="n">
        <v>0.09100000000000001</v>
      </c>
      <c r="G4773" t="n">
        <v>0.91</v>
      </c>
      <c r="H4773" t="n">
        <v>2</v>
      </c>
      <c r="I4773" t="n">
        <v>16</v>
      </c>
      <c r="J4773" t="n">
        <v>1</v>
      </c>
      <c r="K4773" t="n">
        <v>0</v>
      </c>
      <c r="L4773" t="n">
        <v>23800</v>
      </c>
      <c r="M4773" t="n">
        <v>28000</v>
      </c>
      <c r="N4773" t="n">
        <v>91</v>
      </c>
      <c r="O4773" t="n">
        <v>0.91</v>
      </c>
      <c r="P4773" t="n">
        <v>1</v>
      </c>
      <c r="Q4773" t="n">
        <v>0.02</v>
      </c>
      <c r="R4773" t="n">
        <v>1</v>
      </c>
      <c r="S4773" t="n">
        <v>2548</v>
      </c>
      <c r="T4773" t="n">
        <v>15</v>
      </c>
      <c r="U4773" t="n">
        <v>16</v>
      </c>
      <c r="V4773" t="n">
        <v>30</v>
      </c>
      <c r="W4773" t="n">
        <v>3</v>
      </c>
      <c r="X4773" t="n">
        <v>21.97802197802197</v>
      </c>
      <c r="Y4773" t="n">
        <v>1</v>
      </c>
      <c r="Z4773" t="n">
        <v>1</v>
      </c>
      <c r="AA4773" t="n">
        <v>0</v>
      </c>
      <c r="AB4773" t="n">
        <v>1</v>
      </c>
      <c r="AC4773" t="n">
        <v>1</v>
      </c>
      <c r="AD4773" t="n">
        <v>0</v>
      </c>
      <c r="AE4773" t="n">
        <v>23800</v>
      </c>
      <c r="AF4773" t="n">
        <v>689</v>
      </c>
      <c r="AG4773" t="n">
        <v>107</v>
      </c>
      <c r="AH4773" t="inlineStr">
        <is>
          <t xml:space="preserve">CV. DAHLIA - PPN (PDG) </t>
        </is>
      </c>
      <c r="AI4773" t="n">
        <v>387</v>
      </c>
      <c r="AJ4773" t="inlineStr">
        <is>
          <t>SALSA</t>
        </is>
      </c>
      <c r="AK4773" t="n">
        <v>21</v>
      </c>
      <c r="AL4773" t="inlineStr">
        <is>
          <t>Miss Glam Damar</t>
        </is>
      </c>
      <c r="AM4773" t="n">
        <v>2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SALSA</t>
        </is>
      </c>
      <c r="B4774" s="2">
        <f>"30400614719"</f>
        <v/>
      </c>
      <c r="C4774" t="inlineStr">
        <is>
          <t>SALSA Deodorant Spray Sweet X Pink 80ml</t>
        </is>
      </c>
      <c r="D4774" t="inlineStr">
        <is>
          <t>Miss Glam Damar</t>
        </is>
      </c>
      <c r="E4774" t="n">
        <v>6</v>
      </c>
      <c r="F4774" t="n">
        <v>0.2275</v>
      </c>
      <c r="G4774" t="n">
        <v>2.73</v>
      </c>
      <c r="H4774" t="n">
        <v>2</v>
      </c>
      <c r="I4774" t="n">
        <v>16</v>
      </c>
      <c r="J4774" t="n">
        <v>1</v>
      </c>
      <c r="K4774" t="n">
        <v>0</v>
      </c>
      <c r="L4774" t="n">
        <v>23800</v>
      </c>
      <c r="M4774" t="n">
        <v>28000</v>
      </c>
      <c r="N4774" t="n">
        <v>91</v>
      </c>
      <c r="O4774" t="n">
        <v>0.91</v>
      </c>
      <c r="P4774" t="n">
        <v>1</v>
      </c>
      <c r="Q4774" t="n">
        <v>0.08</v>
      </c>
      <c r="R4774" t="n">
        <v>2</v>
      </c>
      <c r="S4774" t="n">
        <v>6370</v>
      </c>
      <c r="T4774" t="n">
        <v>44</v>
      </c>
      <c r="U4774" t="n">
        <v>45</v>
      </c>
      <c r="V4774" t="n">
        <v>30</v>
      </c>
      <c r="W4774" t="n">
        <v>7</v>
      </c>
      <c r="X4774" t="n">
        <v>26.37362637362637</v>
      </c>
      <c r="Y4774" t="n">
        <v>1</v>
      </c>
      <c r="Z4774" t="n">
        <v>1</v>
      </c>
      <c r="AA4774" t="n">
        <v>0</v>
      </c>
      <c r="AB4774" t="n">
        <v>1</v>
      </c>
      <c r="AC4774" t="n">
        <v>1</v>
      </c>
      <c r="AD4774" t="n">
        <v>0</v>
      </c>
      <c r="AE4774" t="n">
        <v>23800</v>
      </c>
      <c r="AF4774" t="n">
        <v>689</v>
      </c>
      <c r="AG4774" t="n">
        <v>107</v>
      </c>
      <c r="AH4774" t="inlineStr">
        <is>
          <t xml:space="preserve">CV. DAHLIA - PPN (PDG) </t>
        </is>
      </c>
      <c r="AI4774" t="n">
        <v>387</v>
      </c>
      <c r="AJ4774" t="inlineStr">
        <is>
          <t>SALSA</t>
        </is>
      </c>
      <c r="AK4774" t="n">
        <v>21</v>
      </c>
      <c r="AL4774" t="inlineStr">
        <is>
          <t>Miss Glam Damar</t>
        </is>
      </c>
      <c r="AM4774" t="n">
        <v>2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SALSA</t>
        </is>
      </c>
      <c r="B4775" s="2">
        <f>"40200120109"</f>
        <v/>
      </c>
      <c r="C4775" t="inlineStr">
        <is>
          <t>SALSA Dry Scalp Hair Serum 80ml</t>
        </is>
      </c>
      <c r="D4775" t="inlineStr">
        <is>
          <t>Miss Glam Damar</t>
        </is>
      </c>
      <c r="E4775" t="n">
        <v>3</v>
      </c>
      <c r="F4775" t="n">
        <v>0.2275</v>
      </c>
      <c r="G4775" t="n">
        <v>1.82</v>
      </c>
      <c r="H4775" t="n">
        <v>2</v>
      </c>
      <c r="I4775" t="n">
        <v>16</v>
      </c>
      <c r="J4775" t="n">
        <v>1</v>
      </c>
      <c r="K4775" t="n">
        <v>0</v>
      </c>
      <c r="L4775" t="n">
        <v>16433</v>
      </c>
      <c r="M4775" t="n">
        <v>19500</v>
      </c>
      <c r="N4775" t="n">
        <v>91</v>
      </c>
      <c r="O4775" t="n">
        <v>0.91</v>
      </c>
      <c r="P4775" t="n">
        <v>1</v>
      </c>
      <c r="Q4775" t="n">
        <v>0.15</v>
      </c>
      <c r="R4775" t="n">
        <v>2</v>
      </c>
      <c r="S4775" t="n">
        <v>4436.25</v>
      </c>
      <c r="T4775" t="n">
        <v>29</v>
      </c>
      <c r="U4775" t="n">
        <v>30</v>
      </c>
      <c r="V4775" t="n">
        <v>30</v>
      </c>
      <c r="W4775" t="n">
        <v>7</v>
      </c>
      <c r="X4775" t="n">
        <v>13.18681318681319</v>
      </c>
      <c r="Y4775" t="n">
        <v>1</v>
      </c>
      <c r="Z4775" t="n">
        <v>4</v>
      </c>
      <c r="AA4775" t="n">
        <v>1</v>
      </c>
      <c r="AB4775" t="n">
        <v>3</v>
      </c>
      <c r="AC4775" t="n">
        <v>3</v>
      </c>
      <c r="AD4775" t="n">
        <v>16433</v>
      </c>
      <c r="AE4775" t="n">
        <v>49299</v>
      </c>
      <c r="AF4775" t="n">
        <v>689</v>
      </c>
      <c r="AG4775" t="n">
        <v>107</v>
      </c>
      <c r="AH4775" t="inlineStr">
        <is>
          <t xml:space="preserve">CV. DAHLIA - PPN (PDG) </t>
        </is>
      </c>
      <c r="AI4775" t="n">
        <v>387</v>
      </c>
      <c r="AJ4775" t="inlineStr">
        <is>
          <t>SALSA</t>
        </is>
      </c>
      <c r="AK4775" t="n">
        <v>21</v>
      </c>
      <c r="AL4775" t="inlineStr">
        <is>
          <t>Miss Glam Damar</t>
        </is>
      </c>
      <c r="AM4775" t="n">
        <v>2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SALSA</t>
        </is>
      </c>
      <c r="B4776" s="2">
        <f>"8995028200490"</f>
        <v/>
      </c>
      <c r="C4776" t="inlineStr">
        <is>
          <t>SALSA Dynamatte Lip Cream 02 5gr</t>
        </is>
      </c>
      <c r="D4776" t="inlineStr">
        <is>
          <t>Miss Glam Damar</t>
        </is>
      </c>
      <c r="E4776" t="n">
        <v>7</v>
      </c>
      <c r="F4776" t="n">
        <v>0.1729</v>
      </c>
      <c r="G4776" t="n">
        <v>2.73</v>
      </c>
      <c r="H4776" t="n">
        <v>2</v>
      </c>
      <c r="I4776" t="n">
        <v>16</v>
      </c>
      <c r="J4776" t="n">
        <v>3</v>
      </c>
      <c r="K4776" t="n">
        <v>0</v>
      </c>
      <c r="L4776" t="n">
        <v>17642</v>
      </c>
      <c r="M4776" t="n">
        <v>21000</v>
      </c>
      <c r="N4776" t="n">
        <v>91</v>
      </c>
      <c r="O4776" t="n">
        <v>0.91</v>
      </c>
      <c r="P4776" t="n">
        <v>1</v>
      </c>
      <c r="Q4776" t="n">
        <v>0.2</v>
      </c>
      <c r="R4776" t="n">
        <v>1</v>
      </c>
      <c r="S4776" t="n">
        <v>3630.9</v>
      </c>
      <c r="T4776" t="n">
        <v>44</v>
      </c>
      <c r="U4776" t="n">
        <v>45</v>
      </c>
      <c r="V4776" t="n">
        <v>30</v>
      </c>
      <c r="W4776" t="n">
        <v>6</v>
      </c>
      <c r="X4776" t="n">
        <v>40.48582995951417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689</v>
      </c>
      <c r="AG4776" t="n">
        <v>107</v>
      </c>
      <c r="AH4776" t="inlineStr">
        <is>
          <t xml:space="preserve">CV. DAHLIA - PPN (PDG) </t>
        </is>
      </c>
      <c r="AI4776" t="n">
        <v>387</v>
      </c>
      <c r="AJ4776" t="inlineStr">
        <is>
          <t>SALSA</t>
        </is>
      </c>
      <c r="AK4776" t="n">
        <v>21</v>
      </c>
      <c r="AL4776" t="inlineStr">
        <is>
          <t>Miss Glam Damar</t>
        </is>
      </c>
      <c r="AM4776" t="n">
        <v>2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SALSA</t>
        </is>
      </c>
      <c r="B4777" s="2">
        <f>"8995028209646"</f>
        <v/>
      </c>
      <c r="C4777" t="inlineStr">
        <is>
          <t>SALSA Dynamatte Lip Cream 03 5gr</t>
        </is>
      </c>
      <c r="D4777" t="inlineStr">
        <is>
          <t>Miss Glam Damar</t>
        </is>
      </c>
      <c r="E4777" t="n">
        <v>5</v>
      </c>
      <c r="F4777" t="n">
        <v>0.0182</v>
      </c>
      <c r="G4777" t="n">
        <v>0.91</v>
      </c>
      <c r="H4777" t="n">
        <v>2</v>
      </c>
      <c r="I4777" t="n">
        <v>16</v>
      </c>
      <c r="J4777" t="n">
        <v>3</v>
      </c>
      <c r="K4777" t="n">
        <v>0</v>
      </c>
      <c r="L4777" t="n">
        <v>17583</v>
      </c>
      <c r="M4777" t="n">
        <v>21000</v>
      </c>
      <c r="N4777" t="n">
        <v>91</v>
      </c>
      <c r="O4777" t="n">
        <v>0.91</v>
      </c>
      <c r="P4777" t="n">
        <v>1</v>
      </c>
      <c r="Q4777" t="n">
        <v>0.02</v>
      </c>
      <c r="R4777" t="n">
        <v>1</v>
      </c>
      <c r="S4777" t="n">
        <v>382.2</v>
      </c>
      <c r="T4777" t="n">
        <v>15</v>
      </c>
      <c r="U4777" t="n">
        <v>16</v>
      </c>
      <c r="V4777" t="n">
        <v>30</v>
      </c>
      <c r="W4777" t="n">
        <v>1</v>
      </c>
      <c r="X4777" t="n">
        <v>274.7252747252747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689</v>
      </c>
      <c r="AG4777" t="n">
        <v>107</v>
      </c>
      <c r="AH4777" t="inlineStr">
        <is>
          <t xml:space="preserve">CV. DAHLIA - PPN (PDG) </t>
        </is>
      </c>
      <c r="AI4777" t="n">
        <v>387</v>
      </c>
      <c r="AJ4777" t="inlineStr">
        <is>
          <t>SALSA</t>
        </is>
      </c>
      <c r="AK4777" t="n">
        <v>21</v>
      </c>
      <c r="AL4777" t="inlineStr">
        <is>
          <t>Miss Glam Damar</t>
        </is>
      </c>
      <c r="AM4777" t="n">
        <v>2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SALSA</t>
        </is>
      </c>
      <c r="B4778" s="2">
        <f>"8995028209349"</f>
        <v/>
      </c>
      <c r="C4778" t="inlineStr">
        <is>
          <t>SALSA Dynamatte Lip Cream 04 5gr</t>
        </is>
      </c>
      <c r="D4778" t="inlineStr">
        <is>
          <t>Miss Glam Damar</t>
        </is>
      </c>
      <c r="E4778" t="n">
        <v>4</v>
      </c>
      <c r="F4778" t="n">
        <v>0.1456</v>
      </c>
      <c r="G4778" t="n">
        <v>1.82</v>
      </c>
      <c r="H4778" t="n">
        <v>2</v>
      </c>
      <c r="I4778" t="n">
        <v>16</v>
      </c>
      <c r="J4778" t="n">
        <v>3</v>
      </c>
      <c r="K4778" t="n">
        <v>0</v>
      </c>
      <c r="L4778" t="n">
        <v>17601</v>
      </c>
      <c r="M4778" t="n">
        <v>21000</v>
      </c>
      <c r="N4778" t="n">
        <v>91</v>
      </c>
      <c r="O4778" t="n">
        <v>0.91</v>
      </c>
      <c r="P4778" t="n">
        <v>1</v>
      </c>
      <c r="Q4778" t="n">
        <v>0.22</v>
      </c>
      <c r="R4778" t="n">
        <v>2</v>
      </c>
      <c r="S4778" t="n">
        <v>3057.6</v>
      </c>
      <c r="T4778" t="n">
        <v>29</v>
      </c>
      <c r="U4778" t="n">
        <v>30</v>
      </c>
      <c r="V4778" t="n">
        <v>30</v>
      </c>
      <c r="W4778" t="n">
        <v>5</v>
      </c>
      <c r="X4778" t="n">
        <v>27.47252747252747</v>
      </c>
      <c r="Y4778" t="n">
        <v>1</v>
      </c>
      <c r="Z4778" t="n">
        <v>1</v>
      </c>
      <c r="AA4778" t="n">
        <v>0</v>
      </c>
      <c r="AB4778" t="n">
        <v>1</v>
      </c>
      <c r="AC4778" t="n">
        <v>3</v>
      </c>
      <c r="AD4778" t="n">
        <v>0</v>
      </c>
      <c r="AE4778" t="n">
        <v>52803</v>
      </c>
      <c r="AF4778" t="n">
        <v>689</v>
      </c>
      <c r="AG4778" t="n">
        <v>107</v>
      </c>
      <c r="AH4778" t="inlineStr">
        <is>
          <t xml:space="preserve">CV. DAHLIA - PPN (PDG) </t>
        </is>
      </c>
      <c r="AI4778" t="n">
        <v>387</v>
      </c>
      <c r="AJ4778" t="inlineStr">
        <is>
          <t>SALSA</t>
        </is>
      </c>
      <c r="AK4778" t="n">
        <v>21</v>
      </c>
      <c r="AL4778" t="inlineStr">
        <is>
          <t>Miss Glam Damar</t>
        </is>
      </c>
      <c r="AM4778" t="n">
        <v>2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SALSA</t>
        </is>
      </c>
      <c r="B4779" s="2">
        <f>"8995028208267"</f>
        <v/>
      </c>
      <c r="C4779" t="inlineStr">
        <is>
          <t>SALSA Dynamatte Lip Cream 05 5gr</t>
        </is>
      </c>
      <c r="D4779" t="inlineStr">
        <is>
          <t>Miss Glam Damar</t>
        </is>
      </c>
      <c r="E4779" t="n">
        <v>5</v>
      </c>
      <c r="F4779" t="n">
        <v>0.06370000000000001</v>
      </c>
      <c r="G4779" t="n">
        <v>0.91</v>
      </c>
      <c r="H4779" t="n">
        <v>2</v>
      </c>
      <c r="I4779" t="n">
        <v>16</v>
      </c>
      <c r="J4779" t="n">
        <v>3</v>
      </c>
      <c r="K4779" t="n">
        <v>0</v>
      </c>
      <c r="L4779" t="n">
        <v>17383</v>
      </c>
      <c r="M4779" t="n">
        <v>19000</v>
      </c>
      <c r="N4779" t="n">
        <v>91</v>
      </c>
      <c r="O4779" t="n">
        <v>0.91</v>
      </c>
      <c r="P4779" t="n">
        <v>1</v>
      </c>
      <c r="Q4779" t="n">
        <v>0.03</v>
      </c>
      <c r="R4779" t="n">
        <v>1</v>
      </c>
      <c r="S4779" t="n">
        <v>1210.3</v>
      </c>
      <c r="T4779" t="n">
        <v>15</v>
      </c>
      <c r="U4779" t="n">
        <v>16</v>
      </c>
      <c r="V4779" t="n">
        <v>30</v>
      </c>
      <c r="W4779" t="n">
        <v>2</v>
      </c>
      <c r="X4779" t="n">
        <v>78.49293563579278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689</v>
      </c>
      <c r="AG4779" t="n">
        <v>107</v>
      </c>
      <c r="AH4779" t="inlineStr">
        <is>
          <t xml:space="preserve">CV. DAHLIA - PPN (PDG) </t>
        </is>
      </c>
      <c r="AI4779" t="n">
        <v>387</v>
      </c>
      <c r="AJ4779" t="inlineStr">
        <is>
          <t>SALSA</t>
        </is>
      </c>
      <c r="AK4779" t="n">
        <v>21</v>
      </c>
      <c r="AL4779" t="inlineStr">
        <is>
          <t>Miss Glam Damar</t>
        </is>
      </c>
      <c r="AM4779" t="n">
        <v>2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SALSA</t>
        </is>
      </c>
      <c r="B4780" s="2">
        <f>"8995028208779"</f>
        <v/>
      </c>
      <c r="C4780" t="inlineStr">
        <is>
          <t>SALSA Dynamatte Lip Cream 06 5gr</t>
        </is>
      </c>
      <c r="D4780" t="inlineStr">
        <is>
          <t>Miss Glam Damar</t>
        </is>
      </c>
      <c r="E4780" t="n">
        <v>6</v>
      </c>
      <c r="F4780" t="n">
        <v>0.09100000000000001</v>
      </c>
      <c r="G4780" t="n">
        <v>0.91</v>
      </c>
      <c r="H4780" t="n">
        <v>2</v>
      </c>
      <c r="I4780" t="n">
        <v>16</v>
      </c>
      <c r="J4780" t="n">
        <v>3</v>
      </c>
      <c r="K4780" t="n">
        <v>0</v>
      </c>
      <c r="L4780" t="n">
        <v>17227</v>
      </c>
      <c r="M4780" t="n">
        <v>19000</v>
      </c>
      <c r="N4780" t="n">
        <v>91</v>
      </c>
      <c r="O4780" t="n">
        <v>0.91</v>
      </c>
      <c r="P4780" t="n">
        <v>1</v>
      </c>
      <c r="Q4780" t="n">
        <v>0.03</v>
      </c>
      <c r="R4780" t="n">
        <v>1</v>
      </c>
      <c r="S4780" t="n">
        <v>1729</v>
      </c>
      <c r="T4780" t="n">
        <v>15</v>
      </c>
      <c r="U4780" t="n">
        <v>16</v>
      </c>
      <c r="V4780" t="n">
        <v>30</v>
      </c>
      <c r="W4780" t="n">
        <v>3</v>
      </c>
      <c r="X4780" t="n">
        <v>65.93406593406593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689</v>
      </c>
      <c r="AG4780" t="n">
        <v>107</v>
      </c>
      <c r="AH4780" t="inlineStr">
        <is>
          <t xml:space="preserve">CV. DAHLIA - PPN (PDG) </t>
        </is>
      </c>
      <c r="AI4780" t="n">
        <v>387</v>
      </c>
      <c r="AJ4780" t="inlineStr">
        <is>
          <t>SALSA</t>
        </is>
      </c>
      <c r="AK4780" t="n">
        <v>21</v>
      </c>
      <c r="AL4780" t="inlineStr">
        <is>
          <t>Miss Glam Damar</t>
        </is>
      </c>
      <c r="AM4780" t="n">
        <v>2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SALSA</t>
        </is>
      </c>
      <c r="B4781" s="2">
        <f>"8997207551096"</f>
        <v/>
      </c>
      <c r="C4781" t="inlineStr">
        <is>
          <t>SALSA Dynamatte Lip Cream 07 5gr</t>
        </is>
      </c>
      <c r="D4781" t="inlineStr">
        <is>
          <t>Miss Glam Damar</t>
        </is>
      </c>
      <c r="E4781" t="n">
        <v>3</v>
      </c>
      <c r="F4781" t="n">
        <v>0.1729</v>
      </c>
      <c r="G4781" t="n">
        <v>1.82</v>
      </c>
      <c r="H4781" t="n">
        <v>2</v>
      </c>
      <c r="I4781" t="n">
        <v>16</v>
      </c>
      <c r="J4781" t="n">
        <v>3</v>
      </c>
      <c r="K4781" t="n">
        <v>0</v>
      </c>
      <c r="L4781" t="n">
        <v>15980</v>
      </c>
      <c r="M4781" t="n">
        <v>19000</v>
      </c>
      <c r="N4781" t="n">
        <v>91</v>
      </c>
      <c r="O4781" t="n">
        <v>0.91</v>
      </c>
      <c r="P4781" t="n">
        <v>1</v>
      </c>
      <c r="Q4781" t="n">
        <v>0.05</v>
      </c>
      <c r="R4781" t="n">
        <v>2</v>
      </c>
      <c r="S4781" t="n">
        <v>3285.1</v>
      </c>
      <c r="T4781" t="n">
        <v>29</v>
      </c>
      <c r="U4781" t="n">
        <v>30</v>
      </c>
      <c r="V4781" t="n">
        <v>30</v>
      </c>
      <c r="W4781" t="n">
        <v>6</v>
      </c>
      <c r="X4781" t="n">
        <v>17.35106998264893</v>
      </c>
      <c r="Y4781" t="n">
        <v>1</v>
      </c>
      <c r="Z4781" t="n">
        <v>3</v>
      </c>
      <c r="AA4781" t="n">
        <v>0</v>
      </c>
      <c r="AB4781" t="n">
        <v>3</v>
      </c>
      <c r="AC4781" t="n">
        <v>3</v>
      </c>
      <c r="AD4781" t="n">
        <v>0</v>
      </c>
      <c r="AE4781" t="n">
        <v>47940</v>
      </c>
      <c r="AF4781" t="n">
        <v>689</v>
      </c>
      <c r="AG4781" t="n">
        <v>107</v>
      </c>
      <c r="AH4781" t="inlineStr">
        <is>
          <t xml:space="preserve">CV. DAHLIA - PPN (PDG) </t>
        </is>
      </c>
      <c r="AI4781" t="n">
        <v>387</v>
      </c>
      <c r="AJ4781" t="inlineStr">
        <is>
          <t>SALSA</t>
        </is>
      </c>
      <c r="AK4781" t="n">
        <v>21</v>
      </c>
      <c r="AL4781" t="inlineStr">
        <is>
          <t>Miss Glam Damar</t>
        </is>
      </c>
      <c r="AM4781" t="n">
        <v>2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SALSA</t>
        </is>
      </c>
      <c r="B4782" s="2">
        <f>"8997207551898"</f>
        <v/>
      </c>
      <c r="C4782" t="inlineStr">
        <is>
          <t>SALSA Dynamatte Lip Cream 08 5gr</t>
        </is>
      </c>
      <c r="D4782" t="inlineStr">
        <is>
          <t>Miss Glam Damar</t>
        </is>
      </c>
      <c r="E4782" t="n">
        <v>10</v>
      </c>
      <c r="F4782" t="n">
        <v>0.2912</v>
      </c>
      <c r="G4782" t="n">
        <v>1.82</v>
      </c>
      <c r="H4782" t="n">
        <v>2</v>
      </c>
      <c r="I4782" t="n">
        <v>16</v>
      </c>
      <c r="J4782" t="n">
        <v>3</v>
      </c>
      <c r="K4782" t="n">
        <v>0</v>
      </c>
      <c r="L4782" t="n">
        <v>17850</v>
      </c>
      <c r="M4782" t="n">
        <v>21000</v>
      </c>
      <c r="N4782" t="n">
        <v>91</v>
      </c>
      <c r="O4782" t="n">
        <v>0.91</v>
      </c>
      <c r="P4782" t="n">
        <v>1</v>
      </c>
      <c r="Q4782" t="n">
        <v>0.24</v>
      </c>
      <c r="R4782" t="n">
        <v>4</v>
      </c>
      <c r="S4782" t="n">
        <v>6115.200000000001</v>
      </c>
      <c r="T4782" t="n">
        <v>29</v>
      </c>
      <c r="U4782" t="n">
        <v>30</v>
      </c>
      <c r="V4782" t="n">
        <v>30</v>
      </c>
      <c r="W4782" t="n">
        <v>9</v>
      </c>
      <c r="X4782" t="n">
        <v>34.34065934065934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689</v>
      </c>
      <c r="AG4782" t="n">
        <v>107</v>
      </c>
      <c r="AH4782" t="inlineStr">
        <is>
          <t xml:space="preserve">CV. DAHLIA - PPN (PDG) </t>
        </is>
      </c>
      <c r="AI4782" t="n">
        <v>387</v>
      </c>
      <c r="AJ4782" t="inlineStr">
        <is>
          <t>SALSA</t>
        </is>
      </c>
      <c r="AK4782" t="n">
        <v>21</v>
      </c>
      <c r="AL4782" t="inlineStr">
        <is>
          <t>Miss Glam Damar</t>
        </is>
      </c>
      <c r="AM4782" t="n">
        <v>2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SALSA</t>
        </is>
      </c>
      <c r="B4783" s="2">
        <f>"8997207551997"</f>
        <v/>
      </c>
      <c r="C4783" t="inlineStr">
        <is>
          <t>SALSA Dynamatte Lip Cream 09 5gr</t>
        </is>
      </c>
      <c r="D4783" t="inlineStr">
        <is>
          <t>Miss Glam Damar</t>
        </is>
      </c>
      <c r="E4783" t="n">
        <v>4</v>
      </c>
      <c r="F4783" t="n">
        <v>0.3367</v>
      </c>
      <c r="G4783" t="n">
        <v>2.73</v>
      </c>
      <c r="H4783" t="n">
        <v>2</v>
      </c>
      <c r="I4783" t="n">
        <v>16</v>
      </c>
      <c r="J4783" t="n">
        <v>3</v>
      </c>
      <c r="K4783" t="n">
        <v>0</v>
      </c>
      <c r="L4783" t="n">
        <v>17383</v>
      </c>
      <c r="M4783" t="n">
        <v>21000</v>
      </c>
      <c r="N4783" t="n">
        <v>91</v>
      </c>
      <c r="O4783" t="n">
        <v>0.91</v>
      </c>
      <c r="P4783" t="n">
        <v>1</v>
      </c>
      <c r="Q4783" t="n">
        <v>0.07000000000000001</v>
      </c>
      <c r="R4783" t="n">
        <v>2</v>
      </c>
      <c r="S4783" t="n">
        <v>7070.7</v>
      </c>
      <c r="T4783" t="n">
        <v>44</v>
      </c>
      <c r="U4783" t="n">
        <v>45</v>
      </c>
      <c r="V4783" t="n">
        <v>30</v>
      </c>
      <c r="W4783" t="n">
        <v>11</v>
      </c>
      <c r="X4783" t="n">
        <v>11.88001188001188</v>
      </c>
      <c r="Y4783" t="n">
        <v>1</v>
      </c>
      <c r="Z4783" t="n">
        <v>7</v>
      </c>
      <c r="AA4783" t="n">
        <v>2</v>
      </c>
      <c r="AB4783" t="n">
        <v>5</v>
      </c>
      <c r="AC4783" t="n">
        <v>5</v>
      </c>
      <c r="AD4783" t="n">
        <v>34766</v>
      </c>
      <c r="AE4783" t="n">
        <v>86915</v>
      </c>
      <c r="AF4783" t="n">
        <v>689</v>
      </c>
      <c r="AG4783" t="n">
        <v>107</v>
      </c>
      <c r="AH4783" t="inlineStr">
        <is>
          <t xml:space="preserve">CV. DAHLIA - PPN (PDG) </t>
        </is>
      </c>
      <c r="AI4783" t="n">
        <v>387</v>
      </c>
      <c r="AJ4783" t="inlineStr">
        <is>
          <t>SALSA</t>
        </is>
      </c>
      <c r="AK4783" t="n">
        <v>21</v>
      </c>
      <c r="AL4783" t="inlineStr">
        <is>
          <t>Miss Glam Damar</t>
        </is>
      </c>
      <c r="AM4783" t="n">
        <v>2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SALSA</t>
        </is>
      </c>
      <c r="B4784" s="2">
        <f>"8997207550860"</f>
        <v/>
      </c>
      <c r="C4784" t="inlineStr">
        <is>
          <t>SALSA Dynamatte Lip Cream 10 5gr</t>
        </is>
      </c>
      <c r="D4784" t="inlineStr">
        <is>
          <t>Miss Glam Damar</t>
        </is>
      </c>
      <c r="E4784" t="n">
        <v>9</v>
      </c>
      <c r="F4784" t="n">
        <v>0.2275</v>
      </c>
      <c r="G4784" t="n">
        <v>0.91</v>
      </c>
      <c r="H4784" t="n">
        <v>2</v>
      </c>
      <c r="I4784" t="n">
        <v>16</v>
      </c>
      <c r="J4784" t="n">
        <v>3</v>
      </c>
      <c r="K4784" t="n">
        <v>0</v>
      </c>
      <c r="L4784" t="n">
        <v>17627</v>
      </c>
      <c r="M4784" t="n">
        <v>21000</v>
      </c>
      <c r="N4784" t="n">
        <v>91</v>
      </c>
      <c r="O4784" t="n">
        <v>0.91</v>
      </c>
      <c r="P4784" t="n">
        <v>1</v>
      </c>
      <c r="Q4784" t="n">
        <v>0.22</v>
      </c>
      <c r="R4784" t="n">
        <v>2</v>
      </c>
      <c r="S4784" t="n">
        <v>4777.5</v>
      </c>
      <c r="T4784" t="n">
        <v>15</v>
      </c>
      <c r="U4784" t="n">
        <v>16</v>
      </c>
      <c r="V4784" t="n">
        <v>30</v>
      </c>
      <c r="W4784" t="n">
        <v>7</v>
      </c>
      <c r="X4784" t="n">
        <v>39.56043956043956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689</v>
      </c>
      <c r="AG4784" t="n">
        <v>107</v>
      </c>
      <c r="AH4784" t="inlineStr">
        <is>
          <t xml:space="preserve">CV. DAHLIA - PPN (PDG) </t>
        </is>
      </c>
      <c r="AI4784" t="n">
        <v>387</v>
      </c>
      <c r="AJ4784" t="inlineStr">
        <is>
          <t>SALSA</t>
        </is>
      </c>
      <c r="AK4784" t="n">
        <v>21</v>
      </c>
      <c r="AL4784" t="inlineStr">
        <is>
          <t>Miss Glam Damar</t>
        </is>
      </c>
      <c r="AM4784" t="n">
        <v>2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SALSA</t>
        </is>
      </c>
      <c r="B4785" s="2">
        <f>"8997207550884"</f>
        <v/>
      </c>
      <c r="C4785" t="inlineStr">
        <is>
          <t>SALSA Dynamatte Lip Cream 11 5gr</t>
        </is>
      </c>
      <c r="D4785" t="inlineStr">
        <is>
          <t>Miss Glam Damar</t>
        </is>
      </c>
      <c r="E4785" t="n">
        <v>9</v>
      </c>
      <c r="F4785" t="n">
        <v>0.1729</v>
      </c>
      <c r="G4785" t="n">
        <v>0.91</v>
      </c>
      <c r="H4785" t="n">
        <v>2</v>
      </c>
      <c r="I4785" t="n">
        <v>16</v>
      </c>
      <c r="J4785" t="n">
        <v>3</v>
      </c>
      <c r="K4785" t="n">
        <v>0</v>
      </c>
      <c r="L4785" t="n">
        <v>17850</v>
      </c>
      <c r="M4785" t="n">
        <v>21000</v>
      </c>
      <c r="N4785" t="n">
        <v>91</v>
      </c>
      <c r="O4785" t="n">
        <v>0.91</v>
      </c>
      <c r="P4785" t="n">
        <v>1</v>
      </c>
      <c r="Q4785" t="n">
        <v>0.15</v>
      </c>
      <c r="R4785" t="n">
        <v>2</v>
      </c>
      <c r="S4785" t="n">
        <v>3630.9</v>
      </c>
      <c r="T4785" t="n">
        <v>15</v>
      </c>
      <c r="U4785" t="n">
        <v>16</v>
      </c>
      <c r="V4785" t="n">
        <v>30</v>
      </c>
      <c r="W4785" t="n">
        <v>6</v>
      </c>
      <c r="X4785" t="n">
        <v>52.05320994794679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689</v>
      </c>
      <c r="AG4785" t="n">
        <v>107</v>
      </c>
      <c r="AH4785" t="inlineStr">
        <is>
          <t xml:space="preserve">CV. DAHLIA - PPN (PDG) </t>
        </is>
      </c>
      <c r="AI4785" t="n">
        <v>387</v>
      </c>
      <c r="AJ4785" t="inlineStr">
        <is>
          <t>SALSA</t>
        </is>
      </c>
      <c r="AK4785" t="n">
        <v>21</v>
      </c>
      <c r="AL4785" t="inlineStr">
        <is>
          <t>Miss Glam Damar</t>
        </is>
      </c>
      <c r="AM4785" t="n">
        <v>2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SALSA</t>
        </is>
      </c>
      <c r="B4786" s="2">
        <f>"8997207550877"</f>
        <v/>
      </c>
      <c r="C4786" t="inlineStr">
        <is>
          <t>SALSA Dynamatte Lip Cream 12 5gr</t>
        </is>
      </c>
      <c r="D4786" t="inlineStr">
        <is>
          <t>Miss Glam Damar</t>
        </is>
      </c>
      <c r="E4786" t="n">
        <v>10</v>
      </c>
      <c r="F4786" t="n">
        <v>0.4459</v>
      </c>
      <c r="G4786" t="n">
        <v>2.73</v>
      </c>
      <c r="H4786" t="n">
        <v>2</v>
      </c>
      <c r="I4786" t="n">
        <v>16</v>
      </c>
      <c r="J4786" t="n">
        <v>3</v>
      </c>
      <c r="K4786" t="n">
        <v>0</v>
      </c>
      <c r="L4786" t="n">
        <v>17725</v>
      </c>
      <c r="M4786" t="n">
        <v>21000</v>
      </c>
      <c r="N4786" t="n">
        <v>91</v>
      </c>
      <c r="O4786" t="n">
        <v>0.91</v>
      </c>
      <c r="P4786" t="n">
        <v>1</v>
      </c>
      <c r="Q4786" t="n">
        <v>0.22</v>
      </c>
      <c r="R4786" t="n">
        <v>2</v>
      </c>
      <c r="S4786" t="n">
        <v>9363.9</v>
      </c>
      <c r="T4786" t="n">
        <v>43</v>
      </c>
      <c r="U4786" t="n">
        <v>44</v>
      </c>
      <c r="V4786" t="n">
        <v>30</v>
      </c>
      <c r="W4786" t="n">
        <v>14</v>
      </c>
      <c r="X4786" t="n">
        <v>22.42655303879794</v>
      </c>
      <c r="Y4786" t="n">
        <v>1</v>
      </c>
      <c r="Z4786" t="n">
        <v>4</v>
      </c>
      <c r="AA4786" t="n">
        <v>0</v>
      </c>
      <c r="AB4786" t="n">
        <v>4</v>
      </c>
      <c r="AC4786" t="n">
        <v>4</v>
      </c>
      <c r="AD4786" t="n">
        <v>0</v>
      </c>
      <c r="AE4786" t="n">
        <v>70900</v>
      </c>
      <c r="AF4786" t="n">
        <v>689</v>
      </c>
      <c r="AG4786" t="n">
        <v>107</v>
      </c>
      <c r="AH4786" t="inlineStr">
        <is>
          <t xml:space="preserve">CV. DAHLIA - PPN (PDG) </t>
        </is>
      </c>
      <c r="AI4786" t="n">
        <v>387</v>
      </c>
      <c r="AJ4786" t="inlineStr">
        <is>
          <t>SALSA</t>
        </is>
      </c>
      <c r="AK4786" t="n">
        <v>21</v>
      </c>
      <c r="AL4786" t="inlineStr">
        <is>
          <t>Miss Glam Damar</t>
        </is>
      </c>
      <c r="AM4786" t="n">
        <v>2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SALSA</t>
        </is>
      </c>
      <c r="B4787" s="2">
        <f>"8995028204566"</f>
        <v/>
      </c>
      <c r="C4787" t="inlineStr">
        <is>
          <t>SALSA Dynamatte Lipcream 01 Innocent Lady 5gr</t>
        </is>
      </c>
      <c r="D4787" t="inlineStr">
        <is>
          <t>Miss Glam Damar</t>
        </is>
      </c>
      <c r="E4787" t="n">
        <v>4</v>
      </c>
      <c r="F4787" t="n">
        <v>0.2457</v>
      </c>
      <c r="G4787" t="n">
        <v>1.82</v>
      </c>
      <c r="H4787" t="n">
        <v>2</v>
      </c>
      <c r="I4787" t="n">
        <v>16</v>
      </c>
      <c r="J4787" t="n">
        <v>3</v>
      </c>
      <c r="K4787" t="n">
        <v>0</v>
      </c>
      <c r="L4787" t="n">
        <v>17383</v>
      </c>
      <c r="M4787" t="n">
        <v>20500</v>
      </c>
      <c r="N4787" t="n">
        <v>91</v>
      </c>
      <c r="O4787" t="n">
        <v>0.91</v>
      </c>
      <c r="P4787" t="n">
        <v>1</v>
      </c>
      <c r="Q4787" t="n">
        <v>0.08</v>
      </c>
      <c r="R4787" t="n">
        <v>2</v>
      </c>
      <c r="S4787" t="n">
        <v>5036.85</v>
      </c>
      <c r="T4787" t="n">
        <v>29</v>
      </c>
      <c r="U4787" t="n">
        <v>30</v>
      </c>
      <c r="V4787" t="n">
        <v>30</v>
      </c>
      <c r="W4787" t="n">
        <v>8</v>
      </c>
      <c r="X4787" t="n">
        <v>16.28001628001628</v>
      </c>
      <c r="Y4787" t="n">
        <v>1</v>
      </c>
      <c r="Z4787" t="n">
        <v>4</v>
      </c>
      <c r="AA4787" t="n">
        <v>0</v>
      </c>
      <c r="AB4787" t="n">
        <v>4</v>
      </c>
      <c r="AC4787" t="n">
        <v>4</v>
      </c>
      <c r="AD4787" t="n">
        <v>0</v>
      </c>
      <c r="AE4787" t="n">
        <v>69532</v>
      </c>
      <c r="AF4787" t="n">
        <v>689</v>
      </c>
      <c r="AG4787" t="n">
        <v>107</v>
      </c>
      <c r="AH4787" t="inlineStr">
        <is>
          <t xml:space="preserve">CV. DAHLIA - PPN (PDG) </t>
        </is>
      </c>
      <c r="AI4787" t="n">
        <v>387</v>
      </c>
      <c r="AJ4787" t="inlineStr">
        <is>
          <t>SALSA</t>
        </is>
      </c>
      <c r="AK4787" t="n">
        <v>21</v>
      </c>
      <c r="AL4787" t="inlineStr">
        <is>
          <t>Miss Glam Damar</t>
        </is>
      </c>
      <c r="AM4787" t="n">
        <v>2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SALSA</t>
        </is>
      </c>
      <c r="B4788" s="2">
        <f>"8997207550525"</f>
        <v/>
      </c>
      <c r="C4788" t="inlineStr">
        <is>
          <t>SALSA Eyebrow Pencil 4in1 Black &amp; Brown 3g</t>
        </is>
      </c>
      <c r="D4788" t="inlineStr">
        <is>
          <t>Miss Glam Damar</t>
        </is>
      </c>
      <c r="E4788" t="n">
        <v>28</v>
      </c>
      <c r="F4788" t="n">
        <v>1.75</v>
      </c>
      <c r="G4788" t="n">
        <v>6</v>
      </c>
      <c r="H4788" t="n">
        <v>2</v>
      </c>
      <c r="I4788" t="n">
        <v>16</v>
      </c>
      <c r="J4788" t="n">
        <v>3</v>
      </c>
      <c r="K4788" t="n">
        <v>0</v>
      </c>
      <c r="L4788" t="n">
        <v>4123</v>
      </c>
      <c r="M4788" t="n">
        <v>5000</v>
      </c>
      <c r="N4788" t="n">
        <v>91</v>
      </c>
      <c r="O4788" t="n">
        <v>0.91</v>
      </c>
      <c r="P4788" t="n">
        <v>0</v>
      </c>
      <c r="Q4788" t="n">
        <v>1.75</v>
      </c>
      <c r="R4788" t="n">
        <v>6</v>
      </c>
      <c r="S4788" t="n">
        <v>8750</v>
      </c>
      <c r="T4788" t="n">
        <v>93</v>
      </c>
      <c r="U4788" t="n">
        <v>97</v>
      </c>
      <c r="V4788" t="n">
        <v>30</v>
      </c>
      <c r="W4788" t="n">
        <v>53</v>
      </c>
      <c r="X4788" t="n">
        <v>16</v>
      </c>
      <c r="Y4788" t="n">
        <v>1</v>
      </c>
      <c r="Z4788" t="n">
        <v>25</v>
      </c>
      <c r="AA4788" t="n">
        <v>0</v>
      </c>
      <c r="AB4788" t="n">
        <v>25</v>
      </c>
      <c r="AC4788" t="n">
        <v>25</v>
      </c>
      <c r="AD4788" t="n">
        <v>0</v>
      </c>
      <c r="AE4788" t="n">
        <v>103075</v>
      </c>
      <c r="AF4788" t="n">
        <v>689</v>
      </c>
      <c r="AG4788" t="n">
        <v>107</v>
      </c>
      <c r="AH4788" t="inlineStr">
        <is>
          <t xml:space="preserve">CV. DAHLIA - PPN (PDG) </t>
        </is>
      </c>
      <c r="AI4788" t="n">
        <v>387</v>
      </c>
      <c r="AJ4788" t="inlineStr">
        <is>
          <t>SALSA</t>
        </is>
      </c>
      <c r="AK4788" t="n">
        <v>21</v>
      </c>
      <c r="AL4788" t="inlineStr">
        <is>
          <t>Miss Glam Damar</t>
        </is>
      </c>
      <c r="AM4788" t="n">
        <v>2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SALSA</t>
        </is>
      </c>
      <c r="B4789" s="2">
        <f>"8997207558064"</f>
        <v/>
      </c>
      <c r="C4789" t="inlineStr">
        <is>
          <t>SALSA Eyelash &amp; Eyebrow Serum</t>
        </is>
      </c>
      <c r="D4789" t="inlineStr">
        <is>
          <t>Miss Glam Damar</t>
        </is>
      </c>
      <c r="E4789" t="n">
        <v>0</v>
      </c>
      <c r="F4789" t="n">
        <v>0.0728</v>
      </c>
      <c r="G4789" t="n">
        <v>0.91</v>
      </c>
      <c r="H4789" t="n">
        <v>2</v>
      </c>
      <c r="I4789" t="n">
        <v>16</v>
      </c>
      <c r="J4789" t="n">
        <v>3</v>
      </c>
      <c r="K4789" t="n">
        <v>0</v>
      </c>
      <c r="L4789" t="n">
        <v>20230</v>
      </c>
      <c r="M4789" t="n">
        <v>24000</v>
      </c>
      <c r="N4789" t="n">
        <v>91</v>
      </c>
      <c r="O4789" t="n">
        <v>0.91</v>
      </c>
      <c r="P4789" t="n">
        <v>1</v>
      </c>
      <c r="Q4789" t="n">
        <v>0.21</v>
      </c>
      <c r="R4789" t="n">
        <v>2</v>
      </c>
      <c r="S4789" t="n">
        <v>1747.2</v>
      </c>
      <c r="T4789" t="n">
        <v>15</v>
      </c>
      <c r="U4789" t="n">
        <v>16</v>
      </c>
      <c r="V4789" t="n">
        <v>30</v>
      </c>
      <c r="W4789" t="n">
        <v>3</v>
      </c>
      <c r="X4789" t="n">
        <v>0</v>
      </c>
      <c r="Y4789" t="n">
        <v>1</v>
      </c>
      <c r="Z4789" t="n">
        <v>3</v>
      </c>
      <c r="AA4789" t="n">
        <v>2</v>
      </c>
      <c r="AB4789" t="n">
        <v>1</v>
      </c>
      <c r="AC4789" t="n">
        <v>3</v>
      </c>
      <c r="AD4789" t="n">
        <v>40460</v>
      </c>
      <c r="AE4789" t="n">
        <v>60690</v>
      </c>
      <c r="AF4789" t="n">
        <v>689</v>
      </c>
      <c r="AG4789" t="n">
        <v>107</v>
      </c>
      <c r="AH4789" t="inlineStr">
        <is>
          <t xml:space="preserve">CV. DAHLIA - PPN (PDG) </t>
        </is>
      </c>
      <c r="AI4789" t="n">
        <v>387</v>
      </c>
      <c r="AJ4789" t="inlineStr">
        <is>
          <t>SALSA</t>
        </is>
      </c>
      <c r="AK4789" t="n">
        <v>21</v>
      </c>
      <c r="AL4789" t="inlineStr">
        <is>
          <t>Miss Glam Damar</t>
        </is>
      </c>
      <c r="AM4789" t="n">
        <v>2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SALSA</t>
        </is>
      </c>
      <c r="B4790" s="2">
        <f>"50100447605"</f>
        <v/>
      </c>
      <c r="C4790" t="inlineStr">
        <is>
          <t>SALSA Faux Eyelash 07</t>
        </is>
      </c>
      <c r="D4790" t="inlineStr">
        <is>
          <t>Miss Glam Damar</t>
        </is>
      </c>
      <c r="E4790" t="n">
        <v>7</v>
      </c>
      <c r="F4790" t="n">
        <v>0.1274</v>
      </c>
      <c r="G4790" t="n">
        <v>1.82</v>
      </c>
      <c r="H4790" t="n">
        <v>2</v>
      </c>
      <c r="I4790" t="n">
        <v>16</v>
      </c>
      <c r="J4790" t="n">
        <v>1</v>
      </c>
      <c r="K4790" t="n">
        <v>0</v>
      </c>
      <c r="L4790" t="n">
        <v>7650</v>
      </c>
      <c r="M4790" t="n">
        <v>15000</v>
      </c>
      <c r="N4790" t="n">
        <v>91</v>
      </c>
      <c r="O4790" t="n">
        <v>0.91</v>
      </c>
      <c r="P4790" t="n">
        <v>1</v>
      </c>
      <c r="Q4790" t="n">
        <v>0.05</v>
      </c>
      <c r="R4790" t="n">
        <v>2</v>
      </c>
      <c r="S4790" t="n">
        <v>1911</v>
      </c>
      <c r="T4790" t="n">
        <v>29</v>
      </c>
      <c r="U4790" t="n">
        <v>30</v>
      </c>
      <c r="V4790" t="n">
        <v>30</v>
      </c>
      <c r="W4790" t="n">
        <v>4</v>
      </c>
      <c r="X4790" t="n">
        <v>54.94505494505494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689</v>
      </c>
      <c r="AG4790" t="n">
        <v>107</v>
      </c>
      <c r="AH4790" t="inlineStr">
        <is>
          <t xml:space="preserve">CV. DAHLIA - PPN (PDG) </t>
        </is>
      </c>
      <c r="AI4790" t="n">
        <v>387</v>
      </c>
      <c r="AJ4790" t="inlineStr">
        <is>
          <t>SALSA</t>
        </is>
      </c>
      <c r="AK4790" t="n">
        <v>21</v>
      </c>
      <c r="AL4790" t="inlineStr">
        <is>
          <t>Miss Glam Damar</t>
        </is>
      </c>
      <c r="AM4790" t="n">
        <v>2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SALSA</t>
        </is>
      </c>
      <c r="B4791" s="2">
        <f>"50100447744"</f>
        <v/>
      </c>
      <c r="C4791" t="inlineStr">
        <is>
          <t>SALSA Faux Eyelash 08</t>
        </is>
      </c>
      <c r="D4791" t="inlineStr">
        <is>
          <t>Miss Glam Damar</t>
        </is>
      </c>
      <c r="E4791" t="n">
        <v>6</v>
      </c>
      <c r="F4791" t="n">
        <v>0.6825</v>
      </c>
      <c r="G4791" t="n">
        <v>6.37</v>
      </c>
      <c r="H4791" t="n">
        <v>2</v>
      </c>
      <c r="I4791" t="n">
        <v>16</v>
      </c>
      <c r="J4791" t="n">
        <v>1</v>
      </c>
      <c r="K4791" t="n">
        <v>0</v>
      </c>
      <c r="L4791" t="n">
        <v>7650</v>
      </c>
      <c r="M4791" t="n">
        <v>15000</v>
      </c>
      <c r="N4791" t="n">
        <v>91</v>
      </c>
      <c r="O4791" t="n">
        <v>0.91</v>
      </c>
      <c r="P4791" t="n">
        <v>1</v>
      </c>
      <c r="Q4791" t="n">
        <v>0.1</v>
      </c>
      <c r="R4791" t="n">
        <v>2</v>
      </c>
      <c r="S4791" t="n">
        <v>10237.5</v>
      </c>
      <c r="T4791" t="n">
        <v>101</v>
      </c>
      <c r="U4791" t="n">
        <v>103</v>
      </c>
      <c r="V4791" t="n">
        <v>30</v>
      </c>
      <c r="W4791" t="n">
        <v>21</v>
      </c>
      <c r="X4791" t="n">
        <v>8.791208791208792</v>
      </c>
      <c r="Y4791" t="n">
        <v>1</v>
      </c>
      <c r="Z4791" t="n">
        <v>15</v>
      </c>
      <c r="AA4791" t="n">
        <v>5</v>
      </c>
      <c r="AB4791" t="n">
        <v>10</v>
      </c>
      <c r="AC4791" t="n">
        <v>10</v>
      </c>
      <c r="AD4791" t="n">
        <v>38250</v>
      </c>
      <c r="AE4791" t="n">
        <v>76500</v>
      </c>
      <c r="AF4791" t="n">
        <v>689</v>
      </c>
      <c r="AG4791" t="n">
        <v>107</v>
      </c>
      <c r="AH4791" t="inlineStr">
        <is>
          <t xml:space="preserve">CV. DAHLIA - PPN (PDG) </t>
        </is>
      </c>
      <c r="AI4791" t="n">
        <v>387</v>
      </c>
      <c r="AJ4791" t="inlineStr">
        <is>
          <t>SALSA</t>
        </is>
      </c>
      <c r="AK4791" t="n">
        <v>21</v>
      </c>
      <c r="AL4791" t="inlineStr">
        <is>
          <t>Miss Glam Damar</t>
        </is>
      </c>
      <c r="AM4791" t="n">
        <v>2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SALSA</t>
        </is>
      </c>
      <c r="B4792" s="2">
        <f>"50100447824"</f>
        <v/>
      </c>
      <c r="C4792" t="inlineStr">
        <is>
          <t>SALSA Faux Eyelash 09</t>
        </is>
      </c>
      <c r="D4792" t="inlineStr">
        <is>
          <t>Miss Glam Damar</t>
        </is>
      </c>
      <c r="E4792" t="n">
        <v>14</v>
      </c>
      <c r="F4792" t="n">
        <v>0.4914000000000001</v>
      </c>
      <c r="G4792" t="n">
        <v>2.73</v>
      </c>
      <c r="H4792" t="n">
        <v>2</v>
      </c>
      <c r="I4792" t="n">
        <v>16</v>
      </c>
      <c r="J4792" t="n">
        <v>1</v>
      </c>
      <c r="K4792" t="n">
        <v>0</v>
      </c>
      <c r="L4792" t="n">
        <v>7650</v>
      </c>
      <c r="M4792" t="n">
        <v>15000</v>
      </c>
      <c r="N4792" t="n">
        <v>91</v>
      </c>
      <c r="O4792" t="n">
        <v>0.91</v>
      </c>
      <c r="P4792" t="n">
        <v>1</v>
      </c>
      <c r="Q4792" t="n">
        <v>0.15</v>
      </c>
      <c r="R4792" t="n">
        <v>3</v>
      </c>
      <c r="S4792" t="n">
        <v>7371.000000000001</v>
      </c>
      <c r="T4792" t="n">
        <v>43</v>
      </c>
      <c r="U4792" t="n">
        <v>44</v>
      </c>
      <c r="V4792" t="n">
        <v>30</v>
      </c>
      <c r="W4792" t="n">
        <v>15</v>
      </c>
      <c r="X4792" t="n">
        <v>28.49002849002849</v>
      </c>
      <c r="Y4792" t="n">
        <v>1</v>
      </c>
      <c r="Z4792" t="n">
        <v>1</v>
      </c>
      <c r="AA4792" t="n">
        <v>0</v>
      </c>
      <c r="AB4792" t="n">
        <v>1</v>
      </c>
      <c r="AC4792" t="n">
        <v>1</v>
      </c>
      <c r="AD4792" t="n">
        <v>0</v>
      </c>
      <c r="AE4792" t="n">
        <v>7650</v>
      </c>
      <c r="AF4792" t="n">
        <v>689</v>
      </c>
      <c r="AG4792" t="n">
        <v>107</v>
      </c>
      <c r="AH4792" t="inlineStr">
        <is>
          <t xml:space="preserve">CV. DAHLIA - PPN (PDG) </t>
        </is>
      </c>
      <c r="AI4792" t="n">
        <v>387</v>
      </c>
      <c r="AJ4792" t="inlineStr">
        <is>
          <t>SALSA</t>
        </is>
      </c>
      <c r="AK4792" t="n">
        <v>21</v>
      </c>
      <c r="AL4792" t="inlineStr">
        <is>
          <t>Miss Glam Damar</t>
        </is>
      </c>
      <c r="AM4792" t="n">
        <v>2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SALSA</t>
        </is>
      </c>
      <c r="B4793" s="2">
        <f>"50100447938"</f>
        <v/>
      </c>
      <c r="C4793" t="inlineStr">
        <is>
          <t>SALSA Faux Eyelash 10</t>
        </is>
      </c>
      <c r="D4793" t="inlineStr">
        <is>
          <t>Miss Glam Damar</t>
        </is>
      </c>
      <c r="E4793" t="n">
        <v>5</v>
      </c>
      <c r="F4793" t="n">
        <v>1.5106</v>
      </c>
      <c r="G4793" t="n">
        <v>6.37</v>
      </c>
      <c r="H4793" t="n">
        <v>2</v>
      </c>
      <c r="I4793" t="n">
        <v>16</v>
      </c>
      <c r="J4793" t="n">
        <v>1</v>
      </c>
      <c r="K4793" t="n">
        <v>0</v>
      </c>
      <c r="L4793" t="n">
        <v>7650</v>
      </c>
      <c r="M4793" t="n">
        <v>15000</v>
      </c>
      <c r="N4793" t="n">
        <v>91</v>
      </c>
      <c r="O4793" t="n">
        <v>0.91</v>
      </c>
      <c r="P4793" t="n">
        <v>1</v>
      </c>
      <c r="Q4793" t="n">
        <v>0.08</v>
      </c>
      <c r="R4793" t="n">
        <v>2</v>
      </c>
      <c r="S4793" t="n">
        <v>22659</v>
      </c>
      <c r="T4793" t="n">
        <v>99</v>
      </c>
      <c r="U4793" t="n">
        <v>103</v>
      </c>
      <c r="V4793" t="n">
        <v>30</v>
      </c>
      <c r="W4793" t="n">
        <v>46</v>
      </c>
      <c r="X4793" t="n">
        <v>3.309943068979214</v>
      </c>
      <c r="Y4793" t="n">
        <v>1</v>
      </c>
      <c r="Z4793" t="n">
        <v>41</v>
      </c>
      <c r="AA4793" t="n">
        <v>20</v>
      </c>
      <c r="AB4793" t="n">
        <v>21</v>
      </c>
      <c r="AC4793" t="n">
        <v>21</v>
      </c>
      <c r="AD4793" t="n">
        <v>153000</v>
      </c>
      <c r="AE4793" t="n">
        <v>160650</v>
      </c>
      <c r="AF4793" t="n">
        <v>689</v>
      </c>
      <c r="AG4793" t="n">
        <v>107</v>
      </c>
      <c r="AH4793" t="inlineStr">
        <is>
          <t xml:space="preserve">CV. DAHLIA - PPN (PDG) </t>
        </is>
      </c>
      <c r="AI4793" t="n">
        <v>387</v>
      </c>
      <c r="AJ4793" t="inlineStr">
        <is>
          <t>SALSA</t>
        </is>
      </c>
      <c r="AK4793" t="n">
        <v>21</v>
      </c>
      <c r="AL4793" t="inlineStr">
        <is>
          <t>Miss Glam Damar</t>
        </is>
      </c>
      <c r="AM4793" t="n">
        <v>2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SALSA</t>
        </is>
      </c>
      <c r="B4794" s="2">
        <f>"8997207559009"</f>
        <v/>
      </c>
      <c r="C4794" t="inlineStr">
        <is>
          <t>SALSA Faux Eyelashes 01</t>
        </is>
      </c>
      <c r="D4794" t="inlineStr">
        <is>
          <t>Miss Glam Damar</t>
        </is>
      </c>
      <c r="E4794" t="n">
        <v>10</v>
      </c>
      <c r="F4794" t="n">
        <v>0.9555000000000001</v>
      </c>
      <c r="G4794" t="n">
        <v>10.01</v>
      </c>
      <c r="H4794" t="n">
        <v>2</v>
      </c>
      <c r="I4794" t="n">
        <v>16</v>
      </c>
      <c r="J4794" t="n">
        <v>3</v>
      </c>
      <c r="K4794" t="n">
        <v>0</v>
      </c>
      <c r="L4794" t="n">
        <v>7650</v>
      </c>
      <c r="M4794" t="n">
        <v>10000</v>
      </c>
      <c r="N4794" t="n">
        <v>91</v>
      </c>
      <c r="O4794" t="n">
        <v>0.91</v>
      </c>
      <c r="P4794" t="n">
        <v>1</v>
      </c>
      <c r="Q4794" t="n">
        <v>0.31</v>
      </c>
      <c r="R4794" t="n">
        <v>6</v>
      </c>
      <c r="S4794" t="n">
        <v>9555.000000000002</v>
      </c>
      <c r="T4794" t="n">
        <v>159</v>
      </c>
      <c r="U4794" t="n">
        <v>161</v>
      </c>
      <c r="V4794" t="n">
        <v>30</v>
      </c>
      <c r="W4794" t="n">
        <v>29</v>
      </c>
      <c r="X4794" t="n">
        <v>10.46572475143904</v>
      </c>
      <c r="Y4794" t="n">
        <v>1</v>
      </c>
      <c r="Z4794" t="n">
        <v>19</v>
      </c>
      <c r="AA4794" t="n">
        <v>6</v>
      </c>
      <c r="AB4794" t="n">
        <v>13</v>
      </c>
      <c r="AC4794" t="n">
        <v>13</v>
      </c>
      <c r="AD4794" t="n">
        <v>45900</v>
      </c>
      <c r="AE4794" t="n">
        <v>99450</v>
      </c>
      <c r="AF4794" t="n">
        <v>689</v>
      </c>
      <c r="AG4794" t="n">
        <v>107</v>
      </c>
      <c r="AH4794" t="inlineStr">
        <is>
          <t xml:space="preserve">CV. DAHLIA - PPN (PDG) </t>
        </is>
      </c>
      <c r="AI4794" t="n">
        <v>387</v>
      </c>
      <c r="AJ4794" t="inlineStr">
        <is>
          <t>SALSA</t>
        </is>
      </c>
      <c r="AK4794" t="n">
        <v>21</v>
      </c>
      <c r="AL4794" t="inlineStr">
        <is>
          <t>Miss Glam Damar</t>
        </is>
      </c>
      <c r="AM4794" t="n">
        <v>2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SALSA</t>
        </is>
      </c>
      <c r="B4795" s="2">
        <f>"8997207559023"</f>
        <v/>
      </c>
      <c r="C4795" t="inlineStr">
        <is>
          <t>SALSA Faux Eyelashes 02</t>
        </is>
      </c>
      <c r="D4795" t="inlineStr">
        <is>
          <t>Miss Glam Damar</t>
        </is>
      </c>
      <c r="E4795" t="n">
        <v>20</v>
      </c>
      <c r="F4795" t="n">
        <v>1.0647</v>
      </c>
      <c r="G4795" t="n">
        <v>11.83</v>
      </c>
      <c r="H4795" t="n">
        <v>2</v>
      </c>
      <c r="I4795" t="n">
        <v>16</v>
      </c>
      <c r="J4795" t="n">
        <v>3</v>
      </c>
      <c r="K4795" t="n">
        <v>0</v>
      </c>
      <c r="L4795" t="n">
        <v>7650</v>
      </c>
      <c r="M4795" t="n">
        <v>9000</v>
      </c>
      <c r="N4795" t="n">
        <v>91</v>
      </c>
      <c r="O4795" t="n">
        <v>0.91</v>
      </c>
      <c r="P4795" t="n">
        <v>1</v>
      </c>
      <c r="Q4795" t="n">
        <v>0.64</v>
      </c>
      <c r="R4795" t="n">
        <v>10</v>
      </c>
      <c r="S4795" t="n">
        <v>9582.299999999999</v>
      </c>
      <c r="T4795" t="n">
        <v>188</v>
      </c>
      <c r="U4795" t="n">
        <v>191</v>
      </c>
      <c r="V4795" t="n">
        <v>30</v>
      </c>
      <c r="W4795" t="n">
        <v>32</v>
      </c>
      <c r="X4795" t="n">
        <v>18.78463416924955</v>
      </c>
      <c r="Y4795" t="n">
        <v>1</v>
      </c>
      <c r="Z4795" t="n">
        <v>12</v>
      </c>
      <c r="AA4795" t="n">
        <v>0</v>
      </c>
      <c r="AB4795" t="n">
        <v>12</v>
      </c>
      <c r="AC4795" t="n">
        <v>12</v>
      </c>
      <c r="AD4795" t="n">
        <v>0</v>
      </c>
      <c r="AE4795" t="n">
        <v>91800</v>
      </c>
      <c r="AF4795" t="n">
        <v>689</v>
      </c>
      <c r="AG4795" t="n">
        <v>107</v>
      </c>
      <c r="AH4795" t="inlineStr">
        <is>
          <t xml:space="preserve">CV. DAHLIA - PPN (PDG) </t>
        </is>
      </c>
      <c r="AI4795" t="n">
        <v>387</v>
      </c>
      <c r="AJ4795" t="inlineStr">
        <is>
          <t>SALSA</t>
        </is>
      </c>
      <c r="AK4795" t="n">
        <v>21</v>
      </c>
      <c r="AL4795" t="inlineStr">
        <is>
          <t>Miss Glam Damar</t>
        </is>
      </c>
      <c r="AM4795" t="n">
        <v>2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SALSA</t>
        </is>
      </c>
      <c r="B4796" s="2">
        <f>"8997207559030"</f>
        <v/>
      </c>
      <c r="C4796" t="inlineStr">
        <is>
          <t>SALSA Faux Eyelashes 03</t>
        </is>
      </c>
      <c r="D4796" t="inlineStr">
        <is>
          <t>Miss Glam Damar</t>
        </is>
      </c>
      <c r="E4796" t="n">
        <v>0</v>
      </c>
      <c r="F4796" t="n">
        <v>1.3104</v>
      </c>
      <c r="G4796" t="n">
        <v>10.01</v>
      </c>
      <c r="H4796" t="n">
        <v>2</v>
      </c>
      <c r="I4796" t="n">
        <v>16</v>
      </c>
      <c r="J4796" t="n">
        <v>3</v>
      </c>
      <c r="K4796" t="n">
        <v>0</v>
      </c>
      <c r="L4796" t="n">
        <v>7650</v>
      </c>
      <c r="M4796" t="n">
        <v>9000</v>
      </c>
      <c r="N4796" t="n">
        <v>91</v>
      </c>
      <c r="O4796" t="n">
        <v>0.91</v>
      </c>
      <c r="P4796" t="n">
        <v>1</v>
      </c>
      <c r="Q4796" t="n">
        <v>1.16</v>
      </c>
      <c r="R4796" t="n">
        <v>20</v>
      </c>
      <c r="S4796" t="n">
        <v>11793.6</v>
      </c>
      <c r="T4796" t="n">
        <v>158</v>
      </c>
      <c r="U4796" t="n">
        <v>161</v>
      </c>
      <c r="V4796" t="n">
        <v>30</v>
      </c>
      <c r="W4796" t="n">
        <v>40</v>
      </c>
      <c r="X4796" t="n">
        <v>0</v>
      </c>
      <c r="Y4796" t="n">
        <v>1</v>
      </c>
      <c r="Z4796" t="n">
        <v>40</v>
      </c>
      <c r="AA4796" t="n">
        <v>21</v>
      </c>
      <c r="AB4796" t="n">
        <v>19</v>
      </c>
      <c r="AC4796" t="n">
        <v>19</v>
      </c>
      <c r="AD4796" t="n">
        <v>160650</v>
      </c>
      <c r="AE4796" t="n">
        <v>145350</v>
      </c>
      <c r="AF4796" t="n">
        <v>689</v>
      </c>
      <c r="AG4796" t="n">
        <v>107</v>
      </c>
      <c r="AH4796" t="inlineStr">
        <is>
          <t xml:space="preserve">CV. DAHLIA - PPN (PDG) </t>
        </is>
      </c>
      <c r="AI4796" t="n">
        <v>387</v>
      </c>
      <c r="AJ4796" t="inlineStr">
        <is>
          <t>SALSA</t>
        </is>
      </c>
      <c r="AK4796" t="n">
        <v>21</v>
      </c>
      <c r="AL4796" t="inlineStr">
        <is>
          <t>Miss Glam Damar</t>
        </is>
      </c>
      <c r="AM4796" t="n">
        <v>2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SALSA</t>
        </is>
      </c>
      <c r="B4797" s="2">
        <f>"8997207559047"</f>
        <v/>
      </c>
      <c r="C4797" t="inlineStr">
        <is>
          <t>SALSA Faux Eyelashes 04</t>
        </is>
      </c>
      <c r="D4797" t="inlineStr">
        <is>
          <t>Miss Glam Damar</t>
        </is>
      </c>
      <c r="E4797" t="n">
        <v>19</v>
      </c>
      <c r="F4797" t="n">
        <v>0.5824</v>
      </c>
      <c r="G4797" t="n">
        <v>10.01</v>
      </c>
      <c r="H4797" t="n">
        <v>2</v>
      </c>
      <c r="I4797" t="n">
        <v>16</v>
      </c>
      <c r="J4797" t="n">
        <v>3</v>
      </c>
      <c r="K4797" t="n">
        <v>0</v>
      </c>
      <c r="L4797" t="n">
        <v>7650</v>
      </c>
      <c r="M4797" t="n">
        <v>9000</v>
      </c>
      <c r="N4797" t="n">
        <v>91</v>
      </c>
      <c r="O4797" t="n">
        <v>0.91</v>
      </c>
      <c r="P4797" t="n">
        <v>1</v>
      </c>
      <c r="Q4797" t="n">
        <v>0.41</v>
      </c>
      <c r="R4797" t="n">
        <v>8</v>
      </c>
      <c r="S4797" t="n">
        <v>5241.6</v>
      </c>
      <c r="T4797" t="n">
        <v>159</v>
      </c>
      <c r="U4797" t="n">
        <v>161</v>
      </c>
      <c r="V4797" t="n">
        <v>30</v>
      </c>
      <c r="W4797" t="n">
        <v>18</v>
      </c>
      <c r="X4797" t="n">
        <v>32.62362637362637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689</v>
      </c>
      <c r="AG4797" t="n">
        <v>107</v>
      </c>
      <c r="AH4797" t="inlineStr">
        <is>
          <t xml:space="preserve">CV. DAHLIA - PPN (PDG) </t>
        </is>
      </c>
      <c r="AI4797" t="n">
        <v>387</v>
      </c>
      <c r="AJ4797" t="inlineStr">
        <is>
          <t>SALSA</t>
        </is>
      </c>
      <c r="AK4797" t="n">
        <v>21</v>
      </c>
      <c r="AL4797" t="inlineStr">
        <is>
          <t>Miss Glam Damar</t>
        </is>
      </c>
      <c r="AM4797" t="n">
        <v>2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SALSA</t>
        </is>
      </c>
      <c r="B4798" s="2">
        <f>"8997207559054"</f>
        <v/>
      </c>
      <c r="C4798" t="inlineStr">
        <is>
          <t>SALSA Faux Eyelashes 05</t>
        </is>
      </c>
      <c r="D4798" t="inlineStr">
        <is>
          <t>Miss Glam Damar</t>
        </is>
      </c>
      <c r="E4798" t="n">
        <v>31</v>
      </c>
      <c r="F4798" t="n">
        <v>1.0829</v>
      </c>
      <c r="G4798" t="n">
        <v>13.65</v>
      </c>
      <c r="H4798" t="n">
        <v>2</v>
      </c>
      <c r="I4798" t="n">
        <v>16</v>
      </c>
      <c r="J4798" t="n">
        <v>3</v>
      </c>
      <c r="K4798" t="n">
        <v>0</v>
      </c>
      <c r="L4798" t="n">
        <v>7650</v>
      </c>
      <c r="M4798" t="n">
        <v>9000</v>
      </c>
      <c r="N4798" t="n">
        <v>91</v>
      </c>
      <c r="O4798" t="n">
        <v>0.91</v>
      </c>
      <c r="P4798" t="n">
        <v>1</v>
      </c>
      <c r="Q4798" t="n">
        <v>0.36</v>
      </c>
      <c r="R4798" t="n">
        <v>4</v>
      </c>
      <c r="S4798" t="n">
        <v>9746.1</v>
      </c>
      <c r="T4798" t="n">
        <v>217</v>
      </c>
      <c r="U4798" t="n">
        <v>220</v>
      </c>
      <c r="V4798" t="n">
        <v>30</v>
      </c>
      <c r="W4798" t="n">
        <v>33</v>
      </c>
      <c r="X4798" t="n">
        <v>28.62683534952443</v>
      </c>
      <c r="Y4798" t="n">
        <v>1</v>
      </c>
      <c r="Z4798" t="n">
        <v>2</v>
      </c>
      <c r="AA4798" t="n">
        <v>0</v>
      </c>
      <c r="AB4798" t="n">
        <v>2</v>
      </c>
      <c r="AC4798" t="n">
        <v>3</v>
      </c>
      <c r="AD4798" t="n">
        <v>0</v>
      </c>
      <c r="AE4798" t="n">
        <v>22950</v>
      </c>
      <c r="AF4798" t="n">
        <v>689</v>
      </c>
      <c r="AG4798" t="n">
        <v>107</v>
      </c>
      <c r="AH4798" t="inlineStr">
        <is>
          <t xml:space="preserve">CV. DAHLIA - PPN (PDG) </t>
        </is>
      </c>
      <c r="AI4798" t="n">
        <v>387</v>
      </c>
      <c r="AJ4798" t="inlineStr">
        <is>
          <t>SALSA</t>
        </is>
      </c>
      <c r="AK4798" t="n">
        <v>21</v>
      </c>
      <c r="AL4798" t="inlineStr">
        <is>
          <t>Miss Glam Damar</t>
        </is>
      </c>
      <c r="AM4798" t="n">
        <v>2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SALSA</t>
        </is>
      </c>
      <c r="B4799" s="2">
        <f>"8997207559061"</f>
        <v/>
      </c>
      <c r="C4799" t="inlineStr">
        <is>
          <t>SALSA Faux Eyelashes 06</t>
        </is>
      </c>
      <c r="D4799" t="inlineStr">
        <is>
          <t>Miss Glam Damar</t>
        </is>
      </c>
      <c r="E4799" t="n">
        <v>20</v>
      </c>
      <c r="F4799" t="n">
        <v>0.2275</v>
      </c>
      <c r="G4799" t="n">
        <v>2.73</v>
      </c>
      <c r="H4799" t="n">
        <v>2</v>
      </c>
      <c r="I4799" t="n">
        <v>16</v>
      </c>
      <c r="J4799" t="n">
        <v>3</v>
      </c>
      <c r="K4799" t="n">
        <v>0</v>
      </c>
      <c r="L4799" t="n">
        <v>7650</v>
      </c>
      <c r="M4799" t="n">
        <v>9000</v>
      </c>
      <c r="N4799" t="n">
        <v>91</v>
      </c>
      <c r="O4799" t="n">
        <v>0.91</v>
      </c>
      <c r="P4799" t="n">
        <v>1</v>
      </c>
      <c r="Q4799" t="n">
        <v>0.24</v>
      </c>
      <c r="R4799" t="n">
        <v>4</v>
      </c>
      <c r="S4799" t="n">
        <v>2047.5</v>
      </c>
      <c r="T4799" t="n">
        <v>44</v>
      </c>
      <c r="U4799" t="n">
        <v>45</v>
      </c>
      <c r="V4799" t="n">
        <v>30</v>
      </c>
      <c r="W4799" t="n">
        <v>7</v>
      </c>
      <c r="X4799" t="n">
        <v>87.91208791208791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689</v>
      </c>
      <c r="AG4799" t="n">
        <v>107</v>
      </c>
      <c r="AH4799" t="inlineStr">
        <is>
          <t xml:space="preserve">CV. DAHLIA - PPN (PDG) </t>
        </is>
      </c>
      <c r="AI4799" t="n">
        <v>387</v>
      </c>
      <c r="AJ4799" t="inlineStr">
        <is>
          <t>SALSA</t>
        </is>
      </c>
      <c r="AK4799" t="n">
        <v>21</v>
      </c>
      <c r="AL4799" t="inlineStr">
        <is>
          <t>Miss Glam Damar</t>
        </is>
      </c>
      <c r="AM4799" t="n">
        <v>2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SALSA</t>
        </is>
      </c>
      <c r="B4800" s="2">
        <f>"20200567117"</f>
        <v/>
      </c>
      <c r="C4800" t="inlineStr">
        <is>
          <t>SALSA Galaxy Eyeshadow Pallete Coma 15gr</t>
        </is>
      </c>
      <c r="D4800" t="inlineStr">
        <is>
          <t>Miss Glam Damar</t>
        </is>
      </c>
      <c r="E4800" t="n">
        <v>6</v>
      </c>
      <c r="F4800" t="n">
        <v>0.5277999999999999</v>
      </c>
      <c r="G4800" t="n">
        <v>2.73</v>
      </c>
      <c r="H4800" t="n">
        <v>2</v>
      </c>
      <c r="I4800" t="n">
        <v>16</v>
      </c>
      <c r="J4800" t="n">
        <v>1</v>
      </c>
      <c r="K4800" t="n">
        <v>0</v>
      </c>
      <c r="L4800" t="n">
        <v>24480</v>
      </c>
      <c r="M4800" t="n">
        <v>28800</v>
      </c>
      <c r="N4800" t="n">
        <v>91</v>
      </c>
      <c r="O4800" t="n">
        <v>0.91</v>
      </c>
      <c r="P4800" t="n">
        <v>1</v>
      </c>
      <c r="Q4800" t="n">
        <v>0.44</v>
      </c>
      <c r="R4800" t="n">
        <v>2</v>
      </c>
      <c r="S4800" t="n">
        <v>15200.64</v>
      </c>
      <c r="T4800" t="n">
        <v>43</v>
      </c>
      <c r="U4800" t="n">
        <v>45</v>
      </c>
      <c r="V4800" t="n">
        <v>30</v>
      </c>
      <c r="W4800" t="n">
        <v>16</v>
      </c>
      <c r="X4800" t="n">
        <v>11.36794240242516</v>
      </c>
      <c r="Y4800" t="n">
        <v>1</v>
      </c>
      <c r="Z4800" t="n">
        <v>10</v>
      </c>
      <c r="AA4800" t="n">
        <v>3</v>
      </c>
      <c r="AB4800" t="n">
        <v>7</v>
      </c>
      <c r="AC4800" t="n">
        <v>7</v>
      </c>
      <c r="AD4800" t="n">
        <v>73440</v>
      </c>
      <c r="AE4800" t="n">
        <v>171360</v>
      </c>
      <c r="AF4800" t="n">
        <v>689</v>
      </c>
      <c r="AG4800" t="n">
        <v>107</v>
      </c>
      <c r="AH4800" t="inlineStr">
        <is>
          <t xml:space="preserve">CV. DAHLIA - PPN (PDG) </t>
        </is>
      </c>
      <c r="AI4800" t="n">
        <v>387</v>
      </c>
      <c r="AJ4800" t="inlineStr">
        <is>
          <t>SALSA</t>
        </is>
      </c>
      <c r="AK4800" t="n">
        <v>21</v>
      </c>
      <c r="AL4800" t="inlineStr">
        <is>
          <t>Miss Glam Damar</t>
        </is>
      </c>
      <c r="AM4800" t="n">
        <v>2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SALSA</t>
        </is>
      </c>
      <c r="B4801" s="2">
        <f>"20200567260"</f>
        <v/>
      </c>
      <c r="C4801" t="inlineStr">
        <is>
          <t>SALSA Galaxy Eyeshadow Pallete Comet 15gr</t>
        </is>
      </c>
      <c r="D4801" t="inlineStr">
        <is>
          <t>Miss Glam Damar</t>
        </is>
      </c>
      <c r="E4801" t="n">
        <v>36</v>
      </c>
      <c r="F4801" t="n">
        <v>1.4014</v>
      </c>
      <c r="G4801" t="n">
        <v>4.55</v>
      </c>
      <c r="H4801" t="n">
        <v>2</v>
      </c>
      <c r="I4801" t="n">
        <v>16</v>
      </c>
      <c r="J4801" t="n">
        <v>1</v>
      </c>
      <c r="K4801" t="n">
        <v>0</v>
      </c>
      <c r="L4801" t="n">
        <v>24480</v>
      </c>
      <c r="M4801" t="n">
        <v>28800</v>
      </c>
      <c r="N4801" t="n">
        <v>91</v>
      </c>
      <c r="O4801" t="n">
        <v>0.91</v>
      </c>
      <c r="P4801" t="n">
        <v>1</v>
      </c>
      <c r="Q4801" t="n">
        <v>1.39</v>
      </c>
      <c r="R4801" t="n">
        <v>5</v>
      </c>
      <c r="S4801" t="n">
        <v>40360.32</v>
      </c>
      <c r="T4801" t="n">
        <v>70</v>
      </c>
      <c r="U4801" t="n">
        <v>73</v>
      </c>
      <c r="V4801" t="n">
        <v>30</v>
      </c>
      <c r="W4801" t="n">
        <v>43</v>
      </c>
      <c r="X4801" t="n">
        <v>25.68859711716854</v>
      </c>
      <c r="Y4801" t="n">
        <v>1</v>
      </c>
      <c r="Z4801" t="n">
        <v>7</v>
      </c>
      <c r="AA4801" t="n">
        <v>0</v>
      </c>
      <c r="AB4801" t="n">
        <v>7</v>
      </c>
      <c r="AC4801" t="n">
        <v>7</v>
      </c>
      <c r="AD4801" t="n">
        <v>0</v>
      </c>
      <c r="AE4801" t="n">
        <v>171360</v>
      </c>
      <c r="AF4801" t="n">
        <v>689</v>
      </c>
      <c r="AG4801" t="n">
        <v>107</v>
      </c>
      <c r="AH4801" t="inlineStr">
        <is>
          <t xml:space="preserve">CV. DAHLIA - PPN (PDG) </t>
        </is>
      </c>
      <c r="AI4801" t="n">
        <v>387</v>
      </c>
      <c r="AJ4801" t="inlineStr">
        <is>
          <t>SALSA</t>
        </is>
      </c>
      <c r="AK4801" t="n">
        <v>21</v>
      </c>
      <c r="AL4801" t="inlineStr">
        <is>
          <t>Miss Glam Damar</t>
        </is>
      </c>
      <c r="AM4801" t="n">
        <v>2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SALSA</t>
        </is>
      </c>
      <c r="B4802" s="2">
        <f>"20200567318"</f>
        <v/>
      </c>
      <c r="C4802" t="inlineStr">
        <is>
          <t>SALSA Galaxy Eyeshadow Pallete Cosmo 15gr</t>
        </is>
      </c>
      <c r="D4802" t="inlineStr">
        <is>
          <t>Miss Glam Damar</t>
        </is>
      </c>
      <c r="E4802" t="n">
        <v>6</v>
      </c>
      <c r="F4802" t="n">
        <v>0.182</v>
      </c>
      <c r="G4802" t="n">
        <v>1.82</v>
      </c>
      <c r="H4802" t="n">
        <v>2</v>
      </c>
      <c r="I4802" t="n">
        <v>16</v>
      </c>
      <c r="J4802" t="n">
        <v>1</v>
      </c>
      <c r="K4802" t="n">
        <v>0</v>
      </c>
      <c r="L4802" t="n">
        <v>24480</v>
      </c>
      <c r="M4802" t="n">
        <v>29000</v>
      </c>
      <c r="N4802" t="n">
        <v>91</v>
      </c>
      <c r="O4802" t="n">
        <v>0.91</v>
      </c>
      <c r="P4802" t="n">
        <v>1</v>
      </c>
      <c r="Q4802" t="n">
        <v>0.22</v>
      </c>
      <c r="R4802" t="n">
        <v>2</v>
      </c>
      <c r="S4802" t="n">
        <v>5278.000000000001</v>
      </c>
      <c r="T4802" t="n">
        <v>29</v>
      </c>
      <c r="U4802" t="n">
        <v>30</v>
      </c>
      <c r="V4802" t="n">
        <v>30</v>
      </c>
      <c r="W4802" t="n">
        <v>6</v>
      </c>
      <c r="X4802" t="n">
        <v>32.96703296703296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689</v>
      </c>
      <c r="AG4802" t="n">
        <v>107</v>
      </c>
      <c r="AH4802" t="inlineStr">
        <is>
          <t xml:space="preserve">CV. DAHLIA - PPN (PDG) </t>
        </is>
      </c>
      <c r="AI4802" t="n">
        <v>387</v>
      </c>
      <c r="AJ4802" t="inlineStr">
        <is>
          <t>SALSA</t>
        </is>
      </c>
      <c r="AK4802" t="n">
        <v>21</v>
      </c>
      <c r="AL4802" t="inlineStr">
        <is>
          <t>Miss Glam Damar</t>
        </is>
      </c>
      <c r="AM4802" t="n">
        <v>2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SALSA</t>
        </is>
      </c>
      <c r="B4803" s="2">
        <f>"8997207557517"</f>
        <v/>
      </c>
      <c r="C4803" t="inlineStr">
        <is>
          <t>SALSA Growth Hair Serum 80ml</t>
        </is>
      </c>
      <c r="D4803" t="inlineStr">
        <is>
          <t>Miss Glam Damar</t>
        </is>
      </c>
      <c r="E4803" t="n">
        <v>21</v>
      </c>
      <c r="F4803" t="n">
        <v>0.8918</v>
      </c>
      <c r="G4803" t="n">
        <v>4.55</v>
      </c>
      <c r="H4803" t="n">
        <v>2</v>
      </c>
      <c r="I4803" t="n">
        <v>16</v>
      </c>
      <c r="J4803" t="n">
        <v>3</v>
      </c>
      <c r="K4803" t="n">
        <v>0</v>
      </c>
      <c r="L4803" t="n">
        <v>16984</v>
      </c>
      <c r="M4803" t="n">
        <v>20000</v>
      </c>
      <c r="N4803" t="n">
        <v>91</v>
      </c>
      <c r="O4803" t="n">
        <v>0.91</v>
      </c>
      <c r="P4803" t="n">
        <v>1</v>
      </c>
      <c r="Q4803" t="n">
        <v>0.93</v>
      </c>
      <c r="R4803" t="n">
        <v>4</v>
      </c>
      <c r="S4803" t="n">
        <v>17836</v>
      </c>
      <c r="T4803" t="n">
        <v>72</v>
      </c>
      <c r="U4803" t="n">
        <v>74</v>
      </c>
      <c r="V4803" t="n">
        <v>30</v>
      </c>
      <c r="W4803" t="n">
        <v>27</v>
      </c>
      <c r="X4803" t="n">
        <v>23.54788069073783</v>
      </c>
      <c r="Y4803" t="n">
        <v>1</v>
      </c>
      <c r="Z4803" t="n">
        <v>6</v>
      </c>
      <c r="AA4803" t="n">
        <v>0</v>
      </c>
      <c r="AB4803" t="n">
        <v>6</v>
      </c>
      <c r="AC4803" t="n">
        <v>6</v>
      </c>
      <c r="AD4803" t="n">
        <v>0</v>
      </c>
      <c r="AE4803" t="n">
        <v>101904</v>
      </c>
      <c r="AF4803" t="n">
        <v>689</v>
      </c>
      <c r="AG4803" t="n">
        <v>107</v>
      </c>
      <c r="AH4803" t="inlineStr">
        <is>
          <t xml:space="preserve">CV. DAHLIA - PPN (PDG) </t>
        </is>
      </c>
      <c r="AI4803" t="n">
        <v>387</v>
      </c>
      <c r="AJ4803" t="inlineStr">
        <is>
          <t>SALSA</t>
        </is>
      </c>
      <c r="AK4803" t="n">
        <v>21</v>
      </c>
      <c r="AL4803" t="inlineStr">
        <is>
          <t>Miss Glam Damar</t>
        </is>
      </c>
      <c r="AM4803" t="n">
        <v>2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SALSA</t>
        </is>
      </c>
      <c r="B4804" s="2">
        <f>"8997207559221"</f>
        <v/>
      </c>
      <c r="C4804" t="inlineStr">
        <is>
          <t>SALSA Hair Color Coffee S-4.00</t>
        </is>
      </c>
      <c r="D4804" t="inlineStr">
        <is>
          <t>Miss Glam Damar</t>
        </is>
      </c>
      <c r="E4804" t="n">
        <v>10</v>
      </c>
      <c r="F4804" t="n">
        <v>1.5379</v>
      </c>
      <c r="G4804" t="n">
        <v>8.19</v>
      </c>
      <c r="H4804" t="n">
        <v>2</v>
      </c>
      <c r="I4804" t="n">
        <v>16</v>
      </c>
      <c r="J4804" t="n">
        <v>3</v>
      </c>
      <c r="K4804" t="n">
        <v>0</v>
      </c>
      <c r="L4804" t="n">
        <v>12750</v>
      </c>
      <c r="M4804" t="n">
        <v>15000</v>
      </c>
      <c r="N4804" t="n">
        <v>91</v>
      </c>
      <c r="O4804" t="n">
        <v>0.91</v>
      </c>
      <c r="P4804" t="n">
        <v>1</v>
      </c>
      <c r="Q4804" t="n">
        <v>1.08</v>
      </c>
      <c r="R4804" t="n">
        <v>6</v>
      </c>
      <c r="S4804" t="n">
        <v>23068.5</v>
      </c>
      <c r="T4804" t="n">
        <v>128</v>
      </c>
      <c r="U4804" t="n">
        <v>132</v>
      </c>
      <c r="V4804" t="n">
        <v>30</v>
      </c>
      <c r="W4804" t="n">
        <v>47</v>
      </c>
      <c r="X4804" t="n">
        <v>6.502373366278691</v>
      </c>
      <c r="Y4804" t="n">
        <v>1</v>
      </c>
      <c r="Z4804" t="n">
        <v>37</v>
      </c>
      <c r="AA4804" t="n">
        <v>15</v>
      </c>
      <c r="AB4804" t="n">
        <v>22</v>
      </c>
      <c r="AC4804" t="n">
        <v>22</v>
      </c>
      <c r="AD4804" t="n">
        <v>191250</v>
      </c>
      <c r="AE4804" t="n">
        <v>280500</v>
      </c>
      <c r="AF4804" t="n">
        <v>689</v>
      </c>
      <c r="AG4804" t="n">
        <v>107</v>
      </c>
      <c r="AH4804" t="inlineStr">
        <is>
          <t xml:space="preserve">CV. DAHLIA - PPN (PDG) </t>
        </is>
      </c>
      <c r="AI4804" t="n">
        <v>387</v>
      </c>
      <c r="AJ4804" t="inlineStr">
        <is>
          <t>SALSA</t>
        </is>
      </c>
      <c r="AK4804" t="n">
        <v>21</v>
      </c>
      <c r="AL4804" t="inlineStr">
        <is>
          <t>Miss Glam Damar</t>
        </is>
      </c>
      <c r="AM4804" t="n">
        <v>2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SALSA</t>
        </is>
      </c>
      <c r="B4805" s="2">
        <f>"8997207550051"</f>
        <v/>
      </c>
      <c r="C4805" t="inlineStr">
        <is>
          <t>SALSA Hair Serum Rose 80ml</t>
        </is>
      </c>
      <c r="D4805" t="inlineStr">
        <is>
          <t>Miss Glam Damar</t>
        </is>
      </c>
      <c r="E4805" t="n">
        <v>7</v>
      </c>
      <c r="F4805" t="n">
        <v>0.4823000000000001</v>
      </c>
      <c r="G4805" t="n">
        <v>4.55</v>
      </c>
      <c r="H4805" t="n">
        <v>2</v>
      </c>
      <c r="I4805" t="n">
        <v>16</v>
      </c>
      <c r="J4805" t="n">
        <v>3</v>
      </c>
      <c r="K4805" t="n">
        <v>0</v>
      </c>
      <c r="L4805" t="n">
        <v>16834</v>
      </c>
      <c r="M4805" t="n">
        <v>20000</v>
      </c>
      <c r="N4805" t="n">
        <v>91</v>
      </c>
      <c r="O4805" t="n">
        <v>0.91</v>
      </c>
      <c r="P4805" t="n">
        <v>1</v>
      </c>
      <c r="Q4805" t="n">
        <v>0.42</v>
      </c>
      <c r="R4805" t="n">
        <v>2</v>
      </c>
      <c r="S4805" t="n">
        <v>9646.000000000002</v>
      </c>
      <c r="T4805" t="n">
        <v>72</v>
      </c>
      <c r="U4805" t="n">
        <v>73</v>
      </c>
      <c r="V4805" t="n">
        <v>30</v>
      </c>
      <c r="W4805" t="n">
        <v>15</v>
      </c>
      <c r="X4805" t="n">
        <v>14.51378809869376</v>
      </c>
      <c r="Y4805" t="n">
        <v>1</v>
      </c>
      <c r="Z4805" t="n">
        <v>8</v>
      </c>
      <c r="AA4805" t="n">
        <v>1</v>
      </c>
      <c r="AB4805" t="n">
        <v>7</v>
      </c>
      <c r="AC4805" t="n">
        <v>7</v>
      </c>
      <c r="AD4805" t="n">
        <v>16834</v>
      </c>
      <c r="AE4805" t="n">
        <v>117838</v>
      </c>
      <c r="AF4805" t="n">
        <v>689</v>
      </c>
      <c r="AG4805" t="n">
        <v>107</v>
      </c>
      <c r="AH4805" t="inlineStr">
        <is>
          <t xml:space="preserve">CV. DAHLIA - PPN (PDG) </t>
        </is>
      </c>
      <c r="AI4805" t="n">
        <v>387</v>
      </c>
      <c r="AJ4805" t="inlineStr">
        <is>
          <t>SALSA</t>
        </is>
      </c>
      <c r="AK4805" t="n">
        <v>21</v>
      </c>
      <c r="AL4805" t="inlineStr">
        <is>
          <t>Miss Glam Damar</t>
        </is>
      </c>
      <c r="AM4805" t="n">
        <v>2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SALSA</t>
        </is>
      </c>
      <c r="B4806" s="2">
        <f>"8995028209615"</f>
        <v/>
      </c>
      <c r="C4806" t="inlineStr">
        <is>
          <t>SALSA Hans Jebb Greentea Gel Skin Cleaner 110gr</t>
        </is>
      </c>
      <c r="D4806" t="inlineStr">
        <is>
          <t>Miss Glam Damar</t>
        </is>
      </c>
      <c r="E4806" t="n">
        <v>6</v>
      </c>
      <c r="F4806" t="n">
        <v>0.06370000000000001</v>
      </c>
      <c r="G4806" t="n">
        <v>0.91</v>
      </c>
      <c r="H4806" t="n">
        <v>2</v>
      </c>
      <c r="I4806" t="n">
        <v>16</v>
      </c>
      <c r="J4806" t="n">
        <v>3</v>
      </c>
      <c r="K4806" t="n">
        <v>0</v>
      </c>
      <c r="L4806" t="n">
        <v>16830</v>
      </c>
      <c r="M4806" t="n">
        <v>20000</v>
      </c>
      <c r="N4806" t="n">
        <v>91</v>
      </c>
      <c r="O4806" t="n">
        <v>0.91</v>
      </c>
      <c r="P4806" t="n">
        <v>1</v>
      </c>
      <c r="Q4806" t="n">
        <v>0.02</v>
      </c>
      <c r="R4806" t="n">
        <v>0</v>
      </c>
      <c r="S4806" t="n">
        <v>1274</v>
      </c>
      <c r="T4806" t="n">
        <v>15</v>
      </c>
      <c r="U4806" t="n">
        <v>16</v>
      </c>
      <c r="V4806" t="n">
        <v>30</v>
      </c>
      <c r="W4806" t="n">
        <v>2</v>
      </c>
      <c r="X4806" t="n">
        <v>94.19152276295132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689</v>
      </c>
      <c r="AG4806" t="n">
        <v>107</v>
      </c>
      <c r="AH4806" t="inlineStr">
        <is>
          <t xml:space="preserve">CV. DAHLIA - PPN (PDG) </t>
        </is>
      </c>
      <c r="AI4806" t="n">
        <v>387</v>
      </c>
      <c r="AJ4806" t="inlineStr">
        <is>
          <t>SALSA</t>
        </is>
      </c>
      <c r="AK4806" t="n">
        <v>21</v>
      </c>
      <c r="AL4806" t="inlineStr">
        <is>
          <t>Miss Glam Damar</t>
        </is>
      </c>
      <c r="AM4806" t="n">
        <v>2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SALSA</t>
        </is>
      </c>
      <c r="B4807" s="2">
        <f>"8997207558880"</f>
        <v/>
      </c>
      <c r="C4807" t="inlineStr">
        <is>
          <t>SALSA Hans Jebb Lemon Breeze Gel Skin Cleaner 110gr</t>
        </is>
      </c>
      <c r="D4807" t="inlineStr">
        <is>
          <t>Miss Glam Damar</t>
        </is>
      </c>
      <c r="E4807" t="n">
        <v>5</v>
      </c>
      <c r="F4807" t="n">
        <v>0.1274</v>
      </c>
      <c r="G4807" t="n">
        <v>1.82</v>
      </c>
      <c r="H4807" t="n">
        <v>2</v>
      </c>
      <c r="I4807" t="n">
        <v>16</v>
      </c>
      <c r="J4807" t="n">
        <v>3</v>
      </c>
      <c r="K4807" t="n">
        <v>0</v>
      </c>
      <c r="L4807" t="n">
        <v>16830</v>
      </c>
      <c r="M4807" t="n">
        <v>20000</v>
      </c>
      <c r="N4807" t="n">
        <v>91</v>
      </c>
      <c r="O4807" t="n">
        <v>0.91</v>
      </c>
      <c r="P4807" t="n">
        <v>1</v>
      </c>
      <c r="Q4807" t="n">
        <v>0.03</v>
      </c>
      <c r="R4807" t="n">
        <v>1</v>
      </c>
      <c r="S4807" t="n">
        <v>2548</v>
      </c>
      <c r="T4807" t="n">
        <v>29</v>
      </c>
      <c r="U4807" t="n">
        <v>30</v>
      </c>
      <c r="V4807" t="n">
        <v>30</v>
      </c>
      <c r="W4807" t="n">
        <v>4</v>
      </c>
      <c r="X4807" t="n">
        <v>39.24646781789639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689</v>
      </c>
      <c r="AG4807" t="n">
        <v>107</v>
      </c>
      <c r="AH4807" t="inlineStr">
        <is>
          <t xml:space="preserve">CV. DAHLIA - PPN (PDG) </t>
        </is>
      </c>
      <c r="AI4807" t="n">
        <v>387</v>
      </c>
      <c r="AJ4807" t="inlineStr">
        <is>
          <t>SALSA</t>
        </is>
      </c>
      <c r="AK4807" t="n">
        <v>21</v>
      </c>
      <c r="AL4807" t="inlineStr">
        <is>
          <t>Miss Glam Damar</t>
        </is>
      </c>
      <c r="AM4807" t="n">
        <v>2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SALSA</t>
        </is>
      </c>
      <c r="B4808" s="2">
        <f>"8995028208335"</f>
        <v/>
      </c>
      <c r="C4808" t="inlineStr">
        <is>
          <t>SALSA Hans Jebb Sweet Tropical Gel Skin Cleaner 110gr</t>
        </is>
      </c>
      <c r="D4808" t="inlineStr">
        <is>
          <t>Miss Glam Damar</t>
        </is>
      </c>
      <c r="E4808" t="n">
        <v>3</v>
      </c>
      <c r="F4808" t="n">
        <v>0.0273</v>
      </c>
      <c r="G4808" t="n">
        <v>0.91</v>
      </c>
      <c r="H4808" t="n">
        <v>2</v>
      </c>
      <c r="I4808" t="n">
        <v>16</v>
      </c>
      <c r="J4808" t="n">
        <v>3</v>
      </c>
      <c r="K4808" t="n">
        <v>0</v>
      </c>
      <c r="L4808" t="n">
        <v>16830</v>
      </c>
      <c r="M4808" t="n">
        <v>20000</v>
      </c>
      <c r="N4808" t="n">
        <v>91</v>
      </c>
      <c r="O4808" t="n">
        <v>0.91</v>
      </c>
      <c r="P4808" t="n">
        <v>1</v>
      </c>
      <c r="Q4808" t="n">
        <v>0.03</v>
      </c>
      <c r="R4808" t="n">
        <v>1</v>
      </c>
      <c r="S4808" t="n">
        <v>546</v>
      </c>
      <c r="T4808" t="n">
        <v>15</v>
      </c>
      <c r="U4808" t="n">
        <v>16</v>
      </c>
      <c r="V4808" t="n">
        <v>30</v>
      </c>
      <c r="W4808" t="n">
        <v>1</v>
      </c>
      <c r="X4808" t="n">
        <v>109.8901098901099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689</v>
      </c>
      <c r="AG4808" t="n">
        <v>107</v>
      </c>
      <c r="AH4808" t="inlineStr">
        <is>
          <t xml:space="preserve">CV. DAHLIA - PPN (PDG) </t>
        </is>
      </c>
      <c r="AI4808" t="n">
        <v>387</v>
      </c>
      <c r="AJ4808" t="inlineStr">
        <is>
          <t>SALSA</t>
        </is>
      </c>
      <c r="AK4808" t="n">
        <v>21</v>
      </c>
      <c r="AL4808" t="inlineStr">
        <is>
          <t>Miss Glam Damar</t>
        </is>
      </c>
      <c r="AM4808" t="n">
        <v>2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SALSA</t>
        </is>
      </c>
      <c r="B4809" s="2">
        <f>"10200415824"</f>
        <v/>
      </c>
      <c r="C4809" t="inlineStr">
        <is>
          <t>SALSA Hans Jebb+ Lemon Breeze 150gr</t>
        </is>
      </c>
      <c r="D4809" t="inlineStr">
        <is>
          <t>Miss Glam Damar</t>
        </is>
      </c>
      <c r="E4809" t="n">
        <v>2</v>
      </c>
      <c r="F4809" t="n">
        <v>0.04550000000000001</v>
      </c>
      <c r="G4809" t="n">
        <v>1.82</v>
      </c>
      <c r="H4809" t="n">
        <v>2</v>
      </c>
      <c r="I4809" t="n">
        <v>16</v>
      </c>
      <c r="J4809" t="n">
        <v>1</v>
      </c>
      <c r="K4809" t="n">
        <v>0</v>
      </c>
      <c r="L4809" t="n">
        <v>19550</v>
      </c>
      <c r="M4809" t="n">
        <v>23000</v>
      </c>
      <c r="N4809" t="n">
        <v>91</v>
      </c>
      <c r="O4809" t="n">
        <v>0.91</v>
      </c>
      <c r="P4809" t="n">
        <v>1</v>
      </c>
      <c r="Q4809" t="n">
        <v>0.07000000000000001</v>
      </c>
      <c r="R4809" t="n">
        <v>1</v>
      </c>
      <c r="S4809" t="n">
        <v>1046.5</v>
      </c>
      <c r="T4809" t="n">
        <v>30</v>
      </c>
      <c r="U4809" t="n">
        <v>31</v>
      </c>
      <c r="V4809" t="n">
        <v>30</v>
      </c>
      <c r="W4809" t="n">
        <v>2</v>
      </c>
      <c r="X4809" t="n">
        <v>43.95604395604395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689</v>
      </c>
      <c r="AG4809" t="n">
        <v>107</v>
      </c>
      <c r="AH4809" t="inlineStr">
        <is>
          <t xml:space="preserve">CV. DAHLIA - PPN (PDG) </t>
        </is>
      </c>
      <c r="AI4809" t="n">
        <v>387</v>
      </c>
      <c r="AJ4809" t="inlineStr">
        <is>
          <t>SALSA</t>
        </is>
      </c>
      <c r="AK4809" t="n">
        <v>21</v>
      </c>
      <c r="AL4809" t="inlineStr">
        <is>
          <t>Miss Glam Damar</t>
        </is>
      </c>
      <c r="AM4809" t="n">
        <v>2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SALSA</t>
        </is>
      </c>
      <c r="B4810" s="2">
        <f>"30100244508"</f>
        <v/>
      </c>
      <c r="C4810" t="inlineStr">
        <is>
          <t>SALSA HansJebb + Greentea Apple 150gr</t>
        </is>
      </c>
      <c r="D4810" t="inlineStr">
        <is>
          <t>Miss Glam Damar</t>
        </is>
      </c>
      <c r="E4810" t="n">
        <v>2</v>
      </c>
      <c r="F4810" t="n">
        <v>0.0273</v>
      </c>
      <c r="G4810" t="n">
        <v>0.91</v>
      </c>
      <c r="H4810" t="n">
        <v>2</v>
      </c>
      <c r="I4810" t="n">
        <v>16</v>
      </c>
      <c r="J4810" t="n">
        <v>1</v>
      </c>
      <c r="K4810" t="n">
        <v>0</v>
      </c>
      <c r="L4810" t="n">
        <v>19550</v>
      </c>
      <c r="M4810" t="n">
        <v>23000</v>
      </c>
      <c r="N4810" t="n">
        <v>91</v>
      </c>
      <c r="O4810" t="n">
        <v>0.91</v>
      </c>
      <c r="P4810" t="n">
        <v>1</v>
      </c>
      <c r="Q4810" t="n">
        <v>0.02</v>
      </c>
      <c r="R4810" t="n">
        <v>1</v>
      </c>
      <c r="S4810" t="n">
        <v>627.9</v>
      </c>
      <c r="T4810" t="n">
        <v>15</v>
      </c>
      <c r="U4810" t="n">
        <v>16</v>
      </c>
      <c r="V4810" t="n">
        <v>30</v>
      </c>
      <c r="W4810" t="n">
        <v>1</v>
      </c>
      <c r="X4810" t="n">
        <v>73.26007326007326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689</v>
      </c>
      <c r="AG4810" t="n">
        <v>107</v>
      </c>
      <c r="AH4810" t="inlineStr">
        <is>
          <t xml:space="preserve">CV. DAHLIA - PPN (PDG) </t>
        </is>
      </c>
      <c r="AI4810" t="n">
        <v>387</v>
      </c>
      <c r="AJ4810" t="inlineStr">
        <is>
          <t>SALSA</t>
        </is>
      </c>
      <c r="AK4810" t="n">
        <v>21</v>
      </c>
      <c r="AL4810" t="inlineStr">
        <is>
          <t>Miss Glam Damar</t>
        </is>
      </c>
      <c r="AM4810" t="n">
        <v>2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SALSA</t>
        </is>
      </c>
      <c r="B4811" s="2">
        <f>"30100244603"</f>
        <v/>
      </c>
      <c r="C4811" t="inlineStr">
        <is>
          <t>SALSA HansJebb + Peach Plum 150gr</t>
        </is>
      </c>
      <c r="D4811" t="inlineStr">
        <is>
          <t>Miss Glam Damar</t>
        </is>
      </c>
      <c r="E4811" t="n">
        <v>1</v>
      </c>
      <c r="F4811" t="n">
        <v>0.0728</v>
      </c>
      <c r="G4811" t="n">
        <v>0.91</v>
      </c>
      <c r="H4811" t="n">
        <v>2</v>
      </c>
      <c r="I4811" t="n">
        <v>16</v>
      </c>
      <c r="J4811" t="n">
        <v>1</v>
      </c>
      <c r="K4811" t="n">
        <v>0</v>
      </c>
      <c r="L4811" t="n">
        <v>19550</v>
      </c>
      <c r="M4811" t="n">
        <v>23000</v>
      </c>
      <c r="N4811" t="n">
        <v>91</v>
      </c>
      <c r="O4811" t="n">
        <v>0.91</v>
      </c>
      <c r="P4811" t="n">
        <v>1</v>
      </c>
      <c r="Q4811" t="n">
        <v>0.05</v>
      </c>
      <c r="R4811" t="n">
        <v>1</v>
      </c>
      <c r="S4811" t="n">
        <v>1674.4</v>
      </c>
      <c r="T4811" t="n">
        <v>15</v>
      </c>
      <c r="U4811" t="n">
        <v>16</v>
      </c>
      <c r="V4811" t="n">
        <v>30</v>
      </c>
      <c r="W4811" t="n">
        <v>3</v>
      </c>
      <c r="X4811" t="n">
        <v>13.73626373626374</v>
      </c>
      <c r="Y4811" t="n">
        <v>1</v>
      </c>
      <c r="Z4811" t="n">
        <v>2</v>
      </c>
      <c r="AA4811" t="n">
        <v>1</v>
      </c>
      <c r="AB4811" t="n">
        <v>1</v>
      </c>
      <c r="AC4811" t="n">
        <v>1</v>
      </c>
      <c r="AD4811" t="n">
        <v>19550</v>
      </c>
      <c r="AE4811" t="n">
        <v>19550</v>
      </c>
      <c r="AF4811" t="n">
        <v>689</v>
      </c>
      <c r="AG4811" t="n">
        <v>107</v>
      </c>
      <c r="AH4811" t="inlineStr">
        <is>
          <t xml:space="preserve">CV. DAHLIA - PPN (PDG) </t>
        </is>
      </c>
      <c r="AI4811" t="n">
        <v>387</v>
      </c>
      <c r="AJ4811" t="inlineStr">
        <is>
          <t>SALSA</t>
        </is>
      </c>
      <c r="AK4811" t="n">
        <v>21</v>
      </c>
      <c r="AL4811" t="inlineStr">
        <is>
          <t>Miss Glam Damar</t>
        </is>
      </c>
      <c r="AM4811" t="n">
        <v>2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SALSA</t>
        </is>
      </c>
      <c r="B4812" s="2">
        <f>"10200415602"</f>
        <v/>
      </c>
      <c r="C4812" t="inlineStr">
        <is>
          <t>SALSA HansJebb+ Sakura Stem Cells 150gr</t>
        </is>
      </c>
      <c r="D4812" t="inlineStr">
        <is>
          <t>Miss Glam Damar</t>
        </is>
      </c>
      <c r="E4812" t="n">
        <v>1</v>
      </c>
      <c r="F4812" t="n">
        <v>0.09100000000000001</v>
      </c>
      <c r="G4812" t="n">
        <v>0.91</v>
      </c>
      <c r="H4812" t="n">
        <v>2</v>
      </c>
      <c r="I4812" t="n">
        <v>16</v>
      </c>
      <c r="J4812" t="n">
        <v>1</v>
      </c>
      <c r="K4812" t="n">
        <v>0</v>
      </c>
      <c r="L4812" t="n">
        <v>19550</v>
      </c>
      <c r="M4812" t="n">
        <v>23000</v>
      </c>
      <c r="N4812" t="n">
        <v>91</v>
      </c>
      <c r="O4812" t="n">
        <v>0.91</v>
      </c>
      <c r="P4812" t="n">
        <v>1</v>
      </c>
      <c r="Q4812" t="n">
        <v>0.05</v>
      </c>
      <c r="R4812" t="n">
        <v>1</v>
      </c>
      <c r="S4812" t="n">
        <v>2093</v>
      </c>
      <c r="T4812" t="n">
        <v>15</v>
      </c>
      <c r="U4812" t="n">
        <v>16</v>
      </c>
      <c r="V4812" t="n">
        <v>30</v>
      </c>
      <c r="W4812" t="n">
        <v>3</v>
      </c>
      <c r="X4812" t="n">
        <v>10.98901098901099</v>
      </c>
      <c r="Y4812" t="n">
        <v>1</v>
      </c>
      <c r="Z4812" t="n">
        <v>2</v>
      </c>
      <c r="AA4812" t="n">
        <v>1</v>
      </c>
      <c r="AB4812" t="n">
        <v>1</v>
      </c>
      <c r="AC4812" t="n">
        <v>1</v>
      </c>
      <c r="AD4812" t="n">
        <v>19550</v>
      </c>
      <c r="AE4812" t="n">
        <v>19550</v>
      </c>
      <c r="AF4812" t="n">
        <v>689</v>
      </c>
      <c r="AG4812" t="n">
        <v>107</v>
      </c>
      <c r="AH4812" t="inlineStr">
        <is>
          <t xml:space="preserve">CV. DAHLIA - PPN (PDG) </t>
        </is>
      </c>
      <c r="AI4812" t="n">
        <v>387</v>
      </c>
      <c r="AJ4812" t="inlineStr">
        <is>
          <t>SALSA</t>
        </is>
      </c>
      <c r="AK4812" t="n">
        <v>21</v>
      </c>
      <c r="AL4812" t="inlineStr">
        <is>
          <t>Miss Glam Damar</t>
        </is>
      </c>
      <c r="AM4812" t="n">
        <v>2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SALSA</t>
        </is>
      </c>
      <c r="B4813" s="2">
        <f>"10200415708"</f>
        <v/>
      </c>
      <c r="C4813" t="inlineStr">
        <is>
          <t>SALSA HansJebb+ Sweet Tropical 150gr</t>
        </is>
      </c>
      <c r="D4813" t="inlineStr">
        <is>
          <t>Miss Glam Damar</t>
        </is>
      </c>
      <c r="E4813" t="n">
        <v>2</v>
      </c>
      <c r="F4813" t="n">
        <v>0.0728</v>
      </c>
      <c r="G4813" t="n">
        <v>1.82</v>
      </c>
      <c r="H4813" t="n">
        <v>2</v>
      </c>
      <c r="I4813" t="n">
        <v>16</v>
      </c>
      <c r="J4813" t="n">
        <v>1</v>
      </c>
      <c r="K4813" t="n">
        <v>0</v>
      </c>
      <c r="L4813" t="n">
        <v>19550</v>
      </c>
      <c r="M4813" t="n">
        <v>23000</v>
      </c>
      <c r="N4813" t="n">
        <v>91</v>
      </c>
      <c r="O4813" t="n">
        <v>0.91</v>
      </c>
      <c r="P4813" t="n">
        <v>1</v>
      </c>
      <c r="Q4813" t="n">
        <v>0.03</v>
      </c>
      <c r="R4813" t="n">
        <v>1</v>
      </c>
      <c r="S4813" t="n">
        <v>1674.4</v>
      </c>
      <c r="T4813" t="n">
        <v>29</v>
      </c>
      <c r="U4813" t="n">
        <v>30</v>
      </c>
      <c r="V4813" t="n">
        <v>30</v>
      </c>
      <c r="W4813" t="n">
        <v>3</v>
      </c>
      <c r="X4813" t="n">
        <v>27.47252747252747</v>
      </c>
      <c r="Y4813" t="n">
        <v>1</v>
      </c>
      <c r="Z4813" t="n">
        <v>1</v>
      </c>
      <c r="AA4813" t="n">
        <v>0</v>
      </c>
      <c r="AB4813" t="n">
        <v>1</v>
      </c>
      <c r="AC4813" t="n">
        <v>1</v>
      </c>
      <c r="AD4813" t="n">
        <v>0</v>
      </c>
      <c r="AE4813" t="n">
        <v>19550</v>
      </c>
      <c r="AF4813" t="n">
        <v>689</v>
      </c>
      <c r="AG4813" t="n">
        <v>107</v>
      </c>
      <c r="AH4813" t="inlineStr">
        <is>
          <t xml:space="preserve">CV. DAHLIA - PPN (PDG) </t>
        </is>
      </c>
      <c r="AI4813" t="n">
        <v>387</v>
      </c>
      <c r="AJ4813" t="inlineStr">
        <is>
          <t>SALSA</t>
        </is>
      </c>
      <c r="AK4813" t="n">
        <v>21</v>
      </c>
      <c r="AL4813" t="inlineStr">
        <is>
          <t>Miss Glam Damar</t>
        </is>
      </c>
      <c r="AM4813" t="n">
        <v>2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SALSA</t>
        </is>
      </c>
      <c r="B4814" s="2">
        <f>"8997207557036"</f>
        <v/>
      </c>
      <c r="C4814" t="inlineStr">
        <is>
          <t>SALSA Instant Mermaid Hair Color Spray 02 Nemo Red 80ml</t>
        </is>
      </c>
      <c r="D4814" t="inlineStr">
        <is>
          <t>Miss Glam Damar</t>
        </is>
      </c>
      <c r="E4814" t="n">
        <v>3</v>
      </c>
      <c r="F4814" t="n">
        <v>0.1001</v>
      </c>
      <c r="G4814" t="n">
        <v>2.73</v>
      </c>
      <c r="H4814" t="n">
        <v>2</v>
      </c>
      <c r="I4814" t="n">
        <v>16</v>
      </c>
      <c r="J4814" t="n">
        <v>3</v>
      </c>
      <c r="K4814" t="n">
        <v>0</v>
      </c>
      <c r="L4814" t="n">
        <v>27880</v>
      </c>
      <c r="M4814" t="n">
        <v>33000</v>
      </c>
      <c r="N4814" t="n">
        <v>91</v>
      </c>
      <c r="O4814" t="n">
        <v>0.91</v>
      </c>
      <c r="P4814" t="n">
        <v>1</v>
      </c>
      <c r="Q4814" t="n">
        <v>0.1</v>
      </c>
      <c r="R4814" t="n">
        <v>1</v>
      </c>
      <c r="S4814" t="n">
        <v>3303.3</v>
      </c>
      <c r="T4814" t="n">
        <v>44</v>
      </c>
      <c r="U4814" t="n">
        <v>45</v>
      </c>
      <c r="V4814" t="n">
        <v>30</v>
      </c>
      <c r="W4814" t="n">
        <v>4</v>
      </c>
      <c r="X4814" t="n">
        <v>29.97002997002997</v>
      </c>
      <c r="Y4814" t="n">
        <v>1</v>
      </c>
      <c r="Z4814" t="n">
        <v>1</v>
      </c>
      <c r="AA4814" t="n">
        <v>0</v>
      </c>
      <c r="AB4814" t="n">
        <v>1</v>
      </c>
      <c r="AC4814" t="n">
        <v>3</v>
      </c>
      <c r="AD4814" t="n">
        <v>0</v>
      </c>
      <c r="AE4814" t="n">
        <v>83640</v>
      </c>
      <c r="AF4814" t="n">
        <v>689</v>
      </c>
      <c r="AG4814" t="n">
        <v>107</v>
      </c>
      <c r="AH4814" t="inlineStr">
        <is>
          <t xml:space="preserve">CV. DAHLIA - PPN (PDG) </t>
        </is>
      </c>
      <c r="AI4814" t="n">
        <v>387</v>
      </c>
      <c r="AJ4814" t="inlineStr">
        <is>
          <t>SALSA</t>
        </is>
      </c>
      <c r="AK4814" t="n">
        <v>21</v>
      </c>
      <c r="AL4814" t="inlineStr">
        <is>
          <t>Miss Glam Damar</t>
        </is>
      </c>
      <c r="AM4814" t="n">
        <v>2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SALSA</t>
        </is>
      </c>
      <c r="B4815" s="2">
        <f>"8997207558989"</f>
        <v/>
      </c>
      <c r="C4815" t="inlineStr">
        <is>
          <t>SALSA Instant Mermaid Hair Color Spray 04 Laguna Purplish Red 80ml</t>
        </is>
      </c>
      <c r="D4815" t="inlineStr">
        <is>
          <t>Miss Glam Damar</t>
        </is>
      </c>
      <c r="E4815" t="n">
        <v>6</v>
      </c>
      <c r="F4815" t="n">
        <v>0.06370000000000001</v>
      </c>
      <c r="G4815" t="n">
        <v>0.91</v>
      </c>
      <c r="H4815" t="n">
        <v>2</v>
      </c>
      <c r="I4815" t="n">
        <v>16</v>
      </c>
      <c r="J4815" t="n">
        <v>3</v>
      </c>
      <c r="K4815" t="n">
        <v>0</v>
      </c>
      <c r="L4815" t="n">
        <v>27880</v>
      </c>
      <c r="M4815" t="n">
        <v>33000</v>
      </c>
      <c r="N4815" t="n">
        <v>91</v>
      </c>
      <c r="O4815" t="n">
        <v>0.91</v>
      </c>
      <c r="P4815" t="n">
        <v>1</v>
      </c>
      <c r="Q4815" t="n">
        <v>0.07000000000000001</v>
      </c>
      <c r="R4815" t="n">
        <v>1</v>
      </c>
      <c r="S4815" t="n">
        <v>2102.1</v>
      </c>
      <c r="T4815" t="n">
        <v>15</v>
      </c>
      <c r="U4815" t="n">
        <v>16</v>
      </c>
      <c r="V4815" t="n">
        <v>30</v>
      </c>
      <c r="W4815" t="n">
        <v>2</v>
      </c>
      <c r="X4815" t="n">
        <v>94.19152276295132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689</v>
      </c>
      <c r="AG4815" t="n">
        <v>107</v>
      </c>
      <c r="AH4815" t="inlineStr">
        <is>
          <t xml:space="preserve">CV. DAHLIA - PPN (PDG) </t>
        </is>
      </c>
      <c r="AI4815" t="n">
        <v>387</v>
      </c>
      <c r="AJ4815" t="inlineStr">
        <is>
          <t>SALSA</t>
        </is>
      </c>
      <c r="AK4815" t="n">
        <v>21</v>
      </c>
      <c r="AL4815" t="inlineStr">
        <is>
          <t>Miss Glam Damar</t>
        </is>
      </c>
      <c r="AM4815" t="n">
        <v>2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SALSA</t>
        </is>
      </c>
      <c r="B4816" s="2">
        <f>"8997207557012"</f>
        <v/>
      </c>
      <c r="C4816" t="inlineStr">
        <is>
          <t>SALSA Instant Mermaid Hair Color Spray 06 Sunkissed Golden Yellow 80ml</t>
        </is>
      </c>
      <c r="D4816" t="inlineStr">
        <is>
          <t>Miss Glam Damar</t>
        </is>
      </c>
      <c r="E4816" t="n">
        <v>2</v>
      </c>
      <c r="F4816" t="n">
        <v>0.03</v>
      </c>
      <c r="G4816" t="n">
        <v>1</v>
      </c>
      <c r="H4816" t="n">
        <v>2</v>
      </c>
      <c r="I4816" t="n">
        <v>16</v>
      </c>
      <c r="J4816" t="n">
        <v>3</v>
      </c>
      <c r="K4816" t="n">
        <v>0</v>
      </c>
      <c r="L4816" t="n">
        <v>27880</v>
      </c>
      <c r="M4816" t="n">
        <v>33000</v>
      </c>
      <c r="N4816" t="n">
        <v>91</v>
      </c>
      <c r="O4816" t="n">
        <v>0.91</v>
      </c>
      <c r="P4816" t="n">
        <v>0</v>
      </c>
      <c r="Q4816" t="n">
        <v>0.03</v>
      </c>
      <c r="R4816" t="n">
        <v>1</v>
      </c>
      <c r="S4816" t="n">
        <v>990</v>
      </c>
      <c r="T4816" t="n">
        <v>16</v>
      </c>
      <c r="U4816" t="n">
        <v>17</v>
      </c>
      <c r="V4816" t="n">
        <v>30</v>
      </c>
      <c r="W4816" t="n">
        <v>1</v>
      </c>
      <c r="X4816" t="n">
        <v>66.66666666666667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689</v>
      </c>
      <c r="AG4816" t="n">
        <v>107</v>
      </c>
      <c r="AH4816" t="inlineStr">
        <is>
          <t xml:space="preserve">CV. DAHLIA - PPN (PDG) </t>
        </is>
      </c>
      <c r="AI4816" t="n">
        <v>387</v>
      </c>
      <c r="AJ4816" t="inlineStr">
        <is>
          <t>SALSA</t>
        </is>
      </c>
      <c r="AK4816" t="n">
        <v>21</v>
      </c>
      <c r="AL4816" t="inlineStr">
        <is>
          <t>Miss Glam Damar</t>
        </is>
      </c>
      <c r="AM4816" t="n">
        <v>2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SALSA</t>
        </is>
      </c>
      <c r="B4817" s="2">
        <f>"8997207558026"</f>
        <v/>
      </c>
      <c r="C4817" t="inlineStr">
        <is>
          <t>SALSA Instant Mermaid Hair Color Spray 08 Ocean Electric Blue 80ml</t>
        </is>
      </c>
      <c r="D4817" t="inlineStr">
        <is>
          <t>Miss Glam Damar</t>
        </is>
      </c>
      <c r="E4817" t="n">
        <v>0</v>
      </c>
      <c r="F4817" t="n">
        <v>0.06370000000000001</v>
      </c>
      <c r="G4817" t="n">
        <v>0.91</v>
      </c>
      <c r="H4817" t="n">
        <v>2</v>
      </c>
      <c r="I4817" t="n">
        <v>16</v>
      </c>
      <c r="J4817" t="n">
        <v>3</v>
      </c>
      <c r="K4817" t="n">
        <v>0</v>
      </c>
      <c r="L4817" t="n">
        <v>27880</v>
      </c>
      <c r="M4817" t="n">
        <v>33000</v>
      </c>
      <c r="N4817" t="n">
        <v>91</v>
      </c>
      <c r="O4817" t="n">
        <v>0.91</v>
      </c>
      <c r="P4817" t="n">
        <v>1</v>
      </c>
      <c r="Q4817" t="n">
        <v>0.03</v>
      </c>
      <c r="R4817" t="n">
        <v>1</v>
      </c>
      <c r="S4817" t="n">
        <v>2102.1</v>
      </c>
      <c r="T4817" t="n">
        <v>15</v>
      </c>
      <c r="U4817" t="n">
        <v>16</v>
      </c>
      <c r="V4817" t="n">
        <v>30</v>
      </c>
      <c r="W4817" t="n">
        <v>2</v>
      </c>
      <c r="X4817" t="n">
        <v>0</v>
      </c>
      <c r="Y4817" t="n">
        <v>1</v>
      </c>
      <c r="Z4817" t="n">
        <v>2</v>
      </c>
      <c r="AA4817" t="n">
        <v>2</v>
      </c>
      <c r="AB4817" t="n">
        <v>0</v>
      </c>
      <c r="AC4817" t="n">
        <v>0</v>
      </c>
      <c r="AD4817" t="n">
        <v>55760</v>
      </c>
      <c r="AE4817" t="n">
        <v>0</v>
      </c>
      <c r="AF4817" t="n">
        <v>689</v>
      </c>
      <c r="AG4817" t="n">
        <v>107</v>
      </c>
      <c r="AH4817" t="inlineStr">
        <is>
          <t xml:space="preserve">CV. DAHLIA - PPN (PDG) </t>
        </is>
      </c>
      <c r="AI4817" t="n">
        <v>387</v>
      </c>
      <c r="AJ4817" t="inlineStr">
        <is>
          <t>SALSA</t>
        </is>
      </c>
      <c r="AK4817" t="n">
        <v>21</v>
      </c>
      <c r="AL4817" t="inlineStr">
        <is>
          <t>Miss Glam Damar</t>
        </is>
      </c>
      <c r="AM4817" t="n">
        <v>2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SALSA</t>
        </is>
      </c>
      <c r="B4818" s="2">
        <f>"8997207558033"</f>
        <v/>
      </c>
      <c r="C4818" t="inlineStr">
        <is>
          <t>SALSA Instant Mermaid Hair Color Spray 09 Starfish Pink 80ml</t>
        </is>
      </c>
      <c r="D4818" t="inlineStr">
        <is>
          <t>Miss Glam Damar</t>
        </is>
      </c>
      <c r="E4818" t="n">
        <v>7</v>
      </c>
      <c r="F4818" t="n">
        <v>0.06370000000000001</v>
      </c>
      <c r="G4818" t="n">
        <v>0.91</v>
      </c>
      <c r="H4818" t="n">
        <v>2</v>
      </c>
      <c r="I4818" t="n">
        <v>16</v>
      </c>
      <c r="J4818" t="n">
        <v>3</v>
      </c>
      <c r="K4818" t="n">
        <v>0</v>
      </c>
      <c r="L4818" t="n">
        <v>27880</v>
      </c>
      <c r="M4818" t="n">
        <v>33000</v>
      </c>
      <c r="N4818" t="n">
        <v>91</v>
      </c>
      <c r="O4818" t="n">
        <v>0.91</v>
      </c>
      <c r="P4818" t="n">
        <v>1</v>
      </c>
      <c r="Q4818" t="n">
        <v>0.15</v>
      </c>
      <c r="R4818" t="n">
        <v>3</v>
      </c>
      <c r="S4818" t="n">
        <v>2102.1</v>
      </c>
      <c r="T4818" t="n">
        <v>15</v>
      </c>
      <c r="U4818" t="n">
        <v>16</v>
      </c>
      <c r="V4818" t="n">
        <v>30</v>
      </c>
      <c r="W4818" t="n">
        <v>2</v>
      </c>
      <c r="X4818" t="n">
        <v>109.8901098901099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689</v>
      </c>
      <c r="AG4818" t="n">
        <v>107</v>
      </c>
      <c r="AH4818" t="inlineStr">
        <is>
          <t xml:space="preserve">CV. DAHLIA - PPN (PDG) </t>
        </is>
      </c>
      <c r="AI4818" t="n">
        <v>387</v>
      </c>
      <c r="AJ4818" t="inlineStr">
        <is>
          <t>SALSA</t>
        </is>
      </c>
      <c r="AK4818" t="n">
        <v>21</v>
      </c>
      <c r="AL4818" t="inlineStr">
        <is>
          <t>Miss Glam Damar</t>
        </is>
      </c>
      <c r="AM4818" t="n">
        <v>2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SALSA</t>
        </is>
      </c>
      <c r="B4819" s="2">
        <f>"8997207558040"</f>
        <v/>
      </c>
      <c r="C4819" t="inlineStr">
        <is>
          <t>SALSA Instant Mermaid Hair Color Spray 10 Jellyfish Lilac 80ml</t>
        </is>
      </c>
      <c r="D4819" t="inlineStr">
        <is>
          <t>Miss Glam Damar</t>
        </is>
      </c>
      <c r="E4819" t="n">
        <v>1</v>
      </c>
      <c r="F4819" t="n">
        <v>0.02</v>
      </c>
      <c r="G4819" t="n">
        <v>1</v>
      </c>
      <c r="H4819" t="n">
        <v>2</v>
      </c>
      <c r="I4819" t="n">
        <v>16</v>
      </c>
      <c r="J4819" t="n">
        <v>3</v>
      </c>
      <c r="K4819" t="n">
        <v>0</v>
      </c>
      <c r="L4819" t="n">
        <v>27880</v>
      </c>
      <c r="M4819" t="n">
        <v>33000</v>
      </c>
      <c r="N4819" t="n">
        <v>91</v>
      </c>
      <c r="O4819" t="n">
        <v>0.91</v>
      </c>
      <c r="P4819" t="n">
        <v>0</v>
      </c>
      <c r="Q4819" t="n">
        <v>0.02</v>
      </c>
      <c r="R4819" t="n">
        <v>1</v>
      </c>
      <c r="S4819" t="n">
        <v>660</v>
      </c>
      <c r="T4819" t="n">
        <v>16</v>
      </c>
      <c r="U4819" t="n">
        <v>17</v>
      </c>
      <c r="V4819" t="n">
        <v>30</v>
      </c>
      <c r="W4819" t="n">
        <v>1</v>
      </c>
      <c r="X4819" t="n">
        <v>50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689</v>
      </c>
      <c r="AG4819" t="n">
        <v>107</v>
      </c>
      <c r="AH4819" t="inlineStr">
        <is>
          <t xml:space="preserve">CV. DAHLIA - PPN (PDG) </t>
        </is>
      </c>
      <c r="AI4819" t="n">
        <v>387</v>
      </c>
      <c r="AJ4819" t="inlineStr">
        <is>
          <t>SALSA</t>
        </is>
      </c>
      <c r="AK4819" t="n">
        <v>21</v>
      </c>
      <c r="AL4819" t="inlineStr">
        <is>
          <t>Miss Glam Damar</t>
        </is>
      </c>
      <c r="AM4819" t="n">
        <v>2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SALSA</t>
        </is>
      </c>
      <c r="B4820" s="2">
        <f>"8997207557500"</f>
        <v/>
      </c>
      <c r="C4820" t="inlineStr">
        <is>
          <t>SALSA Keratin Repair Hair Serum 80ml</t>
        </is>
      </c>
      <c r="D4820" t="inlineStr">
        <is>
          <t>Miss Glam Damar</t>
        </is>
      </c>
      <c r="E4820" t="n">
        <v>9</v>
      </c>
      <c r="F4820" t="n">
        <v>0.4914000000000001</v>
      </c>
      <c r="G4820" t="n">
        <v>2.73</v>
      </c>
      <c r="H4820" t="n">
        <v>2</v>
      </c>
      <c r="I4820" t="n">
        <v>16</v>
      </c>
      <c r="J4820" t="n">
        <v>3</v>
      </c>
      <c r="K4820" t="n">
        <v>0</v>
      </c>
      <c r="L4820" t="n">
        <v>17000</v>
      </c>
      <c r="M4820" t="n">
        <v>20000</v>
      </c>
      <c r="N4820" t="n">
        <v>91</v>
      </c>
      <c r="O4820" t="n">
        <v>0.91</v>
      </c>
      <c r="P4820" t="n">
        <v>1</v>
      </c>
      <c r="Q4820" t="n">
        <v>0.32</v>
      </c>
      <c r="R4820" t="n">
        <v>2</v>
      </c>
      <c r="S4820" t="n">
        <v>9828.000000000002</v>
      </c>
      <c r="T4820" t="n">
        <v>43</v>
      </c>
      <c r="U4820" t="n">
        <v>44</v>
      </c>
      <c r="V4820" t="n">
        <v>30</v>
      </c>
      <c r="W4820" t="n">
        <v>15</v>
      </c>
      <c r="X4820" t="n">
        <v>18.31501831501831</v>
      </c>
      <c r="Y4820" t="n">
        <v>1</v>
      </c>
      <c r="Z4820" t="n">
        <v>6</v>
      </c>
      <c r="AA4820" t="n">
        <v>0</v>
      </c>
      <c r="AB4820" t="n">
        <v>6</v>
      </c>
      <c r="AC4820" t="n">
        <v>6</v>
      </c>
      <c r="AD4820" t="n">
        <v>0</v>
      </c>
      <c r="AE4820" t="n">
        <v>102000</v>
      </c>
      <c r="AF4820" t="n">
        <v>689</v>
      </c>
      <c r="AG4820" t="n">
        <v>107</v>
      </c>
      <c r="AH4820" t="inlineStr">
        <is>
          <t xml:space="preserve">CV. DAHLIA - PPN (PDG) </t>
        </is>
      </c>
      <c r="AI4820" t="n">
        <v>387</v>
      </c>
      <c r="AJ4820" t="inlineStr">
        <is>
          <t>SALSA</t>
        </is>
      </c>
      <c r="AK4820" t="n">
        <v>21</v>
      </c>
      <c r="AL4820" t="inlineStr">
        <is>
          <t>Miss Glam Damar</t>
        </is>
      </c>
      <c r="AM4820" t="n">
        <v>2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SALSA</t>
        </is>
      </c>
      <c r="B4821" s="2">
        <f>"8997207558835"</f>
        <v/>
      </c>
      <c r="C4821" t="inlineStr">
        <is>
          <t>SALSA Lip Glow Serum 3gr</t>
        </is>
      </c>
      <c r="D4821" t="inlineStr">
        <is>
          <t>Miss Glam Damar</t>
        </is>
      </c>
      <c r="E4821" t="n">
        <v>9</v>
      </c>
      <c r="F4821" t="n">
        <v>0.4004</v>
      </c>
      <c r="G4821" t="n">
        <v>3.64</v>
      </c>
      <c r="H4821" t="n">
        <v>2</v>
      </c>
      <c r="I4821" t="n">
        <v>16</v>
      </c>
      <c r="J4821" t="n">
        <v>3</v>
      </c>
      <c r="K4821" t="n">
        <v>0</v>
      </c>
      <c r="L4821" t="n">
        <v>16830</v>
      </c>
      <c r="M4821" t="n">
        <v>20000</v>
      </c>
      <c r="N4821" t="n">
        <v>91</v>
      </c>
      <c r="O4821" t="n">
        <v>0.91</v>
      </c>
      <c r="P4821" t="n">
        <v>1</v>
      </c>
      <c r="Q4821" t="n">
        <v>0.86</v>
      </c>
      <c r="R4821" t="n">
        <v>5</v>
      </c>
      <c r="S4821" t="n">
        <v>8008.000000000001</v>
      </c>
      <c r="T4821" t="n">
        <v>58</v>
      </c>
      <c r="U4821" t="n">
        <v>59</v>
      </c>
      <c r="V4821" t="n">
        <v>30</v>
      </c>
      <c r="W4821" t="n">
        <v>13</v>
      </c>
      <c r="X4821" t="n">
        <v>22.47752247752248</v>
      </c>
      <c r="Y4821" t="n">
        <v>1</v>
      </c>
      <c r="Z4821" t="n">
        <v>4</v>
      </c>
      <c r="AA4821" t="n">
        <v>0</v>
      </c>
      <c r="AB4821" t="n">
        <v>4</v>
      </c>
      <c r="AC4821" t="n">
        <v>4</v>
      </c>
      <c r="AD4821" t="n">
        <v>0</v>
      </c>
      <c r="AE4821" t="n">
        <v>67320</v>
      </c>
      <c r="AF4821" t="n">
        <v>689</v>
      </c>
      <c r="AG4821" t="n">
        <v>107</v>
      </c>
      <c r="AH4821" t="inlineStr">
        <is>
          <t xml:space="preserve">CV. DAHLIA - PPN (PDG) </t>
        </is>
      </c>
      <c r="AI4821" t="n">
        <v>387</v>
      </c>
      <c r="AJ4821" t="inlineStr">
        <is>
          <t>SALSA</t>
        </is>
      </c>
      <c r="AK4821" t="n">
        <v>21</v>
      </c>
      <c r="AL4821" t="inlineStr">
        <is>
          <t>Miss Glam Damar</t>
        </is>
      </c>
      <c r="AM4821" t="n">
        <v>2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SALSA</t>
        </is>
      </c>
      <c r="B4822" s="2">
        <f>"8997207550846"</f>
        <v/>
      </c>
      <c r="C4822" t="inlineStr">
        <is>
          <t>SALSA Lip Glow Serum Twilight 3gr</t>
        </is>
      </c>
      <c r="D4822" t="inlineStr">
        <is>
          <t>Miss Glam Damar</t>
        </is>
      </c>
      <c r="E4822" t="n">
        <v>8</v>
      </c>
      <c r="F4822" t="n">
        <v>0.1365</v>
      </c>
      <c r="G4822" t="n">
        <v>1.82</v>
      </c>
      <c r="H4822" t="n">
        <v>2</v>
      </c>
      <c r="I4822" t="n">
        <v>16</v>
      </c>
      <c r="J4822" t="n">
        <v>3</v>
      </c>
      <c r="K4822" t="n">
        <v>0</v>
      </c>
      <c r="L4822" t="n">
        <v>16830</v>
      </c>
      <c r="M4822" t="n">
        <v>20000</v>
      </c>
      <c r="N4822" t="n">
        <v>91</v>
      </c>
      <c r="O4822" t="n">
        <v>0.91</v>
      </c>
      <c r="P4822" t="n">
        <v>1</v>
      </c>
      <c r="Q4822" t="n">
        <v>0.08</v>
      </c>
      <c r="R4822" t="n">
        <v>1</v>
      </c>
      <c r="S4822" t="n">
        <v>2730</v>
      </c>
      <c r="T4822" t="n">
        <v>29</v>
      </c>
      <c r="U4822" t="n">
        <v>30</v>
      </c>
      <c r="V4822" t="n">
        <v>30</v>
      </c>
      <c r="W4822" t="n">
        <v>5</v>
      </c>
      <c r="X4822" t="n">
        <v>58.60805860805861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689</v>
      </c>
      <c r="AG4822" t="n">
        <v>107</v>
      </c>
      <c r="AH4822" t="inlineStr">
        <is>
          <t xml:space="preserve">CV. DAHLIA - PPN (PDG) </t>
        </is>
      </c>
      <c r="AI4822" t="n">
        <v>387</v>
      </c>
      <c r="AJ4822" t="inlineStr">
        <is>
          <t>SALSA</t>
        </is>
      </c>
      <c r="AK4822" t="n">
        <v>21</v>
      </c>
      <c r="AL4822" t="inlineStr">
        <is>
          <t>Miss Glam Damar</t>
        </is>
      </c>
      <c r="AM4822" t="n">
        <v>2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SALSA</t>
        </is>
      </c>
      <c r="B4823" s="2">
        <f>"20100959721"</f>
        <v/>
      </c>
      <c r="C4823" t="inlineStr">
        <is>
          <t>SALSA Milkyway Blush 01 5gr</t>
        </is>
      </c>
      <c r="D4823" t="inlineStr">
        <is>
          <t>Miss Glam Damar</t>
        </is>
      </c>
      <c r="E4823" t="n">
        <v>22</v>
      </c>
      <c r="F4823" t="n">
        <v>1.1557</v>
      </c>
      <c r="G4823" t="n">
        <v>7.28</v>
      </c>
      <c r="H4823" t="n">
        <v>2</v>
      </c>
      <c r="I4823" t="n">
        <v>16</v>
      </c>
      <c r="J4823" t="n">
        <v>1</v>
      </c>
      <c r="K4823" t="n">
        <v>0</v>
      </c>
      <c r="L4823" t="n">
        <v>15130</v>
      </c>
      <c r="M4823" t="n">
        <v>18000</v>
      </c>
      <c r="N4823" t="n">
        <v>91</v>
      </c>
      <c r="O4823" t="n">
        <v>0.91</v>
      </c>
      <c r="P4823" t="n">
        <v>1</v>
      </c>
      <c r="Q4823" t="n">
        <v>0.5600000000000001</v>
      </c>
      <c r="R4823" t="n">
        <v>4</v>
      </c>
      <c r="S4823" t="n">
        <v>20802.6</v>
      </c>
      <c r="T4823" t="n">
        <v>115</v>
      </c>
      <c r="U4823" t="n">
        <v>118</v>
      </c>
      <c r="V4823" t="n">
        <v>30</v>
      </c>
      <c r="W4823" t="n">
        <v>35</v>
      </c>
      <c r="X4823" t="n">
        <v>19.03608202820801</v>
      </c>
      <c r="Y4823" t="n">
        <v>1</v>
      </c>
      <c r="Z4823" t="n">
        <v>13</v>
      </c>
      <c r="AA4823" t="n">
        <v>0</v>
      </c>
      <c r="AB4823" t="n">
        <v>13</v>
      </c>
      <c r="AC4823" t="n">
        <v>13</v>
      </c>
      <c r="AD4823" t="n">
        <v>0</v>
      </c>
      <c r="AE4823" t="n">
        <v>196690</v>
      </c>
      <c r="AF4823" t="n">
        <v>689</v>
      </c>
      <c r="AG4823" t="n">
        <v>107</v>
      </c>
      <c r="AH4823" t="inlineStr">
        <is>
          <t xml:space="preserve">CV. DAHLIA - PPN (PDG) </t>
        </is>
      </c>
      <c r="AI4823" t="n">
        <v>387</v>
      </c>
      <c r="AJ4823" t="inlineStr">
        <is>
          <t>SALSA</t>
        </is>
      </c>
      <c r="AK4823" t="n">
        <v>21</v>
      </c>
      <c r="AL4823" t="inlineStr">
        <is>
          <t>Miss Glam Damar</t>
        </is>
      </c>
      <c r="AM4823" t="n">
        <v>2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SALSA</t>
        </is>
      </c>
      <c r="B4824" s="2">
        <f>"20100959859"</f>
        <v/>
      </c>
      <c r="C4824" t="inlineStr">
        <is>
          <t>SALSA Milkyway Blush 02 5gr</t>
        </is>
      </c>
      <c r="D4824" t="inlineStr">
        <is>
          <t>Miss Glam Damar</t>
        </is>
      </c>
      <c r="E4824" t="n">
        <v>24</v>
      </c>
      <c r="F4824" t="n">
        <v>0.8008000000000001</v>
      </c>
      <c r="G4824" t="n">
        <v>3.64</v>
      </c>
      <c r="H4824" t="n">
        <v>2</v>
      </c>
      <c r="I4824" t="n">
        <v>16</v>
      </c>
      <c r="J4824" t="n">
        <v>1</v>
      </c>
      <c r="K4824" t="n">
        <v>0</v>
      </c>
      <c r="L4824" t="n">
        <v>15130</v>
      </c>
      <c r="M4824" t="n">
        <v>18000</v>
      </c>
      <c r="N4824" t="n">
        <v>91</v>
      </c>
      <c r="O4824" t="n">
        <v>0.91</v>
      </c>
      <c r="P4824" t="n">
        <v>1</v>
      </c>
      <c r="Q4824" t="n">
        <v>0.39</v>
      </c>
      <c r="R4824" t="n">
        <v>2</v>
      </c>
      <c r="S4824" t="n">
        <v>14414.4</v>
      </c>
      <c r="T4824" t="n">
        <v>57</v>
      </c>
      <c r="U4824" t="n">
        <v>59</v>
      </c>
      <c r="V4824" t="n">
        <v>30</v>
      </c>
      <c r="W4824" t="n">
        <v>25</v>
      </c>
      <c r="X4824" t="n">
        <v>29.97002997002997</v>
      </c>
      <c r="Y4824" t="n">
        <v>1</v>
      </c>
      <c r="Z4824" t="n">
        <v>1</v>
      </c>
      <c r="AA4824" t="n">
        <v>0</v>
      </c>
      <c r="AB4824" t="n">
        <v>1</v>
      </c>
      <c r="AC4824" t="n">
        <v>1</v>
      </c>
      <c r="AD4824" t="n">
        <v>0</v>
      </c>
      <c r="AE4824" t="n">
        <v>15130</v>
      </c>
      <c r="AF4824" t="n">
        <v>689</v>
      </c>
      <c r="AG4824" t="n">
        <v>107</v>
      </c>
      <c r="AH4824" t="inlineStr">
        <is>
          <t xml:space="preserve">CV. DAHLIA - PPN (PDG) </t>
        </is>
      </c>
      <c r="AI4824" t="n">
        <v>387</v>
      </c>
      <c r="AJ4824" t="inlineStr">
        <is>
          <t>SALSA</t>
        </is>
      </c>
      <c r="AK4824" t="n">
        <v>21</v>
      </c>
      <c r="AL4824" t="inlineStr">
        <is>
          <t>Miss Glam Damar</t>
        </is>
      </c>
      <c r="AM4824" t="n">
        <v>2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SALSA</t>
        </is>
      </c>
      <c r="B4825" s="2">
        <f>"20100959935"</f>
        <v/>
      </c>
      <c r="C4825" t="inlineStr">
        <is>
          <t>SALSA Milkyway Blush 03 5gr</t>
        </is>
      </c>
      <c r="D4825" t="inlineStr">
        <is>
          <t>Miss Glam Damar</t>
        </is>
      </c>
      <c r="E4825" t="n">
        <v>22</v>
      </c>
      <c r="F4825" t="n">
        <v>1.0374</v>
      </c>
      <c r="G4825" t="n">
        <v>10.92</v>
      </c>
      <c r="H4825" t="n">
        <v>2</v>
      </c>
      <c r="I4825" t="n">
        <v>16</v>
      </c>
      <c r="J4825" t="n">
        <v>1</v>
      </c>
      <c r="K4825" t="n">
        <v>0</v>
      </c>
      <c r="L4825" t="n">
        <v>15130</v>
      </c>
      <c r="M4825" t="n">
        <v>18000</v>
      </c>
      <c r="N4825" t="n">
        <v>91</v>
      </c>
      <c r="O4825" t="n">
        <v>0.91</v>
      </c>
      <c r="P4825" t="n">
        <v>1</v>
      </c>
      <c r="Q4825" t="n">
        <v>0.51</v>
      </c>
      <c r="R4825" t="n">
        <v>4</v>
      </c>
      <c r="S4825" t="n">
        <v>18673.2</v>
      </c>
      <c r="T4825" t="n">
        <v>173</v>
      </c>
      <c r="U4825" t="n">
        <v>176</v>
      </c>
      <c r="V4825" t="n">
        <v>30</v>
      </c>
      <c r="W4825" t="n">
        <v>32</v>
      </c>
      <c r="X4825" t="n">
        <v>21.20686331212647</v>
      </c>
      <c r="Y4825" t="n">
        <v>1</v>
      </c>
      <c r="Z4825" t="n">
        <v>10</v>
      </c>
      <c r="AA4825" t="n">
        <v>0</v>
      </c>
      <c r="AB4825" t="n">
        <v>10</v>
      </c>
      <c r="AC4825" t="n">
        <v>10</v>
      </c>
      <c r="AD4825" t="n">
        <v>0</v>
      </c>
      <c r="AE4825" t="n">
        <v>151300</v>
      </c>
      <c r="AF4825" t="n">
        <v>689</v>
      </c>
      <c r="AG4825" t="n">
        <v>107</v>
      </c>
      <c r="AH4825" t="inlineStr">
        <is>
          <t xml:space="preserve">CV. DAHLIA - PPN (PDG) </t>
        </is>
      </c>
      <c r="AI4825" t="n">
        <v>387</v>
      </c>
      <c r="AJ4825" t="inlineStr">
        <is>
          <t>SALSA</t>
        </is>
      </c>
      <c r="AK4825" t="n">
        <v>21</v>
      </c>
      <c r="AL4825" t="inlineStr">
        <is>
          <t>Miss Glam Damar</t>
        </is>
      </c>
      <c r="AM4825" t="n">
        <v>2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SALSA</t>
        </is>
      </c>
      <c r="B4826" s="2">
        <f>"20101113729"</f>
        <v/>
      </c>
      <c r="C4826" t="inlineStr">
        <is>
          <t>SALSA Milkyway Highlighter 01 4,5gr</t>
        </is>
      </c>
      <c r="D4826" t="inlineStr">
        <is>
          <t>Miss Glam Damar</t>
        </is>
      </c>
      <c r="E4826" t="n">
        <v>28</v>
      </c>
      <c r="F4826" t="n">
        <v>0.1092</v>
      </c>
      <c r="G4826" t="n">
        <v>5.46</v>
      </c>
      <c r="H4826" t="n">
        <v>2</v>
      </c>
      <c r="I4826" t="n">
        <v>16</v>
      </c>
      <c r="J4826" t="n">
        <v>1</v>
      </c>
      <c r="K4826" t="n">
        <v>0</v>
      </c>
      <c r="L4826" t="n">
        <v>15980</v>
      </c>
      <c r="M4826" t="n">
        <v>19000</v>
      </c>
      <c r="N4826" t="n">
        <v>91</v>
      </c>
      <c r="O4826" t="n">
        <v>0.91</v>
      </c>
      <c r="P4826" t="n">
        <v>1</v>
      </c>
      <c r="Q4826" t="n">
        <v>1.19</v>
      </c>
      <c r="R4826" t="n">
        <v>6</v>
      </c>
      <c r="S4826" t="n">
        <v>2074.8</v>
      </c>
      <c r="T4826" t="n">
        <v>88</v>
      </c>
      <c r="U4826" t="n">
        <v>89</v>
      </c>
      <c r="V4826" t="n">
        <v>30</v>
      </c>
      <c r="W4826" t="n">
        <v>4</v>
      </c>
      <c r="X4826" t="n">
        <v>256.4102564102564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689</v>
      </c>
      <c r="AG4826" t="n">
        <v>107</v>
      </c>
      <c r="AH4826" t="inlineStr">
        <is>
          <t xml:space="preserve">CV. DAHLIA - PPN (PDG) </t>
        </is>
      </c>
      <c r="AI4826" t="n">
        <v>387</v>
      </c>
      <c r="AJ4826" t="inlineStr">
        <is>
          <t>SALSA</t>
        </is>
      </c>
      <c r="AK4826" t="n">
        <v>21</v>
      </c>
      <c r="AL4826" t="inlineStr">
        <is>
          <t>Miss Glam Damar</t>
        </is>
      </c>
      <c r="AM4826" t="n">
        <v>2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SALSA</t>
        </is>
      </c>
      <c r="B4827" s="2">
        <f>"20101113839"</f>
        <v/>
      </c>
      <c r="C4827" t="inlineStr">
        <is>
          <t>SALSA Milkyway Highlighter 02 4,5gr</t>
        </is>
      </c>
      <c r="D4827" t="inlineStr">
        <is>
          <t>Miss Glam Damar</t>
        </is>
      </c>
      <c r="E4827" t="n">
        <v>14</v>
      </c>
      <c r="F4827" t="n">
        <v>0.9282</v>
      </c>
      <c r="G4827" t="n">
        <v>3.64</v>
      </c>
      <c r="H4827" t="n">
        <v>2</v>
      </c>
      <c r="I4827" t="n">
        <v>16</v>
      </c>
      <c r="J4827" t="n">
        <v>1</v>
      </c>
      <c r="K4827" t="n">
        <v>0</v>
      </c>
      <c r="L4827" t="n">
        <v>15980</v>
      </c>
      <c r="M4827" t="n">
        <v>19000</v>
      </c>
      <c r="N4827" t="n">
        <v>91</v>
      </c>
      <c r="O4827" t="n">
        <v>0.91</v>
      </c>
      <c r="P4827" t="n">
        <v>1</v>
      </c>
      <c r="Q4827" t="n">
        <v>0.22</v>
      </c>
      <c r="R4827" t="n">
        <v>1</v>
      </c>
      <c r="S4827" t="n">
        <v>17635.8</v>
      </c>
      <c r="T4827" t="n">
        <v>57</v>
      </c>
      <c r="U4827" t="n">
        <v>59</v>
      </c>
      <c r="V4827" t="n">
        <v>30</v>
      </c>
      <c r="W4827" t="n">
        <v>28</v>
      </c>
      <c r="X4827" t="n">
        <v>15.08295625942685</v>
      </c>
      <c r="Y4827" t="n">
        <v>1</v>
      </c>
      <c r="Z4827" t="n">
        <v>14</v>
      </c>
      <c r="AA4827" t="n">
        <v>1</v>
      </c>
      <c r="AB4827" t="n">
        <v>13</v>
      </c>
      <c r="AC4827" t="n">
        <v>13</v>
      </c>
      <c r="AD4827" t="n">
        <v>15980</v>
      </c>
      <c r="AE4827" t="n">
        <v>207740</v>
      </c>
      <c r="AF4827" t="n">
        <v>689</v>
      </c>
      <c r="AG4827" t="n">
        <v>107</v>
      </c>
      <c r="AH4827" t="inlineStr">
        <is>
          <t xml:space="preserve">CV. DAHLIA - PPN (PDG) </t>
        </is>
      </c>
      <c r="AI4827" t="n">
        <v>387</v>
      </c>
      <c r="AJ4827" t="inlineStr">
        <is>
          <t>SALSA</t>
        </is>
      </c>
      <c r="AK4827" t="n">
        <v>21</v>
      </c>
      <c r="AL4827" t="inlineStr">
        <is>
          <t>Miss Glam Damar</t>
        </is>
      </c>
      <c r="AM4827" t="n">
        <v>2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SALSA</t>
        </is>
      </c>
      <c r="B4828" s="2">
        <f>"20101113907"</f>
        <v/>
      </c>
      <c r="C4828" t="inlineStr">
        <is>
          <t>SALSA Milkyway Highlighter 03 4,5gr</t>
        </is>
      </c>
      <c r="D4828" t="inlineStr">
        <is>
          <t>Miss Glam Damar</t>
        </is>
      </c>
      <c r="E4828" t="n">
        <v>13</v>
      </c>
      <c r="F4828" t="n">
        <v>0.9555000000000001</v>
      </c>
      <c r="G4828" t="n">
        <v>4.55</v>
      </c>
      <c r="H4828" t="n">
        <v>2</v>
      </c>
      <c r="I4828" t="n">
        <v>16</v>
      </c>
      <c r="J4828" t="n">
        <v>1</v>
      </c>
      <c r="K4828" t="n">
        <v>0</v>
      </c>
      <c r="L4828" t="n">
        <v>15980</v>
      </c>
      <c r="M4828" t="n">
        <v>19000</v>
      </c>
      <c r="N4828" t="n">
        <v>91</v>
      </c>
      <c r="O4828" t="n">
        <v>0.91</v>
      </c>
      <c r="P4828" t="n">
        <v>1</v>
      </c>
      <c r="Q4828" t="n">
        <v>0.17</v>
      </c>
      <c r="R4828" t="n">
        <v>2</v>
      </c>
      <c r="S4828" t="n">
        <v>18154.5</v>
      </c>
      <c r="T4828" t="n">
        <v>71</v>
      </c>
      <c r="U4828" t="n">
        <v>73</v>
      </c>
      <c r="V4828" t="n">
        <v>30</v>
      </c>
      <c r="W4828" t="n">
        <v>29</v>
      </c>
      <c r="X4828" t="n">
        <v>13.60544217687075</v>
      </c>
      <c r="Y4828" t="n">
        <v>1</v>
      </c>
      <c r="Z4828" t="n">
        <v>16</v>
      </c>
      <c r="AA4828" t="n">
        <v>3</v>
      </c>
      <c r="AB4828" t="n">
        <v>13</v>
      </c>
      <c r="AC4828" t="n">
        <v>13</v>
      </c>
      <c r="AD4828" t="n">
        <v>47940</v>
      </c>
      <c r="AE4828" t="n">
        <v>207740</v>
      </c>
      <c r="AF4828" t="n">
        <v>689</v>
      </c>
      <c r="AG4828" t="n">
        <v>107</v>
      </c>
      <c r="AH4828" t="inlineStr">
        <is>
          <t xml:space="preserve">CV. DAHLIA - PPN (PDG) </t>
        </is>
      </c>
      <c r="AI4828" t="n">
        <v>387</v>
      </c>
      <c r="AJ4828" t="inlineStr">
        <is>
          <t>SALSA</t>
        </is>
      </c>
      <c r="AK4828" t="n">
        <v>21</v>
      </c>
      <c r="AL4828" t="inlineStr">
        <is>
          <t>Miss Glam Damar</t>
        </is>
      </c>
      <c r="AM4828" t="n">
        <v>2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SALSA</t>
        </is>
      </c>
      <c r="B4829" s="2">
        <f>"30500197433"</f>
        <v/>
      </c>
      <c r="C4829" t="inlineStr">
        <is>
          <t>SALSA Nail Polish 8 ml Cereal Lovers No. 41</t>
        </is>
      </c>
      <c r="D4829" t="inlineStr">
        <is>
          <t>Miss Glam Damar</t>
        </is>
      </c>
      <c r="E4829" t="n">
        <v>4</v>
      </c>
      <c r="F4829" t="n">
        <v>0.04550000000000001</v>
      </c>
      <c r="G4829" t="n">
        <v>0.91</v>
      </c>
      <c r="H4829" t="n">
        <v>2</v>
      </c>
      <c r="I4829" t="n">
        <v>16</v>
      </c>
      <c r="J4829" t="n">
        <v>1</v>
      </c>
      <c r="K4829" t="n">
        <v>0</v>
      </c>
      <c r="L4829" t="n">
        <v>5610</v>
      </c>
      <c r="M4829" t="n">
        <v>8500</v>
      </c>
      <c r="N4829" t="n">
        <v>91</v>
      </c>
      <c r="O4829" t="n">
        <v>0.91</v>
      </c>
      <c r="P4829" t="n">
        <v>1</v>
      </c>
      <c r="Q4829" t="n">
        <v>0.14</v>
      </c>
      <c r="R4829" t="n">
        <v>2</v>
      </c>
      <c r="S4829" t="n">
        <v>386.7500000000001</v>
      </c>
      <c r="T4829" t="n">
        <v>15</v>
      </c>
      <c r="U4829" t="n">
        <v>16</v>
      </c>
      <c r="V4829" t="n">
        <v>30</v>
      </c>
      <c r="W4829" t="n">
        <v>2</v>
      </c>
      <c r="X4829" t="n">
        <v>87.9120879120879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689</v>
      </c>
      <c r="AG4829" t="n">
        <v>107</v>
      </c>
      <c r="AH4829" t="inlineStr">
        <is>
          <t xml:space="preserve">CV. DAHLIA - PPN (PDG) </t>
        </is>
      </c>
      <c r="AI4829" t="n">
        <v>387</v>
      </c>
      <c r="AJ4829" t="inlineStr">
        <is>
          <t>SALSA</t>
        </is>
      </c>
      <c r="AK4829" t="n">
        <v>21</v>
      </c>
      <c r="AL4829" t="inlineStr">
        <is>
          <t>Miss Glam Damar</t>
        </is>
      </c>
      <c r="AM4829" t="n">
        <v>2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SALSA</t>
        </is>
      </c>
      <c r="B4830" s="2">
        <f>"30500197508"</f>
        <v/>
      </c>
      <c r="C4830" t="inlineStr">
        <is>
          <t>SALSA Nail Polish 8 ml Cereal Lovers No. 42</t>
        </is>
      </c>
      <c r="D4830" t="inlineStr">
        <is>
          <t>Miss Glam Damar</t>
        </is>
      </c>
      <c r="E4830" t="n">
        <v>6</v>
      </c>
      <c r="F4830" t="n">
        <v>0.0182</v>
      </c>
      <c r="G4830" t="n">
        <v>0.91</v>
      </c>
      <c r="H4830" t="n">
        <v>2</v>
      </c>
      <c r="I4830" t="n">
        <v>16</v>
      </c>
      <c r="J4830" t="n">
        <v>1</v>
      </c>
      <c r="K4830" t="n">
        <v>0</v>
      </c>
      <c r="L4830" t="n">
        <v>5610</v>
      </c>
      <c r="M4830" t="n">
        <v>8500</v>
      </c>
      <c r="N4830" t="n">
        <v>91</v>
      </c>
      <c r="O4830" t="n">
        <v>0.91</v>
      </c>
      <c r="P4830" t="n">
        <v>1</v>
      </c>
      <c r="Q4830" t="n">
        <v>0.03</v>
      </c>
      <c r="R4830" t="n">
        <v>1</v>
      </c>
      <c r="S4830" t="n">
        <v>154.7</v>
      </c>
      <c r="T4830" t="n">
        <v>15</v>
      </c>
      <c r="U4830" t="n">
        <v>16</v>
      </c>
      <c r="V4830" t="n">
        <v>30</v>
      </c>
      <c r="W4830" t="n">
        <v>1</v>
      </c>
      <c r="X4830" t="n">
        <v>329.6703296703296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689</v>
      </c>
      <c r="AG4830" t="n">
        <v>107</v>
      </c>
      <c r="AH4830" t="inlineStr">
        <is>
          <t xml:space="preserve">CV. DAHLIA - PPN (PDG) </t>
        </is>
      </c>
      <c r="AI4830" t="n">
        <v>387</v>
      </c>
      <c r="AJ4830" t="inlineStr">
        <is>
          <t>SALSA</t>
        </is>
      </c>
      <c r="AK4830" t="n">
        <v>21</v>
      </c>
      <c r="AL4830" t="inlineStr">
        <is>
          <t>Miss Glam Damar</t>
        </is>
      </c>
      <c r="AM4830" t="n">
        <v>2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SALSA</t>
        </is>
      </c>
      <c r="B4831" s="2">
        <f>"30500197638"</f>
        <v/>
      </c>
      <c r="C4831" t="inlineStr">
        <is>
          <t>SALSA Nail Polish 8 ml Cereal Lovers No. 43</t>
        </is>
      </c>
      <c r="D4831" t="inlineStr">
        <is>
          <t>Miss Glam Damar</t>
        </is>
      </c>
      <c r="E4831" t="n">
        <v>5</v>
      </c>
      <c r="F4831" t="n">
        <v>0.04550000000000001</v>
      </c>
      <c r="G4831" t="n">
        <v>1.82</v>
      </c>
      <c r="H4831" t="n">
        <v>2</v>
      </c>
      <c r="I4831" t="n">
        <v>16</v>
      </c>
      <c r="J4831" t="n">
        <v>1</v>
      </c>
      <c r="K4831" t="n">
        <v>0</v>
      </c>
      <c r="L4831" t="n">
        <v>5610</v>
      </c>
      <c r="M4831" t="n">
        <v>8500</v>
      </c>
      <c r="N4831" t="n">
        <v>91</v>
      </c>
      <c r="O4831" t="n">
        <v>0.91</v>
      </c>
      <c r="P4831" t="n">
        <v>1</v>
      </c>
      <c r="Q4831" t="n">
        <v>0.05</v>
      </c>
      <c r="R4831" t="n">
        <v>2</v>
      </c>
      <c r="S4831" t="n">
        <v>386.7500000000001</v>
      </c>
      <c r="T4831" t="n">
        <v>30</v>
      </c>
      <c r="U4831" t="n">
        <v>31</v>
      </c>
      <c r="V4831" t="n">
        <v>30</v>
      </c>
      <c r="W4831" t="n">
        <v>2</v>
      </c>
      <c r="X4831" t="n">
        <v>109.8901098901099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689</v>
      </c>
      <c r="AG4831" t="n">
        <v>107</v>
      </c>
      <c r="AH4831" t="inlineStr">
        <is>
          <t xml:space="preserve">CV. DAHLIA - PPN (PDG) </t>
        </is>
      </c>
      <c r="AI4831" t="n">
        <v>387</v>
      </c>
      <c r="AJ4831" t="inlineStr">
        <is>
          <t>SALSA</t>
        </is>
      </c>
      <c r="AK4831" t="n">
        <v>21</v>
      </c>
      <c r="AL4831" t="inlineStr">
        <is>
          <t>Miss Glam Damar</t>
        </is>
      </c>
      <c r="AM4831" t="n">
        <v>2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SALSA</t>
        </is>
      </c>
      <c r="B4832" s="2">
        <f>"30500197148"</f>
        <v/>
      </c>
      <c r="C4832" t="inlineStr">
        <is>
          <t>SALSA Nail Polish 8 ml Donut Delight No. 79</t>
        </is>
      </c>
      <c r="D4832" t="inlineStr">
        <is>
          <t>Miss Glam Damar</t>
        </is>
      </c>
      <c r="E4832" t="n">
        <v>0</v>
      </c>
      <c r="F4832" t="n">
        <v>0.0273</v>
      </c>
      <c r="G4832" t="n">
        <v>0.91</v>
      </c>
      <c r="H4832" t="n">
        <v>2</v>
      </c>
      <c r="I4832" t="n">
        <v>16</v>
      </c>
      <c r="J4832" t="n">
        <v>1</v>
      </c>
      <c r="K4832" t="n">
        <v>0</v>
      </c>
      <c r="L4832" t="n">
        <v>5610</v>
      </c>
      <c r="M4832" t="n">
        <v>8500</v>
      </c>
      <c r="N4832" t="n">
        <v>91</v>
      </c>
      <c r="O4832" t="n">
        <v>0.91</v>
      </c>
      <c r="P4832" t="n">
        <v>1</v>
      </c>
      <c r="Q4832" t="n">
        <v>0.14</v>
      </c>
      <c r="R4832" t="n">
        <v>1</v>
      </c>
      <c r="S4832" t="n">
        <v>232.05</v>
      </c>
      <c r="T4832" t="n">
        <v>15</v>
      </c>
      <c r="U4832" t="n">
        <v>16</v>
      </c>
      <c r="V4832" t="n">
        <v>30</v>
      </c>
      <c r="W4832" t="n">
        <v>1</v>
      </c>
      <c r="X4832" t="n">
        <v>0</v>
      </c>
      <c r="Y4832" t="n">
        <v>1</v>
      </c>
      <c r="Z4832" t="n">
        <v>1</v>
      </c>
      <c r="AA4832" t="n">
        <v>1</v>
      </c>
      <c r="AB4832" t="n">
        <v>0</v>
      </c>
      <c r="AC4832" t="n">
        <v>0</v>
      </c>
      <c r="AD4832" t="n">
        <v>5610</v>
      </c>
      <c r="AE4832" t="n">
        <v>0</v>
      </c>
      <c r="AF4832" t="n">
        <v>689</v>
      </c>
      <c r="AG4832" t="n">
        <v>107</v>
      </c>
      <c r="AH4832" t="inlineStr">
        <is>
          <t xml:space="preserve">CV. DAHLIA - PPN (PDG) </t>
        </is>
      </c>
      <c r="AI4832" t="n">
        <v>387</v>
      </c>
      <c r="AJ4832" t="inlineStr">
        <is>
          <t>SALSA</t>
        </is>
      </c>
      <c r="AK4832" t="n">
        <v>21</v>
      </c>
      <c r="AL4832" t="inlineStr">
        <is>
          <t>Miss Glam Damar</t>
        </is>
      </c>
      <c r="AM4832" t="n">
        <v>2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SALSA</t>
        </is>
      </c>
      <c r="B4833" s="2">
        <f>"30500197226"</f>
        <v/>
      </c>
      <c r="C4833" t="inlineStr">
        <is>
          <t>SALSA Nail Polish 8 ml Donut Delight No. 80</t>
        </is>
      </c>
      <c r="D4833" t="inlineStr">
        <is>
          <t>Miss Glam Damar</t>
        </is>
      </c>
      <c r="E4833" t="n">
        <v>7</v>
      </c>
      <c r="F4833" t="n">
        <v>0.02</v>
      </c>
      <c r="G4833" t="n">
        <v>0</v>
      </c>
      <c r="H4833" t="n">
        <v>2</v>
      </c>
      <c r="I4833" t="n">
        <v>16</v>
      </c>
      <c r="J4833" t="n">
        <v>1</v>
      </c>
      <c r="K4833" t="n">
        <v>0</v>
      </c>
      <c r="L4833" t="n">
        <v>5610</v>
      </c>
      <c r="M4833" t="n">
        <v>8500</v>
      </c>
      <c r="N4833" t="n">
        <v>91</v>
      </c>
      <c r="O4833" t="n">
        <v>0.91</v>
      </c>
      <c r="P4833" t="n">
        <v>0</v>
      </c>
      <c r="Q4833" t="n">
        <v>0.02</v>
      </c>
      <c r="R4833" t="n">
        <v>0</v>
      </c>
      <c r="S4833" t="n">
        <v>170</v>
      </c>
      <c r="T4833" t="n">
        <v>0</v>
      </c>
      <c r="U4833" t="n">
        <v>1</v>
      </c>
      <c r="V4833" t="n">
        <v>30</v>
      </c>
      <c r="W4833" t="n">
        <v>1</v>
      </c>
      <c r="X4833" t="n">
        <v>350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689</v>
      </c>
      <c r="AG4833" t="n">
        <v>107</v>
      </c>
      <c r="AH4833" t="inlineStr">
        <is>
          <t xml:space="preserve">CV. DAHLIA - PPN (PDG) </t>
        </is>
      </c>
      <c r="AI4833" t="n">
        <v>387</v>
      </c>
      <c r="AJ4833" t="inlineStr">
        <is>
          <t>SALSA</t>
        </is>
      </c>
      <c r="AK4833" t="n">
        <v>21</v>
      </c>
      <c r="AL4833" t="inlineStr">
        <is>
          <t>Miss Glam Damar</t>
        </is>
      </c>
      <c r="AM4833" t="n">
        <v>2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SALSA</t>
        </is>
      </c>
      <c r="B4834" s="2">
        <f>"30500197358"</f>
        <v/>
      </c>
      <c r="C4834" t="inlineStr">
        <is>
          <t>SALSA Nail Polish 8 ml Donut Delight No. 81</t>
        </is>
      </c>
      <c r="D4834" t="inlineStr">
        <is>
          <t>Miss Glam Damar</t>
        </is>
      </c>
      <c r="E4834" t="n">
        <v>7</v>
      </c>
      <c r="F4834" t="n">
        <v>0.02</v>
      </c>
      <c r="G4834" t="n">
        <v>1</v>
      </c>
      <c r="H4834" t="n">
        <v>2</v>
      </c>
      <c r="I4834" t="n">
        <v>16</v>
      </c>
      <c r="J4834" t="n">
        <v>1</v>
      </c>
      <c r="K4834" t="n">
        <v>0</v>
      </c>
      <c r="L4834" t="n">
        <v>5610</v>
      </c>
      <c r="M4834" t="n">
        <v>8500</v>
      </c>
      <c r="N4834" t="n">
        <v>91</v>
      </c>
      <c r="O4834" t="n">
        <v>0.91</v>
      </c>
      <c r="P4834" t="n">
        <v>0</v>
      </c>
      <c r="Q4834" t="n">
        <v>0.02</v>
      </c>
      <c r="R4834" t="n">
        <v>1</v>
      </c>
      <c r="S4834" t="n">
        <v>170</v>
      </c>
      <c r="T4834" t="n">
        <v>16</v>
      </c>
      <c r="U4834" t="n">
        <v>17</v>
      </c>
      <c r="V4834" t="n">
        <v>30</v>
      </c>
      <c r="W4834" t="n">
        <v>1</v>
      </c>
      <c r="X4834" t="n">
        <v>350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689</v>
      </c>
      <c r="AG4834" t="n">
        <v>107</v>
      </c>
      <c r="AH4834" t="inlineStr">
        <is>
          <t xml:space="preserve">CV. DAHLIA - PPN (PDG) </t>
        </is>
      </c>
      <c r="AI4834" t="n">
        <v>387</v>
      </c>
      <c r="AJ4834" t="inlineStr">
        <is>
          <t>SALSA</t>
        </is>
      </c>
      <c r="AK4834" t="n">
        <v>21</v>
      </c>
      <c r="AL4834" t="inlineStr">
        <is>
          <t>Miss Glam Damar</t>
        </is>
      </c>
      <c r="AM4834" t="n">
        <v>2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SALSA</t>
        </is>
      </c>
      <c r="B4835" s="2">
        <f>"30500197712"</f>
        <v/>
      </c>
      <c r="C4835" t="inlineStr">
        <is>
          <t>SALSA Nail Polish 8 ml Italiano Pizza No. 76</t>
        </is>
      </c>
      <c r="D4835" t="inlineStr">
        <is>
          <t>Miss Glam Damar</t>
        </is>
      </c>
      <c r="E4835" t="n">
        <v>5</v>
      </c>
      <c r="F4835" t="n">
        <v>0.06370000000000001</v>
      </c>
      <c r="G4835" t="n">
        <v>2.73</v>
      </c>
      <c r="H4835" t="n">
        <v>2</v>
      </c>
      <c r="I4835" t="n">
        <v>16</v>
      </c>
      <c r="J4835" t="n">
        <v>1</v>
      </c>
      <c r="K4835" t="n">
        <v>0</v>
      </c>
      <c r="L4835" t="n">
        <v>5610</v>
      </c>
      <c r="M4835" t="n">
        <v>8500</v>
      </c>
      <c r="N4835" t="n">
        <v>91</v>
      </c>
      <c r="O4835" t="n">
        <v>0.91</v>
      </c>
      <c r="P4835" t="n">
        <v>1</v>
      </c>
      <c r="Q4835" t="n">
        <v>0.05</v>
      </c>
      <c r="R4835" t="n">
        <v>1</v>
      </c>
      <c r="S4835" t="n">
        <v>541.45</v>
      </c>
      <c r="T4835" t="n">
        <v>44</v>
      </c>
      <c r="U4835" t="n">
        <v>45</v>
      </c>
      <c r="V4835" t="n">
        <v>30</v>
      </c>
      <c r="W4835" t="n">
        <v>2</v>
      </c>
      <c r="X4835" t="n">
        <v>78.49293563579278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689</v>
      </c>
      <c r="AG4835" t="n">
        <v>107</v>
      </c>
      <c r="AH4835" t="inlineStr">
        <is>
          <t xml:space="preserve">CV. DAHLIA - PPN (PDG) </t>
        </is>
      </c>
      <c r="AI4835" t="n">
        <v>387</v>
      </c>
      <c r="AJ4835" t="inlineStr">
        <is>
          <t>SALSA</t>
        </is>
      </c>
      <c r="AK4835" t="n">
        <v>21</v>
      </c>
      <c r="AL4835" t="inlineStr">
        <is>
          <t>Miss Glam Damar</t>
        </is>
      </c>
      <c r="AM4835" t="n">
        <v>2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SALSA</t>
        </is>
      </c>
      <c r="B4836" s="2">
        <f>"30500197840"</f>
        <v/>
      </c>
      <c r="C4836" t="inlineStr">
        <is>
          <t>SALSA Nail Polish 8 ml Italiano Pizza No. 77</t>
        </is>
      </c>
      <c r="D4836" t="inlineStr">
        <is>
          <t>Miss Glam Damar</t>
        </is>
      </c>
      <c r="E4836" t="n">
        <v>1</v>
      </c>
      <c r="F4836" t="n">
        <v>0.06370000000000001</v>
      </c>
      <c r="G4836" t="n">
        <v>2.73</v>
      </c>
      <c r="H4836" t="n">
        <v>2</v>
      </c>
      <c r="I4836" t="n">
        <v>16</v>
      </c>
      <c r="J4836" t="n">
        <v>1</v>
      </c>
      <c r="K4836" t="n">
        <v>0</v>
      </c>
      <c r="L4836" t="n">
        <v>5610</v>
      </c>
      <c r="M4836" t="n">
        <v>8500</v>
      </c>
      <c r="N4836" t="n">
        <v>91</v>
      </c>
      <c r="O4836" t="n">
        <v>0.91</v>
      </c>
      <c r="P4836" t="n">
        <v>1</v>
      </c>
      <c r="Q4836" t="n">
        <v>0.12</v>
      </c>
      <c r="R4836" t="n">
        <v>1</v>
      </c>
      <c r="S4836" t="n">
        <v>541.45</v>
      </c>
      <c r="T4836" t="n">
        <v>44</v>
      </c>
      <c r="U4836" t="n">
        <v>45</v>
      </c>
      <c r="V4836" t="n">
        <v>30</v>
      </c>
      <c r="W4836" t="n">
        <v>2</v>
      </c>
      <c r="X4836" t="n">
        <v>15.69858712715855</v>
      </c>
      <c r="Y4836" t="n">
        <v>1</v>
      </c>
      <c r="Z4836" t="n">
        <v>1</v>
      </c>
      <c r="AA4836" t="n">
        <v>1</v>
      </c>
      <c r="AB4836" t="n">
        <v>0</v>
      </c>
      <c r="AC4836" t="n">
        <v>0</v>
      </c>
      <c r="AD4836" t="n">
        <v>5610</v>
      </c>
      <c r="AE4836" t="n">
        <v>0</v>
      </c>
      <c r="AF4836" t="n">
        <v>689</v>
      </c>
      <c r="AG4836" t="n">
        <v>107</v>
      </c>
      <c r="AH4836" t="inlineStr">
        <is>
          <t xml:space="preserve">CV. DAHLIA - PPN (PDG) </t>
        </is>
      </c>
      <c r="AI4836" t="n">
        <v>387</v>
      </c>
      <c r="AJ4836" t="inlineStr">
        <is>
          <t>SALSA</t>
        </is>
      </c>
      <c r="AK4836" t="n">
        <v>21</v>
      </c>
      <c r="AL4836" t="inlineStr">
        <is>
          <t>Miss Glam Damar</t>
        </is>
      </c>
      <c r="AM4836" t="n">
        <v>2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SALSA</t>
        </is>
      </c>
      <c r="B4837" s="2">
        <f>"30500260445"</f>
        <v/>
      </c>
      <c r="C4837" t="inlineStr">
        <is>
          <t>SALSA Nail Polish Bakery Series 01 10ml</t>
        </is>
      </c>
      <c r="D4837" t="inlineStr">
        <is>
          <t>Miss Glam Damar</t>
        </is>
      </c>
      <c r="E4837" t="n">
        <v>10</v>
      </c>
      <c r="F4837" t="n">
        <v>0.1547</v>
      </c>
      <c r="G4837" t="n">
        <v>1.82</v>
      </c>
      <c r="H4837" t="n">
        <v>2</v>
      </c>
      <c r="I4837" t="n">
        <v>16</v>
      </c>
      <c r="J4837" t="n">
        <v>3</v>
      </c>
      <c r="K4837" t="n">
        <v>0</v>
      </c>
      <c r="L4837" t="n">
        <v>6176</v>
      </c>
      <c r="M4837" t="n">
        <v>10000</v>
      </c>
      <c r="N4837" t="n">
        <v>91</v>
      </c>
      <c r="O4837" t="n">
        <v>0.91</v>
      </c>
      <c r="P4837" t="n">
        <v>1</v>
      </c>
      <c r="Q4837" t="n">
        <v>0.15</v>
      </c>
      <c r="R4837" t="n">
        <v>1</v>
      </c>
      <c r="S4837" t="n">
        <v>1547</v>
      </c>
      <c r="T4837" t="n">
        <v>29</v>
      </c>
      <c r="U4837" t="n">
        <v>30</v>
      </c>
      <c r="V4837" t="n">
        <v>30</v>
      </c>
      <c r="W4837" t="n">
        <v>5</v>
      </c>
      <c r="X4837" t="n">
        <v>64.64124111182934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689</v>
      </c>
      <c r="AG4837" t="n">
        <v>107</v>
      </c>
      <c r="AH4837" t="inlineStr">
        <is>
          <t xml:space="preserve">CV. DAHLIA - PPN (PDG) </t>
        </is>
      </c>
      <c r="AI4837" t="n">
        <v>387</v>
      </c>
      <c r="AJ4837" t="inlineStr">
        <is>
          <t>SALSA</t>
        </is>
      </c>
      <c r="AK4837" t="n">
        <v>21</v>
      </c>
      <c r="AL4837" t="inlineStr">
        <is>
          <t>Miss Glam Damar</t>
        </is>
      </c>
      <c r="AM4837" t="n">
        <v>2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SALSA</t>
        </is>
      </c>
      <c r="B4838" s="2">
        <f>"30500260350"</f>
        <v/>
      </c>
      <c r="C4838" t="inlineStr">
        <is>
          <t>SALSA Nail Polish Bakery Series 02 10ml</t>
        </is>
      </c>
      <c r="D4838" t="inlineStr">
        <is>
          <t>Miss Glam Damar</t>
        </is>
      </c>
      <c r="E4838" t="n">
        <v>1</v>
      </c>
      <c r="F4838" t="n">
        <v>0.4186</v>
      </c>
      <c r="G4838" t="n">
        <v>2.73</v>
      </c>
      <c r="H4838" t="n">
        <v>2</v>
      </c>
      <c r="I4838" t="n">
        <v>16</v>
      </c>
      <c r="J4838" t="n">
        <v>3</v>
      </c>
      <c r="K4838" t="n">
        <v>0</v>
      </c>
      <c r="L4838" t="n">
        <v>6176</v>
      </c>
      <c r="M4838" t="n">
        <v>10000</v>
      </c>
      <c r="N4838" t="n">
        <v>91</v>
      </c>
      <c r="O4838" t="n">
        <v>0.91</v>
      </c>
      <c r="P4838" t="n">
        <v>1</v>
      </c>
      <c r="Q4838" t="n">
        <v>0.03</v>
      </c>
      <c r="R4838" t="n">
        <v>1</v>
      </c>
      <c r="S4838" t="n">
        <v>4186</v>
      </c>
      <c r="T4838" t="n">
        <v>43</v>
      </c>
      <c r="U4838" t="n">
        <v>44</v>
      </c>
      <c r="V4838" t="n">
        <v>30</v>
      </c>
      <c r="W4838" t="n">
        <v>13</v>
      </c>
      <c r="X4838" t="n">
        <v>2.388915432393693</v>
      </c>
      <c r="Y4838" t="n">
        <v>1</v>
      </c>
      <c r="Z4838" t="n">
        <v>12</v>
      </c>
      <c r="AA4838" t="n">
        <v>6</v>
      </c>
      <c r="AB4838" t="n">
        <v>6</v>
      </c>
      <c r="AC4838" t="n">
        <v>6</v>
      </c>
      <c r="AD4838" t="n">
        <v>37056</v>
      </c>
      <c r="AE4838" t="n">
        <v>37056</v>
      </c>
      <c r="AF4838" t="n">
        <v>689</v>
      </c>
      <c r="AG4838" t="n">
        <v>107</v>
      </c>
      <c r="AH4838" t="inlineStr">
        <is>
          <t xml:space="preserve">CV. DAHLIA - PPN (PDG) </t>
        </is>
      </c>
      <c r="AI4838" t="n">
        <v>387</v>
      </c>
      <c r="AJ4838" t="inlineStr">
        <is>
          <t>SALSA</t>
        </is>
      </c>
      <c r="AK4838" t="n">
        <v>21</v>
      </c>
      <c r="AL4838" t="inlineStr">
        <is>
          <t>Miss Glam Damar</t>
        </is>
      </c>
      <c r="AM4838" t="n">
        <v>2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SALSA</t>
        </is>
      </c>
      <c r="B4839" s="2">
        <f>"30500265119"</f>
        <v/>
      </c>
      <c r="C4839" t="inlineStr">
        <is>
          <t>SALSA Nail Polish Bakery Series 03 10ml</t>
        </is>
      </c>
      <c r="D4839" t="inlineStr">
        <is>
          <t>Miss Glam Damar</t>
        </is>
      </c>
      <c r="E4839" t="n">
        <v>7</v>
      </c>
      <c r="F4839" t="n">
        <v>0.09100000000000001</v>
      </c>
      <c r="G4839" t="n">
        <v>0.91</v>
      </c>
      <c r="H4839" t="n">
        <v>2</v>
      </c>
      <c r="I4839" t="n">
        <v>16</v>
      </c>
      <c r="J4839" t="n">
        <v>3</v>
      </c>
      <c r="K4839" t="n">
        <v>0</v>
      </c>
      <c r="L4839" t="n">
        <v>6176</v>
      </c>
      <c r="M4839" t="n">
        <v>10000</v>
      </c>
      <c r="N4839" t="n">
        <v>91</v>
      </c>
      <c r="O4839" t="n">
        <v>0.91</v>
      </c>
      <c r="P4839" t="n">
        <v>1</v>
      </c>
      <c r="Q4839" t="n">
        <v>0.08</v>
      </c>
      <c r="R4839" t="n">
        <v>2</v>
      </c>
      <c r="S4839" t="n">
        <v>910.0000000000001</v>
      </c>
      <c r="T4839" t="n">
        <v>15</v>
      </c>
      <c r="U4839" t="n">
        <v>16</v>
      </c>
      <c r="V4839" t="n">
        <v>30</v>
      </c>
      <c r="W4839" t="n">
        <v>3</v>
      </c>
      <c r="X4839" t="n">
        <v>76.92307692307692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689</v>
      </c>
      <c r="AG4839" t="n">
        <v>107</v>
      </c>
      <c r="AH4839" t="inlineStr">
        <is>
          <t xml:space="preserve">CV. DAHLIA - PPN (PDG) </t>
        </is>
      </c>
      <c r="AI4839" t="n">
        <v>387</v>
      </c>
      <c r="AJ4839" t="inlineStr">
        <is>
          <t>SALSA</t>
        </is>
      </c>
      <c r="AK4839" t="n">
        <v>21</v>
      </c>
      <c r="AL4839" t="inlineStr">
        <is>
          <t>Miss Glam Damar</t>
        </is>
      </c>
      <c r="AM4839" t="n">
        <v>2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SALSA</t>
        </is>
      </c>
      <c r="B4840" s="2">
        <f>"30500264952"</f>
        <v/>
      </c>
      <c r="C4840" t="inlineStr">
        <is>
          <t>SALSA Nail Polish Coffe Series 11 10ml</t>
        </is>
      </c>
      <c r="D4840" t="inlineStr">
        <is>
          <t>Miss Glam Damar</t>
        </is>
      </c>
      <c r="E4840" t="n">
        <v>6</v>
      </c>
      <c r="F4840" t="n">
        <v>0.02</v>
      </c>
      <c r="G4840" t="n">
        <v>1</v>
      </c>
      <c r="H4840" t="n">
        <v>2</v>
      </c>
      <c r="I4840" t="n">
        <v>16</v>
      </c>
      <c r="J4840" t="n">
        <v>3</v>
      </c>
      <c r="K4840" t="n">
        <v>0</v>
      </c>
      <c r="L4840" t="n">
        <v>6176</v>
      </c>
      <c r="M4840" t="n">
        <v>10000</v>
      </c>
      <c r="N4840" t="n">
        <v>91</v>
      </c>
      <c r="O4840" t="n">
        <v>0.91</v>
      </c>
      <c r="P4840" t="n">
        <v>0</v>
      </c>
      <c r="Q4840" t="n">
        <v>0.02</v>
      </c>
      <c r="R4840" t="n">
        <v>1</v>
      </c>
      <c r="S4840" t="n">
        <v>200</v>
      </c>
      <c r="T4840" t="n">
        <v>16</v>
      </c>
      <c r="U4840" t="n">
        <v>17</v>
      </c>
      <c r="V4840" t="n">
        <v>30</v>
      </c>
      <c r="W4840" t="n">
        <v>1</v>
      </c>
      <c r="X4840" t="n">
        <v>300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689</v>
      </c>
      <c r="AG4840" t="n">
        <v>107</v>
      </c>
      <c r="AH4840" t="inlineStr">
        <is>
          <t xml:space="preserve">CV. DAHLIA - PPN (PDG) </t>
        </is>
      </c>
      <c r="AI4840" t="n">
        <v>387</v>
      </c>
      <c r="AJ4840" t="inlineStr">
        <is>
          <t>SALSA</t>
        </is>
      </c>
      <c r="AK4840" t="n">
        <v>21</v>
      </c>
      <c r="AL4840" t="inlineStr">
        <is>
          <t>Miss Glam Damar</t>
        </is>
      </c>
      <c r="AM4840" t="n">
        <v>2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SALSA</t>
        </is>
      </c>
      <c r="B4841" s="2">
        <f>"30500260724"</f>
        <v/>
      </c>
      <c r="C4841" t="inlineStr">
        <is>
          <t>SALSA Nail Polish Coffe Series 12 10ml</t>
        </is>
      </c>
      <c r="D4841" t="inlineStr">
        <is>
          <t>Miss Glam Damar</t>
        </is>
      </c>
      <c r="E4841" t="n">
        <v>4</v>
      </c>
      <c r="F4841" t="n">
        <v>0.06370000000000001</v>
      </c>
      <c r="G4841" t="n">
        <v>0.91</v>
      </c>
      <c r="H4841" t="n">
        <v>2</v>
      </c>
      <c r="I4841" t="n">
        <v>16</v>
      </c>
      <c r="J4841" t="n">
        <v>3</v>
      </c>
      <c r="K4841" t="n">
        <v>0</v>
      </c>
      <c r="L4841" t="n">
        <v>6176</v>
      </c>
      <c r="M4841" t="n">
        <v>10000</v>
      </c>
      <c r="N4841" t="n">
        <v>91</v>
      </c>
      <c r="O4841" t="n">
        <v>0.91</v>
      </c>
      <c r="P4841" t="n">
        <v>1</v>
      </c>
      <c r="Q4841" t="n">
        <v>0.07000000000000001</v>
      </c>
      <c r="R4841" t="n">
        <v>1</v>
      </c>
      <c r="S4841" t="n">
        <v>637.0000000000001</v>
      </c>
      <c r="T4841" t="n">
        <v>15</v>
      </c>
      <c r="U4841" t="n">
        <v>16</v>
      </c>
      <c r="V4841" t="n">
        <v>30</v>
      </c>
      <c r="W4841" t="n">
        <v>2</v>
      </c>
      <c r="X4841" t="n">
        <v>62.79434850863422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689</v>
      </c>
      <c r="AG4841" t="n">
        <v>107</v>
      </c>
      <c r="AH4841" t="inlineStr">
        <is>
          <t xml:space="preserve">CV. DAHLIA - PPN (PDG) </t>
        </is>
      </c>
      <c r="AI4841" t="n">
        <v>387</v>
      </c>
      <c r="AJ4841" t="inlineStr">
        <is>
          <t>SALSA</t>
        </is>
      </c>
      <c r="AK4841" t="n">
        <v>21</v>
      </c>
      <c r="AL4841" t="inlineStr">
        <is>
          <t>Miss Glam Damar</t>
        </is>
      </c>
      <c r="AM4841" t="n">
        <v>2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SALSA</t>
        </is>
      </c>
      <c r="B4842" s="2">
        <f>"30500260226"</f>
        <v/>
      </c>
      <c r="C4842" t="inlineStr">
        <is>
          <t>SALSA Nail Polish Florist Series 04 10ml</t>
        </is>
      </c>
      <c r="D4842" t="inlineStr">
        <is>
          <t>Miss Glam Damar</t>
        </is>
      </c>
      <c r="E4842" t="n">
        <v>3</v>
      </c>
      <c r="F4842" t="n">
        <v>0.1092</v>
      </c>
      <c r="G4842" t="n">
        <v>1.82</v>
      </c>
      <c r="H4842" t="n">
        <v>2</v>
      </c>
      <c r="I4842" t="n">
        <v>16</v>
      </c>
      <c r="J4842" t="n">
        <v>3</v>
      </c>
      <c r="K4842" t="n">
        <v>0</v>
      </c>
      <c r="L4842" t="n">
        <v>6176</v>
      </c>
      <c r="M4842" t="n">
        <v>10000</v>
      </c>
      <c r="N4842" t="n">
        <v>91</v>
      </c>
      <c r="O4842" t="n">
        <v>0.91</v>
      </c>
      <c r="P4842" t="n">
        <v>1</v>
      </c>
      <c r="Q4842" t="n">
        <v>0.24</v>
      </c>
      <c r="R4842" t="n">
        <v>2</v>
      </c>
      <c r="S4842" t="n">
        <v>1092</v>
      </c>
      <c r="T4842" t="n">
        <v>29</v>
      </c>
      <c r="U4842" t="n">
        <v>30</v>
      </c>
      <c r="V4842" t="n">
        <v>30</v>
      </c>
      <c r="W4842" t="n">
        <v>4</v>
      </c>
      <c r="X4842" t="n">
        <v>27.47252747252747</v>
      </c>
      <c r="Y4842" t="n">
        <v>1</v>
      </c>
      <c r="Z4842" t="n">
        <v>1</v>
      </c>
      <c r="AA4842" t="n">
        <v>0</v>
      </c>
      <c r="AB4842" t="n">
        <v>1</v>
      </c>
      <c r="AC4842" t="n">
        <v>3</v>
      </c>
      <c r="AD4842" t="n">
        <v>0</v>
      </c>
      <c r="AE4842" t="n">
        <v>18528</v>
      </c>
      <c r="AF4842" t="n">
        <v>689</v>
      </c>
      <c r="AG4842" t="n">
        <v>107</v>
      </c>
      <c r="AH4842" t="inlineStr">
        <is>
          <t xml:space="preserve">CV. DAHLIA - PPN (PDG) </t>
        </is>
      </c>
      <c r="AI4842" t="n">
        <v>387</v>
      </c>
      <c r="AJ4842" t="inlineStr">
        <is>
          <t>SALSA</t>
        </is>
      </c>
      <c r="AK4842" t="n">
        <v>21</v>
      </c>
      <c r="AL4842" t="inlineStr">
        <is>
          <t>Miss Glam Damar</t>
        </is>
      </c>
      <c r="AM4842" t="n">
        <v>2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SALSA</t>
        </is>
      </c>
      <c r="B4843" s="2">
        <f>"30500260123"</f>
        <v/>
      </c>
      <c r="C4843" t="inlineStr">
        <is>
          <t>SALSA Nail Polish Florist Series 05 10ml</t>
        </is>
      </c>
      <c r="D4843" t="inlineStr">
        <is>
          <t>Miss Glam Damar</t>
        </is>
      </c>
      <c r="E4843" t="n">
        <v>21</v>
      </c>
      <c r="F4843" t="n">
        <v>0.09100000000000001</v>
      </c>
      <c r="G4843" t="n">
        <v>0.91</v>
      </c>
      <c r="H4843" t="n">
        <v>2</v>
      </c>
      <c r="I4843" t="n">
        <v>16</v>
      </c>
      <c r="J4843" t="n">
        <v>3</v>
      </c>
      <c r="K4843" t="n">
        <v>0</v>
      </c>
      <c r="L4843" t="n">
        <v>6176</v>
      </c>
      <c r="M4843" t="n">
        <v>10000</v>
      </c>
      <c r="N4843" t="n">
        <v>91</v>
      </c>
      <c r="O4843" t="n">
        <v>0.91</v>
      </c>
      <c r="P4843" t="n">
        <v>1</v>
      </c>
      <c r="Q4843" t="n">
        <v>0.15</v>
      </c>
      <c r="R4843" t="n">
        <v>1</v>
      </c>
      <c r="S4843" t="n">
        <v>910.0000000000001</v>
      </c>
      <c r="T4843" t="n">
        <v>15</v>
      </c>
      <c r="U4843" t="n">
        <v>16</v>
      </c>
      <c r="V4843" t="n">
        <v>30</v>
      </c>
      <c r="W4843" t="n">
        <v>3</v>
      </c>
      <c r="X4843" t="n">
        <v>230.7692307692307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689</v>
      </c>
      <c r="AG4843" t="n">
        <v>107</v>
      </c>
      <c r="AH4843" t="inlineStr">
        <is>
          <t xml:space="preserve">CV. DAHLIA - PPN (PDG) </t>
        </is>
      </c>
      <c r="AI4843" t="n">
        <v>387</v>
      </c>
      <c r="AJ4843" t="inlineStr">
        <is>
          <t>SALSA</t>
        </is>
      </c>
      <c r="AK4843" t="n">
        <v>21</v>
      </c>
      <c r="AL4843" t="inlineStr">
        <is>
          <t>Miss Glam Damar</t>
        </is>
      </c>
      <c r="AM4843" t="n">
        <v>2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SALSA</t>
        </is>
      </c>
      <c r="B4844" s="2">
        <f>"8997207557050"</f>
        <v/>
      </c>
      <c r="C4844" t="inlineStr">
        <is>
          <t>SALSA Nail Polish Florist Series 06 10ml</t>
        </is>
      </c>
      <c r="D4844" t="inlineStr">
        <is>
          <t>Miss Glam Damar</t>
        </is>
      </c>
      <c r="E4844" t="n">
        <v>5</v>
      </c>
      <c r="F4844" t="n">
        <v>0.06370000000000001</v>
      </c>
      <c r="G4844" t="n">
        <v>1.82</v>
      </c>
      <c r="H4844" t="n">
        <v>2</v>
      </c>
      <c r="I4844" t="n">
        <v>16</v>
      </c>
      <c r="J4844" t="n">
        <v>3</v>
      </c>
      <c r="K4844" t="n">
        <v>0</v>
      </c>
      <c r="L4844" t="n">
        <v>6176</v>
      </c>
      <c r="M4844" t="n">
        <v>10000</v>
      </c>
      <c r="N4844" t="n">
        <v>91</v>
      </c>
      <c r="O4844" t="n">
        <v>0.91</v>
      </c>
      <c r="P4844" t="n">
        <v>1</v>
      </c>
      <c r="Q4844" t="n">
        <v>0.2</v>
      </c>
      <c r="R4844" t="n">
        <v>2</v>
      </c>
      <c r="S4844" t="n">
        <v>637.0000000000001</v>
      </c>
      <c r="T4844" t="n">
        <v>29</v>
      </c>
      <c r="U4844" t="n">
        <v>30</v>
      </c>
      <c r="V4844" t="n">
        <v>30</v>
      </c>
      <c r="W4844" t="n">
        <v>2</v>
      </c>
      <c r="X4844" t="n">
        <v>78.49293563579278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689</v>
      </c>
      <c r="AG4844" t="n">
        <v>107</v>
      </c>
      <c r="AH4844" t="inlineStr">
        <is>
          <t xml:space="preserve">CV. DAHLIA - PPN (PDG) </t>
        </is>
      </c>
      <c r="AI4844" t="n">
        <v>387</v>
      </c>
      <c r="AJ4844" t="inlineStr">
        <is>
          <t>SALSA</t>
        </is>
      </c>
      <c r="AK4844" t="n">
        <v>21</v>
      </c>
      <c r="AL4844" t="inlineStr">
        <is>
          <t>Miss Glam Damar</t>
        </is>
      </c>
      <c r="AM4844" t="n">
        <v>2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SALSA</t>
        </is>
      </c>
      <c r="B4845" s="2">
        <f>"30500266207"</f>
        <v/>
      </c>
      <c r="C4845" t="inlineStr">
        <is>
          <t>SALSA Nail Polish Our Boutique 24 10ml</t>
        </is>
      </c>
      <c r="D4845" t="inlineStr">
        <is>
          <t>Miss Glam Damar</t>
        </is>
      </c>
      <c r="E4845" t="n">
        <v>8</v>
      </c>
      <c r="F4845" t="n">
        <v>0.1729</v>
      </c>
      <c r="G4845" t="n">
        <v>1.82</v>
      </c>
      <c r="H4845" t="n">
        <v>2</v>
      </c>
      <c r="I4845" t="n">
        <v>16</v>
      </c>
      <c r="J4845" t="n">
        <v>3</v>
      </c>
      <c r="K4845" t="n">
        <v>0</v>
      </c>
      <c r="L4845" t="n">
        <v>6176</v>
      </c>
      <c r="M4845" t="n">
        <v>8500</v>
      </c>
      <c r="N4845" t="n">
        <v>91</v>
      </c>
      <c r="O4845" t="n">
        <v>0.91</v>
      </c>
      <c r="P4845" t="n">
        <v>1</v>
      </c>
      <c r="Q4845" t="n">
        <v>0.03</v>
      </c>
      <c r="R4845" t="n">
        <v>1</v>
      </c>
      <c r="S4845" t="n">
        <v>1469.65</v>
      </c>
      <c r="T4845" t="n">
        <v>29</v>
      </c>
      <c r="U4845" t="n">
        <v>30</v>
      </c>
      <c r="V4845" t="n">
        <v>30</v>
      </c>
      <c r="W4845" t="n">
        <v>6</v>
      </c>
      <c r="X4845" t="n">
        <v>46.26951995373048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689</v>
      </c>
      <c r="AG4845" t="n">
        <v>107</v>
      </c>
      <c r="AH4845" t="inlineStr">
        <is>
          <t xml:space="preserve">CV. DAHLIA - PPN (PDG) </t>
        </is>
      </c>
      <c r="AI4845" t="n">
        <v>387</v>
      </c>
      <c r="AJ4845" t="inlineStr">
        <is>
          <t>SALSA</t>
        </is>
      </c>
      <c r="AK4845" t="n">
        <v>21</v>
      </c>
      <c r="AL4845" t="inlineStr">
        <is>
          <t>Miss Glam Damar</t>
        </is>
      </c>
      <c r="AM4845" t="n">
        <v>2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SALSA</t>
        </is>
      </c>
      <c r="B4846" s="2">
        <f>"30500266328"</f>
        <v/>
      </c>
      <c r="C4846" t="inlineStr">
        <is>
          <t>SALSA Nail Polish Our Boutique 25 10ml</t>
        </is>
      </c>
      <c r="D4846" t="inlineStr">
        <is>
          <t>Miss Glam Damar</t>
        </is>
      </c>
      <c r="E4846" t="n">
        <v>6</v>
      </c>
      <c r="F4846" t="n">
        <v>0.2366</v>
      </c>
      <c r="G4846" t="n">
        <v>2.73</v>
      </c>
      <c r="H4846" t="n">
        <v>2</v>
      </c>
      <c r="I4846" t="n">
        <v>16</v>
      </c>
      <c r="J4846" t="n">
        <v>3</v>
      </c>
      <c r="K4846" t="n">
        <v>0</v>
      </c>
      <c r="L4846" t="n">
        <v>6176</v>
      </c>
      <c r="M4846" t="n">
        <v>8500</v>
      </c>
      <c r="N4846" t="n">
        <v>91</v>
      </c>
      <c r="O4846" t="n">
        <v>0.91</v>
      </c>
      <c r="P4846" t="n">
        <v>1</v>
      </c>
      <c r="Q4846" t="n">
        <v>0.12</v>
      </c>
      <c r="R4846" t="n">
        <v>1</v>
      </c>
      <c r="S4846" t="n">
        <v>2011.1</v>
      </c>
      <c r="T4846" t="n">
        <v>44</v>
      </c>
      <c r="U4846" t="n">
        <v>45</v>
      </c>
      <c r="V4846" t="n">
        <v>30</v>
      </c>
      <c r="W4846" t="n">
        <v>8</v>
      </c>
      <c r="X4846" t="n">
        <v>25.3592561284869</v>
      </c>
      <c r="Y4846" t="n">
        <v>1</v>
      </c>
      <c r="Z4846" t="n">
        <v>2</v>
      </c>
      <c r="AA4846" t="n">
        <v>0</v>
      </c>
      <c r="AB4846" t="n">
        <v>2</v>
      </c>
      <c r="AC4846" t="n">
        <v>3</v>
      </c>
      <c r="AD4846" t="n">
        <v>0</v>
      </c>
      <c r="AE4846" t="n">
        <v>18528</v>
      </c>
      <c r="AF4846" t="n">
        <v>689</v>
      </c>
      <c r="AG4846" t="n">
        <v>107</v>
      </c>
      <c r="AH4846" t="inlineStr">
        <is>
          <t xml:space="preserve">CV. DAHLIA - PPN (PDG) </t>
        </is>
      </c>
      <c r="AI4846" t="n">
        <v>387</v>
      </c>
      <c r="AJ4846" t="inlineStr">
        <is>
          <t>SALSA</t>
        </is>
      </c>
      <c r="AK4846" t="n">
        <v>21</v>
      </c>
      <c r="AL4846" t="inlineStr">
        <is>
          <t>Miss Glam Damar</t>
        </is>
      </c>
      <c r="AM4846" t="n">
        <v>2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SALSA</t>
        </is>
      </c>
      <c r="B4847" s="2">
        <f>"30500265853"</f>
        <v/>
      </c>
      <c r="C4847" t="inlineStr">
        <is>
          <t>SALSA Nail Polish Pet Shop Series 29 10ml</t>
        </is>
      </c>
      <c r="D4847" t="inlineStr">
        <is>
          <t>Miss Glam Damar</t>
        </is>
      </c>
      <c r="E4847" t="n">
        <v>12</v>
      </c>
      <c r="F4847" t="n">
        <v>0.1092</v>
      </c>
      <c r="G4847" t="n">
        <v>1.82</v>
      </c>
      <c r="H4847" t="n">
        <v>2</v>
      </c>
      <c r="I4847" t="n">
        <v>16</v>
      </c>
      <c r="J4847" t="n">
        <v>3</v>
      </c>
      <c r="K4847" t="n">
        <v>0</v>
      </c>
      <c r="L4847" t="n">
        <v>6176</v>
      </c>
      <c r="M4847" t="n">
        <v>8500</v>
      </c>
      <c r="N4847" t="n">
        <v>91</v>
      </c>
      <c r="O4847" t="n">
        <v>0.91</v>
      </c>
      <c r="P4847" t="n">
        <v>1</v>
      </c>
      <c r="Q4847" t="n">
        <v>0.15</v>
      </c>
      <c r="R4847" t="n">
        <v>1</v>
      </c>
      <c r="S4847" t="n">
        <v>928.2</v>
      </c>
      <c r="T4847" t="n">
        <v>29</v>
      </c>
      <c r="U4847" t="n">
        <v>30</v>
      </c>
      <c r="V4847" t="n">
        <v>30</v>
      </c>
      <c r="W4847" t="n">
        <v>4</v>
      </c>
      <c r="X4847" t="n">
        <v>109.8901098901099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689</v>
      </c>
      <c r="AG4847" t="n">
        <v>107</v>
      </c>
      <c r="AH4847" t="inlineStr">
        <is>
          <t xml:space="preserve">CV. DAHLIA - PPN (PDG) </t>
        </is>
      </c>
      <c r="AI4847" t="n">
        <v>387</v>
      </c>
      <c r="AJ4847" t="inlineStr">
        <is>
          <t>SALSA</t>
        </is>
      </c>
      <c r="AK4847" t="n">
        <v>21</v>
      </c>
      <c r="AL4847" t="inlineStr">
        <is>
          <t>Miss Glam Damar</t>
        </is>
      </c>
      <c r="AM4847" t="n">
        <v>2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SALSA</t>
        </is>
      </c>
      <c r="B4848" s="2">
        <f>"30500266055"</f>
        <v/>
      </c>
      <c r="C4848" t="inlineStr">
        <is>
          <t>SALSA Nail Polish Pet Shop Series 31 10ml</t>
        </is>
      </c>
      <c r="D4848" t="inlineStr">
        <is>
          <t>Miss Glam Damar</t>
        </is>
      </c>
      <c r="E4848" t="n">
        <v>4</v>
      </c>
      <c r="F4848" t="n">
        <v>0.06370000000000001</v>
      </c>
      <c r="G4848" t="n">
        <v>0.91</v>
      </c>
      <c r="H4848" t="n">
        <v>2</v>
      </c>
      <c r="I4848" t="n">
        <v>16</v>
      </c>
      <c r="J4848" t="n">
        <v>3</v>
      </c>
      <c r="K4848" t="n">
        <v>0</v>
      </c>
      <c r="L4848" t="n">
        <v>6176</v>
      </c>
      <c r="M4848" t="n">
        <v>8500</v>
      </c>
      <c r="N4848" t="n">
        <v>91</v>
      </c>
      <c r="O4848" t="n">
        <v>0.91</v>
      </c>
      <c r="P4848" t="n">
        <v>1</v>
      </c>
      <c r="Q4848" t="n">
        <v>0.1</v>
      </c>
      <c r="R4848" t="n">
        <v>1</v>
      </c>
      <c r="S4848" t="n">
        <v>541.45</v>
      </c>
      <c r="T4848" t="n">
        <v>15</v>
      </c>
      <c r="U4848" t="n">
        <v>16</v>
      </c>
      <c r="V4848" t="n">
        <v>30</v>
      </c>
      <c r="W4848" t="n">
        <v>2</v>
      </c>
      <c r="X4848" t="n">
        <v>62.79434850863422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689</v>
      </c>
      <c r="AG4848" t="n">
        <v>107</v>
      </c>
      <c r="AH4848" t="inlineStr">
        <is>
          <t xml:space="preserve">CV. DAHLIA - PPN (PDG) </t>
        </is>
      </c>
      <c r="AI4848" t="n">
        <v>387</v>
      </c>
      <c r="AJ4848" t="inlineStr">
        <is>
          <t>SALSA</t>
        </is>
      </c>
      <c r="AK4848" t="n">
        <v>21</v>
      </c>
      <c r="AL4848" t="inlineStr">
        <is>
          <t>Miss Glam Damar</t>
        </is>
      </c>
      <c r="AM4848" t="n">
        <v>2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SALSA</t>
        </is>
      </c>
      <c r="B4849" s="2">
        <f>"8997207550501"</f>
        <v/>
      </c>
      <c r="C4849" t="inlineStr">
        <is>
          <t>SALSA Nail Polish Remover 40ml</t>
        </is>
      </c>
      <c r="D4849" t="inlineStr">
        <is>
          <t>Miss Glam Damar</t>
        </is>
      </c>
      <c r="E4849" t="n">
        <v>35</v>
      </c>
      <c r="F4849" t="n">
        <v>0.7553</v>
      </c>
      <c r="G4849" t="n">
        <v>3.64</v>
      </c>
      <c r="H4849" t="n">
        <v>2</v>
      </c>
      <c r="I4849" t="n">
        <v>16</v>
      </c>
      <c r="J4849" t="n">
        <v>3</v>
      </c>
      <c r="K4849" t="n">
        <v>0</v>
      </c>
      <c r="L4849" t="n">
        <v>4463</v>
      </c>
      <c r="M4849" t="n">
        <v>5500</v>
      </c>
      <c r="N4849" t="n">
        <v>91</v>
      </c>
      <c r="O4849" t="n">
        <v>0.91</v>
      </c>
      <c r="P4849" t="n">
        <v>1</v>
      </c>
      <c r="Q4849" t="n">
        <v>1.2</v>
      </c>
      <c r="R4849" t="n">
        <v>5</v>
      </c>
      <c r="S4849" t="n">
        <v>4154.15</v>
      </c>
      <c r="T4849" t="n">
        <v>57</v>
      </c>
      <c r="U4849" t="n">
        <v>59</v>
      </c>
      <c r="V4849" t="n">
        <v>30</v>
      </c>
      <c r="W4849" t="n">
        <v>23</v>
      </c>
      <c r="X4849" t="n">
        <v>46.33920296570899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689</v>
      </c>
      <c r="AG4849" t="n">
        <v>107</v>
      </c>
      <c r="AH4849" t="inlineStr">
        <is>
          <t xml:space="preserve">CV. DAHLIA - PPN (PDG) </t>
        </is>
      </c>
      <c r="AI4849" t="n">
        <v>387</v>
      </c>
      <c r="AJ4849" t="inlineStr">
        <is>
          <t>SALSA</t>
        </is>
      </c>
      <c r="AK4849" t="n">
        <v>21</v>
      </c>
      <c r="AL4849" t="inlineStr">
        <is>
          <t>Miss Glam Damar</t>
        </is>
      </c>
      <c r="AM4849" t="n">
        <v>2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SALSA</t>
        </is>
      </c>
      <c r="B4850" s="2">
        <f>"8997207550518"</f>
        <v/>
      </c>
      <c r="C4850" t="inlineStr">
        <is>
          <t>SALSA Nail Polish Remover Acetone 80ml</t>
        </is>
      </c>
      <c r="D4850" t="inlineStr">
        <is>
          <t>Miss Glam Damar</t>
        </is>
      </c>
      <c r="E4850" t="n">
        <v>4</v>
      </c>
      <c r="F4850" t="n">
        <v>0.5277999999999999</v>
      </c>
      <c r="G4850" t="n">
        <v>2.73</v>
      </c>
      <c r="H4850" t="n">
        <v>2</v>
      </c>
      <c r="I4850" t="n">
        <v>16</v>
      </c>
      <c r="J4850" t="n">
        <v>3</v>
      </c>
      <c r="K4850" t="n">
        <v>0</v>
      </c>
      <c r="L4850" t="n">
        <v>5823</v>
      </c>
      <c r="M4850" t="n">
        <v>7000</v>
      </c>
      <c r="N4850" t="n">
        <v>91</v>
      </c>
      <c r="O4850" t="n">
        <v>0.91</v>
      </c>
      <c r="P4850" t="n">
        <v>1</v>
      </c>
      <c r="Q4850" t="n">
        <v>0.59</v>
      </c>
      <c r="R4850" t="n">
        <v>3</v>
      </c>
      <c r="S4850" t="n">
        <v>3694.599999999999</v>
      </c>
      <c r="T4850" t="n">
        <v>43</v>
      </c>
      <c r="U4850" t="n">
        <v>45</v>
      </c>
      <c r="V4850" t="n">
        <v>30</v>
      </c>
      <c r="W4850" t="n">
        <v>16</v>
      </c>
      <c r="X4850" t="n">
        <v>7.578628268283442</v>
      </c>
      <c r="Y4850" t="n">
        <v>1</v>
      </c>
      <c r="Z4850" t="n">
        <v>12</v>
      </c>
      <c r="AA4850" t="n">
        <v>5</v>
      </c>
      <c r="AB4850" t="n">
        <v>7</v>
      </c>
      <c r="AC4850" t="n">
        <v>7</v>
      </c>
      <c r="AD4850" t="n">
        <v>29115</v>
      </c>
      <c r="AE4850" t="n">
        <v>40761</v>
      </c>
      <c r="AF4850" t="n">
        <v>689</v>
      </c>
      <c r="AG4850" t="n">
        <v>107</v>
      </c>
      <c r="AH4850" t="inlineStr">
        <is>
          <t xml:space="preserve">CV. DAHLIA - PPN (PDG) </t>
        </is>
      </c>
      <c r="AI4850" t="n">
        <v>387</v>
      </c>
      <c r="AJ4850" t="inlineStr">
        <is>
          <t>SALSA</t>
        </is>
      </c>
      <c r="AK4850" t="n">
        <v>21</v>
      </c>
      <c r="AL4850" t="inlineStr">
        <is>
          <t>Miss Glam Damar</t>
        </is>
      </c>
      <c r="AM4850" t="n">
        <v>2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SALSA</t>
        </is>
      </c>
      <c r="B4851" s="2">
        <f>"30500259958"</f>
        <v/>
      </c>
      <c r="C4851" t="inlineStr">
        <is>
          <t>SALSA Nail Polish Salon Series 07 10ml</t>
        </is>
      </c>
      <c r="D4851" t="inlineStr">
        <is>
          <t>Miss Glam Damar</t>
        </is>
      </c>
      <c r="E4851" t="n">
        <v>4</v>
      </c>
      <c r="F4851" t="n">
        <v>0.37</v>
      </c>
      <c r="G4851" t="n">
        <v>2</v>
      </c>
      <c r="H4851" t="n">
        <v>2</v>
      </c>
      <c r="I4851" t="n">
        <v>16</v>
      </c>
      <c r="J4851" t="n">
        <v>3</v>
      </c>
      <c r="K4851" t="n">
        <v>0</v>
      </c>
      <c r="L4851" t="n">
        <v>6176</v>
      </c>
      <c r="M4851" t="n">
        <v>10000</v>
      </c>
      <c r="N4851" t="n">
        <v>91</v>
      </c>
      <c r="O4851" t="n">
        <v>0.91</v>
      </c>
      <c r="P4851" t="n">
        <v>0</v>
      </c>
      <c r="Q4851" t="n">
        <v>0.37</v>
      </c>
      <c r="R4851" t="n">
        <v>2</v>
      </c>
      <c r="S4851" t="n">
        <v>3700</v>
      </c>
      <c r="T4851" t="n">
        <v>32</v>
      </c>
      <c r="U4851" t="n">
        <v>33</v>
      </c>
      <c r="V4851" t="n">
        <v>30</v>
      </c>
      <c r="W4851" t="n">
        <v>12</v>
      </c>
      <c r="X4851" t="n">
        <v>10.81081081081081</v>
      </c>
      <c r="Y4851" t="n">
        <v>1</v>
      </c>
      <c r="Z4851" t="n">
        <v>8</v>
      </c>
      <c r="AA4851" t="n">
        <v>2</v>
      </c>
      <c r="AB4851" t="n">
        <v>6</v>
      </c>
      <c r="AC4851" t="n">
        <v>6</v>
      </c>
      <c r="AD4851" t="n">
        <v>12352</v>
      </c>
      <c r="AE4851" t="n">
        <v>37056</v>
      </c>
      <c r="AF4851" t="n">
        <v>689</v>
      </c>
      <c r="AG4851" t="n">
        <v>107</v>
      </c>
      <c r="AH4851" t="inlineStr">
        <is>
          <t xml:space="preserve">CV. DAHLIA - PPN (PDG) </t>
        </is>
      </c>
      <c r="AI4851" t="n">
        <v>387</v>
      </c>
      <c r="AJ4851" t="inlineStr">
        <is>
          <t>SALSA</t>
        </is>
      </c>
      <c r="AK4851" t="n">
        <v>21</v>
      </c>
      <c r="AL4851" t="inlineStr">
        <is>
          <t>Miss Glam Damar</t>
        </is>
      </c>
      <c r="AM4851" t="n">
        <v>2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SALSA</t>
        </is>
      </c>
      <c r="B4852" s="2">
        <f>"8997207557067"</f>
        <v/>
      </c>
      <c r="C4852" t="inlineStr">
        <is>
          <t>SALSA Nail Polish Salon Series 08 10ml</t>
        </is>
      </c>
      <c r="D4852" t="inlineStr">
        <is>
          <t>Miss Glam Damar</t>
        </is>
      </c>
      <c r="E4852" t="n">
        <v>54</v>
      </c>
      <c r="F4852" t="n">
        <v>0.04550000000000001</v>
      </c>
      <c r="G4852" t="n">
        <v>0.91</v>
      </c>
      <c r="H4852" t="n">
        <v>2</v>
      </c>
      <c r="I4852" t="n">
        <v>16</v>
      </c>
      <c r="J4852" t="n">
        <v>3</v>
      </c>
      <c r="K4852" t="n">
        <v>0</v>
      </c>
      <c r="L4852" t="n">
        <v>6176</v>
      </c>
      <c r="M4852" t="n">
        <v>10000</v>
      </c>
      <c r="N4852" t="n">
        <v>91</v>
      </c>
      <c r="O4852" t="n">
        <v>0.91</v>
      </c>
      <c r="P4852" t="n">
        <v>1</v>
      </c>
      <c r="Q4852" t="n">
        <v>0.02</v>
      </c>
      <c r="R4852" t="n">
        <v>1</v>
      </c>
      <c r="S4852" t="n">
        <v>455.0000000000001</v>
      </c>
      <c r="T4852" t="n">
        <v>15</v>
      </c>
      <c r="U4852" t="n">
        <v>16</v>
      </c>
      <c r="V4852" t="n">
        <v>30</v>
      </c>
      <c r="W4852" t="n">
        <v>2</v>
      </c>
      <c r="X4852" t="n">
        <v>1186.813186813187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689</v>
      </c>
      <c r="AG4852" t="n">
        <v>107</v>
      </c>
      <c r="AH4852" t="inlineStr">
        <is>
          <t xml:space="preserve">CV. DAHLIA - PPN (PDG) </t>
        </is>
      </c>
      <c r="AI4852" t="n">
        <v>387</v>
      </c>
      <c r="AJ4852" t="inlineStr">
        <is>
          <t>SALSA</t>
        </is>
      </c>
      <c r="AK4852" t="n">
        <v>21</v>
      </c>
      <c r="AL4852" t="inlineStr">
        <is>
          <t>Miss Glam Damar</t>
        </is>
      </c>
      <c r="AM4852" t="n">
        <v>2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SALSA</t>
        </is>
      </c>
      <c r="B4853" s="2">
        <f>"30500260052"</f>
        <v/>
      </c>
      <c r="C4853" t="inlineStr">
        <is>
          <t>SALSA Nail Polish Salon Series 09 10ml</t>
        </is>
      </c>
      <c r="D4853" t="inlineStr">
        <is>
          <t>Miss Glam Damar</t>
        </is>
      </c>
      <c r="E4853" t="n">
        <v>0</v>
      </c>
      <c r="F4853" t="n">
        <v>0.41</v>
      </c>
      <c r="G4853" t="n">
        <v>3</v>
      </c>
      <c r="H4853" t="n">
        <v>2</v>
      </c>
      <c r="I4853" t="n">
        <v>16</v>
      </c>
      <c r="J4853" t="n">
        <v>3</v>
      </c>
      <c r="K4853" t="n">
        <v>0</v>
      </c>
      <c r="L4853" t="n">
        <v>6176</v>
      </c>
      <c r="M4853" t="n">
        <v>10000</v>
      </c>
      <c r="N4853" t="n">
        <v>91</v>
      </c>
      <c r="O4853" t="n">
        <v>0.91</v>
      </c>
      <c r="P4853" t="n">
        <v>0</v>
      </c>
      <c r="Q4853" t="n">
        <v>0.41</v>
      </c>
      <c r="R4853" t="n">
        <v>3</v>
      </c>
      <c r="S4853" t="n">
        <v>4100</v>
      </c>
      <c r="T4853" t="n">
        <v>48</v>
      </c>
      <c r="U4853" t="n">
        <v>49</v>
      </c>
      <c r="V4853" t="n">
        <v>30</v>
      </c>
      <c r="W4853" t="n">
        <v>13</v>
      </c>
      <c r="X4853" t="n">
        <v>0</v>
      </c>
      <c r="Y4853" t="n">
        <v>1</v>
      </c>
      <c r="Z4853" t="n">
        <v>13</v>
      </c>
      <c r="AA4853" t="n">
        <v>7</v>
      </c>
      <c r="AB4853" t="n">
        <v>6</v>
      </c>
      <c r="AC4853" t="n">
        <v>6</v>
      </c>
      <c r="AD4853" t="n">
        <v>43232</v>
      </c>
      <c r="AE4853" t="n">
        <v>37056</v>
      </c>
      <c r="AF4853" t="n">
        <v>689</v>
      </c>
      <c r="AG4853" t="n">
        <v>107</v>
      </c>
      <c r="AH4853" t="inlineStr">
        <is>
          <t xml:space="preserve">CV. DAHLIA - PPN (PDG) </t>
        </is>
      </c>
      <c r="AI4853" t="n">
        <v>387</v>
      </c>
      <c r="AJ4853" t="inlineStr">
        <is>
          <t>SALSA</t>
        </is>
      </c>
      <c r="AK4853" t="n">
        <v>21</v>
      </c>
      <c r="AL4853" t="inlineStr">
        <is>
          <t>Miss Glam Damar</t>
        </is>
      </c>
      <c r="AM4853" t="n">
        <v>2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SALSA</t>
        </is>
      </c>
      <c r="B4854" s="2">
        <f>"8997207559153"</f>
        <v/>
      </c>
      <c r="C4854" t="inlineStr">
        <is>
          <t>SALSA Omega 3 Beauty Blender Lilac Series</t>
        </is>
      </c>
      <c r="D4854" t="inlineStr">
        <is>
          <t>Miss Glam Damar</t>
        </is>
      </c>
      <c r="E4854" t="n">
        <v>15</v>
      </c>
      <c r="F4854" t="n">
        <v>0.2002</v>
      </c>
      <c r="G4854" t="n">
        <v>3.64</v>
      </c>
      <c r="H4854" t="n">
        <v>2</v>
      </c>
      <c r="I4854" t="n">
        <v>16</v>
      </c>
      <c r="J4854" t="n">
        <v>3</v>
      </c>
      <c r="K4854" t="n">
        <v>0</v>
      </c>
      <c r="L4854" t="n">
        <v>23800</v>
      </c>
      <c r="M4854" t="n">
        <v>28000</v>
      </c>
      <c r="N4854" t="n">
        <v>91</v>
      </c>
      <c r="O4854" t="n">
        <v>0.91</v>
      </c>
      <c r="P4854" t="n">
        <v>1</v>
      </c>
      <c r="Q4854" t="n">
        <v>0.42</v>
      </c>
      <c r="R4854" t="n">
        <v>2</v>
      </c>
      <c r="S4854" t="n">
        <v>5605.6</v>
      </c>
      <c r="T4854" t="n">
        <v>58</v>
      </c>
      <c r="U4854" t="n">
        <v>59</v>
      </c>
      <c r="V4854" t="n">
        <v>30</v>
      </c>
      <c r="W4854" t="n">
        <v>7</v>
      </c>
      <c r="X4854" t="n">
        <v>74.92507492507492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689</v>
      </c>
      <c r="AG4854" t="n">
        <v>107</v>
      </c>
      <c r="AH4854" t="inlineStr">
        <is>
          <t xml:space="preserve">CV. DAHLIA - PPN (PDG) </t>
        </is>
      </c>
      <c r="AI4854" t="n">
        <v>387</v>
      </c>
      <c r="AJ4854" t="inlineStr">
        <is>
          <t>SALSA</t>
        </is>
      </c>
      <c r="AK4854" t="n">
        <v>21</v>
      </c>
      <c r="AL4854" t="inlineStr">
        <is>
          <t>Miss Glam Damar</t>
        </is>
      </c>
      <c r="AM4854" t="n">
        <v>2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SALSA</t>
        </is>
      </c>
      <c r="B4855" s="2">
        <f>"8997207559160"</f>
        <v/>
      </c>
      <c r="C4855" t="inlineStr">
        <is>
          <t>SALSA Omega 3 Beauty Blender Nude Series</t>
        </is>
      </c>
      <c r="D4855" t="inlineStr">
        <is>
          <t>Miss Glam Damar</t>
        </is>
      </c>
      <c r="E4855" t="n">
        <v>4</v>
      </c>
      <c r="F4855" t="n">
        <v>0.07000000000000001</v>
      </c>
      <c r="G4855" t="n">
        <v>1</v>
      </c>
      <c r="H4855" t="n">
        <v>2</v>
      </c>
      <c r="I4855" t="n">
        <v>16</v>
      </c>
      <c r="J4855" t="n">
        <v>3</v>
      </c>
      <c r="K4855" t="n">
        <v>0</v>
      </c>
      <c r="L4855" t="n">
        <v>23800</v>
      </c>
      <c r="M4855" t="n">
        <v>34000</v>
      </c>
      <c r="N4855" t="n">
        <v>91</v>
      </c>
      <c r="O4855" t="n">
        <v>0.91</v>
      </c>
      <c r="P4855" t="n">
        <v>0</v>
      </c>
      <c r="Q4855" t="n">
        <v>0.07000000000000001</v>
      </c>
      <c r="R4855" t="n">
        <v>1</v>
      </c>
      <c r="S4855" t="n">
        <v>2380</v>
      </c>
      <c r="T4855" t="n">
        <v>16</v>
      </c>
      <c r="U4855" t="n">
        <v>17</v>
      </c>
      <c r="V4855" t="n">
        <v>30</v>
      </c>
      <c r="W4855" t="n">
        <v>3</v>
      </c>
      <c r="X4855" t="n">
        <v>57.14285714285714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689</v>
      </c>
      <c r="AG4855" t="n">
        <v>107</v>
      </c>
      <c r="AH4855" t="inlineStr">
        <is>
          <t xml:space="preserve">CV. DAHLIA - PPN (PDG) </t>
        </is>
      </c>
      <c r="AI4855" t="n">
        <v>387</v>
      </c>
      <c r="AJ4855" t="inlineStr">
        <is>
          <t>SALSA</t>
        </is>
      </c>
      <c r="AK4855" t="n">
        <v>21</v>
      </c>
      <c r="AL4855" t="inlineStr">
        <is>
          <t>Miss Glam Damar</t>
        </is>
      </c>
      <c r="AM4855" t="n">
        <v>2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SALSA</t>
        </is>
      </c>
      <c r="B4856" s="2">
        <f>"8997207559177"</f>
        <v/>
      </c>
      <c r="C4856" t="inlineStr">
        <is>
          <t>SALSA Omega 3 Beauty Blender Pastel Series</t>
        </is>
      </c>
      <c r="D4856" t="inlineStr">
        <is>
          <t>Miss Glam Damar</t>
        </is>
      </c>
      <c r="E4856" t="n">
        <v>5</v>
      </c>
      <c r="F4856" t="n">
        <v>0.2184</v>
      </c>
      <c r="G4856" t="n">
        <v>1.82</v>
      </c>
      <c r="H4856" t="n">
        <v>2</v>
      </c>
      <c r="I4856" t="n">
        <v>16</v>
      </c>
      <c r="J4856" t="n">
        <v>3</v>
      </c>
      <c r="K4856" t="n">
        <v>0</v>
      </c>
      <c r="L4856" t="n">
        <v>23800</v>
      </c>
      <c r="M4856" t="n">
        <v>34000</v>
      </c>
      <c r="N4856" t="n">
        <v>91</v>
      </c>
      <c r="O4856" t="n">
        <v>0.91</v>
      </c>
      <c r="P4856" t="n">
        <v>1</v>
      </c>
      <c r="Q4856" t="n">
        <v>0.1</v>
      </c>
      <c r="R4856" t="n">
        <v>1</v>
      </c>
      <c r="S4856" t="n">
        <v>7425.6</v>
      </c>
      <c r="T4856" t="n">
        <v>29</v>
      </c>
      <c r="U4856" t="n">
        <v>30</v>
      </c>
      <c r="V4856" t="n">
        <v>30</v>
      </c>
      <c r="W4856" t="n">
        <v>7</v>
      </c>
      <c r="X4856" t="n">
        <v>22.89377289377289</v>
      </c>
      <c r="Y4856" t="n">
        <v>1</v>
      </c>
      <c r="Z4856" t="n">
        <v>2</v>
      </c>
      <c r="AA4856" t="n">
        <v>0</v>
      </c>
      <c r="AB4856" t="n">
        <v>2</v>
      </c>
      <c r="AC4856" t="n">
        <v>3</v>
      </c>
      <c r="AD4856" t="n">
        <v>0</v>
      </c>
      <c r="AE4856" t="n">
        <v>71400</v>
      </c>
      <c r="AF4856" t="n">
        <v>689</v>
      </c>
      <c r="AG4856" t="n">
        <v>107</v>
      </c>
      <c r="AH4856" t="inlineStr">
        <is>
          <t xml:space="preserve">CV. DAHLIA - PPN (PDG) </t>
        </is>
      </c>
      <c r="AI4856" t="n">
        <v>387</v>
      </c>
      <c r="AJ4856" t="inlineStr">
        <is>
          <t>SALSA</t>
        </is>
      </c>
      <c r="AK4856" t="n">
        <v>21</v>
      </c>
      <c r="AL4856" t="inlineStr">
        <is>
          <t>Miss Glam Damar</t>
        </is>
      </c>
      <c r="AM4856" t="n">
        <v>2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SALSA</t>
        </is>
      </c>
      <c r="B4857" s="2">
        <f>"30500265054"</f>
        <v/>
      </c>
      <c r="C4857" t="inlineStr">
        <is>
          <t>SALSA Peel Polish Candy Heaven 18 10ml</t>
        </is>
      </c>
      <c r="D4857" t="inlineStr">
        <is>
          <t>Miss Glam Damar</t>
        </is>
      </c>
      <c r="E4857" t="n">
        <v>49</v>
      </c>
      <c r="F4857" t="n">
        <v>0.06370000000000001</v>
      </c>
      <c r="G4857" t="n">
        <v>1.82</v>
      </c>
      <c r="H4857" t="n">
        <v>2</v>
      </c>
      <c r="I4857" t="n">
        <v>16</v>
      </c>
      <c r="J4857" t="n">
        <v>3</v>
      </c>
      <c r="K4857" t="n">
        <v>0</v>
      </c>
      <c r="L4857" t="n">
        <v>6176</v>
      </c>
      <c r="M4857" t="n">
        <v>8500</v>
      </c>
      <c r="N4857" t="n">
        <v>91</v>
      </c>
      <c r="O4857" t="n">
        <v>0.91</v>
      </c>
      <c r="P4857" t="n">
        <v>1</v>
      </c>
      <c r="Q4857" t="n">
        <v>0.05</v>
      </c>
      <c r="R4857" t="n">
        <v>1</v>
      </c>
      <c r="S4857" t="n">
        <v>541.45</v>
      </c>
      <c r="T4857" t="n">
        <v>29</v>
      </c>
      <c r="U4857" t="n">
        <v>30</v>
      </c>
      <c r="V4857" t="n">
        <v>30</v>
      </c>
      <c r="W4857" t="n">
        <v>2</v>
      </c>
      <c r="X4857" t="n">
        <v>769.2307692307692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689</v>
      </c>
      <c r="AG4857" t="n">
        <v>107</v>
      </c>
      <c r="AH4857" t="inlineStr">
        <is>
          <t xml:space="preserve">CV. DAHLIA - PPN (PDG) </t>
        </is>
      </c>
      <c r="AI4857" t="n">
        <v>387</v>
      </c>
      <c r="AJ4857" t="inlineStr">
        <is>
          <t>SALSA</t>
        </is>
      </c>
      <c r="AK4857" t="n">
        <v>21</v>
      </c>
      <c r="AL4857" t="inlineStr">
        <is>
          <t>Miss Glam Damar</t>
        </is>
      </c>
      <c r="AM4857" t="n">
        <v>2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SALSA</t>
        </is>
      </c>
      <c r="B4858" s="2">
        <f>"30500121613"</f>
        <v/>
      </c>
      <c r="C4858" t="inlineStr">
        <is>
          <t>SALSA Peel Polish Candy Heaven 19 10ml</t>
        </is>
      </c>
      <c r="D4858" t="inlineStr">
        <is>
          <t>Miss Glam Damar</t>
        </is>
      </c>
      <c r="E4858" t="n">
        <v>0</v>
      </c>
      <c r="F4858" t="n">
        <v>0.1001</v>
      </c>
      <c r="G4858" t="n">
        <v>0.91</v>
      </c>
      <c r="H4858" t="n">
        <v>2</v>
      </c>
      <c r="I4858" t="n">
        <v>16</v>
      </c>
      <c r="J4858" t="n">
        <v>3</v>
      </c>
      <c r="K4858" t="n">
        <v>0</v>
      </c>
      <c r="L4858" t="n">
        <v>6176</v>
      </c>
      <c r="M4858" t="n">
        <v>10000</v>
      </c>
      <c r="N4858" t="n">
        <v>91</v>
      </c>
      <c r="O4858" t="n">
        <v>0.91</v>
      </c>
      <c r="P4858" t="n">
        <v>1</v>
      </c>
      <c r="Q4858" t="n">
        <v>0.04</v>
      </c>
      <c r="R4858" t="n">
        <v>1</v>
      </c>
      <c r="S4858" t="n">
        <v>1001</v>
      </c>
      <c r="T4858" t="n">
        <v>15</v>
      </c>
      <c r="U4858" t="n">
        <v>16</v>
      </c>
      <c r="V4858" t="n">
        <v>30</v>
      </c>
      <c r="W4858" t="n">
        <v>4</v>
      </c>
      <c r="X4858" t="n">
        <v>0</v>
      </c>
      <c r="Y4858" t="n">
        <v>1</v>
      </c>
      <c r="Z4858" t="n">
        <v>4</v>
      </c>
      <c r="AA4858" t="n">
        <v>2</v>
      </c>
      <c r="AB4858" t="n">
        <v>2</v>
      </c>
      <c r="AC4858" t="n">
        <v>3</v>
      </c>
      <c r="AD4858" t="n">
        <v>12352</v>
      </c>
      <c r="AE4858" t="n">
        <v>18528</v>
      </c>
      <c r="AF4858" t="n">
        <v>689</v>
      </c>
      <c r="AG4858" t="n">
        <v>107</v>
      </c>
      <c r="AH4858" t="inlineStr">
        <is>
          <t xml:space="preserve">CV. DAHLIA - PPN (PDG) </t>
        </is>
      </c>
      <c r="AI4858" t="n">
        <v>387</v>
      </c>
      <c r="AJ4858" t="inlineStr">
        <is>
          <t>SALSA</t>
        </is>
      </c>
      <c r="AK4858" t="n">
        <v>21</v>
      </c>
      <c r="AL4858" t="inlineStr">
        <is>
          <t>Miss Glam Damar</t>
        </is>
      </c>
      <c r="AM4858" t="n">
        <v>2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SALSA</t>
        </is>
      </c>
      <c r="B4859" s="2">
        <f>"30500262232"</f>
        <v/>
      </c>
      <c r="C4859" t="inlineStr">
        <is>
          <t>SALSA Peel Polish Candy Heaven 20 10ml</t>
        </is>
      </c>
      <c r="D4859" t="inlineStr">
        <is>
          <t>Miss Glam Damar</t>
        </is>
      </c>
      <c r="E4859" t="n">
        <v>0</v>
      </c>
      <c r="F4859" t="n">
        <v>0.1547</v>
      </c>
      <c r="G4859" t="n">
        <v>1.82</v>
      </c>
      <c r="H4859" t="n">
        <v>2</v>
      </c>
      <c r="I4859" t="n">
        <v>16</v>
      </c>
      <c r="J4859" t="n">
        <v>3</v>
      </c>
      <c r="K4859" t="n">
        <v>0</v>
      </c>
      <c r="L4859" t="n">
        <v>6176</v>
      </c>
      <c r="M4859" t="n">
        <v>10000</v>
      </c>
      <c r="N4859" t="n">
        <v>91</v>
      </c>
      <c r="O4859" t="n">
        <v>0.91</v>
      </c>
      <c r="P4859" t="n">
        <v>1</v>
      </c>
      <c r="Q4859" t="n">
        <v>0.04</v>
      </c>
      <c r="R4859" t="n">
        <v>1</v>
      </c>
      <c r="S4859" t="n">
        <v>1547</v>
      </c>
      <c r="T4859" t="n">
        <v>29</v>
      </c>
      <c r="U4859" t="n">
        <v>30</v>
      </c>
      <c r="V4859" t="n">
        <v>30</v>
      </c>
      <c r="W4859" t="n">
        <v>5</v>
      </c>
      <c r="X4859" t="n">
        <v>0</v>
      </c>
      <c r="Y4859" t="n">
        <v>1</v>
      </c>
      <c r="Z4859" t="n">
        <v>5</v>
      </c>
      <c r="AA4859" t="n">
        <v>3</v>
      </c>
      <c r="AB4859" t="n">
        <v>2</v>
      </c>
      <c r="AC4859" t="n">
        <v>3</v>
      </c>
      <c r="AD4859" t="n">
        <v>18528</v>
      </c>
      <c r="AE4859" t="n">
        <v>18528</v>
      </c>
      <c r="AF4859" t="n">
        <v>689</v>
      </c>
      <c r="AG4859" t="n">
        <v>107</v>
      </c>
      <c r="AH4859" t="inlineStr">
        <is>
          <t xml:space="preserve">CV. DAHLIA - PPN (PDG) </t>
        </is>
      </c>
      <c r="AI4859" t="n">
        <v>387</v>
      </c>
      <c r="AJ4859" t="inlineStr">
        <is>
          <t>SALSA</t>
        </is>
      </c>
      <c r="AK4859" t="n">
        <v>21</v>
      </c>
      <c r="AL4859" t="inlineStr">
        <is>
          <t>Miss Glam Damar</t>
        </is>
      </c>
      <c r="AM4859" t="n">
        <v>2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SALSA</t>
        </is>
      </c>
      <c r="B4860" s="2">
        <f>"8997207557807"</f>
        <v/>
      </c>
      <c r="C4860" t="inlineStr">
        <is>
          <t>SALSA Pro Color Sensation 8-11 Ash Grey</t>
        </is>
      </c>
      <c r="D4860" t="inlineStr">
        <is>
          <t>Miss Glam Damar</t>
        </is>
      </c>
      <c r="E4860" t="n">
        <v>8</v>
      </c>
      <c r="F4860" t="n">
        <v>0.6825</v>
      </c>
      <c r="G4860" t="n">
        <v>5.46</v>
      </c>
      <c r="H4860" t="n">
        <v>2</v>
      </c>
      <c r="I4860" t="n">
        <v>16</v>
      </c>
      <c r="J4860" t="n">
        <v>3</v>
      </c>
      <c r="K4860" t="n">
        <v>0</v>
      </c>
      <c r="L4860" t="n">
        <v>12750</v>
      </c>
      <c r="M4860" t="n">
        <v>15000</v>
      </c>
      <c r="N4860" t="n">
        <v>91</v>
      </c>
      <c r="O4860" t="n">
        <v>0.91</v>
      </c>
      <c r="P4860" t="n">
        <v>1</v>
      </c>
      <c r="Q4860" t="n">
        <v>0.17</v>
      </c>
      <c r="R4860" t="n">
        <v>2</v>
      </c>
      <c r="S4860" t="n">
        <v>10237.5</v>
      </c>
      <c r="T4860" t="n">
        <v>86</v>
      </c>
      <c r="U4860" t="n">
        <v>88</v>
      </c>
      <c r="V4860" t="n">
        <v>30</v>
      </c>
      <c r="W4860" t="n">
        <v>21</v>
      </c>
      <c r="X4860" t="n">
        <v>11.72161172161172</v>
      </c>
      <c r="Y4860" t="n">
        <v>1</v>
      </c>
      <c r="Z4860" t="n">
        <v>13</v>
      </c>
      <c r="AA4860" t="n">
        <v>3</v>
      </c>
      <c r="AB4860" t="n">
        <v>10</v>
      </c>
      <c r="AC4860" t="n">
        <v>10</v>
      </c>
      <c r="AD4860" t="n">
        <v>38250</v>
      </c>
      <c r="AE4860" t="n">
        <v>127500</v>
      </c>
      <c r="AF4860" t="n">
        <v>689</v>
      </c>
      <c r="AG4860" t="n">
        <v>107</v>
      </c>
      <c r="AH4860" t="inlineStr">
        <is>
          <t xml:space="preserve">CV. DAHLIA - PPN (PDG) </t>
        </is>
      </c>
      <c r="AI4860" t="n">
        <v>387</v>
      </c>
      <c r="AJ4860" t="inlineStr">
        <is>
          <t>SALSA</t>
        </is>
      </c>
      <c r="AK4860" t="n">
        <v>21</v>
      </c>
      <c r="AL4860" t="inlineStr">
        <is>
          <t>Miss Glam Damar</t>
        </is>
      </c>
      <c r="AM4860" t="n">
        <v>2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SALSA</t>
        </is>
      </c>
      <c r="B4861" s="2">
        <f>"8997207557814"</f>
        <v/>
      </c>
      <c r="C4861" t="inlineStr">
        <is>
          <t>SALSA Pro Color Sensational 2-10 Blue Black</t>
        </is>
      </c>
      <c r="D4861" t="inlineStr">
        <is>
          <t>Miss Glam Damar</t>
        </is>
      </c>
      <c r="E4861" t="n">
        <v>4</v>
      </c>
      <c r="F4861" t="n">
        <v>0.07000000000000001</v>
      </c>
      <c r="G4861" t="n">
        <v>1</v>
      </c>
      <c r="H4861" t="n">
        <v>2</v>
      </c>
      <c r="I4861" t="n">
        <v>16</v>
      </c>
      <c r="J4861" t="n">
        <v>3</v>
      </c>
      <c r="K4861" t="n">
        <v>0</v>
      </c>
      <c r="L4861" t="n">
        <v>11475</v>
      </c>
      <c r="M4861" t="n">
        <v>15000</v>
      </c>
      <c r="N4861" t="n">
        <v>91</v>
      </c>
      <c r="O4861" t="n">
        <v>0.91</v>
      </c>
      <c r="P4861" t="n">
        <v>0</v>
      </c>
      <c r="Q4861" t="n">
        <v>0.07000000000000001</v>
      </c>
      <c r="R4861" t="n">
        <v>1</v>
      </c>
      <c r="S4861" t="n">
        <v>1050</v>
      </c>
      <c r="T4861" t="n">
        <v>16</v>
      </c>
      <c r="U4861" t="n">
        <v>17</v>
      </c>
      <c r="V4861" t="n">
        <v>30</v>
      </c>
      <c r="W4861" t="n">
        <v>3</v>
      </c>
      <c r="X4861" t="n">
        <v>57.14285714285714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689</v>
      </c>
      <c r="AG4861" t="n">
        <v>107</v>
      </c>
      <c r="AH4861" t="inlineStr">
        <is>
          <t xml:space="preserve">CV. DAHLIA - PPN (PDG) </t>
        </is>
      </c>
      <c r="AI4861" t="n">
        <v>387</v>
      </c>
      <c r="AJ4861" t="inlineStr">
        <is>
          <t>SALSA</t>
        </is>
      </c>
      <c r="AK4861" t="n">
        <v>21</v>
      </c>
      <c r="AL4861" t="inlineStr">
        <is>
          <t>Miss Glam Damar</t>
        </is>
      </c>
      <c r="AM4861" t="n">
        <v>2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SALSA</t>
        </is>
      </c>
      <c r="B4862" s="2">
        <f>"20200471139"</f>
        <v/>
      </c>
      <c r="C4862" t="inlineStr">
        <is>
          <t>SALSA Single Eyebrow Ash Brown 1gr</t>
        </is>
      </c>
      <c r="D4862" t="inlineStr">
        <is>
          <t>Miss Glam Damar</t>
        </is>
      </c>
      <c r="E4862" t="n">
        <v>15</v>
      </c>
      <c r="F4862" t="n">
        <v>0.15</v>
      </c>
      <c r="G4862" t="n">
        <v>4</v>
      </c>
      <c r="H4862" t="n">
        <v>2</v>
      </c>
      <c r="I4862" t="n">
        <v>16</v>
      </c>
      <c r="J4862" t="n">
        <v>1</v>
      </c>
      <c r="K4862" t="n">
        <v>0</v>
      </c>
      <c r="L4862" t="n">
        <v>2550</v>
      </c>
      <c r="M4862" t="n">
        <v>5000</v>
      </c>
      <c r="N4862" t="n">
        <v>91</v>
      </c>
      <c r="O4862" t="n">
        <v>0.91</v>
      </c>
      <c r="P4862" t="n">
        <v>0</v>
      </c>
      <c r="Q4862" t="n">
        <v>0.15</v>
      </c>
      <c r="R4862" t="n">
        <v>4</v>
      </c>
      <c r="S4862" t="n">
        <v>750</v>
      </c>
      <c r="T4862" t="n">
        <v>64</v>
      </c>
      <c r="U4862" t="n">
        <v>65</v>
      </c>
      <c r="V4862" t="n">
        <v>30</v>
      </c>
      <c r="W4862" t="n">
        <v>5</v>
      </c>
      <c r="X4862" t="n">
        <v>100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689</v>
      </c>
      <c r="AG4862" t="n">
        <v>107</v>
      </c>
      <c r="AH4862" t="inlineStr">
        <is>
          <t xml:space="preserve">CV. DAHLIA - PPN (PDG) </t>
        </is>
      </c>
      <c r="AI4862" t="n">
        <v>387</v>
      </c>
      <c r="AJ4862" t="inlineStr">
        <is>
          <t>SALSA</t>
        </is>
      </c>
      <c r="AK4862" t="n">
        <v>21</v>
      </c>
      <c r="AL4862" t="inlineStr">
        <is>
          <t>Miss Glam Damar</t>
        </is>
      </c>
      <c r="AM4862" t="n">
        <v>2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SALSA</t>
        </is>
      </c>
      <c r="B4863" s="2">
        <f>"20200471215"</f>
        <v/>
      </c>
      <c r="C4863" t="inlineStr">
        <is>
          <t>SALSA Single Eyebrow Dark Brown 1gr</t>
        </is>
      </c>
      <c r="D4863" t="inlineStr">
        <is>
          <t>Miss Glam Damar</t>
        </is>
      </c>
      <c r="E4863" t="n">
        <v>20</v>
      </c>
      <c r="F4863" t="n">
        <v>0.0182</v>
      </c>
      <c r="G4863" t="n">
        <v>0.91</v>
      </c>
      <c r="H4863" t="n">
        <v>2</v>
      </c>
      <c r="I4863" t="n">
        <v>16</v>
      </c>
      <c r="J4863" t="n">
        <v>1</v>
      </c>
      <c r="K4863" t="n">
        <v>0</v>
      </c>
      <c r="L4863" t="n">
        <v>2550</v>
      </c>
      <c r="M4863" t="n">
        <v>5000</v>
      </c>
      <c r="N4863" t="n">
        <v>91</v>
      </c>
      <c r="O4863" t="n">
        <v>0.91</v>
      </c>
      <c r="P4863" t="n">
        <v>1</v>
      </c>
      <c r="Q4863" t="n">
        <v>0.07000000000000001</v>
      </c>
      <c r="R4863" t="n">
        <v>2</v>
      </c>
      <c r="S4863" t="n">
        <v>91</v>
      </c>
      <c r="T4863" t="n">
        <v>15</v>
      </c>
      <c r="U4863" t="n">
        <v>16</v>
      </c>
      <c r="V4863" t="n">
        <v>30</v>
      </c>
      <c r="W4863" t="n">
        <v>1</v>
      </c>
      <c r="X4863" t="n">
        <v>1098.901098901099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689</v>
      </c>
      <c r="AG4863" t="n">
        <v>107</v>
      </c>
      <c r="AH4863" t="inlineStr">
        <is>
          <t xml:space="preserve">CV. DAHLIA - PPN (PDG) </t>
        </is>
      </c>
      <c r="AI4863" t="n">
        <v>387</v>
      </c>
      <c r="AJ4863" t="inlineStr">
        <is>
          <t>SALSA</t>
        </is>
      </c>
      <c r="AK4863" t="n">
        <v>21</v>
      </c>
      <c r="AL4863" t="inlineStr">
        <is>
          <t>Miss Glam Damar</t>
        </is>
      </c>
      <c r="AM4863" t="n">
        <v>2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SALSA</t>
        </is>
      </c>
      <c r="B4864" s="2">
        <f>"8997207558804"</f>
        <v/>
      </c>
      <c r="C4864" t="inlineStr">
        <is>
          <t>SALSA Spring Sakura Eau De Parfume 60 ml</t>
        </is>
      </c>
      <c r="D4864" t="inlineStr">
        <is>
          <t>Miss Glam Damar</t>
        </is>
      </c>
      <c r="E4864" t="n">
        <v>6</v>
      </c>
      <c r="F4864" t="n">
        <v>0.1729</v>
      </c>
      <c r="G4864" t="n">
        <v>1.82</v>
      </c>
      <c r="H4864" t="n">
        <v>2</v>
      </c>
      <c r="I4864" t="n">
        <v>16</v>
      </c>
      <c r="J4864" t="n">
        <v>3</v>
      </c>
      <c r="K4864" t="n">
        <v>0</v>
      </c>
      <c r="L4864" t="n">
        <v>27200</v>
      </c>
      <c r="M4864" t="n">
        <v>32000</v>
      </c>
      <c r="N4864" t="n">
        <v>91</v>
      </c>
      <c r="O4864" t="n">
        <v>0.91</v>
      </c>
      <c r="P4864" t="n">
        <v>1</v>
      </c>
      <c r="Q4864" t="n">
        <v>0.1</v>
      </c>
      <c r="R4864" t="n">
        <v>1</v>
      </c>
      <c r="S4864" t="n">
        <v>5532.8</v>
      </c>
      <c r="T4864" t="n">
        <v>29</v>
      </c>
      <c r="U4864" t="n">
        <v>30</v>
      </c>
      <c r="V4864" t="n">
        <v>30</v>
      </c>
      <c r="W4864" t="n">
        <v>6</v>
      </c>
      <c r="X4864" t="n">
        <v>34.70213996529786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689</v>
      </c>
      <c r="AG4864" t="n">
        <v>107</v>
      </c>
      <c r="AH4864" t="inlineStr">
        <is>
          <t xml:space="preserve">CV. DAHLIA - PPN (PDG) </t>
        </is>
      </c>
      <c r="AI4864" t="n">
        <v>387</v>
      </c>
      <c r="AJ4864" t="inlineStr">
        <is>
          <t>SALSA</t>
        </is>
      </c>
      <c r="AK4864" t="n">
        <v>21</v>
      </c>
      <c r="AL4864" t="inlineStr">
        <is>
          <t>Miss Glam Damar</t>
        </is>
      </c>
      <c r="AM4864" t="n">
        <v>2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SALSA</t>
        </is>
      </c>
      <c r="B4865" s="2">
        <f>"8997207556954"</f>
        <v/>
      </c>
      <c r="C4865" t="inlineStr">
        <is>
          <t>SALSA Strong Eyelash Glue Black</t>
        </is>
      </c>
      <c r="D4865" t="inlineStr">
        <is>
          <t>Miss Glam Damar</t>
        </is>
      </c>
      <c r="E4865" t="n">
        <v>0</v>
      </c>
      <c r="F4865" t="n">
        <v>1.5925</v>
      </c>
      <c r="G4865" t="n">
        <v>11.83</v>
      </c>
      <c r="H4865" t="n">
        <v>2</v>
      </c>
      <c r="I4865" t="n">
        <v>16</v>
      </c>
      <c r="J4865" t="n">
        <v>3</v>
      </c>
      <c r="K4865" t="n">
        <v>0</v>
      </c>
      <c r="L4865" t="n">
        <v>11730</v>
      </c>
      <c r="M4865" t="n">
        <v>14000</v>
      </c>
      <c r="N4865" t="n">
        <v>91</v>
      </c>
      <c r="O4865" t="n">
        <v>0.91</v>
      </c>
      <c r="P4865" t="n">
        <v>1</v>
      </c>
      <c r="Q4865" t="n">
        <v>1.26</v>
      </c>
      <c r="R4865" t="n">
        <v>4</v>
      </c>
      <c r="S4865" t="n">
        <v>22295</v>
      </c>
      <c r="T4865" t="n">
        <v>187</v>
      </c>
      <c r="U4865" t="n">
        <v>191</v>
      </c>
      <c r="V4865" t="n">
        <v>30</v>
      </c>
      <c r="W4865" t="n">
        <v>48</v>
      </c>
      <c r="X4865" t="n">
        <v>0</v>
      </c>
      <c r="Y4865" t="n">
        <v>1</v>
      </c>
      <c r="Z4865" t="n">
        <v>48</v>
      </c>
      <c r="AA4865" t="n">
        <v>26</v>
      </c>
      <c r="AB4865" t="n">
        <v>22</v>
      </c>
      <c r="AC4865" t="n">
        <v>22</v>
      </c>
      <c r="AD4865" t="n">
        <v>304980</v>
      </c>
      <c r="AE4865" t="n">
        <v>258060</v>
      </c>
      <c r="AF4865" t="n">
        <v>689</v>
      </c>
      <c r="AG4865" t="n">
        <v>107</v>
      </c>
      <c r="AH4865" t="inlineStr">
        <is>
          <t xml:space="preserve">CV. DAHLIA - PPN (PDG) </t>
        </is>
      </c>
      <c r="AI4865" t="n">
        <v>387</v>
      </c>
      <c r="AJ4865" t="inlineStr">
        <is>
          <t>SALSA</t>
        </is>
      </c>
      <c r="AK4865" t="n">
        <v>21</v>
      </c>
      <c r="AL4865" t="inlineStr">
        <is>
          <t>Miss Glam Damar</t>
        </is>
      </c>
      <c r="AM4865" t="n">
        <v>2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SALSA</t>
        </is>
      </c>
      <c r="B4866" s="2">
        <f>"8997207556961"</f>
        <v/>
      </c>
      <c r="C4866" t="inlineStr">
        <is>
          <t>SALSA Strong Eyelash Glue White 10gr</t>
        </is>
      </c>
      <c r="D4866" t="inlineStr">
        <is>
          <t>Miss Glam Damar</t>
        </is>
      </c>
      <c r="E4866" t="n">
        <v>36</v>
      </c>
      <c r="F4866" t="n">
        <v>1.81</v>
      </c>
      <c r="G4866" t="n">
        <v>6</v>
      </c>
      <c r="H4866" t="n">
        <v>2</v>
      </c>
      <c r="I4866" t="n">
        <v>16</v>
      </c>
      <c r="J4866" t="n">
        <v>3</v>
      </c>
      <c r="K4866" t="n">
        <v>0</v>
      </c>
      <c r="L4866" t="n">
        <v>11730</v>
      </c>
      <c r="M4866" t="n">
        <v>14000</v>
      </c>
      <c r="N4866" t="n">
        <v>91</v>
      </c>
      <c r="O4866" t="n">
        <v>0.91</v>
      </c>
      <c r="P4866" t="n">
        <v>0</v>
      </c>
      <c r="Q4866" t="n">
        <v>1.81</v>
      </c>
      <c r="R4866" t="n">
        <v>6</v>
      </c>
      <c r="S4866" t="n">
        <v>25340</v>
      </c>
      <c r="T4866" t="n">
        <v>93</v>
      </c>
      <c r="U4866" t="n">
        <v>97</v>
      </c>
      <c r="V4866" t="n">
        <v>30</v>
      </c>
      <c r="W4866" t="n">
        <v>55</v>
      </c>
      <c r="X4866" t="n">
        <v>19.88950276243094</v>
      </c>
      <c r="Y4866" t="n">
        <v>1</v>
      </c>
      <c r="Z4866" t="n">
        <v>19</v>
      </c>
      <c r="AA4866" t="n">
        <v>0</v>
      </c>
      <c r="AB4866" t="n">
        <v>19</v>
      </c>
      <c r="AC4866" t="n">
        <v>19</v>
      </c>
      <c r="AD4866" t="n">
        <v>0</v>
      </c>
      <c r="AE4866" t="n">
        <v>222870</v>
      </c>
      <c r="AF4866" t="n">
        <v>689</v>
      </c>
      <c r="AG4866" t="n">
        <v>107</v>
      </c>
      <c r="AH4866" t="inlineStr">
        <is>
          <t xml:space="preserve">CV. DAHLIA - PPN (PDG) </t>
        </is>
      </c>
      <c r="AI4866" t="n">
        <v>387</v>
      </c>
      <c r="AJ4866" t="inlineStr">
        <is>
          <t>SALSA</t>
        </is>
      </c>
      <c r="AK4866" t="n">
        <v>21</v>
      </c>
      <c r="AL4866" t="inlineStr">
        <is>
          <t>Miss Glam Damar</t>
        </is>
      </c>
      <c r="AM4866" t="n">
        <v>2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SALSA</t>
        </is>
      </c>
      <c r="B4867" s="2">
        <f>"8997207557982"</f>
        <v/>
      </c>
      <c r="C4867" t="inlineStr">
        <is>
          <t>SALSA Sweet Magnolia Eau De Parfume 60 ml</t>
        </is>
      </c>
      <c r="D4867" t="inlineStr">
        <is>
          <t>Miss Glam Damar</t>
        </is>
      </c>
      <c r="E4867" t="n">
        <v>4</v>
      </c>
      <c r="F4867" t="n">
        <v>0.0273</v>
      </c>
      <c r="G4867" t="n">
        <v>0.91</v>
      </c>
      <c r="H4867" t="n">
        <v>2</v>
      </c>
      <c r="I4867" t="n">
        <v>16</v>
      </c>
      <c r="J4867" t="n">
        <v>3</v>
      </c>
      <c r="K4867" t="n">
        <v>0</v>
      </c>
      <c r="L4867" t="n">
        <v>27200</v>
      </c>
      <c r="M4867" t="n">
        <v>32000</v>
      </c>
      <c r="N4867" t="n">
        <v>91</v>
      </c>
      <c r="O4867" t="n">
        <v>0.91</v>
      </c>
      <c r="P4867" t="n">
        <v>1</v>
      </c>
      <c r="Q4867" t="n">
        <v>0.03</v>
      </c>
      <c r="R4867" t="n">
        <v>1</v>
      </c>
      <c r="S4867" t="n">
        <v>873.6</v>
      </c>
      <c r="T4867" t="n">
        <v>15</v>
      </c>
      <c r="U4867" t="n">
        <v>16</v>
      </c>
      <c r="V4867" t="n">
        <v>30</v>
      </c>
      <c r="W4867" t="n">
        <v>1</v>
      </c>
      <c r="X4867" t="n">
        <v>146.5201465201465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689</v>
      </c>
      <c r="AG4867" t="n">
        <v>107</v>
      </c>
      <c r="AH4867" t="inlineStr">
        <is>
          <t xml:space="preserve">CV. DAHLIA - PPN (PDG) </t>
        </is>
      </c>
      <c r="AI4867" t="n">
        <v>387</v>
      </c>
      <c r="AJ4867" t="inlineStr">
        <is>
          <t>SALSA</t>
        </is>
      </c>
      <c r="AK4867" t="n">
        <v>21</v>
      </c>
      <c r="AL4867" t="inlineStr">
        <is>
          <t>Miss Glam Damar</t>
        </is>
      </c>
      <c r="AM4867" t="n">
        <v>2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SALSA</t>
        </is>
      </c>
      <c r="B4868" s="2">
        <f>"40200119953"</f>
        <v/>
      </c>
      <c r="C4868" t="inlineStr">
        <is>
          <t>SALSA UV Protection Hair Serum 80ml</t>
        </is>
      </c>
      <c r="D4868" t="inlineStr">
        <is>
          <t>Miss Glam Damar</t>
        </is>
      </c>
      <c r="E4868" t="n">
        <v>2</v>
      </c>
      <c r="F4868" t="n">
        <v>0.09100000000000001</v>
      </c>
      <c r="G4868" t="n">
        <v>0.91</v>
      </c>
      <c r="H4868" t="n">
        <v>2</v>
      </c>
      <c r="I4868" t="n">
        <v>16</v>
      </c>
      <c r="J4868" t="n">
        <v>1</v>
      </c>
      <c r="K4868" t="n">
        <v>0</v>
      </c>
      <c r="L4868" t="n">
        <v>15300</v>
      </c>
      <c r="M4868" t="n">
        <v>18000</v>
      </c>
      <c r="N4868" t="n">
        <v>91</v>
      </c>
      <c r="O4868" t="n">
        <v>0.91</v>
      </c>
      <c r="P4868" t="n">
        <v>1</v>
      </c>
      <c r="Q4868" t="n">
        <v>0.03</v>
      </c>
      <c r="R4868" t="n">
        <v>1</v>
      </c>
      <c r="S4868" t="n">
        <v>1638</v>
      </c>
      <c r="T4868" t="n">
        <v>15</v>
      </c>
      <c r="U4868" t="n">
        <v>16</v>
      </c>
      <c r="V4868" t="n">
        <v>30</v>
      </c>
      <c r="W4868" t="n">
        <v>3</v>
      </c>
      <c r="X4868" t="n">
        <v>21.97802197802197</v>
      </c>
      <c r="Y4868" t="n">
        <v>1</v>
      </c>
      <c r="Z4868" t="n">
        <v>1</v>
      </c>
      <c r="AA4868" t="n">
        <v>0</v>
      </c>
      <c r="AB4868" t="n">
        <v>1</v>
      </c>
      <c r="AC4868" t="n">
        <v>1</v>
      </c>
      <c r="AD4868" t="n">
        <v>0</v>
      </c>
      <c r="AE4868" t="n">
        <v>15300</v>
      </c>
      <c r="AF4868" t="n">
        <v>689</v>
      </c>
      <c r="AG4868" t="n">
        <v>107</v>
      </c>
      <c r="AH4868" t="inlineStr">
        <is>
          <t xml:space="preserve">CV. DAHLIA - PPN (PDG) </t>
        </is>
      </c>
      <c r="AI4868" t="n">
        <v>387</v>
      </c>
      <c r="AJ4868" t="inlineStr">
        <is>
          <t>SALSA</t>
        </is>
      </c>
      <c r="AK4868" t="n">
        <v>21</v>
      </c>
      <c r="AL4868" t="inlineStr">
        <is>
          <t>Miss Glam Damar</t>
        </is>
      </c>
      <c r="AM4868" t="n">
        <v>2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SALSA</t>
        </is>
      </c>
      <c r="B4869" s="2">
        <f>"8995028201985"</f>
        <v/>
      </c>
      <c r="C4869" t="inlineStr">
        <is>
          <t>SALSA Vinylash Eyelash Curler</t>
        </is>
      </c>
      <c r="D4869" t="inlineStr">
        <is>
          <t>Miss Glam Damar</t>
        </is>
      </c>
      <c r="E4869" t="n">
        <v>47</v>
      </c>
      <c r="F4869" t="n">
        <v>4.267900000000001</v>
      </c>
      <c r="G4869" t="n">
        <v>9.1</v>
      </c>
      <c r="H4869" t="n">
        <v>2</v>
      </c>
      <c r="I4869" t="n">
        <v>16</v>
      </c>
      <c r="J4869" t="n">
        <v>3</v>
      </c>
      <c r="K4869" t="n">
        <v>0</v>
      </c>
      <c r="L4869" t="n">
        <v>6118</v>
      </c>
      <c r="M4869" t="n">
        <v>10000</v>
      </c>
      <c r="N4869" t="n">
        <v>91</v>
      </c>
      <c r="O4869" t="n">
        <v>0.91</v>
      </c>
      <c r="P4869" t="n">
        <v>1</v>
      </c>
      <c r="Q4869" t="n">
        <v>3.61</v>
      </c>
      <c r="R4869" t="n">
        <v>10</v>
      </c>
      <c r="S4869" t="n">
        <v>42679.00000000001</v>
      </c>
      <c r="T4869" t="n">
        <v>138</v>
      </c>
      <c r="U4869" t="n">
        <v>147</v>
      </c>
      <c r="V4869" t="n">
        <v>30</v>
      </c>
      <c r="W4869" t="n">
        <v>129</v>
      </c>
      <c r="X4869" t="n">
        <v>11.01244171606645</v>
      </c>
      <c r="Y4869" t="n">
        <v>1</v>
      </c>
      <c r="Z4869" t="n">
        <v>82</v>
      </c>
      <c r="AA4869" t="n">
        <v>22</v>
      </c>
      <c r="AB4869" t="n">
        <v>60</v>
      </c>
      <c r="AC4869" t="n">
        <v>60</v>
      </c>
      <c r="AD4869" t="n">
        <v>134596</v>
      </c>
      <c r="AE4869" t="n">
        <v>367080</v>
      </c>
      <c r="AF4869" t="n">
        <v>689</v>
      </c>
      <c r="AG4869" t="n">
        <v>107</v>
      </c>
      <c r="AH4869" t="inlineStr">
        <is>
          <t xml:space="preserve">CV. DAHLIA - PPN (PDG) </t>
        </is>
      </c>
      <c r="AI4869" t="n">
        <v>387</v>
      </c>
      <c r="AJ4869" t="inlineStr">
        <is>
          <t>SALSA</t>
        </is>
      </c>
      <c r="AK4869" t="n">
        <v>21</v>
      </c>
      <c r="AL4869" t="inlineStr">
        <is>
          <t>Miss Glam Damar</t>
        </is>
      </c>
      <c r="AM4869" t="n">
        <v>2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SALSA</t>
        </is>
      </c>
      <c r="B4870" s="2">
        <f>"50100317051"</f>
        <v/>
      </c>
      <c r="C4870" t="inlineStr">
        <is>
          <t>SALSA Vinylash Eyelash Curler Color Lilac</t>
        </is>
      </c>
      <c r="D4870" t="inlineStr">
        <is>
          <t>Miss Glam Damar</t>
        </is>
      </c>
      <c r="E4870" t="n">
        <v>45</v>
      </c>
      <c r="F4870" t="n">
        <v>1.5379</v>
      </c>
      <c r="G4870" t="n">
        <v>5.46</v>
      </c>
      <c r="H4870" t="n">
        <v>2</v>
      </c>
      <c r="I4870" t="n">
        <v>16</v>
      </c>
      <c r="J4870" t="n">
        <v>1</v>
      </c>
      <c r="K4870" t="n">
        <v>0</v>
      </c>
      <c r="L4870" t="n">
        <v>10200</v>
      </c>
      <c r="M4870" t="n">
        <v>15000</v>
      </c>
      <c r="N4870" t="n">
        <v>91</v>
      </c>
      <c r="O4870" t="n">
        <v>0.91</v>
      </c>
      <c r="P4870" t="n">
        <v>1</v>
      </c>
      <c r="Q4870" t="n">
        <v>1.58</v>
      </c>
      <c r="R4870" t="n">
        <v>6</v>
      </c>
      <c r="S4870" t="n">
        <v>23068.5</v>
      </c>
      <c r="T4870" t="n">
        <v>85</v>
      </c>
      <c r="U4870" t="n">
        <v>89</v>
      </c>
      <c r="V4870" t="n">
        <v>30</v>
      </c>
      <c r="W4870" t="n">
        <v>47</v>
      </c>
      <c r="X4870" t="n">
        <v>29.26068014825411</v>
      </c>
      <c r="Y4870" t="n">
        <v>1</v>
      </c>
      <c r="Z4870" t="n">
        <v>2</v>
      </c>
      <c r="AA4870" t="n">
        <v>0</v>
      </c>
      <c r="AB4870" t="n">
        <v>2</v>
      </c>
      <c r="AC4870" t="n">
        <v>2</v>
      </c>
      <c r="AD4870" t="n">
        <v>0</v>
      </c>
      <c r="AE4870" t="n">
        <v>20400</v>
      </c>
      <c r="AF4870" t="n">
        <v>689</v>
      </c>
      <c r="AG4870" t="n">
        <v>107</v>
      </c>
      <c r="AH4870" t="inlineStr">
        <is>
          <t xml:space="preserve">CV. DAHLIA - PPN (PDG) </t>
        </is>
      </c>
      <c r="AI4870" t="n">
        <v>387</v>
      </c>
      <c r="AJ4870" t="inlineStr">
        <is>
          <t>SALSA</t>
        </is>
      </c>
      <c r="AK4870" t="n">
        <v>21</v>
      </c>
      <c r="AL4870" t="inlineStr">
        <is>
          <t>Miss Glam Damar</t>
        </is>
      </c>
      <c r="AM4870" t="n">
        <v>2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SALSA</t>
        </is>
      </c>
      <c r="B4871" s="2">
        <f>"50100316858"</f>
        <v/>
      </c>
      <c r="C4871" t="inlineStr">
        <is>
          <t>SALSA Vinylash Eyelash Curler Color Orange</t>
        </is>
      </c>
      <c r="D4871" t="inlineStr">
        <is>
          <t>Miss Glam Damar</t>
        </is>
      </c>
      <c r="E4871" t="n">
        <v>9</v>
      </c>
      <c r="F4871" t="n">
        <v>0.1365</v>
      </c>
      <c r="G4871" t="n">
        <v>0.91</v>
      </c>
      <c r="H4871" t="n">
        <v>2</v>
      </c>
      <c r="I4871" t="n">
        <v>16</v>
      </c>
      <c r="J4871" t="n">
        <v>1</v>
      </c>
      <c r="K4871" t="n">
        <v>0</v>
      </c>
      <c r="L4871" t="n">
        <v>10200</v>
      </c>
      <c r="M4871" t="n">
        <v>15000</v>
      </c>
      <c r="N4871" t="n">
        <v>91</v>
      </c>
      <c r="O4871" t="n">
        <v>0.91</v>
      </c>
      <c r="P4871" t="n">
        <v>1</v>
      </c>
      <c r="Q4871" t="n">
        <v>0.14</v>
      </c>
      <c r="R4871" t="n">
        <v>1</v>
      </c>
      <c r="S4871" t="n">
        <v>2047.5</v>
      </c>
      <c r="T4871" t="n">
        <v>15</v>
      </c>
      <c r="U4871" t="n">
        <v>16</v>
      </c>
      <c r="V4871" t="n">
        <v>30</v>
      </c>
      <c r="W4871" t="n">
        <v>5</v>
      </c>
      <c r="X4871" t="n">
        <v>65.93406593406593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689</v>
      </c>
      <c r="AG4871" t="n">
        <v>107</v>
      </c>
      <c r="AH4871" t="inlineStr">
        <is>
          <t xml:space="preserve">CV. DAHLIA - PPN (PDG) </t>
        </is>
      </c>
      <c r="AI4871" t="n">
        <v>387</v>
      </c>
      <c r="AJ4871" t="inlineStr">
        <is>
          <t>SALSA</t>
        </is>
      </c>
      <c r="AK4871" t="n">
        <v>21</v>
      </c>
      <c r="AL4871" t="inlineStr">
        <is>
          <t>Miss Glam Damar</t>
        </is>
      </c>
      <c r="AM4871" t="n">
        <v>2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SALSA</t>
        </is>
      </c>
      <c r="B4872" s="2">
        <f>"50100316947"</f>
        <v/>
      </c>
      <c r="C4872" t="inlineStr">
        <is>
          <t>SALSA Vinylash Eyelash Curler Color Pink</t>
        </is>
      </c>
      <c r="D4872" t="inlineStr">
        <is>
          <t>Miss Glam Damar</t>
        </is>
      </c>
      <c r="E4872" t="n">
        <v>72</v>
      </c>
      <c r="F4872" t="n">
        <v>4.6774</v>
      </c>
      <c r="G4872" t="n">
        <v>13.65</v>
      </c>
      <c r="H4872" t="n">
        <v>2</v>
      </c>
      <c r="I4872" t="n">
        <v>16</v>
      </c>
      <c r="J4872" t="n">
        <v>1</v>
      </c>
      <c r="K4872" t="n">
        <v>0</v>
      </c>
      <c r="L4872" t="n">
        <v>10200</v>
      </c>
      <c r="M4872" t="n">
        <v>15000</v>
      </c>
      <c r="N4872" t="n">
        <v>91</v>
      </c>
      <c r="O4872" t="n">
        <v>0.91</v>
      </c>
      <c r="P4872" t="n">
        <v>1</v>
      </c>
      <c r="Q4872" t="n">
        <v>3.71</v>
      </c>
      <c r="R4872" t="n">
        <v>9</v>
      </c>
      <c r="S4872" t="n">
        <v>70161</v>
      </c>
      <c r="T4872" t="n">
        <v>210</v>
      </c>
      <c r="U4872" t="n">
        <v>220</v>
      </c>
      <c r="V4872" t="n">
        <v>30</v>
      </c>
      <c r="W4872" t="n">
        <v>141</v>
      </c>
      <c r="X4872" t="n">
        <v>15.39316714413991</v>
      </c>
      <c r="Y4872" t="n">
        <v>1</v>
      </c>
      <c r="Z4872" t="n">
        <v>69</v>
      </c>
      <c r="AA4872" t="n">
        <v>3</v>
      </c>
      <c r="AB4872" t="n">
        <v>66</v>
      </c>
      <c r="AC4872" t="n">
        <v>66</v>
      </c>
      <c r="AD4872" t="n">
        <v>30600</v>
      </c>
      <c r="AE4872" t="n">
        <v>673200</v>
      </c>
      <c r="AF4872" t="n">
        <v>689</v>
      </c>
      <c r="AG4872" t="n">
        <v>107</v>
      </c>
      <c r="AH4872" t="inlineStr">
        <is>
          <t xml:space="preserve">CV. DAHLIA - PPN (PDG) </t>
        </is>
      </c>
      <c r="AI4872" t="n">
        <v>387</v>
      </c>
      <c r="AJ4872" t="inlineStr">
        <is>
          <t>SALSA</t>
        </is>
      </c>
      <c r="AK4872" t="n">
        <v>21</v>
      </c>
      <c r="AL4872" t="inlineStr">
        <is>
          <t>Miss Glam Damar</t>
        </is>
      </c>
      <c r="AM4872" t="n">
        <v>2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SALSA</t>
        </is>
      </c>
      <c r="B4873" s="2">
        <f>"8997207558675"</f>
        <v/>
      </c>
      <c r="C4873" t="inlineStr">
        <is>
          <t>SALSA Vinylash Eyelash Curler Premium</t>
        </is>
      </c>
      <c r="D4873" t="inlineStr">
        <is>
          <t>Miss Glam Damar</t>
        </is>
      </c>
      <c r="E4873" t="n">
        <v>47</v>
      </c>
      <c r="F4873" t="n">
        <v>4.1314</v>
      </c>
      <c r="G4873" t="n">
        <v>18.2</v>
      </c>
      <c r="H4873" t="n">
        <v>2</v>
      </c>
      <c r="I4873" t="n">
        <v>16</v>
      </c>
      <c r="J4873" t="n">
        <v>3</v>
      </c>
      <c r="K4873" t="n">
        <v>0</v>
      </c>
      <c r="L4873" t="n">
        <v>10200</v>
      </c>
      <c r="M4873" t="n">
        <v>15000</v>
      </c>
      <c r="N4873" t="n">
        <v>91</v>
      </c>
      <c r="O4873" t="n">
        <v>0.91</v>
      </c>
      <c r="P4873" t="n">
        <v>1</v>
      </c>
      <c r="Q4873" t="n">
        <v>1.59</v>
      </c>
      <c r="R4873" t="n">
        <v>7</v>
      </c>
      <c r="S4873" t="n">
        <v>61971</v>
      </c>
      <c r="T4873" t="n">
        <v>283</v>
      </c>
      <c r="U4873" t="n">
        <v>292</v>
      </c>
      <c r="V4873" t="n">
        <v>30</v>
      </c>
      <c r="W4873" t="n">
        <v>124</v>
      </c>
      <c r="X4873" t="n">
        <v>11.37628890932856</v>
      </c>
      <c r="Y4873" t="n">
        <v>1</v>
      </c>
      <c r="Z4873" t="n">
        <v>77</v>
      </c>
      <c r="AA4873" t="n">
        <v>20</v>
      </c>
      <c r="AB4873" t="n">
        <v>57</v>
      </c>
      <c r="AC4873" t="n">
        <v>57</v>
      </c>
      <c r="AD4873" t="n">
        <v>204000</v>
      </c>
      <c r="AE4873" t="n">
        <v>581400</v>
      </c>
      <c r="AF4873" t="n">
        <v>689</v>
      </c>
      <c r="AG4873" t="n">
        <v>107</v>
      </c>
      <c r="AH4873" t="inlineStr">
        <is>
          <t xml:space="preserve">CV. DAHLIA - PPN (PDG) </t>
        </is>
      </c>
      <c r="AI4873" t="n">
        <v>387</v>
      </c>
      <c r="AJ4873" t="inlineStr">
        <is>
          <t>SALSA</t>
        </is>
      </c>
      <c r="AK4873" t="n">
        <v>21</v>
      </c>
      <c r="AL4873" t="inlineStr">
        <is>
          <t>Miss Glam Damar</t>
        </is>
      </c>
      <c r="AM4873" t="n">
        <v>2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SALSA</t>
        </is>
      </c>
      <c r="B4874" s="2">
        <f>"50100316315"</f>
        <v/>
      </c>
      <c r="C4874" t="inlineStr">
        <is>
          <t>SALSA Vinylash Pastel Color Mint</t>
        </is>
      </c>
      <c r="D4874" t="inlineStr">
        <is>
          <t>Miss Glam Damar</t>
        </is>
      </c>
      <c r="E4874" t="n">
        <v>6</v>
      </c>
      <c r="F4874" t="n">
        <v>0.7735</v>
      </c>
      <c r="G4874" t="n">
        <v>3.64</v>
      </c>
      <c r="H4874" t="n">
        <v>2</v>
      </c>
      <c r="I4874" t="n">
        <v>16</v>
      </c>
      <c r="J4874" t="n">
        <v>1</v>
      </c>
      <c r="K4874" t="n">
        <v>0</v>
      </c>
      <c r="L4874" t="n">
        <v>6970</v>
      </c>
      <c r="M4874" t="n">
        <v>10000</v>
      </c>
      <c r="N4874" t="n">
        <v>91</v>
      </c>
      <c r="O4874" t="n">
        <v>0.91</v>
      </c>
      <c r="P4874" t="n">
        <v>1</v>
      </c>
      <c r="Q4874" t="n">
        <v>0.12</v>
      </c>
      <c r="R4874" t="n">
        <v>1</v>
      </c>
      <c r="S4874" t="n">
        <v>7735</v>
      </c>
      <c r="T4874" t="n">
        <v>57</v>
      </c>
      <c r="U4874" t="n">
        <v>59</v>
      </c>
      <c r="V4874" t="n">
        <v>30</v>
      </c>
      <c r="W4874" t="n">
        <v>24</v>
      </c>
      <c r="X4874" t="n">
        <v>7.756948933419522</v>
      </c>
      <c r="Y4874" t="n">
        <v>1</v>
      </c>
      <c r="Z4874" t="n">
        <v>18</v>
      </c>
      <c r="AA4874" t="n">
        <v>7</v>
      </c>
      <c r="AB4874" t="n">
        <v>11</v>
      </c>
      <c r="AC4874" t="n">
        <v>11</v>
      </c>
      <c r="AD4874" t="n">
        <v>48790</v>
      </c>
      <c r="AE4874" t="n">
        <v>76670</v>
      </c>
      <c r="AF4874" t="n">
        <v>689</v>
      </c>
      <c r="AG4874" t="n">
        <v>107</v>
      </c>
      <c r="AH4874" t="inlineStr">
        <is>
          <t xml:space="preserve">CV. DAHLIA - PPN (PDG) </t>
        </is>
      </c>
      <c r="AI4874" t="n">
        <v>387</v>
      </c>
      <c r="AJ4874" t="inlineStr">
        <is>
          <t>SALSA</t>
        </is>
      </c>
      <c r="AK4874" t="n">
        <v>21</v>
      </c>
      <c r="AL4874" t="inlineStr">
        <is>
          <t>Miss Glam Damar</t>
        </is>
      </c>
      <c r="AM4874" t="n">
        <v>2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SALSA</t>
        </is>
      </c>
      <c r="B4875" s="2">
        <f>"50100316144"</f>
        <v/>
      </c>
      <c r="C4875" t="inlineStr">
        <is>
          <t>SALSA Vinylash Pastel Color Pink</t>
        </is>
      </c>
      <c r="D4875" t="inlineStr">
        <is>
          <t>Miss Glam Damar</t>
        </is>
      </c>
      <c r="E4875" t="n">
        <v>24</v>
      </c>
      <c r="F4875" t="n">
        <v>1.3923</v>
      </c>
      <c r="G4875" t="n">
        <v>5.46</v>
      </c>
      <c r="H4875" t="n">
        <v>2</v>
      </c>
      <c r="I4875" t="n">
        <v>16</v>
      </c>
      <c r="J4875" t="n">
        <v>1</v>
      </c>
      <c r="K4875" t="n">
        <v>0</v>
      </c>
      <c r="L4875" t="n">
        <v>6970</v>
      </c>
      <c r="M4875" t="n">
        <v>10000</v>
      </c>
      <c r="N4875" t="n">
        <v>91</v>
      </c>
      <c r="O4875" t="n">
        <v>0.91</v>
      </c>
      <c r="P4875" t="n">
        <v>1</v>
      </c>
      <c r="Q4875" t="n">
        <v>0.47</v>
      </c>
      <c r="R4875" t="n">
        <v>2</v>
      </c>
      <c r="S4875" t="n">
        <v>13923</v>
      </c>
      <c r="T4875" t="n">
        <v>85</v>
      </c>
      <c r="U4875" t="n">
        <v>88</v>
      </c>
      <c r="V4875" t="n">
        <v>30</v>
      </c>
      <c r="W4875" t="n">
        <v>42</v>
      </c>
      <c r="X4875" t="n">
        <v>17.23766429648783</v>
      </c>
      <c r="Y4875" t="n">
        <v>1</v>
      </c>
      <c r="Z4875" t="n">
        <v>18</v>
      </c>
      <c r="AA4875" t="n">
        <v>0</v>
      </c>
      <c r="AB4875" t="n">
        <v>18</v>
      </c>
      <c r="AC4875" t="n">
        <v>18</v>
      </c>
      <c r="AD4875" t="n">
        <v>0</v>
      </c>
      <c r="AE4875" t="n">
        <v>125460</v>
      </c>
      <c r="AF4875" t="n">
        <v>689</v>
      </c>
      <c r="AG4875" t="n">
        <v>107</v>
      </c>
      <c r="AH4875" t="inlineStr">
        <is>
          <t xml:space="preserve">CV. DAHLIA - PPN (PDG) </t>
        </is>
      </c>
      <c r="AI4875" t="n">
        <v>387</v>
      </c>
      <c r="AJ4875" t="inlineStr">
        <is>
          <t>SALSA</t>
        </is>
      </c>
      <c r="AK4875" t="n">
        <v>21</v>
      </c>
      <c r="AL4875" t="inlineStr">
        <is>
          <t>Miss Glam Damar</t>
        </is>
      </c>
      <c r="AM4875" t="n">
        <v>2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SANDRELLA</t>
        </is>
      </c>
      <c r="B4876" s="2">
        <f>"30400258218"</f>
        <v/>
      </c>
      <c r="C4876" t="inlineStr">
        <is>
          <t>SANDRELLA COCODE Blossom 50ml</t>
        </is>
      </c>
      <c r="D4876" t="inlineStr">
        <is>
          <t>Miss Glam Damar</t>
        </is>
      </c>
      <c r="E4876" t="n">
        <v>1</v>
      </c>
      <c r="F4876" t="n">
        <v>0.9282</v>
      </c>
      <c r="G4876" t="n">
        <v>4.55</v>
      </c>
      <c r="H4876" t="n">
        <v>4</v>
      </c>
      <c r="I4876" t="n">
        <v>21</v>
      </c>
      <c r="J4876" t="n">
        <v>1</v>
      </c>
      <c r="K4876" t="n">
        <v>0</v>
      </c>
      <c r="L4876" t="n">
        <v>14884</v>
      </c>
      <c r="M4876" t="n">
        <v>22000</v>
      </c>
      <c r="N4876" t="n">
        <v>91</v>
      </c>
      <c r="O4876" t="n">
        <v>0.91</v>
      </c>
      <c r="P4876" t="n">
        <v>1</v>
      </c>
      <c r="Q4876" t="n">
        <v>0.36</v>
      </c>
      <c r="R4876" t="n">
        <v>4</v>
      </c>
      <c r="S4876" t="n">
        <v>20420.4</v>
      </c>
      <c r="T4876" t="n">
        <v>92</v>
      </c>
      <c r="U4876" t="n">
        <v>96</v>
      </c>
      <c r="V4876" t="n">
        <v>30</v>
      </c>
      <c r="W4876" t="n">
        <v>28</v>
      </c>
      <c r="X4876" t="n">
        <v>1.077354018530489</v>
      </c>
      <c r="Y4876" t="n">
        <v>1</v>
      </c>
      <c r="Z4876" t="n">
        <v>27</v>
      </c>
      <c r="AA4876" t="n">
        <v>19</v>
      </c>
      <c r="AB4876" t="n">
        <v>8</v>
      </c>
      <c r="AC4876" t="n">
        <v>8</v>
      </c>
      <c r="AD4876" t="n">
        <v>282796</v>
      </c>
      <c r="AE4876" t="n">
        <v>119072</v>
      </c>
      <c r="AF4876" t="n">
        <v>8295</v>
      </c>
      <c r="AG4876" t="n">
        <v>1</v>
      </c>
      <c r="AH4876" t="inlineStr">
        <is>
          <t>PT. BERSAMA DISTRIVERSA INDONESIA (DC CIPUTAT)</t>
        </is>
      </c>
      <c r="AI4876" t="n">
        <v>2303</v>
      </c>
      <c r="AJ4876" t="inlineStr">
        <is>
          <t>SANDRELLA</t>
        </is>
      </c>
      <c r="AK4876" t="n">
        <v>21</v>
      </c>
      <c r="AL4876" t="inlineStr">
        <is>
          <t>Miss Glam Damar</t>
        </is>
      </c>
      <c r="AM4876" t="n">
        <v>1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SANDRELLA</t>
        </is>
      </c>
      <c r="B4877" s="2">
        <f>"30400258148"</f>
        <v/>
      </c>
      <c r="C4877" t="inlineStr">
        <is>
          <t>SANDRELLA COCODE English Pear 50ml</t>
        </is>
      </c>
      <c r="D4877" t="inlineStr">
        <is>
          <t>Miss Glam Damar</t>
        </is>
      </c>
      <c r="E4877" t="n">
        <v>0</v>
      </c>
      <c r="F4877" t="n">
        <v>0.0728</v>
      </c>
      <c r="G4877" t="n">
        <v>0.91</v>
      </c>
      <c r="H4877" t="n">
        <v>4</v>
      </c>
      <c r="I4877" t="n">
        <v>21</v>
      </c>
      <c r="J4877" t="n">
        <v>1</v>
      </c>
      <c r="K4877" t="n">
        <v>0</v>
      </c>
      <c r="L4877" t="n">
        <v>14895</v>
      </c>
      <c r="M4877" t="n">
        <v>22000</v>
      </c>
      <c r="N4877" t="n">
        <v>91</v>
      </c>
      <c r="O4877" t="n">
        <v>0.91</v>
      </c>
      <c r="P4877" t="n">
        <v>1</v>
      </c>
      <c r="Q4877" t="n">
        <v>0.17</v>
      </c>
      <c r="R4877" t="n">
        <v>2</v>
      </c>
      <c r="S4877" t="n">
        <v>1601.6</v>
      </c>
      <c r="T4877" t="n">
        <v>19</v>
      </c>
      <c r="U4877" t="n">
        <v>20</v>
      </c>
      <c r="V4877" t="n">
        <v>30</v>
      </c>
      <c r="W4877" t="n">
        <v>3</v>
      </c>
      <c r="X4877" t="n">
        <v>0</v>
      </c>
      <c r="Y4877" t="n">
        <v>1</v>
      </c>
      <c r="Z4877" t="n">
        <v>3</v>
      </c>
      <c r="AA4877" t="n">
        <v>2</v>
      </c>
      <c r="AB4877" t="n">
        <v>1</v>
      </c>
      <c r="AC4877" t="n">
        <v>1</v>
      </c>
      <c r="AD4877" t="n">
        <v>29790</v>
      </c>
      <c r="AE4877" t="n">
        <v>14895</v>
      </c>
      <c r="AF4877" t="n">
        <v>8295</v>
      </c>
      <c r="AG4877" t="n">
        <v>1</v>
      </c>
      <c r="AH4877" t="inlineStr">
        <is>
          <t>PT. BERSAMA DISTRIVERSA INDONESIA (DC CIPUTAT)</t>
        </is>
      </c>
      <c r="AI4877" t="n">
        <v>2303</v>
      </c>
      <c r="AJ4877" t="inlineStr">
        <is>
          <t>SANDRELLA</t>
        </is>
      </c>
      <c r="AK4877" t="n">
        <v>21</v>
      </c>
      <c r="AL4877" t="inlineStr">
        <is>
          <t>Miss Glam Damar</t>
        </is>
      </c>
      <c r="AM4877" t="n">
        <v>1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SANDRELLA</t>
        </is>
      </c>
      <c r="B4878" s="2">
        <f>"30400258358"</f>
        <v/>
      </c>
      <c r="C4878" t="inlineStr">
        <is>
          <t>SANDRELLA COCODE Omnia 50ml</t>
        </is>
      </c>
      <c r="D4878" t="inlineStr">
        <is>
          <t>Miss Glam Damar</t>
        </is>
      </c>
      <c r="E4878" t="n">
        <v>1</v>
      </c>
      <c r="F4878" t="n">
        <v>0.2639</v>
      </c>
      <c r="G4878" t="n">
        <v>2.73</v>
      </c>
      <c r="H4878" t="n">
        <v>4</v>
      </c>
      <c r="I4878" t="n">
        <v>21</v>
      </c>
      <c r="J4878" t="n">
        <v>1</v>
      </c>
      <c r="K4878" t="n">
        <v>0</v>
      </c>
      <c r="L4878" t="n">
        <v>14964</v>
      </c>
      <c r="M4878" t="n">
        <v>22000</v>
      </c>
      <c r="N4878" t="n">
        <v>91</v>
      </c>
      <c r="O4878" t="n">
        <v>0.91</v>
      </c>
      <c r="P4878" t="n">
        <v>1</v>
      </c>
      <c r="Q4878" t="n">
        <v>0.53</v>
      </c>
      <c r="R4878" t="n">
        <v>4</v>
      </c>
      <c r="S4878" t="n">
        <v>5805.799999999999</v>
      </c>
      <c r="T4878" t="n">
        <v>57</v>
      </c>
      <c r="U4878" t="n">
        <v>59</v>
      </c>
      <c r="V4878" t="n">
        <v>30</v>
      </c>
      <c r="W4878" t="n">
        <v>8</v>
      </c>
      <c r="X4878" t="n">
        <v>3.789314134141721</v>
      </c>
      <c r="Y4878" t="n">
        <v>1</v>
      </c>
      <c r="Z4878" t="n">
        <v>7</v>
      </c>
      <c r="AA4878" t="n">
        <v>5</v>
      </c>
      <c r="AB4878" t="n">
        <v>2</v>
      </c>
      <c r="AC4878" t="n">
        <v>2</v>
      </c>
      <c r="AD4878" t="n">
        <v>74820</v>
      </c>
      <c r="AE4878" t="n">
        <v>29928</v>
      </c>
      <c r="AF4878" t="n">
        <v>8295</v>
      </c>
      <c r="AG4878" t="n">
        <v>1</v>
      </c>
      <c r="AH4878" t="inlineStr">
        <is>
          <t>PT. BERSAMA DISTRIVERSA INDONESIA (DC CIPUTAT)</t>
        </is>
      </c>
      <c r="AI4878" t="n">
        <v>2303</v>
      </c>
      <c r="AJ4878" t="inlineStr">
        <is>
          <t>SANDRELLA</t>
        </is>
      </c>
      <c r="AK4878" t="n">
        <v>21</v>
      </c>
      <c r="AL4878" t="inlineStr">
        <is>
          <t>Miss Glam Damar</t>
        </is>
      </c>
      <c r="AM4878" t="n">
        <v>1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SANDRELLA</t>
        </is>
      </c>
      <c r="B4879" s="2">
        <f>"30400258431"</f>
        <v/>
      </c>
      <c r="C4879" t="inlineStr">
        <is>
          <t>SANDRELLA COCODE Opium 50ml</t>
        </is>
      </c>
      <c r="D4879" t="inlineStr">
        <is>
          <t>Miss Glam Damar</t>
        </is>
      </c>
      <c r="E4879" t="n">
        <v>9</v>
      </c>
      <c r="F4879" t="n">
        <v>0.5733</v>
      </c>
      <c r="G4879" t="n">
        <v>1.82</v>
      </c>
      <c r="H4879" t="n">
        <v>4</v>
      </c>
      <c r="I4879" t="n">
        <v>21</v>
      </c>
      <c r="J4879" t="n">
        <v>1</v>
      </c>
      <c r="K4879" t="n">
        <v>0</v>
      </c>
      <c r="L4879" t="n">
        <v>14872</v>
      </c>
      <c r="M4879" t="n">
        <v>22000</v>
      </c>
      <c r="N4879" t="n">
        <v>91</v>
      </c>
      <c r="O4879" t="n">
        <v>0.91</v>
      </c>
      <c r="P4879" t="n">
        <v>1</v>
      </c>
      <c r="Q4879" t="n">
        <v>0.37</v>
      </c>
      <c r="R4879" t="n">
        <v>3</v>
      </c>
      <c r="S4879" t="n">
        <v>12612.6</v>
      </c>
      <c r="T4879" t="n">
        <v>36</v>
      </c>
      <c r="U4879" t="n">
        <v>39</v>
      </c>
      <c r="V4879" t="n">
        <v>30</v>
      </c>
      <c r="W4879" t="n">
        <v>18</v>
      </c>
      <c r="X4879" t="n">
        <v>15.69858712715856</v>
      </c>
      <c r="Y4879" t="n">
        <v>1</v>
      </c>
      <c r="Z4879" t="n">
        <v>9</v>
      </c>
      <c r="AA4879" t="n">
        <v>4</v>
      </c>
      <c r="AB4879" t="n">
        <v>5</v>
      </c>
      <c r="AC4879" t="n">
        <v>5</v>
      </c>
      <c r="AD4879" t="n">
        <v>59488</v>
      </c>
      <c r="AE4879" t="n">
        <v>74360</v>
      </c>
      <c r="AF4879" t="n">
        <v>8295</v>
      </c>
      <c r="AG4879" t="n">
        <v>1</v>
      </c>
      <c r="AH4879" t="inlineStr">
        <is>
          <t>PT. BERSAMA DISTRIVERSA INDONESIA (DC CIPUTAT)</t>
        </is>
      </c>
      <c r="AI4879" t="n">
        <v>2303</v>
      </c>
      <c r="AJ4879" t="inlineStr">
        <is>
          <t>SANDRELLA</t>
        </is>
      </c>
      <c r="AK4879" t="n">
        <v>21</v>
      </c>
      <c r="AL4879" t="inlineStr">
        <is>
          <t>Miss Glam Damar</t>
        </is>
      </c>
      <c r="AM4879" t="n">
        <v>1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SANDRELLA</t>
        </is>
      </c>
      <c r="B4880" s="2">
        <f>"30400258660"</f>
        <v/>
      </c>
      <c r="C4880" t="inlineStr">
        <is>
          <t>SANDRELLA COCODE Rouge 50ml</t>
        </is>
      </c>
      <c r="D4880" t="inlineStr">
        <is>
          <t>Miss Glam Damar</t>
        </is>
      </c>
      <c r="E4880" t="n">
        <v>10</v>
      </c>
      <c r="F4880" t="n">
        <v>0.06370000000000001</v>
      </c>
      <c r="G4880" t="n">
        <v>0.91</v>
      </c>
      <c r="H4880" t="n">
        <v>4</v>
      </c>
      <c r="I4880" t="n">
        <v>21</v>
      </c>
      <c r="J4880" t="n">
        <v>1</v>
      </c>
      <c r="K4880" t="n">
        <v>0</v>
      </c>
      <c r="L4880" t="n">
        <v>14884</v>
      </c>
      <c r="M4880" t="n">
        <v>22000</v>
      </c>
      <c r="N4880" t="n">
        <v>91</v>
      </c>
      <c r="O4880" t="n">
        <v>0.91</v>
      </c>
      <c r="P4880" t="n">
        <v>1</v>
      </c>
      <c r="Q4880" t="n">
        <v>0.1</v>
      </c>
      <c r="R4880" t="n">
        <v>1</v>
      </c>
      <c r="S4880" t="n">
        <v>1401.4</v>
      </c>
      <c r="T4880" t="n">
        <v>19</v>
      </c>
      <c r="U4880" t="n">
        <v>20</v>
      </c>
      <c r="V4880" t="n">
        <v>30</v>
      </c>
      <c r="W4880" t="n">
        <v>2</v>
      </c>
      <c r="X4880" t="n">
        <v>156.9858712715856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8295</v>
      </c>
      <c r="AG4880" t="n">
        <v>1</v>
      </c>
      <c r="AH4880" t="inlineStr">
        <is>
          <t>PT. BERSAMA DISTRIVERSA INDONESIA (DC CIPUTAT)</t>
        </is>
      </c>
      <c r="AI4880" t="n">
        <v>2303</v>
      </c>
      <c r="AJ4880" t="inlineStr">
        <is>
          <t>SANDRELLA</t>
        </is>
      </c>
      <c r="AK4880" t="n">
        <v>21</v>
      </c>
      <c r="AL4880" t="inlineStr">
        <is>
          <t>Miss Glam Damar</t>
        </is>
      </c>
      <c r="AM4880" t="n">
        <v>1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SANDRELLA</t>
        </is>
      </c>
      <c r="B4881" s="2">
        <f>"30400258522"</f>
        <v/>
      </c>
      <c r="C4881" t="inlineStr">
        <is>
          <t>SANDRELLA COCODE Suvage 50ml</t>
        </is>
      </c>
      <c r="D4881" t="inlineStr">
        <is>
          <t>Miss Glam Damar</t>
        </is>
      </c>
      <c r="E4881" t="n">
        <v>7</v>
      </c>
      <c r="F4881" t="n">
        <v>0.2184</v>
      </c>
      <c r="G4881" t="n">
        <v>0.91</v>
      </c>
      <c r="H4881" t="n">
        <v>4</v>
      </c>
      <c r="I4881" t="n">
        <v>21</v>
      </c>
      <c r="J4881" t="n">
        <v>1</v>
      </c>
      <c r="K4881" t="n">
        <v>0</v>
      </c>
      <c r="L4881" t="n">
        <v>15284</v>
      </c>
      <c r="M4881" t="n">
        <v>22000</v>
      </c>
      <c r="N4881" t="n">
        <v>91</v>
      </c>
      <c r="O4881" t="n">
        <v>0.91</v>
      </c>
      <c r="P4881" t="n">
        <v>1</v>
      </c>
      <c r="Q4881" t="n">
        <v>0.24</v>
      </c>
      <c r="R4881" t="n">
        <v>2</v>
      </c>
      <c r="S4881" t="n">
        <v>4804.8</v>
      </c>
      <c r="T4881" t="n">
        <v>19</v>
      </c>
      <c r="U4881" t="n">
        <v>20</v>
      </c>
      <c r="V4881" t="n">
        <v>30</v>
      </c>
      <c r="W4881" t="n">
        <v>7</v>
      </c>
      <c r="X4881" t="n">
        <v>32.05128205128205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8295</v>
      </c>
      <c r="AG4881" t="n">
        <v>1</v>
      </c>
      <c r="AH4881" t="inlineStr">
        <is>
          <t>PT. BERSAMA DISTRIVERSA INDONESIA (DC CIPUTAT)</t>
        </is>
      </c>
      <c r="AI4881" t="n">
        <v>2303</v>
      </c>
      <c r="AJ4881" t="inlineStr">
        <is>
          <t>SANDRELLA</t>
        </is>
      </c>
      <c r="AK4881" t="n">
        <v>21</v>
      </c>
      <c r="AL4881" t="inlineStr">
        <is>
          <t>Miss Glam Damar</t>
        </is>
      </c>
      <c r="AM4881" t="n">
        <v>1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SANDRELLA</t>
        </is>
      </c>
      <c r="B4882" s="2">
        <f>"30400359406"</f>
        <v/>
      </c>
      <c r="C4882" t="inlineStr">
        <is>
          <t>SANDRELLA Parfum Wanita Eau De Parfum Gardenia 110ml</t>
        </is>
      </c>
      <c r="D4882" t="inlineStr">
        <is>
          <t>Miss Glam Damar</t>
        </is>
      </c>
      <c r="E4882" t="n">
        <v>14</v>
      </c>
      <c r="F4882" t="n">
        <v>0.8827</v>
      </c>
      <c r="G4882" t="n">
        <v>4.55</v>
      </c>
      <c r="H4882" t="n">
        <v>4</v>
      </c>
      <c r="I4882" t="n">
        <v>21</v>
      </c>
      <c r="J4882" t="n">
        <v>1</v>
      </c>
      <c r="K4882" t="n">
        <v>0</v>
      </c>
      <c r="L4882" t="n">
        <v>29198</v>
      </c>
      <c r="M4882" t="n">
        <v>42000</v>
      </c>
      <c r="N4882" t="n">
        <v>91</v>
      </c>
      <c r="O4882" t="n">
        <v>0.91</v>
      </c>
      <c r="P4882" t="n">
        <v>1</v>
      </c>
      <c r="Q4882" t="n">
        <v>0.73</v>
      </c>
      <c r="R4882" t="n">
        <v>5</v>
      </c>
      <c r="S4882" t="n">
        <v>37073.4</v>
      </c>
      <c r="T4882" t="n">
        <v>93</v>
      </c>
      <c r="U4882" t="n">
        <v>97</v>
      </c>
      <c r="V4882" t="n">
        <v>30</v>
      </c>
      <c r="W4882" t="n">
        <v>27</v>
      </c>
      <c r="X4882" t="n">
        <v>15.86042823156225</v>
      </c>
      <c r="Y4882" t="n">
        <v>1</v>
      </c>
      <c r="Z4882" t="n">
        <v>13</v>
      </c>
      <c r="AA4882" t="n">
        <v>5</v>
      </c>
      <c r="AB4882" t="n">
        <v>8</v>
      </c>
      <c r="AC4882" t="n">
        <v>8</v>
      </c>
      <c r="AD4882" t="n">
        <v>145990</v>
      </c>
      <c r="AE4882" t="n">
        <v>233584</v>
      </c>
      <c r="AF4882" t="n">
        <v>8295</v>
      </c>
      <c r="AG4882" t="n">
        <v>1</v>
      </c>
      <c r="AH4882" t="inlineStr">
        <is>
          <t>PT. BERSAMA DISTRIVERSA INDONESIA (DC CIPUTAT)</t>
        </is>
      </c>
      <c r="AI4882" t="n">
        <v>2303</v>
      </c>
      <c r="AJ4882" t="inlineStr">
        <is>
          <t>SANDRELLA</t>
        </is>
      </c>
      <c r="AK4882" t="n">
        <v>21</v>
      </c>
      <c r="AL4882" t="inlineStr">
        <is>
          <t>Miss Glam Damar</t>
        </is>
      </c>
      <c r="AM4882" t="n">
        <v>1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SANDRELLA</t>
        </is>
      </c>
      <c r="B4883" s="2">
        <f>"30400359330"</f>
        <v/>
      </c>
      <c r="C4883" t="inlineStr">
        <is>
          <t>SANDRELLA Parfum Wanita Eau De Parfum Orchid 110ml</t>
        </is>
      </c>
      <c r="D4883" t="inlineStr">
        <is>
          <t>Miss Glam Damar</t>
        </is>
      </c>
      <c r="E4883" t="n">
        <v>1</v>
      </c>
      <c r="F4883" t="n">
        <v>1.3286</v>
      </c>
      <c r="G4883" t="n">
        <v>4.55</v>
      </c>
      <c r="H4883" t="n">
        <v>4</v>
      </c>
      <c r="I4883" t="n">
        <v>21</v>
      </c>
      <c r="J4883" t="n">
        <v>1</v>
      </c>
      <c r="K4883" t="n">
        <v>0</v>
      </c>
      <c r="L4883" t="n">
        <v>28900</v>
      </c>
      <c r="M4883" t="n">
        <v>42000</v>
      </c>
      <c r="N4883" t="n">
        <v>91</v>
      </c>
      <c r="O4883" t="n">
        <v>0.91</v>
      </c>
      <c r="P4883" t="n">
        <v>1</v>
      </c>
      <c r="Q4883" t="n">
        <v>0.8</v>
      </c>
      <c r="R4883" t="n">
        <v>5</v>
      </c>
      <c r="S4883" t="n">
        <v>55801.2</v>
      </c>
      <c r="T4883" t="n">
        <v>91</v>
      </c>
      <c r="U4883" t="n">
        <v>97</v>
      </c>
      <c r="V4883" t="n">
        <v>30</v>
      </c>
      <c r="W4883" t="n">
        <v>40</v>
      </c>
      <c r="X4883" t="n">
        <v>0.7526719855486979</v>
      </c>
      <c r="Y4883" t="n">
        <v>1</v>
      </c>
      <c r="Z4883" t="n">
        <v>39</v>
      </c>
      <c r="AA4883" t="n">
        <v>27</v>
      </c>
      <c r="AB4883" t="n">
        <v>12</v>
      </c>
      <c r="AC4883" t="n">
        <v>12</v>
      </c>
      <c r="AD4883" t="n">
        <v>780300</v>
      </c>
      <c r="AE4883" t="n">
        <v>346800</v>
      </c>
      <c r="AF4883" t="n">
        <v>8295</v>
      </c>
      <c r="AG4883" t="n">
        <v>1</v>
      </c>
      <c r="AH4883" t="inlineStr">
        <is>
          <t>PT. BERSAMA DISTRIVERSA INDONESIA (DC CIPUTAT)</t>
        </is>
      </c>
      <c r="AI4883" t="n">
        <v>2303</v>
      </c>
      <c r="AJ4883" t="inlineStr">
        <is>
          <t>SANDRELLA</t>
        </is>
      </c>
      <c r="AK4883" t="n">
        <v>21</v>
      </c>
      <c r="AL4883" t="inlineStr">
        <is>
          <t>Miss Glam Damar</t>
        </is>
      </c>
      <c r="AM4883" t="n">
        <v>1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SANDRELLA</t>
        </is>
      </c>
      <c r="B4884" s="2">
        <f>"30400359246"</f>
        <v/>
      </c>
      <c r="C4884" t="inlineStr">
        <is>
          <t>SANDRELLA Parfum Wanita Eau De Parfum Pink Flambe 110ml</t>
        </is>
      </c>
      <c r="D4884" t="inlineStr">
        <is>
          <t>Miss Glam Damar</t>
        </is>
      </c>
      <c r="E4884" t="n">
        <v>60</v>
      </c>
      <c r="F4884" t="n">
        <v>1.5925</v>
      </c>
      <c r="G4884" t="n">
        <v>7.28</v>
      </c>
      <c r="H4884" t="n">
        <v>4</v>
      </c>
      <c r="I4884" t="n">
        <v>21</v>
      </c>
      <c r="J4884" t="n">
        <v>1</v>
      </c>
      <c r="K4884" t="n">
        <v>0</v>
      </c>
      <c r="L4884" t="n">
        <v>31200</v>
      </c>
      <c r="M4884" t="n">
        <v>42000</v>
      </c>
      <c r="N4884" t="n">
        <v>91</v>
      </c>
      <c r="O4884" t="n">
        <v>0.91</v>
      </c>
      <c r="P4884" t="n">
        <v>1</v>
      </c>
      <c r="Q4884" t="n">
        <v>1.17</v>
      </c>
      <c r="R4884" t="n">
        <v>5</v>
      </c>
      <c r="S4884" t="n">
        <v>66885</v>
      </c>
      <c r="T4884" t="n">
        <v>147</v>
      </c>
      <c r="U4884" t="n">
        <v>154</v>
      </c>
      <c r="V4884" t="n">
        <v>30</v>
      </c>
      <c r="W4884" t="n">
        <v>48</v>
      </c>
      <c r="X4884" t="n">
        <v>37.67660910518053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8295</v>
      </c>
      <c r="AG4884" t="n">
        <v>1</v>
      </c>
      <c r="AH4884" t="inlineStr">
        <is>
          <t>PT. BERSAMA DISTRIVERSA INDONESIA (DC CIPUTAT)</t>
        </is>
      </c>
      <c r="AI4884" t="n">
        <v>2303</v>
      </c>
      <c r="AJ4884" t="inlineStr">
        <is>
          <t>SANDRELLA</t>
        </is>
      </c>
      <c r="AK4884" t="n">
        <v>21</v>
      </c>
      <c r="AL4884" t="inlineStr">
        <is>
          <t>Miss Glam Damar</t>
        </is>
      </c>
      <c r="AM4884" t="n">
        <v>1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SANDRELLA</t>
        </is>
      </c>
      <c r="B4885" s="2">
        <f>"30400359546"</f>
        <v/>
      </c>
      <c r="C4885" t="inlineStr">
        <is>
          <t>SANDRELLA Parfum Wanita Eau De Parfum Red Vanilla 110ml</t>
        </is>
      </c>
      <c r="D4885" t="inlineStr">
        <is>
          <t>Miss Glam Damar</t>
        </is>
      </c>
      <c r="E4885" t="n">
        <v>61</v>
      </c>
      <c r="F4885" t="n">
        <v>1.0192</v>
      </c>
      <c r="G4885" t="n">
        <v>3.64</v>
      </c>
      <c r="H4885" t="n">
        <v>4</v>
      </c>
      <c r="I4885" t="n">
        <v>21</v>
      </c>
      <c r="J4885" t="n">
        <v>1</v>
      </c>
      <c r="K4885" t="n">
        <v>0</v>
      </c>
      <c r="L4885" t="n">
        <v>31095</v>
      </c>
      <c r="M4885" t="n">
        <v>42000</v>
      </c>
      <c r="N4885" t="n">
        <v>91</v>
      </c>
      <c r="O4885" t="n">
        <v>0.91</v>
      </c>
      <c r="P4885" t="n">
        <v>1</v>
      </c>
      <c r="Q4885" t="n">
        <v>1.53</v>
      </c>
      <c r="R4885" t="n">
        <v>4</v>
      </c>
      <c r="S4885" t="n">
        <v>42806.4</v>
      </c>
      <c r="T4885" t="n">
        <v>73</v>
      </c>
      <c r="U4885" t="n">
        <v>78</v>
      </c>
      <c r="V4885" t="n">
        <v>30</v>
      </c>
      <c r="W4885" t="n">
        <v>31</v>
      </c>
      <c r="X4885" t="n">
        <v>59.85086342229199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8295</v>
      </c>
      <c r="AG4885" t="n">
        <v>1</v>
      </c>
      <c r="AH4885" t="inlineStr">
        <is>
          <t>PT. BERSAMA DISTRIVERSA INDONESIA (DC CIPUTAT)</t>
        </is>
      </c>
      <c r="AI4885" t="n">
        <v>2303</v>
      </c>
      <c r="AJ4885" t="inlineStr">
        <is>
          <t>SANDRELLA</t>
        </is>
      </c>
      <c r="AK4885" t="n">
        <v>21</v>
      </c>
      <c r="AL4885" t="inlineStr">
        <is>
          <t>Miss Glam Damar</t>
        </is>
      </c>
      <c r="AM4885" t="n">
        <v>1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SANDRELLA</t>
        </is>
      </c>
      <c r="B4886" s="2">
        <f>"30400359732"</f>
        <v/>
      </c>
      <c r="C4886" t="inlineStr">
        <is>
          <t>SANDRELLA Parfum Wanita Eau De Parfum Violet Blossom 110ml</t>
        </is>
      </c>
      <c r="D4886" t="inlineStr">
        <is>
          <t>Miss Glam Damar</t>
        </is>
      </c>
      <c r="E4886" t="n">
        <v>21</v>
      </c>
      <c r="F4886" t="n">
        <v>0.6461</v>
      </c>
      <c r="G4886" t="n">
        <v>2.73</v>
      </c>
      <c r="H4886" t="n">
        <v>4</v>
      </c>
      <c r="I4886" t="n">
        <v>21</v>
      </c>
      <c r="J4886" t="n">
        <v>1</v>
      </c>
      <c r="K4886" t="n">
        <v>0</v>
      </c>
      <c r="L4886" t="n">
        <v>30700</v>
      </c>
      <c r="M4886" t="n">
        <v>42000</v>
      </c>
      <c r="N4886" t="n">
        <v>91</v>
      </c>
      <c r="O4886" t="n">
        <v>0.91</v>
      </c>
      <c r="P4886" t="n">
        <v>1</v>
      </c>
      <c r="Q4886" t="n">
        <v>0.71</v>
      </c>
      <c r="R4886" t="n">
        <v>5</v>
      </c>
      <c r="S4886" t="n">
        <v>27136.2</v>
      </c>
      <c r="T4886" t="n">
        <v>55</v>
      </c>
      <c r="U4886" t="n">
        <v>58</v>
      </c>
      <c r="V4886" t="n">
        <v>30</v>
      </c>
      <c r="W4886" t="n">
        <v>20</v>
      </c>
      <c r="X4886" t="n">
        <v>32.50270855904659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8295</v>
      </c>
      <c r="AG4886" t="n">
        <v>1</v>
      </c>
      <c r="AH4886" t="inlineStr">
        <is>
          <t>PT. BERSAMA DISTRIVERSA INDONESIA (DC CIPUTAT)</t>
        </is>
      </c>
      <c r="AI4886" t="n">
        <v>2303</v>
      </c>
      <c r="AJ4886" t="inlineStr">
        <is>
          <t>SANDRELLA</t>
        </is>
      </c>
      <c r="AK4886" t="n">
        <v>21</v>
      </c>
      <c r="AL4886" t="inlineStr">
        <is>
          <t>Miss Glam Damar</t>
        </is>
      </c>
      <c r="AM4886" t="n">
        <v>1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SANDRELLA</t>
        </is>
      </c>
      <c r="B4887" s="2">
        <f>"30400359621"</f>
        <v/>
      </c>
      <c r="C4887" t="inlineStr">
        <is>
          <t>SANDRELLA Parfum Wanita Eau De Parfum Wonderose 110ml</t>
        </is>
      </c>
      <c r="D4887" t="inlineStr">
        <is>
          <t>Miss Glam Damar</t>
        </is>
      </c>
      <c r="E4887" t="n">
        <v>0</v>
      </c>
      <c r="F4887" t="n">
        <v>1.3559</v>
      </c>
      <c r="G4887" t="n">
        <v>4.55</v>
      </c>
      <c r="H4887" t="n">
        <v>4</v>
      </c>
      <c r="I4887" t="n">
        <v>21</v>
      </c>
      <c r="J4887" t="n">
        <v>1</v>
      </c>
      <c r="K4887" t="n">
        <v>0</v>
      </c>
      <c r="L4887" t="n">
        <v>29387</v>
      </c>
      <c r="M4887" t="n">
        <v>42000</v>
      </c>
      <c r="N4887" t="n">
        <v>91</v>
      </c>
      <c r="O4887" t="n">
        <v>0.91</v>
      </c>
      <c r="P4887" t="n">
        <v>1</v>
      </c>
      <c r="Q4887" t="n">
        <v>0.54</v>
      </c>
      <c r="R4887" t="n">
        <v>3</v>
      </c>
      <c r="S4887" t="n">
        <v>56947.8</v>
      </c>
      <c r="T4887" t="n">
        <v>91</v>
      </c>
      <c r="U4887" t="n">
        <v>97</v>
      </c>
      <c r="V4887" t="n">
        <v>30</v>
      </c>
      <c r="W4887" t="n">
        <v>41</v>
      </c>
      <c r="X4887" t="n">
        <v>0</v>
      </c>
      <c r="Y4887" t="n">
        <v>1</v>
      </c>
      <c r="Z4887" t="n">
        <v>41</v>
      </c>
      <c r="AA4887" t="n">
        <v>29</v>
      </c>
      <c r="AB4887" t="n">
        <v>12</v>
      </c>
      <c r="AC4887" t="n">
        <v>12</v>
      </c>
      <c r="AD4887" t="n">
        <v>852223</v>
      </c>
      <c r="AE4887" t="n">
        <v>352644</v>
      </c>
      <c r="AF4887" t="n">
        <v>8295</v>
      </c>
      <c r="AG4887" t="n">
        <v>1</v>
      </c>
      <c r="AH4887" t="inlineStr">
        <is>
          <t>PT. BERSAMA DISTRIVERSA INDONESIA (DC CIPUTAT)</t>
        </is>
      </c>
      <c r="AI4887" t="n">
        <v>2303</v>
      </c>
      <c r="AJ4887" t="inlineStr">
        <is>
          <t>SANDRELLA</t>
        </is>
      </c>
      <c r="AK4887" t="n">
        <v>21</v>
      </c>
      <c r="AL4887" t="inlineStr">
        <is>
          <t>Miss Glam Damar</t>
        </is>
      </c>
      <c r="AM4887" t="n">
        <v>1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SANIYE</t>
        </is>
      </c>
      <c r="B4888" s="2">
        <f>"6956784144086"</f>
        <v/>
      </c>
      <c r="C4888" t="inlineStr">
        <is>
          <t>SANIYE  Pink 4Color Eyeshadow E0459-01 4gr</t>
        </is>
      </c>
      <c r="D4888" t="inlineStr">
        <is>
          <t>Miss Glam Damar</t>
        </is>
      </c>
      <c r="E4888" t="n">
        <v>0</v>
      </c>
      <c r="F4888" t="n">
        <v>0.15</v>
      </c>
      <c r="G4888" t="n">
        <v>2</v>
      </c>
      <c r="H4888" t="n">
        <v>1</v>
      </c>
      <c r="I4888" t="n">
        <v>7</v>
      </c>
      <c r="J4888" t="n">
        <v>3</v>
      </c>
      <c r="K4888" t="n">
        <v>0</v>
      </c>
      <c r="L4888" t="n">
        <v>20721</v>
      </c>
      <c r="M4888" t="n">
        <v>26900</v>
      </c>
      <c r="N4888" t="n">
        <v>91</v>
      </c>
      <c r="O4888" t="n">
        <v>0.91</v>
      </c>
      <c r="P4888" t="n">
        <v>0</v>
      </c>
      <c r="Q4888" t="n">
        <v>0.15</v>
      </c>
      <c r="R4888" t="n">
        <v>2</v>
      </c>
      <c r="S4888" t="n">
        <v>4035</v>
      </c>
      <c r="T4888" t="n">
        <v>14</v>
      </c>
      <c r="U4888" t="n">
        <v>15</v>
      </c>
      <c r="V4888" t="n">
        <v>30</v>
      </c>
      <c r="W4888" t="n">
        <v>5</v>
      </c>
      <c r="X4888" t="n">
        <v>0</v>
      </c>
      <c r="Y4888" t="n">
        <v>1</v>
      </c>
      <c r="Z4888" t="n">
        <v>5</v>
      </c>
      <c r="AA4888" t="n">
        <v>2</v>
      </c>
      <c r="AB4888" t="n">
        <v>3</v>
      </c>
      <c r="AC4888" t="n">
        <v>3</v>
      </c>
      <c r="AD4888" t="n">
        <v>41442</v>
      </c>
      <c r="AE4888" t="n">
        <v>62163</v>
      </c>
      <c r="AF4888" t="n">
        <v>11172</v>
      </c>
      <c r="AG4888" t="n">
        <v>54</v>
      </c>
      <c r="AH4888" t="inlineStr">
        <is>
          <t>PT. MIRANTI ADILLHA - PPN (PDG)</t>
        </is>
      </c>
      <c r="AI4888" t="n">
        <v>1375</v>
      </c>
      <c r="AJ4888" t="inlineStr">
        <is>
          <t>SANIYE</t>
        </is>
      </c>
      <c r="AK4888" t="n">
        <v>21</v>
      </c>
      <c r="AL4888" t="inlineStr">
        <is>
          <t>Miss Glam Damar</t>
        </is>
      </c>
      <c r="AM4888" t="n">
        <v>2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SANIYE</t>
        </is>
      </c>
      <c r="B4889" s="2">
        <f>"6956784144093"</f>
        <v/>
      </c>
      <c r="C4889" t="inlineStr">
        <is>
          <t>SANIYE  Pink 4Color Eyeshadow E0459-02 4gr</t>
        </is>
      </c>
      <c r="D4889" t="inlineStr">
        <is>
          <t>Miss Glam Damar</t>
        </is>
      </c>
      <c r="E4889" t="n">
        <v>0</v>
      </c>
      <c r="F4889" t="n">
        <v>3.8402</v>
      </c>
      <c r="G4889" t="n">
        <v>12.74</v>
      </c>
      <c r="H4889" t="n">
        <v>1</v>
      </c>
      <c r="I4889" t="n">
        <v>7</v>
      </c>
      <c r="J4889" t="n">
        <v>3</v>
      </c>
      <c r="K4889" t="n">
        <v>0</v>
      </c>
      <c r="L4889" t="n">
        <v>20721</v>
      </c>
      <c r="M4889" t="n">
        <v>26900</v>
      </c>
      <c r="N4889" t="n">
        <v>91</v>
      </c>
      <c r="O4889" t="n">
        <v>0.91</v>
      </c>
      <c r="P4889" t="n">
        <v>1</v>
      </c>
      <c r="Q4889" t="n">
        <v>1.34</v>
      </c>
      <c r="R4889" t="n">
        <v>4</v>
      </c>
      <c r="S4889" t="n">
        <v>103301.38</v>
      </c>
      <c r="T4889" t="n">
        <v>86</v>
      </c>
      <c r="U4889" t="n">
        <v>90</v>
      </c>
      <c r="V4889" t="n">
        <v>30</v>
      </c>
      <c r="W4889" t="n">
        <v>116</v>
      </c>
      <c r="X4889" t="n">
        <v>0</v>
      </c>
      <c r="Y4889" t="n">
        <v>1</v>
      </c>
      <c r="Z4889" t="n">
        <v>116</v>
      </c>
      <c r="AA4889" t="n">
        <v>27</v>
      </c>
      <c r="AB4889" t="n">
        <v>89</v>
      </c>
      <c r="AC4889" t="n">
        <v>89</v>
      </c>
      <c r="AD4889" t="n">
        <v>559467</v>
      </c>
      <c r="AE4889" t="n">
        <v>1844169</v>
      </c>
      <c r="AF4889" t="n">
        <v>11172</v>
      </c>
      <c r="AG4889" t="n">
        <v>54</v>
      </c>
      <c r="AH4889" t="inlineStr">
        <is>
          <t>PT. MIRANTI ADILLHA - PPN (PDG)</t>
        </is>
      </c>
      <c r="AI4889" t="n">
        <v>1375</v>
      </c>
      <c r="AJ4889" t="inlineStr">
        <is>
          <t>SANIYE</t>
        </is>
      </c>
      <c r="AK4889" t="n">
        <v>21</v>
      </c>
      <c r="AL4889" t="inlineStr">
        <is>
          <t>Miss Glam Damar</t>
        </is>
      </c>
      <c r="AM4889" t="n">
        <v>2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SANIYE</t>
        </is>
      </c>
      <c r="B4890" s="2">
        <f>"6956784144109"</f>
        <v/>
      </c>
      <c r="C4890" t="inlineStr">
        <is>
          <t>SANIYE  Pink 4Color Eyeshadow E0459-03 4gr</t>
        </is>
      </c>
      <c r="D4890" t="inlineStr">
        <is>
          <t>Miss Glam Damar</t>
        </is>
      </c>
      <c r="E4890" t="n">
        <v>0</v>
      </c>
      <c r="F4890" t="n">
        <v>6.0788</v>
      </c>
      <c r="G4890" t="n">
        <v>15.47</v>
      </c>
      <c r="H4890" t="n">
        <v>1</v>
      </c>
      <c r="I4890" t="n">
        <v>7</v>
      </c>
      <c r="J4890" t="n">
        <v>3</v>
      </c>
      <c r="K4890" t="n">
        <v>0</v>
      </c>
      <c r="L4890" t="n">
        <v>20721</v>
      </c>
      <c r="M4890" t="n">
        <v>26900</v>
      </c>
      <c r="N4890" t="n">
        <v>91</v>
      </c>
      <c r="O4890" t="n">
        <v>0.91</v>
      </c>
      <c r="P4890" t="n">
        <v>1</v>
      </c>
      <c r="Q4890" t="n">
        <v>1.59</v>
      </c>
      <c r="R4890" t="n">
        <v>5</v>
      </c>
      <c r="S4890" t="n">
        <v>163519.72</v>
      </c>
      <c r="T4890" t="n">
        <v>103</v>
      </c>
      <c r="U4890" t="n">
        <v>110</v>
      </c>
      <c r="V4890" t="n">
        <v>30</v>
      </c>
      <c r="W4890" t="n">
        <v>183</v>
      </c>
      <c r="X4890" t="n">
        <v>0</v>
      </c>
      <c r="Y4890" t="n">
        <v>1</v>
      </c>
      <c r="Z4890" t="n">
        <v>183</v>
      </c>
      <c r="AA4890" t="n">
        <v>43</v>
      </c>
      <c r="AB4890" t="n">
        <v>140</v>
      </c>
      <c r="AC4890" t="n">
        <v>140</v>
      </c>
      <c r="AD4890" t="n">
        <v>891003</v>
      </c>
      <c r="AE4890" t="n">
        <v>2900940</v>
      </c>
      <c r="AF4890" t="n">
        <v>11172</v>
      </c>
      <c r="AG4890" t="n">
        <v>54</v>
      </c>
      <c r="AH4890" t="inlineStr">
        <is>
          <t>PT. MIRANTI ADILLHA - PPN (PDG)</t>
        </is>
      </c>
      <c r="AI4890" t="n">
        <v>1375</v>
      </c>
      <c r="AJ4890" t="inlineStr">
        <is>
          <t>SANIYE</t>
        </is>
      </c>
      <c r="AK4890" t="n">
        <v>21</v>
      </c>
      <c r="AL4890" t="inlineStr">
        <is>
          <t>Miss Glam Damar</t>
        </is>
      </c>
      <c r="AM4890" t="n">
        <v>2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SANIYE</t>
        </is>
      </c>
      <c r="B4891" s="2">
        <f>"6956784143775"</f>
        <v/>
      </c>
      <c r="C4891" t="inlineStr">
        <is>
          <t>SANIYE 2 Colors Eyebrow Gel M348 #01</t>
        </is>
      </c>
      <c r="D4891" t="inlineStr">
        <is>
          <t>Miss Glam Damar</t>
        </is>
      </c>
      <c r="E4891" t="n">
        <v>8</v>
      </c>
      <c r="F4891" t="n">
        <v>0.0273</v>
      </c>
      <c r="G4891" t="n">
        <v>0.91</v>
      </c>
      <c r="H4891" t="n">
        <v>1</v>
      </c>
      <c r="I4891" t="n">
        <v>7</v>
      </c>
      <c r="J4891" t="n">
        <v>3</v>
      </c>
      <c r="K4891" t="n">
        <v>0</v>
      </c>
      <c r="L4891" t="n">
        <v>25521</v>
      </c>
      <c r="M4891" t="n">
        <v>30900</v>
      </c>
      <c r="N4891" t="n">
        <v>91</v>
      </c>
      <c r="O4891" t="n">
        <v>0.91</v>
      </c>
      <c r="P4891" t="n">
        <v>1</v>
      </c>
      <c r="Q4891" t="n">
        <v>0.08</v>
      </c>
      <c r="R4891" t="n">
        <v>1</v>
      </c>
      <c r="S4891" t="n">
        <v>843.5700000000001</v>
      </c>
      <c r="T4891" t="n">
        <v>7</v>
      </c>
      <c r="U4891" t="n">
        <v>8</v>
      </c>
      <c r="V4891" t="n">
        <v>30</v>
      </c>
      <c r="W4891" t="n">
        <v>1</v>
      </c>
      <c r="X4891" t="n">
        <v>293.040293040293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11172</v>
      </c>
      <c r="AG4891" t="n">
        <v>54</v>
      </c>
      <c r="AH4891" t="inlineStr">
        <is>
          <t>PT. MIRANTI ADILLHA - PPN (PDG)</t>
        </is>
      </c>
      <c r="AI4891" t="n">
        <v>1375</v>
      </c>
      <c r="AJ4891" t="inlineStr">
        <is>
          <t>SANIYE</t>
        </is>
      </c>
      <c r="AK4891" t="n">
        <v>21</v>
      </c>
      <c r="AL4891" t="inlineStr">
        <is>
          <t>Miss Glam Damar</t>
        </is>
      </c>
      <c r="AM4891" t="n">
        <v>2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SANIYE</t>
        </is>
      </c>
      <c r="B4892" s="2">
        <f>"6956784143782"</f>
        <v/>
      </c>
      <c r="C4892" t="inlineStr">
        <is>
          <t>SANIYE 2 Colors Eyebrow Gel M348 #02</t>
        </is>
      </c>
      <c r="D4892" t="inlineStr">
        <is>
          <t>Miss Glam Damar</t>
        </is>
      </c>
      <c r="E4892" t="n">
        <v>5</v>
      </c>
      <c r="F4892" t="n">
        <v>0.0273</v>
      </c>
      <c r="G4892" t="n">
        <v>0.91</v>
      </c>
      <c r="H4892" t="n">
        <v>1</v>
      </c>
      <c r="I4892" t="n">
        <v>7</v>
      </c>
      <c r="J4892" t="n">
        <v>3</v>
      </c>
      <c r="K4892" t="n">
        <v>0</v>
      </c>
      <c r="L4892" t="n">
        <v>25521</v>
      </c>
      <c r="M4892" t="n">
        <v>30900</v>
      </c>
      <c r="N4892" t="n">
        <v>91</v>
      </c>
      <c r="O4892" t="n">
        <v>0.91</v>
      </c>
      <c r="P4892" t="n">
        <v>1</v>
      </c>
      <c r="Q4892" t="n">
        <v>0.07000000000000001</v>
      </c>
      <c r="R4892" t="n">
        <v>1</v>
      </c>
      <c r="S4892" t="n">
        <v>843.5700000000001</v>
      </c>
      <c r="T4892" t="n">
        <v>7</v>
      </c>
      <c r="U4892" t="n">
        <v>8</v>
      </c>
      <c r="V4892" t="n">
        <v>30</v>
      </c>
      <c r="W4892" t="n">
        <v>1</v>
      </c>
      <c r="X4892" t="n">
        <v>183.1501831501832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11172</v>
      </c>
      <c r="AG4892" t="n">
        <v>54</v>
      </c>
      <c r="AH4892" t="inlineStr">
        <is>
          <t>PT. MIRANTI ADILLHA - PPN (PDG)</t>
        </is>
      </c>
      <c r="AI4892" t="n">
        <v>1375</v>
      </c>
      <c r="AJ4892" t="inlineStr">
        <is>
          <t>SANIYE</t>
        </is>
      </c>
      <c r="AK4892" t="n">
        <v>21</v>
      </c>
      <c r="AL4892" t="inlineStr">
        <is>
          <t>Miss Glam Damar</t>
        </is>
      </c>
      <c r="AM4892" t="n">
        <v>2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SANIYE</t>
        </is>
      </c>
      <c r="B4893" s="2">
        <f>"6956784143409"</f>
        <v/>
      </c>
      <c r="C4893" t="inlineStr">
        <is>
          <t>SANIYE 2 Colors Eyebrow Powder E028#102 2,2gr</t>
        </is>
      </c>
      <c r="D4893" t="inlineStr">
        <is>
          <t>Miss Glam Damar</t>
        </is>
      </c>
      <c r="E4893" t="n">
        <v>10</v>
      </c>
      <c r="F4893" t="n">
        <v>0.1092</v>
      </c>
      <c r="G4893" t="n">
        <v>0.91</v>
      </c>
      <c r="H4893" t="n">
        <v>1</v>
      </c>
      <c r="I4893" t="n">
        <v>7</v>
      </c>
      <c r="J4893" t="n">
        <v>3</v>
      </c>
      <c r="K4893" t="n">
        <v>0</v>
      </c>
      <c r="L4893" t="n">
        <v>20721</v>
      </c>
      <c r="M4893" t="n">
        <v>35000</v>
      </c>
      <c r="N4893" t="n">
        <v>91</v>
      </c>
      <c r="O4893" t="n">
        <v>0.91</v>
      </c>
      <c r="P4893" t="n">
        <v>1</v>
      </c>
      <c r="Q4893" t="n">
        <v>0.02</v>
      </c>
      <c r="R4893" t="n">
        <v>1</v>
      </c>
      <c r="S4893" t="n">
        <v>3822</v>
      </c>
      <c r="T4893" t="n">
        <v>7</v>
      </c>
      <c r="U4893" t="n">
        <v>8</v>
      </c>
      <c r="V4893" t="n">
        <v>30</v>
      </c>
      <c r="W4893" t="n">
        <v>4</v>
      </c>
      <c r="X4893" t="n">
        <v>91.57509157509158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11172</v>
      </c>
      <c r="AG4893" t="n">
        <v>54</v>
      </c>
      <c r="AH4893" t="inlineStr">
        <is>
          <t>PT. MIRANTI ADILLHA - PPN (PDG)</t>
        </is>
      </c>
      <c r="AI4893" t="n">
        <v>1375</v>
      </c>
      <c r="AJ4893" t="inlineStr">
        <is>
          <t>SANIYE</t>
        </is>
      </c>
      <c r="AK4893" t="n">
        <v>21</v>
      </c>
      <c r="AL4893" t="inlineStr">
        <is>
          <t>Miss Glam Damar</t>
        </is>
      </c>
      <c r="AM4893" t="n">
        <v>2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SANIYE</t>
        </is>
      </c>
      <c r="B4894" s="2">
        <f>"20200468125"</f>
        <v/>
      </c>
      <c r="C4894" t="inlineStr">
        <is>
          <t>SANIYE 2 Layer Eyebrow Powder Eyebrow Gel M250#06 7gr</t>
        </is>
      </c>
      <c r="D4894" t="inlineStr">
        <is>
          <t>Miss Glam Damar</t>
        </is>
      </c>
      <c r="E4894" t="n">
        <v>12</v>
      </c>
      <c r="F4894" t="n">
        <v>0.06370000000000001</v>
      </c>
      <c r="G4894" t="n">
        <v>1.82</v>
      </c>
      <c r="H4894" t="n">
        <v>1</v>
      </c>
      <c r="I4894" t="n">
        <v>7</v>
      </c>
      <c r="J4894" t="n">
        <v>1</v>
      </c>
      <c r="K4894" t="n">
        <v>0</v>
      </c>
      <c r="L4894" t="n">
        <v>26321</v>
      </c>
      <c r="M4894" t="n">
        <v>33000</v>
      </c>
      <c r="N4894" t="n">
        <v>91</v>
      </c>
      <c r="O4894" t="n">
        <v>0.91</v>
      </c>
      <c r="P4894" t="n">
        <v>1</v>
      </c>
      <c r="Q4894" t="n">
        <v>0.02</v>
      </c>
      <c r="R4894" t="n">
        <v>1</v>
      </c>
      <c r="S4894" t="n">
        <v>2102.1</v>
      </c>
      <c r="T4894" t="n">
        <v>13</v>
      </c>
      <c r="U4894" t="n">
        <v>14</v>
      </c>
      <c r="V4894" t="n">
        <v>30</v>
      </c>
      <c r="W4894" t="n">
        <v>2</v>
      </c>
      <c r="X4894" t="n">
        <v>188.3830455259026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11172</v>
      </c>
      <c r="AG4894" t="n">
        <v>54</v>
      </c>
      <c r="AH4894" t="inlineStr">
        <is>
          <t>PT. MIRANTI ADILLHA - PPN (PDG)</t>
        </is>
      </c>
      <c r="AI4894" t="n">
        <v>1375</v>
      </c>
      <c r="AJ4894" t="inlineStr">
        <is>
          <t>SANIYE</t>
        </is>
      </c>
      <c r="AK4894" t="n">
        <v>21</v>
      </c>
      <c r="AL4894" t="inlineStr">
        <is>
          <t>Miss Glam Damar</t>
        </is>
      </c>
      <c r="AM4894" t="n">
        <v>2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SANIYE</t>
        </is>
      </c>
      <c r="B4895" s="2">
        <f>"20100328843"</f>
        <v/>
      </c>
      <c r="C4895" t="inlineStr">
        <is>
          <t>SANIYE 5 Colors Multi Functions Concealer Palette R1179 #102 40gr</t>
        </is>
      </c>
      <c r="D4895" t="inlineStr">
        <is>
          <t>Miss Glam Damar</t>
        </is>
      </c>
      <c r="E4895" t="n">
        <v>28</v>
      </c>
      <c r="F4895" t="n">
        <v>2.2841</v>
      </c>
      <c r="G4895" t="n">
        <v>5.46</v>
      </c>
      <c r="H4895" t="n">
        <v>1</v>
      </c>
      <c r="I4895" t="n">
        <v>7</v>
      </c>
      <c r="J4895" t="n">
        <v>1</v>
      </c>
      <c r="K4895" t="n">
        <v>0</v>
      </c>
      <c r="L4895" t="n">
        <v>17520</v>
      </c>
      <c r="M4895" t="n">
        <v>21900</v>
      </c>
      <c r="N4895" t="n">
        <v>91</v>
      </c>
      <c r="O4895" t="n">
        <v>0.91</v>
      </c>
      <c r="P4895" t="n">
        <v>1</v>
      </c>
      <c r="Q4895" t="n">
        <v>1.24</v>
      </c>
      <c r="R4895" t="n">
        <v>5</v>
      </c>
      <c r="S4895" t="n">
        <v>50021.79</v>
      </c>
      <c r="T4895" t="n">
        <v>36</v>
      </c>
      <c r="U4895" t="n">
        <v>39</v>
      </c>
      <c r="V4895" t="n">
        <v>30</v>
      </c>
      <c r="W4895" t="n">
        <v>69</v>
      </c>
      <c r="X4895" t="n">
        <v>12.25865767698437</v>
      </c>
      <c r="Y4895" t="n">
        <v>1</v>
      </c>
      <c r="Z4895" t="n">
        <v>41</v>
      </c>
      <c r="AA4895" t="n">
        <v>0</v>
      </c>
      <c r="AB4895" t="n">
        <v>41</v>
      </c>
      <c r="AC4895" t="n">
        <v>41</v>
      </c>
      <c r="AD4895" t="n">
        <v>0</v>
      </c>
      <c r="AE4895" t="n">
        <v>718320</v>
      </c>
      <c r="AF4895" t="n">
        <v>11172</v>
      </c>
      <c r="AG4895" t="n">
        <v>54</v>
      </c>
      <c r="AH4895" t="inlineStr">
        <is>
          <t>PT. MIRANTI ADILLHA - PPN (PDG)</t>
        </is>
      </c>
      <c r="AI4895" t="n">
        <v>1375</v>
      </c>
      <c r="AJ4895" t="inlineStr">
        <is>
          <t>SANIYE</t>
        </is>
      </c>
      <c r="AK4895" t="n">
        <v>21</v>
      </c>
      <c r="AL4895" t="inlineStr">
        <is>
          <t>Miss Glam Damar</t>
        </is>
      </c>
      <c r="AM4895" t="n">
        <v>2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SANIYE</t>
        </is>
      </c>
      <c r="B4896" s="2">
        <f>"6956784108309"</f>
        <v/>
      </c>
      <c r="C4896" t="inlineStr">
        <is>
          <t>SANIYE All Day Matte Foundation R1157#101 Peach 30ml</t>
        </is>
      </c>
      <c r="D4896" t="inlineStr">
        <is>
          <t>Miss Glam Damar</t>
        </is>
      </c>
      <c r="E4896" t="n">
        <v>3</v>
      </c>
      <c r="F4896" t="n">
        <v>0.04550000000000001</v>
      </c>
      <c r="G4896" t="n">
        <v>0.91</v>
      </c>
      <c r="H4896" t="n">
        <v>1</v>
      </c>
      <c r="I4896" t="n">
        <v>7</v>
      </c>
      <c r="J4896" t="n">
        <v>3</v>
      </c>
      <c r="K4896" t="n">
        <v>0</v>
      </c>
      <c r="L4896" t="n">
        <v>19123</v>
      </c>
      <c r="M4896" t="n">
        <v>28000</v>
      </c>
      <c r="N4896" t="n">
        <v>91</v>
      </c>
      <c r="O4896" t="n">
        <v>0.91</v>
      </c>
      <c r="P4896" t="n">
        <v>1</v>
      </c>
      <c r="Q4896" t="n">
        <v>0.02</v>
      </c>
      <c r="R4896" t="n">
        <v>1</v>
      </c>
      <c r="S4896" t="n">
        <v>1274</v>
      </c>
      <c r="T4896" t="n">
        <v>7</v>
      </c>
      <c r="U4896" t="n">
        <v>8</v>
      </c>
      <c r="V4896" t="n">
        <v>30</v>
      </c>
      <c r="W4896" t="n">
        <v>2</v>
      </c>
      <c r="X4896" t="n">
        <v>65.93406593406593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11172</v>
      </c>
      <c r="AG4896" t="n">
        <v>54</v>
      </c>
      <c r="AH4896" t="inlineStr">
        <is>
          <t>PT. MIRANTI ADILLHA - PPN (PDG)</t>
        </is>
      </c>
      <c r="AI4896" t="n">
        <v>1375</v>
      </c>
      <c r="AJ4896" t="inlineStr">
        <is>
          <t>SANIYE</t>
        </is>
      </c>
      <c r="AK4896" t="n">
        <v>21</v>
      </c>
      <c r="AL4896" t="inlineStr">
        <is>
          <t>Miss Glam Damar</t>
        </is>
      </c>
      <c r="AM4896" t="n">
        <v>2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SANIYE</t>
        </is>
      </c>
      <c r="B4897" s="2">
        <f>"6956784142846"</f>
        <v/>
      </c>
      <c r="C4897" t="inlineStr">
        <is>
          <t>SANIYE All Day Matte Foundation R1157#102 Beige 30ml</t>
        </is>
      </c>
      <c r="D4897" t="inlineStr">
        <is>
          <t>Miss Glam Damar</t>
        </is>
      </c>
      <c r="E4897" t="n">
        <v>7</v>
      </c>
      <c r="F4897" t="n">
        <v>0.0728</v>
      </c>
      <c r="G4897" t="n">
        <v>0.91</v>
      </c>
      <c r="H4897" t="n">
        <v>1</v>
      </c>
      <c r="I4897" t="n">
        <v>7</v>
      </c>
      <c r="J4897" t="n">
        <v>3</v>
      </c>
      <c r="K4897" t="n">
        <v>0</v>
      </c>
      <c r="L4897" t="n">
        <v>19123</v>
      </c>
      <c r="M4897" t="n">
        <v>24900</v>
      </c>
      <c r="N4897" t="n">
        <v>91</v>
      </c>
      <c r="O4897" t="n">
        <v>0.91</v>
      </c>
      <c r="P4897" t="n">
        <v>1</v>
      </c>
      <c r="Q4897" t="n">
        <v>0.12</v>
      </c>
      <c r="R4897" t="n">
        <v>3</v>
      </c>
      <c r="S4897" t="n">
        <v>1812.72</v>
      </c>
      <c r="T4897" t="n">
        <v>7</v>
      </c>
      <c r="U4897" t="n">
        <v>8</v>
      </c>
      <c r="V4897" t="n">
        <v>30</v>
      </c>
      <c r="W4897" t="n">
        <v>3</v>
      </c>
      <c r="X4897" t="n">
        <v>96.15384615384615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11172</v>
      </c>
      <c r="AG4897" t="n">
        <v>54</v>
      </c>
      <c r="AH4897" t="inlineStr">
        <is>
          <t>PT. MIRANTI ADILLHA - PPN (PDG)</t>
        </is>
      </c>
      <c r="AI4897" t="n">
        <v>1375</v>
      </c>
      <c r="AJ4897" t="inlineStr">
        <is>
          <t>SANIYE</t>
        </is>
      </c>
      <c r="AK4897" t="n">
        <v>21</v>
      </c>
      <c r="AL4897" t="inlineStr">
        <is>
          <t>Miss Glam Damar</t>
        </is>
      </c>
      <c r="AM4897" t="n">
        <v>2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SANIYE</t>
        </is>
      </c>
      <c r="B4898" s="2">
        <f>"20101114036"</f>
        <v/>
      </c>
      <c r="C4898" t="inlineStr">
        <is>
          <t>SANIYE Beauty Glow Highlighter E0155#02 10gr</t>
        </is>
      </c>
      <c r="D4898" t="inlineStr">
        <is>
          <t>Miss Glam Damar</t>
        </is>
      </c>
      <c r="E4898" t="n">
        <v>17</v>
      </c>
      <c r="F4898" t="n">
        <v>0.7280000000000001</v>
      </c>
      <c r="G4898" t="n">
        <v>3.64</v>
      </c>
      <c r="H4898" t="n">
        <v>1</v>
      </c>
      <c r="I4898" t="n">
        <v>7</v>
      </c>
      <c r="J4898" t="n">
        <v>1</v>
      </c>
      <c r="K4898" t="n">
        <v>0</v>
      </c>
      <c r="L4898" t="n">
        <v>19922</v>
      </c>
      <c r="M4898" t="n">
        <v>25000</v>
      </c>
      <c r="N4898" t="n">
        <v>91</v>
      </c>
      <c r="O4898" t="n">
        <v>0.91</v>
      </c>
      <c r="P4898" t="n">
        <v>1</v>
      </c>
      <c r="Q4898" t="n">
        <v>0.63</v>
      </c>
      <c r="R4898" t="n">
        <v>3</v>
      </c>
      <c r="S4898" t="n">
        <v>18200</v>
      </c>
      <c r="T4898" t="n">
        <v>25</v>
      </c>
      <c r="U4898" t="n">
        <v>26</v>
      </c>
      <c r="V4898" t="n">
        <v>30</v>
      </c>
      <c r="W4898" t="n">
        <v>22</v>
      </c>
      <c r="X4898" t="n">
        <v>23.35164835164835</v>
      </c>
      <c r="Y4898" t="n">
        <v>1</v>
      </c>
      <c r="Z4898" t="n">
        <v>5</v>
      </c>
      <c r="AA4898" t="n">
        <v>0</v>
      </c>
      <c r="AB4898" t="n">
        <v>5</v>
      </c>
      <c r="AC4898" t="n">
        <v>5</v>
      </c>
      <c r="AD4898" t="n">
        <v>0</v>
      </c>
      <c r="AE4898" t="n">
        <v>99610</v>
      </c>
      <c r="AF4898" t="n">
        <v>11172</v>
      </c>
      <c r="AG4898" t="n">
        <v>54</v>
      </c>
      <c r="AH4898" t="inlineStr">
        <is>
          <t>PT. MIRANTI ADILLHA - PPN (PDG)</t>
        </is>
      </c>
      <c r="AI4898" t="n">
        <v>1375</v>
      </c>
      <c r="AJ4898" t="inlineStr">
        <is>
          <t>SANIYE</t>
        </is>
      </c>
      <c r="AK4898" t="n">
        <v>21</v>
      </c>
      <c r="AL4898" t="inlineStr">
        <is>
          <t>Miss Glam Damar</t>
        </is>
      </c>
      <c r="AM4898" t="n">
        <v>2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SANIYE</t>
        </is>
      </c>
      <c r="B4899" s="2">
        <f>"20101114218"</f>
        <v/>
      </c>
      <c r="C4899" t="inlineStr">
        <is>
          <t>SANIYE Beauty Glow Highlighter E0155#04 10gr</t>
        </is>
      </c>
      <c r="D4899" t="inlineStr">
        <is>
          <t>Miss Glam Damar</t>
        </is>
      </c>
      <c r="E4899" t="n">
        <v>13</v>
      </c>
      <c r="F4899" t="n">
        <v>0.4459</v>
      </c>
      <c r="G4899" t="n">
        <v>1.82</v>
      </c>
      <c r="H4899" t="n">
        <v>1</v>
      </c>
      <c r="I4899" t="n">
        <v>7</v>
      </c>
      <c r="J4899" t="n">
        <v>1</v>
      </c>
      <c r="K4899" t="n">
        <v>0</v>
      </c>
      <c r="L4899" t="n">
        <v>19922</v>
      </c>
      <c r="M4899" t="n">
        <v>25000</v>
      </c>
      <c r="N4899" t="n">
        <v>91</v>
      </c>
      <c r="O4899" t="n">
        <v>0.91</v>
      </c>
      <c r="P4899" t="n">
        <v>1</v>
      </c>
      <c r="Q4899" t="n">
        <v>0.17</v>
      </c>
      <c r="R4899" t="n">
        <v>1</v>
      </c>
      <c r="S4899" t="n">
        <v>11147.5</v>
      </c>
      <c r="T4899" t="n">
        <v>13</v>
      </c>
      <c r="U4899" t="n">
        <v>14</v>
      </c>
      <c r="V4899" t="n">
        <v>30</v>
      </c>
      <c r="W4899" t="n">
        <v>14</v>
      </c>
      <c r="X4899" t="n">
        <v>29.15451895043732</v>
      </c>
      <c r="Y4899" t="n">
        <v>1</v>
      </c>
      <c r="Z4899" t="n">
        <v>1</v>
      </c>
      <c r="AA4899" t="n">
        <v>0</v>
      </c>
      <c r="AB4899" t="n">
        <v>1</v>
      </c>
      <c r="AC4899" t="n">
        <v>1</v>
      </c>
      <c r="AD4899" t="n">
        <v>0</v>
      </c>
      <c r="AE4899" t="n">
        <v>19922</v>
      </c>
      <c r="AF4899" t="n">
        <v>11172</v>
      </c>
      <c r="AG4899" t="n">
        <v>54</v>
      </c>
      <c r="AH4899" t="inlineStr">
        <is>
          <t>PT. MIRANTI ADILLHA - PPN (PDG)</t>
        </is>
      </c>
      <c r="AI4899" t="n">
        <v>1375</v>
      </c>
      <c r="AJ4899" t="inlineStr">
        <is>
          <t>SANIYE</t>
        </is>
      </c>
      <c r="AK4899" t="n">
        <v>21</v>
      </c>
      <c r="AL4899" t="inlineStr">
        <is>
          <t>Miss Glam Damar</t>
        </is>
      </c>
      <c r="AM4899" t="n">
        <v>2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SANIYE</t>
        </is>
      </c>
      <c r="B4900" s="2">
        <f>"6956784142358"</f>
        <v/>
      </c>
      <c r="C4900" t="inlineStr">
        <is>
          <t>SANIYE Beauty Glow Highligter E0155</t>
        </is>
      </c>
      <c r="D4900" t="inlineStr">
        <is>
          <t>Miss Glam Damar</t>
        </is>
      </c>
      <c r="E4900" t="n">
        <v>26</v>
      </c>
      <c r="F4900" t="n">
        <v>0.5096000000000001</v>
      </c>
      <c r="G4900" t="n">
        <v>2.73</v>
      </c>
      <c r="H4900" t="n">
        <v>1</v>
      </c>
      <c r="I4900" t="n">
        <v>7</v>
      </c>
      <c r="J4900" t="n">
        <v>3</v>
      </c>
      <c r="K4900" t="n">
        <v>0</v>
      </c>
      <c r="L4900" t="n">
        <v>19923</v>
      </c>
      <c r="M4900" t="n">
        <v>25000</v>
      </c>
      <c r="N4900" t="n">
        <v>91</v>
      </c>
      <c r="O4900" t="n">
        <v>0.91</v>
      </c>
      <c r="P4900" t="n">
        <v>1</v>
      </c>
      <c r="Q4900" t="n">
        <v>0.37</v>
      </c>
      <c r="R4900" t="n">
        <v>4</v>
      </c>
      <c r="S4900" t="n">
        <v>12740</v>
      </c>
      <c r="T4900" t="n">
        <v>19</v>
      </c>
      <c r="U4900" t="n">
        <v>20</v>
      </c>
      <c r="V4900" t="n">
        <v>30</v>
      </c>
      <c r="W4900" t="n">
        <v>16</v>
      </c>
      <c r="X4900" t="n">
        <v>51.0204081632653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11172</v>
      </c>
      <c r="AG4900" t="n">
        <v>54</v>
      </c>
      <c r="AH4900" t="inlineStr">
        <is>
          <t>PT. MIRANTI ADILLHA - PPN (PDG)</t>
        </is>
      </c>
      <c r="AI4900" t="n">
        <v>1375</v>
      </c>
      <c r="AJ4900" t="inlineStr">
        <is>
          <t>SANIYE</t>
        </is>
      </c>
      <c r="AK4900" t="n">
        <v>21</v>
      </c>
      <c r="AL4900" t="inlineStr">
        <is>
          <t>Miss Glam Damar</t>
        </is>
      </c>
      <c r="AM4900" t="n">
        <v>2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SANIYE</t>
        </is>
      </c>
      <c r="B4901" s="2">
        <f>"20100968346"</f>
        <v/>
      </c>
      <c r="C4901" t="inlineStr">
        <is>
          <t>SANIYE Blush On Creamy 02 SN R1295</t>
        </is>
      </c>
      <c r="D4901" t="inlineStr">
        <is>
          <t>Miss Glam Damar</t>
        </is>
      </c>
      <c r="E4901" t="n">
        <v>4</v>
      </c>
      <c r="F4901" t="n">
        <v>0.03</v>
      </c>
      <c r="G4901" t="n">
        <v>1</v>
      </c>
      <c r="H4901" t="n">
        <v>1</v>
      </c>
      <c r="I4901" t="n">
        <v>7</v>
      </c>
      <c r="J4901" t="n">
        <v>1</v>
      </c>
      <c r="K4901" t="n">
        <v>0</v>
      </c>
      <c r="L4901" t="n">
        <v>22320</v>
      </c>
      <c r="M4901" t="n">
        <v>28000</v>
      </c>
      <c r="N4901" t="n">
        <v>91</v>
      </c>
      <c r="O4901" t="n">
        <v>0.91</v>
      </c>
      <c r="P4901" t="n">
        <v>0</v>
      </c>
      <c r="Q4901" t="n">
        <v>0.03</v>
      </c>
      <c r="R4901" t="n">
        <v>1</v>
      </c>
      <c r="S4901" t="n">
        <v>840</v>
      </c>
      <c r="T4901" t="n">
        <v>7</v>
      </c>
      <c r="U4901" t="n">
        <v>8</v>
      </c>
      <c r="V4901" t="n">
        <v>30</v>
      </c>
      <c r="W4901" t="n">
        <v>1</v>
      </c>
      <c r="X4901" t="n">
        <v>133.3333333333333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11172</v>
      </c>
      <c r="AG4901" t="n">
        <v>54</v>
      </c>
      <c r="AH4901" t="inlineStr">
        <is>
          <t>PT. MIRANTI ADILLHA - PPN (PDG)</t>
        </is>
      </c>
      <c r="AI4901" t="n">
        <v>1375</v>
      </c>
      <c r="AJ4901" t="inlineStr">
        <is>
          <t>SANIYE</t>
        </is>
      </c>
      <c r="AK4901" t="n">
        <v>21</v>
      </c>
      <c r="AL4901" t="inlineStr">
        <is>
          <t>Miss Glam Damar</t>
        </is>
      </c>
      <c r="AM4901" t="n">
        <v>2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SANIYE</t>
        </is>
      </c>
      <c r="B4902" s="2">
        <f>"20100968416"</f>
        <v/>
      </c>
      <c r="C4902" t="inlineStr">
        <is>
          <t>SANIYE Blush On Creamy 04 SN R1295</t>
        </is>
      </c>
      <c r="D4902" t="inlineStr">
        <is>
          <t>Miss Glam Damar</t>
        </is>
      </c>
      <c r="E4902" t="n">
        <v>3</v>
      </c>
      <c r="F4902" t="n">
        <v>0.0182</v>
      </c>
      <c r="G4902" t="n">
        <v>0.91</v>
      </c>
      <c r="H4902" t="n">
        <v>1</v>
      </c>
      <c r="I4902" t="n">
        <v>7</v>
      </c>
      <c r="J4902" t="n">
        <v>1</v>
      </c>
      <c r="K4902" t="n">
        <v>0</v>
      </c>
      <c r="L4902" t="n">
        <v>22320</v>
      </c>
      <c r="M4902" t="n">
        <v>28000</v>
      </c>
      <c r="N4902" t="n">
        <v>91</v>
      </c>
      <c r="O4902" t="n">
        <v>0.91</v>
      </c>
      <c r="P4902" t="n">
        <v>1</v>
      </c>
      <c r="Q4902" t="n">
        <v>0.03</v>
      </c>
      <c r="R4902" t="n">
        <v>1</v>
      </c>
      <c r="S4902" t="n">
        <v>509.6</v>
      </c>
      <c r="T4902" t="n">
        <v>7</v>
      </c>
      <c r="U4902" t="n">
        <v>8</v>
      </c>
      <c r="V4902" t="n">
        <v>30</v>
      </c>
      <c r="W4902" t="n">
        <v>1</v>
      </c>
      <c r="X4902" t="n">
        <v>164.8351648351648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11172</v>
      </c>
      <c r="AG4902" t="n">
        <v>54</v>
      </c>
      <c r="AH4902" t="inlineStr">
        <is>
          <t>PT. MIRANTI ADILLHA - PPN (PDG)</t>
        </is>
      </c>
      <c r="AI4902" t="n">
        <v>1375</v>
      </c>
      <c r="AJ4902" t="inlineStr">
        <is>
          <t>SANIYE</t>
        </is>
      </c>
      <c r="AK4902" t="n">
        <v>21</v>
      </c>
      <c r="AL4902" t="inlineStr">
        <is>
          <t>Miss Glam Damar</t>
        </is>
      </c>
      <c r="AM4902" t="n">
        <v>2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SANIYE</t>
        </is>
      </c>
      <c r="B4903" s="2">
        <f>"20100964917"</f>
        <v/>
      </c>
      <c r="C4903" t="inlineStr">
        <is>
          <t>SANIYE Blush On R1299#1 8ml</t>
        </is>
      </c>
      <c r="D4903" t="inlineStr">
        <is>
          <t>Miss Glam Damar</t>
        </is>
      </c>
      <c r="E4903" t="n">
        <v>13</v>
      </c>
      <c r="F4903" t="n">
        <v>0.7098000000000001</v>
      </c>
      <c r="G4903" t="n">
        <v>2.73</v>
      </c>
      <c r="H4903" t="n">
        <v>1</v>
      </c>
      <c r="I4903" t="n">
        <v>7</v>
      </c>
      <c r="J4903" t="n">
        <v>1</v>
      </c>
      <c r="K4903" t="n">
        <v>0</v>
      </c>
      <c r="L4903" t="n">
        <v>19121</v>
      </c>
      <c r="M4903" t="n">
        <v>24000</v>
      </c>
      <c r="N4903" t="n">
        <v>91</v>
      </c>
      <c r="O4903" t="n">
        <v>0.91</v>
      </c>
      <c r="P4903" t="n">
        <v>1</v>
      </c>
      <c r="Q4903" t="n">
        <v>0.15</v>
      </c>
      <c r="R4903" t="n">
        <v>3</v>
      </c>
      <c r="S4903" t="n">
        <v>17035.2</v>
      </c>
      <c r="T4903" t="n">
        <v>19</v>
      </c>
      <c r="U4903" t="n">
        <v>20</v>
      </c>
      <c r="V4903" t="n">
        <v>30</v>
      </c>
      <c r="W4903" t="n">
        <v>22</v>
      </c>
      <c r="X4903" t="n">
        <v>18.31501831501831</v>
      </c>
      <c r="Y4903" t="n">
        <v>1</v>
      </c>
      <c r="Z4903" t="n">
        <v>9</v>
      </c>
      <c r="AA4903" t="n">
        <v>0</v>
      </c>
      <c r="AB4903" t="n">
        <v>9</v>
      </c>
      <c r="AC4903" t="n">
        <v>9</v>
      </c>
      <c r="AD4903" t="n">
        <v>0</v>
      </c>
      <c r="AE4903" t="n">
        <v>172089</v>
      </c>
      <c r="AF4903" t="n">
        <v>11172</v>
      </c>
      <c r="AG4903" t="n">
        <v>54</v>
      </c>
      <c r="AH4903" t="inlineStr">
        <is>
          <t>PT. MIRANTI ADILLHA - PPN (PDG)</t>
        </is>
      </c>
      <c r="AI4903" t="n">
        <v>1375</v>
      </c>
      <c r="AJ4903" t="inlineStr">
        <is>
          <t>SANIYE</t>
        </is>
      </c>
      <c r="AK4903" t="n">
        <v>21</v>
      </c>
      <c r="AL4903" t="inlineStr">
        <is>
          <t>Miss Glam Damar</t>
        </is>
      </c>
      <c r="AM4903" t="n">
        <v>2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SANIYE</t>
        </is>
      </c>
      <c r="B4904" s="2">
        <f>"20100965006"</f>
        <v/>
      </c>
      <c r="C4904" t="inlineStr">
        <is>
          <t>SANIYE Blush On R1299#2 8ml</t>
        </is>
      </c>
      <c r="D4904" t="inlineStr">
        <is>
          <t>Miss Glam Damar</t>
        </is>
      </c>
      <c r="E4904" t="n">
        <v>6</v>
      </c>
      <c r="F4904" t="n">
        <v>0.6825</v>
      </c>
      <c r="G4904" t="n">
        <v>3.64</v>
      </c>
      <c r="H4904" t="n">
        <v>1</v>
      </c>
      <c r="I4904" t="n">
        <v>7</v>
      </c>
      <c r="J4904" t="n">
        <v>1</v>
      </c>
      <c r="K4904" t="n">
        <v>0</v>
      </c>
      <c r="L4904" t="n">
        <v>19120</v>
      </c>
      <c r="M4904" t="n">
        <v>24000</v>
      </c>
      <c r="N4904" t="n">
        <v>91</v>
      </c>
      <c r="O4904" t="n">
        <v>0.91</v>
      </c>
      <c r="P4904" t="n">
        <v>1</v>
      </c>
      <c r="Q4904" t="n">
        <v>0.1</v>
      </c>
      <c r="R4904" t="n">
        <v>1</v>
      </c>
      <c r="S4904" t="n">
        <v>16380</v>
      </c>
      <c r="T4904" t="n">
        <v>25</v>
      </c>
      <c r="U4904" t="n">
        <v>26</v>
      </c>
      <c r="V4904" t="n">
        <v>30</v>
      </c>
      <c r="W4904" t="n">
        <v>21</v>
      </c>
      <c r="X4904" t="n">
        <v>8.791208791208792</v>
      </c>
      <c r="Y4904" t="n">
        <v>1</v>
      </c>
      <c r="Z4904" t="n">
        <v>15</v>
      </c>
      <c r="AA4904" t="n">
        <v>0</v>
      </c>
      <c r="AB4904" t="n">
        <v>15</v>
      </c>
      <c r="AC4904" t="n">
        <v>15</v>
      </c>
      <c r="AD4904" t="n">
        <v>0</v>
      </c>
      <c r="AE4904" t="n">
        <v>286800</v>
      </c>
      <c r="AF4904" t="n">
        <v>11172</v>
      </c>
      <c r="AG4904" t="n">
        <v>54</v>
      </c>
      <c r="AH4904" t="inlineStr">
        <is>
          <t>PT. MIRANTI ADILLHA - PPN (PDG)</t>
        </is>
      </c>
      <c r="AI4904" t="n">
        <v>1375</v>
      </c>
      <c r="AJ4904" t="inlineStr">
        <is>
          <t>SANIYE</t>
        </is>
      </c>
      <c r="AK4904" t="n">
        <v>21</v>
      </c>
      <c r="AL4904" t="inlineStr">
        <is>
          <t>Miss Glam Damar</t>
        </is>
      </c>
      <c r="AM4904" t="n">
        <v>2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SANIYE</t>
        </is>
      </c>
      <c r="B4905" s="2">
        <f>"20100965149"</f>
        <v/>
      </c>
      <c r="C4905" t="inlineStr">
        <is>
          <t>SANIYE Blush On R1299#3 8ml</t>
        </is>
      </c>
      <c r="D4905" t="inlineStr">
        <is>
          <t>Miss Glam Damar</t>
        </is>
      </c>
      <c r="E4905" t="n">
        <v>8</v>
      </c>
      <c r="F4905" t="n">
        <v>0.3367</v>
      </c>
      <c r="G4905" t="n">
        <v>1.82</v>
      </c>
      <c r="H4905" t="n">
        <v>1</v>
      </c>
      <c r="I4905" t="n">
        <v>7</v>
      </c>
      <c r="J4905" t="n">
        <v>1</v>
      </c>
      <c r="K4905" t="n">
        <v>0</v>
      </c>
      <c r="L4905" t="n">
        <v>19120</v>
      </c>
      <c r="M4905" t="n">
        <v>23900</v>
      </c>
      <c r="N4905" t="n">
        <v>91</v>
      </c>
      <c r="O4905" t="n">
        <v>0.91</v>
      </c>
      <c r="P4905" t="n">
        <v>1</v>
      </c>
      <c r="Q4905" t="n">
        <v>0.34</v>
      </c>
      <c r="R4905" t="n">
        <v>2</v>
      </c>
      <c r="S4905" t="n">
        <v>8047.13</v>
      </c>
      <c r="T4905" t="n">
        <v>13</v>
      </c>
      <c r="U4905" t="n">
        <v>14</v>
      </c>
      <c r="V4905" t="n">
        <v>30</v>
      </c>
      <c r="W4905" t="n">
        <v>11</v>
      </c>
      <c r="X4905" t="n">
        <v>23.76002376002376</v>
      </c>
      <c r="Y4905" t="n">
        <v>1</v>
      </c>
      <c r="Z4905" t="n">
        <v>3</v>
      </c>
      <c r="AA4905" t="n">
        <v>0</v>
      </c>
      <c r="AB4905" t="n">
        <v>3</v>
      </c>
      <c r="AC4905" t="n">
        <v>3</v>
      </c>
      <c r="AD4905" t="n">
        <v>0</v>
      </c>
      <c r="AE4905" t="n">
        <v>57360</v>
      </c>
      <c r="AF4905" t="n">
        <v>11172</v>
      </c>
      <c r="AG4905" t="n">
        <v>54</v>
      </c>
      <c r="AH4905" t="inlineStr">
        <is>
          <t>PT. MIRANTI ADILLHA - PPN (PDG)</t>
        </is>
      </c>
      <c r="AI4905" t="n">
        <v>1375</v>
      </c>
      <c r="AJ4905" t="inlineStr">
        <is>
          <t>SANIYE</t>
        </is>
      </c>
      <c r="AK4905" t="n">
        <v>21</v>
      </c>
      <c r="AL4905" t="inlineStr">
        <is>
          <t>Miss Glam Damar</t>
        </is>
      </c>
      <c r="AM4905" t="n">
        <v>2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SANIYE</t>
        </is>
      </c>
      <c r="B4906" s="2">
        <f>"20100965253"</f>
        <v/>
      </c>
      <c r="C4906" t="inlineStr">
        <is>
          <t>SANIYE Blush On R1299#4 8ml</t>
        </is>
      </c>
      <c r="D4906" t="inlineStr">
        <is>
          <t>Miss Glam Damar</t>
        </is>
      </c>
      <c r="E4906" t="n">
        <v>6</v>
      </c>
      <c r="F4906" t="n">
        <v>0.3094</v>
      </c>
      <c r="G4906" t="n">
        <v>1.82</v>
      </c>
      <c r="H4906" t="n">
        <v>1</v>
      </c>
      <c r="I4906" t="n">
        <v>7</v>
      </c>
      <c r="J4906" t="n">
        <v>1</v>
      </c>
      <c r="K4906" t="n">
        <v>0</v>
      </c>
      <c r="L4906" t="n">
        <v>19120</v>
      </c>
      <c r="M4906" t="n">
        <v>24000</v>
      </c>
      <c r="N4906" t="n">
        <v>91</v>
      </c>
      <c r="O4906" t="n">
        <v>0.91</v>
      </c>
      <c r="P4906" t="n">
        <v>1</v>
      </c>
      <c r="Q4906" t="n">
        <v>0.07000000000000001</v>
      </c>
      <c r="R4906" t="n">
        <v>2</v>
      </c>
      <c r="S4906" t="n">
        <v>7425.6</v>
      </c>
      <c r="T4906" t="n">
        <v>13</v>
      </c>
      <c r="U4906" t="n">
        <v>14</v>
      </c>
      <c r="V4906" t="n">
        <v>30</v>
      </c>
      <c r="W4906" t="n">
        <v>10</v>
      </c>
      <c r="X4906" t="n">
        <v>19.3923723335488</v>
      </c>
      <c r="Y4906" t="n">
        <v>1</v>
      </c>
      <c r="Z4906" t="n">
        <v>4</v>
      </c>
      <c r="AA4906" t="n">
        <v>0</v>
      </c>
      <c r="AB4906" t="n">
        <v>4</v>
      </c>
      <c r="AC4906" t="n">
        <v>4</v>
      </c>
      <c r="AD4906" t="n">
        <v>0</v>
      </c>
      <c r="AE4906" t="n">
        <v>76480</v>
      </c>
      <c r="AF4906" t="n">
        <v>11172</v>
      </c>
      <c r="AG4906" t="n">
        <v>54</v>
      </c>
      <c r="AH4906" t="inlineStr">
        <is>
          <t>PT. MIRANTI ADILLHA - PPN (PDG)</t>
        </is>
      </c>
      <c r="AI4906" t="n">
        <v>1375</v>
      </c>
      <c r="AJ4906" t="inlineStr">
        <is>
          <t>SANIYE</t>
        </is>
      </c>
      <c r="AK4906" t="n">
        <v>21</v>
      </c>
      <c r="AL4906" t="inlineStr">
        <is>
          <t>Miss Glam Damar</t>
        </is>
      </c>
      <c r="AM4906" t="n">
        <v>2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SANIYE</t>
        </is>
      </c>
      <c r="B4907" s="2">
        <f>"20100965336"</f>
        <v/>
      </c>
      <c r="C4907" t="inlineStr">
        <is>
          <t>SANIYE Blush On R1299#5 8ml</t>
        </is>
      </c>
      <c r="D4907" t="inlineStr">
        <is>
          <t>Miss Glam Damar</t>
        </is>
      </c>
      <c r="E4907" t="n">
        <v>14</v>
      </c>
      <c r="F4907" t="n">
        <v>0.5096000000000001</v>
      </c>
      <c r="G4907" t="n">
        <v>2.73</v>
      </c>
      <c r="H4907" t="n">
        <v>1</v>
      </c>
      <c r="I4907" t="n">
        <v>7</v>
      </c>
      <c r="J4907" t="n">
        <v>1</v>
      </c>
      <c r="K4907" t="n">
        <v>0</v>
      </c>
      <c r="L4907" t="n">
        <v>19121</v>
      </c>
      <c r="M4907" t="n">
        <v>24000</v>
      </c>
      <c r="N4907" t="n">
        <v>91</v>
      </c>
      <c r="O4907" t="n">
        <v>0.91</v>
      </c>
      <c r="P4907" t="n">
        <v>1</v>
      </c>
      <c r="Q4907" t="n">
        <v>0.27</v>
      </c>
      <c r="R4907" t="n">
        <v>3</v>
      </c>
      <c r="S4907" t="n">
        <v>12230.4</v>
      </c>
      <c r="T4907" t="n">
        <v>19</v>
      </c>
      <c r="U4907" t="n">
        <v>20</v>
      </c>
      <c r="V4907" t="n">
        <v>30</v>
      </c>
      <c r="W4907" t="n">
        <v>16</v>
      </c>
      <c r="X4907" t="n">
        <v>27.47252747252747</v>
      </c>
      <c r="Y4907" t="n">
        <v>1</v>
      </c>
      <c r="Z4907" t="n">
        <v>2</v>
      </c>
      <c r="AA4907" t="n">
        <v>0</v>
      </c>
      <c r="AB4907" t="n">
        <v>2</v>
      </c>
      <c r="AC4907" t="n">
        <v>2</v>
      </c>
      <c r="AD4907" t="n">
        <v>0</v>
      </c>
      <c r="AE4907" t="n">
        <v>38242</v>
      </c>
      <c r="AF4907" t="n">
        <v>11172</v>
      </c>
      <c r="AG4907" t="n">
        <v>54</v>
      </c>
      <c r="AH4907" t="inlineStr">
        <is>
          <t>PT. MIRANTI ADILLHA - PPN (PDG)</t>
        </is>
      </c>
      <c r="AI4907" t="n">
        <v>1375</v>
      </c>
      <c r="AJ4907" t="inlineStr">
        <is>
          <t>SANIYE</t>
        </is>
      </c>
      <c r="AK4907" t="n">
        <v>21</v>
      </c>
      <c r="AL4907" t="inlineStr">
        <is>
          <t>Miss Glam Damar</t>
        </is>
      </c>
      <c r="AM4907" t="n">
        <v>2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SANIYE</t>
        </is>
      </c>
      <c r="B4908" s="2">
        <f>"20100965402"</f>
        <v/>
      </c>
      <c r="C4908" t="inlineStr">
        <is>
          <t>SANIYE Blush On R1299#6 8ml</t>
        </is>
      </c>
      <c r="D4908" t="inlineStr">
        <is>
          <t>Miss Glam Damar</t>
        </is>
      </c>
      <c r="E4908" t="n">
        <v>9</v>
      </c>
      <c r="F4908" t="n">
        <v>0.8644999999999999</v>
      </c>
      <c r="G4908" t="n">
        <v>4.55</v>
      </c>
      <c r="H4908" t="n">
        <v>1</v>
      </c>
      <c r="I4908" t="n">
        <v>7</v>
      </c>
      <c r="J4908" t="n">
        <v>1</v>
      </c>
      <c r="K4908" t="n">
        <v>0</v>
      </c>
      <c r="L4908" t="n">
        <v>19120</v>
      </c>
      <c r="M4908" t="n">
        <v>23900</v>
      </c>
      <c r="N4908" t="n">
        <v>91</v>
      </c>
      <c r="O4908" t="n">
        <v>0.91</v>
      </c>
      <c r="P4908" t="n">
        <v>1</v>
      </c>
      <c r="Q4908" t="n">
        <v>0.27</v>
      </c>
      <c r="R4908" t="n">
        <v>2</v>
      </c>
      <c r="S4908" t="n">
        <v>20661.55</v>
      </c>
      <c r="T4908" t="n">
        <v>31</v>
      </c>
      <c r="U4908" t="n">
        <v>32</v>
      </c>
      <c r="V4908" t="n">
        <v>30</v>
      </c>
      <c r="W4908" t="n">
        <v>26</v>
      </c>
      <c r="X4908" t="n">
        <v>10.41064198958936</v>
      </c>
      <c r="Y4908" t="n">
        <v>1</v>
      </c>
      <c r="Z4908" t="n">
        <v>17</v>
      </c>
      <c r="AA4908" t="n">
        <v>0</v>
      </c>
      <c r="AB4908" t="n">
        <v>17</v>
      </c>
      <c r="AC4908" t="n">
        <v>17</v>
      </c>
      <c r="AD4908" t="n">
        <v>0</v>
      </c>
      <c r="AE4908" t="n">
        <v>325040</v>
      </c>
      <c r="AF4908" t="n">
        <v>11172</v>
      </c>
      <c r="AG4908" t="n">
        <v>54</v>
      </c>
      <c r="AH4908" t="inlineStr">
        <is>
          <t>PT. MIRANTI ADILLHA - PPN (PDG)</t>
        </is>
      </c>
      <c r="AI4908" t="n">
        <v>1375</v>
      </c>
      <c r="AJ4908" t="inlineStr">
        <is>
          <t>SANIYE</t>
        </is>
      </c>
      <c r="AK4908" t="n">
        <v>21</v>
      </c>
      <c r="AL4908" t="inlineStr">
        <is>
          <t>Miss Glam Damar</t>
        </is>
      </c>
      <c r="AM4908" t="n">
        <v>2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SANIYE</t>
        </is>
      </c>
      <c r="B4909" s="2">
        <f>"20100968136"</f>
        <v/>
      </c>
      <c r="C4909" t="inlineStr">
        <is>
          <t>SANIYE Cream Blush R1295 #03 2.3gr</t>
        </is>
      </c>
      <c r="D4909" t="inlineStr">
        <is>
          <t>Miss Glam Damar</t>
        </is>
      </c>
      <c r="E4909" t="n">
        <v>6</v>
      </c>
      <c r="F4909" t="n">
        <v>0.05</v>
      </c>
      <c r="G4909" t="n">
        <v>1</v>
      </c>
      <c r="H4909" t="n">
        <v>1</v>
      </c>
      <c r="I4909" t="n">
        <v>7</v>
      </c>
      <c r="J4909" t="n">
        <v>1</v>
      </c>
      <c r="K4909" t="n">
        <v>0</v>
      </c>
      <c r="L4909" t="n">
        <v>22320</v>
      </c>
      <c r="M4909" t="n">
        <v>28000</v>
      </c>
      <c r="N4909" t="n">
        <v>91</v>
      </c>
      <c r="O4909" t="n">
        <v>0.91</v>
      </c>
      <c r="P4909" t="n">
        <v>0</v>
      </c>
      <c r="Q4909" t="n">
        <v>0.05</v>
      </c>
      <c r="R4909" t="n">
        <v>1</v>
      </c>
      <c r="S4909" t="n">
        <v>1400</v>
      </c>
      <c r="T4909" t="n">
        <v>7</v>
      </c>
      <c r="U4909" t="n">
        <v>8</v>
      </c>
      <c r="V4909" t="n">
        <v>30</v>
      </c>
      <c r="W4909" t="n">
        <v>2</v>
      </c>
      <c r="X4909" t="n">
        <v>120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11172</v>
      </c>
      <c r="AG4909" t="n">
        <v>54</v>
      </c>
      <c r="AH4909" t="inlineStr">
        <is>
          <t>PT. MIRANTI ADILLHA - PPN (PDG)</t>
        </is>
      </c>
      <c r="AI4909" t="n">
        <v>1375</v>
      </c>
      <c r="AJ4909" t="inlineStr">
        <is>
          <t>SANIYE</t>
        </is>
      </c>
      <c r="AK4909" t="n">
        <v>21</v>
      </c>
      <c r="AL4909" t="inlineStr">
        <is>
          <t>Miss Glam Damar</t>
        </is>
      </c>
      <c r="AM4909" t="n">
        <v>2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SANIYE</t>
        </is>
      </c>
      <c r="B4910" s="2">
        <f>"6956784118759"</f>
        <v/>
      </c>
      <c r="C4910" t="inlineStr">
        <is>
          <t>SANIYE Eyebrow Brush A104</t>
        </is>
      </c>
      <c r="D4910" t="inlineStr">
        <is>
          <t>Miss Glam Damar</t>
        </is>
      </c>
      <c r="E4910" t="n">
        <v>26</v>
      </c>
      <c r="F4910" t="n">
        <v>3.1304</v>
      </c>
      <c r="G4910" t="n">
        <v>8.19</v>
      </c>
      <c r="H4910" t="n">
        <v>1</v>
      </c>
      <c r="I4910" t="n">
        <v>7</v>
      </c>
      <c r="J4910" t="n">
        <v>3</v>
      </c>
      <c r="K4910" t="n">
        <v>0</v>
      </c>
      <c r="L4910" t="n">
        <v>9519</v>
      </c>
      <c r="M4910" t="n">
        <v>12000</v>
      </c>
      <c r="N4910" t="n">
        <v>91</v>
      </c>
      <c r="O4910" t="n">
        <v>0.91</v>
      </c>
      <c r="P4910" t="n">
        <v>1</v>
      </c>
      <c r="Q4910" t="n">
        <v>1.44</v>
      </c>
      <c r="R4910" t="n">
        <v>5</v>
      </c>
      <c r="S4910" t="n">
        <v>37564.8</v>
      </c>
      <c r="T4910" t="n">
        <v>55</v>
      </c>
      <c r="U4910" t="n">
        <v>59</v>
      </c>
      <c r="V4910" t="n">
        <v>30</v>
      </c>
      <c r="W4910" t="n">
        <v>94</v>
      </c>
      <c r="X4910" t="n">
        <v>8.305647840531561</v>
      </c>
      <c r="Y4910" t="n">
        <v>1</v>
      </c>
      <c r="Z4910" t="n">
        <v>68</v>
      </c>
      <c r="AA4910" t="n">
        <v>0</v>
      </c>
      <c r="AB4910" t="n">
        <v>68</v>
      </c>
      <c r="AC4910" t="n">
        <v>68</v>
      </c>
      <c r="AD4910" t="n">
        <v>0</v>
      </c>
      <c r="AE4910" t="n">
        <v>647292</v>
      </c>
      <c r="AF4910" t="n">
        <v>11172</v>
      </c>
      <c r="AG4910" t="n">
        <v>54</v>
      </c>
      <c r="AH4910" t="inlineStr">
        <is>
          <t>PT. MIRANTI ADILLHA - PPN (PDG)</t>
        </is>
      </c>
      <c r="AI4910" t="n">
        <v>1375</v>
      </c>
      <c r="AJ4910" t="inlineStr">
        <is>
          <t>SANIYE</t>
        </is>
      </c>
      <c r="AK4910" t="n">
        <v>21</v>
      </c>
      <c r="AL4910" t="inlineStr">
        <is>
          <t>Miss Glam Damar</t>
        </is>
      </c>
      <c r="AM4910" t="n">
        <v>2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SANIYE</t>
        </is>
      </c>
      <c r="B4911" s="2">
        <f>"6956784144352"</f>
        <v/>
      </c>
      <c r="C4911" t="inlineStr">
        <is>
          <t>SANIYE Eyelash Curler B1177 Black</t>
        </is>
      </c>
      <c r="D4911" t="inlineStr">
        <is>
          <t>Miss Glam Damar</t>
        </is>
      </c>
      <c r="E4911" t="n">
        <v>21</v>
      </c>
      <c r="F4911" t="n">
        <v>1.5379</v>
      </c>
      <c r="G4911" t="n">
        <v>5.46</v>
      </c>
      <c r="H4911" t="n">
        <v>1</v>
      </c>
      <c r="I4911" t="n">
        <v>7</v>
      </c>
      <c r="J4911" t="n">
        <v>3</v>
      </c>
      <c r="K4911" t="n">
        <v>0</v>
      </c>
      <c r="L4911" t="n">
        <v>15123</v>
      </c>
      <c r="M4911" t="n">
        <v>19000</v>
      </c>
      <c r="N4911" t="n">
        <v>91</v>
      </c>
      <c r="O4911" t="n">
        <v>0.91</v>
      </c>
      <c r="P4911" t="n">
        <v>1</v>
      </c>
      <c r="Q4911" t="n">
        <v>0.68</v>
      </c>
      <c r="R4911" t="n">
        <v>3</v>
      </c>
      <c r="S4911" t="n">
        <v>29220.1</v>
      </c>
      <c r="T4911" t="n">
        <v>37</v>
      </c>
      <c r="U4911" t="n">
        <v>39</v>
      </c>
      <c r="V4911" t="n">
        <v>30</v>
      </c>
      <c r="W4911" t="n">
        <v>47</v>
      </c>
      <c r="X4911" t="n">
        <v>13.65498406918525</v>
      </c>
      <c r="Y4911" t="n">
        <v>1</v>
      </c>
      <c r="Z4911" t="n">
        <v>26</v>
      </c>
      <c r="AA4911" t="n">
        <v>0</v>
      </c>
      <c r="AB4911" t="n">
        <v>26</v>
      </c>
      <c r="AC4911" t="n">
        <v>26</v>
      </c>
      <c r="AD4911" t="n">
        <v>0</v>
      </c>
      <c r="AE4911" t="n">
        <v>393198</v>
      </c>
      <c r="AF4911" t="n">
        <v>11172</v>
      </c>
      <c r="AG4911" t="n">
        <v>54</v>
      </c>
      <c r="AH4911" t="inlineStr">
        <is>
          <t>PT. MIRANTI ADILLHA - PPN (PDG)</t>
        </is>
      </c>
      <c r="AI4911" t="n">
        <v>1375</v>
      </c>
      <c r="AJ4911" t="inlineStr">
        <is>
          <t>SANIYE</t>
        </is>
      </c>
      <c r="AK4911" t="n">
        <v>21</v>
      </c>
      <c r="AL4911" t="inlineStr">
        <is>
          <t>Miss Glam Damar</t>
        </is>
      </c>
      <c r="AM4911" t="n">
        <v>2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SANIYE</t>
        </is>
      </c>
      <c r="B4912" s="2">
        <f>"6956784118735"</f>
        <v/>
      </c>
      <c r="C4912" t="inlineStr">
        <is>
          <t>SANIYE Eyeshadow Brush A101 #02</t>
        </is>
      </c>
      <c r="D4912" t="inlineStr">
        <is>
          <t>Miss Glam Damar</t>
        </is>
      </c>
      <c r="E4912" t="n">
        <v>12</v>
      </c>
      <c r="F4912" t="n">
        <v>2.1749</v>
      </c>
      <c r="G4912" t="n">
        <v>6.37</v>
      </c>
      <c r="H4912" t="n">
        <v>1</v>
      </c>
      <c r="I4912" t="n">
        <v>7</v>
      </c>
      <c r="J4912" t="n">
        <v>3</v>
      </c>
      <c r="K4912" t="n">
        <v>0</v>
      </c>
      <c r="L4912" t="n">
        <v>9519</v>
      </c>
      <c r="M4912" t="n">
        <v>13000</v>
      </c>
      <c r="N4912" t="n">
        <v>91</v>
      </c>
      <c r="O4912" t="n">
        <v>0.91</v>
      </c>
      <c r="P4912" t="n">
        <v>1</v>
      </c>
      <c r="Q4912" t="n">
        <v>0.61</v>
      </c>
      <c r="R4912" t="n">
        <v>5</v>
      </c>
      <c r="S4912" t="n">
        <v>28273.7</v>
      </c>
      <c r="T4912" t="n">
        <v>43</v>
      </c>
      <c r="U4912" t="n">
        <v>46</v>
      </c>
      <c r="V4912" t="n">
        <v>30</v>
      </c>
      <c r="W4912" t="n">
        <v>66</v>
      </c>
      <c r="X4912" t="n">
        <v>5.517495057244011</v>
      </c>
      <c r="Y4912" t="n">
        <v>1</v>
      </c>
      <c r="Z4912" t="n">
        <v>54</v>
      </c>
      <c r="AA4912" t="n">
        <v>4</v>
      </c>
      <c r="AB4912" t="n">
        <v>50</v>
      </c>
      <c r="AC4912" t="n">
        <v>50</v>
      </c>
      <c r="AD4912" t="n">
        <v>38076</v>
      </c>
      <c r="AE4912" t="n">
        <v>475950</v>
      </c>
      <c r="AF4912" t="n">
        <v>11172</v>
      </c>
      <c r="AG4912" t="n">
        <v>54</v>
      </c>
      <c r="AH4912" t="inlineStr">
        <is>
          <t>PT. MIRANTI ADILLHA - PPN (PDG)</t>
        </is>
      </c>
      <c r="AI4912" t="n">
        <v>1375</v>
      </c>
      <c r="AJ4912" t="inlineStr">
        <is>
          <t>SANIYE</t>
        </is>
      </c>
      <c r="AK4912" t="n">
        <v>21</v>
      </c>
      <c r="AL4912" t="inlineStr">
        <is>
          <t>Miss Glam Damar</t>
        </is>
      </c>
      <c r="AM4912" t="n">
        <v>2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SANIYE</t>
        </is>
      </c>
      <c r="B4913" s="2">
        <f>"6956784118728"</f>
        <v/>
      </c>
      <c r="C4913" t="inlineStr">
        <is>
          <t>SANIYE Eyeshadow Brush A101 #1</t>
        </is>
      </c>
      <c r="D4913" t="inlineStr">
        <is>
          <t>Miss Glam Damar</t>
        </is>
      </c>
      <c r="E4913" t="n">
        <v>22</v>
      </c>
      <c r="F4913" t="n">
        <v>0.0182</v>
      </c>
      <c r="G4913" t="n">
        <v>0.91</v>
      </c>
      <c r="H4913" t="n">
        <v>1</v>
      </c>
      <c r="I4913" t="n">
        <v>7</v>
      </c>
      <c r="J4913" t="n">
        <v>3</v>
      </c>
      <c r="K4913" t="n">
        <v>0</v>
      </c>
      <c r="L4913" t="n">
        <v>9519</v>
      </c>
      <c r="M4913" t="n">
        <v>12000</v>
      </c>
      <c r="N4913" t="n">
        <v>91</v>
      </c>
      <c r="O4913" t="n">
        <v>0.91</v>
      </c>
      <c r="P4913" t="n">
        <v>1</v>
      </c>
      <c r="Q4913" t="n">
        <v>0.19</v>
      </c>
      <c r="R4913" t="n">
        <v>2</v>
      </c>
      <c r="S4913" t="n">
        <v>218.4</v>
      </c>
      <c r="T4913" t="n">
        <v>7</v>
      </c>
      <c r="U4913" t="n">
        <v>8</v>
      </c>
      <c r="V4913" t="n">
        <v>30</v>
      </c>
      <c r="W4913" t="n">
        <v>1</v>
      </c>
      <c r="X4913" t="n">
        <v>1208.791208791209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11172</v>
      </c>
      <c r="AG4913" t="n">
        <v>54</v>
      </c>
      <c r="AH4913" t="inlineStr">
        <is>
          <t>PT. MIRANTI ADILLHA - PPN (PDG)</t>
        </is>
      </c>
      <c r="AI4913" t="n">
        <v>1375</v>
      </c>
      <c r="AJ4913" t="inlineStr">
        <is>
          <t>SANIYE</t>
        </is>
      </c>
      <c r="AK4913" t="n">
        <v>21</v>
      </c>
      <c r="AL4913" t="inlineStr">
        <is>
          <t>Miss Glam Damar</t>
        </is>
      </c>
      <c r="AM4913" t="n">
        <v>2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SANIYE</t>
        </is>
      </c>
      <c r="B4914" s="2">
        <f>"6956784142525"</f>
        <v/>
      </c>
      <c r="C4914" t="inlineStr">
        <is>
          <t>SANIYE Eyeshadow E0435#1 29gr</t>
        </is>
      </c>
      <c r="D4914" t="inlineStr">
        <is>
          <t>Miss Glam Damar</t>
        </is>
      </c>
      <c r="E4914" t="n">
        <v>12</v>
      </c>
      <c r="F4914" t="n">
        <v>0.41</v>
      </c>
      <c r="G4914" t="n">
        <v>3</v>
      </c>
      <c r="H4914" t="n">
        <v>1</v>
      </c>
      <c r="I4914" t="n">
        <v>7</v>
      </c>
      <c r="J4914" t="n">
        <v>3</v>
      </c>
      <c r="K4914" t="n">
        <v>0</v>
      </c>
      <c r="L4914" t="n">
        <v>18320</v>
      </c>
      <c r="M4914" t="n">
        <v>27500</v>
      </c>
      <c r="N4914" t="n">
        <v>91</v>
      </c>
      <c r="O4914" t="n">
        <v>0.91</v>
      </c>
      <c r="P4914" t="n">
        <v>0</v>
      </c>
      <c r="Q4914" t="n">
        <v>0.41</v>
      </c>
      <c r="R4914" t="n">
        <v>3</v>
      </c>
      <c r="S4914" t="n">
        <v>11275</v>
      </c>
      <c r="T4914" t="n">
        <v>21</v>
      </c>
      <c r="U4914" t="n">
        <v>22</v>
      </c>
      <c r="V4914" t="n">
        <v>30</v>
      </c>
      <c r="W4914" t="n">
        <v>13</v>
      </c>
      <c r="X4914" t="n">
        <v>29.26829268292683</v>
      </c>
      <c r="Y4914" t="n">
        <v>1</v>
      </c>
      <c r="Z4914" t="n">
        <v>1</v>
      </c>
      <c r="AA4914" t="n">
        <v>0</v>
      </c>
      <c r="AB4914" t="n">
        <v>1</v>
      </c>
      <c r="AC4914" t="n">
        <v>3</v>
      </c>
      <c r="AD4914" t="n">
        <v>0</v>
      </c>
      <c r="AE4914" t="n">
        <v>54960</v>
      </c>
      <c r="AF4914" t="n">
        <v>11172</v>
      </c>
      <c r="AG4914" t="n">
        <v>54</v>
      </c>
      <c r="AH4914" t="inlineStr">
        <is>
          <t>PT. MIRANTI ADILLHA - PPN (PDG)</t>
        </is>
      </c>
      <c r="AI4914" t="n">
        <v>1375</v>
      </c>
      <c r="AJ4914" t="inlineStr">
        <is>
          <t>SANIYE</t>
        </is>
      </c>
      <c r="AK4914" t="n">
        <v>21</v>
      </c>
      <c r="AL4914" t="inlineStr">
        <is>
          <t>Miss Glam Damar</t>
        </is>
      </c>
      <c r="AM4914" t="n">
        <v>2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SANIYE</t>
        </is>
      </c>
      <c r="B4915" s="2">
        <f>"20200569528"</f>
        <v/>
      </c>
      <c r="C4915" t="inlineStr">
        <is>
          <t>SANIYE Eyeshadow E0435#2 12gr</t>
        </is>
      </c>
      <c r="D4915" t="inlineStr">
        <is>
          <t>Miss Glam Damar</t>
        </is>
      </c>
      <c r="E4915" t="n">
        <v>6</v>
      </c>
      <c r="F4915" t="n">
        <v>0.0182</v>
      </c>
      <c r="G4915" t="n">
        <v>0.91</v>
      </c>
      <c r="H4915" t="n">
        <v>1</v>
      </c>
      <c r="I4915" t="n">
        <v>7</v>
      </c>
      <c r="J4915" t="n">
        <v>1</v>
      </c>
      <c r="K4915" t="n">
        <v>0</v>
      </c>
      <c r="L4915" t="n">
        <v>18320</v>
      </c>
      <c r="M4915" t="n">
        <v>22900</v>
      </c>
      <c r="N4915" t="n">
        <v>91</v>
      </c>
      <c r="O4915" t="n">
        <v>0.91</v>
      </c>
      <c r="P4915" t="n">
        <v>1</v>
      </c>
      <c r="Q4915" t="n">
        <v>0.32</v>
      </c>
      <c r="R4915" t="n">
        <v>2</v>
      </c>
      <c r="S4915" t="n">
        <v>416.78</v>
      </c>
      <c r="T4915" t="n">
        <v>7</v>
      </c>
      <c r="U4915" t="n">
        <v>8</v>
      </c>
      <c r="V4915" t="n">
        <v>30</v>
      </c>
      <c r="W4915" t="n">
        <v>1</v>
      </c>
      <c r="X4915" t="n">
        <v>329.6703296703296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11172</v>
      </c>
      <c r="AG4915" t="n">
        <v>54</v>
      </c>
      <c r="AH4915" t="inlineStr">
        <is>
          <t>PT. MIRANTI ADILLHA - PPN (PDG)</t>
        </is>
      </c>
      <c r="AI4915" t="n">
        <v>1375</v>
      </c>
      <c r="AJ4915" t="inlineStr">
        <is>
          <t>SANIYE</t>
        </is>
      </c>
      <c r="AK4915" t="n">
        <v>21</v>
      </c>
      <c r="AL4915" t="inlineStr">
        <is>
          <t>Miss Glam Damar</t>
        </is>
      </c>
      <c r="AM4915" t="n">
        <v>2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SANIYE</t>
        </is>
      </c>
      <c r="B4916" s="2">
        <f>"6956784142341"</f>
        <v/>
      </c>
      <c r="C4916" t="inlineStr">
        <is>
          <t>SANIYE Eyeshadow Pallete Bright Nude Peach E0925 5gr</t>
        </is>
      </c>
      <c r="D4916" t="inlineStr">
        <is>
          <t>Miss Glam Damar</t>
        </is>
      </c>
      <c r="E4916" t="n">
        <v>11</v>
      </c>
      <c r="F4916" t="n">
        <v>0.0182</v>
      </c>
      <c r="G4916" t="n">
        <v>0.91</v>
      </c>
      <c r="H4916" t="n">
        <v>1</v>
      </c>
      <c r="I4916" t="n">
        <v>7</v>
      </c>
      <c r="J4916" t="n">
        <v>3</v>
      </c>
      <c r="K4916" t="n">
        <v>0</v>
      </c>
      <c r="L4916" t="n">
        <v>26320</v>
      </c>
      <c r="M4916" t="n">
        <v>32900</v>
      </c>
      <c r="N4916" t="n">
        <v>91</v>
      </c>
      <c r="O4916" t="n">
        <v>0.91</v>
      </c>
      <c r="P4916" t="n">
        <v>1</v>
      </c>
      <c r="Q4916" t="n">
        <v>0.24</v>
      </c>
      <c r="R4916" t="n">
        <v>4</v>
      </c>
      <c r="S4916" t="n">
        <v>598.7800000000001</v>
      </c>
      <c r="T4916" t="n">
        <v>7</v>
      </c>
      <c r="U4916" t="n">
        <v>8</v>
      </c>
      <c r="V4916" t="n">
        <v>30</v>
      </c>
      <c r="W4916" t="n">
        <v>1</v>
      </c>
      <c r="X4916" t="n">
        <v>604.3956043956043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11172</v>
      </c>
      <c r="AG4916" t="n">
        <v>54</v>
      </c>
      <c r="AH4916" t="inlineStr">
        <is>
          <t>PT. MIRANTI ADILLHA - PPN (PDG)</t>
        </is>
      </c>
      <c r="AI4916" t="n">
        <v>1375</v>
      </c>
      <c r="AJ4916" t="inlineStr">
        <is>
          <t>SANIYE</t>
        </is>
      </c>
      <c r="AK4916" t="n">
        <v>21</v>
      </c>
      <c r="AL4916" t="inlineStr">
        <is>
          <t>Miss Glam Damar</t>
        </is>
      </c>
      <c r="AM4916" t="n">
        <v>2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SANIYE</t>
        </is>
      </c>
      <c r="B4917" s="2">
        <f>"6956784118674"</f>
        <v/>
      </c>
      <c r="C4917" t="inlineStr">
        <is>
          <t>SANIYE Fruit Puff Avocado Y37</t>
        </is>
      </c>
      <c r="D4917" t="inlineStr">
        <is>
          <t>Miss Glam Damar</t>
        </is>
      </c>
      <c r="E4917" t="n">
        <v>8</v>
      </c>
      <c r="F4917" t="n">
        <v>0.3367</v>
      </c>
      <c r="G4917" t="n">
        <v>2.73</v>
      </c>
      <c r="H4917" t="n">
        <v>1</v>
      </c>
      <c r="I4917" t="n">
        <v>7</v>
      </c>
      <c r="J4917" t="n">
        <v>3</v>
      </c>
      <c r="K4917" t="n">
        <v>0</v>
      </c>
      <c r="L4917" t="n">
        <v>11122</v>
      </c>
      <c r="M4917" t="n">
        <v>15000</v>
      </c>
      <c r="N4917" t="n">
        <v>91</v>
      </c>
      <c r="O4917" t="n">
        <v>0.91</v>
      </c>
      <c r="P4917" t="n">
        <v>1</v>
      </c>
      <c r="Q4917" t="n">
        <v>0.15</v>
      </c>
      <c r="R4917" t="n">
        <v>2</v>
      </c>
      <c r="S4917" t="n">
        <v>5050.5</v>
      </c>
      <c r="T4917" t="n">
        <v>19</v>
      </c>
      <c r="U4917" t="n">
        <v>20</v>
      </c>
      <c r="V4917" t="n">
        <v>30</v>
      </c>
      <c r="W4917" t="n">
        <v>11</v>
      </c>
      <c r="X4917" t="n">
        <v>23.76002376002376</v>
      </c>
      <c r="Y4917" t="n">
        <v>1</v>
      </c>
      <c r="Z4917" t="n">
        <v>3</v>
      </c>
      <c r="AA4917" t="n">
        <v>0</v>
      </c>
      <c r="AB4917" t="n">
        <v>3</v>
      </c>
      <c r="AC4917" t="n">
        <v>3</v>
      </c>
      <c r="AD4917" t="n">
        <v>0</v>
      </c>
      <c r="AE4917" t="n">
        <v>33366</v>
      </c>
      <c r="AF4917" t="n">
        <v>11172</v>
      </c>
      <c r="AG4917" t="n">
        <v>54</v>
      </c>
      <c r="AH4917" t="inlineStr">
        <is>
          <t>PT. MIRANTI ADILLHA - PPN (PDG)</t>
        </is>
      </c>
      <c r="AI4917" t="n">
        <v>1375</v>
      </c>
      <c r="AJ4917" t="inlineStr">
        <is>
          <t>SANIYE</t>
        </is>
      </c>
      <c r="AK4917" t="n">
        <v>21</v>
      </c>
      <c r="AL4917" t="inlineStr">
        <is>
          <t>Miss Glam Damar</t>
        </is>
      </c>
      <c r="AM4917" t="n">
        <v>2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SANIYE</t>
        </is>
      </c>
      <c r="B4918" s="2">
        <f>"6956784118698"</f>
        <v/>
      </c>
      <c r="C4918" t="inlineStr">
        <is>
          <t>SANIYE Fruit Puff Peach Y37</t>
        </is>
      </c>
      <c r="D4918" t="inlineStr">
        <is>
          <t>Miss Glam Damar</t>
        </is>
      </c>
      <c r="E4918" t="n">
        <v>5</v>
      </c>
      <c r="F4918" t="n">
        <v>0.6006</v>
      </c>
      <c r="G4918" t="n">
        <v>3.64</v>
      </c>
      <c r="H4918" t="n">
        <v>1</v>
      </c>
      <c r="I4918" t="n">
        <v>7</v>
      </c>
      <c r="J4918" t="n">
        <v>3</v>
      </c>
      <c r="K4918" t="n">
        <v>0</v>
      </c>
      <c r="L4918" t="n">
        <v>11122</v>
      </c>
      <c r="M4918" t="n">
        <v>15000</v>
      </c>
      <c r="N4918" t="n">
        <v>91</v>
      </c>
      <c r="O4918" t="n">
        <v>0.91</v>
      </c>
      <c r="P4918" t="n">
        <v>1</v>
      </c>
      <c r="Q4918" t="n">
        <v>0.17</v>
      </c>
      <c r="R4918" t="n">
        <v>2</v>
      </c>
      <c r="S4918" t="n">
        <v>9009</v>
      </c>
      <c r="T4918" t="n">
        <v>25</v>
      </c>
      <c r="U4918" t="n">
        <v>26</v>
      </c>
      <c r="V4918" t="n">
        <v>30</v>
      </c>
      <c r="W4918" t="n">
        <v>19</v>
      </c>
      <c r="X4918" t="n">
        <v>8.325008325008325</v>
      </c>
      <c r="Y4918" t="n">
        <v>1</v>
      </c>
      <c r="Z4918" t="n">
        <v>14</v>
      </c>
      <c r="AA4918" t="n">
        <v>0</v>
      </c>
      <c r="AB4918" t="n">
        <v>14</v>
      </c>
      <c r="AC4918" t="n">
        <v>14</v>
      </c>
      <c r="AD4918" t="n">
        <v>0</v>
      </c>
      <c r="AE4918" t="n">
        <v>155708</v>
      </c>
      <c r="AF4918" t="n">
        <v>11172</v>
      </c>
      <c r="AG4918" t="n">
        <v>54</v>
      </c>
      <c r="AH4918" t="inlineStr">
        <is>
          <t>PT. MIRANTI ADILLHA - PPN (PDG)</t>
        </is>
      </c>
      <c r="AI4918" t="n">
        <v>1375</v>
      </c>
      <c r="AJ4918" t="inlineStr">
        <is>
          <t>SANIYE</t>
        </is>
      </c>
      <c r="AK4918" t="n">
        <v>21</v>
      </c>
      <c r="AL4918" t="inlineStr">
        <is>
          <t>Miss Glam Damar</t>
        </is>
      </c>
      <c r="AM4918" t="n">
        <v>2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SANIYE</t>
        </is>
      </c>
      <c r="B4919" s="2">
        <f>"6956784142808"</f>
        <v/>
      </c>
      <c r="C4919" t="inlineStr">
        <is>
          <t>SANIYE High Cover Liquid Concealer With Brush R1072-04 10gr</t>
        </is>
      </c>
      <c r="D4919" t="inlineStr">
        <is>
          <t>Miss Glam Damar</t>
        </is>
      </c>
      <c r="E4919" t="n">
        <v>12</v>
      </c>
      <c r="F4919" t="n">
        <v>0.5369</v>
      </c>
      <c r="G4919" t="n">
        <v>2.73</v>
      </c>
      <c r="H4919" t="n">
        <v>1</v>
      </c>
      <c r="I4919" t="n">
        <v>7</v>
      </c>
      <c r="J4919" t="n">
        <v>3</v>
      </c>
      <c r="K4919" t="n">
        <v>0</v>
      </c>
      <c r="L4919" t="n">
        <v>15922</v>
      </c>
      <c r="M4919" t="n">
        <v>20000</v>
      </c>
      <c r="N4919" t="n">
        <v>91</v>
      </c>
      <c r="O4919" t="n">
        <v>0.91</v>
      </c>
      <c r="P4919" t="n">
        <v>1</v>
      </c>
      <c r="Q4919" t="n">
        <v>0.27</v>
      </c>
      <c r="R4919" t="n">
        <v>3</v>
      </c>
      <c r="S4919" t="n">
        <v>10738</v>
      </c>
      <c r="T4919" t="n">
        <v>19</v>
      </c>
      <c r="U4919" t="n">
        <v>20</v>
      </c>
      <c r="V4919" t="n">
        <v>30</v>
      </c>
      <c r="W4919" t="n">
        <v>17</v>
      </c>
      <c r="X4919" t="n">
        <v>22.35053082510709</v>
      </c>
      <c r="Y4919" t="n">
        <v>1</v>
      </c>
      <c r="Z4919" t="n">
        <v>5</v>
      </c>
      <c r="AA4919" t="n">
        <v>0</v>
      </c>
      <c r="AB4919" t="n">
        <v>5</v>
      </c>
      <c r="AC4919" t="n">
        <v>5</v>
      </c>
      <c r="AD4919" t="n">
        <v>0</v>
      </c>
      <c r="AE4919" t="n">
        <v>79610</v>
      </c>
      <c r="AF4919" t="n">
        <v>11172</v>
      </c>
      <c r="AG4919" t="n">
        <v>54</v>
      </c>
      <c r="AH4919" t="inlineStr">
        <is>
          <t>PT. MIRANTI ADILLHA - PPN (PDG)</t>
        </is>
      </c>
      <c r="AI4919" t="n">
        <v>1375</v>
      </c>
      <c r="AJ4919" t="inlineStr">
        <is>
          <t>SANIYE</t>
        </is>
      </c>
      <c r="AK4919" t="n">
        <v>21</v>
      </c>
      <c r="AL4919" t="inlineStr">
        <is>
          <t>Miss Glam Damar</t>
        </is>
      </c>
      <c r="AM4919" t="n">
        <v>2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SANIYE</t>
        </is>
      </c>
      <c r="B4920" s="2">
        <f>"6956784142815"</f>
        <v/>
      </c>
      <c r="C4920" t="inlineStr">
        <is>
          <t>SANIYE High Cover Liquid Concealer With Brush R1072-10 10gr</t>
        </is>
      </c>
      <c r="D4920" t="inlineStr">
        <is>
          <t>Miss Glam Damar</t>
        </is>
      </c>
      <c r="E4920" t="n">
        <v>57</v>
      </c>
      <c r="F4920" t="n">
        <v>1.5288</v>
      </c>
      <c r="G4920" t="n">
        <v>4.55</v>
      </c>
      <c r="H4920" t="n">
        <v>1</v>
      </c>
      <c r="I4920" t="n">
        <v>7</v>
      </c>
      <c r="J4920" t="n">
        <v>3</v>
      </c>
      <c r="K4920" t="n">
        <v>0</v>
      </c>
      <c r="L4920" t="n">
        <v>15922</v>
      </c>
      <c r="M4920" t="n">
        <v>20000</v>
      </c>
      <c r="N4920" t="n">
        <v>91</v>
      </c>
      <c r="O4920" t="n">
        <v>0.91</v>
      </c>
      <c r="P4920" t="n">
        <v>1</v>
      </c>
      <c r="Q4920" t="n">
        <v>2.36</v>
      </c>
      <c r="R4920" t="n">
        <v>7</v>
      </c>
      <c r="S4920" t="n">
        <v>30576</v>
      </c>
      <c r="T4920" t="n">
        <v>31</v>
      </c>
      <c r="U4920" t="n">
        <v>33</v>
      </c>
      <c r="V4920" t="n">
        <v>30</v>
      </c>
      <c r="W4920" t="n">
        <v>46</v>
      </c>
      <c r="X4920" t="n">
        <v>37.28414442700157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11172</v>
      </c>
      <c r="AG4920" t="n">
        <v>54</v>
      </c>
      <c r="AH4920" t="inlineStr">
        <is>
          <t>PT. MIRANTI ADILLHA - PPN (PDG)</t>
        </is>
      </c>
      <c r="AI4920" t="n">
        <v>1375</v>
      </c>
      <c r="AJ4920" t="inlineStr">
        <is>
          <t>SANIYE</t>
        </is>
      </c>
      <c r="AK4920" t="n">
        <v>21</v>
      </c>
      <c r="AL4920" t="inlineStr">
        <is>
          <t>Miss Glam Damar</t>
        </is>
      </c>
      <c r="AM4920" t="n">
        <v>2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SANIYE</t>
        </is>
      </c>
      <c r="B4921" s="2">
        <f>"6956784142822"</f>
        <v/>
      </c>
      <c r="C4921" t="inlineStr">
        <is>
          <t>SANIYE High Cover Liquid Concealer With Brush R1072-12 10gr</t>
        </is>
      </c>
      <c r="D4921" t="inlineStr">
        <is>
          <t>Miss Glam Damar</t>
        </is>
      </c>
      <c r="E4921" t="n">
        <v>10</v>
      </c>
      <c r="F4921" t="n">
        <v>0.2639</v>
      </c>
      <c r="G4921" t="n">
        <v>2.73</v>
      </c>
      <c r="H4921" t="n">
        <v>1</v>
      </c>
      <c r="I4921" t="n">
        <v>7</v>
      </c>
      <c r="J4921" t="n">
        <v>3</v>
      </c>
      <c r="K4921" t="n">
        <v>0</v>
      </c>
      <c r="L4921" t="n">
        <v>15922</v>
      </c>
      <c r="M4921" t="n">
        <v>20000</v>
      </c>
      <c r="N4921" t="n">
        <v>91</v>
      </c>
      <c r="O4921" t="n">
        <v>0.91</v>
      </c>
      <c r="P4921" t="n">
        <v>1</v>
      </c>
      <c r="Q4921" t="n">
        <v>0.24</v>
      </c>
      <c r="R4921" t="n">
        <v>2</v>
      </c>
      <c r="S4921" t="n">
        <v>5277.999999999999</v>
      </c>
      <c r="T4921" t="n">
        <v>19</v>
      </c>
      <c r="U4921" t="n">
        <v>20</v>
      </c>
      <c r="V4921" t="n">
        <v>30</v>
      </c>
      <c r="W4921" t="n">
        <v>8</v>
      </c>
      <c r="X4921" t="n">
        <v>37.89314134141721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11172</v>
      </c>
      <c r="AG4921" t="n">
        <v>54</v>
      </c>
      <c r="AH4921" t="inlineStr">
        <is>
          <t>PT. MIRANTI ADILLHA - PPN (PDG)</t>
        </is>
      </c>
      <c r="AI4921" t="n">
        <v>1375</v>
      </c>
      <c r="AJ4921" t="inlineStr">
        <is>
          <t>SANIYE</t>
        </is>
      </c>
      <c r="AK4921" t="n">
        <v>21</v>
      </c>
      <c r="AL4921" t="inlineStr">
        <is>
          <t>Miss Glam Damar</t>
        </is>
      </c>
      <c r="AM4921" t="n">
        <v>2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SANIYE</t>
        </is>
      </c>
      <c r="B4922" s="2">
        <f>"10700338732"</f>
        <v/>
      </c>
      <c r="C4922" t="inlineStr">
        <is>
          <t>SANIYE Lip Balm Lapiz Labial K2022#1 3,5gr</t>
        </is>
      </c>
      <c r="D4922" t="inlineStr">
        <is>
          <t>Miss Glam Damar</t>
        </is>
      </c>
      <c r="E4922" t="n">
        <v>4</v>
      </c>
      <c r="F4922" t="n">
        <v>0.1547</v>
      </c>
      <c r="G4922" t="n">
        <v>1.82</v>
      </c>
      <c r="H4922" t="n">
        <v>1</v>
      </c>
      <c r="I4922" t="n">
        <v>7</v>
      </c>
      <c r="J4922" t="n">
        <v>1</v>
      </c>
      <c r="K4922" t="n">
        <v>0</v>
      </c>
      <c r="L4922" t="n">
        <v>15123</v>
      </c>
      <c r="M4922" t="n">
        <v>18900</v>
      </c>
      <c r="N4922" t="n">
        <v>91</v>
      </c>
      <c r="O4922" t="n">
        <v>0.91</v>
      </c>
      <c r="P4922" t="n">
        <v>1</v>
      </c>
      <c r="Q4922" t="n">
        <v>0.03</v>
      </c>
      <c r="R4922" t="n">
        <v>1</v>
      </c>
      <c r="S4922" t="n">
        <v>2923.83</v>
      </c>
      <c r="T4922" t="n">
        <v>13</v>
      </c>
      <c r="U4922" t="n">
        <v>14</v>
      </c>
      <c r="V4922" t="n">
        <v>30</v>
      </c>
      <c r="W4922" t="n">
        <v>5</v>
      </c>
      <c r="X4922" t="n">
        <v>25.85649644473174</v>
      </c>
      <c r="Y4922" t="n">
        <v>1</v>
      </c>
      <c r="Z4922" t="n">
        <v>1</v>
      </c>
      <c r="AA4922" t="n">
        <v>0</v>
      </c>
      <c r="AB4922" t="n">
        <v>1</v>
      </c>
      <c r="AC4922" t="n">
        <v>1</v>
      </c>
      <c r="AD4922" t="n">
        <v>0</v>
      </c>
      <c r="AE4922" t="n">
        <v>15123</v>
      </c>
      <c r="AF4922" t="n">
        <v>11172</v>
      </c>
      <c r="AG4922" t="n">
        <v>54</v>
      </c>
      <c r="AH4922" t="inlineStr">
        <is>
          <t>PT. MIRANTI ADILLHA - PPN (PDG)</t>
        </is>
      </c>
      <c r="AI4922" t="n">
        <v>1375</v>
      </c>
      <c r="AJ4922" t="inlineStr">
        <is>
          <t>SANIYE</t>
        </is>
      </c>
      <c r="AK4922" t="n">
        <v>21</v>
      </c>
      <c r="AL4922" t="inlineStr">
        <is>
          <t>Miss Glam Damar</t>
        </is>
      </c>
      <c r="AM4922" t="n">
        <v>2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SANIYE</t>
        </is>
      </c>
      <c r="B4923" s="2">
        <f>"10700338808"</f>
        <v/>
      </c>
      <c r="C4923" t="inlineStr">
        <is>
          <t>SANIYE Lip Balm Lapiz Labial K2022#2 3,5gr</t>
        </is>
      </c>
      <c r="D4923" t="inlineStr">
        <is>
          <t>Miss Glam Damar</t>
        </is>
      </c>
      <c r="E4923" t="n">
        <v>4</v>
      </c>
      <c r="F4923" t="n">
        <v>0.0273</v>
      </c>
      <c r="G4923" t="n">
        <v>0.91</v>
      </c>
      <c r="H4923" t="n">
        <v>1</v>
      </c>
      <c r="I4923" t="n">
        <v>7</v>
      </c>
      <c r="J4923" t="n">
        <v>1</v>
      </c>
      <c r="K4923" t="n">
        <v>0</v>
      </c>
      <c r="L4923" t="n">
        <v>15123</v>
      </c>
      <c r="M4923" t="n">
        <v>18900</v>
      </c>
      <c r="N4923" t="n">
        <v>91</v>
      </c>
      <c r="O4923" t="n">
        <v>0.91</v>
      </c>
      <c r="P4923" t="n">
        <v>1</v>
      </c>
      <c r="Q4923" t="n">
        <v>0.02</v>
      </c>
      <c r="R4923" t="n">
        <v>1</v>
      </c>
      <c r="S4923" t="n">
        <v>515.97</v>
      </c>
      <c r="T4923" t="n">
        <v>7</v>
      </c>
      <c r="U4923" t="n">
        <v>8</v>
      </c>
      <c r="V4923" t="n">
        <v>30</v>
      </c>
      <c r="W4923" t="n">
        <v>1</v>
      </c>
      <c r="X4923" t="n">
        <v>146.5201465201465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11172</v>
      </c>
      <c r="AG4923" t="n">
        <v>54</v>
      </c>
      <c r="AH4923" t="inlineStr">
        <is>
          <t>PT. MIRANTI ADILLHA - PPN (PDG)</t>
        </is>
      </c>
      <c r="AI4923" t="n">
        <v>1375</v>
      </c>
      <c r="AJ4923" t="inlineStr">
        <is>
          <t>SANIYE</t>
        </is>
      </c>
      <c r="AK4923" t="n">
        <v>21</v>
      </c>
      <c r="AL4923" t="inlineStr">
        <is>
          <t>Miss Glam Damar</t>
        </is>
      </c>
      <c r="AM4923" t="n">
        <v>2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SANIYE</t>
        </is>
      </c>
      <c r="B4924" s="2">
        <f>"10700339018"</f>
        <v/>
      </c>
      <c r="C4924" t="inlineStr">
        <is>
          <t>SANIYE Lip Balm Lapiz Labial K2022#4 3,5gr</t>
        </is>
      </c>
      <c r="D4924" t="inlineStr">
        <is>
          <t>Miss Glam Damar</t>
        </is>
      </c>
      <c r="E4924" t="n">
        <v>5</v>
      </c>
      <c r="F4924" t="n">
        <v>0.0273</v>
      </c>
      <c r="G4924" t="n">
        <v>0.91</v>
      </c>
      <c r="H4924" t="n">
        <v>1</v>
      </c>
      <c r="I4924" t="n">
        <v>7</v>
      </c>
      <c r="J4924" t="n">
        <v>1</v>
      </c>
      <c r="K4924" t="n">
        <v>0</v>
      </c>
      <c r="L4924" t="n">
        <v>15123</v>
      </c>
      <c r="M4924" t="n">
        <v>18900</v>
      </c>
      <c r="N4924" t="n">
        <v>91</v>
      </c>
      <c r="O4924" t="n">
        <v>0.91</v>
      </c>
      <c r="P4924" t="n">
        <v>1</v>
      </c>
      <c r="Q4924" t="n">
        <v>0.02</v>
      </c>
      <c r="R4924" t="n">
        <v>1</v>
      </c>
      <c r="S4924" t="n">
        <v>515.97</v>
      </c>
      <c r="T4924" t="n">
        <v>7</v>
      </c>
      <c r="U4924" t="n">
        <v>8</v>
      </c>
      <c r="V4924" t="n">
        <v>30</v>
      </c>
      <c r="W4924" t="n">
        <v>1</v>
      </c>
      <c r="X4924" t="n">
        <v>183.1501831501832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11172</v>
      </c>
      <c r="AG4924" t="n">
        <v>54</v>
      </c>
      <c r="AH4924" t="inlineStr">
        <is>
          <t>PT. MIRANTI ADILLHA - PPN (PDG)</t>
        </is>
      </c>
      <c r="AI4924" t="n">
        <v>1375</v>
      </c>
      <c r="AJ4924" t="inlineStr">
        <is>
          <t>SANIYE</t>
        </is>
      </c>
      <c r="AK4924" t="n">
        <v>21</v>
      </c>
      <c r="AL4924" t="inlineStr">
        <is>
          <t>Miss Glam Damar</t>
        </is>
      </c>
      <c r="AM4924" t="n">
        <v>2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SANIYE</t>
        </is>
      </c>
      <c r="B4925" s="2">
        <f>"10700339230"</f>
        <v/>
      </c>
      <c r="C4925" t="inlineStr">
        <is>
          <t>SANIYE Lip Balm Lapiz Labial K2022#6 3,5gr</t>
        </is>
      </c>
      <c r="D4925" t="inlineStr">
        <is>
          <t>Miss Glam Damar</t>
        </is>
      </c>
      <c r="E4925" t="n">
        <v>7</v>
      </c>
      <c r="F4925" t="n">
        <v>0.0273</v>
      </c>
      <c r="G4925" t="n">
        <v>0.91</v>
      </c>
      <c r="H4925" t="n">
        <v>1</v>
      </c>
      <c r="I4925" t="n">
        <v>7</v>
      </c>
      <c r="J4925" t="n">
        <v>1</v>
      </c>
      <c r="K4925" t="n">
        <v>0</v>
      </c>
      <c r="L4925" t="n">
        <v>15123</v>
      </c>
      <c r="M4925" t="n">
        <v>18900</v>
      </c>
      <c r="N4925" t="n">
        <v>91</v>
      </c>
      <c r="O4925" t="n">
        <v>0.91</v>
      </c>
      <c r="P4925" t="n">
        <v>1</v>
      </c>
      <c r="Q4925" t="n">
        <v>0.05</v>
      </c>
      <c r="R4925" t="n">
        <v>1</v>
      </c>
      <c r="S4925" t="n">
        <v>515.97</v>
      </c>
      <c r="T4925" t="n">
        <v>7</v>
      </c>
      <c r="U4925" t="n">
        <v>8</v>
      </c>
      <c r="V4925" t="n">
        <v>30</v>
      </c>
      <c r="W4925" t="n">
        <v>1</v>
      </c>
      <c r="X4925" t="n">
        <v>256.4102564102564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11172</v>
      </c>
      <c r="AG4925" t="n">
        <v>54</v>
      </c>
      <c r="AH4925" t="inlineStr">
        <is>
          <t>PT. MIRANTI ADILLHA - PPN (PDG)</t>
        </is>
      </c>
      <c r="AI4925" t="n">
        <v>1375</v>
      </c>
      <c r="AJ4925" t="inlineStr">
        <is>
          <t>SANIYE</t>
        </is>
      </c>
      <c r="AK4925" t="n">
        <v>21</v>
      </c>
      <c r="AL4925" t="inlineStr">
        <is>
          <t>Miss Glam Damar</t>
        </is>
      </c>
      <c r="AM4925" t="n">
        <v>2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SANIYE</t>
        </is>
      </c>
      <c r="B4926" s="2">
        <f>"10700339522"</f>
        <v/>
      </c>
      <c r="C4926" t="inlineStr">
        <is>
          <t>SANIYE Magic Lip Oil L1188 #2 4,5ml</t>
        </is>
      </c>
      <c r="D4926" t="inlineStr">
        <is>
          <t>Miss Glam Damar</t>
        </is>
      </c>
      <c r="E4926" t="n">
        <v>6</v>
      </c>
      <c r="F4926" t="n">
        <v>0.04550000000000001</v>
      </c>
      <c r="G4926" t="n">
        <v>0.91</v>
      </c>
      <c r="H4926" t="n">
        <v>1</v>
      </c>
      <c r="I4926" t="n">
        <v>7</v>
      </c>
      <c r="J4926" t="n">
        <v>1</v>
      </c>
      <c r="K4926" t="n">
        <v>0</v>
      </c>
      <c r="L4926" t="n">
        <v>18320</v>
      </c>
      <c r="M4926" t="n">
        <v>22900</v>
      </c>
      <c r="N4926" t="n">
        <v>91</v>
      </c>
      <c r="O4926" t="n">
        <v>0.91</v>
      </c>
      <c r="P4926" t="n">
        <v>1</v>
      </c>
      <c r="Q4926" t="n">
        <v>0.07000000000000001</v>
      </c>
      <c r="R4926" t="n">
        <v>2</v>
      </c>
      <c r="S4926" t="n">
        <v>1041.95</v>
      </c>
      <c r="T4926" t="n">
        <v>7</v>
      </c>
      <c r="U4926" t="n">
        <v>8</v>
      </c>
      <c r="V4926" t="n">
        <v>30</v>
      </c>
      <c r="W4926" t="n">
        <v>2</v>
      </c>
      <c r="X4926" t="n">
        <v>131.8681318681319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11172</v>
      </c>
      <c r="AG4926" t="n">
        <v>54</v>
      </c>
      <c r="AH4926" t="inlineStr">
        <is>
          <t>PT. MIRANTI ADILLHA - PPN (PDG)</t>
        </is>
      </c>
      <c r="AI4926" t="n">
        <v>1375</v>
      </c>
      <c r="AJ4926" t="inlineStr">
        <is>
          <t>SANIYE</t>
        </is>
      </c>
      <c r="AK4926" t="n">
        <v>21</v>
      </c>
      <c r="AL4926" t="inlineStr">
        <is>
          <t>Miss Glam Damar</t>
        </is>
      </c>
      <c r="AM4926" t="n">
        <v>2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SANIYE</t>
        </is>
      </c>
      <c r="B4927" s="2">
        <f>"10700339350"</f>
        <v/>
      </c>
      <c r="C4927" t="inlineStr">
        <is>
          <t>SANIYE Magic Pink Love Lip Oil L1272#2 4ml</t>
        </is>
      </c>
      <c r="D4927" t="inlineStr">
        <is>
          <t>Miss Glam Damar</t>
        </is>
      </c>
      <c r="E4927" t="n">
        <v>2</v>
      </c>
      <c r="F4927" t="n">
        <v>0.0182</v>
      </c>
      <c r="G4927" t="n">
        <v>0.91</v>
      </c>
      <c r="H4927" t="n">
        <v>1</v>
      </c>
      <c r="I4927" t="n">
        <v>7</v>
      </c>
      <c r="J4927" t="n">
        <v>1</v>
      </c>
      <c r="K4927" t="n">
        <v>0</v>
      </c>
      <c r="L4927" t="n">
        <v>15922</v>
      </c>
      <c r="M4927" t="n">
        <v>20000</v>
      </c>
      <c r="N4927" t="n">
        <v>91</v>
      </c>
      <c r="O4927" t="n">
        <v>0.91</v>
      </c>
      <c r="P4927" t="n">
        <v>1</v>
      </c>
      <c r="Q4927" t="n">
        <v>0.05</v>
      </c>
      <c r="R4927" t="n">
        <v>3</v>
      </c>
      <c r="S4927" t="n">
        <v>364</v>
      </c>
      <c r="T4927" t="n">
        <v>7</v>
      </c>
      <c r="U4927" t="n">
        <v>8</v>
      </c>
      <c r="V4927" t="n">
        <v>30</v>
      </c>
      <c r="W4927" t="n">
        <v>1</v>
      </c>
      <c r="X4927" t="n">
        <v>109.8901098901099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11172</v>
      </c>
      <c r="AG4927" t="n">
        <v>54</v>
      </c>
      <c r="AH4927" t="inlineStr">
        <is>
          <t>PT. MIRANTI ADILLHA - PPN (PDG)</t>
        </is>
      </c>
      <c r="AI4927" t="n">
        <v>1375</v>
      </c>
      <c r="AJ4927" t="inlineStr">
        <is>
          <t>SANIYE</t>
        </is>
      </c>
      <c r="AK4927" t="n">
        <v>21</v>
      </c>
      <c r="AL4927" t="inlineStr">
        <is>
          <t>Miss Glam Damar</t>
        </is>
      </c>
      <c r="AM4927" t="n">
        <v>2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SANIYE</t>
        </is>
      </c>
      <c r="B4928" s="2">
        <f>"6956784145113"</f>
        <v/>
      </c>
      <c r="C4928" t="inlineStr">
        <is>
          <t>SANIYE Make Up Puff isi 4pcs</t>
        </is>
      </c>
      <c r="D4928" t="inlineStr">
        <is>
          <t>Miss Glam Damar</t>
        </is>
      </c>
      <c r="E4928" t="n">
        <v>50</v>
      </c>
      <c r="F4928" t="n">
        <v>2.1021</v>
      </c>
      <c r="G4928" t="n">
        <v>7.28</v>
      </c>
      <c r="H4928" t="n">
        <v>1</v>
      </c>
      <c r="I4928" t="n">
        <v>7</v>
      </c>
      <c r="J4928" t="n">
        <v>3</v>
      </c>
      <c r="K4928" t="n">
        <v>0</v>
      </c>
      <c r="L4928" t="n">
        <v>11122</v>
      </c>
      <c r="M4928" t="n">
        <v>14000</v>
      </c>
      <c r="N4928" t="n">
        <v>91</v>
      </c>
      <c r="O4928" t="n">
        <v>0.91</v>
      </c>
      <c r="P4928" t="n">
        <v>1</v>
      </c>
      <c r="Q4928" t="n">
        <v>1.49</v>
      </c>
      <c r="R4928" t="n">
        <v>5</v>
      </c>
      <c r="S4928" t="n">
        <v>29429.4</v>
      </c>
      <c r="T4928" t="n">
        <v>49</v>
      </c>
      <c r="U4928" t="n">
        <v>52</v>
      </c>
      <c r="V4928" t="n">
        <v>30</v>
      </c>
      <c r="W4928" t="n">
        <v>64</v>
      </c>
      <c r="X4928" t="n">
        <v>23.78573807145236</v>
      </c>
      <c r="Y4928" t="n">
        <v>1</v>
      </c>
      <c r="Z4928" t="n">
        <v>14</v>
      </c>
      <c r="AA4928" t="n">
        <v>0</v>
      </c>
      <c r="AB4928" t="n">
        <v>14</v>
      </c>
      <c r="AC4928" t="n">
        <v>14</v>
      </c>
      <c r="AD4928" t="n">
        <v>0</v>
      </c>
      <c r="AE4928" t="n">
        <v>155708</v>
      </c>
      <c r="AF4928" t="n">
        <v>11172</v>
      </c>
      <c r="AG4928" t="n">
        <v>54</v>
      </c>
      <c r="AH4928" t="inlineStr">
        <is>
          <t>PT. MIRANTI ADILLHA - PPN (PDG)</t>
        </is>
      </c>
      <c r="AI4928" t="n">
        <v>1375</v>
      </c>
      <c r="AJ4928" t="inlineStr">
        <is>
          <t>SANIYE</t>
        </is>
      </c>
      <c r="AK4928" t="n">
        <v>21</v>
      </c>
      <c r="AL4928" t="inlineStr">
        <is>
          <t>Miss Glam Damar</t>
        </is>
      </c>
      <c r="AM4928" t="n">
        <v>2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SANIYE</t>
        </is>
      </c>
      <c r="B4929" s="2">
        <f>"11300107329"</f>
        <v/>
      </c>
      <c r="C4929" t="inlineStr">
        <is>
          <t>SANIYE Makeup Remove Cotton F15(50pcs)</t>
        </is>
      </c>
      <c r="D4929" t="inlineStr">
        <is>
          <t>Miss Glam Damar</t>
        </is>
      </c>
      <c r="E4929" t="n">
        <v>64</v>
      </c>
      <c r="F4929" t="n">
        <v>0.91</v>
      </c>
      <c r="G4929" t="n">
        <v>4.55</v>
      </c>
      <c r="H4929" t="n">
        <v>1</v>
      </c>
      <c r="I4929" t="n">
        <v>7</v>
      </c>
      <c r="J4929" t="n">
        <v>1</v>
      </c>
      <c r="K4929" t="n">
        <v>0</v>
      </c>
      <c r="L4929" t="n">
        <v>7921</v>
      </c>
      <c r="M4929" t="n">
        <v>10000</v>
      </c>
      <c r="N4929" t="n">
        <v>91</v>
      </c>
      <c r="O4929" t="n">
        <v>0.91</v>
      </c>
      <c r="P4929" t="n">
        <v>1</v>
      </c>
      <c r="Q4929" t="n">
        <v>2.46</v>
      </c>
      <c r="R4929" t="n">
        <v>9</v>
      </c>
      <c r="S4929" t="n">
        <v>9100</v>
      </c>
      <c r="T4929" t="n">
        <v>31</v>
      </c>
      <c r="U4929" t="n">
        <v>32</v>
      </c>
      <c r="V4929" t="n">
        <v>30</v>
      </c>
      <c r="W4929" t="n">
        <v>28</v>
      </c>
      <c r="X4929" t="n">
        <v>70.32967032967032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11172</v>
      </c>
      <c r="AG4929" t="n">
        <v>54</v>
      </c>
      <c r="AH4929" t="inlineStr">
        <is>
          <t>PT. MIRANTI ADILLHA - PPN (PDG)</t>
        </is>
      </c>
      <c r="AI4929" t="n">
        <v>1375</v>
      </c>
      <c r="AJ4929" t="inlineStr">
        <is>
          <t>SANIYE</t>
        </is>
      </c>
      <c r="AK4929" t="n">
        <v>21</v>
      </c>
      <c r="AL4929" t="inlineStr">
        <is>
          <t>Miss Glam Damar</t>
        </is>
      </c>
      <c r="AM4929" t="n">
        <v>2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SANIYE</t>
        </is>
      </c>
      <c r="B4930" s="2">
        <f>"11300107426"</f>
        <v/>
      </c>
      <c r="C4930" t="inlineStr">
        <is>
          <t>SANIYE Makeup Remove Cotton F16(100pcs)</t>
        </is>
      </c>
      <c r="D4930" t="inlineStr">
        <is>
          <t>Miss Glam Damar</t>
        </is>
      </c>
      <c r="E4930" t="n">
        <v>35</v>
      </c>
      <c r="F4930" t="n">
        <v>1.0647</v>
      </c>
      <c r="G4930" t="n">
        <v>3.64</v>
      </c>
      <c r="H4930" t="n">
        <v>1</v>
      </c>
      <c r="I4930" t="n">
        <v>7</v>
      </c>
      <c r="J4930" t="n">
        <v>1</v>
      </c>
      <c r="K4930" t="n">
        <v>0</v>
      </c>
      <c r="L4930" t="n">
        <v>11921</v>
      </c>
      <c r="M4930" t="n">
        <v>15000</v>
      </c>
      <c r="N4930" t="n">
        <v>91</v>
      </c>
      <c r="O4930" t="n">
        <v>0.91</v>
      </c>
      <c r="P4930" t="n">
        <v>1</v>
      </c>
      <c r="Q4930" t="n">
        <v>1.19</v>
      </c>
      <c r="R4930" t="n">
        <v>6</v>
      </c>
      <c r="S4930" t="n">
        <v>15970.5</v>
      </c>
      <c r="T4930" t="n">
        <v>25</v>
      </c>
      <c r="U4930" t="n">
        <v>27</v>
      </c>
      <c r="V4930" t="n">
        <v>30</v>
      </c>
      <c r="W4930" t="n">
        <v>32</v>
      </c>
      <c r="X4930" t="n">
        <v>32.87310979618672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11172</v>
      </c>
      <c r="AG4930" t="n">
        <v>54</v>
      </c>
      <c r="AH4930" t="inlineStr">
        <is>
          <t>PT. MIRANTI ADILLHA - PPN (PDG)</t>
        </is>
      </c>
      <c r="AI4930" t="n">
        <v>1375</v>
      </c>
      <c r="AJ4930" t="inlineStr">
        <is>
          <t>SANIYE</t>
        </is>
      </c>
      <c r="AK4930" t="n">
        <v>21</v>
      </c>
      <c r="AL4930" t="inlineStr">
        <is>
          <t>Miss Glam Damar</t>
        </is>
      </c>
      <c r="AM4930" t="n">
        <v>2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SANIYE</t>
        </is>
      </c>
      <c r="B4931" s="2">
        <f>"6956784143348"</f>
        <v/>
      </c>
      <c r="C4931" t="inlineStr">
        <is>
          <t>SANIYE Mini Blush On Powder E-0150-003 3,4gr</t>
        </is>
      </c>
      <c r="D4931" t="inlineStr">
        <is>
          <t>Miss Glam Damar</t>
        </is>
      </c>
      <c r="E4931" t="n">
        <v>4</v>
      </c>
      <c r="F4931" t="n">
        <v>0.04550000000000001</v>
      </c>
      <c r="G4931" t="n">
        <v>0.91</v>
      </c>
      <c r="H4931" t="n">
        <v>1</v>
      </c>
      <c r="I4931" t="n">
        <v>7</v>
      </c>
      <c r="J4931" t="n">
        <v>3</v>
      </c>
      <c r="K4931" t="n">
        <v>0</v>
      </c>
      <c r="L4931" t="n">
        <v>15123</v>
      </c>
      <c r="M4931" t="n">
        <v>19000</v>
      </c>
      <c r="N4931" t="n">
        <v>91</v>
      </c>
      <c r="O4931" t="n">
        <v>0.91</v>
      </c>
      <c r="P4931" t="n">
        <v>1</v>
      </c>
      <c r="Q4931" t="n">
        <v>0.02</v>
      </c>
      <c r="R4931" t="n">
        <v>1</v>
      </c>
      <c r="S4931" t="n">
        <v>864.5000000000001</v>
      </c>
      <c r="T4931" t="n">
        <v>7</v>
      </c>
      <c r="U4931" t="n">
        <v>8</v>
      </c>
      <c r="V4931" t="n">
        <v>30</v>
      </c>
      <c r="W4931" t="n">
        <v>2</v>
      </c>
      <c r="X4931" t="n">
        <v>87.9120879120879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11172</v>
      </c>
      <c r="AG4931" t="n">
        <v>54</v>
      </c>
      <c r="AH4931" t="inlineStr">
        <is>
          <t>PT. MIRANTI ADILLHA - PPN (PDG)</t>
        </is>
      </c>
      <c r="AI4931" t="n">
        <v>1375</v>
      </c>
      <c r="AJ4931" t="inlineStr">
        <is>
          <t>SANIYE</t>
        </is>
      </c>
      <c r="AK4931" t="n">
        <v>21</v>
      </c>
      <c r="AL4931" t="inlineStr">
        <is>
          <t>Miss Glam Damar</t>
        </is>
      </c>
      <c r="AM4931" t="n">
        <v>2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SANIYE</t>
        </is>
      </c>
      <c r="B4932" s="2">
        <f>"20200569333"</f>
        <v/>
      </c>
      <c r="C4932" t="inlineStr">
        <is>
          <t>SANIYE Mini Eyeshadow Palette E0925 #2 5gr</t>
        </is>
      </c>
      <c r="D4932" t="inlineStr">
        <is>
          <t>Miss Glam Damar</t>
        </is>
      </c>
      <c r="E4932" t="n">
        <v>6</v>
      </c>
      <c r="F4932" t="n">
        <v>0.1092</v>
      </c>
      <c r="G4932" t="n">
        <v>1.82</v>
      </c>
      <c r="H4932" t="n">
        <v>1</v>
      </c>
      <c r="I4932" t="n">
        <v>7</v>
      </c>
      <c r="J4932" t="n">
        <v>1</v>
      </c>
      <c r="K4932" t="n">
        <v>0</v>
      </c>
      <c r="L4932" t="n">
        <v>26320</v>
      </c>
      <c r="M4932" t="n">
        <v>33000</v>
      </c>
      <c r="N4932" t="n">
        <v>91</v>
      </c>
      <c r="O4932" t="n">
        <v>0.91</v>
      </c>
      <c r="P4932" t="n">
        <v>1</v>
      </c>
      <c r="Q4932" t="n">
        <v>0.12</v>
      </c>
      <c r="R4932" t="n">
        <v>2</v>
      </c>
      <c r="S4932" t="n">
        <v>3603.6</v>
      </c>
      <c r="T4932" t="n">
        <v>13</v>
      </c>
      <c r="U4932" t="n">
        <v>14</v>
      </c>
      <c r="V4932" t="n">
        <v>30</v>
      </c>
      <c r="W4932" t="n">
        <v>4</v>
      </c>
      <c r="X4932" t="n">
        <v>54.94505494505494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11172</v>
      </c>
      <c r="AG4932" t="n">
        <v>54</v>
      </c>
      <c r="AH4932" t="inlineStr">
        <is>
          <t>PT. MIRANTI ADILLHA - PPN (PDG)</t>
        </is>
      </c>
      <c r="AI4932" t="n">
        <v>1375</v>
      </c>
      <c r="AJ4932" t="inlineStr">
        <is>
          <t>SANIYE</t>
        </is>
      </c>
      <c r="AK4932" t="n">
        <v>21</v>
      </c>
      <c r="AL4932" t="inlineStr">
        <is>
          <t>Miss Glam Damar</t>
        </is>
      </c>
      <c r="AM4932" t="n">
        <v>2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SANIYE</t>
        </is>
      </c>
      <c r="B4933" s="2">
        <f>"20200569419"</f>
        <v/>
      </c>
      <c r="C4933" t="inlineStr">
        <is>
          <t>SANIYE Mini Eyeshadow Palette E0925 #3 5gr</t>
        </is>
      </c>
      <c r="D4933" t="inlineStr">
        <is>
          <t>Miss Glam Damar</t>
        </is>
      </c>
      <c r="E4933" t="n">
        <v>36</v>
      </c>
      <c r="F4933" t="n">
        <v>0.06370000000000001</v>
      </c>
      <c r="G4933" t="n">
        <v>0.91</v>
      </c>
      <c r="H4933" t="n">
        <v>1</v>
      </c>
      <c r="I4933" t="n">
        <v>7</v>
      </c>
      <c r="J4933" t="n">
        <v>1</v>
      </c>
      <c r="K4933" t="n">
        <v>0</v>
      </c>
      <c r="L4933" t="n">
        <v>26321</v>
      </c>
      <c r="M4933" t="n">
        <v>33000</v>
      </c>
      <c r="N4933" t="n">
        <v>91</v>
      </c>
      <c r="O4933" t="n">
        <v>0.91</v>
      </c>
      <c r="P4933" t="n">
        <v>1</v>
      </c>
      <c r="Q4933" t="n">
        <v>0.51</v>
      </c>
      <c r="R4933" t="n">
        <v>7</v>
      </c>
      <c r="S4933" t="n">
        <v>2102.1</v>
      </c>
      <c r="T4933" t="n">
        <v>7</v>
      </c>
      <c r="U4933" t="n">
        <v>8</v>
      </c>
      <c r="V4933" t="n">
        <v>30</v>
      </c>
      <c r="W4933" t="n">
        <v>2</v>
      </c>
      <c r="X4933" t="n">
        <v>565.149136577708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11172</v>
      </c>
      <c r="AG4933" t="n">
        <v>54</v>
      </c>
      <c r="AH4933" t="inlineStr">
        <is>
          <t>PT. MIRANTI ADILLHA - PPN (PDG)</t>
        </is>
      </c>
      <c r="AI4933" t="n">
        <v>1375</v>
      </c>
      <c r="AJ4933" t="inlineStr">
        <is>
          <t>SANIYE</t>
        </is>
      </c>
      <c r="AK4933" t="n">
        <v>21</v>
      </c>
      <c r="AL4933" t="inlineStr">
        <is>
          <t>Miss Glam Damar</t>
        </is>
      </c>
      <c r="AM4933" t="n">
        <v>2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SANIYE</t>
        </is>
      </c>
      <c r="B4934" s="2">
        <f>"6956784140842"</f>
        <v/>
      </c>
      <c r="C4934" t="inlineStr">
        <is>
          <t>SANIYE Moisturizing Lip Mask L1121 #1 22,5gr</t>
        </is>
      </c>
      <c r="D4934" t="inlineStr">
        <is>
          <t>Miss Glam Damar</t>
        </is>
      </c>
      <c r="E4934" t="n">
        <v>6</v>
      </c>
      <c r="F4934" t="n">
        <v>0.04550000000000001</v>
      </c>
      <c r="G4934" t="n">
        <v>1.82</v>
      </c>
      <c r="H4934" t="n">
        <v>1</v>
      </c>
      <c r="I4934" t="n">
        <v>7</v>
      </c>
      <c r="J4934" t="n">
        <v>3</v>
      </c>
      <c r="K4934" t="n">
        <v>0</v>
      </c>
      <c r="L4934" t="n">
        <v>18319</v>
      </c>
      <c r="M4934" t="n">
        <v>26500</v>
      </c>
      <c r="N4934" t="n">
        <v>91</v>
      </c>
      <c r="O4934" t="n">
        <v>0.91</v>
      </c>
      <c r="P4934" t="n">
        <v>1</v>
      </c>
      <c r="Q4934" t="n">
        <v>0.1</v>
      </c>
      <c r="R4934" t="n">
        <v>2</v>
      </c>
      <c r="S4934" t="n">
        <v>1205.75</v>
      </c>
      <c r="T4934" t="n">
        <v>13</v>
      </c>
      <c r="U4934" t="n">
        <v>14</v>
      </c>
      <c r="V4934" t="n">
        <v>30</v>
      </c>
      <c r="W4934" t="n">
        <v>2</v>
      </c>
      <c r="X4934" t="n">
        <v>131.8681318681319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11172</v>
      </c>
      <c r="AG4934" t="n">
        <v>54</v>
      </c>
      <c r="AH4934" t="inlineStr">
        <is>
          <t>PT. MIRANTI ADILLHA - PPN (PDG)</t>
        </is>
      </c>
      <c r="AI4934" t="n">
        <v>1375</v>
      </c>
      <c r="AJ4934" t="inlineStr">
        <is>
          <t>SANIYE</t>
        </is>
      </c>
      <c r="AK4934" t="n">
        <v>21</v>
      </c>
      <c r="AL4934" t="inlineStr">
        <is>
          <t>Miss Glam Damar</t>
        </is>
      </c>
      <c r="AM4934" t="n">
        <v>2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SANIYE</t>
        </is>
      </c>
      <c r="B4935" s="2">
        <f>"20200569849"</f>
        <v/>
      </c>
      <c r="C4935" t="inlineStr">
        <is>
          <t>SANIYE Multi Function Eyeshadow Palette E225#3 27gr</t>
        </is>
      </c>
      <c r="D4935" t="inlineStr">
        <is>
          <t>Miss Glam Damar</t>
        </is>
      </c>
      <c r="E4935" t="n">
        <v>23</v>
      </c>
      <c r="F4935" t="n">
        <v>2.3478</v>
      </c>
      <c r="G4935" t="n">
        <v>9.1</v>
      </c>
      <c r="H4935" t="n">
        <v>1</v>
      </c>
      <c r="I4935" t="n">
        <v>7</v>
      </c>
      <c r="J4935" t="n">
        <v>1</v>
      </c>
      <c r="K4935" t="n">
        <v>0</v>
      </c>
      <c r="L4935" t="n">
        <v>31919</v>
      </c>
      <c r="M4935" t="n">
        <v>40000</v>
      </c>
      <c r="N4935" t="n">
        <v>91</v>
      </c>
      <c r="O4935" t="n">
        <v>0.91</v>
      </c>
      <c r="P4935" t="n">
        <v>1</v>
      </c>
      <c r="Q4935" t="n">
        <v>1.03</v>
      </c>
      <c r="R4935" t="n">
        <v>6</v>
      </c>
      <c r="S4935" t="n">
        <v>93912.00000000001</v>
      </c>
      <c r="T4935" t="n">
        <v>62</v>
      </c>
      <c r="U4935" t="n">
        <v>65</v>
      </c>
      <c r="V4935" t="n">
        <v>30</v>
      </c>
      <c r="W4935" t="n">
        <v>71</v>
      </c>
      <c r="X4935" t="n">
        <v>9.796405145242353</v>
      </c>
      <c r="Y4935" t="n">
        <v>1</v>
      </c>
      <c r="Z4935" t="n">
        <v>48</v>
      </c>
      <c r="AA4935" t="n">
        <v>0</v>
      </c>
      <c r="AB4935" t="n">
        <v>48</v>
      </c>
      <c r="AC4935" t="n">
        <v>48</v>
      </c>
      <c r="AD4935" t="n">
        <v>0</v>
      </c>
      <c r="AE4935" t="n">
        <v>1532112</v>
      </c>
      <c r="AF4935" t="n">
        <v>11172</v>
      </c>
      <c r="AG4935" t="n">
        <v>54</v>
      </c>
      <c r="AH4935" t="inlineStr">
        <is>
          <t>PT. MIRANTI ADILLHA - PPN (PDG)</t>
        </is>
      </c>
      <c r="AI4935" t="n">
        <v>1375</v>
      </c>
      <c r="AJ4935" t="inlineStr">
        <is>
          <t>SANIYE</t>
        </is>
      </c>
      <c r="AK4935" t="n">
        <v>21</v>
      </c>
      <c r="AL4935" t="inlineStr">
        <is>
          <t>Miss Glam Damar</t>
        </is>
      </c>
      <c r="AM4935" t="n">
        <v>2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SANIYE</t>
        </is>
      </c>
      <c r="B4936" s="2">
        <f>"10700339442"</f>
        <v/>
      </c>
      <c r="C4936" t="inlineStr">
        <is>
          <t>SANIYE Pink Lip Balm K2003 4gr</t>
        </is>
      </c>
      <c r="D4936" t="inlineStr">
        <is>
          <t>Miss Glam Damar</t>
        </is>
      </c>
      <c r="E4936" t="n">
        <v>16</v>
      </c>
      <c r="F4936" t="n">
        <v>1.1375</v>
      </c>
      <c r="G4936" t="n">
        <v>4.55</v>
      </c>
      <c r="H4936" t="n">
        <v>1</v>
      </c>
      <c r="I4936" t="n">
        <v>7</v>
      </c>
      <c r="J4936" t="n">
        <v>1</v>
      </c>
      <c r="K4936" t="n">
        <v>0</v>
      </c>
      <c r="L4936" t="n">
        <v>12721</v>
      </c>
      <c r="M4936" t="n">
        <v>16000</v>
      </c>
      <c r="N4936" t="n">
        <v>91</v>
      </c>
      <c r="O4936" t="n">
        <v>0.91</v>
      </c>
      <c r="P4936" t="n">
        <v>1</v>
      </c>
      <c r="Q4936" t="n">
        <v>0.58</v>
      </c>
      <c r="R4936" t="n">
        <v>4</v>
      </c>
      <c r="S4936" t="n">
        <v>18200</v>
      </c>
      <c r="T4936" t="n">
        <v>31</v>
      </c>
      <c r="U4936" t="n">
        <v>33</v>
      </c>
      <c r="V4936" t="n">
        <v>30</v>
      </c>
      <c r="W4936" t="n">
        <v>35</v>
      </c>
      <c r="X4936" t="n">
        <v>14.06593406593407</v>
      </c>
      <c r="Y4936" t="n">
        <v>1</v>
      </c>
      <c r="Z4936" t="n">
        <v>19</v>
      </c>
      <c r="AA4936" t="n">
        <v>0</v>
      </c>
      <c r="AB4936" t="n">
        <v>19</v>
      </c>
      <c r="AC4936" t="n">
        <v>19</v>
      </c>
      <c r="AD4936" t="n">
        <v>0</v>
      </c>
      <c r="AE4936" t="n">
        <v>241699</v>
      </c>
      <c r="AF4936" t="n">
        <v>11172</v>
      </c>
      <c r="AG4936" t="n">
        <v>54</v>
      </c>
      <c r="AH4936" t="inlineStr">
        <is>
          <t>PT. MIRANTI ADILLHA - PPN (PDG)</t>
        </is>
      </c>
      <c r="AI4936" t="n">
        <v>1375</v>
      </c>
      <c r="AJ4936" t="inlineStr">
        <is>
          <t>SANIYE</t>
        </is>
      </c>
      <c r="AK4936" t="n">
        <v>21</v>
      </c>
      <c r="AL4936" t="inlineStr">
        <is>
          <t>Miss Glam Damar</t>
        </is>
      </c>
      <c r="AM4936" t="n">
        <v>2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SANIYE</t>
        </is>
      </c>
      <c r="B4937" s="2">
        <f>"6956784144789"</f>
        <v/>
      </c>
      <c r="C4937" t="inlineStr">
        <is>
          <t>SANIYE Pink Nudes Palette E0949 #2</t>
        </is>
      </c>
      <c r="D4937" t="inlineStr">
        <is>
          <t>Miss Glam Damar</t>
        </is>
      </c>
      <c r="E4937" t="n">
        <v>0</v>
      </c>
      <c r="F4937" t="n">
        <v>2.8938</v>
      </c>
      <c r="G4937" t="n">
        <v>9.1</v>
      </c>
      <c r="H4937" t="n">
        <v>1</v>
      </c>
      <c r="I4937" t="n">
        <v>7</v>
      </c>
      <c r="J4937" t="n">
        <v>3</v>
      </c>
      <c r="K4937" t="n">
        <v>0</v>
      </c>
      <c r="L4937" t="n">
        <v>31919</v>
      </c>
      <c r="M4937" t="n">
        <v>40000</v>
      </c>
      <c r="N4937" t="n">
        <v>91</v>
      </c>
      <c r="O4937" t="n">
        <v>0.91</v>
      </c>
      <c r="P4937" t="n">
        <v>1</v>
      </c>
      <c r="Q4937" t="n">
        <v>0.53</v>
      </c>
      <c r="R4937" t="n">
        <v>4</v>
      </c>
      <c r="S4937" t="n">
        <v>115752</v>
      </c>
      <c r="T4937" t="n">
        <v>61</v>
      </c>
      <c r="U4937" t="n">
        <v>64</v>
      </c>
      <c r="V4937" t="n">
        <v>30</v>
      </c>
      <c r="W4937" t="n">
        <v>87</v>
      </c>
      <c r="X4937" t="n">
        <v>0</v>
      </c>
      <c r="Y4937" t="n">
        <v>1</v>
      </c>
      <c r="Z4937" t="n">
        <v>87</v>
      </c>
      <c r="AA4937" t="n">
        <v>21</v>
      </c>
      <c r="AB4937" t="n">
        <v>66</v>
      </c>
      <c r="AC4937" t="n">
        <v>66</v>
      </c>
      <c r="AD4937" t="n">
        <v>670299</v>
      </c>
      <c r="AE4937" t="n">
        <v>2106654</v>
      </c>
      <c r="AF4937" t="n">
        <v>11172</v>
      </c>
      <c r="AG4937" t="n">
        <v>54</v>
      </c>
      <c r="AH4937" t="inlineStr">
        <is>
          <t>PT. MIRANTI ADILLHA - PPN (PDG)</t>
        </is>
      </c>
      <c r="AI4937" t="n">
        <v>1375</v>
      </c>
      <c r="AJ4937" t="inlineStr">
        <is>
          <t>SANIYE</t>
        </is>
      </c>
      <c r="AK4937" t="n">
        <v>21</v>
      </c>
      <c r="AL4937" t="inlineStr">
        <is>
          <t>Miss Glam Damar</t>
        </is>
      </c>
      <c r="AM4937" t="n">
        <v>2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SANIYE</t>
        </is>
      </c>
      <c r="B4938" s="2">
        <f>"6956784144796"</f>
        <v/>
      </c>
      <c r="C4938" t="inlineStr">
        <is>
          <t>SANIYE Pink Nudes Palette E0949 #3</t>
        </is>
      </c>
      <c r="D4938" t="inlineStr">
        <is>
          <t>Miss Glam Damar</t>
        </is>
      </c>
      <c r="E4938" t="n">
        <v>0</v>
      </c>
      <c r="F4938" t="n">
        <v>3.7401</v>
      </c>
      <c r="G4938" t="n">
        <v>8.19</v>
      </c>
      <c r="H4938" t="n">
        <v>1</v>
      </c>
      <c r="I4938" t="n">
        <v>7</v>
      </c>
      <c r="J4938" t="n">
        <v>3</v>
      </c>
      <c r="K4938" t="n">
        <v>0</v>
      </c>
      <c r="L4938" t="n">
        <v>31919</v>
      </c>
      <c r="M4938" t="n">
        <v>40000</v>
      </c>
      <c r="N4938" t="n">
        <v>91</v>
      </c>
      <c r="O4938" t="n">
        <v>0.91</v>
      </c>
      <c r="P4938" t="n">
        <v>1</v>
      </c>
      <c r="Q4938" t="n">
        <v>1.06</v>
      </c>
      <c r="R4938" t="n">
        <v>5</v>
      </c>
      <c r="S4938" t="n">
        <v>149604</v>
      </c>
      <c r="T4938" t="n">
        <v>54</v>
      </c>
      <c r="U4938" t="n">
        <v>58</v>
      </c>
      <c r="V4938" t="n">
        <v>30</v>
      </c>
      <c r="W4938" t="n">
        <v>113</v>
      </c>
      <c r="X4938" t="n">
        <v>0</v>
      </c>
      <c r="Y4938" t="n">
        <v>1</v>
      </c>
      <c r="Z4938" t="n">
        <v>113</v>
      </c>
      <c r="AA4938" t="n">
        <v>27</v>
      </c>
      <c r="AB4938" t="n">
        <v>86</v>
      </c>
      <c r="AC4938" t="n">
        <v>86</v>
      </c>
      <c r="AD4938" t="n">
        <v>861813</v>
      </c>
      <c r="AE4938" t="n">
        <v>2745034</v>
      </c>
      <c r="AF4938" t="n">
        <v>11172</v>
      </c>
      <c r="AG4938" t="n">
        <v>54</v>
      </c>
      <c r="AH4938" t="inlineStr">
        <is>
          <t>PT. MIRANTI ADILLHA - PPN (PDG)</t>
        </is>
      </c>
      <c r="AI4938" t="n">
        <v>1375</v>
      </c>
      <c r="AJ4938" t="inlineStr">
        <is>
          <t>SANIYE</t>
        </is>
      </c>
      <c r="AK4938" t="n">
        <v>21</v>
      </c>
      <c r="AL4938" t="inlineStr">
        <is>
          <t>Miss Glam Damar</t>
        </is>
      </c>
      <c r="AM4938" t="n">
        <v>2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SANIYE</t>
        </is>
      </c>
      <c r="B4939" s="2">
        <f>"6956784118742"</f>
        <v/>
      </c>
      <c r="C4939" t="inlineStr">
        <is>
          <t>SANIYE Powder Blush A102</t>
        </is>
      </c>
      <c r="D4939" t="inlineStr">
        <is>
          <t>Miss Glam Damar</t>
        </is>
      </c>
      <c r="E4939" t="n">
        <v>62</v>
      </c>
      <c r="F4939" t="n">
        <v>8.19</v>
      </c>
      <c r="G4939" t="n">
        <v>19.11</v>
      </c>
      <c r="H4939" t="n">
        <v>1</v>
      </c>
      <c r="I4939" t="n">
        <v>7</v>
      </c>
      <c r="J4939" t="n">
        <v>3</v>
      </c>
      <c r="K4939" t="n">
        <v>0</v>
      </c>
      <c r="L4939" t="n">
        <v>12721</v>
      </c>
      <c r="M4939" t="n">
        <v>17500</v>
      </c>
      <c r="N4939" t="n">
        <v>91</v>
      </c>
      <c r="O4939" t="n">
        <v>0.91</v>
      </c>
      <c r="P4939" t="n">
        <v>1</v>
      </c>
      <c r="Q4939" t="n">
        <v>2.42</v>
      </c>
      <c r="R4939" t="n">
        <v>7</v>
      </c>
      <c r="S4939" t="n">
        <v>143325</v>
      </c>
      <c r="T4939" t="n">
        <v>126</v>
      </c>
      <c r="U4939" t="n">
        <v>135</v>
      </c>
      <c r="V4939" t="n">
        <v>30</v>
      </c>
      <c r="W4939" t="n">
        <v>246</v>
      </c>
      <c r="X4939" t="n">
        <v>7.570207570207571</v>
      </c>
      <c r="Y4939" t="n">
        <v>1</v>
      </c>
      <c r="Z4939" t="n">
        <v>184</v>
      </c>
      <c r="AA4939" t="n">
        <v>0</v>
      </c>
      <c r="AB4939" t="n">
        <v>184</v>
      </c>
      <c r="AC4939" t="n">
        <v>184</v>
      </c>
      <c r="AD4939" t="n">
        <v>0</v>
      </c>
      <c r="AE4939" t="n">
        <v>2340664</v>
      </c>
      <c r="AF4939" t="n">
        <v>11172</v>
      </c>
      <c r="AG4939" t="n">
        <v>54</v>
      </c>
      <c r="AH4939" t="inlineStr">
        <is>
          <t>PT. MIRANTI ADILLHA - PPN (PDG)</t>
        </is>
      </c>
      <c r="AI4939" t="n">
        <v>1375</v>
      </c>
      <c r="AJ4939" t="inlineStr">
        <is>
          <t>SANIYE</t>
        </is>
      </c>
      <c r="AK4939" t="n">
        <v>21</v>
      </c>
      <c r="AL4939" t="inlineStr">
        <is>
          <t>Miss Glam Damar</t>
        </is>
      </c>
      <c r="AM4939" t="n">
        <v>2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SANIYE</t>
        </is>
      </c>
      <c r="B4940" s="2">
        <f>"20100706902"</f>
        <v/>
      </c>
      <c r="C4940" t="inlineStr">
        <is>
          <t>SANIYE Primer R3092 30ml</t>
        </is>
      </c>
      <c r="D4940" t="inlineStr">
        <is>
          <t>Miss Glam Damar</t>
        </is>
      </c>
      <c r="E4940" t="n">
        <v>6</v>
      </c>
      <c r="F4940" t="n">
        <v>1.0192</v>
      </c>
      <c r="G4940" t="n">
        <v>3.64</v>
      </c>
      <c r="H4940" t="n">
        <v>1</v>
      </c>
      <c r="I4940" t="n">
        <v>7</v>
      </c>
      <c r="J4940" t="n">
        <v>1</v>
      </c>
      <c r="K4940" t="n">
        <v>0</v>
      </c>
      <c r="L4940" t="n">
        <v>22320</v>
      </c>
      <c r="M4940" t="n">
        <v>28000</v>
      </c>
      <c r="N4940" t="n">
        <v>91</v>
      </c>
      <c r="O4940" t="n">
        <v>0.91</v>
      </c>
      <c r="P4940" t="n">
        <v>1</v>
      </c>
      <c r="Q4940" t="n">
        <v>0.2</v>
      </c>
      <c r="R4940" t="n">
        <v>2</v>
      </c>
      <c r="S4940" t="n">
        <v>28537.6</v>
      </c>
      <c r="T4940" t="n">
        <v>25</v>
      </c>
      <c r="U4940" t="n">
        <v>27</v>
      </c>
      <c r="V4940" t="n">
        <v>30</v>
      </c>
      <c r="W4940" t="n">
        <v>31</v>
      </c>
      <c r="X4940" t="n">
        <v>5.886970172684458</v>
      </c>
      <c r="Y4940" t="n">
        <v>1</v>
      </c>
      <c r="Z4940" t="n">
        <v>25</v>
      </c>
      <c r="AA4940" t="n">
        <v>2</v>
      </c>
      <c r="AB4940" t="n">
        <v>23</v>
      </c>
      <c r="AC4940" t="n">
        <v>23</v>
      </c>
      <c r="AD4940" t="n">
        <v>44640</v>
      </c>
      <c r="AE4940" t="n">
        <v>513360</v>
      </c>
      <c r="AF4940" t="n">
        <v>11172</v>
      </c>
      <c r="AG4940" t="n">
        <v>54</v>
      </c>
      <c r="AH4940" t="inlineStr">
        <is>
          <t>PT. MIRANTI ADILLHA - PPN (PDG)</t>
        </is>
      </c>
      <c r="AI4940" t="n">
        <v>1375</v>
      </c>
      <c r="AJ4940" t="inlineStr">
        <is>
          <t>SANIYE</t>
        </is>
      </c>
      <c r="AK4940" t="n">
        <v>21</v>
      </c>
      <c r="AL4940" t="inlineStr">
        <is>
          <t>Miss Glam Damar</t>
        </is>
      </c>
      <c r="AM4940" t="n">
        <v>2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SANIYE</t>
        </is>
      </c>
      <c r="B4941" s="2">
        <f>"7502287181357"</f>
        <v/>
      </c>
      <c r="C4941" t="inlineStr">
        <is>
          <t>SANIYE Professional M418 Waterproff Eyeliner 0,6gr</t>
        </is>
      </c>
      <c r="D4941" t="inlineStr">
        <is>
          <t>Miss Glam Damar</t>
        </is>
      </c>
      <c r="E4941" t="n">
        <v>2</v>
      </c>
      <c r="F4941" t="n">
        <v>0.06370000000000001</v>
      </c>
      <c r="G4941" t="n">
        <v>0.91</v>
      </c>
      <c r="H4941" t="n">
        <v>1</v>
      </c>
      <c r="I4941" t="n">
        <v>7</v>
      </c>
      <c r="J4941" t="n">
        <v>3</v>
      </c>
      <c r="K4941" t="n">
        <v>0</v>
      </c>
      <c r="L4941" t="n">
        <v>19123</v>
      </c>
      <c r="M4941" t="n">
        <v>25000</v>
      </c>
      <c r="N4941" t="n">
        <v>91</v>
      </c>
      <c r="O4941" t="n">
        <v>0.91</v>
      </c>
      <c r="P4941" t="n">
        <v>1</v>
      </c>
      <c r="Q4941" t="n">
        <v>0.02</v>
      </c>
      <c r="R4941" t="n">
        <v>1</v>
      </c>
      <c r="S4941" t="n">
        <v>1592.5</v>
      </c>
      <c r="T4941" t="n">
        <v>7</v>
      </c>
      <c r="U4941" t="n">
        <v>8</v>
      </c>
      <c r="V4941" t="n">
        <v>30</v>
      </c>
      <c r="W4941" t="n">
        <v>2</v>
      </c>
      <c r="X4941" t="n">
        <v>31.39717425431711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11172</v>
      </c>
      <c r="AG4941" t="n">
        <v>54</v>
      </c>
      <c r="AH4941" t="inlineStr">
        <is>
          <t>PT. MIRANTI ADILLHA - PPN (PDG)</t>
        </is>
      </c>
      <c r="AI4941" t="n">
        <v>1375</v>
      </c>
      <c r="AJ4941" t="inlineStr">
        <is>
          <t>SANIYE</t>
        </is>
      </c>
      <c r="AK4941" t="n">
        <v>21</v>
      </c>
      <c r="AL4941" t="inlineStr">
        <is>
          <t>Miss Glam Damar</t>
        </is>
      </c>
      <c r="AM4941" t="n">
        <v>2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SANIYE</t>
        </is>
      </c>
      <c r="B4942" s="2">
        <f>"20101209718"</f>
        <v/>
      </c>
      <c r="C4942" t="inlineStr">
        <is>
          <t>SANIYE Setting Spray R3063 100ml</t>
        </is>
      </c>
      <c r="D4942" t="inlineStr">
        <is>
          <t>Miss Glam Damar</t>
        </is>
      </c>
      <c r="E4942" t="n">
        <v>4</v>
      </c>
      <c r="F4942" t="n">
        <v>0.09100000000000001</v>
      </c>
      <c r="G4942" t="n">
        <v>1.82</v>
      </c>
      <c r="H4942" t="n">
        <v>1</v>
      </c>
      <c r="I4942" t="n">
        <v>7</v>
      </c>
      <c r="J4942" t="n">
        <v>1</v>
      </c>
      <c r="K4942" t="n">
        <v>0</v>
      </c>
      <c r="L4942" t="n">
        <v>31917</v>
      </c>
      <c r="M4942" t="n">
        <v>39900</v>
      </c>
      <c r="N4942" t="n">
        <v>91</v>
      </c>
      <c r="O4942" t="n">
        <v>0.91</v>
      </c>
      <c r="P4942" t="n">
        <v>1</v>
      </c>
      <c r="Q4942" t="n">
        <v>0.02</v>
      </c>
      <c r="R4942" t="n">
        <v>1</v>
      </c>
      <c r="S4942" t="n">
        <v>3630.900000000001</v>
      </c>
      <c r="T4942" t="n">
        <v>13</v>
      </c>
      <c r="U4942" t="n">
        <v>14</v>
      </c>
      <c r="V4942" t="n">
        <v>30</v>
      </c>
      <c r="W4942" t="n">
        <v>3</v>
      </c>
      <c r="X4942" t="n">
        <v>43.95604395604395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11172</v>
      </c>
      <c r="AG4942" t="n">
        <v>54</v>
      </c>
      <c r="AH4942" t="inlineStr">
        <is>
          <t>PT. MIRANTI ADILLHA - PPN (PDG)</t>
        </is>
      </c>
      <c r="AI4942" t="n">
        <v>1375</v>
      </c>
      <c r="AJ4942" t="inlineStr">
        <is>
          <t>SANIYE</t>
        </is>
      </c>
      <c r="AK4942" t="n">
        <v>21</v>
      </c>
      <c r="AL4942" t="inlineStr">
        <is>
          <t>Miss Glam Damar</t>
        </is>
      </c>
      <c r="AM4942" t="n">
        <v>2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SANIYE</t>
        </is>
      </c>
      <c r="B4943" s="2">
        <f>"20101209854"</f>
        <v/>
      </c>
      <c r="C4943" t="inlineStr">
        <is>
          <t>SANIYE Setting Spray R3081 100ml</t>
        </is>
      </c>
      <c r="D4943" t="inlineStr">
        <is>
          <t>Miss Glam Damar</t>
        </is>
      </c>
      <c r="E4943" t="n">
        <v>3</v>
      </c>
      <c r="F4943" t="n">
        <v>0.4641</v>
      </c>
      <c r="G4943" t="n">
        <v>3.64</v>
      </c>
      <c r="H4943" t="n">
        <v>1</v>
      </c>
      <c r="I4943" t="n">
        <v>7</v>
      </c>
      <c r="J4943" t="n">
        <v>1</v>
      </c>
      <c r="K4943" t="n">
        <v>0</v>
      </c>
      <c r="L4943" t="n">
        <v>30321</v>
      </c>
      <c r="M4943" t="n">
        <v>37900</v>
      </c>
      <c r="N4943" t="n">
        <v>91</v>
      </c>
      <c r="O4943" t="n">
        <v>0.91</v>
      </c>
      <c r="P4943" t="n">
        <v>1</v>
      </c>
      <c r="Q4943" t="n">
        <v>0.05</v>
      </c>
      <c r="R4943" t="n">
        <v>1</v>
      </c>
      <c r="S4943" t="n">
        <v>17589.39</v>
      </c>
      <c r="T4943" t="n">
        <v>26</v>
      </c>
      <c r="U4943" t="n">
        <v>27</v>
      </c>
      <c r="V4943" t="n">
        <v>30</v>
      </c>
      <c r="W4943" t="n">
        <v>14</v>
      </c>
      <c r="X4943" t="n">
        <v>6.464124111182935</v>
      </c>
      <c r="Y4943" t="n">
        <v>1</v>
      </c>
      <c r="Z4943" t="n">
        <v>11</v>
      </c>
      <c r="AA4943" t="n">
        <v>1</v>
      </c>
      <c r="AB4943" t="n">
        <v>10</v>
      </c>
      <c r="AC4943" t="n">
        <v>10</v>
      </c>
      <c r="AD4943" t="n">
        <v>30321</v>
      </c>
      <c r="AE4943" t="n">
        <v>303210</v>
      </c>
      <c r="AF4943" t="n">
        <v>11172</v>
      </c>
      <c r="AG4943" t="n">
        <v>54</v>
      </c>
      <c r="AH4943" t="inlineStr">
        <is>
          <t>PT. MIRANTI ADILLHA - PPN (PDG)</t>
        </is>
      </c>
      <c r="AI4943" t="n">
        <v>1375</v>
      </c>
      <c r="AJ4943" t="inlineStr">
        <is>
          <t>SANIYE</t>
        </is>
      </c>
      <c r="AK4943" t="n">
        <v>21</v>
      </c>
      <c r="AL4943" t="inlineStr">
        <is>
          <t>Miss Glam Damar</t>
        </is>
      </c>
      <c r="AM4943" t="n">
        <v>2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SANIYE</t>
        </is>
      </c>
      <c r="B4944" s="2">
        <f>"203002197549"</f>
        <v/>
      </c>
      <c r="C4944" t="inlineStr">
        <is>
          <t>SANIYE Velvet Lip Gloss L1271 #1 30gr</t>
        </is>
      </c>
      <c r="D4944" t="inlineStr">
        <is>
          <t>Miss Glam Damar</t>
        </is>
      </c>
      <c r="E4944" t="n">
        <v>8</v>
      </c>
      <c r="F4944" t="n">
        <v>0.0728</v>
      </c>
      <c r="G4944" t="n">
        <v>1.82</v>
      </c>
      <c r="H4944" t="n">
        <v>1</v>
      </c>
      <c r="I4944" t="n">
        <v>7</v>
      </c>
      <c r="J4944" t="n">
        <v>1</v>
      </c>
      <c r="K4944" t="n">
        <v>0</v>
      </c>
      <c r="L4944" t="n">
        <v>17520</v>
      </c>
      <c r="M4944" t="n">
        <v>22000</v>
      </c>
      <c r="N4944" t="n">
        <v>91</v>
      </c>
      <c r="O4944" t="n">
        <v>0.91</v>
      </c>
      <c r="P4944" t="n">
        <v>1</v>
      </c>
      <c r="Q4944" t="n">
        <v>0.12</v>
      </c>
      <c r="R4944" t="n">
        <v>1</v>
      </c>
      <c r="S4944" t="n">
        <v>1601.6</v>
      </c>
      <c r="T4944" t="n">
        <v>13</v>
      </c>
      <c r="U4944" t="n">
        <v>14</v>
      </c>
      <c r="V4944" t="n">
        <v>30</v>
      </c>
      <c r="W4944" t="n">
        <v>3</v>
      </c>
      <c r="X4944" t="n">
        <v>109.8901098901099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11172</v>
      </c>
      <c r="AG4944" t="n">
        <v>54</v>
      </c>
      <c r="AH4944" t="inlineStr">
        <is>
          <t>PT. MIRANTI ADILLHA - PPN (PDG)</t>
        </is>
      </c>
      <c r="AI4944" t="n">
        <v>1375</v>
      </c>
      <c r="AJ4944" t="inlineStr">
        <is>
          <t>SANIYE</t>
        </is>
      </c>
      <c r="AK4944" t="n">
        <v>21</v>
      </c>
      <c r="AL4944" t="inlineStr">
        <is>
          <t>Miss Glam Damar</t>
        </is>
      </c>
      <c r="AM4944" t="n">
        <v>2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SANIYE</t>
        </is>
      </c>
      <c r="B4945" s="2">
        <f>"203002197642"</f>
        <v/>
      </c>
      <c r="C4945" t="inlineStr">
        <is>
          <t>SANIYE Velvet Lip Gloss L1271 #2 30gr</t>
        </is>
      </c>
      <c r="D4945" t="inlineStr">
        <is>
          <t>Miss Glam Damar</t>
        </is>
      </c>
      <c r="E4945" t="n">
        <v>7</v>
      </c>
      <c r="F4945" t="n">
        <v>0.1547</v>
      </c>
      <c r="G4945" t="n">
        <v>2.73</v>
      </c>
      <c r="H4945" t="n">
        <v>1</v>
      </c>
      <c r="I4945" t="n">
        <v>7</v>
      </c>
      <c r="J4945" t="n">
        <v>1</v>
      </c>
      <c r="K4945" t="n">
        <v>0</v>
      </c>
      <c r="L4945" t="n">
        <v>17520</v>
      </c>
      <c r="M4945" t="n">
        <v>22000</v>
      </c>
      <c r="N4945" t="n">
        <v>91</v>
      </c>
      <c r="O4945" t="n">
        <v>0.91</v>
      </c>
      <c r="P4945" t="n">
        <v>1</v>
      </c>
      <c r="Q4945" t="n">
        <v>0.07000000000000001</v>
      </c>
      <c r="R4945" t="n">
        <v>1</v>
      </c>
      <c r="S4945" t="n">
        <v>3403.4</v>
      </c>
      <c r="T4945" t="n">
        <v>19</v>
      </c>
      <c r="U4945" t="n">
        <v>20</v>
      </c>
      <c r="V4945" t="n">
        <v>30</v>
      </c>
      <c r="W4945" t="n">
        <v>5</v>
      </c>
      <c r="X4945" t="n">
        <v>45.24886877828054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11172</v>
      </c>
      <c r="AG4945" t="n">
        <v>54</v>
      </c>
      <c r="AH4945" t="inlineStr">
        <is>
          <t>PT. MIRANTI ADILLHA - PPN (PDG)</t>
        </is>
      </c>
      <c r="AI4945" t="n">
        <v>1375</v>
      </c>
      <c r="AJ4945" t="inlineStr">
        <is>
          <t>SANIYE</t>
        </is>
      </c>
      <c r="AK4945" t="n">
        <v>21</v>
      </c>
      <c r="AL4945" t="inlineStr">
        <is>
          <t>Miss Glam Damar</t>
        </is>
      </c>
      <c r="AM4945" t="n">
        <v>2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SANIYE</t>
        </is>
      </c>
      <c r="B4946" s="2">
        <f>"203002197710"</f>
        <v/>
      </c>
      <c r="C4946" t="inlineStr">
        <is>
          <t>SANIYE Velvet Lip Gloss L1271 #3 30gr</t>
        </is>
      </c>
      <c r="D4946" t="inlineStr">
        <is>
          <t>Miss Glam Damar</t>
        </is>
      </c>
      <c r="E4946" t="n">
        <v>7</v>
      </c>
      <c r="F4946" t="n">
        <v>0.0273</v>
      </c>
      <c r="G4946" t="n">
        <v>0.91</v>
      </c>
      <c r="H4946" t="n">
        <v>1</v>
      </c>
      <c r="I4946" t="n">
        <v>7</v>
      </c>
      <c r="J4946" t="n">
        <v>1</v>
      </c>
      <c r="K4946" t="n">
        <v>0</v>
      </c>
      <c r="L4946" t="n">
        <v>17520</v>
      </c>
      <c r="M4946" t="n">
        <v>22000</v>
      </c>
      <c r="N4946" t="n">
        <v>91</v>
      </c>
      <c r="O4946" t="n">
        <v>0.91</v>
      </c>
      <c r="P4946" t="n">
        <v>1</v>
      </c>
      <c r="Q4946" t="n">
        <v>0.05</v>
      </c>
      <c r="R4946" t="n">
        <v>1</v>
      </c>
      <c r="S4946" t="n">
        <v>600.6</v>
      </c>
      <c r="T4946" t="n">
        <v>7</v>
      </c>
      <c r="U4946" t="n">
        <v>8</v>
      </c>
      <c r="V4946" t="n">
        <v>30</v>
      </c>
      <c r="W4946" t="n">
        <v>1</v>
      </c>
      <c r="X4946" t="n">
        <v>256.4102564102564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11172</v>
      </c>
      <c r="AG4946" t="n">
        <v>54</v>
      </c>
      <c r="AH4946" t="inlineStr">
        <is>
          <t>PT. MIRANTI ADILLHA - PPN (PDG)</t>
        </is>
      </c>
      <c r="AI4946" t="n">
        <v>1375</v>
      </c>
      <c r="AJ4946" t="inlineStr">
        <is>
          <t>SANIYE</t>
        </is>
      </c>
      <c r="AK4946" t="n">
        <v>21</v>
      </c>
      <c r="AL4946" t="inlineStr">
        <is>
          <t>Miss Glam Damar</t>
        </is>
      </c>
      <c r="AM4946" t="n">
        <v>2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SANIYE</t>
        </is>
      </c>
      <c r="B4947" s="2">
        <f>"203002197845"</f>
        <v/>
      </c>
      <c r="C4947" t="inlineStr">
        <is>
          <t>SANIYE Velvet Lip Gloss L1271 #4 30gr</t>
        </is>
      </c>
      <c r="D4947" t="inlineStr">
        <is>
          <t>Miss Glam Damar</t>
        </is>
      </c>
      <c r="E4947" t="n">
        <v>6</v>
      </c>
      <c r="F4947" t="n">
        <v>0.1729</v>
      </c>
      <c r="G4947" t="n">
        <v>1.82</v>
      </c>
      <c r="H4947" t="n">
        <v>1</v>
      </c>
      <c r="I4947" t="n">
        <v>7</v>
      </c>
      <c r="J4947" t="n">
        <v>1</v>
      </c>
      <c r="K4947" t="n">
        <v>0</v>
      </c>
      <c r="L4947" t="n">
        <v>17520</v>
      </c>
      <c r="M4947" t="n">
        <v>22000</v>
      </c>
      <c r="N4947" t="n">
        <v>91</v>
      </c>
      <c r="O4947" t="n">
        <v>0.91</v>
      </c>
      <c r="P4947" t="n">
        <v>1</v>
      </c>
      <c r="Q4947" t="n">
        <v>0.05</v>
      </c>
      <c r="R4947" t="n">
        <v>1</v>
      </c>
      <c r="S4947" t="n">
        <v>3803.8</v>
      </c>
      <c r="T4947" t="n">
        <v>13</v>
      </c>
      <c r="U4947" t="n">
        <v>14</v>
      </c>
      <c r="V4947" t="n">
        <v>30</v>
      </c>
      <c r="W4947" t="n">
        <v>6</v>
      </c>
      <c r="X4947" t="n">
        <v>34.70213996529786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11172</v>
      </c>
      <c r="AG4947" t="n">
        <v>54</v>
      </c>
      <c r="AH4947" t="inlineStr">
        <is>
          <t>PT. MIRANTI ADILLHA - PPN (PDG)</t>
        </is>
      </c>
      <c r="AI4947" t="n">
        <v>1375</v>
      </c>
      <c r="AJ4947" t="inlineStr">
        <is>
          <t>SANIYE</t>
        </is>
      </c>
      <c r="AK4947" t="n">
        <v>21</v>
      </c>
      <c r="AL4947" t="inlineStr">
        <is>
          <t>Miss Glam Damar</t>
        </is>
      </c>
      <c r="AM4947" t="n">
        <v>2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SANIYE</t>
        </is>
      </c>
      <c r="B4948" s="2">
        <f>"203002197919"</f>
        <v/>
      </c>
      <c r="C4948" t="inlineStr">
        <is>
          <t>SANIYE Velvet Lip Gloss L1271 #5 30gr</t>
        </is>
      </c>
      <c r="D4948" t="inlineStr">
        <is>
          <t>Miss Glam Damar</t>
        </is>
      </c>
      <c r="E4948" t="n">
        <v>1</v>
      </c>
      <c r="F4948" t="n">
        <v>0.0728</v>
      </c>
      <c r="G4948" t="n">
        <v>1.82</v>
      </c>
      <c r="H4948" t="n">
        <v>1</v>
      </c>
      <c r="I4948" t="n">
        <v>7</v>
      </c>
      <c r="J4948" t="n">
        <v>1</v>
      </c>
      <c r="K4948" t="n">
        <v>0</v>
      </c>
      <c r="L4948" t="n">
        <v>17520</v>
      </c>
      <c r="M4948" t="n">
        <v>22000</v>
      </c>
      <c r="N4948" t="n">
        <v>91</v>
      </c>
      <c r="O4948" t="n">
        <v>0.91</v>
      </c>
      <c r="P4948" t="n">
        <v>1</v>
      </c>
      <c r="Q4948" t="n">
        <v>0.08</v>
      </c>
      <c r="R4948" t="n">
        <v>1</v>
      </c>
      <c r="S4948" t="n">
        <v>1601.6</v>
      </c>
      <c r="T4948" t="n">
        <v>13</v>
      </c>
      <c r="U4948" t="n">
        <v>14</v>
      </c>
      <c r="V4948" t="n">
        <v>30</v>
      </c>
      <c r="W4948" t="n">
        <v>3</v>
      </c>
      <c r="X4948" t="n">
        <v>13.73626373626374</v>
      </c>
      <c r="Y4948" t="n">
        <v>1</v>
      </c>
      <c r="Z4948" t="n">
        <v>2</v>
      </c>
      <c r="AA4948" t="n">
        <v>0</v>
      </c>
      <c r="AB4948" t="n">
        <v>2</v>
      </c>
      <c r="AC4948" t="n">
        <v>2</v>
      </c>
      <c r="AD4948" t="n">
        <v>0</v>
      </c>
      <c r="AE4948" t="n">
        <v>35040</v>
      </c>
      <c r="AF4948" t="n">
        <v>11172</v>
      </c>
      <c r="AG4948" t="n">
        <v>54</v>
      </c>
      <c r="AH4948" t="inlineStr">
        <is>
          <t>PT. MIRANTI ADILLHA - PPN (PDG)</t>
        </is>
      </c>
      <c r="AI4948" t="n">
        <v>1375</v>
      </c>
      <c r="AJ4948" t="inlineStr">
        <is>
          <t>SANIYE</t>
        </is>
      </c>
      <c r="AK4948" t="n">
        <v>21</v>
      </c>
      <c r="AL4948" t="inlineStr">
        <is>
          <t>Miss Glam Damar</t>
        </is>
      </c>
      <c r="AM4948" t="n">
        <v>2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SANIYE</t>
        </is>
      </c>
      <c r="B4949" s="2">
        <f>"203002198004"</f>
        <v/>
      </c>
      <c r="C4949" t="inlineStr">
        <is>
          <t>SANIYE Velvet Lip Gloss L1271 #6 30gr</t>
        </is>
      </c>
      <c r="D4949" t="inlineStr">
        <is>
          <t>Miss Glam Damar</t>
        </is>
      </c>
      <c r="E4949" t="n">
        <v>3</v>
      </c>
      <c r="F4949" t="n">
        <v>0.4004</v>
      </c>
      <c r="G4949" t="n">
        <v>2.73</v>
      </c>
      <c r="H4949" t="n">
        <v>1</v>
      </c>
      <c r="I4949" t="n">
        <v>7</v>
      </c>
      <c r="J4949" t="n">
        <v>1</v>
      </c>
      <c r="K4949" t="n">
        <v>0</v>
      </c>
      <c r="L4949" t="n">
        <v>17520</v>
      </c>
      <c r="M4949" t="n">
        <v>22000</v>
      </c>
      <c r="N4949" t="n">
        <v>91</v>
      </c>
      <c r="O4949" t="n">
        <v>0.91</v>
      </c>
      <c r="P4949" t="n">
        <v>1</v>
      </c>
      <c r="Q4949" t="n">
        <v>0.02</v>
      </c>
      <c r="R4949" t="n">
        <v>1</v>
      </c>
      <c r="S4949" t="n">
        <v>8808.800000000001</v>
      </c>
      <c r="T4949" t="n">
        <v>19</v>
      </c>
      <c r="U4949" t="n">
        <v>20</v>
      </c>
      <c r="V4949" t="n">
        <v>30</v>
      </c>
      <c r="W4949" t="n">
        <v>13</v>
      </c>
      <c r="X4949" t="n">
        <v>7.492507492507491</v>
      </c>
      <c r="Y4949" t="n">
        <v>1</v>
      </c>
      <c r="Z4949" t="n">
        <v>10</v>
      </c>
      <c r="AA4949" t="n">
        <v>0</v>
      </c>
      <c r="AB4949" t="n">
        <v>10</v>
      </c>
      <c r="AC4949" t="n">
        <v>10</v>
      </c>
      <c r="AD4949" t="n">
        <v>0</v>
      </c>
      <c r="AE4949" t="n">
        <v>175200</v>
      </c>
      <c r="AF4949" t="n">
        <v>11172</v>
      </c>
      <c r="AG4949" t="n">
        <v>54</v>
      </c>
      <c r="AH4949" t="inlineStr">
        <is>
          <t>PT. MIRANTI ADILLHA - PPN (PDG)</t>
        </is>
      </c>
      <c r="AI4949" t="n">
        <v>1375</v>
      </c>
      <c r="AJ4949" t="inlineStr">
        <is>
          <t>SANIYE</t>
        </is>
      </c>
      <c r="AK4949" t="n">
        <v>21</v>
      </c>
      <c r="AL4949" t="inlineStr">
        <is>
          <t>Miss Glam Damar</t>
        </is>
      </c>
      <c r="AM4949" t="n">
        <v>2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SANIYE</t>
        </is>
      </c>
      <c r="B4950" s="2">
        <f>"203002198134"</f>
        <v/>
      </c>
      <c r="C4950" t="inlineStr">
        <is>
          <t>SANIYE Velvet Lip Gloss L1271 #7 30gr</t>
        </is>
      </c>
      <c r="D4950" t="inlineStr">
        <is>
          <t>Miss Glam Damar</t>
        </is>
      </c>
      <c r="E4950" t="n">
        <v>3</v>
      </c>
      <c r="F4950" t="n">
        <v>0.0273</v>
      </c>
      <c r="G4950" t="n">
        <v>1.82</v>
      </c>
      <c r="H4950" t="n">
        <v>1</v>
      </c>
      <c r="I4950" t="n">
        <v>7</v>
      </c>
      <c r="J4950" t="n">
        <v>1</v>
      </c>
      <c r="K4950" t="n">
        <v>0</v>
      </c>
      <c r="L4950" t="n">
        <v>17520</v>
      </c>
      <c r="M4950" t="n">
        <v>22000</v>
      </c>
      <c r="N4950" t="n">
        <v>91</v>
      </c>
      <c r="O4950" t="n">
        <v>0.91</v>
      </c>
      <c r="P4950" t="n">
        <v>1</v>
      </c>
      <c r="Q4950" t="n">
        <v>0.03</v>
      </c>
      <c r="R4950" t="n">
        <v>1</v>
      </c>
      <c r="S4950" t="n">
        <v>600.6</v>
      </c>
      <c r="T4950" t="n">
        <v>13</v>
      </c>
      <c r="U4950" t="n">
        <v>14</v>
      </c>
      <c r="V4950" t="n">
        <v>30</v>
      </c>
      <c r="W4950" t="n">
        <v>1</v>
      </c>
      <c r="X4950" t="n">
        <v>109.8901098901099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11172</v>
      </c>
      <c r="AG4950" t="n">
        <v>54</v>
      </c>
      <c r="AH4950" t="inlineStr">
        <is>
          <t>PT. MIRANTI ADILLHA - PPN (PDG)</t>
        </is>
      </c>
      <c r="AI4950" t="n">
        <v>1375</v>
      </c>
      <c r="AJ4950" t="inlineStr">
        <is>
          <t>SANIYE</t>
        </is>
      </c>
      <c r="AK4950" t="n">
        <v>21</v>
      </c>
      <c r="AL4950" t="inlineStr">
        <is>
          <t>Miss Glam Damar</t>
        </is>
      </c>
      <c r="AM4950" t="n">
        <v>2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SANIYE</t>
        </is>
      </c>
      <c r="B4951" s="2">
        <f>"203002198203"</f>
        <v/>
      </c>
      <c r="C4951" t="inlineStr">
        <is>
          <t>SANIYE Velvet Lip Gloss L1271 #8 30gr</t>
        </is>
      </c>
      <c r="D4951" t="inlineStr">
        <is>
          <t>Miss Glam Damar</t>
        </is>
      </c>
      <c r="E4951" t="n">
        <v>8</v>
      </c>
      <c r="F4951" t="n">
        <v>0.1092</v>
      </c>
      <c r="G4951" t="n">
        <v>0.91</v>
      </c>
      <c r="H4951" t="n">
        <v>1</v>
      </c>
      <c r="I4951" t="n">
        <v>7</v>
      </c>
      <c r="J4951" t="n">
        <v>1</v>
      </c>
      <c r="K4951" t="n">
        <v>0</v>
      </c>
      <c r="L4951" t="n">
        <v>17520</v>
      </c>
      <c r="M4951" t="n">
        <v>22000</v>
      </c>
      <c r="N4951" t="n">
        <v>91</v>
      </c>
      <c r="O4951" t="n">
        <v>0.91</v>
      </c>
      <c r="P4951" t="n">
        <v>1</v>
      </c>
      <c r="Q4951" t="n">
        <v>0.12</v>
      </c>
      <c r="R4951" t="n">
        <v>2</v>
      </c>
      <c r="S4951" t="n">
        <v>2402.4</v>
      </c>
      <c r="T4951" t="n">
        <v>7</v>
      </c>
      <c r="U4951" t="n">
        <v>8</v>
      </c>
      <c r="V4951" t="n">
        <v>30</v>
      </c>
      <c r="W4951" t="n">
        <v>4</v>
      </c>
      <c r="X4951" t="n">
        <v>73.26007326007326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11172</v>
      </c>
      <c r="AG4951" t="n">
        <v>54</v>
      </c>
      <c r="AH4951" t="inlineStr">
        <is>
          <t>PT. MIRANTI ADILLHA - PPN (PDG)</t>
        </is>
      </c>
      <c r="AI4951" t="n">
        <v>1375</v>
      </c>
      <c r="AJ4951" t="inlineStr">
        <is>
          <t>SANIYE</t>
        </is>
      </c>
      <c r="AK4951" t="n">
        <v>21</v>
      </c>
      <c r="AL4951" t="inlineStr">
        <is>
          <t>Miss Glam Damar</t>
        </is>
      </c>
      <c r="AM4951" t="n">
        <v>2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SANIYE</t>
        </is>
      </c>
      <c r="B4952" s="2">
        <f>"203002198340"</f>
        <v/>
      </c>
      <c r="C4952" t="inlineStr">
        <is>
          <t>SANIYE Velvet Lip Gloss L1271 #9 30gr</t>
        </is>
      </c>
      <c r="D4952" t="inlineStr">
        <is>
          <t>Miss Glam Damar</t>
        </is>
      </c>
      <c r="E4952" t="n">
        <v>3</v>
      </c>
      <c r="F4952" t="n">
        <v>0.1547</v>
      </c>
      <c r="G4952" t="n">
        <v>0.91</v>
      </c>
      <c r="H4952" t="n">
        <v>1</v>
      </c>
      <c r="I4952" t="n">
        <v>7</v>
      </c>
      <c r="J4952" t="n">
        <v>1</v>
      </c>
      <c r="K4952" t="n">
        <v>0</v>
      </c>
      <c r="L4952" t="n">
        <v>17520</v>
      </c>
      <c r="M4952" t="n">
        <v>22000</v>
      </c>
      <c r="N4952" t="n">
        <v>91</v>
      </c>
      <c r="O4952" t="n">
        <v>0.91</v>
      </c>
      <c r="P4952" t="n">
        <v>1</v>
      </c>
      <c r="Q4952" t="n">
        <v>0.1</v>
      </c>
      <c r="R4952" t="n">
        <v>2</v>
      </c>
      <c r="S4952" t="n">
        <v>3403.4</v>
      </c>
      <c r="T4952" t="n">
        <v>7</v>
      </c>
      <c r="U4952" t="n">
        <v>8</v>
      </c>
      <c r="V4952" t="n">
        <v>30</v>
      </c>
      <c r="W4952" t="n">
        <v>5</v>
      </c>
      <c r="X4952" t="n">
        <v>19.3923723335488</v>
      </c>
      <c r="Y4952" t="n">
        <v>1</v>
      </c>
      <c r="Z4952" t="n">
        <v>2</v>
      </c>
      <c r="AA4952" t="n">
        <v>0</v>
      </c>
      <c r="AB4952" t="n">
        <v>2</v>
      </c>
      <c r="AC4952" t="n">
        <v>2</v>
      </c>
      <c r="AD4952" t="n">
        <v>0</v>
      </c>
      <c r="AE4952" t="n">
        <v>35040</v>
      </c>
      <c r="AF4952" t="n">
        <v>11172</v>
      </c>
      <c r="AG4952" t="n">
        <v>54</v>
      </c>
      <c r="AH4952" t="inlineStr">
        <is>
          <t>PT. MIRANTI ADILLHA - PPN (PDG)</t>
        </is>
      </c>
      <c r="AI4952" t="n">
        <v>1375</v>
      </c>
      <c r="AJ4952" t="inlineStr">
        <is>
          <t>SANIYE</t>
        </is>
      </c>
      <c r="AK4952" t="n">
        <v>21</v>
      </c>
      <c r="AL4952" t="inlineStr">
        <is>
          <t>Miss Glam Damar</t>
        </is>
      </c>
      <c r="AM4952" t="n">
        <v>2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SARIAYU</t>
        </is>
      </c>
      <c r="B4953" s="2">
        <f>"8990090301748"</f>
        <v/>
      </c>
      <c r="C4953" t="inlineStr">
        <is>
          <t>SARIAYU Acne Care Facial Foam 75gr</t>
        </is>
      </c>
      <c r="D4953" t="inlineStr">
        <is>
          <t>Miss Glam Damar</t>
        </is>
      </c>
      <c r="E4953" t="n">
        <v>4</v>
      </c>
      <c r="F4953" t="n">
        <v>0.1547</v>
      </c>
      <c r="G4953" t="n">
        <v>0.91</v>
      </c>
      <c r="H4953" t="n">
        <v>2</v>
      </c>
      <c r="I4953" t="n">
        <v>6</v>
      </c>
      <c r="J4953" t="n">
        <v>3</v>
      </c>
      <c r="K4953" t="n">
        <v>0</v>
      </c>
      <c r="L4953" t="n">
        <v>20400</v>
      </c>
      <c r="M4953" t="n">
        <v>25000</v>
      </c>
      <c r="N4953" t="n">
        <v>91</v>
      </c>
      <c r="O4953" t="n">
        <v>0.91</v>
      </c>
      <c r="P4953" t="n">
        <v>1</v>
      </c>
      <c r="Q4953" t="n">
        <v>0.15</v>
      </c>
      <c r="R4953" t="n">
        <v>3</v>
      </c>
      <c r="S4953" t="n">
        <v>3867.5</v>
      </c>
      <c r="T4953" t="n">
        <v>6</v>
      </c>
      <c r="U4953" t="n">
        <v>7</v>
      </c>
      <c r="V4953" t="n">
        <v>30</v>
      </c>
      <c r="W4953" t="n">
        <v>5</v>
      </c>
      <c r="X4953" t="n">
        <v>25.85649644473174</v>
      </c>
      <c r="Y4953" t="n">
        <v>1</v>
      </c>
      <c r="Z4953" t="n">
        <v>1</v>
      </c>
      <c r="AA4953" t="n">
        <v>0</v>
      </c>
      <c r="AB4953" t="n">
        <v>1</v>
      </c>
      <c r="AC4953" t="n">
        <v>3</v>
      </c>
      <c r="AD4953" t="n">
        <v>0</v>
      </c>
      <c r="AE4953" t="n">
        <v>61200</v>
      </c>
      <c r="AF4953" t="n">
        <v>12491</v>
      </c>
      <c r="AG4953" t="n">
        <v>3502</v>
      </c>
      <c r="AH4953" t="inlineStr">
        <is>
          <t>PT. SAI - PPN (PDG)</t>
        </is>
      </c>
      <c r="AI4953" t="n">
        <v>137</v>
      </c>
      <c r="AJ4953" t="inlineStr">
        <is>
          <t>SARIAYU</t>
        </is>
      </c>
      <c r="AK4953" t="n">
        <v>21</v>
      </c>
      <c r="AL4953" t="inlineStr">
        <is>
          <t>Miss Glam Damar</t>
        </is>
      </c>
      <c r="AM4953" t="n">
        <v>2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SARIAYU</t>
        </is>
      </c>
      <c r="B4954" s="2">
        <f>"101001115658"</f>
        <v/>
      </c>
      <c r="C4954" t="inlineStr">
        <is>
          <t>SARIAYU Age Defense Gel Facial Foam 100ml</t>
        </is>
      </c>
      <c r="D4954" t="inlineStr">
        <is>
          <t>Miss Glam Damar</t>
        </is>
      </c>
      <c r="E4954" t="n">
        <v>5</v>
      </c>
      <c r="F4954" t="n">
        <v>0.06370000000000001</v>
      </c>
      <c r="G4954" t="n">
        <v>0.91</v>
      </c>
      <c r="H4954" t="n">
        <v>2</v>
      </c>
      <c r="I4954" t="n">
        <v>6</v>
      </c>
      <c r="J4954" t="n">
        <v>1</v>
      </c>
      <c r="K4954" t="n">
        <v>0</v>
      </c>
      <c r="L4954" t="n">
        <v>26000</v>
      </c>
      <c r="M4954" t="n">
        <v>32500</v>
      </c>
      <c r="N4954" t="n">
        <v>91</v>
      </c>
      <c r="O4954" t="n">
        <v>0.91</v>
      </c>
      <c r="P4954" t="n">
        <v>1</v>
      </c>
      <c r="Q4954" t="n">
        <v>0.02</v>
      </c>
      <c r="R4954" t="n">
        <v>1</v>
      </c>
      <c r="S4954" t="n">
        <v>2070.25</v>
      </c>
      <c r="T4954" t="n">
        <v>6</v>
      </c>
      <c r="U4954" t="n">
        <v>7</v>
      </c>
      <c r="V4954" t="n">
        <v>30</v>
      </c>
      <c r="W4954" t="n">
        <v>2</v>
      </c>
      <c r="X4954" t="n">
        <v>78.49293563579278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12491</v>
      </c>
      <c r="AG4954" t="n">
        <v>3502</v>
      </c>
      <c r="AH4954" t="inlineStr">
        <is>
          <t>PT. SAI - PPN (PDG)</t>
        </is>
      </c>
      <c r="AI4954" t="n">
        <v>137</v>
      </c>
      <c r="AJ4954" t="inlineStr">
        <is>
          <t>SARIAYU</t>
        </is>
      </c>
      <c r="AK4954" t="n">
        <v>21</v>
      </c>
      <c r="AL4954" t="inlineStr">
        <is>
          <t>Miss Glam Damar</t>
        </is>
      </c>
      <c r="AM4954" t="n">
        <v>2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SARIAYU</t>
        </is>
      </c>
      <c r="B4955" s="2">
        <f>"8990090990034"</f>
        <v/>
      </c>
      <c r="C4955" t="inlineStr">
        <is>
          <t>SARIAYU Beauty Cotton 35gr</t>
        </is>
      </c>
      <c r="D4955" t="inlineStr">
        <is>
          <t>Miss Glam Damar</t>
        </is>
      </c>
      <c r="E4955" t="n">
        <v>242</v>
      </c>
      <c r="F4955" t="n">
        <v>25.9714</v>
      </c>
      <c r="G4955" t="n">
        <v>55.51000000000001</v>
      </c>
      <c r="H4955" t="n">
        <v>2</v>
      </c>
      <c r="I4955" t="n">
        <v>6</v>
      </c>
      <c r="J4955" t="n">
        <v>144</v>
      </c>
      <c r="K4955" t="n">
        <v>0</v>
      </c>
      <c r="L4955" t="n">
        <v>5348</v>
      </c>
      <c r="M4955" t="n">
        <v>6500</v>
      </c>
      <c r="N4955" t="n">
        <v>91</v>
      </c>
      <c r="O4955" t="n">
        <v>0.91</v>
      </c>
      <c r="P4955" t="n">
        <v>1</v>
      </c>
      <c r="Q4955" t="n">
        <v>8.470000000000001</v>
      </c>
      <c r="R4955" t="n">
        <v>19</v>
      </c>
      <c r="S4955" t="n">
        <v>168814.1</v>
      </c>
      <c r="T4955" t="n">
        <v>282</v>
      </c>
      <c r="U4955" t="n">
        <v>334</v>
      </c>
      <c r="V4955" t="n">
        <v>30</v>
      </c>
      <c r="W4955" t="n">
        <v>780</v>
      </c>
      <c r="X4955" t="n">
        <v>9.317942043940644</v>
      </c>
      <c r="Y4955" t="n">
        <v>1</v>
      </c>
      <c r="Z4955" t="n">
        <v>538</v>
      </c>
      <c r="AA4955" t="n">
        <v>0</v>
      </c>
      <c r="AB4955" t="n">
        <v>538</v>
      </c>
      <c r="AC4955" t="n">
        <v>538</v>
      </c>
      <c r="AD4955" t="n">
        <v>0</v>
      </c>
      <c r="AE4955" t="n">
        <v>2877224</v>
      </c>
      <c r="AF4955" t="n">
        <v>12491</v>
      </c>
      <c r="AG4955" t="n">
        <v>3502</v>
      </c>
      <c r="AH4955" t="inlineStr">
        <is>
          <t>PT. SAI - PPN (PDG)</t>
        </is>
      </c>
      <c r="AI4955" t="n">
        <v>137</v>
      </c>
      <c r="AJ4955" t="inlineStr">
        <is>
          <t>SARIAYU</t>
        </is>
      </c>
      <c r="AK4955" t="n">
        <v>21</v>
      </c>
      <c r="AL4955" t="inlineStr">
        <is>
          <t>Miss Glam Damar</t>
        </is>
      </c>
      <c r="AM4955" t="n">
        <v>2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SARIAYU</t>
        </is>
      </c>
      <c r="B4956" s="2">
        <f>"8990090311501"</f>
        <v/>
      </c>
      <c r="C4956" t="inlineStr">
        <is>
          <t>SARIAYU Bright Skin Facial Foam Putih Langsat 75gr</t>
        </is>
      </c>
      <c r="D4956" t="inlineStr">
        <is>
          <t>Miss Glam Damar</t>
        </is>
      </c>
      <c r="E4956" t="n">
        <v>5</v>
      </c>
      <c r="F4956" t="n">
        <v>0.1274</v>
      </c>
      <c r="G4956" t="n">
        <v>1.82</v>
      </c>
      <c r="H4956" t="n">
        <v>2</v>
      </c>
      <c r="I4956" t="n">
        <v>6</v>
      </c>
      <c r="J4956" t="n">
        <v>3</v>
      </c>
      <c r="K4956" t="n">
        <v>0</v>
      </c>
      <c r="L4956" t="n">
        <v>20000</v>
      </c>
      <c r="M4956" t="n">
        <v>24000</v>
      </c>
      <c r="N4956" t="n">
        <v>91</v>
      </c>
      <c r="O4956" t="n">
        <v>0.91</v>
      </c>
      <c r="P4956" t="n">
        <v>1</v>
      </c>
      <c r="Q4956" t="n">
        <v>0.03</v>
      </c>
      <c r="R4956" t="n">
        <v>1</v>
      </c>
      <c r="S4956" t="n">
        <v>3057.6</v>
      </c>
      <c r="T4956" t="n">
        <v>11</v>
      </c>
      <c r="U4956" t="n">
        <v>12</v>
      </c>
      <c r="V4956" t="n">
        <v>30</v>
      </c>
      <c r="W4956" t="n">
        <v>4</v>
      </c>
      <c r="X4956" t="n">
        <v>39.24646781789639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12491</v>
      </c>
      <c r="AG4956" t="n">
        <v>3502</v>
      </c>
      <c r="AH4956" t="inlineStr">
        <is>
          <t>PT. SAI - PPN (PDG)</t>
        </is>
      </c>
      <c r="AI4956" t="n">
        <v>137</v>
      </c>
      <c r="AJ4956" t="inlineStr">
        <is>
          <t>SARIAYU</t>
        </is>
      </c>
      <c r="AK4956" t="n">
        <v>21</v>
      </c>
      <c r="AL4956" t="inlineStr">
        <is>
          <t>Miss Glam Damar</t>
        </is>
      </c>
      <c r="AM4956" t="n">
        <v>2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SARIAYU</t>
        </is>
      </c>
      <c r="B4957" s="2">
        <f>"101001113139"</f>
        <v/>
      </c>
      <c r="C4957" t="inlineStr">
        <is>
          <t>SARIAYU Hydraglow Gel Facial Foam 100ml</t>
        </is>
      </c>
      <c r="D4957" t="inlineStr">
        <is>
          <t>Miss Glam Damar</t>
        </is>
      </c>
      <c r="E4957" t="n">
        <v>4</v>
      </c>
      <c r="F4957" t="n">
        <v>0.0182</v>
      </c>
      <c r="G4957" t="n">
        <v>0.91</v>
      </c>
      <c r="H4957" t="n">
        <v>2</v>
      </c>
      <c r="I4957" t="n">
        <v>6</v>
      </c>
      <c r="J4957" t="n">
        <v>1</v>
      </c>
      <c r="K4957" t="n">
        <v>0</v>
      </c>
      <c r="L4957" t="n">
        <v>25257</v>
      </c>
      <c r="M4957" t="n">
        <v>31500</v>
      </c>
      <c r="N4957" t="n">
        <v>91</v>
      </c>
      <c r="O4957" t="n">
        <v>0.91</v>
      </c>
      <c r="P4957" t="n">
        <v>1</v>
      </c>
      <c r="Q4957" t="n">
        <v>0.05</v>
      </c>
      <c r="R4957" t="n">
        <v>1</v>
      </c>
      <c r="S4957" t="n">
        <v>573.3000000000001</v>
      </c>
      <c r="T4957" t="n">
        <v>6</v>
      </c>
      <c r="U4957" t="n">
        <v>7</v>
      </c>
      <c r="V4957" t="n">
        <v>30</v>
      </c>
      <c r="W4957" t="n">
        <v>1</v>
      </c>
      <c r="X4957" t="n">
        <v>219.7802197802198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12491</v>
      </c>
      <c r="AG4957" t="n">
        <v>3502</v>
      </c>
      <c r="AH4957" t="inlineStr">
        <is>
          <t>PT. SAI - PPN (PDG)</t>
        </is>
      </c>
      <c r="AI4957" t="n">
        <v>137</v>
      </c>
      <c r="AJ4957" t="inlineStr">
        <is>
          <t>SARIAYU</t>
        </is>
      </c>
      <c r="AK4957" t="n">
        <v>21</v>
      </c>
      <c r="AL4957" t="inlineStr">
        <is>
          <t>Miss Glam Damar</t>
        </is>
      </c>
      <c r="AM4957" t="n">
        <v>2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SARIAYU</t>
        </is>
      </c>
      <c r="B4958" s="2">
        <f>"8990090990379"</f>
        <v/>
      </c>
      <c r="C4958" t="inlineStr">
        <is>
          <t>SARIAYU Kapas 100gr</t>
        </is>
      </c>
      <c r="D4958" t="inlineStr">
        <is>
          <t>Miss Glam Damar</t>
        </is>
      </c>
      <c r="E4958" t="n">
        <v>125</v>
      </c>
      <c r="F4958" t="n">
        <v>7.3073</v>
      </c>
      <c r="G4958" t="n">
        <v>17.29</v>
      </c>
      <c r="H4958" t="n">
        <v>2</v>
      </c>
      <c r="I4958" t="n">
        <v>6</v>
      </c>
      <c r="J4958" t="n">
        <v>72</v>
      </c>
      <c r="K4958" t="n">
        <v>0</v>
      </c>
      <c r="L4958" t="n">
        <v>15032</v>
      </c>
      <c r="M4958" t="n">
        <v>20000</v>
      </c>
      <c r="N4958" t="n">
        <v>91</v>
      </c>
      <c r="O4958" t="n">
        <v>0.91</v>
      </c>
      <c r="P4958" t="n">
        <v>1</v>
      </c>
      <c r="Q4958" t="n">
        <v>4.27</v>
      </c>
      <c r="R4958" t="n">
        <v>11</v>
      </c>
      <c r="S4958" t="n">
        <v>146146</v>
      </c>
      <c r="T4958" t="n">
        <v>90</v>
      </c>
      <c r="U4958" t="n">
        <v>105</v>
      </c>
      <c r="V4958" t="n">
        <v>30</v>
      </c>
      <c r="W4958" t="n">
        <v>220</v>
      </c>
      <c r="X4958" t="n">
        <v>17.10618148974313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12491</v>
      </c>
      <c r="AG4958" t="n">
        <v>3502</v>
      </c>
      <c r="AH4958" t="inlineStr">
        <is>
          <t>PT. SAI - PPN (PDG)</t>
        </is>
      </c>
      <c r="AI4958" t="n">
        <v>137</v>
      </c>
      <c r="AJ4958" t="inlineStr">
        <is>
          <t>SARIAYU</t>
        </is>
      </c>
      <c r="AK4958" t="n">
        <v>21</v>
      </c>
      <c r="AL4958" t="inlineStr">
        <is>
          <t>Miss Glam Damar</t>
        </is>
      </c>
      <c r="AM4958" t="n">
        <v>2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SARIAYU</t>
        </is>
      </c>
      <c r="B4959" s="2">
        <f>"8990090990041"</f>
        <v/>
      </c>
      <c r="C4959" t="inlineStr">
        <is>
          <t>SARIAYU Kapas 50gr</t>
        </is>
      </c>
      <c r="D4959" t="inlineStr">
        <is>
          <t>Miss Glam Damar</t>
        </is>
      </c>
      <c r="E4959" t="n">
        <v>161</v>
      </c>
      <c r="F4959" t="n">
        <v>21.1029</v>
      </c>
      <c r="G4959" t="n">
        <v>47.32</v>
      </c>
      <c r="H4959" t="n">
        <v>2</v>
      </c>
      <c r="I4959" t="n">
        <v>6</v>
      </c>
      <c r="J4959" t="n">
        <v>96</v>
      </c>
      <c r="K4959" t="n">
        <v>0</v>
      </c>
      <c r="L4959" t="n">
        <v>7705</v>
      </c>
      <c r="M4959" t="n">
        <v>9500</v>
      </c>
      <c r="N4959" t="n">
        <v>91</v>
      </c>
      <c r="O4959" t="n">
        <v>0.91</v>
      </c>
      <c r="P4959" t="n">
        <v>1</v>
      </c>
      <c r="Q4959" t="n">
        <v>6.88</v>
      </c>
      <c r="R4959" t="n">
        <v>13</v>
      </c>
      <c r="S4959" t="n">
        <v>200477.55</v>
      </c>
      <c r="T4959" t="n">
        <v>242</v>
      </c>
      <c r="U4959" t="n">
        <v>285</v>
      </c>
      <c r="V4959" t="n">
        <v>30</v>
      </c>
      <c r="W4959" t="n">
        <v>634</v>
      </c>
      <c r="X4959" t="n">
        <v>7.629283179089129</v>
      </c>
      <c r="Y4959" t="n">
        <v>1</v>
      </c>
      <c r="Z4959" t="n">
        <v>473</v>
      </c>
      <c r="AA4959" t="n">
        <v>0</v>
      </c>
      <c r="AB4959" t="n">
        <v>473</v>
      </c>
      <c r="AC4959" t="n">
        <v>473</v>
      </c>
      <c r="AD4959" t="n">
        <v>0</v>
      </c>
      <c r="AE4959" t="n">
        <v>3644465</v>
      </c>
      <c r="AF4959" t="n">
        <v>12491</v>
      </c>
      <c r="AG4959" t="n">
        <v>3502</v>
      </c>
      <c r="AH4959" t="inlineStr">
        <is>
          <t>PT. SAI - PPN (PDG)</t>
        </is>
      </c>
      <c r="AI4959" t="n">
        <v>137</v>
      </c>
      <c r="AJ4959" t="inlineStr">
        <is>
          <t>SARIAYU</t>
        </is>
      </c>
      <c r="AK4959" t="n">
        <v>21</v>
      </c>
      <c r="AL4959" t="inlineStr">
        <is>
          <t>Miss Glam Damar</t>
        </is>
      </c>
      <c r="AM4959" t="n">
        <v>2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SARIAYU</t>
        </is>
      </c>
      <c r="B4960" s="2">
        <f>"8990090400779"</f>
        <v/>
      </c>
      <c r="C4960" t="inlineStr">
        <is>
          <t>SARIAYU Putih Langsat Body Scrub 175G</t>
        </is>
      </c>
      <c r="D4960" t="inlineStr">
        <is>
          <t>Miss Glam Damar</t>
        </is>
      </c>
      <c r="E4960" t="n">
        <v>0</v>
      </c>
      <c r="F4960" t="n">
        <v>0.0728</v>
      </c>
      <c r="G4960" t="n">
        <v>0.91</v>
      </c>
      <c r="H4960" t="n">
        <v>2</v>
      </c>
      <c r="I4960" t="n">
        <v>6</v>
      </c>
      <c r="J4960" t="n">
        <v>3</v>
      </c>
      <c r="K4960" t="n">
        <v>0</v>
      </c>
      <c r="L4960" t="n">
        <v>24571</v>
      </c>
      <c r="M4960" t="n">
        <v>31000</v>
      </c>
      <c r="N4960" t="n">
        <v>91</v>
      </c>
      <c r="O4960" t="n">
        <v>0.91</v>
      </c>
      <c r="P4960" t="n">
        <v>1</v>
      </c>
      <c r="Q4960" t="n">
        <v>0.1</v>
      </c>
      <c r="R4960" t="n">
        <v>2</v>
      </c>
      <c r="S4960" t="n">
        <v>2256.8</v>
      </c>
      <c r="T4960" t="n">
        <v>6</v>
      </c>
      <c r="U4960" t="n">
        <v>7</v>
      </c>
      <c r="V4960" t="n">
        <v>30</v>
      </c>
      <c r="W4960" t="n">
        <v>3</v>
      </c>
      <c r="X4960" t="n">
        <v>0</v>
      </c>
      <c r="Y4960" t="n">
        <v>1</v>
      </c>
      <c r="Z4960" t="n">
        <v>3</v>
      </c>
      <c r="AA4960" t="n">
        <v>1</v>
      </c>
      <c r="AB4960" t="n">
        <v>2</v>
      </c>
      <c r="AC4960" t="n">
        <v>3</v>
      </c>
      <c r="AD4960" t="n">
        <v>24571</v>
      </c>
      <c r="AE4960" t="n">
        <v>73713</v>
      </c>
      <c r="AF4960" t="n">
        <v>12491</v>
      </c>
      <c r="AG4960" t="n">
        <v>3502</v>
      </c>
      <c r="AH4960" t="inlineStr">
        <is>
          <t>PT. SAI - PPN (PDG)</t>
        </is>
      </c>
      <c r="AI4960" t="n">
        <v>137</v>
      </c>
      <c r="AJ4960" t="inlineStr">
        <is>
          <t>SARIAYU</t>
        </is>
      </c>
      <c r="AK4960" t="n">
        <v>21</v>
      </c>
      <c r="AL4960" t="inlineStr">
        <is>
          <t>Miss Glam Damar</t>
        </is>
      </c>
      <c r="AM4960" t="n">
        <v>2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SARIAYU</t>
        </is>
      </c>
      <c r="B4961" s="2">
        <f>"10400616634"</f>
        <v/>
      </c>
      <c r="C4961" t="inlineStr">
        <is>
          <t>SARIAYU SPF 30 PA+++ Tone Up Sunscreen Serum 30ml</t>
        </is>
      </c>
      <c r="D4961" t="inlineStr">
        <is>
          <t>Miss Glam Damar</t>
        </is>
      </c>
      <c r="E4961" t="n">
        <v>4</v>
      </c>
      <c r="F4961" t="n">
        <v>0.0182</v>
      </c>
      <c r="G4961" t="n">
        <v>0.91</v>
      </c>
      <c r="H4961" t="n">
        <v>2</v>
      </c>
      <c r="I4961" t="n">
        <v>6</v>
      </c>
      <c r="J4961" t="n">
        <v>1</v>
      </c>
      <c r="K4961" t="n">
        <v>0</v>
      </c>
      <c r="L4961" t="n">
        <v>31520</v>
      </c>
      <c r="M4961" t="n">
        <v>39500</v>
      </c>
      <c r="N4961" t="n">
        <v>91</v>
      </c>
      <c r="O4961" t="n">
        <v>0.91</v>
      </c>
      <c r="P4961" t="n">
        <v>1</v>
      </c>
      <c r="Q4961" t="n">
        <v>0.05</v>
      </c>
      <c r="R4961" t="n">
        <v>1</v>
      </c>
      <c r="S4961" t="n">
        <v>718.9000000000001</v>
      </c>
      <c r="T4961" t="n">
        <v>6</v>
      </c>
      <c r="U4961" t="n">
        <v>7</v>
      </c>
      <c r="V4961" t="n">
        <v>30</v>
      </c>
      <c r="W4961" t="n">
        <v>1</v>
      </c>
      <c r="X4961" t="n">
        <v>219.7802197802198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12491</v>
      </c>
      <c r="AG4961" t="n">
        <v>3502</v>
      </c>
      <c r="AH4961" t="inlineStr">
        <is>
          <t>PT. SAI - PPN (PDG)</t>
        </is>
      </c>
      <c r="AI4961" t="n">
        <v>137</v>
      </c>
      <c r="AJ4961" t="inlineStr">
        <is>
          <t>SARIAYU</t>
        </is>
      </c>
      <c r="AK4961" t="n">
        <v>21</v>
      </c>
      <c r="AL4961" t="inlineStr">
        <is>
          <t>Miss Glam Damar</t>
        </is>
      </c>
      <c r="AM4961" t="n">
        <v>2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SARIAYU</t>
        </is>
      </c>
      <c r="B4962" s="2">
        <f>"8990090312614"</f>
        <v/>
      </c>
      <c r="C4962" t="inlineStr">
        <is>
          <t>SARIAYU Sunscreen Serum spf50 Pa+++ 30gr</t>
        </is>
      </c>
      <c r="D4962" t="inlineStr">
        <is>
          <t>Miss Glam Damar</t>
        </is>
      </c>
      <c r="E4962" t="n">
        <v>4</v>
      </c>
      <c r="F4962" t="n">
        <v>0.0273</v>
      </c>
      <c r="G4962" t="n">
        <v>0.91</v>
      </c>
      <c r="H4962" t="n">
        <v>2</v>
      </c>
      <c r="I4962" t="n">
        <v>6</v>
      </c>
      <c r="J4962" t="n">
        <v>3</v>
      </c>
      <c r="K4962" t="n">
        <v>0</v>
      </c>
      <c r="L4962" t="n">
        <v>51000</v>
      </c>
      <c r="M4962" t="n">
        <v>61000</v>
      </c>
      <c r="N4962" t="n">
        <v>91</v>
      </c>
      <c r="O4962" t="n">
        <v>0.91</v>
      </c>
      <c r="P4962" t="n">
        <v>1</v>
      </c>
      <c r="Q4962" t="n">
        <v>0.02</v>
      </c>
      <c r="R4962" t="n">
        <v>1</v>
      </c>
      <c r="S4962" t="n">
        <v>1665.3</v>
      </c>
      <c r="T4962" t="n">
        <v>6</v>
      </c>
      <c r="U4962" t="n">
        <v>7</v>
      </c>
      <c r="V4962" t="n">
        <v>30</v>
      </c>
      <c r="W4962" t="n">
        <v>1</v>
      </c>
      <c r="X4962" t="n">
        <v>146.5201465201465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12491</v>
      </c>
      <c r="AG4962" t="n">
        <v>3502</v>
      </c>
      <c r="AH4962" t="inlineStr">
        <is>
          <t>PT. SAI - PPN (PDG)</t>
        </is>
      </c>
      <c r="AI4962" t="n">
        <v>137</v>
      </c>
      <c r="AJ4962" t="inlineStr">
        <is>
          <t>SARIAYU</t>
        </is>
      </c>
      <c r="AK4962" t="n">
        <v>21</v>
      </c>
      <c r="AL4962" t="inlineStr">
        <is>
          <t>Miss Glam Damar</t>
        </is>
      </c>
      <c r="AM4962" t="n">
        <v>2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SCARLETT</t>
        </is>
      </c>
      <c r="B4963" s="2">
        <f>"8997236030821"</f>
        <v/>
      </c>
      <c r="C4963" t="inlineStr">
        <is>
          <t>SCARLETT 7X Ceramide Barrier Up Moisturizer 20gr</t>
        </is>
      </c>
      <c r="D4963" t="inlineStr">
        <is>
          <t>Miss Glam Damar</t>
        </is>
      </c>
      <c r="E4963" t="n">
        <v>10</v>
      </c>
      <c r="F4963" t="n">
        <v>0.2639</v>
      </c>
      <c r="G4963" t="n">
        <v>0.91</v>
      </c>
      <c r="H4963" t="n">
        <v>1</v>
      </c>
      <c r="I4963" t="n">
        <v>5</v>
      </c>
      <c r="J4963" t="n">
        <v>3</v>
      </c>
      <c r="K4963" t="n">
        <v>0</v>
      </c>
      <c r="L4963" t="n">
        <v>48153</v>
      </c>
      <c r="M4963" t="n">
        <v>57000</v>
      </c>
      <c r="N4963" t="n">
        <v>91</v>
      </c>
      <c r="O4963" t="n">
        <v>0.91</v>
      </c>
      <c r="P4963" t="n">
        <v>1</v>
      </c>
      <c r="Q4963" t="n">
        <v>0.31</v>
      </c>
      <c r="R4963" t="n">
        <v>1</v>
      </c>
      <c r="S4963" t="n">
        <v>15042.3</v>
      </c>
      <c r="T4963" t="n">
        <v>5</v>
      </c>
      <c r="U4963" t="n">
        <v>6</v>
      </c>
      <c r="V4963" t="n">
        <v>30</v>
      </c>
      <c r="W4963" t="n">
        <v>8</v>
      </c>
      <c r="X4963" t="n">
        <v>37.89314134141721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10690</v>
      </c>
      <c r="AG4963" t="n">
        <v>2378</v>
      </c>
      <c r="AH4963" t="inlineStr">
        <is>
          <t>PT. KURNIA MAJU PERKASA - PPN (PDG)</t>
        </is>
      </c>
      <c r="AI4963" t="n">
        <v>22</v>
      </c>
      <c r="AJ4963" t="inlineStr">
        <is>
          <t>SCARLETT</t>
        </is>
      </c>
      <c r="AK4963" t="n">
        <v>21</v>
      </c>
      <c r="AL4963" t="inlineStr">
        <is>
          <t>Miss Glam Damar</t>
        </is>
      </c>
      <c r="AM4963" t="n">
        <v>1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SCARLETT</t>
        </is>
      </c>
      <c r="B4964" s="2">
        <f>"8997236030166"</f>
        <v/>
      </c>
      <c r="C4964" t="inlineStr">
        <is>
          <t>SCARLETT Acne Day Cream 20g</t>
        </is>
      </c>
      <c r="D4964" t="inlineStr">
        <is>
          <t>Miss Glam Damar</t>
        </is>
      </c>
      <c r="E4964" t="n">
        <v>7</v>
      </c>
      <c r="F4964" t="n">
        <v>0.0728</v>
      </c>
      <c r="G4964" t="n">
        <v>1.82</v>
      </c>
      <c r="H4964" t="n">
        <v>1</v>
      </c>
      <c r="I4964" t="n">
        <v>5</v>
      </c>
      <c r="J4964" t="n">
        <v>3</v>
      </c>
      <c r="K4964" t="n">
        <v>0</v>
      </c>
      <c r="L4964" t="n">
        <v>48152</v>
      </c>
      <c r="M4964" t="n">
        <v>55000</v>
      </c>
      <c r="N4964" t="n">
        <v>91</v>
      </c>
      <c r="O4964" t="n">
        <v>0.91</v>
      </c>
      <c r="P4964" t="n">
        <v>1</v>
      </c>
      <c r="Q4964" t="n">
        <v>0.12</v>
      </c>
      <c r="R4964" t="n">
        <v>2</v>
      </c>
      <c r="S4964" t="n">
        <v>4004</v>
      </c>
      <c r="T4964" t="n">
        <v>10</v>
      </c>
      <c r="U4964" t="n">
        <v>11</v>
      </c>
      <c r="V4964" t="n">
        <v>30</v>
      </c>
      <c r="W4964" t="n">
        <v>3</v>
      </c>
      <c r="X4964" t="n">
        <v>96.15384615384615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10690</v>
      </c>
      <c r="AG4964" t="n">
        <v>2378</v>
      </c>
      <c r="AH4964" t="inlineStr">
        <is>
          <t>PT. KURNIA MAJU PERKASA - PPN (PDG)</t>
        </is>
      </c>
      <c r="AI4964" t="n">
        <v>22</v>
      </c>
      <c r="AJ4964" t="inlineStr">
        <is>
          <t>SCARLETT</t>
        </is>
      </c>
      <c r="AK4964" t="n">
        <v>21</v>
      </c>
      <c r="AL4964" t="inlineStr">
        <is>
          <t>Miss Glam Damar</t>
        </is>
      </c>
      <c r="AM4964" t="n">
        <v>1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SCARLETT</t>
        </is>
      </c>
      <c r="B4965" s="2">
        <f>"8997236030579"</f>
        <v/>
      </c>
      <c r="C4965" t="inlineStr">
        <is>
          <t>SCARLETT Acne Facial Wash 100ml</t>
        </is>
      </c>
      <c r="D4965" t="inlineStr">
        <is>
          <t>Miss Glam Damar</t>
        </is>
      </c>
      <c r="E4965" t="n">
        <v>6</v>
      </c>
      <c r="F4965" t="n">
        <v>0.3094</v>
      </c>
      <c r="G4965" t="n">
        <v>1.82</v>
      </c>
      <c r="H4965" t="n">
        <v>1</v>
      </c>
      <c r="I4965" t="n">
        <v>5</v>
      </c>
      <c r="J4965" t="n">
        <v>3</v>
      </c>
      <c r="K4965" t="n">
        <v>0</v>
      </c>
      <c r="L4965" t="n">
        <v>48153</v>
      </c>
      <c r="M4965" t="n">
        <v>55000</v>
      </c>
      <c r="N4965" t="n">
        <v>91</v>
      </c>
      <c r="O4965" t="n">
        <v>0.91</v>
      </c>
      <c r="P4965" t="n">
        <v>1</v>
      </c>
      <c r="Q4965" t="n">
        <v>0.14</v>
      </c>
      <c r="R4965" t="n">
        <v>2</v>
      </c>
      <c r="S4965" t="n">
        <v>17017</v>
      </c>
      <c r="T4965" t="n">
        <v>9</v>
      </c>
      <c r="U4965" t="n">
        <v>10</v>
      </c>
      <c r="V4965" t="n">
        <v>30</v>
      </c>
      <c r="W4965" t="n">
        <v>10</v>
      </c>
      <c r="X4965" t="n">
        <v>19.3923723335488</v>
      </c>
      <c r="Y4965" t="n">
        <v>1</v>
      </c>
      <c r="Z4965" t="n">
        <v>4</v>
      </c>
      <c r="AA4965" t="n">
        <v>0</v>
      </c>
      <c r="AB4965" t="n">
        <v>4</v>
      </c>
      <c r="AC4965" t="n">
        <v>4</v>
      </c>
      <c r="AD4965" t="n">
        <v>0</v>
      </c>
      <c r="AE4965" t="n">
        <v>192612</v>
      </c>
      <c r="AF4965" t="n">
        <v>10690</v>
      </c>
      <c r="AG4965" t="n">
        <v>2378</v>
      </c>
      <c r="AH4965" t="inlineStr">
        <is>
          <t>PT. KURNIA MAJU PERKASA - PPN (PDG)</t>
        </is>
      </c>
      <c r="AI4965" t="n">
        <v>22</v>
      </c>
      <c r="AJ4965" t="inlineStr">
        <is>
          <t>SCARLETT</t>
        </is>
      </c>
      <c r="AK4965" t="n">
        <v>21</v>
      </c>
      <c r="AL4965" t="inlineStr">
        <is>
          <t>Miss Glam Damar</t>
        </is>
      </c>
      <c r="AM4965" t="n">
        <v>1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SCARLETT</t>
        </is>
      </c>
      <c r="B4966" s="2">
        <f>"8997236030173"</f>
        <v/>
      </c>
      <c r="C4966" t="inlineStr">
        <is>
          <t>SCARLETT Acne Night Cream 20g</t>
        </is>
      </c>
      <c r="D4966" t="inlineStr">
        <is>
          <t>Miss Glam Damar</t>
        </is>
      </c>
      <c r="E4966" t="n">
        <v>2</v>
      </c>
      <c r="F4966" t="n">
        <v>0.12</v>
      </c>
      <c r="G4966" t="n">
        <v>2</v>
      </c>
      <c r="H4966" t="n">
        <v>1</v>
      </c>
      <c r="I4966" t="n">
        <v>5</v>
      </c>
      <c r="J4966" t="n">
        <v>3</v>
      </c>
      <c r="K4966" t="n">
        <v>3</v>
      </c>
      <c r="L4966" t="n">
        <v>48154</v>
      </c>
      <c r="M4966" t="n">
        <v>59000</v>
      </c>
      <c r="N4966" t="n">
        <v>91</v>
      </c>
      <c r="O4966" t="n">
        <v>0.91</v>
      </c>
      <c r="P4966" t="n">
        <v>0</v>
      </c>
      <c r="Q4966" t="n">
        <v>0.12</v>
      </c>
      <c r="R4966" t="n">
        <v>2</v>
      </c>
      <c r="S4966" t="n">
        <v>7080</v>
      </c>
      <c r="T4966" t="n">
        <v>10</v>
      </c>
      <c r="U4966" t="n">
        <v>11</v>
      </c>
      <c r="V4966" t="n">
        <v>30</v>
      </c>
      <c r="W4966" t="n">
        <v>4</v>
      </c>
      <c r="X4966" t="n">
        <v>16.66666666666667</v>
      </c>
      <c r="Y4966" t="n">
        <v>1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10690</v>
      </c>
      <c r="AG4966" t="n">
        <v>2378</v>
      </c>
      <c r="AH4966" t="inlineStr">
        <is>
          <t>PT. KURNIA MAJU PERKASA - PPN (PDG)</t>
        </is>
      </c>
      <c r="AI4966" t="n">
        <v>22</v>
      </c>
      <c r="AJ4966" t="inlineStr">
        <is>
          <t>SCARLETT</t>
        </is>
      </c>
      <c r="AK4966" t="n">
        <v>21</v>
      </c>
      <c r="AL4966" t="inlineStr">
        <is>
          <t>Miss Glam Damar</t>
        </is>
      </c>
      <c r="AM4966" t="n">
        <v>1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SCARLETT</t>
        </is>
      </c>
      <c r="B4967" s="2">
        <f>"8997236030005"</f>
        <v/>
      </c>
      <c r="C4967" t="inlineStr">
        <is>
          <t>SCARLETT Acne Serum 15ml</t>
        </is>
      </c>
      <c r="D4967" t="inlineStr">
        <is>
          <t>Miss Glam Damar</t>
        </is>
      </c>
      <c r="E4967" t="n">
        <v>20</v>
      </c>
      <c r="F4967" t="n">
        <v>0.4823000000000001</v>
      </c>
      <c r="G4967" t="n">
        <v>1.82</v>
      </c>
      <c r="H4967" t="n">
        <v>1</v>
      </c>
      <c r="I4967" t="n">
        <v>5</v>
      </c>
      <c r="J4967" t="n">
        <v>3</v>
      </c>
      <c r="K4967" t="n">
        <v>0</v>
      </c>
      <c r="L4967" t="n">
        <v>48152</v>
      </c>
      <c r="M4967" t="n">
        <v>59000</v>
      </c>
      <c r="N4967" t="n">
        <v>91</v>
      </c>
      <c r="O4967" t="n">
        <v>0.91</v>
      </c>
      <c r="P4967" t="n">
        <v>1</v>
      </c>
      <c r="Q4967" t="n">
        <v>0.44</v>
      </c>
      <c r="R4967" t="n">
        <v>3</v>
      </c>
      <c r="S4967" t="n">
        <v>28455.7</v>
      </c>
      <c r="T4967" t="n">
        <v>9</v>
      </c>
      <c r="U4967" t="n">
        <v>10</v>
      </c>
      <c r="V4967" t="n">
        <v>30</v>
      </c>
      <c r="W4967" t="n">
        <v>15</v>
      </c>
      <c r="X4967" t="n">
        <v>41.46796599626788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10690</v>
      </c>
      <c r="AG4967" t="n">
        <v>2378</v>
      </c>
      <c r="AH4967" t="inlineStr">
        <is>
          <t>PT. KURNIA MAJU PERKASA - PPN (PDG)</t>
        </is>
      </c>
      <c r="AI4967" t="n">
        <v>22</v>
      </c>
      <c r="AJ4967" t="inlineStr">
        <is>
          <t>SCARLETT</t>
        </is>
      </c>
      <c r="AK4967" t="n">
        <v>21</v>
      </c>
      <c r="AL4967" t="inlineStr">
        <is>
          <t>Miss Glam Damar</t>
        </is>
      </c>
      <c r="AM4967" t="n">
        <v>1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SCARLETT</t>
        </is>
      </c>
      <c r="B4968" s="2">
        <f>"8993002680009"</f>
        <v/>
      </c>
      <c r="C4968" t="inlineStr">
        <is>
          <t>SCARLETT BL Chaarming Moodbooster 300ml</t>
        </is>
      </c>
      <c r="D4968" t="inlineStr">
        <is>
          <t>Miss Glam Damar</t>
        </is>
      </c>
      <c r="E4968" t="n">
        <v>17</v>
      </c>
      <c r="F4968" t="n">
        <v>1.6471</v>
      </c>
      <c r="G4968" t="n">
        <v>5.46</v>
      </c>
      <c r="H4968" t="n">
        <v>1</v>
      </c>
      <c r="I4968" t="n">
        <v>5</v>
      </c>
      <c r="J4968" t="n">
        <v>12</v>
      </c>
      <c r="K4968" t="n">
        <v>12</v>
      </c>
      <c r="L4968" t="n">
        <v>53625</v>
      </c>
      <c r="M4968" t="n">
        <v>59000</v>
      </c>
      <c r="N4968" t="n">
        <v>91</v>
      </c>
      <c r="O4968" t="n">
        <v>0.91</v>
      </c>
      <c r="P4968" t="n">
        <v>1</v>
      </c>
      <c r="Q4968" t="n">
        <v>1.02</v>
      </c>
      <c r="R4968" t="n">
        <v>5</v>
      </c>
      <c r="S4968" t="n">
        <v>97178.89999999999</v>
      </c>
      <c r="T4968" t="n">
        <v>26</v>
      </c>
      <c r="U4968" t="n">
        <v>28</v>
      </c>
      <c r="V4968" t="n">
        <v>30</v>
      </c>
      <c r="W4968" t="n">
        <v>50</v>
      </c>
      <c r="X4968" t="n">
        <v>10.32117054216502</v>
      </c>
      <c r="Y4968" t="n">
        <v>1</v>
      </c>
      <c r="Z4968" t="n">
        <v>21</v>
      </c>
      <c r="AA4968" t="n">
        <v>0</v>
      </c>
      <c r="AB4968" t="n">
        <v>21</v>
      </c>
      <c r="AC4968" t="n">
        <v>21</v>
      </c>
      <c r="AD4968" t="n">
        <v>0</v>
      </c>
      <c r="AE4968" t="n">
        <v>1126125</v>
      </c>
      <c r="AF4968" t="n">
        <v>10690</v>
      </c>
      <c r="AG4968" t="n">
        <v>2378</v>
      </c>
      <c r="AH4968" t="inlineStr">
        <is>
          <t>PT. KURNIA MAJU PERKASA - PPN (PDG)</t>
        </is>
      </c>
      <c r="AI4968" t="n">
        <v>22</v>
      </c>
      <c r="AJ4968" t="inlineStr">
        <is>
          <t>SCARLETT</t>
        </is>
      </c>
      <c r="AK4968" t="n">
        <v>21</v>
      </c>
      <c r="AL4968" t="inlineStr">
        <is>
          <t>Miss Glam Damar</t>
        </is>
      </c>
      <c r="AM4968" t="n">
        <v>1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SCARLETT</t>
        </is>
      </c>
      <c r="B4969" s="2">
        <f>"8993002680023"</f>
        <v/>
      </c>
      <c r="C4969" t="inlineStr">
        <is>
          <t>SCARLETT BL Freshy Moodbooster 300ml</t>
        </is>
      </c>
      <c r="D4969" t="inlineStr">
        <is>
          <t>Miss Glam Damar</t>
        </is>
      </c>
      <c r="E4969" t="n">
        <v>8</v>
      </c>
      <c r="F4969" t="n">
        <v>0.4823000000000001</v>
      </c>
      <c r="G4969" t="n">
        <v>2.73</v>
      </c>
      <c r="H4969" t="n">
        <v>1</v>
      </c>
      <c r="I4969" t="n">
        <v>5</v>
      </c>
      <c r="J4969" t="n">
        <v>12</v>
      </c>
      <c r="K4969" t="n">
        <v>0</v>
      </c>
      <c r="L4969" t="n">
        <v>53625</v>
      </c>
      <c r="M4969" t="n">
        <v>59000</v>
      </c>
      <c r="N4969" t="n">
        <v>91</v>
      </c>
      <c r="O4969" t="n">
        <v>0.91</v>
      </c>
      <c r="P4969" t="n">
        <v>1</v>
      </c>
      <c r="Q4969" t="n">
        <v>0.29</v>
      </c>
      <c r="R4969" t="n">
        <v>2</v>
      </c>
      <c r="S4969" t="n">
        <v>28455.7</v>
      </c>
      <c r="T4969" t="n">
        <v>14</v>
      </c>
      <c r="U4969" t="n">
        <v>15</v>
      </c>
      <c r="V4969" t="n">
        <v>30</v>
      </c>
      <c r="W4969" t="n">
        <v>15</v>
      </c>
      <c r="X4969" t="n">
        <v>16.58718639850715</v>
      </c>
      <c r="Y4969" t="n">
        <v>1</v>
      </c>
      <c r="Z4969" t="n">
        <v>7</v>
      </c>
      <c r="AA4969" t="n">
        <v>0</v>
      </c>
      <c r="AB4969" t="n">
        <v>7</v>
      </c>
      <c r="AC4969" t="n">
        <v>12</v>
      </c>
      <c r="AD4969" t="n">
        <v>0</v>
      </c>
      <c r="AE4969" t="n">
        <v>643500</v>
      </c>
      <c r="AF4969" t="n">
        <v>10690</v>
      </c>
      <c r="AG4969" t="n">
        <v>2378</v>
      </c>
      <c r="AH4969" t="inlineStr">
        <is>
          <t>PT. KURNIA MAJU PERKASA - PPN (PDG)</t>
        </is>
      </c>
      <c r="AI4969" t="n">
        <v>22</v>
      </c>
      <c r="AJ4969" t="inlineStr">
        <is>
          <t>SCARLETT</t>
        </is>
      </c>
      <c r="AK4969" t="n">
        <v>21</v>
      </c>
      <c r="AL4969" t="inlineStr">
        <is>
          <t>Miss Glam Damar</t>
        </is>
      </c>
      <c r="AM4969" t="n">
        <v>1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SCARLETT</t>
        </is>
      </c>
      <c r="B4970" s="2">
        <f>"8993002680061"</f>
        <v/>
      </c>
      <c r="C4970" t="inlineStr">
        <is>
          <t>SCARLETT BL Happy Moodbooster 300ml</t>
        </is>
      </c>
      <c r="D4970" t="inlineStr">
        <is>
          <t>Miss Glam Damar</t>
        </is>
      </c>
      <c r="E4970" t="n">
        <v>10</v>
      </c>
      <c r="F4970" t="n">
        <v>0.6188</v>
      </c>
      <c r="G4970" t="n">
        <v>2.73</v>
      </c>
      <c r="H4970" t="n">
        <v>1</v>
      </c>
      <c r="I4970" t="n">
        <v>5</v>
      </c>
      <c r="J4970" t="n">
        <v>3</v>
      </c>
      <c r="K4970" t="n">
        <v>0</v>
      </c>
      <c r="L4970" t="n">
        <v>53628</v>
      </c>
      <c r="M4970" t="n">
        <v>59000</v>
      </c>
      <c r="N4970" t="n">
        <v>91</v>
      </c>
      <c r="O4970" t="n">
        <v>0.91</v>
      </c>
      <c r="P4970" t="n">
        <v>1</v>
      </c>
      <c r="Q4970" t="n">
        <v>0.44</v>
      </c>
      <c r="R4970" t="n">
        <v>3</v>
      </c>
      <c r="S4970" t="n">
        <v>36509.2</v>
      </c>
      <c r="T4970" t="n">
        <v>14</v>
      </c>
      <c r="U4970" t="n">
        <v>15</v>
      </c>
      <c r="V4970" t="n">
        <v>30</v>
      </c>
      <c r="W4970" t="n">
        <v>19</v>
      </c>
      <c r="X4970" t="n">
        <v>16.16031027795734</v>
      </c>
      <c r="Y4970" t="n">
        <v>1</v>
      </c>
      <c r="Z4970" t="n">
        <v>9</v>
      </c>
      <c r="AA4970" t="n">
        <v>0</v>
      </c>
      <c r="AB4970" t="n">
        <v>9</v>
      </c>
      <c r="AC4970" t="n">
        <v>9</v>
      </c>
      <c r="AD4970" t="n">
        <v>0</v>
      </c>
      <c r="AE4970" t="n">
        <v>482652</v>
      </c>
      <c r="AF4970" t="n">
        <v>10690</v>
      </c>
      <c r="AG4970" t="n">
        <v>2378</v>
      </c>
      <c r="AH4970" t="inlineStr">
        <is>
          <t>PT. KURNIA MAJU PERKASA - PPN (PDG)</t>
        </is>
      </c>
      <c r="AI4970" t="n">
        <v>22</v>
      </c>
      <c r="AJ4970" t="inlineStr">
        <is>
          <t>SCARLETT</t>
        </is>
      </c>
      <c r="AK4970" t="n">
        <v>21</v>
      </c>
      <c r="AL4970" t="inlineStr">
        <is>
          <t>Miss Glam Damar</t>
        </is>
      </c>
      <c r="AM4970" t="n">
        <v>1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SCARLETT</t>
        </is>
      </c>
      <c r="B4971" s="2">
        <f>"8993002680047"</f>
        <v/>
      </c>
      <c r="C4971" t="inlineStr">
        <is>
          <t>SCARLETT BL Jolly Moodbooster 300ml</t>
        </is>
      </c>
      <c r="D4971" t="inlineStr">
        <is>
          <t>Miss Glam Damar</t>
        </is>
      </c>
      <c r="E4971" t="n">
        <v>40</v>
      </c>
      <c r="F4971" t="n">
        <v>2.2659</v>
      </c>
      <c r="G4971" t="n">
        <v>7.28</v>
      </c>
      <c r="H4971" t="n">
        <v>1</v>
      </c>
      <c r="I4971" t="n">
        <v>5</v>
      </c>
      <c r="J4971" t="n">
        <v>3</v>
      </c>
      <c r="K4971" t="n">
        <v>0</v>
      </c>
      <c r="L4971" t="n">
        <v>53625</v>
      </c>
      <c r="M4971" t="n">
        <v>59000</v>
      </c>
      <c r="N4971" t="n">
        <v>91</v>
      </c>
      <c r="O4971" t="n">
        <v>0.91</v>
      </c>
      <c r="P4971" t="n">
        <v>1</v>
      </c>
      <c r="Q4971" t="n">
        <v>1.66</v>
      </c>
      <c r="R4971" t="n">
        <v>5</v>
      </c>
      <c r="S4971" t="n">
        <v>133688.1</v>
      </c>
      <c r="T4971" t="n">
        <v>35</v>
      </c>
      <c r="U4971" t="n">
        <v>38</v>
      </c>
      <c r="V4971" t="n">
        <v>30</v>
      </c>
      <c r="W4971" t="n">
        <v>68</v>
      </c>
      <c r="X4971" t="n">
        <v>17.65302970122247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10690</v>
      </c>
      <c r="AG4971" t="n">
        <v>2378</v>
      </c>
      <c r="AH4971" t="inlineStr">
        <is>
          <t>PT. KURNIA MAJU PERKASA - PPN (PDG)</t>
        </is>
      </c>
      <c r="AI4971" t="n">
        <v>22</v>
      </c>
      <c r="AJ4971" t="inlineStr">
        <is>
          <t>SCARLETT</t>
        </is>
      </c>
      <c r="AK4971" t="n">
        <v>21</v>
      </c>
      <c r="AL4971" t="inlineStr">
        <is>
          <t>Miss Glam Damar</t>
        </is>
      </c>
      <c r="AM4971" t="n">
        <v>1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SCARLETT</t>
        </is>
      </c>
      <c r="B4972" s="2">
        <f>"8993002680030"</f>
        <v/>
      </c>
      <c r="C4972" t="inlineStr">
        <is>
          <t>SCARLETT BL Romansa Moodbooster 300ml</t>
        </is>
      </c>
      <c r="D4972" t="inlineStr">
        <is>
          <t>Miss Glam Damar</t>
        </is>
      </c>
      <c r="E4972" t="n">
        <v>21</v>
      </c>
      <c r="F4972" t="n">
        <v>0.6825</v>
      </c>
      <c r="G4972" t="n">
        <v>5.46</v>
      </c>
      <c r="H4972" t="n">
        <v>1</v>
      </c>
      <c r="I4972" t="n">
        <v>5</v>
      </c>
      <c r="J4972" t="n">
        <v>3</v>
      </c>
      <c r="K4972" t="n">
        <v>0</v>
      </c>
      <c r="L4972" t="n">
        <v>53625</v>
      </c>
      <c r="M4972" t="n">
        <v>59000</v>
      </c>
      <c r="N4972" t="n">
        <v>91</v>
      </c>
      <c r="O4972" t="n">
        <v>0.91</v>
      </c>
      <c r="P4972" t="n">
        <v>1</v>
      </c>
      <c r="Q4972" t="n">
        <v>0.42</v>
      </c>
      <c r="R4972" t="n">
        <v>3</v>
      </c>
      <c r="S4972" t="n">
        <v>40267.5</v>
      </c>
      <c r="T4972" t="n">
        <v>27</v>
      </c>
      <c r="U4972" t="n">
        <v>28</v>
      </c>
      <c r="V4972" t="n">
        <v>30</v>
      </c>
      <c r="W4972" t="n">
        <v>21</v>
      </c>
      <c r="X4972" t="n">
        <v>30.76923076923077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10690</v>
      </c>
      <c r="AG4972" t="n">
        <v>2378</v>
      </c>
      <c r="AH4972" t="inlineStr">
        <is>
          <t>PT. KURNIA MAJU PERKASA - PPN (PDG)</t>
        </is>
      </c>
      <c r="AI4972" t="n">
        <v>22</v>
      </c>
      <c r="AJ4972" t="inlineStr">
        <is>
          <t>SCARLETT</t>
        </is>
      </c>
      <c r="AK4972" t="n">
        <v>21</v>
      </c>
      <c r="AL4972" t="inlineStr">
        <is>
          <t>Miss Glam Damar</t>
        </is>
      </c>
      <c r="AM4972" t="n">
        <v>1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SCARLETT</t>
        </is>
      </c>
      <c r="B4973" s="2">
        <f>"8993002010509"</f>
        <v/>
      </c>
      <c r="C4973" t="inlineStr">
        <is>
          <t>SCARLETT Body Serum Charming 250ml</t>
        </is>
      </c>
      <c r="D4973" t="inlineStr">
        <is>
          <t>Miss Glam Damar</t>
        </is>
      </c>
      <c r="E4973" t="n">
        <v>9</v>
      </c>
      <c r="F4973" t="n">
        <v>0.3731</v>
      </c>
      <c r="G4973" t="n">
        <v>1.82</v>
      </c>
      <c r="H4973" t="n">
        <v>1</v>
      </c>
      <c r="I4973" t="n">
        <v>5</v>
      </c>
      <c r="J4973" t="n">
        <v>6</v>
      </c>
      <c r="K4973" t="n">
        <v>0</v>
      </c>
      <c r="L4973" t="n">
        <v>48153</v>
      </c>
      <c r="M4973" t="n">
        <v>59000</v>
      </c>
      <c r="N4973" t="n">
        <v>91</v>
      </c>
      <c r="O4973" t="n">
        <v>0.91</v>
      </c>
      <c r="P4973" t="n">
        <v>1</v>
      </c>
      <c r="Q4973" t="n">
        <v>0.17</v>
      </c>
      <c r="R4973" t="n">
        <v>2</v>
      </c>
      <c r="S4973" t="n">
        <v>22012.9</v>
      </c>
      <c r="T4973" t="n">
        <v>9</v>
      </c>
      <c r="U4973" t="n">
        <v>10</v>
      </c>
      <c r="V4973" t="n">
        <v>30</v>
      </c>
      <c r="W4973" t="n">
        <v>12</v>
      </c>
      <c r="X4973" t="n">
        <v>24.12221924417046</v>
      </c>
      <c r="Y4973" t="n">
        <v>1</v>
      </c>
      <c r="Z4973" t="n">
        <v>3</v>
      </c>
      <c r="AA4973" t="n">
        <v>0</v>
      </c>
      <c r="AB4973" t="n">
        <v>3</v>
      </c>
      <c r="AC4973" t="n">
        <v>6</v>
      </c>
      <c r="AD4973" t="n">
        <v>0</v>
      </c>
      <c r="AE4973" t="n">
        <v>288918</v>
      </c>
      <c r="AF4973" t="n">
        <v>10690</v>
      </c>
      <c r="AG4973" t="n">
        <v>2378</v>
      </c>
      <c r="AH4973" t="inlineStr">
        <is>
          <t>PT. KURNIA MAJU PERKASA - PPN (PDG)</t>
        </is>
      </c>
      <c r="AI4973" t="n">
        <v>22</v>
      </c>
      <c r="AJ4973" t="inlineStr">
        <is>
          <t>SCARLETT</t>
        </is>
      </c>
      <c r="AK4973" t="n">
        <v>21</v>
      </c>
      <c r="AL4973" t="inlineStr">
        <is>
          <t>Miss Glam Damar</t>
        </is>
      </c>
      <c r="AM4973" t="n">
        <v>1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SCARLETT</t>
        </is>
      </c>
      <c r="B4974" s="2">
        <f>"8993002010455"</f>
        <v/>
      </c>
      <c r="C4974" t="inlineStr">
        <is>
          <t>SCARLETT Body Serum Happy 250ml</t>
        </is>
      </c>
      <c r="D4974" t="inlineStr">
        <is>
          <t>Miss Glam Damar</t>
        </is>
      </c>
      <c r="E4974" t="n">
        <v>5</v>
      </c>
      <c r="F4974" t="n">
        <v>0.1274</v>
      </c>
      <c r="G4974" t="n">
        <v>1.82</v>
      </c>
      <c r="H4974" t="n">
        <v>1</v>
      </c>
      <c r="I4974" t="n">
        <v>5</v>
      </c>
      <c r="J4974" t="n">
        <v>6</v>
      </c>
      <c r="K4974" t="n">
        <v>0</v>
      </c>
      <c r="L4974" t="n">
        <v>48206</v>
      </c>
      <c r="M4974" t="n">
        <v>55000</v>
      </c>
      <c r="N4974" t="n">
        <v>91</v>
      </c>
      <c r="O4974" t="n">
        <v>0.91</v>
      </c>
      <c r="P4974" t="n">
        <v>1</v>
      </c>
      <c r="Q4974" t="n">
        <v>0.07000000000000001</v>
      </c>
      <c r="R4974" t="n">
        <v>1</v>
      </c>
      <c r="S4974" t="n">
        <v>7007.000000000001</v>
      </c>
      <c r="T4974" t="n">
        <v>9</v>
      </c>
      <c r="U4974" t="n">
        <v>10</v>
      </c>
      <c r="V4974" t="n">
        <v>30</v>
      </c>
      <c r="W4974" t="n">
        <v>4</v>
      </c>
      <c r="X4974" t="n">
        <v>39.24646781789639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10690</v>
      </c>
      <c r="AG4974" t="n">
        <v>2378</v>
      </c>
      <c r="AH4974" t="inlineStr">
        <is>
          <t>PT. KURNIA MAJU PERKASA - PPN (PDG)</t>
        </is>
      </c>
      <c r="AI4974" t="n">
        <v>22</v>
      </c>
      <c r="AJ4974" t="inlineStr">
        <is>
          <t>SCARLETT</t>
        </is>
      </c>
      <c r="AK4974" t="n">
        <v>21</v>
      </c>
      <c r="AL4974" t="inlineStr">
        <is>
          <t>Miss Glam Damar</t>
        </is>
      </c>
      <c r="AM4974" t="n">
        <v>1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SCARLETT</t>
        </is>
      </c>
      <c r="B4975" s="2">
        <f>"8993002010493"</f>
        <v/>
      </c>
      <c r="C4975" t="inlineStr">
        <is>
          <t>SCARLETT Body Serum Jolly 250ml</t>
        </is>
      </c>
      <c r="D4975" t="inlineStr">
        <is>
          <t>Miss Glam Damar</t>
        </is>
      </c>
      <c r="E4975" t="n">
        <v>16</v>
      </c>
      <c r="F4975" t="n">
        <v>0.4004</v>
      </c>
      <c r="G4975" t="n">
        <v>2.73</v>
      </c>
      <c r="H4975" t="n">
        <v>1</v>
      </c>
      <c r="I4975" t="n">
        <v>5</v>
      </c>
      <c r="J4975" t="n">
        <v>6</v>
      </c>
      <c r="K4975" t="n">
        <v>0</v>
      </c>
      <c r="L4975" t="n">
        <v>48153</v>
      </c>
      <c r="M4975" t="n">
        <v>55000</v>
      </c>
      <c r="N4975" t="n">
        <v>91</v>
      </c>
      <c r="O4975" t="n">
        <v>0.91</v>
      </c>
      <c r="P4975" t="n">
        <v>1</v>
      </c>
      <c r="Q4975" t="n">
        <v>0.36</v>
      </c>
      <c r="R4975" t="n">
        <v>2</v>
      </c>
      <c r="S4975" t="n">
        <v>22022</v>
      </c>
      <c r="T4975" t="n">
        <v>14</v>
      </c>
      <c r="U4975" t="n">
        <v>15</v>
      </c>
      <c r="V4975" t="n">
        <v>30</v>
      </c>
      <c r="W4975" t="n">
        <v>13</v>
      </c>
      <c r="X4975" t="n">
        <v>39.96003996003996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10690</v>
      </c>
      <c r="AG4975" t="n">
        <v>2378</v>
      </c>
      <c r="AH4975" t="inlineStr">
        <is>
          <t>PT. KURNIA MAJU PERKASA - PPN (PDG)</t>
        </is>
      </c>
      <c r="AI4975" t="n">
        <v>22</v>
      </c>
      <c r="AJ4975" t="inlineStr">
        <is>
          <t>SCARLETT</t>
        </is>
      </c>
      <c r="AK4975" t="n">
        <v>21</v>
      </c>
      <c r="AL4975" t="inlineStr">
        <is>
          <t>Miss Glam Damar</t>
        </is>
      </c>
      <c r="AM4975" t="n">
        <v>1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SCARLETT</t>
        </is>
      </c>
      <c r="B4976" s="2">
        <f>"8993002010851"</f>
        <v/>
      </c>
      <c r="C4976" t="inlineStr">
        <is>
          <t>SCARLETT Body Serum Loving 250ml</t>
        </is>
      </c>
      <c r="D4976" t="inlineStr">
        <is>
          <t>Miss Glam Damar</t>
        </is>
      </c>
      <c r="E4976" t="n">
        <v>6</v>
      </c>
      <c r="F4976" t="n">
        <v>0.14</v>
      </c>
      <c r="G4976" t="n">
        <v>2</v>
      </c>
      <c r="H4976" t="n">
        <v>1</v>
      </c>
      <c r="I4976" t="n">
        <v>5</v>
      </c>
      <c r="J4976" t="n">
        <v>6</v>
      </c>
      <c r="K4976" t="n">
        <v>0</v>
      </c>
      <c r="L4976" t="n">
        <v>48153</v>
      </c>
      <c r="M4976" t="n">
        <v>59000</v>
      </c>
      <c r="N4976" t="n">
        <v>91</v>
      </c>
      <c r="O4976" t="n">
        <v>0.91</v>
      </c>
      <c r="P4976" t="n">
        <v>0</v>
      </c>
      <c r="Q4976" t="n">
        <v>0.14</v>
      </c>
      <c r="R4976" t="n">
        <v>2</v>
      </c>
      <c r="S4976" t="n">
        <v>8260</v>
      </c>
      <c r="T4976" t="n">
        <v>10</v>
      </c>
      <c r="U4976" t="n">
        <v>11</v>
      </c>
      <c r="V4976" t="n">
        <v>30</v>
      </c>
      <c r="W4976" t="n">
        <v>5</v>
      </c>
      <c r="X4976" t="n">
        <v>42.85714285714285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10690</v>
      </c>
      <c r="AG4976" t="n">
        <v>2378</v>
      </c>
      <c r="AH4976" t="inlineStr">
        <is>
          <t>PT. KURNIA MAJU PERKASA - PPN (PDG)</t>
        </is>
      </c>
      <c r="AI4976" t="n">
        <v>22</v>
      </c>
      <c r="AJ4976" t="inlineStr">
        <is>
          <t>SCARLETT</t>
        </is>
      </c>
      <c r="AK4976" t="n">
        <v>21</v>
      </c>
      <c r="AL4976" t="inlineStr">
        <is>
          <t>Miss Glam Damar</t>
        </is>
      </c>
      <c r="AM4976" t="n">
        <v>1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SCARLETT</t>
        </is>
      </c>
      <c r="B4977" s="2">
        <f>"30100170443"</f>
        <v/>
      </c>
      <c r="C4977" t="inlineStr">
        <is>
          <t>SCARLETT Body Wash Acne Care Shower Serum 400ml</t>
        </is>
      </c>
      <c r="D4977" t="inlineStr">
        <is>
          <t>Miss Glam Damar</t>
        </is>
      </c>
      <c r="E4977" t="n">
        <v>7</v>
      </c>
      <c r="F4977" t="n">
        <v>0.0273</v>
      </c>
      <c r="G4977" t="n">
        <v>0.91</v>
      </c>
      <c r="H4977" t="n">
        <v>1</v>
      </c>
      <c r="I4977" t="n">
        <v>5</v>
      </c>
      <c r="J4977" t="n">
        <v>1</v>
      </c>
      <c r="K4977" t="n">
        <v>0</v>
      </c>
      <c r="L4977" t="n">
        <v>41865</v>
      </c>
      <c r="M4977" t="n">
        <v>55000</v>
      </c>
      <c r="N4977" t="n">
        <v>91</v>
      </c>
      <c r="O4977" t="n">
        <v>0.91</v>
      </c>
      <c r="P4977" t="n">
        <v>1</v>
      </c>
      <c r="Q4977" t="n">
        <v>0.08</v>
      </c>
      <c r="R4977" t="n">
        <v>2</v>
      </c>
      <c r="S4977" t="n">
        <v>1501.5</v>
      </c>
      <c r="T4977" t="n">
        <v>5</v>
      </c>
      <c r="U4977" t="n">
        <v>6</v>
      </c>
      <c r="V4977" t="n">
        <v>30</v>
      </c>
      <c r="W4977" t="n">
        <v>1</v>
      </c>
      <c r="X4977" t="n">
        <v>256.4102564102564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10690</v>
      </c>
      <c r="AG4977" t="n">
        <v>2378</v>
      </c>
      <c r="AH4977" t="inlineStr">
        <is>
          <t>PT. KURNIA MAJU PERKASA - PPN (PDG)</t>
        </is>
      </c>
      <c r="AI4977" t="n">
        <v>22</v>
      </c>
      <c r="AJ4977" t="inlineStr">
        <is>
          <t>SCARLETT</t>
        </is>
      </c>
      <c r="AK4977" t="n">
        <v>21</v>
      </c>
      <c r="AL4977" t="inlineStr">
        <is>
          <t>Miss Glam Damar</t>
        </is>
      </c>
      <c r="AM4977" t="n">
        <v>1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SCARLETT</t>
        </is>
      </c>
      <c r="B4978" s="2">
        <f>"30100170523"</f>
        <v/>
      </c>
      <c r="C4978" t="inlineStr">
        <is>
          <t>SCARLETT Body Wash Shine Bright Shower Serum 400ml</t>
        </is>
      </c>
      <c r="D4978" t="inlineStr">
        <is>
          <t>Miss Glam Damar</t>
        </is>
      </c>
      <c r="E4978" t="n">
        <v>5</v>
      </c>
      <c r="F4978" t="n">
        <v>0.1729</v>
      </c>
      <c r="G4978" t="n">
        <v>1.82</v>
      </c>
      <c r="H4978" t="n">
        <v>1</v>
      </c>
      <c r="I4978" t="n">
        <v>5</v>
      </c>
      <c r="J4978" t="n">
        <v>1</v>
      </c>
      <c r="K4978" t="n">
        <v>0</v>
      </c>
      <c r="L4978" t="n">
        <v>41865</v>
      </c>
      <c r="M4978" t="n">
        <v>55000</v>
      </c>
      <c r="N4978" t="n">
        <v>91</v>
      </c>
      <c r="O4978" t="n">
        <v>0.91</v>
      </c>
      <c r="P4978" t="n">
        <v>1</v>
      </c>
      <c r="Q4978" t="n">
        <v>0.07000000000000001</v>
      </c>
      <c r="R4978" t="n">
        <v>2</v>
      </c>
      <c r="S4978" t="n">
        <v>9509.5</v>
      </c>
      <c r="T4978" t="n">
        <v>9</v>
      </c>
      <c r="U4978" t="n">
        <v>10</v>
      </c>
      <c r="V4978" t="n">
        <v>30</v>
      </c>
      <c r="W4978" t="n">
        <v>6</v>
      </c>
      <c r="X4978" t="n">
        <v>28.91844997108155</v>
      </c>
      <c r="Y4978" t="n">
        <v>1</v>
      </c>
      <c r="Z4978" t="n">
        <v>1</v>
      </c>
      <c r="AA4978" t="n">
        <v>0</v>
      </c>
      <c r="AB4978" t="n">
        <v>1</v>
      </c>
      <c r="AC4978" t="n">
        <v>1</v>
      </c>
      <c r="AD4978" t="n">
        <v>0</v>
      </c>
      <c r="AE4978" t="n">
        <v>41865</v>
      </c>
      <c r="AF4978" t="n">
        <v>10690</v>
      </c>
      <c r="AG4978" t="n">
        <v>2378</v>
      </c>
      <c r="AH4978" t="inlineStr">
        <is>
          <t>PT. KURNIA MAJU PERKASA - PPN (PDG)</t>
        </is>
      </c>
      <c r="AI4978" t="n">
        <v>22</v>
      </c>
      <c r="AJ4978" t="inlineStr">
        <is>
          <t>SCARLETT</t>
        </is>
      </c>
      <c r="AK4978" t="n">
        <v>21</v>
      </c>
      <c r="AL4978" t="inlineStr">
        <is>
          <t>Miss Glam Damar</t>
        </is>
      </c>
      <c r="AM4978" t="n">
        <v>1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SCARLETT</t>
        </is>
      </c>
      <c r="B4979" s="2">
        <f>"8997236030197"</f>
        <v/>
      </c>
      <c r="C4979" t="inlineStr">
        <is>
          <t>SCARLETT Brightly Aver After Day Cream 20g</t>
        </is>
      </c>
      <c r="D4979" t="inlineStr">
        <is>
          <t>Miss Glam Damar</t>
        </is>
      </c>
      <c r="E4979" t="n">
        <v>5</v>
      </c>
      <c r="F4979" t="n">
        <v>0.4186</v>
      </c>
      <c r="G4979" t="n">
        <v>2.73</v>
      </c>
      <c r="H4979" t="n">
        <v>1</v>
      </c>
      <c r="I4979" t="n">
        <v>5</v>
      </c>
      <c r="J4979" t="n">
        <v>3</v>
      </c>
      <c r="K4979" t="n">
        <v>0</v>
      </c>
      <c r="L4979" t="n">
        <v>48153</v>
      </c>
      <c r="M4979" t="n">
        <v>59000</v>
      </c>
      <c r="N4979" t="n">
        <v>91</v>
      </c>
      <c r="O4979" t="n">
        <v>0.91</v>
      </c>
      <c r="P4979" t="n">
        <v>1</v>
      </c>
      <c r="Q4979" t="n">
        <v>0.12</v>
      </c>
      <c r="R4979" t="n">
        <v>2</v>
      </c>
      <c r="S4979" t="n">
        <v>24697.4</v>
      </c>
      <c r="T4979" t="n">
        <v>14</v>
      </c>
      <c r="U4979" t="n">
        <v>15</v>
      </c>
      <c r="V4979" t="n">
        <v>30</v>
      </c>
      <c r="W4979" t="n">
        <v>13</v>
      </c>
      <c r="X4979" t="n">
        <v>11.94457716196847</v>
      </c>
      <c r="Y4979" t="n">
        <v>1</v>
      </c>
      <c r="Z4979" t="n">
        <v>8</v>
      </c>
      <c r="AA4979" t="n">
        <v>0</v>
      </c>
      <c r="AB4979" t="n">
        <v>8</v>
      </c>
      <c r="AC4979" t="n">
        <v>8</v>
      </c>
      <c r="AD4979" t="n">
        <v>0</v>
      </c>
      <c r="AE4979" t="n">
        <v>385224</v>
      </c>
      <c r="AF4979" t="n">
        <v>10690</v>
      </c>
      <c r="AG4979" t="n">
        <v>2378</v>
      </c>
      <c r="AH4979" t="inlineStr">
        <is>
          <t>PT. KURNIA MAJU PERKASA - PPN (PDG)</t>
        </is>
      </c>
      <c r="AI4979" t="n">
        <v>22</v>
      </c>
      <c r="AJ4979" t="inlineStr">
        <is>
          <t>SCARLETT</t>
        </is>
      </c>
      <c r="AK4979" t="n">
        <v>21</v>
      </c>
      <c r="AL4979" t="inlineStr">
        <is>
          <t>Miss Glam Damar</t>
        </is>
      </c>
      <c r="AM4979" t="n">
        <v>1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SCARLETT</t>
        </is>
      </c>
      <c r="B4980" s="2">
        <f>"8997236030180"</f>
        <v/>
      </c>
      <c r="C4980" t="inlineStr">
        <is>
          <t>SCARLETT Brightly Ever After Night Cream 20g</t>
        </is>
      </c>
      <c r="D4980" t="inlineStr">
        <is>
          <t>Miss Glam Damar</t>
        </is>
      </c>
      <c r="E4980" t="n">
        <v>3</v>
      </c>
      <c r="F4980" t="n">
        <v>0.3276</v>
      </c>
      <c r="G4980" t="n">
        <v>1.82</v>
      </c>
      <c r="H4980" t="n">
        <v>1</v>
      </c>
      <c r="I4980" t="n">
        <v>5</v>
      </c>
      <c r="J4980" t="n">
        <v>3</v>
      </c>
      <c r="K4980" t="n">
        <v>0</v>
      </c>
      <c r="L4980" t="n">
        <v>48440</v>
      </c>
      <c r="M4980" t="n">
        <v>59000</v>
      </c>
      <c r="N4980" t="n">
        <v>91</v>
      </c>
      <c r="O4980" t="n">
        <v>0.91</v>
      </c>
      <c r="P4980" t="n">
        <v>1</v>
      </c>
      <c r="Q4980" t="n">
        <v>0.05</v>
      </c>
      <c r="R4980" t="n">
        <v>2</v>
      </c>
      <c r="S4980" t="n">
        <v>19328.4</v>
      </c>
      <c r="T4980" t="n">
        <v>9</v>
      </c>
      <c r="U4980" t="n">
        <v>10</v>
      </c>
      <c r="V4980" t="n">
        <v>30</v>
      </c>
      <c r="W4980" t="n">
        <v>10</v>
      </c>
      <c r="X4980" t="n">
        <v>9.157509157509157</v>
      </c>
      <c r="Y4980" t="n">
        <v>1</v>
      </c>
      <c r="Z4980" t="n">
        <v>7</v>
      </c>
      <c r="AA4980" t="n">
        <v>0</v>
      </c>
      <c r="AB4980" t="n">
        <v>7</v>
      </c>
      <c r="AC4980" t="n">
        <v>7</v>
      </c>
      <c r="AD4980" t="n">
        <v>0</v>
      </c>
      <c r="AE4980" t="n">
        <v>339080</v>
      </c>
      <c r="AF4980" t="n">
        <v>10690</v>
      </c>
      <c r="AG4980" t="n">
        <v>2378</v>
      </c>
      <c r="AH4980" t="inlineStr">
        <is>
          <t>PT. KURNIA MAJU PERKASA - PPN (PDG)</t>
        </is>
      </c>
      <c r="AI4980" t="n">
        <v>22</v>
      </c>
      <c r="AJ4980" t="inlineStr">
        <is>
          <t>SCARLETT</t>
        </is>
      </c>
      <c r="AK4980" t="n">
        <v>21</v>
      </c>
      <c r="AL4980" t="inlineStr">
        <is>
          <t>Miss Glam Damar</t>
        </is>
      </c>
      <c r="AM4980" t="n">
        <v>1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SCARLETT</t>
        </is>
      </c>
      <c r="B4981" s="2">
        <f>"8997236030760"</f>
        <v/>
      </c>
      <c r="C4981" t="inlineStr">
        <is>
          <t>SCARLETT C - Power Face Mist 100ml</t>
        </is>
      </c>
      <c r="D4981" t="inlineStr">
        <is>
          <t>Miss Glam Damar</t>
        </is>
      </c>
      <c r="E4981" t="n">
        <v>6</v>
      </c>
      <c r="F4981" t="n">
        <v>0.03</v>
      </c>
      <c r="G4981" t="n">
        <v>2</v>
      </c>
      <c r="H4981" t="n">
        <v>1</v>
      </c>
      <c r="I4981" t="n">
        <v>5</v>
      </c>
      <c r="J4981" t="n">
        <v>3</v>
      </c>
      <c r="K4981" t="n">
        <v>0</v>
      </c>
      <c r="L4981" t="n">
        <v>48153</v>
      </c>
      <c r="M4981" t="n">
        <v>55000</v>
      </c>
      <c r="N4981" t="n">
        <v>91</v>
      </c>
      <c r="O4981" t="n">
        <v>0.91</v>
      </c>
      <c r="P4981" t="n">
        <v>0</v>
      </c>
      <c r="Q4981" t="n">
        <v>0.03</v>
      </c>
      <c r="R4981" t="n">
        <v>2</v>
      </c>
      <c r="S4981" t="n">
        <v>1650</v>
      </c>
      <c r="T4981" t="n">
        <v>10</v>
      </c>
      <c r="U4981" t="n">
        <v>11</v>
      </c>
      <c r="V4981" t="n">
        <v>30</v>
      </c>
      <c r="W4981" t="n">
        <v>1</v>
      </c>
      <c r="X4981" t="n">
        <v>200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10690</v>
      </c>
      <c r="AG4981" t="n">
        <v>2378</v>
      </c>
      <c r="AH4981" t="inlineStr">
        <is>
          <t>PT. KURNIA MAJU PERKASA - PPN (PDG)</t>
        </is>
      </c>
      <c r="AI4981" t="n">
        <v>22</v>
      </c>
      <c r="AJ4981" t="inlineStr">
        <is>
          <t>SCARLETT</t>
        </is>
      </c>
      <c r="AK4981" t="n">
        <v>21</v>
      </c>
      <c r="AL4981" t="inlineStr">
        <is>
          <t>Miss Glam Damar</t>
        </is>
      </c>
      <c r="AM4981" t="n">
        <v>1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SCARLETT</t>
        </is>
      </c>
      <c r="B4982" s="2">
        <f>"8997236030791"</f>
        <v/>
      </c>
      <c r="C4982" t="inlineStr">
        <is>
          <t>SCARLETT C - Power Serum 15ml</t>
        </is>
      </c>
      <c r="D4982" t="inlineStr">
        <is>
          <t>Miss Glam Damar</t>
        </is>
      </c>
      <c r="E4982" t="n">
        <v>5</v>
      </c>
      <c r="F4982" t="n">
        <v>0.1729</v>
      </c>
      <c r="G4982" t="n">
        <v>0.91</v>
      </c>
      <c r="H4982" t="n">
        <v>1</v>
      </c>
      <c r="I4982" t="n">
        <v>5</v>
      </c>
      <c r="J4982" t="n">
        <v>3</v>
      </c>
      <c r="K4982" t="n">
        <v>0</v>
      </c>
      <c r="L4982" t="n">
        <v>48153</v>
      </c>
      <c r="M4982" t="n">
        <v>55000</v>
      </c>
      <c r="N4982" t="n">
        <v>91</v>
      </c>
      <c r="O4982" t="n">
        <v>0.91</v>
      </c>
      <c r="P4982" t="n">
        <v>1</v>
      </c>
      <c r="Q4982" t="n">
        <v>0.05</v>
      </c>
      <c r="R4982" t="n">
        <v>1</v>
      </c>
      <c r="S4982" t="n">
        <v>9509.5</v>
      </c>
      <c r="T4982" t="n">
        <v>5</v>
      </c>
      <c r="U4982" t="n">
        <v>6</v>
      </c>
      <c r="V4982" t="n">
        <v>30</v>
      </c>
      <c r="W4982" t="n">
        <v>6</v>
      </c>
      <c r="X4982" t="n">
        <v>28.91844997108155</v>
      </c>
      <c r="Y4982" t="n">
        <v>1</v>
      </c>
      <c r="Z4982" t="n">
        <v>1</v>
      </c>
      <c r="AA4982" t="n">
        <v>0</v>
      </c>
      <c r="AB4982" t="n">
        <v>1</v>
      </c>
      <c r="AC4982" t="n">
        <v>3</v>
      </c>
      <c r="AD4982" t="n">
        <v>0</v>
      </c>
      <c r="AE4982" t="n">
        <v>144459</v>
      </c>
      <c r="AF4982" t="n">
        <v>10690</v>
      </c>
      <c r="AG4982" t="n">
        <v>2378</v>
      </c>
      <c r="AH4982" t="inlineStr">
        <is>
          <t>PT. KURNIA MAJU PERKASA - PPN (PDG)</t>
        </is>
      </c>
      <c r="AI4982" t="n">
        <v>22</v>
      </c>
      <c r="AJ4982" t="inlineStr">
        <is>
          <t>SCARLETT</t>
        </is>
      </c>
      <c r="AK4982" t="n">
        <v>21</v>
      </c>
      <c r="AL4982" t="inlineStr">
        <is>
          <t>Miss Glam Damar</t>
        </is>
      </c>
      <c r="AM4982" t="n">
        <v>1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SCARLETT</t>
        </is>
      </c>
      <c r="B4983" s="2">
        <f>"8997236031378"</f>
        <v/>
      </c>
      <c r="C4983" t="inlineStr">
        <is>
          <t>SCARLETT Eau De Parfum Euphoria 30ml</t>
        </is>
      </c>
      <c r="D4983" t="inlineStr">
        <is>
          <t>Miss Glam Damar</t>
        </is>
      </c>
      <c r="E4983" t="n">
        <v>55</v>
      </c>
      <c r="F4983" t="n">
        <v>2.9575</v>
      </c>
      <c r="G4983" t="n">
        <v>7.28</v>
      </c>
      <c r="H4983" t="n">
        <v>1</v>
      </c>
      <c r="I4983" t="n">
        <v>5</v>
      </c>
      <c r="J4983" t="n">
        <v>6</v>
      </c>
      <c r="K4983" t="n">
        <v>0</v>
      </c>
      <c r="L4983" t="n">
        <v>52873</v>
      </c>
      <c r="M4983" t="n">
        <v>65000</v>
      </c>
      <c r="N4983" t="n">
        <v>91</v>
      </c>
      <c r="O4983" t="n">
        <v>0.91</v>
      </c>
      <c r="P4983" t="n">
        <v>1</v>
      </c>
      <c r="Q4983" t="n">
        <v>2.59</v>
      </c>
      <c r="R4983" t="n">
        <v>8</v>
      </c>
      <c r="S4983" t="n">
        <v>192237.5</v>
      </c>
      <c r="T4983" t="n">
        <v>34</v>
      </c>
      <c r="U4983" t="n">
        <v>37</v>
      </c>
      <c r="V4983" t="n">
        <v>30</v>
      </c>
      <c r="W4983" t="n">
        <v>89</v>
      </c>
      <c r="X4983" t="n">
        <v>18.59678782755706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10690</v>
      </c>
      <c r="AG4983" t="n">
        <v>2378</v>
      </c>
      <c r="AH4983" t="inlineStr">
        <is>
          <t>PT. KURNIA MAJU PERKASA - PPN (PDG)</t>
        </is>
      </c>
      <c r="AI4983" t="n">
        <v>22</v>
      </c>
      <c r="AJ4983" t="inlineStr">
        <is>
          <t>SCARLETT</t>
        </is>
      </c>
      <c r="AK4983" t="n">
        <v>21</v>
      </c>
      <c r="AL4983" t="inlineStr">
        <is>
          <t>Miss Glam Damar</t>
        </is>
      </c>
      <c r="AM4983" t="n">
        <v>1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SCARLETT</t>
        </is>
      </c>
      <c r="B4984" s="2">
        <f>"30400260811"</f>
        <v/>
      </c>
      <c r="C4984" t="inlineStr">
        <is>
          <t>SCARLETT Eau De Parfum Jolly 30ml</t>
        </is>
      </c>
      <c r="D4984" t="inlineStr">
        <is>
          <t>Miss Glam Damar</t>
        </is>
      </c>
      <c r="E4984" t="n">
        <v>28</v>
      </c>
      <c r="F4984" t="n">
        <v>1.3923</v>
      </c>
      <c r="G4984" t="n">
        <v>5.46</v>
      </c>
      <c r="H4984" t="n">
        <v>1</v>
      </c>
      <c r="I4984" t="n">
        <v>5</v>
      </c>
      <c r="J4984" t="n">
        <v>1</v>
      </c>
      <c r="K4984" t="n">
        <v>0</v>
      </c>
      <c r="L4984" t="n">
        <v>55680</v>
      </c>
      <c r="M4984" t="n">
        <v>65000</v>
      </c>
      <c r="N4984" t="n">
        <v>91</v>
      </c>
      <c r="O4984" t="n">
        <v>0.91</v>
      </c>
      <c r="P4984" t="n">
        <v>1</v>
      </c>
      <c r="Q4984" t="n">
        <v>1.51</v>
      </c>
      <c r="R4984" t="n">
        <v>7</v>
      </c>
      <c r="S4984" t="n">
        <v>90499.5</v>
      </c>
      <c r="T4984" t="n">
        <v>26</v>
      </c>
      <c r="U4984" t="n">
        <v>28</v>
      </c>
      <c r="V4984" t="n">
        <v>30</v>
      </c>
      <c r="W4984" t="n">
        <v>42</v>
      </c>
      <c r="X4984" t="n">
        <v>20.11060834590246</v>
      </c>
      <c r="Y4984" t="n">
        <v>1</v>
      </c>
      <c r="Z4984" t="n">
        <v>14</v>
      </c>
      <c r="AA4984" t="n">
        <v>0</v>
      </c>
      <c r="AB4984" t="n">
        <v>14</v>
      </c>
      <c r="AC4984" t="n">
        <v>14</v>
      </c>
      <c r="AD4984" t="n">
        <v>0</v>
      </c>
      <c r="AE4984" t="n">
        <v>779520</v>
      </c>
      <c r="AF4984" t="n">
        <v>10690</v>
      </c>
      <c r="AG4984" t="n">
        <v>2378</v>
      </c>
      <c r="AH4984" t="inlineStr">
        <is>
          <t>PT. KURNIA MAJU PERKASA - PPN (PDG)</t>
        </is>
      </c>
      <c r="AI4984" t="n">
        <v>22</v>
      </c>
      <c r="AJ4984" t="inlineStr">
        <is>
          <t>SCARLETT</t>
        </is>
      </c>
      <c r="AK4984" t="n">
        <v>21</v>
      </c>
      <c r="AL4984" t="inlineStr">
        <is>
          <t>Miss Glam Damar</t>
        </is>
      </c>
      <c r="AM4984" t="n">
        <v>1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SCARLETT</t>
        </is>
      </c>
      <c r="B4985" s="2">
        <f>"8997236031637"</f>
        <v/>
      </c>
      <c r="C4985" t="inlineStr">
        <is>
          <t>SCARLETT Eau De Parfum La Foret Fairy 30ml</t>
        </is>
      </c>
      <c r="D4985" t="inlineStr">
        <is>
          <t>Miss Glam Damar</t>
        </is>
      </c>
      <c r="E4985" t="n">
        <v>12</v>
      </c>
      <c r="F4985" t="n">
        <v>1.8382</v>
      </c>
      <c r="G4985" t="n">
        <v>6.37</v>
      </c>
      <c r="H4985" t="n">
        <v>1</v>
      </c>
      <c r="I4985" t="n">
        <v>5</v>
      </c>
      <c r="J4985" t="n">
        <v>6</v>
      </c>
      <c r="K4985" t="n">
        <v>0</v>
      </c>
      <c r="L4985" t="n">
        <v>52873</v>
      </c>
      <c r="M4985" t="n">
        <v>65000</v>
      </c>
      <c r="N4985" t="n">
        <v>91</v>
      </c>
      <c r="O4985" t="n">
        <v>0.91</v>
      </c>
      <c r="P4985" t="n">
        <v>1</v>
      </c>
      <c r="Q4985" t="n">
        <v>0.63</v>
      </c>
      <c r="R4985" t="n">
        <v>4</v>
      </c>
      <c r="S4985" t="n">
        <v>119483</v>
      </c>
      <c r="T4985" t="n">
        <v>31</v>
      </c>
      <c r="U4985" t="n">
        <v>33</v>
      </c>
      <c r="V4985" t="n">
        <v>30</v>
      </c>
      <c r="W4985" t="n">
        <v>56</v>
      </c>
      <c r="X4985" t="n">
        <v>6.528125340006528</v>
      </c>
      <c r="Y4985" t="n">
        <v>1</v>
      </c>
      <c r="Z4985" t="n">
        <v>44</v>
      </c>
      <c r="AA4985" t="n">
        <v>0</v>
      </c>
      <c r="AB4985" t="n">
        <v>44</v>
      </c>
      <c r="AC4985" t="n">
        <v>44</v>
      </c>
      <c r="AD4985" t="n">
        <v>0</v>
      </c>
      <c r="AE4985" t="n">
        <v>2326412</v>
      </c>
      <c r="AF4985" t="n">
        <v>10690</v>
      </c>
      <c r="AG4985" t="n">
        <v>2378</v>
      </c>
      <c r="AH4985" t="inlineStr">
        <is>
          <t>PT. KURNIA MAJU PERKASA - PPN (PDG)</t>
        </is>
      </c>
      <c r="AI4985" t="n">
        <v>22</v>
      </c>
      <c r="AJ4985" t="inlineStr">
        <is>
          <t>SCARLETT</t>
        </is>
      </c>
      <c r="AK4985" t="n">
        <v>21</v>
      </c>
      <c r="AL4985" t="inlineStr">
        <is>
          <t>Miss Glam Damar</t>
        </is>
      </c>
      <c r="AM4985" t="n">
        <v>1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SCARLETT</t>
        </is>
      </c>
      <c r="B4986" s="2">
        <f>"8997236031385"</f>
        <v/>
      </c>
      <c r="C4986" t="inlineStr">
        <is>
          <t>SCARLETT Eau De Parfum Passionate 30ml</t>
        </is>
      </c>
      <c r="D4986" t="inlineStr">
        <is>
          <t>Miss Glam Damar</t>
        </is>
      </c>
      <c r="E4986" t="n">
        <v>29</v>
      </c>
      <c r="F4986" t="n">
        <v>2.2386</v>
      </c>
      <c r="G4986" t="n">
        <v>8.19</v>
      </c>
      <c r="H4986" t="n">
        <v>1</v>
      </c>
      <c r="I4986" t="n">
        <v>5</v>
      </c>
      <c r="J4986" t="n">
        <v>6</v>
      </c>
      <c r="K4986" t="n">
        <v>0</v>
      </c>
      <c r="L4986" t="n">
        <v>52873</v>
      </c>
      <c r="M4986" t="n">
        <v>65000</v>
      </c>
      <c r="N4986" t="n">
        <v>91</v>
      </c>
      <c r="O4986" t="n">
        <v>0.91</v>
      </c>
      <c r="P4986" t="n">
        <v>1</v>
      </c>
      <c r="Q4986" t="n">
        <v>1.37</v>
      </c>
      <c r="R4986" t="n">
        <v>5</v>
      </c>
      <c r="S4986" t="n">
        <v>145509</v>
      </c>
      <c r="T4986" t="n">
        <v>39</v>
      </c>
      <c r="U4986" t="n">
        <v>42</v>
      </c>
      <c r="V4986" t="n">
        <v>30</v>
      </c>
      <c r="W4986" t="n">
        <v>68</v>
      </c>
      <c r="X4986" t="n">
        <v>12.9545251496471</v>
      </c>
      <c r="Y4986" t="n">
        <v>1</v>
      </c>
      <c r="Z4986" t="n">
        <v>39</v>
      </c>
      <c r="AA4986" t="n">
        <v>0</v>
      </c>
      <c r="AB4986" t="n">
        <v>39</v>
      </c>
      <c r="AC4986" t="n">
        <v>39</v>
      </c>
      <c r="AD4986" t="n">
        <v>0</v>
      </c>
      <c r="AE4986" t="n">
        <v>2062047</v>
      </c>
      <c r="AF4986" t="n">
        <v>10690</v>
      </c>
      <c r="AG4986" t="n">
        <v>2378</v>
      </c>
      <c r="AH4986" t="inlineStr">
        <is>
          <t>PT. KURNIA MAJU PERKASA - PPN (PDG)</t>
        </is>
      </c>
      <c r="AI4986" t="n">
        <v>22</v>
      </c>
      <c r="AJ4986" t="inlineStr">
        <is>
          <t>SCARLETT</t>
        </is>
      </c>
      <c r="AK4986" t="n">
        <v>21</v>
      </c>
      <c r="AL4986" t="inlineStr">
        <is>
          <t>Miss Glam Damar</t>
        </is>
      </c>
      <c r="AM4986" t="n">
        <v>1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SCARLETT</t>
        </is>
      </c>
      <c r="B4987" s="2">
        <f>"8997236031224"</f>
        <v/>
      </c>
      <c r="C4987" t="inlineStr">
        <is>
          <t>SCARLETT Eau De Parfum Sweet Memories 30ml</t>
        </is>
      </c>
      <c r="D4987" t="inlineStr">
        <is>
          <t>Miss Glam Damar</t>
        </is>
      </c>
      <c r="E4987" t="n">
        <v>15</v>
      </c>
      <c r="F4987" t="n">
        <v>1.2194</v>
      </c>
      <c r="G4987" t="n">
        <v>9.1</v>
      </c>
      <c r="H4987" t="n">
        <v>1</v>
      </c>
      <c r="I4987" t="n">
        <v>5</v>
      </c>
      <c r="J4987" t="n">
        <v>6</v>
      </c>
      <c r="K4987" t="n">
        <v>24</v>
      </c>
      <c r="L4987" t="n">
        <v>52873</v>
      </c>
      <c r="M4987" t="n">
        <v>65000</v>
      </c>
      <c r="N4987" t="n">
        <v>91</v>
      </c>
      <c r="O4987" t="n">
        <v>0.91</v>
      </c>
      <c r="P4987" t="n">
        <v>1</v>
      </c>
      <c r="Q4987" t="n">
        <v>1.24</v>
      </c>
      <c r="R4987" t="n">
        <v>7</v>
      </c>
      <c r="S4987" t="n">
        <v>79261</v>
      </c>
      <c r="T4987" t="n">
        <v>45</v>
      </c>
      <c r="U4987" t="n">
        <v>47</v>
      </c>
      <c r="V4987" t="n">
        <v>30</v>
      </c>
      <c r="W4987" t="n">
        <v>37</v>
      </c>
      <c r="X4987" t="n">
        <v>12.30113170411678</v>
      </c>
      <c r="Y4987" t="n">
        <v>1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10690</v>
      </c>
      <c r="AG4987" t="n">
        <v>2378</v>
      </c>
      <c r="AH4987" t="inlineStr">
        <is>
          <t>PT. KURNIA MAJU PERKASA - PPN (PDG)</t>
        </is>
      </c>
      <c r="AI4987" t="n">
        <v>22</v>
      </c>
      <c r="AJ4987" t="inlineStr">
        <is>
          <t>SCARLETT</t>
        </is>
      </c>
      <c r="AK4987" t="n">
        <v>21</v>
      </c>
      <c r="AL4987" t="inlineStr">
        <is>
          <t>Miss Glam Damar</t>
        </is>
      </c>
      <c r="AM4987" t="n">
        <v>1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SCARLETT</t>
        </is>
      </c>
      <c r="B4988" s="2">
        <f>"8997236031644"</f>
        <v/>
      </c>
      <c r="C4988" t="inlineStr">
        <is>
          <t>SCARLETT Eau De Parfum Wonderland 30ml</t>
        </is>
      </c>
      <c r="D4988" t="inlineStr">
        <is>
          <t>Miss Glam Damar</t>
        </is>
      </c>
      <c r="E4988" t="n">
        <v>13</v>
      </c>
      <c r="F4988" t="n">
        <v>0.6916</v>
      </c>
      <c r="G4988" t="n">
        <v>4.55</v>
      </c>
      <c r="H4988" t="n">
        <v>1</v>
      </c>
      <c r="I4988" t="n">
        <v>5</v>
      </c>
      <c r="J4988" t="n">
        <v>6</v>
      </c>
      <c r="K4988" t="n">
        <v>0</v>
      </c>
      <c r="L4988" t="n">
        <v>52873</v>
      </c>
      <c r="M4988" t="n">
        <v>65000</v>
      </c>
      <c r="N4988" t="n">
        <v>91</v>
      </c>
      <c r="O4988" t="n">
        <v>0.91</v>
      </c>
      <c r="P4988" t="n">
        <v>1</v>
      </c>
      <c r="Q4988" t="n">
        <v>0.46</v>
      </c>
      <c r="R4988" t="n">
        <v>5</v>
      </c>
      <c r="S4988" t="n">
        <v>44954</v>
      </c>
      <c r="T4988" t="n">
        <v>23</v>
      </c>
      <c r="U4988" t="n">
        <v>24</v>
      </c>
      <c r="V4988" t="n">
        <v>30</v>
      </c>
      <c r="W4988" t="n">
        <v>21</v>
      </c>
      <c r="X4988" t="n">
        <v>18.79699248120301</v>
      </c>
      <c r="Y4988" t="n">
        <v>1</v>
      </c>
      <c r="Z4988" t="n">
        <v>8</v>
      </c>
      <c r="AA4988" t="n">
        <v>0</v>
      </c>
      <c r="AB4988" t="n">
        <v>8</v>
      </c>
      <c r="AC4988" t="n">
        <v>8</v>
      </c>
      <c r="AD4988" t="n">
        <v>0</v>
      </c>
      <c r="AE4988" t="n">
        <v>422984</v>
      </c>
      <c r="AF4988" t="n">
        <v>10690</v>
      </c>
      <c r="AG4988" t="n">
        <v>2378</v>
      </c>
      <c r="AH4988" t="inlineStr">
        <is>
          <t>PT. KURNIA MAJU PERKASA - PPN (PDG)</t>
        </is>
      </c>
      <c r="AI4988" t="n">
        <v>22</v>
      </c>
      <c r="AJ4988" t="inlineStr">
        <is>
          <t>SCARLETT</t>
        </is>
      </c>
      <c r="AK4988" t="n">
        <v>21</v>
      </c>
      <c r="AL4988" t="inlineStr">
        <is>
          <t>Miss Glam Damar</t>
        </is>
      </c>
      <c r="AM4988" t="n">
        <v>1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SCARLETT</t>
        </is>
      </c>
      <c r="B4989" s="2">
        <f>"8997236031231"</f>
        <v/>
      </c>
      <c r="C4989" t="inlineStr">
        <is>
          <t>SCARLETT Eau De Parfume Dreamy 30ml</t>
        </is>
      </c>
      <c r="D4989" t="inlineStr">
        <is>
          <t>Miss Glam Damar</t>
        </is>
      </c>
      <c r="E4989" t="n">
        <v>55</v>
      </c>
      <c r="F4989" t="n">
        <v>2.73</v>
      </c>
      <c r="G4989" t="n">
        <v>9.1</v>
      </c>
      <c r="H4989" t="n">
        <v>1</v>
      </c>
      <c r="I4989" t="n">
        <v>5</v>
      </c>
      <c r="J4989" t="n">
        <v>6</v>
      </c>
      <c r="K4989" t="n">
        <v>0</v>
      </c>
      <c r="L4989" t="n">
        <v>52873</v>
      </c>
      <c r="M4989" t="n">
        <v>65000</v>
      </c>
      <c r="N4989" t="n">
        <v>91</v>
      </c>
      <c r="O4989" t="n">
        <v>0.91</v>
      </c>
      <c r="P4989" t="n">
        <v>1</v>
      </c>
      <c r="Q4989" t="n">
        <v>2.41</v>
      </c>
      <c r="R4989" t="n">
        <v>6</v>
      </c>
      <c r="S4989" t="n">
        <v>177450</v>
      </c>
      <c r="T4989" t="n">
        <v>43</v>
      </c>
      <c r="U4989" t="n">
        <v>46</v>
      </c>
      <c r="V4989" t="n">
        <v>30</v>
      </c>
      <c r="W4989" t="n">
        <v>82</v>
      </c>
      <c r="X4989" t="n">
        <v>20.14652014652015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10690</v>
      </c>
      <c r="AG4989" t="n">
        <v>2378</v>
      </c>
      <c r="AH4989" t="inlineStr">
        <is>
          <t>PT. KURNIA MAJU PERKASA - PPN (PDG)</t>
        </is>
      </c>
      <c r="AI4989" t="n">
        <v>22</v>
      </c>
      <c r="AJ4989" t="inlineStr">
        <is>
          <t>SCARLETT</t>
        </is>
      </c>
      <c r="AK4989" t="n">
        <v>21</v>
      </c>
      <c r="AL4989" t="inlineStr">
        <is>
          <t>Miss Glam Damar</t>
        </is>
      </c>
      <c r="AM4989" t="n">
        <v>1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SCARLETT</t>
        </is>
      </c>
      <c r="B4990" s="2">
        <f>"30400255938"</f>
        <v/>
      </c>
      <c r="C4990" t="inlineStr">
        <is>
          <t>SCARLETT Extrait De Parfum Banana Fusion 30ml</t>
        </is>
      </c>
      <c r="D4990" t="inlineStr">
        <is>
          <t>Miss Glam Damar</t>
        </is>
      </c>
      <c r="E4990" t="n">
        <v>73</v>
      </c>
      <c r="F4990" t="n">
        <v>1.638</v>
      </c>
      <c r="G4990" t="n">
        <v>10.01</v>
      </c>
      <c r="H4990" t="n">
        <v>1</v>
      </c>
      <c r="I4990" t="n">
        <v>5</v>
      </c>
      <c r="J4990" t="n">
        <v>1</v>
      </c>
      <c r="K4990" t="n">
        <v>0</v>
      </c>
      <c r="L4990" t="n">
        <v>55680</v>
      </c>
      <c r="M4990" t="n">
        <v>65000</v>
      </c>
      <c r="N4990" t="n">
        <v>91</v>
      </c>
      <c r="O4990" t="n">
        <v>0.91</v>
      </c>
      <c r="P4990" t="n">
        <v>1</v>
      </c>
      <c r="Q4990" t="n">
        <v>1.14</v>
      </c>
      <c r="R4990" t="n">
        <v>10</v>
      </c>
      <c r="S4990" t="n">
        <v>106470</v>
      </c>
      <c r="T4990" t="n">
        <v>49</v>
      </c>
      <c r="U4990" t="n">
        <v>51</v>
      </c>
      <c r="V4990" t="n">
        <v>30</v>
      </c>
      <c r="W4990" t="n">
        <v>50</v>
      </c>
      <c r="X4990" t="n">
        <v>44.56654456654456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10690</v>
      </c>
      <c r="AG4990" t="n">
        <v>2378</v>
      </c>
      <c r="AH4990" t="inlineStr">
        <is>
          <t>PT. KURNIA MAJU PERKASA - PPN (PDG)</t>
        </is>
      </c>
      <c r="AI4990" t="n">
        <v>22</v>
      </c>
      <c r="AJ4990" t="inlineStr">
        <is>
          <t>SCARLETT</t>
        </is>
      </c>
      <c r="AK4990" t="n">
        <v>21</v>
      </c>
      <c r="AL4990" t="inlineStr">
        <is>
          <t>Miss Glam Damar</t>
        </is>
      </c>
      <c r="AM4990" t="n">
        <v>1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SCARLETT</t>
        </is>
      </c>
      <c r="B4991" s="2">
        <f>"30400255829"</f>
        <v/>
      </c>
      <c r="C4991" t="inlineStr">
        <is>
          <t>SCARLETT Extrait De Parfum Caramel Latte 30ml</t>
        </is>
      </c>
      <c r="D4991" t="inlineStr">
        <is>
          <t>Miss Glam Damar</t>
        </is>
      </c>
      <c r="E4991" t="n">
        <v>5</v>
      </c>
      <c r="F4991" t="n">
        <v>0.5824</v>
      </c>
      <c r="G4991" t="n">
        <v>5.46</v>
      </c>
      <c r="H4991" t="n">
        <v>1</v>
      </c>
      <c r="I4991" t="n">
        <v>5</v>
      </c>
      <c r="J4991" t="n">
        <v>1</v>
      </c>
      <c r="K4991" t="n">
        <v>0</v>
      </c>
      <c r="L4991" t="n">
        <v>55680</v>
      </c>
      <c r="M4991" t="n">
        <v>65000</v>
      </c>
      <c r="N4991" t="n">
        <v>91</v>
      </c>
      <c r="O4991" t="n">
        <v>0.91</v>
      </c>
      <c r="P4991" t="n">
        <v>1</v>
      </c>
      <c r="Q4991" t="n">
        <v>0.14</v>
      </c>
      <c r="R4991" t="n">
        <v>3</v>
      </c>
      <c r="S4991" t="n">
        <v>37856</v>
      </c>
      <c r="T4991" t="n">
        <v>27</v>
      </c>
      <c r="U4991" t="n">
        <v>28</v>
      </c>
      <c r="V4991" t="n">
        <v>30</v>
      </c>
      <c r="W4991" t="n">
        <v>18</v>
      </c>
      <c r="X4991" t="n">
        <v>8.585164835164834</v>
      </c>
      <c r="Y4991" t="n">
        <v>1</v>
      </c>
      <c r="Z4991" t="n">
        <v>13</v>
      </c>
      <c r="AA4991" t="n">
        <v>0</v>
      </c>
      <c r="AB4991" t="n">
        <v>13</v>
      </c>
      <c r="AC4991" t="n">
        <v>13</v>
      </c>
      <c r="AD4991" t="n">
        <v>0</v>
      </c>
      <c r="AE4991" t="n">
        <v>723840</v>
      </c>
      <c r="AF4991" t="n">
        <v>10690</v>
      </c>
      <c r="AG4991" t="n">
        <v>2378</v>
      </c>
      <c r="AH4991" t="inlineStr">
        <is>
          <t>PT. KURNIA MAJU PERKASA - PPN (PDG)</t>
        </is>
      </c>
      <c r="AI4991" t="n">
        <v>22</v>
      </c>
      <c r="AJ4991" t="inlineStr">
        <is>
          <t>SCARLETT</t>
        </is>
      </c>
      <c r="AK4991" t="n">
        <v>21</v>
      </c>
      <c r="AL4991" t="inlineStr">
        <is>
          <t>Miss Glam Damar</t>
        </is>
      </c>
      <c r="AM4991" t="n">
        <v>1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SCARLETT</t>
        </is>
      </c>
      <c r="B4992" s="2">
        <f>"8997236031798"</f>
        <v/>
      </c>
      <c r="C4992" t="inlineStr">
        <is>
          <t>SCARLETT Extrait De Parfum Golden Elixir 30ml</t>
        </is>
      </c>
      <c r="D4992" t="inlineStr">
        <is>
          <t>Miss Glam Damar</t>
        </is>
      </c>
      <c r="E4992" t="n">
        <v>32</v>
      </c>
      <c r="F4992" t="n">
        <v>0.9555000000000001</v>
      </c>
      <c r="G4992" t="n">
        <v>5.46</v>
      </c>
      <c r="H4992" t="n">
        <v>1</v>
      </c>
      <c r="I4992" t="n">
        <v>5</v>
      </c>
      <c r="J4992" t="n">
        <v>3</v>
      </c>
      <c r="K4992" t="n">
        <v>0</v>
      </c>
      <c r="L4992" t="n">
        <v>55680</v>
      </c>
      <c r="M4992" t="n">
        <v>65000</v>
      </c>
      <c r="N4992" t="n">
        <v>91</v>
      </c>
      <c r="O4992" t="n">
        <v>0.91</v>
      </c>
      <c r="P4992" t="n">
        <v>1</v>
      </c>
      <c r="Q4992" t="n">
        <v>0.58</v>
      </c>
      <c r="R4992" t="n">
        <v>8</v>
      </c>
      <c r="S4992" t="n">
        <v>62107.50000000001</v>
      </c>
      <c r="T4992" t="n">
        <v>27</v>
      </c>
      <c r="U4992" t="n">
        <v>28</v>
      </c>
      <c r="V4992" t="n">
        <v>30</v>
      </c>
      <c r="W4992" t="n">
        <v>29</v>
      </c>
      <c r="X4992" t="n">
        <v>33.49031920460492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10690</v>
      </c>
      <c r="AG4992" t="n">
        <v>2378</v>
      </c>
      <c r="AH4992" t="inlineStr">
        <is>
          <t>PT. KURNIA MAJU PERKASA - PPN (PDG)</t>
        </is>
      </c>
      <c r="AI4992" t="n">
        <v>22</v>
      </c>
      <c r="AJ4992" t="inlineStr">
        <is>
          <t>SCARLETT</t>
        </is>
      </c>
      <c r="AK4992" t="n">
        <v>21</v>
      </c>
      <c r="AL4992" t="inlineStr">
        <is>
          <t>Miss Glam Damar</t>
        </is>
      </c>
      <c r="AM4992" t="n">
        <v>1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SCARLETT</t>
        </is>
      </c>
      <c r="B4993" s="2">
        <f>"30400263721"</f>
        <v/>
      </c>
      <c r="C4993" t="inlineStr">
        <is>
          <t>SCARLETT Extrait De Parfum Pistachio Crush 30ml</t>
        </is>
      </c>
      <c r="D4993" t="inlineStr">
        <is>
          <t>Miss Glam Damar</t>
        </is>
      </c>
      <c r="E4993" t="n">
        <v>26</v>
      </c>
      <c r="F4993" t="n">
        <v>0.4186</v>
      </c>
      <c r="G4993" t="n">
        <v>3.64</v>
      </c>
      <c r="H4993" t="n">
        <v>1</v>
      </c>
      <c r="I4993" t="n">
        <v>5</v>
      </c>
      <c r="J4993" t="n">
        <v>6</v>
      </c>
      <c r="K4993" t="n">
        <v>0</v>
      </c>
      <c r="L4993" t="n">
        <v>55680</v>
      </c>
      <c r="M4993" t="n">
        <v>65000</v>
      </c>
      <c r="N4993" t="n">
        <v>91</v>
      </c>
      <c r="O4993" t="n">
        <v>0.91</v>
      </c>
      <c r="P4993" t="n">
        <v>1</v>
      </c>
      <c r="Q4993" t="n">
        <v>0.22</v>
      </c>
      <c r="R4993" t="n">
        <v>2</v>
      </c>
      <c r="S4993" t="n">
        <v>27209</v>
      </c>
      <c r="T4993" t="n">
        <v>18</v>
      </c>
      <c r="U4993" t="n">
        <v>19</v>
      </c>
      <c r="V4993" t="n">
        <v>30</v>
      </c>
      <c r="W4993" t="n">
        <v>13</v>
      </c>
      <c r="X4993" t="n">
        <v>62.11180124223602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10690</v>
      </c>
      <c r="AG4993" t="n">
        <v>2378</v>
      </c>
      <c r="AH4993" t="inlineStr">
        <is>
          <t>PT. KURNIA MAJU PERKASA - PPN (PDG)</t>
        </is>
      </c>
      <c r="AI4993" t="n">
        <v>22</v>
      </c>
      <c r="AJ4993" t="inlineStr">
        <is>
          <t>SCARLETT</t>
        </is>
      </c>
      <c r="AK4993" t="n">
        <v>21</v>
      </c>
      <c r="AL4993" t="inlineStr">
        <is>
          <t>Miss Glam Damar</t>
        </is>
      </c>
      <c r="AM4993" t="n">
        <v>1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SCARLETT</t>
        </is>
      </c>
      <c r="B4994" s="2">
        <f>"30400263651"</f>
        <v/>
      </c>
      <c r="C4994" t="inlineStr">
        <is>
          <t>SCARLETT Extrait De Parfum Tea Amor 30ml</t>
        </is>
      </c>
      <c r="D4994" t="inlineStr">
        <is>
          <t>Miss Glam Damar</t>
        </is>
      </c>
      <c r="E4994" t="n">
        <v>31</v>
      </c>
      <c r="F4994" t="n">
        <v>0.8644999999999999</v>
      </c>
      <c r="G4994" t="n">
        <v>3.64</v>
      </c>
      <c r="H4994" t="n">
        <v>1</v>
      </c>
      <c r="I4994" t="n">
        <v>5</v>
      </c>
      <c r="J4994" t="n">
        <v>6</v>
      </c>
      <c r="K4994" t="n">
        <v>0</v>
      </c>
      <c r="L4994" t="n">
        <v>55680</v>
      </c>
      <c r="M4994" t="n">
        <v>65000</v>
      </c>
      <c r="N4994" t="n">
        <v>91</v>
      </c>
      <c r="O4994" t="n">
        <v>0.91</v>
      </c>
      <c r="P4994" t="n">
        <v>1</v>
      </c>
      <c r="Q4994" t="n">
        <v>0.85</v>
      </c>
      <c r="R4994" t="n">
        <v>5</v>
      </c>
      <c r="S4994" t="n">
        <v>56192.49999999999</v>
      </c>
      <c r="T4994" t="n">
        <v>18</v>
      </c>
      <c r="U4994" t="n">
        <v>19</v>
      </c>
      <c r="V4994" t="n">
        <v>30</v>
      </c>
      <c r="W4994" t="n">
        <v>26</v>
      </c>
      <c r="X4994" t="n">
        <v>35.85887796414112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10690</v>
      </c>
      <c r="AG4994" t="n">
        <v>2378</v>
      </c>
      <c r="AH4994" t="inlineStr">
        <is>
          <t>PT. KURNIA MAJU PERKASA - PPN (PDG)</t>
        </is>
      </c>
      <c r="AI4994" t="n">
        <v>22</v>
      </c>
      <c r="AJ4994" t="inlineStr">
        <is>
          <t>SCARLETT</t>
        </is>
      </c>
      <c r="AK4994" t="n">
        <v>21</v>
      </c>
      <c r="AL4994" t="inlineStr">
        <is>
          <t>Miss Glam Damar</t>
        </is>
      </c>
      <c r="AM4994" t="n">
        <v>1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SCARLETT</t>
        </is>
      </c>
      <c r="B4995" s="2">
        <f>"8997236031934"</f>
        <v/>
      </c>
      <c r="C4995" t="inlineStr">
        <is>
          <t>SCARLETT Extrait De Parfum Velvet Rouge 30ml</t>
        </is>
      </c>
      <c r="D4995" t="inlineStr">
        <is>
          <t>Miss Glam Damar</t>
        </is>
      </c>
      <c r="E4995" t="n">
        <v>130</v>
      </c>
      <c r="F4995" t="n">
        <v>3.4671</v>
      </c>
      <c r="G4995" t="n">
        <v>16.38</v>
      </c>
      <c r="H4995" t="n">
        <v>1</v>
      </c>
      <c r="I4995" t="n">
        <v>5</v>
      </c>
      <c r="J4995" t="n">
        <v>3</v>
      </c>
      <c r="K4995" t="n">
        <v>0</v>
      </c>
      <c r="L4995" t="n">
        <v>55680</v>
      </c>
      <c r="M4995" t="n">
        <v>65000</v>
      </c>
      <c r="N4995" t="n">
        <v>91</v>
      </c>
      <c r="O4995" t="n">
        <v>0.91</v>
      </c>
      <c r="P4995" t="n">
        <v>1</v>
      </c>
      <c r="Q4995" t="n">
        <v>1.71</v>
      </c>
      <c r="R4995" t="n">
        <v>10</v>
      </c>
      <c r="S4995" t="n">
        <v>225361.5</v>
      </c>
      <c r="T4995" t="n">
        <v>79</v>
      </c>
      <c r="U4995" t="n">
        <v>83</v>
      </c>
      <c r="V4995" t="n">
        <v>30</v>
      </c>
      <c r="W4995" t="n">
        <v>105</v>
      </c>
      <c r="X4995" t="n">
        <v>37.49531308586426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10690</v>
      </c>
      <c r="AG4995" t="n">
        <v>2378</v>
      </c>
      <c r="AH4995" t="inlineStr">
        <is>
          <t>PT. KURNIA MAJU PERKASA - PPN (PDG)</t>
        </is>
      </c>
      <c r="AI4995" t="n">
        <v>22</v>
      </c>
      <c r="AJ4995" t="inlineStr">
        <is>
          <t>SCARLETT</t>
        </is>
      </c>
      <c r="AK4995" t="n">
        <v>21</v>
      </c>
      <c r="AL4995" t="inlineStr">
        <is>
          <t>Miss Glam Damar</t>
        </is>
      </c>
      <c r="AM4995" t="n">
        <v>1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SCARLETT</t>
        </is>
      </c>
      <c r="B4996" s="2">
        <f>"101001116435"</f>
        <v/>
      </c>
      <c r="C4996" t="inlineStr">
        <is>
          <t>SCARLETT Face Wash Low Ph Gel Cleanser Acne Peach 100 ml</t>
        </is>
      </c>
      <c r="D4996" t="inlineStr">
        <is>
          <t>Miss Glam Damar</t>
        </is>
      </c>
      <c r="E4996" t="n">
        <v>5</v>
      </c>
      <c r="F4996" t="n">
        <v>0.02</v>
      </c>
      <c r="G4996" t="n">
        <v>1</v>
      </c>
      <c r="H4996" t="n">
        <v>1</v>
      </c>
      <c r="I4996" t="n">
        <v>5</v>
      </c>
      <c r="J4996" t="n">
        <v>1</v>
      </c>
      <c r="K4996" t="n">
        <v>0</v>
      </c>
      <c r="L4996" t="n">
        <v>42335</v>
      </c>
      <c r="M4996" t="n">
        <v>55000</v>
      </c>
      <c r="N4996" t="n">
        <v>91</v>
      </c>
      <c r="O4996" t="n">
        <v>0.91</v>
      </c>
      <c r="P4996" t="n">
        <v>0</v>
      </c>
      <c r="Q4996" t="n">
        <v>0.02</v>
      </c>
      <c r="R4996" t="n">
        <v>1</v>
      </c>
      <c r="S4996" t="n">
        <v>1100</v>
      </c>
      <c r="T4996" t="n">
        <v>5</v>
      </c>
      <c r="U4996" t="n">
        <v>6</v>
      </c>
      <c r="V4996" t="n">
        <v>30</v>
      </c>
      <c r="W4996" t="n">
        <v>1</v>
      </c>
      <c r="X4996" t="n">
        <v>250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10690</v>
      </c>
      <c r="AG4996" t="n">
        <v>2378</v>
      </c>
      <c r="AH4996" t="inlineStr">
        <is>
          <t>PT. KURNIA MAJU PERKASA - PPN (PDG)</t>
        </is>
      </c>
      <c r="AI4996" t="n">
        <v>22</v>
      </c>
      <c r="AJ4996" t="inlineStr">
        <is>
          <t>SCARLETT</t>
        </is>
      </c>
      <c r="AK4996" t="n">
        <v>21</v>
      </c>
      <c r="AL4996" t="inlineStr">
        <is>
          <t>Miss Glam Damar</t>
        </is>
      </c>
      <c r="AM4996" t="n">
        <v>1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SCARLETT</t>
        </is>
      </c>
      <c r="B4997" s="2">
        <f>"101001116526"</f>
        <v/>
      </c>
      <c r="C4997" t="inlineStr">
        <is>
          <t>SCARLETT Face Wash Low Ph Gel Cleanser Glow Bright 100 ml</t>
        </is>
      </c>
      <c r="D4997" t="inlineStr">
        <is>
          <t>Miss Glam Damar</t>
        </is>
      </c>
      <c r="E4997" t="n">
        <v>5</v>
      </c>
      <c r="F4997" t="n">
        <v>0.0273</v>
      </c>
      <c r="G4997" t="n">
        <v>0.91</v>
      </c>
      <c r="H4997" t="n">
        <v>1</v>
      </c>
      <c r="I4997" t="n">
        <v>5</v>
      </c>
      <c r="J4997" t="n">
        <v>1</v>
      </c>
      <c r="K4997" t="n">
        <v>0</v>
      </c>
      <c r="L4997" t="n">
        <v>42335</v>
      </c>
      <c r="M4997" t="n">
        <v>55000</v>
      </c>
      <c r="N4997" t="n">
        <v>91</v>
      </c>
      <c r="O4997" t="n">
        <v>0.91</v>
      </c>
      <c r="P4997" t="n">
        <v>1</v>
      </c>
      <c r="Q4997" t="n">
        <v>0.02</v>
      </c>
      <c r="R4997" t="n">
        <v>1</v>
      </c>
      <c r="S4997" t="n">
        <v>1501.5</v>
      </c>
      <c r="T4997" t="n">
        <v>5</v>
      </c>
      <c r="U4997" t="n">
        <v>6</v>
      </c>
      <c r="V4997" t="n">
        <v>30</v>
      </c>
      <c r="W4997" t="n">
        <v>1</v>
      </c>
      <c r="X4997" t="n">
        <v>183.1501831501832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10690</v>
      </c>
      <c r="AG4997" t="n">
        <v>2378</v>
      </c>
      <c r="AH4997" t="inlineStr">
        <is>
          <t>PT. KURNIA MAJU PERKASA - PPN (PDG)</t>
        </is>
      </c>
      <c r="AI4997" t="n">
        <v>22</v>
      </c>
      <c r="AJ4997" t="inlineStr">
        <is>
          <t>SCARLETT</t>
        </is>
      </c>
      <c r="AK4997" t="n">
        <v>21</v>
      </c>
      <c r="AL4997" t="inlineStr">
        <is>
          <t>Miss Glam Damar</t>
        </is>
      </c>
      <c r="AM4997" t="n">
        <v>1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SCARLETT</t>
        </is>
      </c>
      <c r="B4998" s="2">
        <f>"101001106539"</f>
        <v/>
      </c>
      <c r="C4998" t="inlineStr">
        <is>
          <t>SCARLETT Facial Foam Brightly Gentle Skin 105ml</t>
        </is>
      </c>
      <c r="D4998" t="inlineStr">
        <is>
          <t>Miss Glam Damar</t>
        </is>
      </c>
      <c r="E4998" t="n">
        <v>6</v>
      </c>
      <c r="F4998" t="n">
        <v>0.06370000000000001</v>
      </c>
      <c r="G4998" t="n">
        <v>0.91</v>
      </c>
      <c r="H4998" t="n">
        <v>1</v>
      </c>
      <c r="I4998" t="n">
        <v>5</v>
      </c>
      <c r="J4998" t="n">
        <v>3</v>
      </c>
      <c r="K4998" t="n">
        <v>0</v>
      </c>
      <c r="L4998" t="n">
        <v>55044</v>
      </c>
      <c r="M4998" t="n">
        <v>69000</v>
      </c>
      <c r="N4998" t="n">
        <v>91</v>
      </c>
      <c r="O4998" t="n">
        <v>0.91</v>
      </c>
      <c r="P4998" t="n">
        <v>1</v>
      </c>
      <c r="Q4998" t="n">
        <v>0.03</v>
      </c>
      <c r="R4998" t="n">
        <v>1</v>
      </c>
      <c r="S4998" t="n">
        <v>4395.3</v>
      </c>
      <c r="T4998" t="n">
        <v>5</v>
      </c>
      <c r="U4998" t="n">
        <v>6</v>
      </c>
      <c r="V4998" t="n">
        <v>30</v>
      </c>
      <c r="W4998" t="n">
        <v>2</v>
      </c>
      <c r="X4998" t="n">
        <v>94.19152276295132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10690</v>
      </c>
      <c r="AG4998" t="n">
        <v>2378</v>
      </c>
      <c r="AH4998" t="inlineStr">
        <is>
          <t>PT. KURNIA MAJU PERKASA - PPN (PDG)</t>
        </is>
      </c>
      <c r="AI4998" t="n">
        <v>22</v>
      </c>
      <c r="AJ4998" t="inlineStr">
        <is>
          <t>SCARLETT</t>
        </is>
      </c>
      <c r="AK4998" t="n">
        <v>21</v>
      </c>
      <c r="AL4998" t="inlineStr">
        <is>
          <t>Miss Glam Damar</t>
        </is>
      </c>
      <c r="AM4998" t="n">
        <v>1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SCARLETT</t>
        </is>
      </c>
      <c r="B4999" s="2">
        <f>"30200427908"</f>
        <v/>
      </c>
      <c r="C4999" t="inlineStr">
        <is>
          <t>SCARLETT Fragrance Brightening Body Serum Purple Kiss 180ml</t>
        </is>
      </c>
      <c r="D4999" t="inlineStr">
        <is>
          <t>Miss Glam Damar</t>
        </is>
      </c>
      <c r="E4999" t="n">
        <v>19</v>
      </c>
      <c r="F4999" t="n">
        <v>0.7553</v>
      </c>
      <c r="G4999" t="n">
        <v>3.64</v>
      </c>
      <c r="H4999" t="n">
        <v>1</v>
      </c>
      <c r="I4999" t="n">
        <v>5</v>
      </c>
      <c r="J4999" t="n">
        <v>1</v>
      </c>
      <c r="K4999" t="n">
        <v>0</v>
      </c>
      <c r="L4999" t="n">
        <v>37254</v>
      </c>
      <c r="M4999" t="n">
        <v>47000</v>
      </c>
      <c r="N4999" t="n">
        <v>91</v>
      </c>
      <c r="O4999" t="n">
        <v>0.91</v>
      </c>
      <c r="P4999" t="n">
        <v>1</v>
      </c>
      <c r="Q4999" t="n">
        <v>0.42</v>
      </c>
      <c r="R4999" t="n">
        <v>2</v>
      </c>
      <c r="S4999" t="n">
        <v>35499.1</v>
      </c>
      <c r="T4999" t="n">
        <v>18</v>
      </c>
      <c r="U4999" t="n">
        <v>19</v>
      </c>
      <c r="V4999" t="n">
        <v>30</v>
      </c>
      <c r="W4999" t="n">
        <v>23</v>
      </c>
      <c r="X4999" t="n">
        <v>25.15556732424202</v>
      </c>
      <c r="Y4999" t="n">
        <v>1</v>
      </c>
      <c r="Z4999" t="n">
        <v>4</v>
      </c>
      <c r="AA4999" t="n">
        <v>0</v>
      </c>
      <c r="AB4999" t="n">
        <v>4</v>
      </c>
      <c r="AC4999" t="n">
        <v>4</v>
      </c>
      <c r="AD4999" t="n">
        <v>0</v>
      </c>
      <c r="AE4999" t="n">
        <v>149016</v>
      </c>
      <c r="AF4999" t="n">
        <v>10690</v>
      </c>
      <c r="AG4999" t="n">
        <v>2378</v>
      </c>
      <c r="AH4999" t="inlineStr">
        <is>
          <t>PT. KURNIA MAJU PERKASA - PPN (PDG)</t>
        </is>
      </c>
      <c r="AI4999" t="n">
        <v>22</v>
      </c>
      <c r="AJ4999" t="inlineStr">
        <is>
          <t>SCARLETT</t>
        </is>
      </c>
      <c r="AK4999" t="n">
        <v>21</v>
      </c>
      <c r="AL4999" t="inlineStr">
        <is>
          <t>Miss Glam Damar</t>
        </is>
      </c>
      <c r="AM4999" t="n">
        <v>1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SCARLETT</t>
        </is>
      </c>
      <c r="B5000" s="2">
        <f>"30200428040"</f>
        <v/>
      </c>
      <c r="C5000" t="inlineStr">
        <is>
          <t>SCARLETT Fragrance Brightening Body Serum Velvet Rouge 180ml</t>
        </is>
      </c>
      <c r="D5000" t="inlineStr">
        <is>
          <t>Miss Glam Damar</t>
        </is>
      </c>
      <c r="E5000" t="n">
        <v>44</v>
      </c>
      <c r="F5000" t="n">
        <v>3.5672</v>
      </c>
      <c r="G5000" t="n">
        <v>8.19</v>
      </c>
      <c r="H5000" t="n">
        <v>1</v>
      </c>
      <c r="I5000" t="n">
        <v>5</v>
      </c>
      <c r="J5000" t="n">
        <v>1</v>
      </c>
      <c r="K5000" t="n">
        <v>0</v>
      </c>
      <c r="L5000" t="n">
        <v>37261</v>
      </c>
      <c r="M5000" t="n">
        <v>47000</v>
      </c>
      <c r="N5000" t="n">
        <v>91</v>
      </c>
      <c r="O5000" t="n">
        <v>0.91</v>
      </c>
      <c r="P5000" t="n">
        <v>1</v>
      </c>
      <c r="Q5000" t="n">
        <v>2.08</v>
      </c>
      <c r="R5000" t="n">
        <v>6</v>
      </c>
      <c r="S5000" t="n">
        <v>167658.4</v>
      </c>
      <c r="T5000" t="n">
        <v>38</v>
      </c>
      <c r="U5000" t="n">
        <v>42</v>
      </c>
      <c r="V5000" t="n">
        <v>30</v>
      </c>
      <c r="W5000" t="n">
        <v>108</v>
      </c>
      <c r="X5000" t="n">
        <v>12.33460417133887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10690</v>
      </c>
      <c r="AG5000" t="n">
        <v>2378</v>
      </c>
      <c r="AH5000" t="inlineStr">
        <is>
          <t>PT. KURNIA MAJU PERKASA - PPN (PDG)</t>
        </is>
      </c>
      <c r="AI5000" t="n">
        <v>22</v>
      </c>
      <c r="AJ5000" t="inlineStr">
        <is>
          <t>SCARLETT</t>
        </is>
      </c>
      <c r="AK5000" t="n">
        <v>21</v>
      </c>
      <c r="AL5000" t="inlineStr">
        <is>
          <t>Miss Glam Damar</t>
        </is>
      </c>
      <c r="AM5000" t="n">
        <v>1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SCARLETT</t>
        </is>
      </c>
      <c r="B5001" s="2">
        <f>"8993002010349"</f>
        <v/>
      </c>
      <c r="C5001" t="inlineStr">
        <is>
          <t>SCARLETT Fragrance Brightening Shower Gel Charming 300ml</t>
        </is>
      </c>
      <c r="D5001" t="inlineStr">
        <is>
          <t>Miss Glam Damar</t>
        </is>
      </c>
      <c r="E5001" t="n">
        <v>10</v>
      </c>
      <c r="F5001" t="n">
        <v>0.1092</v>
      </c>
      <c r="G5001" t="n">
        <v>1.82</v>
      </c>
      <c r="H5001" t="n">
        <v>1</v>
      </c>
      <c r="I5001" t="n">
        <v>5</v>
      </c>
      <c r="J5001" t="n">
        <v>3</v>
      </c>
      <c r="K5001" t="n">
        <v>0</v>
      </c>
      <c r="L5001" t="n">
        <v>48153</v>
      </c>
      <c r="M5001" t="n">
        <v>59000</v>
      </c>
      <c r="N5001" t="n">
        <v>91</v>
      </c>
      <c r="O5001" t="n">
        <v>0.91</v>
      </c>
      <c r="P5001" t="n">
        <v>1</v>
      </c>
      <c r="Q5001" t="n">
        <v>0.08</v>
      </c>
      <c r="R5001" t="n">
        <v>1</v>
      </c>
      <c r="S5001" t="n">
        <v>6442.8</v>
      </c>
      <c r="T5001" t="n">
        <v>9</v>
      </c>
      <c r="U5001" t="n">
        <v>10</v>
      </c>
      <c r="V5001" t="n">
        <v>30</v>
      </c>
      <c r="W5001" t="n">
        <v>4</v>
      </c>
      <c r="X5001" t="n">
        <v>91.57509157509158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10690</v>
      </c>
      <c r="AG5001" t="n">
        <v>2378</v>
      </c>
      <c r="AH5001" t="inlineStr">
        <is>
          <t>PT. KURNIA MAJU PERKASA - PPN (PDG)</t>
        </is>
      </c>
      <c r="AI5001" t="n">
        <v>22</v>
      </c>
      <c r="AJ5001" t="inlineStr">
        <is>
          <t>SCARLETT</t>
        </is>
      </c>
      <c r="AK5001" t="n">
        <v>21</v>
      </c>
      <c r="AL5001" t="inlineStr">
        <is>
          <t>Miss Glam Damar</t>
        </is>
      </c>
      <c r="AM5001" t="n">
        <v>1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SCARLETT</t>
        </is>
      </c>
      <c r="B5002" s="2">
        <f>"30100244431"</f>
        <v/>
      </c>
      <c r="C5002" t="inlineStr">
        <is>
          <t>SCARLETT Fragrance Brightening Shower Gel Jolly 300ml</t>
        </is>
      </c>
      <c r="D5002" t="inlineStr">
        <is>
          <t>Miss Glam Damar</t>
        </is>
      </c>
      <c r="E5002" t="n">
        <v>6</v>
      </c>
      <c r="F5002" t="n">
        <v>0.182</v>
      </c>
      <c r="G5002" t="n">
        <v>1.82</v>
      </c>
      <c r="H5002" t="n">
        <v>1</v>
      </c>
      <c r="I5002" t="n">
        <v>5</v>
      </c>
      <c r="J5002" t="n">
        <v>1</v>
      </c>
      <c r="K5002" t="n">
        <v>0</v>
      </c>
      <c r="L5002" t="n">
        <v>48153</v>
      </c>
      <c r="M5002" t="n">
        <v>55000</v>
      </c>
      <c r="N5002" t="n">
        <v>91</v>
      </c>
      <c r="O5002" t="n">
        <v>0.91</v>
      </c>
      <c r="P5002" t="n">
        <v>1</v>
      </c>
      <c r="Q5002" t="n">
        <v>0.15</v>
      </c>
      <c r="R5002" t="n">
        <v>3</v>
      </c>
      <c r="S5002" t="n">
        <v>10010</v>
      </c>
      <c r="T5002" t="n">
        <v>9</v>
      </c>
      <c r="U5002" t="n">
        <v>10</v>
      </c>
      <c r="V5002" t="n">
        <v>30</v>
      </c>
      <c r="W5002" t="n">
        <v>6</v>
      </c>
      <c r="X5002" t="n">
        <v>32.96703296703296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10690</v>
      </c>
      <c r="AG5002" t="n">
        <v>2378</v>
      </c>
      <c r="AH5002" t="inlineStr">
        <is>
          <t>PT. KURNIA MAJU PERKASA - PPN (PDG)</t>
        </is>
      </c>
      <c r="AI5002" t="n">
        <v>22</v>
      </c>
      <c r="AJ5002" t="inlineStr">
        <is>
          <t>SCARLETT</t>
        </is>
      </c>
      <c r="AK5002" t="n">
        <v>21</v>
      </c>
      <c r="AL5002" t="inlineStr">
        <is>
          <t>Miss Glam Damar</t>
        </is>
      </c>
      <c r="AM5002" t="n">
        <v>1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SCARLETT</t>
        </is>
      </c>
      <c r="B5003" s="2">
        <f>"30100168227"</f>
        <v/>
      </c>
      <c r="C5003" t="inlineStr">
        <is>
          <t>SCARLETT Fragrance Brightening Shower Gel Loving 300ml</t>
        </is>
      </c>
      <c r="D5003" t="inlineStr">
        <is>
          <t>Miss Glam Damar</t>
        </is>
      </c>
      <c r="E5003" t="n">
        <v>6</v>
      </c>
      <c r="F5003" t="n">
        <v>0.1729</v>
      </c>
      <c r="G5003" t="n">
        <v>1.82</v>
      </c>
      <c r="H5003" t="n">
        <v>1</v>
      </c>
      <c r="I5003" t="n">
        <v>5</v>
      </c>
      <c r="J5003" t="n">
        <v>1</v>
      </c>
      <c r="K5003" t="n">
        <v>0</v>
      </c>
      <c r="L5003" t="n">
        <v>48153</v>
      </c>
      <c r="M5003" t="n">
        <v>55000</v>
      </c>
      <c r="N5003" t="n">
        <v>91</v>
      </c>
      <c r="O5003" t="n">
        <v>0.91</v>
      </c>
      <c r="P5003" t="n">
        <v>1</v>
      </c>
      <c r="Q5003" t="n">
        <v>0.12</v>
      </c>
      <c r="R5003" t="n">
        <v>1</v>
      </c>
      <c r="S5003" t="n">
        <v>9509.5</v>
      </c>
      <c r="T5003" t="n">
        <v>9</v>
      </c>
      <c r="U5003" t="n">
        <v>10</v>
      </c>
      <c r="V5003" t="n">
        <v>30</v>
      </c>
      <c r="W5003" t="n">
        <v>6</v>
      </c>
      <c r="X5003" t="n">
        <v>34.70213996529786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10690</v>
      </c>
      <c r="AG5003" t="n">
        <v>2378</v>
      </c>
      <c r="AH5003" t="inlineStr">
        <is>
          <t>PT. KURNIA MAJU PERKASA - PPN (PDG)</t>
        </is>
      </c>
      <c r="AI5003" t="n">
        <v>22</v>
      </c>
      <c r="AJ5003" t="inlineStr">
        <is>
          <t>SCARLETT</t>
        </is>
      </c>
      <c r="AK5003" t="n">
        <v>21</v>
      </c>
      <c r="AL5003" t="inlineStr">
        <is>
          <t>Miss Glam Damar</t>
        </is>
      </c>
      <c r="AM5003" t="n">
        <v>1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SCARLETT</t>
        </is>
      </c>
      <c r="B5004" s="2">
        <f>"30100168308"</f>
        <v/>
      </c>
      <c r="C5004" t="inlineStr">
        <is>
          <t>SCARLETT Fragrance Brightening Shower Gel Pomegrante 300ml</t>
        </is>
      </c>
      <c r="D5004" t="inlineStr">
        <is>
          <t>Miss Glam Damar</t>
        </is>
      </c>
      <c r="E5004" t="n">
        <v>4</v>
      </c>
      <c r="F5004" t="n">
        <v>0.1729</v>
      </c>
      <c r="G5004" t="n">
        <v>0.91</v>
      </c>
      <c r="H5004" t="n">
        <v>1</v>
      </c>
      <c r="I5004" t="n">
        <v>5</v>
      </c>
      <c r="J5004" t="n">
        <v>1</v>
      </c>
      <c r="K5004" t="n">
        <v>0</v>
      </c>
      <c r="L5004" t="n">
        <v>48153</v>
      </c>
      <c r="M5004" t="n">
        <v>55000</v>
      </c>
      <c r="N5004" t="n">
        <v>91</v>
      </c>
      <c r="O5004" t="n">
        <v>0.91</v>
      </c>
      <c r="P5004" t="n">
        <v>1</v>
      </c>
      <c r="Q5004" t="n">
        <v>0.08</v>
      </c>
      <c r="R5004" t="n">
        <v>1</v>
      </c>
      <c r="S5004" t="n">
        <v>9509.5</v>
      </c>
      <c r="T5004" t="n">
        <v>5</v>
      </c>
      <c r="U5004" t="n">
        <v>6</v>
      </c>
      <c r="V5004" t="n">
        <v>30</v>
      </c>
      <c r="W5004" t="n">
        <v>6</v>
      </c>
      <c r="X5004" t="n">
        <v>23.13475997686524</v>
      </c>
      <c r="Y5004" t="n">
        <v>1</v>
      </c>
      <c r="Z5004" t="n">
        <v>2</v>
      </c>
      <c r="AA5004" t="n">
        <v>0</v>
      </c>
      <c r="AB5004" t="n">
        <v>2</v>
      </c>
      <c r="AC5004" t="n">
        <v>2</v>
      </c>
      <c r="AD5004" t="n">
        <v>0</v>
      </c>
      <c r="AE5004" t="n">
        <v>96306</v>
      </c>
      <c r="AF5004" t="n">
        <v>10690</v>
      </c>
      <c r="AG5004" t="n">
        <v>2378</v>
      </c>
      <c r="AH5004" t="inlineStr">
        <is>
          <t>PT. KURNIA MAJU PERKASA - PPN (PDG)</t>
        </is>
      </c>
      <c r="AI5004" t="n">
        <v>22</v>
      </c>
      <c r="AJ5004" t="inlineStr">
        <is>
          <t>SCARLETT</t>
        </is>
      </c>
      <c r="AK5004" t="n">
        <v>21</v>
      </c>
      <c r="AL5004" t="inlineStr">
        <is>
          <t>Miss Glam Damar</t>
        </is>
      </c>
      <c r="AM5004" t="n">
        <v>1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SCARLETT</t>
        </is>
      </c>
      <c r="B5005" s="2">
        <f>"304002156656"</f>
        <v/>
      </c>
      <c r="C5005" t="inlineStr">
        <is>
          <t>SCARLETT Garden Of Whisper Floral Fruity Sweet 30ml</t>
        </is>
      </c>
      <c r="D5005" t="inlineStr">
        <is>
          <t>Miss Glam Damar</t>
        </is>
      </c>
      <c r="E5005" t="n">
        <v>0</v>
      </c>
      <c r="F5005" t="n">
        <v>0.2275</v>
      </c>
      <c r="G5005" t="n">
        <v>6.37</v>
      </c>
      <c r="H5005" t="n">
        <v>1</v>
      </c>
      <c r="I5005" t="n">
        <v>5</v>
      </c>
      <c r="J5005" t="n">
        <v>3</v>
      </c>
      <c r="K5005" t="n">
        <v>48</v>
      </c>
      <c r="L5005" t="n">
        <v>55680</v>
      </c>
      <c r="M5005" t="n">
        <v>65000</v>
      </c>
      <c r="N5005" t="n">
        <v>91</v>
      </c>
      <c r="O5005" t="n">
        <v>0.91</v>
      </c>
      <c r="P5005" t="n">
        <v>1</v>
      </c>
      <c r="Q5005" t="n">
        <v>0.51</v>
      </c>
      <c r="R5005" t="n">
        <v>5</v>
      </c>
      <c r="S5005" t="n">
        <v>14787.5</v>
      </c>
      <c r="T5005" t="n">
        <v>32</v>
      </c>
      <c r="U5005" t="n">
        <v>33</v>
      </c>
      <c r="V5005" t="n">
        <v>30</v>
      </c>
      <c r="W5005" t="n">
        <v>7</v>
      </c>
      <c r="X5005" t="n">
        <v>0</v>
      </c>
      <c r="Y5005" t="n">
        <v>1</v>
      </c>
      <c r="Z5005" t="n">
        <v>0</v>
      </c>
      <c r="AA5005" t="n">
        <v>1</v>
      </c>
      <c r="AB5005" t="n">
        <v>0</v>
      </c>
      <c r="AC5005" t="n">
        <v>0</v>
      </c>
      <c r="AD5005" t="n">
        <v>55680</v>
      </c>
      <c r="AE5005" t="n">
        <v>0</v>
      </c>
      <c r="AF5005" t="n">
        <v>10690</v>
      </c>
      <c r="AG5005" t="n">
        <v>2378</v>
      </c>
      <c r="AH5005" t="inlineStr">
        <is>
          <t>PT. KURNIA MAJU PERKASA - PPN (PDG)</t>
        </is>
      </c>
      <c r="AI5005" t="n">
        <v>22</v>
      </c>
      <c r="AJ5005" t="inlineStr">
        <is>
          <t>SCARLETT</t>
        </is>
      </c>
      <c r="AK5005" t="n">
        <v>21</v>
      </c>
      <c r="AL5005" t="inlineStr">
        <is>
          <t>Miss Glam Damar</t>
        </is>
      </c>
      <c r="AM5005" t="n">
        <v>1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SCARLETT</t>
        </is>
      </c>
      <c r="B5006" s="2">
        <f>"10700338346"</f>
        <v/>
      </c>
      <c r="C5006" t="inlineStr">
        <is>
          <t>SCARLETT Glass Glow Tinted Lip Balm Berry Shine 3.8 gr</t>
        </is>
      </c>
      <c r="D5006" t="inlineStr">
        <is>
          <t>Miss Glam Damar</t>
        </is>
      </c>
      <c r="E5006" t="n">
        <v>8</v>
      </c>
      <c r="F5006" t="n">
        <v>0.0273</v>
      </c>
      <c r="G5006" t="n">
        <v>0.91</v>
      </c>
      <c r="H5006" t="n">
        <v>1</v>
      </c>
      <c r="I5006" t="n">
        <v>5</v>
      </c>
      <c r="J5006" t="n">
        <v>1</v>
      </c>
      <c r="K5006" t="n">
        <v>0</v>
      </c>
      <c r="L5006" t="n">
        <v>48939</v>
      </c>
      <c r="M5006" t="n">
        <v>59000</v>
      </c>
      <c r="N5006" t="n">
        <v>91</v>
      </c>
      <c r="O5006" t="n">
        <v>0.91</v>
      </c>
      <c r="P5006" t="n">
        <v>1</v>
      </c>
      <c r="Q5006" t="n">
        <v>0.03</v>
      </c>
      <c r="R5006" t="n">
        <v>1</v>
      </c>
      <c r="S5006" t="n">
        <v>1610.7</v>
      </c>
      <c r="T5006" t="n">
        <v>5</v>
      </c>
      <c r="U5006" t="n">
        <v>6</v>
      </c>
      <c r="V5006" t="n">
        <v>30</v>
      </c>
      <c r="W5006" t="n">
        <v>1</v>
      </c>
      <c r="X5006" t="n">
        <v>293.040293040293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10690</v>
      </c>
      <c r="AG5006" t="n">
        <v>2378</v>
      </c>
      <c r="AH5006" t="inlineStr">
        <is>
          <t>PT. KURNIA MAJU PERKASA - PPN (PDG)</t>
        </is>
      </c>
      <c r="AI5006" t="n">
        <v>22</v>
      </c>
      <c r="AJ5006" t="inlineStr">
        <is>
          <t>SCARLETT</t>
        </is>
      </c>
      <c r="AK5006" t="n">
        <v>21</v>
      </c>
      <c r="AL5006" t="inlineStr">
        <is>
          <t>Miss Glam Damar</t>
        </is>
      </c>
      <c r="AM5006" t="n">
        <v>1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SCARLETT</t>
        </is>
      </c>
      <c r="B5007" s="2">
        <f>"10700338325"</f>
        <v/>
      </c>
      <c r="C5007" t="inlineStr">
        <is>
          <t>SCARLETT Glass Glow Tinted Lip Balm Juicy Cherry 3.8 gr</t>
        </is>
      </c>
      <c r="D5007" t="inlineStr">
        <is>
          <t>Miss Glam Damar</t>
        </is>
      </c>
      <c r="E5007" t="n">
        <v>4</v>
      </c>
      <c r="F5007" t="n">
        <v>0.06370000000000001</v>
      </c>
      <c r="G5007" t="n">
        <v>0.91</v>
      </c>
      <c r="H5007" t="n">
        <v>1</v>
      </c>
      <c r="I5007" t="n">
        <v>5</v>
      </c>
      <c r="J5007" t="n">
        <v>1</v>
      </c>
      <c r="K5007" t="n">
        <v>0</v>
      </c>
      <c r="L5007" t="n">
        <v>48939</v>
      </c>
      <c r="M5007" t="n">
        <v>59000</v>
      </c>
      <c r="N5007" t="n">
        <v>91</v>
      </c>
      <c r="O5007" t="n">
        <v>0.91</v>
      </c>
      <c r="P5007" t="n">
        <v>1</v>
      </c>
      <c r="Q5007" t="n">
        <v>0.17</v>
      </c>
      <c r="R5007" t="n">
        <v>3</v>
      </c>
      <c r="S5007" t="n">
        <v>3758.3</v>
      </c>
      <c r="T5007" t="n">
        <v>5</v>
      </c>
      <c r="U5007" t="n">
        <v>6</v>
      </c>
      <c r="V5007" t="n">
        <v>30</v>
      </c>
      <c r="W5007" t="n">
        <v>2</v>
      </c>
      <c r="X5007" t="n">
        <v>62.79434850863422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10690</v>
      </c>
      <c r="AG5007" t="n">
        <v>2378</v>
      </c>
      <c r="AH5007" t="inlineStr">
        <is>
          <t>PT. KURNIA MAJU PERKASA - PPN (PDG)</t>
        </is>
      </c>
      <c r="AI5007" t="n">
        <v>22</v>
      </c>
      <c r="AJ5007" t="inlineStr">
        <is>
          <t>SCARLETT</t>
        </is>
      </c>
      <c r="AK5007" t="n">
        <v>21</v>
      </c>
      <c r="AL5007" t="inlineStr">
        <is>
          <t>Miss Glam Damar</t>
        </is>
      </c>
      <c r="AM5007" t="n">
        <v>1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SCARLETT</t>
        </is>
      </c>
      <c r="B5008" s="2">
        <f>"10700338249"</f>
        <v/>
      </c>
      <c r="C5008" t="inlineStr">
        <is>
          <t>SCARLETT Glass Glow Tinted Lip Balm Peachy Glaze 3.8 gr</t>
        </is>
      </c>
      <c r="D5008" t="inlineStr">
        <is>
          <t>Miss Glam Damar</t>
        </is>
      </c>
      <c r="E5008" t="n">
        <v>6</v>
      </c>
      <c r="F5008" t="n">
        <v>0.06370000000000001</v>
      </c>
      <c r="G5008" t="n">
        <v>0.91</v>
      </c>
      <c r="H5008" t="n">
        <v>1</v>
      </c>
      <c r="I5008" t="n">
        <v>5</v>
      </c>
      <c r="J5008" t="n">
        <v>1</v>
      </c>
      <c r="K5008" t="n">
        <v>0</v>
      </c>
      <c r="L5008" t="n">
        <v>48939</v>
      </c>
      <c r="M5008" t="n">
        <v>59000</v>
      </c>
      <c r="N5008" t="n">
        <v>91</v>
      </c>
      <c r="O5008" t="n">
        <v>0.91</v>
      </c>
      <c r="P5008" t="n">
        <v>1</v>
      </c>
      <c r="Q5008" t="n">
        <v>0.07000000000000001</v>
      </c>
      <c r="R5008" t="n">
        <v>1</v>
      </c>
      <c r="S5008" t="n">
        <v>3758.3</v>
      </c>
      <c r="T5008" t="n">
        <v>5</v>
      </c>
      <c r="U5008" t="n">
        <v>6</v>
      </c>
      <c r="V5008" t="n">
        <v>30</v>
      </c>
      <c r="W5008" t="n">
        <v>2</v>
      </c>
      <c r="X5008" t="n">
        <v>94.19152276295132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10690</v>
      </c>
      <c r="AG5008" t="n">
        <v>2378</v>
      </c>
      <c r="AH5008" t="inlineStr">
        <is>
          <t>PT. KURNIA MAJU PERKASA - PPN (PDG)</t>
        </is>
      </c>
      <c r="AI5008" t="n">
        <v>22</v>
      </c>
      <c r="AJ5008" t="inlineStr">
        <is>
          <t>SCARLETT</t>
        </is>
      </c>
      <c r="AK5008" t="n">
        <v>21</v>
      </c>
      <c r="AL5008" t="inlineStr">
        <is>
          <t>Miss Glam Damar</t>
        </is>
      </c>
      <c r="AM5008" t="n">
        <v>1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SCARLETT</t>
        </is>
      </c>
      <c r="B5009" s="2">
        <f>"10700338626"</f>
        <v/>
      </c>
      <c r="C5009" t="inlineStr">
        <is>
          <t>SCARLETT Glass Glow Tinted Lip Balm Pink Punch 3.8 gr</t>
        </is>
      </c>
      <c r="D5009" t="inlineStr">
        <is>
          <t>Miss Glam Damar</t>
        </is>
      </c>
      <c r="E5009" t="n">
        <v>4</v>
      </c>
      <c r="F5009" t="n">
        <v>0.0273</v>
      </c>
      <c r="G5009" t="n">
        <v>0.91</v>
      </c>
      <c r="H5009" t="n">
        <v>1</v>
      </c>
      <c r="I5009" t="n">
        <v>5</v>
      </c>
      <c r="J5009" t="n">
        <v>1</v>
      </c>
      <c r="K5009" t="n">
        <v>0</v>
      </c>
      <c r="L5009" t="n">
        <v>48939</v>
      </c>
      <c r="M5009" t="n">
        <v>59000</v>
      </c>
      <c r="N5009" t="n">
        <v>91</v>
      </c>
      <c r="O5009" t="n">
        <v>0.91</v>
      </c>
      <c r="P5009" t="n">
        <v>1</v>
      </c>
      <c r="Q5009" t="n">
        <v>0.08</v>
      </c>
      <c r="R5009" t="n">
        <v>1</v>
      </c>
      <c r="S5009" t="n">
        <v>1610.7</v>
      </c>
      <c r="T5009" t="n">
        <v>5</v>
      </c>
      <c r="U5009" t="n">
        <v>6</v>
      </c>
      <c r="V5009" t="n">
        <v>30</v>
      </c>
      <c r="W5009" t="n">
        <v>1</v>
      </c>
      <c r="X5009" t="n">
        <v>146.5201465201465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10690</v>
      </c>
      <c r="AG5009" t="n">
        <v>2378</v>
      </c>
      <c r="AH5009" t="inlineStr">
        <is>
          <t>PT. KURNIA MAJU PERKASA - PPN (PDG)</t>
        </is>
      </c>
      <c r="AI5009" t="n">
        <v>22</v>
      </c>
      <c r="AJ5009" t="inlineStr">
        <is>
          <t>SCARLETT</t>
        </is>
      </c>
      <c r="AK5009" t="n">
        <v>21</v>
      </c>
      <c r="AL5009" t="inlineStr">
        <is>
          <t>Miss Glam Damar</t>
        </is>
      </c>
      <c r="AM5009" t="n">
        <v>1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SCARLETT</t>
        </is>
      </c>
      <c r="B5010" s="2">
        <f>"10300720504"</f>
        <v/>
      </c>
      <c r="C5010" t="inlineStr">
        <is>
          <t>SCARLETT Glow Bright Gel Moisturizer 6% Niacin Peach 80ml</t>
        </is>
      </c>
      <c r="D5010" t="inlineStr">
        <is>
          <t>Miss Glam Damar</t>
        </is>
      </c>
      <c r="E5010" t="n">
        <v>2</v>
      </c>
      <c r="F5010" t="n">
        <v>0.0819</v>
      </c>
      <c r="G5010" t="n">
        <v>0.91</v>
      </c>
      <c r="H5010" t="n">
        <v>1</v>
      </c>
      <c r="I5010" t="n">
        <v>5</v>
      </c>
      <c r="J5010" t="n">
        <v>3</v>
      </c>
      <c r="K5010" t="n">
        <v>0</v>
      </c>
      <c r="L5010" t="n">
        <v>54565</v>
      </c>
      <c r="M5010" t="n">
        <v>69000</v>
      </c>
      <c r="N5010" t="n">
        <v>91</v>
      </c>
      <c r="O5010" t="n">
        <v>0.91</v>
      </c>
      <c r="P5010" t="n">
        <v>1</v>
      </c>
      <c r="Q5010" t="n">
        <v>0.03</v>
      </c>
      <c r="R5010" t="n">
        <v>1</v>
      </c>
      <c r="S5010" t="n">
        <v>5651.1</v>
      </c>
      <c r="T5010" t="n">
        <v>5</v>
      </c>
      <c r="U5010" t="n">
        <v>6</v>
      </c>
      <c r="V5010" t="n">
        <v>30</v>
      </c>
      <c r="W5010" t="n">
        <v>3</v>
      </c>
      <c r="X5010" t="n">
        <v>24.42002442002442</v>
      </c>
      <c r="Y5010" t="n">
        <v>1</v>
      </c>
      <c r="Z5010" t="n">
        <v>1</v>
      </c>
      <c r="AA5010" t="n">
        <v>0</v>
      </c>
      <c r="AB5010" t="n">
        <v>1</v>
      </c>
      <c r="AC5010" t="n">
        <v>3</v>
      </c>
      <c r="AD5010" t="n">
        <v>0</v>
      </c>
      <c r="AE5010" t="n">
        <v>163695</v>
      </c>
      <c r="AF5010" t="n">
        <v>10690</v>
      </c>
      <c r="AG5010" t="n">
        <v>2378</v>
      </c>
      <c r="AH5010" t="inlineStr">
        <is>
          <t>PT. KURNIA MAJU PERKASA - PPN (PDG)</t>
        </is>
      </c>
      <c r="AI5010" t="n">
        <v>22</v>
      </c>
      <c r="AJ5010" t="inlineStr">
        <is>
          <t>SCARLETT</t>
        </is>
      </c>
      <c r="AK5010" t="n">
        <v>21</v>
      </c>
      <c r="AL5010" t="inlineStr">
        <is>
          <t>Miss Glam Damar</t>
        </is>
      </c>
      <c r="AM5010" t="n">
        <v>1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SCARLETT</t>
        </is>
      </c>
      <c r="B5011" s="2">
        <f>"8997236030210"</f>
        <v/>
      </c>
      <c r="C5011" t="inlineStr">
        <is>
          <t>SCARLETT Glowtening Serum 15ml</t>
        </is>
      </c>
      <c r="D5011" t="inlineStr">
        <is>
          <t>Miss Glam Damar</t>
        </is>
      </c>
      <c r="E5011" t="n">
        <v>2</v>
      </c>
      <c r="F5011" t="n">
        <v>0.08</v>
      </c>
      <c r="G5011" t="n">
        <v>1</v>
      </c>
      <c r="H5011" t="n">
        <v>1</v>
      </c>
      <c r="I5011" t="n">
        <v>5</v>
      </c>
      <c r="J5011" t="n">
        <v>3</v>
      </c>
      <c r="K5011" t="n">
        <v>3</v>
      </c>
      <c r="L5011" t="n">
        <v>48154</v>
      </c>
      <c r="M5011" t="n">
        <v>59000</v>
      </c>
      <c r="N5011" t="n">
        <v>91</v>
      </c>
      <c r="O5011" t="n">
        <v>0.91</v>
      </c>
      <c r="P5011" t="n">
        <v>0</v>
      </c>
      <c r="Q5011" t="n">
        <v>0.08</v>
      </c>
      <c r="R5011" t="n">
        <v>1</v>
      </c>
      <c r="S5011" t="n">
        <v>4720</v>
      </c>
      <c r="T5011" t="n">
        <v>5</v>
      </c>
      <c r="U5011" t="n">
        <v>6</v>
      </c>
      <c r="V5011" t="n">
        <v>30</v>
      </c>
      <c r="W5011" t="n">
        <v>3</v>
      </c>
      <c r="X5011" t="n">
        <v>25</v>
      </c>
      <c r="Y5011" t="n">
        <v>1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10690</v>
      </c>
      <c r="AG5011" t="n">
        <v>2378</v>
      </c>
      <c r="AH5011" t="inlineStr">
        <is>
          <t>PT. KURNIA MAJU PERKASA - PPN (PDG)</t>
        </is>
      </c>
      <c r="AI5011" t="n">
        <v>22</v>
      </c>
      <c r="AJ5011" t="inlineStr">
        <is>
          <t>SCARLETT</t>
        </is>
      </c>
      <c r="AK5011" t="n">
        <v>21</v>
      </c>
      <c r="AL5011" t="inlineStr">
        <is>
          <t>Miss Glam Damar</t>
        </is>
      </c>
      <c r="AM5011" t="n">
        <v>1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SCARLETT</t>
        </is>
      </c>
      <c r="B5012" s="2">
        <f>"8997236030524"</f>
        <v/>
      </c>
      <c r="C5012" t="inlineStr">
        <is>
          <t>SCARLETT Hyalu B5+Reishi Mushroom &amp; Bifida Serum</t>
        </is>
      </c>
      <c r="D5012" t="inlineStr">
        <is>
          <t>Miss Glam Damar</t>
        </is>
      </c>
      <c r="E5012" t="n">
        <v>0</v>
      </c>
      <c r="F5012" t="n">
        <v>0.03</v>
      </c>
      <c r="G5012" t="n">
        <v>1</v>
      </c>
      <c r="H5012" t="n">
        <v>1</v>
      </c>
      <c r="I5012" t="n">
        <v>5</v>
      </c>
      <c r="J5012" t="n">
        <v>3</v>
      </c>
      <c r="K5012" t="n">
        <v>0</v>
      </c>
      <c r="L5012" t="n">
        <v>48153</v>
      </c>
      <c r="M5012" t="n">
        <v>55000</v>
      </c>
      <c r="N5012" t="n">
        <v>91</v>
      </c>
      <c r="O5012" t="n">
        <v>0.91</v>
      </c>
      <c r="P5012" t="n">
        <v>0</v>
      </c>
      <c r="Q5012" t="n">
        <v>0.03</v>
      </c>
      <c r="R5012" t="n">
        <v>1</v>
      </c>
      <c r="S5012" t="n">
        <v>1650</v>
      </c>
      <c r="T5012" t="n">
        <v>5</v>
      </c>
      <c r="U5012" t="n">
        <v>6</v>
      </c>
      <c r="V5012" t="n">
        <v>30</v>
      </c>
      <c r="W5012" t="n">
        <v>1</v>
      </c>
      <c r="X5012" t="n">
        <v>0</v>
      </c>
      <c r="Y5012" t="n">
        <v>1</v>
      </c>
      <c r="Z5012" t="n">
        <v>1</v>
      </c>
      <c r="AA5012" t="n">
        <v>1</v>
      </c>
      <c r="AB5012" t="n">
        <v>0</v>
      </c>
      <c r="AC5012" t="n">
        <v>0</v>
      </c>
      <c r="AD5012" t="n">
        <v>48153</v>
      </c>
      <c r="AE5012" t="n">
        <v>0</v>
      </c>
      <c r="AF5012" t="n">
        <v>10690</v>
      </c>
      <c r="AG5012" t="n">
        <v>2378</v>
      </c>
      <c r="AH5012" t="inlineStr">
        <is>
          <t>PT. KURNIA MAJU PERKASA - PPN (PDG)</t>
        </is>
      </c>
      <c r="AI5012" t="n">
        <v>22</v>
      </c>
      <c r="AJ5012" t="inlineStr">
        <is>
          <t>SCARLETT</t>
        </is>
      </c>
      <c r="AK5012" t="n">
        <v>21</v>
      </c>
      <c r="AL5012" t="inlineStr">
        <is>
          <t>Miss Glam Damar</t>
        </is>
      </c>
      <c r="AM5012" t="n">
        <v>1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SCARLETT</t>
        </is>
      </c>
      <c r="B5013" s="2">
        <f>"8997236030685"</f>
        <v/>
      </c>
      <c r="C5013" t="inlineStr">
        <is>
          <t>SCARLETT Hydro Fresh Cleanser 100ml</t>
        </is>
      </c>
      <c r="D5013" t="inlineStr">
        <is>
          <t>Miss Glam Damar</t>
        </is>
      </c>
      <c r="E5013" t="n">
        <v>4</v>
      </c>
      <c r="F5013" t="n">
        <v>0.0182</v>
      </c>
      <c r="G5013" t="n">
        <v>0.91</v>
      </c>
      <c r="H5013" t="n">
        <v>1</v>
      </c>
      <c r="I5013" t="n">
        <v>5</v>
      </c>
      <c r="J5013" t="n">
        <v>3</v>
      </c>
      <c r="K5013" t="n">
        <v>0</v>
      </c>
      <c r="L5013" t="n">
        <v>45497</v>
      </c>
      <c r="M5013" t="n">
        <v>55000</v>
      </c>
      <c r="N5013" t="n">
        <v>91</v>
      </c>
      <c r="O5013" t="n">
        <v>0.91</v>
      </c>
      <c r="P5013" t="n">
        <v>1</v>
      </c>
      <c r="Q5013" t="n">
        <v>0.02</v>
      </c>
      <c r="R5013" t="n">
        <v>1</v>
      </c>
      <c r="S5013" t="n">
        <v>1001</v>
      </c>
      <c r="T5013" t="n">
        <v>5</v>
      </c>
      <c r="U5013" t="n">
        <v>6</v>
      </c>
      <c r="V5013" t="n">
        <v>30</v>
      </c>
      <c r="W5013" t="n">
        <v>1</v>
      </c>
      <c r="X5013" t="n">
        <v>219.7802197802198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10690</v>
      </c>
      <c r="AG5013" t="n">
        <v>2378</v>
      </c>
      <c r="AH5013" t="inlineStr">
        <is>
          <t>PT. KURNIA MAJU PERKASA - PPN (PDG)</t>
        </is>
      </c>
      <c r="AI5013" t="n">
        <v>22</v>
      </c>
      <c r="AJ5013" t="inlineStr">
        <is>
          <t>SCARLETT</t>
        </is>
      </c>
      <c r="AK5013" t="n">
        <v>21</v>
      </c>
      <c r="AL5013" t="inlineStr">
        <is>
          <t>Miss Glam Damar</t>
        </is>
      </c>
      <c r="AM5013" t="n">
        <v>1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SCARLETT</t>
        </is>
      </c>
      <c r="B5014" s="2">
        <f>"30200423744"</f>
        <v/>
      </c>
      <c r="C5014" t="inlineStr">
        <is>
          <t>SCARLETT Intense Brightening Aha Body Serum 250ml</t>
        </is>
      </c>
      <c r="D5014" t="inlineStr">
        <is>
          <t>Miss Glam Damar</t>
        </is>
      </c>
      <c r="E5014" t="n">
        <v>9</v>
      </c>
      <c r="F5014" t="n">
        <v>0.5551</v>
      </c>
      <c r="G5014" t="n">
        <v>3.64</v>
      </c>
      <c r="H5014" t="n">
        <v>1</v>
      </c>
      <c r="I5014" t="n">
        <v>5</v>
      </c>
      <c r="J5014" t="n">
        <v>3</v>
      </c>
      <c r="K5014" t="n">
        <v>0</v>
      </c>
      <c r="L5014" t="n">
        <v>52903</v>
      </c>
      <c r="M5014" t="n">
        <v>55000</v>
      </c>
      <c r="N5014" t="n">
        <v>91</v>
      </c>
      <c r="O5014" t="n">
        <v>0.91</v>
      </c>
      <c r="P5014" t="n">
        <v>1</v>
      </c>
      <c r="Q5014" t="n">
        <v>0.36</v>
      </c>
      <c r="R5014" t="n">
        <v>2</v>
      </c>
      <c r="S5014" t="n">
        <v>30530.5</v>
      </c>
      <c r="T5014" t="n">
        <v>18</v>
      </c>
      <c r="U5014" t="n">
        <v>19</v>
      </c>
      <c r="V5014" t="n">
        <v>30</v>
      </c>
      <c r="W5014" t="n">
        <v>17</v>
      </c>
      <c r="X5014" t="n">
        <v>16.21329490181949</v>
      </c>
      <c r="Y5014" t="n">
        <v>1</v>
      </c>
      <c r="Z5014" t="n">
        <v>8</v>
      </c>
      <c r="AA5014" t="n">
        <v>0</v>
      </c>
      <c r="AB5014" t="n">
        <v>8</v>
      </c>
      <c r="AC5014" t="n">
        <v>8</v>
      </c>
      <c r="AD5014" t="n">
        <v>0</v>
      </c>
      <c r="AE5014" t="n">
        <v>423224</v>
      </c>
      <c r="AF5014" t="n">
        <v>10690</v>
      </c>
      <c r="AG5014" t="n">
        <v>2378</v>
      </c>
      <c r="AH5014" t="inlineStr">
        <is>
          <t>PT. KURNIA MAJU PERKASA - PPN (PDG)</t>
        </is>
      </c>
      <c r="AI5014" t="n">
        <v>22</v>
      </c>
      <c r="AJ5014" t="inlineStr">
        <is>
          <t>SCARLETT</t>
        </is>
      </c>
      <c r="AK5014" t="n">
        <v>21</v>
      </c>
      <c r="AL5014" t="inlineStr">
        <is>
          <t>Miss Glam Damar</t>
        </is>
      </c>
      <c r="AM5014" t="n">
        <v>1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SCARLETT</t>
        </is>
      </c>
      <c r="B5015" s="2">
        <f>"304002156819"</f>
        <v/>
      </c>
      <c r="C5015" t="inlineStr">
        <is>
          <t>SCARLETT Kilau Samudra Shimmer Liquid Body Perfume 30ml</t>
        </is>
      </c>
      <c r="D5015" t="inlineStr">
        <is>
          <t>Miss Glam Damar</t>
        </is>
      </c>
      <c r="E5015" t="n">
        <v>4</v>
      </c>
      <c r="F5015" t="n">
        <v>0.0546</v>
      </c>
      <c r="G5015" t="n">
        <v>0.91</v>
      </c>
      <c r="H5015" t="n">
        <v>1</v>
      </c>
      <c r="I5015" t="n">
        <v>5</v>
      </c>
      <c r="J5015" t="n">
        <v>3</v>
      </c>
      <c r="K5015" t="n">
        <v>0</v>
      </c>
      <c r="L5015" t="n">
        <v>55493</v>
      </c>
      <c r="M5015" t="n">
        <v>65000</v>
      </c>
      <c r="N5015" t="n">
        <v>91</v>
      </c>
      <c r="O5015" t="n">
        <v>0.91</v>
      </c>
      <c r="P5015" t="n">
        <v>1</v>
      </c>
      <c r="Q5015" t="n">
        <v>0.07000000000000001</v>
      </c>
      <c r="R5015" t="n">
        <v>1</v>
      </c>
      <c r="S5015" t="n">
        <v>3549</v>
      </c>
      <c r="T5015" t="n">
        <v>5</v>
      </c>
      <c r="U5015" t="n">
        <v>6</v>
      </c>
      <c r="V5015" t="n">
        <v>30</v>
      </c>
      <c r="W5015" t="n">
        <v>2</v>
      </c>
      <c r="X5015" t="n">
        <v>73.26007326007326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10690</v>
      </c>
      <c r="AG5015" t="n">
        <v>2378</v>
      </c>
      <c r="AH5015" t="inlineStr">
        <is>
          <t>PT. KURNIA MAJU PERKASA - PPN (PDG)</t>
        </is>
      </c>
      <c r="AI5015" t="n">
        <v>22</v>
      </c>
      <c r="AJ5015" t="inlineStr">
        <is>
          <t>SCARLETT</t>
        </is>
      </c>
      <c r="AK5015" t="n">
        <v>21</v>
      </c>
      <c r="AL5015" t="inlineStr">
        <is>
          <t>Miss Glam Damar</t>
        </is>
      </c>
      <c r="AM5015" t="n">
        <v>1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SCARLETT</t>
        </is>
      </c>
      <c r="B5016" s="2">
        <f>"8997236031002"</f>
        <v/>
      </c>
      <c r="C5016" t="inlineStr">
        <is>
          <t>SCARLETT Peeling So Good Brightening Peeling Gel 100ml</t>
        </is>
      </c>
      <c r="D5016" t="inlineStr">
        <is>
          <t>Miss Glam Damar</t>
        </is>
      </c>
      <c r="E5016" t="n">
        <v>1</v>
      </c>
      <c r="F5016" t="n">
        <v>0.1547</v>
      </c>
      <c r="G5016" t="n">
        <v>0.91</v>
      </c>
      <c r="H5016" t="n">
        <v>1</v>
      </c>
      <c r="I5016" t="n">
        <v>5</v>
      </c>
      <c r="J5016" t="n">
        <v>3</v>
      </c>
      <c r="K5016" t="n">
        <v>0</v>
      </c>
      <c r="L5016" t="n">
        <v>48501</v>
      </c>
      <c r="M5016" t="n">
        <v>60000</v>
      </c>
      <c r="N5016" t="n">
        <v>91</v>
      </c>
      <c r="O5016" t="n">
        <v>0.91</v>
      </c>
      <c r="P5016" t="n">
        <v>1</v>
      </c>
      <c r="Q5016" t="n">
        <v>0.05</v>
      </c>
      <c r="R5016" t="n">
        <v>1</v>
      </c>
      <c r="S5016" t="n">
        <v>9282</v>
      </c>
      <c r="T5016" t="n">
        <v>5</v>
      </c>
      <c r="U5016" t="n">
        <v>6</v>
      </c>
      <c r="V5016" t="n">
        <v>30</v>
      </c>
      <c r="W5016" t="n">
        <v>5</v>
      </c>
      <c r="X5016" t="n">
        <v>6.464124111182935</v>
      </c>
      <c r="Y5016" t="n">
        <v>1</v>
      </c>
      <c r="Z5016" t="n">
        <v>4</v>
      </c>
      <c r="AA5016" t="n">
        <v>0</v>
      </c>
      <c r="AB5016" t="n">
        <v>4</v>
      </c>
      <c r="AC5016" t="n">
        <v>4</v>
      </c>
      <c r="AD5016" t="n">
        <v>0</v>
      </c>
      <c r="AE5016" t="n">
        <v>194004</v>
      </c>
      <c r="AF5016" t="n">
        <v>10690</v>
      </c>
      <c r="AG5016" t="n">
        <v>2378</v>
      </c>
      <c r="AH5016" t="inlineStr">
        <is>
          <t>PT. KURNIA MAJU PERKASA - PPN (PDG)</t>
        </is>
      </c>
      <c r="AI5016" t="n">
        <v>22</v>
      </c>
      <c r="AJ5016" t="inlineStr">
        <is>
          <t>SCARLETT</t>
        </is>
      </c>
      <c r="AK5016" t="n">
        <v>21</v>
      </c>
      <c r="AL5016" t="inlineStr">
        <is>
          <t>Miss Glam Damar</t>
        </is>
      </c>
      <c r="AM5016" t="n">
        <v>1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SCARLETT</t>
        </is>
      </c>
      <c r="B5017" s="2">
        <f>"8997236030692"</f>
        <v/>
      </c>
      <c r="C5017" t="inlineStr">
        <is>
          <t>SCARLETT Phyto Biotic Renewing Moisturizer 20gr</t>
        </is>
      </c>
      <c r="D5017" t="inlineStr">
        <is>
          <t>Miss Glam Damar</t>
        </is>
      </c>
      <c r="E5017" t="n">
        <v>4</v>
      </c>
      <c r="F5017" t="n">
        <v>0.0182</v>
      </c>
      <c r="G5017" t="n">
        <v>1.82</v>
      </c>
      <c r="H5017" t="n">
        <v>1</v>
      </c>
      <c r="I5017" t="n">
        <v>5</v>
      </c>
      <c r="J5017" t="n">
        <v>3</v>
      </c>
      <c r="K5017" t="n">
        <v>0</v>
      </c>
      <c r="L5017" t="n">
        <v>49294</v>
      </c>
      <c r="M5017" t="n">
        <v>55000</v>
      </c>
      <c r="N5017" t="n">
        <v>91</v>
      </c>
      <c r="O5017" t="n">
        <v>0.91</v>
      </c>
      <c r="P5017" t="n">
        <v>1</v>
      </c>
      <c r="Q5017" t="n">
        <v>0.02</v>
      </c>
      <c r="R5017" t="n">
        <v>1</v>
      </c>
      <c r="S5017" t="n">
        <v>1001</v>
      </c>
      <c r="T5017" t="n">
        <v>10</v>
      </c>
      <c r="U5017" t="n">
        <v>11</v>
      </c>
      <c r="V5017" t="n">
        <v>30</v>
      </c>
      <c r="W5017" t="n">
        <v>1</v>
      </c>
      <c r="X5017" t="n">
        <v>219.7802197802198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10690</v>
      </c>
      <c r="AG5017" t="n">
        <v>2378</v>
      </c>
      <c r="AH5017" t="inlineStr">
        <is>
          <t>PT. KURNIA MAJU PERKASA - PPN (PDG)</t>
        </is>
      </c>
      <c r="AI5017" t="n">
        <v>22</v>
      </c>
      <c r="AJ5017" t="inlineStr">
        <is>
          <t>SCARLETT</t>
        </is>
      </c>
      <c r="AK5017" t="n">
        <v>21</v>
      </c>
      <c r="AL5017" t="inlineStr">
        <is>
          <t>Miss Glam Damar</t>
        </is>
      </c>
      <c r="AM5017" t="n">
        <v>1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SCARLETT</t>
        </is>
      </c>
      <c r="B5018" s="2">
        <f>"304002156753"</f>
        <v/>
      </c>
      <c r="C5018" t="inlineStr">
        <is>
          <t>SCARLETT Purple Kiss Fruity Citrus Oriental 30ml</t>
        </is>
      </c>
      <c r="D5018" t="inlineStr">
        <is>
          <t>Miss Glam Damar</t>
        </is>
      </c>
      <c r="E5018" t="n">
        <v>3</v>
      </c>
      <c r="F5018" t="n">
        <v>1.1193</v>
      </c>
      <c r="G5018" t="n">
        <v>3.64</v>
      </c>
      <c r="H5018" t="n">
        <v>1</v>
      </c>
      <c r="I5018" t="n">
        <v>5</v>
      </c>
      <c r="J5018" t="n">
        <v>3</v>
      </c>
      <c r="K5018" t="n">
        <v>12</v>
      </c>
      <c r="L5018" t="n">
        <v>55680</v>
      </c>
      <c r="M5018" t="n">
        <v>65000</v>
      </c>
      <c r="N5018" t="n">
        <v>91</v>
      </c>
      <c r="O5018" t="n">
        <v>0.91</v>
      </c>
      <c r="P5018" t="n">
        <v>1</v>
      </c>
      <c r="Q5018" t="n">
        <v>0.58</v>
      </c>
      <c r="R5018" t="n">
        <v>4</v>
      </c>
      <c r="S5018" t="n">
        <v>72754.5</v>
      </c>
      <c r="T5018" t="n">
        <v>18</v>
      </c>
      <c r="U5018" t="n">
        <v>20</v>
      </c>
      <c r="V5018" t="n">
        <v>30</v>
      </c>
      <c r="W5018" t="n">
        <v>34</v>
      </c>
      <c r="X5018" t="n">
        <v>2.680246582685607</v>
      </c>
      <c r="Y5018" t="n">
        <v>1</v>
      </c>
      <c r="Z5018" t="n">
        <v>19</v>
      </c>
      <c r="AA5018" t="n">
        <v>2</v>
      </c>
      <c r="AB5018" t="n">
        <v>17</v>
      </c>
      <c r="AC5018" t="n">
        <v>17</v>
      </c>
      <c r="AD5018" t="n">
        <v>111360</v>
      </c>
      <c r="AE5018" t="n">
        <v>946560</v>
      </c>
      <c r="AF5018" t="n">
        <v>10690</v>
      </c>
      <c r="AG5018" t="n">
        <v>2378</v>
      </c>
      <c r="AH5018" t="inlineStr">
        <is>
          <t>PT. KURNIA MAJU PERKASA - PPN (PDG)</t>
        </is>
      </c>
      <c r="AI5018" t="n">
        <v>22</v>
      </c>
      <c r="AJ5018" t="inlineStr">
        <is>
          <t>SCARLETT</t>
        </is>
      </c>
      <c r="AK5018" t="n">
        <v>21</v>
      </c>
      <c r="AL5018" t="inlineStr">
        <is>
          <t>Miss Glam Damar</t>
        </is>
      </c>
      <c r="AM5018" t="n">
        <v>1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SCARLETT</t>
        </is>
      </c>
      <c r="B5019" s="2">
        <f>"11200314239"</f>
        <v/>
      </c>
      <c r="C5019" t="inlineStr">
        <is>
          <t>SCARLETT Revive Red Exfo Serum 15ml</t>
        </is>
      </c>
      <c r="D5019" t="inlineStr">
        <is>
          <t>Miss Glam Damar</t>
        </is>
      </c>
      <c r="E5019" t="n">
        <v>7</v>
      </c>
      <c r="F5019" t="n">
        <v>0.1547</v>
      </c>
      <c r="G5019" t="n">
        <v>1.82</v>
      </c>
      <c r="H5019" t="n">
        <v>1</v>
      </c>
      <c r="I5019" t="n">
        <v>5</v>
      </c>
      <c r="J5019" t="n">
        <v>1</v>
      </c>
      <c r="K5019" t="n">
        <v>0</v>
      </c>
      <c r="L5019" t="n">
        <v>32928</v>
      </c>
      <c r="M5019" t="n">
        <v>45000</v>
      </c>
      <c r="N5019" t="n">
        <v>91</v>
      </c>
      <c r="O5019" t="n">
        <v>0.91</v>
      </c>
      <c r="P5019" t="n">
        <v>1</v>
      </c>
      <c r="Q5019" t="n">
        <v>0.15</v>
      </c>
      <c r="R5019" t="n">
        <v>2</v>
      </c>
      <c r="S5019" t="n">
        <v>6961.5</v>
      </c>
      <c r="T5019" t="n">
        <v>9</v>
      </c>
      <c r="U5019" t="n">
        <v>10</v>
      </c>
      <c r="V5019" t="n">
        <v>30</v>
      </c>
      <c r="W5019" t="n">
        <v>5</v>
      </c>
      <c r="X5019" t="n">
        <v>45.24886877828054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10690</v>
      </c>
      <c r="AG5019" t="n">
        <v>2378</v>
      </c>
      <c r="AH5019" t="inlineStr">
        <is>
          <t>PT. KURNIA MAJU PERKASA - PPN (PDG)</t>
        </is>
      </c>
      <c r="AI5019" t="n">
        <v>22</v>
      </c>
      <c r="AJ5019" t="inlineStr">
        <is>
          <t>SCARLETT</t>
        </is>
      </c>
      <c r="AK5019" t="n">
        <v>21</v>
      </c>
      <c r="AL5019" t="inlineStr">
        <is>
          <t>Miss Glam Damar</t>
        </is>
      </c>
      <c r="AM5019" t="n">
        <v>1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SCARLETT</t>
        </is>
      </c>
      <c r="B5020" s="2">
        <f>"8997236031125"</f>
        <v/>
      </c>
      <c r="C5020" t="inlineStr">
        <is>
          <t>SCARLETT Sun Bright Daily Sunscreen SPF 50 PA+++ 50ml New</t>
        </is>
      </c>
      <c r="D5020" t="inlineStr">
        <is>
          <t>Miss Glam Damar</t>
        </is>
      </c>
      <c r="E5020" t="n">
        <v>3</v>
      </c>
      <c r="F5020" t="n">
        <v>0.2002</v>
      </c>
      <c r="G5020" t="n">
        <v>1.82</v>
      </c>
      <c r="H5020" t="n">
        <v>1</v>
      </c>
      <c r="I5020" t="n">
        <v>5</v>
      </c>
      <c r="J5020" t="n">
        <v>3</v>
      </c>
      <c r="K5020" t="n">
        <v>0</v>
      </c>
      <c r="L5020" t="n">
        <v>48153</v>
      </c>
      <c r="M5020" t="n">
        <v>55000</v>
      </c>
      <c r="N5020" t="n">
        <v>91</v>
      </c>
      <c r="O5020" t="n">
        <v>0.91</v>
      </c>
      <c r="P5020" t="n">
        <v>1</v>
      </c>
      <c r="Q5020" t="n">
        <v>0.08</v>
      </c>
      <c r="R5020" t="n">
        <v>1</v>
      </c>
      <c r="S5020" t="n">
        <v>11011</v>
      </c>
      <c r="T5020" t="n">
        <v>9</v>
      </c>
      <c r="U5020" t="n">
        <v>10</v>
      </c>
      <c r="V5020" t="n">
        <v>30</v>
      </c>
      <c r="W5020" t="n">
        <v>7</v>
      </c>
      <c r="X5020" t="n">
        <v>14.98501498501498</v>
      </c>
      <c r="Y5020" t="n">
        <v>1</v>
      </c>
      <c r="Z5020" t="n">
        <v>4</v>
      </c>
      <c r="AA5020" t="n">
        <v>0</v>
      </c>
      <c r="AB5020" t="n">
        <v>4</v>
      </c>
      <c r="AC5020" t="n">
        <v>4</v>
      </c>
      <c r="AD5020" t="n">
        <v>0</v>
      </c>
      <c r="AE5020" t="n">
        <v>192612</v>
      </c>
      <c r="AF5020" t="n">
        <v>10690</v>
      </c>
      <c r="AG5020" t="n">
        <v>2378</v>
      </c>
      <c r="AH5020" t="inlineStr">
        <is>
          <t>PT. KURNIA MAJU PERKASA - PPN (PDG)</t>
        </is>
      </c>
      <c r="AI5020" t="n">
        <v>22</v>
      </c>
      <c r="AJ5020" t="inlineStr">
        <is>
          <t>SCARLETT</t>
        </is>
      </c>
      <c r="AK5020" t="n">
        <v>21</v>
      </c>
      <c r="AL5020" t="inlineStr">
        <is>
          <t>Miss Glam Damar</t>
        </is>
      </c>
      <c r="AM5020" t="n">
        <v>1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SCARLETT</t>
        </is>
      </c>
      <c r="B5021" s="2">
        <f>"8994455510004"</f>
        <v/>
      </c>
      <c r="C5021" t="inlineStr">
        <is>
          <t>SCARLETT Ultra Light Daily Sunscreen SPF 50 PA+++ 50ml</t>
        </is>
      </c>
      <c r="D5021" t="inlineStr">
        <is>
          <t>Miss Glam Damar</t>
        </is>
      </c>
      <c r="E5021" t="n">
        <v>13</v>
      </c>
      <c r="F5021" t="n">
        <v>0.9737000000000001</v>
      </c>
      <c r="G5021" t="n">
        <v>3.64</v>
      </c>
      <c r="H5021" t="n">
        <v>1</v>
      </c>
      <c r="I5021" t="n">
        <v>5</v>
      </c>
      <c r="J5021" t="n">
        <v>3</v>
      </c>
      <c r="K5021" t="n">
        <v>0</v>
      </c>
      <c r="L5021" t="n">
        <v>48153</v>
      </c>
      <c r="M5021" t="n">
        <v>65000</v>
      </c>
      <c r="N5021" t="n">
        <v>91</v>
      </c>
      <c r="O5021" t="n">
        <v>0.91</v>
      </c>
      <c r="P5021" t="n">
        <v>1</v>
      </c>
      <c r="Q5021" t="n">
        <v>0.6899999999999999</v>
      </c>
      <c r="R5021" t="n">
        <v>6</v>
      </c>
      <c r="S5021" t="n">
        <v>63290.50000000001</v>
      </c>
      <c r="T5021" t="n">
        <v>18</v>
      </c>
      <c r="U5021" t="n">
        <v>19</v>
      </c>
      <c r="V5021" t="n">
        <v>30</v>
      </c>
      <c r="W5021" t="n">
        <v>30</v>
      </c>
      <c r="X5021" t="n">
        <v>13.35113484646195</v>
      </c>
      <c r="Y5021" t="n">
        <v>1</v>
      </c>
      <c r="Z5021" t="n">
        <v>17</v>
      </c>
      <c r="AA5021" t="n">
        <v>0</v>
      </c>
      <c r="AB5021" t="n">
        <v>17</v>
      </c>
      <c r="AC5021" t="n">
        <v>17</v>
      </c>
      <c r="AD5021" t="n">
        <v>0</v>
      </c>
      <c r="AE5021" t="n">
        <v>818601</v>
      </c>
      <c r="AF5021" t="n">
        <v>10690</v>
      </c>
      <c r="AG5021" t="n">
        <v>2378</v>
      </c>
      <c r="AH5021" t="inlineStr">
        <is>
          <t>PT. KURNIA MAJU PERKASA - PPN (PDG)</t>
        </is>
      </c>
      <c r="AI5021" t="n">
        <v>22</v>
      </c>
      <c r="AJ5021" t="inlineStr">
        <is>
          <t>SCARLETT</t>
        </is>
      </c>
      <c r="AK5021" t="n">
        <v>21</v>
      </c>
      <c r="AL5021" t="inlineStr">
        <is>
          <t>Miss Glam Damar</t>
        </is>
      </c>
      <c r="AM5021" t="n">
        <v>1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SCARLETT</t>
        </is>
      </c>
      <c r="B5022" s="2">
        <f>"8993002676897"</f>
        <v/>
      </c>
      <c r="C5022" t="inlineStr">
        <is>
          <t>SCARLETT Whitening Facial Wash 100ml</t>
        </is>
      </c>
      <c r="D5022" t="inlineStr">
        <is>
          <t>Miss Glam Damar</t>
        </is>
      </c>
      <c r="E5022" t="n">
        <v>9</v>
      </c>
      <c r="F5022" t="n">
        <v>0.6916</v>
      </c>
      <c r="G5022" t="n">
        <v>2.73</v>
      </c>
      <c r="H5022" t="n">
        <v>1</v>
      </c>
      <c r="I5022" t="n">
        <v>5</v>
      </c>
      <c r="J5022" t="n">
        <v>3</v>
      </c>
      <c r="K5022" t="n">
        <v>0</v>
      </c>
      <c r="L5022" t="n">
        <v>48153</v>
      </c>
      <c r="M5022" t="n">
        <v>59000</v>
      </c>
      <c r="N5022" t="n">
        <v>91</v>
      </c>
      <c r="O5022" t="n">
        <v>0.91</v>
      </c>
      <c r="P5022" t="n">
        <v>1</v>
      </c>
      <c r="Q5022" t="n">
        <v>0.39</v>
      </c>
      <c r="R5022" t="n">
        <v>2</v>
      </c>
      <c r="S5022" t="n">
        <v>40804.4</v>
      </c>
      <c r="T5022" t="n">
        <v>13</v>
      </c>
      <c r="U5022" t="n">
        <v>14</v>
      </c>
      <c r="V5022" t="n">
        <v>30</v>
      </c>
      <c r="W5022" t="n">
        <v>21</v>
      </c>
      <c r="X5022" t="n">
        <v>13.0133024869867</v>
      </c>
      <c r="Y5022" t="n">
        <v>1</v>
      </c>
      <c r="Z5022" t="n">
        <v>12</v>
      </c>
      <c r="AA5022" t="n">
        <v>0</v>
      </c>
      <c r="AB5022" t="n">
        <v>12</v>
      </c>
      <c r="AC5022" t="n">
        <v>12</v>
      </c>
      <c r="AD5022" t="n">
        <v>0</v>
      </c>
      <c r="AE5022" t="n">
        <v>577836</v>
      </c>
      <c r="AF5022" t="n">
        <v>10690</v>
      </c>
      <c r="AG5022" t="n">
        <v>2378</v>
      </c>
      <c r="AH5022" t="inlineStr">
        <is>
          <t>PT. KURNIA MAJU PERKASA - PPN (PDG)</t>
        </is>
      </c>
      <c r="AI5022" t="n">
        <v>22</v>
      </c>
      <c r="AJ5022" t="inlineStr">
        <is>
          <t>SCARLETT</t>
        </is>
      </c>
      <c r="AK5022" t="n">
        <v>21</v>
      </c>
      <c r="AL5022" t="inlineStr">
        <is>
          <t>Miss Glam Damar</t>
        </is>
      </c>
      <c r="AM5022" t="n">
        <v>1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SCHICK</t>
        </is>
      </c>
      <c r="B5023" s="2">
        <f>"4710117601637"</f>
        <v/>
      </c>
      <c r="C5023" t="inlineStr">
        <is>
          <t>SCHICK Exacta 2 For Normal Skin 2 Razors</t>
        </is>
      </c>
      <c r="D5023" t="inlineStr">
        <is>
          <t>Miss Glam Damar</t>
        </is>
      </c>
      <c r="E5023" t="n">
        <v>6</v>
      </c>
      <c r="F5023" t="n">
        <v>0.5369</v>
      </c>
      <c r="G5023" t="n">
        <v>1.82</v>
      </c>
      <c r="H5023" t="n">
        <v>3</v>
      </c>
      <c r="I5023" t="n">
        <v>5</v>
      </c>
      <c r="J5023" t="n">
        <v>3</v>
      </c>
      <c r="K5023" t="n">
        <v>24</v>
      </c>
      <c r="L5023" t="n">
        <v>19464</v>
      </c>
      <c r="M5023" t="n">
        <v>23000</v>
      </c>
      <c r="N5023" t="n">
        <v>91</v>
      </c>
      <c r="O5023" t="n">
        <v>0.91</v>
      </c>
      <c r="P5023" t="n">
        <v>1</v>
      </c>
      <c r="Q5023" t="n">
        <v>0.73</v>
      </c>
      <c r="R5023" t="n">
        <v>6</v>
      </c>
      <c r="S5023" t="n">
        <v>12348.7</v>
      </c>
      <c r="T5023" t="n">
        <v>8</v>
      </c>
      <c r="U5023" t="n">
        <v>10</v>
      </c>
      <c r="V5023" t="n">
        <v>30</v>
      </c>
      <c r="W5023" t="n">
        <v>17</v>
      </c>
      <c r="X5023" t="n">
        <v>11.17526541255355</v>
      </c>
      <c r="Y5023" t="n">
        <v>1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11247</v>
      </c>
      <c r="AG5023" t="n">
        <v>425</v>
      </c>
      <c r="AH5023" t="inlineStr">
        <is>
          <t>PT. NATRACO SPICES INDONESIA - PPN (PDG)</t>
        </is>
      </c>
      <c r="AI5023" t="n">
        <v>365</v>
      </c>
      <c r="AJ5023" t="inlineStr">
        <is>
          <t>SCHICK</t>
        </is>
      </c>
      <c r="AK5023" t="n">
        <v>21</v>
      </c>
      <c r="AL5023" t="inlineStr">
        <is>
          <t>Miss Glam Damar</t>
        </is>
      </c>
      <c r="AM5023" t="n">
        <v>5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SCHICK</t>
        </is>
      </c>
      <c r="B5024" s="2">
        <f>"50400107451"</f>
        <v/>
      </c>
      <c r="C5024" t="inlineStr">
        <is>
          <t>SCHICK Intuition Lemon Berry Breeze 2X</t>
        </is>
      </c>
      <c r="D5024" t="inlineStr">
        <is>
          <t>Miss Glam Damar</t>
        </is>
      </c>
      <c r="E5024" t="n">
        <v>3</v>
      </c>
      <c r="F5024" t="n">
        <v>0.0182</v>
      </c>
      <c r="G5024" t="n">
        <v>0.91</v>
      </c>
      <c r="H5024" t="n">
        <v>3</v>
      </c>
      <c r="I5024" t="n">
        <v>5</v>
      </c>
      <c r="J5024" t="n">
        <v>1</v>
      </c>
      <c r="K5024" t="n">
        <v>0</v>
      </c>
      <c r="L5024" t="n">
        <v>135957</v>
      </c>
      <c r="M5024" t="n">
        <v>160000</v>
      </c>
      <c r="N5024" t="n">
        <v>91</v>
      </c>
      <c r="O5024" t="n">
        <v>0.91</v>
      </c>
      <c r="P5024" t="n">
        <v>1</v>
      </c>
      <c r="Q5024" t="n">
        <v>0.03</v>
      </c>
      <c r="R5024" t="n">
        <v>1</v>
      </c>
      <c r="S5024" t="n">
        <v>2912</v>
      </c>
      <c r="T5024" t="n">
        <v>5</v>
      </c>
      <c r="U5024" t="n">
        <v>6</v>
      </c>
      <c r="V5024" t="n">
        <v>30</v>
      </c>
      <c r="W5024" t="n">
        <v>1</v>
      </c>
      <c r="X5024" t="n">
        <v>164.8351648351648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11247</v>
      </c>
      <c r="AG5024" t="n">
        <v>425</v>
      </c>
      <c r="AH5024" t="inlineStr">
        <is>
          <t>PT. NATRACO SPICES INDONESIA - PPN (PDG)</t>
        </is>
      </c>
      <c r="AI5024" t="n">
        <v>365</v>
      </c>
      <c r="AJ5024" t="inlineStr">
        <is>
          <t>SCHICK</t>
        </is>
      </c>
      <c r="AK5024" t="n">
        <v>21</v>
      </c>
      <c r="AL5024" t="inlineStr">
        <is>
          <t>Miss Glam Damar</t>
        </is>
      </c>
      <c r="AM5024" t="n">
        <v>5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SCHICK</t>
        </is>
      </c>
      <c r="B5025" s="2">
        <f>"50400208548"</f>
        <v/>
      </c>
      <c r="C5025" t="inlineStr">
        <is>
          <t>SCHICK Intuition Pink Bear</t>
        </is>
      </c>
      <c r="D5025" t="inlineStr">
        <is>
          <t>Miss Glam Damar</t>
        </is>
      </c>
      <c r="E5025" t="n">
        <v>2</v>
      </c>
      <c r="F5025" t="n">
        <v>0.02</v>
      </c>
      <c r="G5025" t="n">
        <v>1</v>
      </c>
      <c r="H5025" t="n">
        <v>3</v>
      </c>
      <c r="I5025" t="n">
        <v>5</v>
      </c>
      <c r="J5025" t="n">
        <v>1</v>
      </c>
      <c r="K5025" t="n">
        <v>0</v>
      </c>
      <c r="L5025" t="n">
        <v>179265</v>
      </c>
      <c r="M5025" t="n">
        <v>211000</v>
      </c>
      <c r="N5025" t="n">
        <v>91</v>
      </c>
      <c r="O5025" t="n">
        <v>0.91</v>
      </c>
      <c r="P5025" t="n">
        <v>0</v>
      </c>
      <c r="Q5025" t="n">
        <v>0.02</v>
      </c>
      <c r="R5025" t="n">
        <v>1</v>
      </c>
      <c r="S5025" t="n">
        <v>4220</v>
      </c>
      <c r="T5025" t="n">
        <v>5</v>
      </c>
      <c r="U5025" t="n">
        <v>6</v>
      </c>
      <c r="V5025" t="n">
        <v>30</v>
      </c>
      <c r="W5025" t="n">
        <v>1</v>
      </c>
      <c r="X5025" t="n">
        <v>100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11247</v>
      </c>
      <c r="AG5025" t="n">
        <v>425</v>
      </c>
      <c r="AH5025" t="inlineStr">
        <is>
          <t>PT. NATRACO SPICES INDONESIA - PPN (PDG)</t>
        </is>
      </c>
      <c r="AI5025" t="n">
        <v>365</v>
      </c>
      <c r="AJ5025" t="inlineStr">
        <is>
          <t>SCHICK</t>
        </is>
      </c>
      <c r="AK5025" t="n">
        <v>21</v>
      </c>
      <c r="AL5025" t="inlineStr">
        <is>
          <t>Miss Glam Damar</t>
        </is>
      </c>
      <c r="AM5025" t="n">
        <v>5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SCHICK</t>
        </is>
      </c>
      <c r="B5026" s="2">
        <f>"6937266700785"</f>
        <v/>
      </c>
      <c r="C5026" t="inlineStr">
        <is>
          <t>SCHICK Intuition Sensitive Care</t>
        </is>
      </c>
      <c r="D5026" t="inlineStr">
        <is>
          <t>Miss Glam Damar</t>
        </is>
      </c>
      <c r="E5026" t="n">
        <v>2</v>
      </c>
      <c r="F5026" t="n">
        <v>0.05</v>
      </c>
      <c r="G5026" t="n">
        <v>2</v>
      </c>
      <c r="H5026" t="n">
        <v>3</v>
      </c>
      <c r="I5026" t="n">
        <v>5</v>
      </c>
      <c r="J5026" t="n">
        <v>3</v>
      </c>
      <c r="K5026" t="n">
        <v>0</v>
      </c>
      <c r="L5026" t="n">
        <v>126394</v>
      </c>
      <c r="M5026" t="n">
        <v>180000</v>
      </c>
      <c r="N5026" t="n">
        <v>91</v>
      </c>
      <c r="O5026" t="n">
        <v>0.91</v>
      </c>
      <c r="P5026" t="n">
        <v>0</v>
      </c>
      <c r="Q5026" t="n">
        <v>0.05</v>
      </c>
      <c r="R5026" t="n">
        <v>2</v>
      </c>
      <c r="S5026" t="n">
        <v>9000</v>
      </c>
      <c r="T5026" t="n">
        <v>10</v>
      </c>
      <c r="U5026" t="n">
        <v>11</v>
      </c>
      <c r="V5026" t="n">
        <v>30</v>
      </c>
      <c r="W5026" t="n">
        <v>2</v>
      </c>
      <c r="X5026" t="n">
        <v>40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11247</v>
      </c>
      <c r="AG5026" t="n">
        <v>425</v>
      </c>
      <c r="AH5026" t="inlineStr">
        <is>
          <t>PT. NATRACO SPICES INDONESIA - PPN (PDG)</t>
        </is>
      </c>
      <c r="AI5026" t="n">
        <v>365</v>
      </c>
      <c r="AJ5026" t="inlineStr">
        <is>
          <t>SCHICK</t>
        </is>
      </c>
      <c r="AK5026" t="n">
        <v>21</v>
      </c>
      <c r="AL5026" t="inlineStr">
        <is>
          <t>Miss Glam Damar</t>
        </is>
      </c>
      <c r="AM5026" t="n">
        <v>5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SCHICK</t>
        </is>
      </c>
      <c r="B5027" s="2">
        <f>"6937266700761"</f>
        <v/>
      </c>
      <c r="C5027" t="inlineStr">
        <is>
          <t>SCHICK Intuition Sensitive Care Skin Moistirizing Solid 1 Razor + 1 Travel Cap</t>
        </is>
      </c>
      <c r="D5027" t="inlineStr">
        <is>
          <t>Miss Glam Damar</t>
        </is>
      </c>
      <c r="E5027" t="n">
        <v>3</v>
      </c>
      <c r="F5027" t="n">
        <v>0.0273</v>
      </c>
      <c r="G5027" t="n">
        <v>0.91</v>
      </c>
      <c r="H5027" t="n">
        <v>3</v>
      </c>
      <c r="I5027" t="n">
        <v>5</v>
      </c>
      <c r="J5027" t="n">
        <v>3</v>
      </c>
      <c r="K5027" t="n">
        <v>0</v>
      </c>
      <c r="L5027" t="n">
        <v>137194</v>
      </c>
      <c r="M5027" t="n">
        <v>165500</v>
      </c>
      <c r="N5027" t="n">
        <v>91</v>
      </c>
      <c r="O5027" t="n">
        <v>0.91</v>
      </c>
      <c r="P5027" t="n">
        <v>1</v>
      </c>
      <c r="Q5027" t="n">
        <v>0.05</v>
      </c>
      <c r="R5027" t="n">
        <v>1</v>
      </c>
      <c r="S5027" t="n">
        <v>4518.150000000001</v>
      </c>
      <c r="T5027" t="n">
        <v>5</v>
      </c>
      <c r="U5027" t="n">
        <v>6</v>
      </c>
      <c r="V5027" t="n">
        <v>30</v>
      </c>
      <c r="W5027" t="n">
        <v>1</v>
      </c>
      <c r="X5027" t="n">
        <v>109.8901098901099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11247</v>
      </c>
      <c r="AG5027" t="n">
        <v>425</v>
      </c>
      <c r="AH5027" t="inlineStr">
        <is>
          <t>PT. NATRACO SPICES INDONESIA - PPN (PDG)</t>
        </is>
      </c>
      <c r="AI5027" t="n">
        <v>365</v>
      </c>
      <c r="AJ5027" t="inlineStr">
        <is>
          <t>SCHICK</t>
        </is>
      </c>
      <c r="AK5027" t="n">
        <v>21</v>
      </c>
      <c r="AL5027" t="inlineStr">
        <is>
          <t>Miss Glam Damar</t>
        </is>
      </c>
      <c r="AM5027" t="n">
        <v>5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SCHICK</t>
        </is>
      </c>
      <c r="B5028" s="2">
        <f>"50400107637"</f>
        <v/>
      </c>
      <c r="C5028" t="inlineStr">
        <is>
          <t>SCHICK Intuition Touch Up 3 Razors</t>
        </is>
      </c>
      <c r="D5028" t="inlineStr">
        <is>
          <t>Miss Glam Damar</t>
        </is>
      </c>
      <c r="E5028" t="n">
        <v>0</v>
      </c>
      <c r="F5028" t="n">
        <v>0.04550000000000001</v>
      </c>
      <c r="G5028" t="n">
        <v>0.91</v>
      </c>
      <c r="H5028" t="n">
        <v>3</v>
      </c>
      <c r="I5028" t="n">
        <v>5</v>
      </c>
      <c r="J5028" t="n">
        <v>1</v>
      </c>
      <c r="K5028" t="n">
        <v>0</v>
      </c>
      <c r="L5028" t="n">
        <v>56184</v>
      </c>
      <c r="M5028" t="n">
        <v>66500</v>
      </c>
      <c r="N5028" t="n">
        <v>91</v>
      </c>
      <c r="O5028" t="n">
        <v>0.91</v>
      </c>
      <c r="P5028" t="n">
        <v>1</v>
      </c>
      <c r="Q5028" t="n">
        <v>0.32</v>
      </c>
      <c r="R5028" t="n">
        <v>2</v>
      </c>
      <c r="S5028" t="n">
        <v>3025.75</v>
      </c>
      <c r="T5028" t="n">
        <v>5</v>
      </c>
      <c r="U5028" t="n">
        <v>6</v>
      </c>
      <c r="V5028" t="n">
        <v>30</v>
      </c>
      <c r="W5028" t="n">
        <v>2</v>
      </c>
      <c r="X5028" t="n">
        <v>0</v>
      </c>
      <c r="Y5028" t="n">
        <v>1</v>
      </c>
      <c r="Z5028" t="n">
        <v>2</v>
      </c>
      <c r="AA5028" t="n">
        <v>1</v>
      </c>
      <c r="AB5028" t="n">
        <v>1</v>
      </c>
      <c r="AC5028" t="n">
        <v>1</v>
      </c>
      <c r="AD5028" t="n">
        <v>56184</v>
      </c>
      <c r="AE5028" t="n">
        <v>56184</v>
      </c>
      <c r="AF5028" t="n">
        <v>11247</v>
      </c>
      <c r="AG5028" t="n">
        <v>425</v>
      </c>
      <c r="AH5028" t="inlineStr">
        <is>
          <t>PT. NATRACO SPICES INDONESIA - PPN (PDG)</t>
        </is>
      </c>
      <c r="AI5028" t="n">
        <v>365</v>
      </c>
      <c r="AJ5028" t="inlineStr">
        <is>
          <t>SCHICK</t>
        </is>
      </c>
      <c r="AK5028" t="n">
        <v>21</v>
      </c>
      <c r="AL5028" t="inlineStr">
        <is>
          <t>Miss Glam Damar</t>
        </is>
      </c>
      <c r="AM5028" t="n">
        <v>5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SCHICK</t>
        </is>
      </c>
      <c r="B5029" s="2">
        <f>"4891228460211"</f>
        <v/>
      </c>
      <c r="C5029" t="inlineStr">
        <is>
          <t>SCHICK Quattro Titanium Includes2</t>
        </is>
      </c>
      <c r="D5029" t="inlineStr">
        <is>
          <t>Miss Glam Damar</t>
        </is>
      </c>
      <c r="E5029" t="n">
        <v>2</v>
      </c>
      <c r="F5029" t="n">
        <v>0.02</v>
      </c>
      <c r="G5029" t="n">
        <v>1</v>
      </c>
      <c r="H5029" t="n">
        <v>3</v>
      </c>
      <c r="I5029" t="n">
        <v>5</v>
      </c>
      <c r="J5029" t="n">
        <v>3</v>
      </c>
      <c r="K5029" t="n">
        <v>0</v>
      </c>
      <c r="L5029" t="n">
        <v>67405</v>
      </c>
      <c r="M5029" t="n">
        <v>87500</v>
      </c>
      <c r="N5029" t="n">
        <v>91</v>
      </c>
      <c r="O5029" t="n">
        <v>0.91</v>
      </c>
      <c r="P5029" t="n">
        <v>0</v>
      </c>
      <c r="Q5029" t="n">
        <v>0.02</v>
      </c>
      <c r="R5029" t="n">
        <v>1</v>
      </c>
      <c r="S5029" t="n">
        <v>1750</v>
      </c>
      <c r="T5029" t="n">
        <v>5</v>
      </c>
      <c r="U5029" t="n">
        <v>6</v>
      </c>
      <c r="V5029" t="n">
        <v>30</v>
      </c>
      <c r="W5029" t="n">
        <v>1</v>
      </c>
      <c r="X5029" t="n">
        <v>100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11247</v>
      </c>
      <c r="AG5029" t="n">
        <v>425</v>
      </c>
      <c r="AH5029" t="inlineStr">
        <is>
          <t>PT. NATRACO SPICES INDONESIA - PPN (PDG)</t>
        </is>
      </c>
      <c r="AI5029" t="n">
        <v>365</v>
      </c>
      <c r="AJ5029" t="inlineStr">
        <is>
          <t>SCHICK</t>
        </is>
      </c>
      <c r="AK5029" t="n">
        <v>21</v>
      </c>
      <c r="AL5029" t="inlineStr">
        <is>
          <t>Miss Glam Damar</t>
        </is>
      </c>
      <c r="AM5029" t="n">
        <v>5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SCHICK</t>
        </is>
      </c>
      <c r="B5030" s="2">
        <f>"4891228480011"</f>
        <v/>
      </c>
      <c r="C5030" t="inlineStr">
        <is>
          <t>SCHICK Silk Effects</t>
        </is>
      </c>
      <c r="D5030" t="inlineStr">
        <is>
          <t>Miss Glam Damar</t>
        </is>
      </c>
      <c r="E5030" t="n">
        <v>2</v>
      </c>
      <c r="F5030" t="n">
        <v>0.0182</v>
      </c>
      <c r="G5030" t="n">
        <v>0.91</v>
      </c>
      <c r="H5030" t="n">
        <v>3</v>
      </c>
      <c r="I5030" t="n">
        <v>5</v>
      </c>
      <c r="J5030" t="n">
        <v>3</v>
      </c>
      <c r="K5030" t="n">
        <v>0</v>
      </c>
      <c r="L5030" t="n">
        <v>80154</v>
      </c>
      <c r="M5030" t="n">
        <v>94500</v>
      </c>
      <c r="N5030" t="n">
        <v>91</v>
      </c>
      <c r="O5030" t="n">
        <v>0.91</v>
      </c>
      <c r="P5030" t="n">
        <v>1</v>
      </c>
      <c r="Q5030" t="n">
        <v>0.1</v>
      </c>
      <c r="R5030" t="n">
        <v>1</v>
      </c>
      <c r="S5030" t="n">
        <v>1719.9</v>
      </c>
      <c r="T5030" t="n">
        <v>5</v>
      </c>
      <c r="U5030" t="n">
        <v>6</v>
      </c>
      <c r="V5030" t="n">
        <v>30</v>
      </c>
      <c r="W5030" t="n">
        <v>1</v>
      </c>
      <c r="X5030" t="n">
        <v>109.8901098901099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11247</v>
      </c>
      <c r="AG5030" t="n">
        <v>425</v>
      </c>
      <c r="AH5030" t="inlineStr">
        <is>
          <t>PT. NATRACO SPICES INDONESIA - PPN (PDG)</t>
        </is>
      </c>
      <c r="AI5030" t="n">
        <v>365</v>
      </c>
      <c r="AJ5030" t="inlineStr">
        <is>
          <t>SCHICK</t>
        </is>
      </c>
      <c r="AK5030" t="n">
        <v>21</v>
      </c>
      <c r="AL5030" t="inlineStr">
        <is>
          <t>Miss Glam Damar</t>
        </is>
      </c>
      <c r="AM5030" t="n">
        <v>5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SCION</t>
        </is>
      </c>
      <c r="B5031" s="2">
        <f>"30400519201"</f>
        <v/>
      </c>
      <c r="C5031" t="inlineStr">
        <is>
          <t>NU SCION Brightening Roll On Deodorant 75ml</t>
        </is>
      </c>
      <c r="D5031" t="inlineStr">
        <is>
          <t>Miss Glam Damar</t>
        </is>
      </c>
      <c r="E5031" t="n">
        <v>46</v>
      </c>
      <c r="F5031" t="n">
        <v>5.0414</v>
      </c>
      <c r="G5031" t="n">
        <v>12.74</v>
      </c>
      <c r="H5031" t="n">
        <v>4</v>
      </c>
      <c r="I5031" t="n">
        <v>21</v>
      </c>
      <c r="J5031" t="n">
        <v>1</v>
      </c>
      <c r="K5031" t="n">
        <v>396</v>
      </c>
      <c r="L5031" t="n">
        <v>60683</v>
      </c>
      <c r="M5031" t="n">
        <v>72000</v>
      </c>
      <c r="N5031" t="n">
        <v>91</v>
      </c>
      <c r="O5031" t="n">
        <v>0.91</v>
      </c>
      <c r="P5031" t="n">
        <v>1</v>
      </c>
      <c r="Q5031" t="n">
        <v>6.47</v>
      </c>
      <c r="R5031" t="n">
        <v>13</v>
      </c>
      <c r="S5031" t="n">
        <v>362980.8</v>
      </c>
      <c r="T5031" t="n">
        <v>248</v>
      </c>
      <c r="U5031" t="n">
        <v>269</v>
      </c>
      <c r="V5031" t="n">
        <v>30</v>
      </c>
      <c r="W5031" t="n">
        <v>152</v>
      </c>
      <c r="X5031" t="n">
        <v>9.124449557662553</v>
      </c>
      <c r="Y5031" t="n">
        <v>1</v>
      </c>
      <c r="Z5031" t="n">
        <v>0</v>
      </c>
      <c r="AA5031" t="n">
        <v>59</v>
      </c>
      <c r="AB5031" t="n">
        <v>0</v>
      </c>
      <c r="AC5031" t="n">
        <v>0</v>
      </c>
      <c r="AD5031" t="n">
        <v>3580297</v>
      </c>
      <c r="AE5031" t="n">
        <v>0</v>
      </c>
      <c r="AF5031" t="n">
        <v>8361</v>
      </c>
      <c r="AG5031" t="n">
        <v>1</v>
      </c>
      <c r="AH5031" t="inlineStr">
        <is>
          <t>PT. BERSAMA DISTRIVERSA INDONESIA (DC CIPUTAT)</t>
        </is>
      </c>
      <c r="AI5031" t="n">
        <v>1667</v>
      </c>
      <c r="AJ5031" t="inlineStr">
        <is>
          <t>SCION</t>
        </is>
      </c>
      <c r="AK5031" t="n">
        <v>21</v>
      </c>
      <c r="AL5031" t="inlineStr">
        <is>
          <t>Miss Glam Damar</t>
        </is>
      </c>
      <c r="AM5031" t="n">
        <v>2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SCORA</t>
        </is>
      </c>
      <c r="B5032" s="2">
        <f>"10800207242"</f>
        <v/>
      </c>
      <c r="C5032" t="inlineStr">
        <is>
          <t>SCORA 0,5% Actosome Retinol Eye Cream 20ml</t>
        </is>
      </c>
      <c r="D5032" t="inlineStr">
        <is>
          <t>Miss Glam Damar</t>
        </is>
      </c>
      <c r="E5032" t="n">
        <v>0</v>
      </c>
      <c r="F5032" t="n">
        <v>0.21</v>
      </c>
      <c r="G5032" t="n">
        <v>2</v>
      </c>
      <c r="H5032" t="n">
        <v>3</v>
      </c>
      <c r="I5032" t="n">
        <v>11</v>
      </c>
      <c r="J5032" t="n">
        <v>1</v>
      </c>
      <c r="K5032" t="n">
        <v>0</v>
      </c>
      <c r="L5032" t="n">
        <v>16597</v>
      </c>
      <c r="M5032" t="n">
        <v>20000</v>
      </c>
      <c r="N5032" t="n">
        <v>91</v>
      </c>
      <c r="O5032" t="n">
        <v>0.91</v>
      </c>
      <c r="P5032" t="n">
        <v>0</v>
      </c>
      <c r="Q5032" t="n">
        <v>0.21</v>
      </c>
      <c r="R5032" t="n">
        <v>2</v>
      </c>
      <c r="S5032" t="n">
        <v>4200</v>
      </c>
      <c r="T5032" t="n">
        <v>22</v>
      </c>
      <c r="U5032" t="n">
        <v>23</v>
      </c>
      <c r="V5032" t="n">
        <v>30</v>
      </c>
      <c r="W5032" t="n">
        <v>7</v>
      </c>
      <c r="X5032" t="n">
        <v>0</v>
      </c>
      <c r="Y5032" t="n">
        <v>1</v>
      </c>
      <c r="Z5032" t="n">
        <v>7</v>
      </c>
      <c r="AA5032" t="n">
        <v>3</v>
      </c>
      <c r="AB5032" t="n">
        <v>4</v>
      </c>
      <c r="AC5032" t="n">
        <v>4</v>
      </c>
      <c r="AD5032" t="n">
        <v>49791</v>
      </c>
      <c r="AE5032" t="n">
        <v>66388</v>
      </c>
      <c r="AF5032" t="n">
        <v>12883</v>
      </c>
      <c r="AG5032" t="n">
        <v>2122</v>
      </c>
      <c r="AH5032" t="inlineStr">
        <is>
          <t>PT. SINAR PADANG LESTARI - PPN (PDG)</t>
        </is>
      </c>
      <c r="AI5032" t="n">
        <v>1721</v>
      </c>
      <c r="AJ5032" t="inlineStr">
        <is>
          <t>SCORA</t>
        </is>
      </c>
      <c r="AK5032" t="n">
        <v>21</v>
      </c>
      <c r="AL5032" t="inlineStr">
        <is>
          <t>Miss Glam Damar</t>
        </is>
      </c>
      <c r="AM5032" t="n">
        <v>1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SCORA</t>
        </is>
      </c>
      <c r="B5033" s="2">
        <f>"8994460553096"</f>
        <v/>
      </c>
      <c r="C5033" t="inlineStr">
        <is>
          <t>SCORA 2.5% D-Panthenol Barrier Shield Moisturizer</t>
        </is>
      </c>
      <c r="D5033" t="inlineStr">
        <is>
          <t>Miss Glam Damar</t>
        </is>
      </c>
      <c r="E5033" t="n">
        <v>40</v>
      </c>
      <c r="F5033" t="n">
        <v>4.8776</v>
      </c>
      <c r="G5033" t="n">
        <v>11.83</v>
      </c>
      <c r="H5033" t="n">
        <v>3</v>
      </c>
      <c r="I5033" t="n">
        <v>11</v>
      </c>
      <c r="J5033" t="n">
        <v>3</v>
      </c>
      <c r="K5033" t="n">
        <v>0</v>
      </c>
      <c r="L5033" t="n">
        <v>30515</v>
      </c>
      <c r="M5033" t="n">
        <v>37000</v>
      </c>
      <c r="N5033" t="n">
        <v>91</v>
      </c>
      <c r="O5033" t="n">
        <v>0.91</v>
      </c>
      <c r="P5033" t="n">
        <v>1</v>
      </c>
      <c r="Q5033" t="n">
        <v>2.64</v>
      </c>
      <c r="R5033" t="n">
        <v>7</v>
      </c>
      <c r="S5033" t="n">
        <v>180471.2</v>
      </c>
      <c r="T5033" t="n">
        <v>116</v>
      </c>
      <c r="U5033" t="n">
        <v>131</v>
      </c>
      <c r="V5033" t="n">
        <v>30</v>
      </c>
      <c r="W5033" t="n">
        <v>147</v>
      </c>
      <c r="X5033" t="n">
        <v>8.200754469411185</v>
      </c>
      <c r="Y5033" t="n">
        <v>1</v>
      </c>
      <c r="Z5033" t="n">
        <v>107</v>
      </c>
      <c r="AA5033" t="n">
        <v>14</v>
      </c>
      <c r="AB5033" t="n">
        <v>93</v>
      </c>
      <c r="AC5033" t="n">
        <v>93</v>
      </c>
      <c r="AD5033" t="n">
        <v>427210</v>
      </c>
      <c r="AE5033" t="n">
        <v>2837895</v>
      </c>
      <c r="AF5033" t="n">
        <v>12883</v>
      </c>
      <c r="AG5033" t="n">
        <v>2122</v>
      </c>
      <c r="AH5033" t="inlineStr">
        <is>
          <t>PT. SINAR PADANG LESTARI - PPN (PDG)</t>
        </is>
      </c>
      <c r="AI5033" t="n">
        <v>1721</v>
      </c>
      <c r="AJ5033" t="inlineStr">
        <is>
          <t>SCORA</t>
        </is>
      </c>
      <c r="AK5033" t="n">
        <v>21</v>
      </c>
      <c r="AL5033" t="inlineStr">
        <is>
          <t>Miss Glam Damar</t>
        </is>
      </c>
      <c r="AM5033" t="n">
        <v>1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SCORA</t>
        </is>
      </c>
      <c r="B5034" s="2">
        <f>"10300514942"</f>
        <v/>
      </c>
      <c r="C5034" t="inlineStr">
        <is>
          <t>SCORA 5% Niacinamide Hydramoist Gel with Alpha Arbutin &amp; Panthenol 100 ML</t>
        </is>
      </c>
      <c r="D5034" t="inlineStr">
        <is>
          <t>Miss Glam Damar</t>
        </is>
      </c>
      <c r="E5034" t="n">
        <v>27</v>
      </c>
      <c r="F5034" t="n">
        <v>1.5379</v>
      </c>
      <c r="G5034" t="n">
        <v>7.28</v>
      </c>
      <c r="H5034" t="n">
        <v>3</v>
      </c>
      <c r="I5034" t="n">
        <v>11</v>
      </c>
      <c r="J5034" t="n">
        <v>1</v>
      </c>
      <c r="K5034" t="n">
        <v>0</v>
      </c>
      <c r="L5034" t="n">
        <v>55250</v>
      </c>
      <c r="M5034" t="n">
        <v>65000</v>
      </c>
      <c r="N5034" t="n">
        <v>91</v>
      </c>
      <c r="O5034" t="n">
        <v>0.91</v>
      </c>
      <c r="P5034" t="n">
        <v>1</v>
      </c>
      <c r="Q5034" t="n">
        <v>0.75</v>
      </c>
      <c r="R5034" t="n">
        <v>3</v>
      </c>
      <c r="S5034" t="n">
        <v>99963.5</v>
      </c>
      <c r="T5034" t="n">
        <v>76</v>
      </c>
      <c r="U5034" t="n">
        <v>81</v>
      </c>
      <c r="V5034" t="n">
        <v>30</v>
      </c>
      <c r="W5034" t="n">
        <v>47</v>
      </c>
      <c r="X5034" t="n">
        <v>17.55640808895247</v>
      </c>
      <c r="Y5034" t="n">
        <v>1</v>
      </c>
      <c r="Z5034" t="n">
        <v>20</v>
      </c>
      <c r="AA5034" t="n">
        <v>0</v>
      </c>
      <c r="AB5034" t="n">
        <v>20</v>
      </c>
      <c r="AC5034" t="n">
        <v>20</v>
      </c>
      <c r="AD5034" t="n">
        <v>0</v>
      </c>
      <c r="AE5034" t="n">
        <v>1105000</v>
      </c>
      <c r="AF5034" t="n">
        <v>12883</v>
      </c>
      <c r="AG5034" t="n">
        <v>2122</v>
      </c>
      <c r="AH5034" t="inlineStr">
        <is>
          <t>PT. SINAR PADANG LESTARI - PPN (PDG)</t>
        </is>
      </c>
      <c r="AI5034" t="n">
        <v>1721</v>
      </c>
      <c r="AJ5034" t="inlineStr">
        <is>
          <t>SCORA</t>
        </is>
      </c>
      <c r="AK5034" t="n">
        <v>21</v>
      </c>
      <c r="AL5034" t="inlineStr">
        <is>
          <t>Miss Glam Damar</t>
        </is>
      </c>
      <c r="AM5034" t="n">
        <v>1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SCORA</t>
        </is>
      </c>
      <c r="B5035" s="2">
        <f>"10400616953"</f>
        <v/>
      </c>
      <c r="C5035" t="inlineStr">
        <is>
          <t>SCORA Bright Me Up Sunscreen SPF 40 PA++ 40gr</t>
        </is>
      </c>
      <c r="D5035" t="inlineStr">
        <is>
          <t>Miss Glam Damar</t>
        </is>
      </c>
      <c r="E5035" t="n">
        <v>61</v>
      </c>
      <c r="F5035" t="n">
        <v>5.2507</v>
      </c>
      <c r="G5035" t="n">
        <v>14.56</v>
      </c>
      <c r="H5035" t="n">
        <v>3</v>
      </c>
      <c r="I5035" t="n">
        <v>11</v>
      </c>
      <c r="J5035" t="n">
        <v>1</v>
      </c>
      <c r="K5035" t="n">
        <v>0</v>
      </c>
      <c r="L5035" t="n">
        <v>37315</v>
      </c>
      <c r="M5035" t="n">
        <v>52500</v>
      </c>
      <c r="N5035" t="n">
        <v>91</v>
      </c>
      <c r="O5035" t="n">
        <v>0.91</v>
      </c>
      <c r="P5035" t="n">
        <v>1</v>
      </c>
      <c r="Q5035" t="n">
        <v>3.9</v>
      </c>
      <c r="R5035" t="n">
        <v>11</v>
      </c>
      <c r="S5035" t="n">
        <v>275661.75</v>
      </c>
      <c r="T5035" t="n">
        <v>145</v>
      </c>
      <c r="U5035" t="n">
        <v>161</v>
      </c>
      <c r="V5035" t="n">
        <v>30</v>
      </c>
      <c r="W5035" t="n">
        <v>158</v>
      </c>
      <c r="X5035" t="n">
        <v>11.61749861923172</v>
      </c>
      <c r="Y5035" t="n">
        <v>1</v>
      </c>
      <c r="Z5035" t="n">
        <v>97</v>
      </c>
      <c r="AA5035" t="n">
        <v>0</v>
      </c>
      <c r="AB5035" t="n">
        <v>97</v>
      </c>
      <c r="AC5035" t="n">
        <v>97</v>
      </c>
      <c r="AD5035" t="n">
        <v>0</v>
      </c>
      <c r="AE5035" t="n">
        <v>3619555</v>
      </c>
      <c r="AF5035" t="n">
        <v>12883</v>
      </c>
      <c r="AG5035" t="n">
        <v>2122</v>
      </c>
      <c r="AH5035" t="inlineStr">
        <is>
          <t>PT. SINAR PADANG LESTARI - PPN (PDG)</t>
        </is>
      </c>
      <c r="AI5035" t="n">
        <v>1721</v>
      </c>
      <c r="AJ5035" t="inlineStr">
        <is>
          <t>SCORA</t>
        </is>
      </c>
      <c r="AK5035" t="n">
        <v>21</v>
      </c>
      <c r="AL5035" t="inlineStr">
        <is>
          <t>Miss Glam Damar</t>
        </is>
      </c>
      <c r="AM5035" t="n">
        <v>1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SCORA</t>
        </is>
      </c>
      <c r="B5036" s="2">
        <f>"10100199813"</f>
        <v/>
      </c>
      <c r="C5036" t="inlineStr">
        <is>
          <t>SCORA D-Panthenol Gentle Low Ph Cleanser 100ml</t>
        </is>
      </c>
      <c r="D5036" t="inlineStr">
        <is>
          <t>Miss Glam Damar</t>
        </is>
      </c>
      <c r="E5036" t="n">
        <v>127</v>
      </c>
      <c r="F5036" t="n">
        <v>3.2214</v>
      </c>
      <c r="G5036" t="n">
        <v>10.01</v>
      </c>
      <c r="H5036" t="n">
        <v>3</v>
      </c>
      <c r="I5036" t="n">
        <v>11</v>
      </c>
      <c r="J5036" t="n">
        <v>3</v>
      </c>
      <c r="K5036" t="n">
        <v>0</v>
      </c>
      <c r="L5036" t="n">
        <v>32980</v>
      </c>
      <c r="M5036" t="n">
        <v>39500</v>
      </c>
      <c r="N5036" t="n">
        <v>91</v>
      </c>
      <c r="O5036" t="n">
        <v>0.91</v>
      </c>
      <c r="P5036" t="n">
        <v>1</v>
      </c>
      <c r="Q5036" t="n">
        <v>2.14</v>
      </c>
      <c r="R5036" t="n">
        <v>11</v>
      </c>
      <c r="S5036" t="n">
        <v>127245.3</v>
      </c>
      <c r="T5036" t="n">
        <v>101</v>
      </c>
      <c r="U5036" t="n">
        <v>111</v>
      </c>
      <c r="V5036" t="n">
        <v>30</v>
      </c>
      <c r="W5036" t="n">
        <v>97</v>
      </c>
      <c r="X5036" t="n">
        <v>39.42385298317502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12883</v>
      </c>
      <c r="AG5036" t="n">
        <v>2122</v>
      </c>
      <c r="AH5036" t="inlineStr">
        <is>
          <t>PT. SINAR PADANG LESTARI - PPN (PDG)</t>
        </is>
      </c>
      <c r="AI5036" t="n">
        <v>1721</v>
      </c>
      <c r="AJ5036" t="inlineStr">
        <is>
          <t>SCORA</t>
        </is>
      </c>
      <c r="AK5036" t="n">
        <v>21</v>
      </c>
      <c r="AL5036" t="inlineStr">
        <is>
          <t>Miss Glam Damar</t>
        </is>
      </c>
      <c r="AM5036" t="n">
        <v>1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SCORA</t>
        </is>
      </c>
      <c r="B5037" s="2">
        <f>"10100721911"</f>
        <v/>
      </c>
      <c r="C5037" t="inlineStr">
        <is>
          <t>SCORA Gentle &amp; Soothe Micellar Cleansing Water 100ml</t>
        </is>
      </c>
      <c r="D5037" t="inlineStr">
        <is>
          <t>Miss Glam Damar</t>
        </is>
      </c>
      <c r="E5037" t="n">
        <v>48</v>
      </c>
      <c r="F5037" t="n">
        <v>1.5561</v>
      </c>
      <c r="G5037" t="n">
        <v>4.55</v>
      </c>
      <c r="H5037" t="n">
        <v>3</v>
      </c>
      <c r="I5037" t="n">
        <v>11</v>
      </c>
      <c r="J5037" t="n">
        <v>1</v>
      </c>
      <c r="K5037" t="n">
        <v>0</v>
      </c>
      <c r="L5037" t="n">
        <v>16915</v>
      </c>
      <c r="M5037" t="n">
        <v>19900</v>
      </c>
      <c r="N5037" t="n">
        <v>91</v>
      </c>
      <c r="O5037" t="n">
        <v>0.91</v>
      </c>
      <c r="P5037" t="n">
        <v>1</v>
      </c>
      <c r="Q5037" t="n">
        <v>0.71</v>
      </c>
      <c r="R5037" t="n">
        <v>3</v>
      </c>
      <c r="S5037" t="n">
        <v>30966.39</v>
      </c>
      <c r="T5037" t="n">
        <v>46</v>
      </c>
      <c r="U5037" t="n">
        <v>51</v>
      </c>
      <c r="V5037" t="n">
        <v>30</v>
      </c>
      <c r="W5037" t="n">
        <v>47</v>
      </c>
      <c r="X5037" t="n">
        <v>30.84634663582032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12883</v>
      </c>
      <c r="AG5037" t="n">
        <v>2122</v>
      </c>
      <c r="AH5037" t="inlineStr">
        <is>
          <t>PT. SINAR PADANG LESTARI - PPN (PDG)</t>
        </is>
      </c>
      <c r="AI5037" t="n">
        <v>1721</v>
      </c>
      <c r="AJ5037" t="inlineStr">
        <is>
          <t>SCORA</t>
        </is>
      </c>
      <c r="AK5037" t="n">
        <v>21</v>
      </c>
      <c r="AL5037" t="inlineStr">
        <is>
          <t>Miss Glam Damar</t>
        </is>
      </c>
      <c r="AM5037" t="n">
        <v>1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SCORA</t>
        </is>
      </c>
      <c r="B5038" s="2">
        <f>"10700340534"</f>
        <v/>
      </c>
      <c r="C5038" t="inlineStr">
        <is>
          <t>SCORA Glossy Melting Lipbalm 02 Strawberry Mochi 2gr</t>
        </is>
      </c>
      <c r="D5038" t="inlineStr">
        <is>
          <t>Miss Glam Damar</t>
        </is>
      </c>
      <c r="E5038" t="n">
        <v>0</v>
      </c>
      <c r="F5038" t="n">
        <v>2.3023</v>
      </c>
      <c r="G5038" t="n">
        <v>8.19</v>
      </c>
      <c r="H5038" t="n">
        <v>3</v>
      </c>
      <c r="I5038" t="n">
        <v>11</v>
      </c>
      <c r="J5038" t="n">
        <v>1</v>
      </c>
      <c r="K5038" t="n">
        <v>0</v>
      </c>
      <c r="L5038" t="n">
        <v>28815</v>
      </c>
      <c r="M5038" t="n">
        <v>33900</v>
      </c>
      <c r="N5038" t="n">
        <v>91</v>
      </c>
      <c r="O5038" t="n">
        <v>0.91</v>
      </c>
      <c r="P5038" t="n">
        <v>1</v>
      </c>
      <c r="Q5038" t="n">
        <v>1.67</v>
      </c>
      <c r="R5038" t="n">
        <v>6</v>
      </c>
      <c r="S5038" t="n">
        <v>78047.96999999999</v>
      </c>
      <c r="T5038" t="n">
        <v>84</v>
      </c>
      <c r="U5038" t="n">
        <v>91</v>
      </c>
      <c r="V5038" t="n">
        <v>30</v>
      </c>
      <c r="W5038" t="n">
        <v>70</v>
      </c>
      <c r="X5038" t="n">
        <v>0</v>
      </c>
      <c r="Y5038" t="n">
        <v>1</v>
      </c>
      <c r="Z5038" t="n">
        <v>70</v>
      </c>
      <c r="AA5038" t="n">
        <v>26</v>
      </c>
      <c r="AB5038" t="n">
        <v>44</v>
      </c>
      <c r="AC5038" t="n">
        <v>44</v>
      </c>
      <c r="AD5038" t="n">
        <v>749190</v>
      </c>
      <c r="AE5038" t="n">
        <v>1267860</v>
      </c>
      <c r="AF5038" t="n">
        <v>12883</v>
      </c>
      <c r="AG5038" t="n">
        <v>2122</v>
      </c>
      <c r="AH5038" t="inlineStr">
        <is>
          <t>PT. SINAR PADANG LESTARI - PPN (PDG)</t>
        </is>
      </c>
      <c r="AI5038" t="n">
        <v>1721</v>
      </c>
      <c r="AJ5038" t="inlineStr">
        <is>
          <t>SCORA</t>
        </is>
      </c>
      <c r="AK5038" t="n">
        <v>21</v>
      </c>
      <c r="AL5038" t="inlineStr">
        <is>
          <t>Miss Glam Damar</t>
        </is>
      </c>
      <c r="AM5038" t="n">
        <v>1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SCORA</t>
        </is>
      </c>
      <c r="B5039" s="2">
        <f>"10300722642"</f>
        <v/>
      </c>
      <c r="C5039" t="inlineStr">
        <is>
          <t>SCORA Hydramoist Gel 5% Niacinamide 45ml</t>
        </is>
      </c>
      <c r="D5039" t="inlineStr">
        <is>
          <t>Miss Glam Damar</t>
        </is>
      </c>
      <c r="E5039" t="n">
        <v>19</v>
      </c>
      <c r="F5039" t="n">
        <v>4.4408</v>
      </c>
      <c r="G5039" t="n">
        <v>12.74</v>
      </c>
      <c r="H5039" t="n">
        <v>3</v>
      </c>
      <c r="I5039" t="n">
        <v>11</v>
      </c>
      <c r="J5039" t="n">
        <v>1</v>
      </c>
      <c r="K5039" t="n">
        <v>0</v>
      </c>
      <c r="L5039" t="n">
        <v>33065</v>
      </c>
      <c r="M5039" t="n">
        <v>38900</v>
      </c>
      <c r="N5039" t="n">
        <v>91</v>
      </c>
      <c r="O5039" t="n">
        <v>0.91</v>
      </c>
      <c r="P5039" t="n">
        <v>1</v>
      </c>
      <c r="Q5039" t="n">
        <v>1.93</v>
      </c>
      <c r="R5039" t="n">
        <v>7</v>
      </c>
      <c r="S5039" t="n">
        <v>172747.12</v>
      </c>
      <c r="T5039" t="n">
        <v>127</v>
      </c>
      <c r="U5039" t="n">
        <v>141</v>
      </c>
      <c r="V5039" t="n">
        <v>30</v>
      </c>
      <c r="W5039" t="n">
        <v>134</v>
      </c>
      <c r="X5039" t="n">
        <v>4.278508376869032</v>
      </c>
      <c r="Y5039" t="n">
        <v>1</v>
      </c>
      <c r="Z5039" t="n">
        <v>115</v>
      </c>
      <c r="AA5039" t="n">
        <v>30</v>
      </c>
      <c r="AB5039" t="n">
        <v>85</v>
      </c>
      <c r="AC5039" t="n">
        <v>85</v>
      </c>
      <c r="AD5039" t="n">
        <v>991950</v>
      </c>
      <c r="AE5039" t="n">
        <v>2810525</v>
      </c>
      <c r="AF5039" t="n">
        <v>12883</v>
      </c>
      <c r="AG5039" t="n">
        <v>2122</v>
      </c>
      <c r="AH5039" t="inlineStr">
        <is>
          <t>PT. SINAR PADANG LESTARI - PPN (PDG)</t>
        </is>
      </c>
      <c r="AI5039" t="n">
        <v>1721</v>
      </c>
      <c r="AJ5039" t="inlineStr">
        <is>
          <t>SCORA</t>
        </is>
      </c>
      <c r="AK5039" t="n">
        <v>21</v>
      </c>
      <c r="AL5039" t="inlineStr">
        <is>
          <t>Miss Glam Damar</t>
        </is>
      </c>
      <c r="AM5039" t="n">
        <v>1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SCORA</t>
        </is>
      </c>
      <c r="B5040" s="2">
        <f>"10700340449"</f>
        <v/>
      </c>
      <c r="C5040" t="inlineStr">
        <is>
          <t>SCORA Melting Glossy Lipbalm 01 Maple Drizzle 2gr</t>
        </is>
      </c>
      <c r="D5040" t="inlineStr">
        <is>
          <t>Miss Glam Damar</t>
        </is>
      </c>
      <c r="E5040" t="n">
        <v>16</v>
      </c>
      <c r="F5040" t="n">
        <v>0.8644999999999999</v>
      </c>
      <c r="G5040" t="n">
        <v>3.64</v>
      </c>
      <c r="H5040" t="n">
        <v>3</v>
      </c>
      <c r="I5040" t="n">
        <v>11</v>
      </c>
      <c r="J5040" t="n">
        <v>1</v>
      </c>
      <c r="K5040" t="n">
        <v>0</v>
      </c>
      <c r="L5040" t="n">
        <v>28815</v>
      </c>
      <c r="M5040" t="n">
        <v>33900</v>
      </c>
      <c r="N5040" t="n">
        <v>91</v>
      </c>
      <c r="O5040" t="n">
        <v>0.91</v>
      </c>
      <c r="P5040" t="n">
        <v>1</v>
      </c>
      <c r="Q5040" t="n">
        <v>0.47</v>
      </c>
      <c r="R5040" t="n">
        <v>4</v>
      </c>
      <c r="S5040" t="n">
        <v>29306.55</v>
      </c>
      <c r="T5040" t="n">
        <v>38</v>
      </c>
      <c r="U5040" t="n">
        <v>41</v>
      </c>
      <c r="V5040" t="n">
        <v>30</v>
      </c>
      <c r="W5040" t="n">
        <v>26</v>
      </c>
      <c r="X5040" t="n">
        <v>18.50780798149219</v>
      </c>
      <c r="Y5040" t="n">
        <v>1</v>
      </c>
      <c r="Z5040" t="n">
        <v>10</v>
      </c>
      <c r="AA5040" t="n">
        <v>0</v>
      </c>
      <c r="AB5040" t="n">
        <v>10</v>
      </c>
      <c r="AC5040" t="n">
        <v>10</v>
      </c>
      <c r="AD5040" t="n">
        <v>0</v>
      </c>
      <c r="AE5040" t="n">
        <v>288150</v>
      </c>
      <c r="AF5040" t="n">
        <v>12883</v>
      </c>
      <c r="AG5040" t="n">
        <v>2122</v>
      </c>
      <c r="AH5040" t="inlineStr">
        <is>
          <t>PT. SINAR PADANG LESTARI - PPN (PDG)</t>
        </is>
      </c>
      <c r="AI5040" t="n">
        <v>1721</v>
      </c>
      <c r="AJ5040" t="inlineStr">
        <is>
          <t>SCORA</t>
        </is>
      </c>
      <c r="AK5040" t="n">
        <v>21</v>
      </c>
      <c r="AL5040" t="inlineStr">
        <is>
          <t>Miss Glam Damar</t>
        </is>
      </c>
      <c r="AM5040" t="n">
        <v>1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SCORA</t>
        </is>
      </c>
      <c r="B5041" s="2">
        <f>"10700340616"</f>
        <v/>
      </c>
      <c r="C5041" t="inlineStr">
        <is>
          <t>SCORA Melting Glossy Lipbalm 03 Roseberry Cream 2gr</t>
        </is>
      </c>
      <c r="D5041" t="inlineStr">
        <is>
          <t>Miss Glam Damar</t>
        </is>
      </c>
      <c r="E5041" t="n">
        <v>24</v>
      </c>
      <c r="F5041" t="n">
        <v>1.5743</v>
      </c>
      <c r="G5041" t="n">
        <v>5.46</v>
      </c>
      <c r="H5041" t="n">
        <v>3</v>
      </c>
      <c r="I5041" t="n">
        <v>11</v>
      </c>
      <c r="J5041" t="n">
        <v>1</v>
      </c>
      <c r="K5041" t="n">
        <v>0</v>
      </c>
      <c r="L5041" t="n">
        <v>28815</v>
      </c>
      <c r="M5041" t="n">
        <v>33900</v>
      </c>
      <c r="N5041" t="n">
        <v>91</v>
      </c>
      <c r="O5041" t="n">
        <v>0.91</v>
      </c>
      <c r="P5041" t="n">
        <v>1</v>
      </c>
      <c r="Q5041" t="n">
        <v>1.07</v>
      </c>
      <c r="R5041" t="n">
        <v>4</v>
      </c>
      <c r="S5041" t="n">
        <v>53368.77</v>
      </c>
      <c r="T5041" t="n">
        <v>56</v>
      </c>
      <c r="U5041" t="n">
        <v>61</v>
      </c>
      <c r="V5041" t="n">
        <v>30</v>
      </c>
      <c r="W5041" t="n">
        <v>48</v>
      </c>
      <c r="X5041" t="n">
        <v>15.24487073620022</v>
      </c>
      <c r="Y5041" t="n">
        <v>1</v>
      </c>
      <c r="Z5041" t="n">
        <v>24</v>
      </c>
      <c r="AA5041" t="n">
        <v>0</v>
      </c>
      <c r="AB5041" t="n">
        <v>24</v>
      </c>
      <c r="AC5041" t="n">
        <v>24</v>
      </c>
      <c r="AD5041" t="n">
        <v>0</v>
      </c>
      <c r="AE5041" t="n">
        <v>691560</v>
      </c>
      <c r="AF5041" t="n">
        <v>12883</v>
      </c>
      <c r="AG5041" t="n">
        <v>2122</v>
      </c>
      <c r="AH5041" t="inlineStr">
        <is>
          <t>PT. SINAR PADANG LESTARI - PPN (PDG)</t>
        </is>
      </c>
      <c r="AI5041" t="n">
        <v>1721</v>
      </c>
      <c r="AJ5041" t="inlineStr">
        <is>
          <t>SCORA</t>
        </is>
      </c>
      <c r="AK5041" t="n">
        <v>21</v>
      </c>
      <c r="AL5041" t="inlineStr">
        <is>
          <t>Miss Glam Damar</t>
        </is>
      </c>
      <c r="AM5041" t="n">
        <v>1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SCORA</t>
        </is>
      </c>
      <c r="B5042" s="2">
        <f>"10700340755"</f>
        <v/>
      </c>
      <c r="C5042" t="inlineStr">
        <is>
          <t>SCORA Melting Glossy Lipbalm 04 Choco Crookie 2gr</t>
        </is>
      </c>
      <c r="D5042" t="inlineStr">
        <is>
          <t>Miss Glam Damar</t>
        </is>
      </c>
      <c r="E5042" t="n">
        <v>18</v>
      </c>
      <c r="F5042" t="n">
        <v>0.7280000000000001</v>
      </c>
      <c r="G5042" t="n">
        <v>3.64</v>
      </c>
      <c r="H5042" t="n">
        <v>3</v>
      </c>
      <c r="I5042" t="n">
        <v>11</v>
      </c>
      <c r="J5042" t="n">
        <v>1</v>
      </c>
      <c r="K5042" t="n">
        <v>0</v>
      </c>
      <c r="L5042" t="n">
        <v>28815</v>
      </c>
      <c r="M5042" t="n">
        <v>33900</v>
      </c>
      <c r="N5042" t="n">
        <v>91</v>
      </c>
      <c r="O5042" t="n">
        <v>0.91</v>
      </c>
      <c r="P5042" t="n">
        <v>1</v>
      </c>
      <c r="Q5042" t="n">
        <v>0.5600000000000001</v>
      </c>
      <c r="R5042" t="n">
        <v>3</v>
      </c>
      <c r="S5042" t="n">
        <v>24679.2</v>
      </c>
      <c r="T5042" t="n">
        <v>38</v>
      </c>
      <c r="U5042" t="n">
        <v>41</v>
      </c>
      <c r="V5042" t="n">
        <v>30</v>
      </c>
      <c r="W5042" t="n">
        <v>22</v>
      </c>
      <c r="X5042" t="n">
        <v>24.72527472527472</v>
      </c>
      <c r="Y5042" t="n">
        <v>1</v>
      </c>
      <c r="Z5042" t="n">
        <v>4</v>
      </c>
      <c r="AA5042" t="n">
        <v>0</v>
      </c>
      <c r="AB5042" t="n">
        <v>4</v>
      </c>
      <c r="AC5042" t="n">
        <v>4</v>
      </c>
      <c r="AD5042" t="n">
        <v>0</v>
      </c>
      <c r="AE5042" t="n">
        <v>115260</v>
      </c>
      <c r="AF5042" t="n">
        <v>12883</v>
      </c>
      <c r="AG5042" t="n">
        <v>2122</v>
      </c>
      <c r="AH5042" t="inlineStr">
        <is>
          <t>PT. SINAR PADANG LESTARI - PPN (PDG)</t>
        </is>
      </c>
      <c r="AI5042" t="n">
        <v>1721</v>
      </c>
      <c r="AJ5042" t="inlineStr">
        <is>
          <t>SCORA</t>
        </is>
      </c>
      <c r="AK5042" t="n">
        <v>21</v>
      </c>
      <c r="AL5042" t="inlineStr">
        <is>
          <t>Miss Glam Damar</t>
        </is>
      </c>
      <c r="AM5042" t="n">
        <v>1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SCORA</t>
        </is>
      </c>
      <c r="B5043" s="2">
        <f>"10700340835"</f>
        <v/>
      </c>
      <c r="C5043" t="inlineStr">
        <is>
          <t>SCORA Melting Glossy Lipbalm 05 Cherry Pie 2gr</t>
        </is>
      </c>
      <c r="D5043" t="inlineStr">
        <is>
          <t>Miss Glam Damar</t>
        </is>
      </c>
      <c r="E5043" t="n">
        <v>24</v>
      </c>
      <c r="F5043" t="n">
        <v>0.8008000000000001</v>
      </c>
      <c r="G5043" t="n">
        <v>4.55</v>
      </c>
      <c r="H5043" t="n">
        <v>3</v>
      </c>
      <c r="I5043" t="n">
        <v>11</v>
      </c>
      <c r="J5043" t="n">
        <v>1</v>
      </c>
      <c r="K5043" t="n">
        <v>0</v>
      </c>
      <c r="L5043" t="n">
        <v>28815</v>
      </c>
      <c r="M5043" t="n">
        <v>33900</v>
      </c>
      <c r="N5043" t="n">
        <v>91</v>
      </c>
      <c r="O5043" t="n">
        <v>0.91</v>
      </c>
      <c r="P5043" t="n">
        <v>1</v>
      </c>
      <c r="Q5043" t="n">
        <v>0.32</v>
      </c>
      <c r="R5043" t="n">
        <v>2</v>
      </c>
      <c r="S5043" t="n">
        <v>27147.12</v>
      </c>
      <c r="T5043" t="n">
        <v>48</v>
      </c>
      <c r="U5043" t="n">
        <v>51</v>
      </c>
      <c r="V5043" t="n">
        <v>30</v>
      </c>
      <c r="W5043" t="n">
        <v>25</v>
      </c>
      <c r="X5043" t="n">
        <v>29.97002997002997</v>
      </c>
      <c r="Y5043" t="n">
        <v>1</v>
      </c>
      <c r="Z5043" t="n">
        <v>1</v>
      </c>
      <c r="AA5043" t="n">
        <v>0</v>
      </c>
      <c r="AB5043" t="n">
        <v>1</v>
      </c>
      <c r="AC5043" t="n">
        <v>1</v>
      </c>
      <c r="AD5043" t="n">
        <v>0</v>
      </c>
      <c r="AE5043" t="n">
        <v>28815</v>
      </c>
      <c r="AF5043" t="n">
        <v>12883</v>
      </c>
      <c r="AG5043" t="n">
        <v>2122</v>
      </c>
      <c r="AH5043" t="inlineStr">
        <is>
          <t>PT. SINAR PADANG LESTARI - PPN (PDG)</t>
        </is>
      </c>
      <c r="AI5043" t="n">
        <v>1721</v>
      </c>
      <c r="AJ5043" t="inlineStr">
        <is>
          <t>SCORA</t>
        </is>
      </c>
      <c r="AK5043" t="n">
        <v>21</v>
      </c>
      <c r="AL5043" t="inlineStr">
        <is>
          <t>Miss Glam Damar</t>
        </is>
      </c>
      <c r="AM5043" t="n">
        <v>1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SCORA</t>
        </is>
      </c>
      <c r="B5044" s="2">
        <f>"10100199706"</f>
        <v/>
      </c>
      <c r="C5044" t="inlineStr">
        <is>
          <t>SCORA Salicyclic Acid Gentle Low Ph Cleanser 100ml</t>
        </is>
      </c>
      <c r="D5044" t="inlineStr">
        <is>
          <t>Miss Glam Damar</t>
        </is>
      </c>
      <c r="E5044" t="n">
        <v>90</v>
      </c>
      <c r="F5044" t="n">
        <v>11.5843</v>
      </c>
      <c r="G5044" t="n">
        <v>25.48</v>
      </c>
      <c r="H5044" t="n">
        <v>3</v>
      </c>
      <c r="I5044" t="n">
        <v>11</v>
      </c>
      <c r="J5044" t="n">
        <v>3</v>
      </c>
      <c r="K5044" t="n">
        <v>0</v>
      </c>
      <c r="L5044" t="n">
        <v>33050</v>
      </c>
      <c r="M5044" t="n">
        <v>37000</v>
      </c>
      <c r="N5044" t="n">
        <v>91</v>
      </c>
      <c r="O5044" t="n">
        <v>0.91</v>
      </c>
      <c r="P5044" t="n">
        <v>1</v>
      </c>
      <c r="Q5044" t="n">
        <v>6.15</v>
      </c>
      <c r="R5044" t="n">
        <v>17</v>
      </c>
      <c r="S5044" t="n">
        <v>428619.1</v>
      </c>
      <c r="T5044" t="n">
        <v>246</v>
      </c>
      <c r="U5044" t="n">
        <v>281</v>
      </c>
      <c r="V5044" t="n">
        <v>30</v>
      </c>
      <c r="W5044" t="n">
        <v>348</v>
      </c>
      <c r="X5044" t="n">
        <v>7.769135813126386</v>
      </c>
      <c r="Y5044" t="n">
        <v>1</v>
      </c>
      <c r="Z5044" t="n">
        <v>258</v>
      </c>
      <c r="AA5044" t="n">
        <v>38</v>
      </c>
      <c r="AB5044" t="n">
        <v>220</v>
      </c>
      <c r="AC5044" t="n">
        <v>220</v>
      </c>
      <c r="AD5044" t="n">
        <v>1255900</v>
      </c>
      <c r="AE5044" t="n">
        <v>7271000</v>
      </c>
      <c r="AF5044" t="n">
        <v>12883</v>
      </c>
      <c r="AG5044" t="n">
        <v>2122</v>
      </c>
      <c r="AH5044" t="inlineStr">
        <is>
          <t>PT. SINAR PADANG LESTARI - PPN (PDG)</t>
        </is>
      </c>
      <c r="AI5044" t="n">
        <v>1721</v>
      </c>
      <c r="AJ5044" t="inlineStr">
        <is>
          <t>SCORA</t>
        </is>
      </c>
      <c r="AK5044" t="n">
        <v>21</v>
      </c>
      <c r="AL5044" t="inlineStr">
        <is>
          <t>Miss Glam Damar</t>
        </is>
      </c>
      <c r="AM5044" t="n">
        <v>1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SCORA</t>
        </is>
      </c>
      <c r="B5045" s="2">
        <f>"10300722958"</f>
        <v/>
      </c>
      <c r="C5045" t="inlineStr">
        <is>
          <t>SCORA Sheer Glow Tone Up Cream 30ml</t>
        </is>
      </c>
      <c r="D5045" t="inlineStr">
        <is>
          <t>Miss Glam Damar</t>
        </is>
      </c>
      <c r="E5045" t="n">
        <v>106</v>
      </c>
      <c r="F5045" t="n">
        <v>12.2759</v>
      </c>
      <c r="G5045" t="n">
        <v>28.21</v>
      </c>
      <c r="H5045" t="n">
        <v>3</v>
      </c>
      <c r="I5045" t="n">
        <v>11</v>
      </c>
      <c r="J5045" t="n">
        <v>1</v>
      </c>
      <c r="K5045" t="n">
        <v>0</v>
      </c>
      <c r="L5045" t="n">
        <v>27965</v>
      </c>
      <c r="M5045" t="n">
        <v>32900</v>
      </c>
      <c r="N5045" t="n">
        <v>91</v>
      </c>
      <c r="O5045" t="n">
        <v>0.91</v>
      </c>
      <c r="P5045" t="n">
        <v>1</v>
      </c>
      <c r="Q5045" t="n">
        <v>6.78</v>
      </c>
      <c r="R5045" t="n">
        <v>18</v>
      </c>
      <c r="S5045" t="n">
        <v>403877.11</v>
      </c>
      <c r="T5045" t="n">
        <v>274</v>
      </c>
      <c r="U5045" t="n">
        <v>311</v>
      </c>
      <c r="V5045" t="n">
        <v>30</v>
      </c>
      <c r="W5045" t="n">
        <v>369</v>
      </c>
      <c r="X5045" t="n">
        <v>8.634804780097589</v>
      </c>
      <c r="Y5045" t="n">
        <v>1</v>
      </c>
      <c r="Z5045" t="n">
        <v>263</v>
      </c>
      <c r="AA5045" t="n">
        <v>30</v>
      </c>
      <c r="AB5045" t="n">
        <v>233</v>
      </c>
      <c r="AC5045" t="n">
        <v>233</v>
      </c>
      <c r="AD5045" t="n">
        <v>838950</v>
      </c>
      <c r="AE5045" t="n">
        <v>6515845</v>
      </c>
      <c r="AF5045" t="n">
        <v>12883</v>
      </c>
      <c r="AG5045" t="n">
        <v>2122</v>
      </c>
      <c r="AH5045" t="inlineStr">
        <is>
          <t>PT. SINAR PADANG LESTARI - PPN (PDG)</t>
        </is>
      </c>
      <c r="AI5045" t="n">
        <v>1721</v>
      </c>
      <c r="AJ5045" t="inlineStr">
        <is>
          <t>SCORA</t>
        </is>
      </c>
      <c r="AK5045" t="n">
        <v>21</v>
      </c>
      <c r="AL5045" t="inlineStr">
        <is>
          <t>Miss Glam Damar</t>
        </is>
      </c>
      <c r="AM5045" t="n">
        <v>1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SEA MAKEUP</t>
        </is>
      </c>
      <c r="B5046" s="2">
        <f>"20100173959"</f>
        <v/>
      </c>
      <c r="C5046" t="inlineStr">
        <is>
          <t>SEA MAKEUP Acne 24h Longwear Foundation Peanut Butter 30ml</t>
        </is>
      </c>
      <c r="D5046" t="inlineStr">
        <is>
          <t>Miss Glam Damar</t>
        </is>
      </c>
      <c r="E5046" t="n">
        <v>2</v>
      </c>
      <c r="F5046" t="n">
        <v>0.02</v>
      </c>
      <c r="G5046" t="n">
        <v>1</v>
      </c>
      <c r="H5046" t="n">
        <v>3</v>
      </c>
      <c r="I5046" t="n">
        <v>11</v>
      </c>
      <c r="J5046" t="n">
        <v>1</v>
      </c>
      <c r="K5046" t="n">
        <v>0</v>
      </c>
      <c r="L5046" t="n">
        <v>66300</v>
      </c>
      <c r="M5046" t="n">
        <v>78000</v>
      </c>
      <c r="N5046" t="n">
        <v>91</v>
      </c>
      <c r="O5046" t="n">
        <v>0.91</v>
      </c>
      <c r="P5046" t="n">
        <v>0</v>
      </c>
      <c r="Q5046" t="n">
        <v>0.02</v>
      </c>
      <c r="R5046" t="n">
        <v>1</v>
      </c>
      <c r="S5046" t="n">
        <v>1560</v>
      </c>
      <c r="T5046" t="n">
        <v>11</v>
      </c>
      <c r="U5046" t="n">
        <v>12</v>
      </c>
      <c r="V5046" t="n">
        <v>30</v>
      </c>
      <c r="W5046" t="n">
        <v>1</v>
      </c>
      <c r="X5046" t="n">
        <v>100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10181</v>
      </c>
      <c r="AG5046" t="n">
        <v>78</v>
      </c>
      <c r="AH5046" t="inlineStr">
        <is>
          <t>PT. GLORIENTA P.H - PPN (PDG)</t>
        </is>
      </c>
      <c r="AI5046" t="n">
        <v>1164</v>
      </c>
      <c r="AJ5046" t="inlineStr">
        <is>
          <t>SEA MAKEUP</t>
        </is>
      </c>
      <c r="AK5046" t="n">
        <v>21</v>
      </c>
      <c r="AL5046" t="inlineStr">
        <is>
          <t>Miss Glam Damar</t>
        </is>
      </c>
      <c r="AM5046" t="n">
        <v>1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SEA MAKEUP</t>
        </is>
      </c>
      <c r="B5047" s="2">
        <f>"769503433080"</f>
        <v/>
      </c>
      <c r="C5047" t="inlineStr">
        <is>
          <t>SEA MAKEUP Acne 24h Longwear Foundation Popcorn 30ml</t>
        </is>
      </c>
      <c r="D5047" t="inlineStr">
        <is>
          <t>Miss Glam Damar</t>
        </is>
      </c>
      <c r="E5047" t="n">
        <v>4</v>
      </c>
      <c r="F5047" t="n">
        <v>0.04550000000000001</v>
      </c>
      <c r="G5047" t="n">
        <v>0.91</v>
      </c>
      <c r="H5047" t="n">
        <v>3</v>
      </c>
      <c r="I5047" t="n">
        <v>11</v>
      </c>
      <c r="J5047" t="n">
        <v>3</v>
      </c>
      <c r="K5047" t="n">
        <v>0</v>
      </c>
      <c r="L5047" t="n">
        <v>66300</v>
      </c>
      <c r="M5047" t="n">
        <v>83000</v>
      </c>
      <c r="N5047" t="n">
        <v>91</v>
      </c>
      <c r="O5047" t="n">
        <v>0.91</v>
      </c>
      <c r="P5047" t="n">
        <v>1</v>
      </c>
      <c r="Q5047" t="n">
        <v>0.03</v>
      </c>
      <c r="R5047" t="n">
        <v>1</v>
      </c>
      <c r="S5047" t="n">
        <v>3776.5</v>
      </c>
      <c r="T5047" t="n">
        <v>10</v>
      </c>
      <c r="U5047" t="n">
        <v>11</v>
      </c>
      <c r="V5047" t="n">
        <v>30</v>
      </c>
      <c r="W5047" t="n">
        <v>2</v>
      </c>
      <c r="X5047" t="n">
        <v>87.9120879120879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10181</v>
      </c>
      <c r="AG5047" t="n">
        <v>78</v>
      </c>
      <c r="AH5047" t="inlineStr">
        <is>
          <t>PT. GLORIENTA P.H - PPN (PDG)</t>
        </is>
      </c>
      <c r="AI5047" t="n">
        <v>1164</v>
      </c>
      <c r="AJ5047" t="inlineStr">
        <is>
          <t>SEA MAKEUP</t>
        </is>
      </c>
      <c r="AK5047" t="n">
        <v>21</v>
      </c>
      <c r="AL5047" t="inlineStr">
        <is>
          <t>Miss Glam Damar</t>
        </is>
      </c>
      <c r="AM5047" t="n">
        <v>1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SEA MAKEUP</t>
        </is>
      </c>
      <c r="B5048" s="2">
        <f>"20100638452"</f>
        <v/>
      </c>
      <c r="C5048" t="inlineStr">
        <is>
          <t>SEA MAKEUP Acne Blur And Set Loose Powder  Snowball 12gr</t>
        </is>
      </c>
      <c r="D5048" t="inlineStr">
        <is>
          <t>Miss Glam Damar</t>
        </is>
      </c>
      <c r="E5048" t="n">
        <v>19</v>
      </c>
      <c r="F5048" t="n">
        <v>0.5551</v>
      </c>
      <c r="G5048" t="n">
        <v>1.82</v>
      </c>
      <c r="H5048" t="n">
        <v>3</v>
      </c>
      <c r="I5048" t="n">
        <v>11</v>
      </c>
      <c r="J5048" t="n">
        <v>1</v>
      </c>
      <c r="K5048" t="n">
        <v>0</v>
      </c>
      <c r="L5048" t="n">
        <v>66300</v>
      </c>
      <c r="M5048" t="n">
        <v>78000</v>
      </c>
      <c r="N5048" t="n">
        <v>91</v>
      </c>
      <c r="O5048" t="n">
        <v>0.91</v>
      </c>
      <c r="P5048" t="n">
        <v>1</v>
      </c>
      <c r="Q5048" t="n">
        <v>0.49</v>
      </c>
      <c r="R5048" t="n">
        <v>2</v>
      </c>
      <c r="S5048" t="n">
        <v>43297.8</v>
      </c>
      <c r="T5048" t="n">
        <v>19</v>
      </c>
      <c r="U5048" t="n">
        <v>21</v>
      </c>
      <c r="V5048" t="n">
        <v>30</v>
      </c>
      <c r="W5048" t="n">
        <v>17</v>
      </c>
      <c r="X5048" t="n">
        <v>34.22806701495226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10181</v>
      </c>
      <c r="AG5048" t="n">
        <v>78</v>
      </c>
      <c r="AH5048" t="inlineStr">
        <is>
          <t>PT. GLORIENTA P.H - PPN (PDG)</t>
        </is>
      </c>
      <c r="AI5048" t="n">
        <v>1164</v>
      </c>
      <c r="AJ5048" t="inlineStr">
        <is>
          <t>SEA MAKEUP</t>
        </is>
      </c>
      <c r="AK5048" t="n">
        <v>21</v>
      </c>
      <c r="AL5048" t="inlineStr">
        <is>
          <t>Miss Glam Damar</t>
        </is>
      </c>
      <c r="AM5048" t="n">
        <v>1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SEA MAKEUP</t>
        </is>
      </c>
      <c r="B5049" s="2">
        <f>"20100638532"</f>
        <v/>
      </c>
      <c r="C5049" t="inlineStr">
        <is>
          <t>SEA MAKEUP Acne Blur And Set Loose Powder Gingersnap 12gr</t>
        </is>
      </c>
      <c r="D5049" t="inlineStr">
        <is>
          <t>Miss Glam Damar</t>
        </is>
      </c>
      <c r="E5049" t="n">
        <v>19</v>
      </c>
      <c r="F5049" t="n">
        <v>0.7735</v>
      </c>
      <c r="G5049" t="n">
        <v>3.64</v>
      </c>
      <c r="H5049" t="n">
        <v>3</v>
      </c>
      <c r="I5049" t="n">
        <v>11</v>
      </c>
      <c r="J5049" t="n">
        <v>1</v>
      </c>
      <c r="K5049" t="n">
        <v>0</v>
      </c>
      <c r="L5049" t="n">
        <v>66300</v>
      </c>
      <c r="M5049" t="n">
        <v>78000</v>
      </c>
      <c r="N5049" t="n">
        <v>91</v>
      </c>
      <c r="O5049" t="n">
        <v>0.91</v>
      </c>
      <c r="P5049" t="n">
        <v>1</v>
      </c>
      <c r="Q5049" t="n">
        <v>0.58</v>
      </c>
      <c r="R5049" t="n">
        <v>4</v>
      </c>
      <c r="S5049" t="n">
        <v>60333</v>
      </c>
      <c r="T5049" t="n">
        <v>38</v>
      </c>
      <c r="U5049" t="n">
        <v>41</v>
      </c>
      <c r="V5049" t="n">
        <v>30</v>
      </c>
      <c r="W5049" t="n">
        <v>24</v>
      </c>
      <c r="X5049" t="n">
        <v>24.56367162249515</v>
      </c>
      <c r="Y5049" t="n">
        <v>1</v>
      </c>
      <c r="Z5049" t="n">
        <v>5</v>
      </c>
      <c r="AA5049" t="n">
        <v>0</v>
      </c>
      <c r="AB5049" t="n">
        <v>5</v>
      </c>
      <c r="AC5049" t="n">
        <v>5</v>
      </c>
      <c r="AD5049" t="n">
        <v>0</v>
      </c>
      <c r="AE5049" t="n">
        <v>331500</v>
      </c>
      <c r="AF5049" t="n">
        <v>10181</v>
      </c>
      <c r="AG5049" t="n">
        <v>78</v>
      </c>
      <c r="AH5049" t="inlineStr">
        <is>
          <t>PT. GLORIENTA P.H - PPN (PDG)</t>
        </is>
      </c>
      <c r="AI5049" t="n">
        <v>1164</v>
      </c>
      <c r="AJ5049" t="inlineStr">
        <is>
          <t>SEA MAKEUP</t>
        </is>
      </c>
      <c r="AK5049" t="n">
        <v>21</v>
      </c>
      <c r="AL5049" t="inlineStr">
        <is>
          <t>Miss Glam Damar</t>
        </is>
      </c>
      <c r="AM5049" t="n">
        <v>1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SEA MAKEUP</t>
        </is>
      </c>
      <c r="B5050" s="2">
        <f>"745240572879"</f>
        <v/>
      </c>
      <c r="C5050" t="inlineStr">
        <is>
          <t>SEA MAKEUP Acne Butter Cleansing Balm 100gr</t>
        </is>
      </c>
      <c r="D5050" t="inlineStr">
        <is>
          <t>Miss Glam Damar</t>
        </is>
      </c>
      <c r="E5050" t="n">
        <v>1</v>
      </c>
      <c r="F5050" t="n">
        <v>0.06370000000000001</v>
      </c>
      <c r="G5050" t="n">
        <v>1.82</v>
      </c>
      <c r="H5050" t="n">
        <v>3</v>
      </c>
      <c r="I5050" t="n">
        <v>11</v>
      </c>
      <c r="J5050" t="n">
        <v>3</v>
      </c>
      <c r="K5050" t="n">
        <v>0</v>
      </c>
      <c r="L5050" t="n">
        <v>77165</v>
      </c>
      <c r="M5050" t="n">
        <v>98000</v>
      </c>
      <c r="N5050" t="n">
        <v>91</v>
      </c>
      <c r="O5050" t="n">
        <v>0.91</v>
      </c>
      <c r="P5050" t="n">
        <v>1</v>
      </c>
      <c r="Q5050" t="n">
        <v>0.07000000000000001</v>
      </c>
      <c r="R5050" t="n">
        <v>1</v>
      </c>
      <c r="S5050" t="n">
        <v>6242.6</v>
      </c>
      <c r="T5050" t="n">
        <v>20</v>
      </c>
      <c r="U5050" t="n">
        <v>21</v>
      </c>
      <c r="V5050" t="n">
        <v>30</v>
      </c>
      <c r="W5050" t="n">
        <v>2</v>
      </c>
      <c r="X5050" t="n">
        <v>15.69858712715855</v>
      </c>
      <c r="Y5050" t="n">
        <v>1</v>
      </c>
      <c r="Z5050" t="n">
        <v>1</v>
      </c>
      <c r="AA5050" t="n">
        <v>0</v>
      </c>
      <c r="AB5050" t="n">
        <v>1</v>
      </c>
      <c r="AC5050" t="n">
        <v>3</v>
      </c>
      <c r="AD5050" t="n">
        <v>0</v>
      </c>
      <c r="AE5050" t="n">
        <v>231495</v>
      </c>
      <c r="AF5050" t="n">
        <v>10181</v>
      </c>
      <c r="AG5050" t="n">
        <v>78</v>
      </c>
      <c r="AH5050" t="inlineStr">
        <is>
          <t>PT. GLORIENTA P.H - PPN (PDG)</t>
        </is>
      </c>
      <c r="AI5050" t="n">
        <v>1164</v>
      </c>
      <c r="AJ5050" t="inlineStr">
        <is>
          <t>SEA MAKEUP</t>
        </is>
      </c>
      <c r="AK5050" t="n">
        <v>21</v>
      </c>
      <c r="AL5050" t="inlineStr">
        <is>
          <t>Miss Glam Damar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SEA MAKEUP</t>
        </is>
      </c>
      <c r="B5051" s="2">
        <f>"769503433035"</f>
        <v/>
      </c>
      <c r="C5051" t="inlineStr">
        <is>
          <t>SEA MAKEUP Acne Butter Cleasing Balm 30gr</t>
        </is>
      </c>
      <c r="D5051" t="inlineStr">
        <is>
          <t>Miss Glam Damar</t>
        </is>
      </c>
      <c r="E5051" t="n">
        <v>41</v>
      </c>
      <c r="F5051" t="n">
        <v>0.7826</v>
      </c>
      <c r="G5051" t="n">
        <v>5.46</v>
      </c>
      <c r="H5051" t="n">
        <v>3</v>
      </c>
      <c r="I5051" t="n">
        <v>11</v>
      </c>
      <c r="J5051" t="n">
        <v>3</v>
      </c>
      <c r="K5051" t="n">
        <v>0</v>
      </c>
      <c r="L5051" t="n">
        <v>40801</v>
      </c>
      <c r="M5051" t="n">
        <v>48000</v>
      </c>
      <c r="N5051" t="n">
        <v>91</v>
      </c>
      <c r="O5051" t="n">
        <v>0.91</v>
      </c>
      <c r="P5051" t="n">
        <v>1</v>
      </c>
      <c r="Q5051" t="n">
        <v>0.98</v>
      </c>
      <c r="R5051" t="n">
        <v>6</v>
      </c>
      <c r="S5051" t="n">
        <v>37564.8</v>
      </c>
      <c r="T5051" t="n">
        <v>58</v>
      </c>
      <c r="U5051" t="n">
        <v>61</v>
      </c>
      <c r="V5051" t="n">
        <v>30</v>
      </c>
      <c r="W5051" t="n">
        <v>24</v>
      </c>
      <c r="X5051" t="n">
        <v>52.38947099412216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10181</v>
      </c>
      <c r="AG5051" t="n">
        <v>78</v>
      </c>
      <c r="AH5051" t="inlineStr">
        <is>
          <t>PT. GLORIENTA P.H - PPN (PDG)</t>
        </is>
      </c>
      <c r="AI5051" t="n">
        <v>1164</v>
      </c>
      <c r="AJ5051" t="inlineStr">
        <is>
          <t>SEA MAKEUP</t>
        </is>
      </c>
      <c r="AK5051" t="n">
        <v>21</v>
      </c>
      <c r="AL5051" t="inlineStr">
        <is>
          <t>Miss Glam Damar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SEA MAKEUP</t>
        </is>
      </c>
      <c r="B5052" s="2">
        <f>"725765154064"</f>
        <v/>
      </c>
      <c r="C5052" t="inlineStr">
        <is>
          <t>SEA MAKEUP Acne Clear  Micellar Water Salicylic Acid Bisabolol Mugwort 300ml</t>
        </is>
      </c>
      <c r="D5052" t="inlineStr">
        <is>
          <t>Miss Glam Damar</t>
        </is>
      </c>
      <c r="E5052" t="n">
        <v>30</v>
      </c>
      <c r="F5052" t="n">
        <v>1.2922</v>
      </c>
      <c r="G5052" t="n">
        <v>3.64</v>
      </c>
      <c r="H5052" t="n">
        <v>3</v>
      </c>
      <c r="I5052" t="n">
        <v>11</v>
      </c>
      <c r="J5052" t="n">
        <v>3</v>
      </c>
      <c r="K5052" t="n">
        <v>0</v>
      </c>
      <c r="L5052" t="n">
        <v>57800</v>
      </c>
      <c r="M5052" t="n">
        <v>68000</v>
      </c>
      <c r="N5052" t="n">
        <v>91</v>
      </c>
      <c r="O5052" t="n">
        <v>0.91</v>
      </c>
      <c r="P5052" t="n">
        <v>1</v>
      </c>
      <c r="Q5052" t="n">
        <v>0.88</v>
      </c>
      <c r="R5052" t="n">
        <v>3</v>
      </c>
      <c r="S5052" t="n">
        <v>87869.60000000001</v>
      </c>
      <c r="T5052" t="n">
        <v>37</v>
      </c>
      <c r="U5052" t="n">
        <v>41</v>
      </c>
      <c r="V5052" t="n">
        <v>30</v>
      </c>
      <c r="W5052" t="n">
        <v>39</v>
      </c>
      <c r="X5052" t="n">
        <v>23.21622039931899</v>
      </c>
      <c r="Y5052" t="n">
        <v>1</v>
      </c>
      <c r="Z5052" t="n">
        <v>9</v>
      </c>
      <c r="AA5052" t="n">
        <v>0</v>
      </c>
      <c r="AB5052" t="n">
        <v>9</v>
      </c>
      <c r="AC5052" t="n">
        <v>9</v>
      </c>
      <c r="AD5052" t="n">
        <v>0</v>
      </c>
      <c r="AE5052" t="n">
        <v>520200</v>
      </c>
      <c r="AF5052" t="n">
        <v>10181</v>
      </c>
      <c r="AG5052" t="n">
        <v>78</v>
      </c>
      <c r="AH5052" t="inlineStr">
        <is>
          <t>PT. GLORIENTA P.H - PPN (PDG)</t>
        </is>
      </c>
      <c r="AI5052" t="n">
        <v>1164</v>
      </c>
      <c r="AJ5052" t="inlineStr">
        <is>
          <t>SEA MAKEUP</t>
        </is>
      </c>
      <c r="AK5052" t="n">
        <v>21</v>
      </c>
      <c r="AL5052" t="inlineStr">
        <is>
          <t>Miss Glam Damar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SEA MAKEUP</t>
        </is>
      </c>
      <c r="B5053" s="2">
        <f>"725765154446"</f>
        <v/>
      </c>
      <c r="C5053" t="inlineStr">
        <is>
          <t>SEA MAKEUP Acne Cover &amp; Smooth Two Way Cake Vanilla Milk 9gr</t>
        </is>
      </c>
      <c r="D5053" t="inlineStr">
        <is>
          <t>Miss Glam Damar</t>
        </is>
      </c>
      <c r="E5053" t="n">
        <v>12</v>
      </c>
      <c r="F5053" t="n">
        <v>0.5096000000000001</v>
      </c>
      <c r="G5053" t="n">
        <v>2.73</v>
      </c>
      <c r="H5053" t="n">
        <v>3</v>
      </c>
      <c r="I5053" t="n">
        <v>11</v>
      </c>
      <c r="J5053" t="n">
        <v>3</v>
      </c>
      <c r="K5053" t="n">
        <v>0</v>
      </c>
      <c r="L5053" t="n">
        <v>66300</v>
      </c>
      <c r="M5053" t="n">
        <v>85000</v>
      </c>
      <c r="N5053" t="n">
        <v>91</v>
      </c>
      <c r="O5053" t="n">
        <v>0.91</v>
      </c>
      <c r="P5053" t="n">
        <v>1</v>
      </c>
      <c r="Q5053" t="n">
        <v>0.27</v>
      </c>
      <c r="R5053" t="n">
        <v>2</v>
      </c>
      <c r="S5053" t="n">
        <v>43316.00000000001</v>
      </c>
      <c r="T5053" t="n">
        <v>29</v>
      </c>
      <c r="U5053" t="n">
        <v>31</v>
      </c>
      <c r="V5053" t="n">
        <v>30</v>
      </c>
      <c r="W5053" t="n">
        <v>16</v>
      </c>
      <c r="X5053" t="n">
        <v>23.54788069073783</v>
      </c>
      <c r="Y5053" t="n">
        <v>1</v>
      </c>
      <c r="Z5053" t="n">
        <v>4</v>
      </c>
      <c r="AA5053" t="n">
        <v>0</v>
      </c>
      <c r="AB5053" t="n">
        <v>4</v>
      </c>
      <c r="AC5053" t="n">
        <v>4</v>
      </c>
      <c r="AD5053" t="n">
        <v>0</v>
      </c>
      <c r="AE5053" t="n">
        <v>265200</v>
      </c>
      <c r="AF5053" t="n">
        <v>10181</v>
      </c>
      <c r="AG5053" t="n">
        <v>78</v>
      </c>
      <c r="AH5053" t="inlineStr">
        <is>
          <t>PT. GLORIENTA P.H - PPN (PDG)</t>
        </is>
      </c>
      <c r="AI5053" t="n">
        <v>1164</v>
      </c>
      <c r="AJ5053" t="inlineStr">
        <is>
          <t>SEA MAKEUP</t>
        </is>
      </c>
      <c r="AK5053" t="n">
        <v>21</v>
      </c>
      <c r="AL5053" t="inlineStr">
        <is>
          <t>Miss Glam Damar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SEA MAKEUP</t>
        </is>
      </c>
      <c r="B5054" s="2">
        <f>"10100204506"</f>
        <v/>
      </c>
      <c r="C5054" t="inlineStr">
        <is>
          <t>SEA MAKEUP All Out Cleansing Oil 120ml</t>
        </is>
      </c>
      <c r="D5054" t="inlineStr">
        <is>
          <t>Miss Glam Damar</t>
        </is>
      </c>
      <c r="E5054" t="n">
        <v>1</v>
      </c>
      <c r="F5054" t="n">
        <v>0.0728</v>
      </c>
      <c r="G5054" t="n">
        <v>0.91</v>
      </c>
      <c r="H5054" t="n">
        <v>3</v>
      </c>
      <c r="I5054" t="n">
        <v>11</v>
      </c>
      <c r="J5054" t="n">
        <v>1</v>
      </c>
      <c r="K5054" t="n">
        <v>0</v>
      </c>
      <c r="L5054" t="n">
        <v>90250</v>
      </c>
      <c r="M5054" t="n">
        <v>103000</v>
      </c>
      <c r="N5054" t="n">
        <v>91</v>
      </c>
      <c r="O5054" t="n">
        <v>0.91</v>
      </c>
      <c r="P5054" t="n">
        <v>1</v>
      </c>
      <c r="Q5054" t="n">
        <v>0.05</v>
      </c>
      <c r="R5054" t="n">
        <v>1</v>
      </c>
      <c r="S5054" t="n">
        <v>7498.400000000001</v>
      </c>
      <c r="T5054" t="n">
        <v>10</v>
      </c>
      <c r="U5054" t="n">
        <v>11</v>
      </c>
      <c r="V5054" t="n">
        <v>30</v>
      </c>
      <c r="W5054" t="n">
        <v>3</v>
      </c>
      <c r="X5054" t="n">
        <v>13.73626373626374</v>
      </c>
      <c r="Y5054" t="n">
        <v>1</v>
      </c>
      <c r="Z5054" t="n">
        <v>2</v>
      </c>
      <c r="AA5054" t="n">
        <v>0</v>
      </c>
      <c r="AB5054" t="n">
        <v>2</v>
      </c>
      <c r="AC5054" t="n">
        <v>2</v>
      </c>
      <c r="AD5054" t="n">
        <v>0</v>
      </c>
      <c r="AE5054" t="n">
        <v>180500</v>
      </c>
      <c r="AF5054" t="n">
        <v>10181</v>
      </c>
      <c r="AG5054" t="n">
        <v>78</v>
      </c>
      <c r="AH5054" t="inlineStr">
        <is>
          <t>PT. GLORIENTA P.H - PPN (PDG)</t>
        </is>
      </c>
      <c r="AI5054" t="n">
        <v>1164</v>
      </c>
      <c r="AJ5054" t="inlineStr">
        <is>
          <t>SEA MAKEUP</t>
        </is>
      </c>
      <c r="AK5054" t="n">
        <v>21</v>
      </c>
      <c r="AL5054" t="inlineStr">
        <is>
          <t>Miss Glam Damar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SEA MAKEUP</t>
        </is>
      </c>
      <c r="B5055" s="2">
        <f>"20200470207"</f>
        <v/>
      </c>
      <c r="C5055" t="inlineStr">
        <is>
          <t>SEA MAKEUP Browstage Grip &amp; Lift Gel Clear 6gr</t>
        </is>
      </c>
      <c r="D5055" t="inlineStr">
        <is>
          <t>Miss Glam Damar</t>
        </is>
      </c>
      <c r="E5055" t="n">
        <v>16</v>
      </c>
      <c r="F5055" t="n">
        <v>0.1001</v>
      </c>
      <c r="G5055" t="n">
        <v>1.82</v>
      </c>
      <c r="H5055" t="n">
        <v>3</v>
      </c>
      <c r="I5055" t="n">
        <v>11</v>
      </c>
      <c r="J5055" t="n">
        <v>1</v>
      </c>
      <c r="K5055" t="n">
        <v>0</v>
      </c>
      <c r="L5055" t="n">
        <v>49451</v>
      </c>
      <c r="M5055" t="n">
        <v>62000</v>
      </c>
      <c r="N5055" t="n">
        <v>91</v>
      </c>
      <c r="O5055" t="n">
        <v>0.91</v>
      </c>
      <c r="P5055" t="n">
        <v>1</v>
      </c>
      <c r="Q5055" t="n">
        <v>0.08</v>
      </c>
      <c r="R5055" t="n">
        <v>1</v>
      </c>
      <c r="S5055" t="n">
        <v>6206.200000000001</v>
      </c>
      <c r="T5055" t="n">
        <v>20</v>
      </c>
      <c r="U5055" t="n">
        <v>21</v>
      </c>
      <c r="V5055" t="n">
        <v>30</v>
      </c>
      <c r="W5055" t="n">
        <v>4</v>
      </c>
      <c r="X5055" t="n">
        <v>159.8401598401598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10181</v>
      </c>
      <c r="AG5055" t="n">
        <v>78</v>
      </c>
      <c r="AH5055" t="inlineStr">
        <is>
          <t>PT. GLORIENTA P.H - PPN (PDG)</t>
        </is>
      </c>
      <c r="AI5055" t="n">
        <v>1164</v>
      </c>
      <c r="AJ5055" t="inlineStr">
        <is>
          <t>SEA MAKEUP</t>
        </is>
      </c>
      <c r="AK5055" t="n">
        <v>21</v>
      </c>
      <c r="AL5055" t="inlineStr">
        <is>
          <t>Miss Glam Damar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SEA MAKEUP</t>
        </is>
      </c>
      <c r="B5056" s="2">
        <f>"20200568107"</f>
        <v/>
      </c>
      <c r="C5056" t="inlineStr">
        <is>
          <t>SEA MAKEUP Day To Glam Eyeshadow Palette Awakeninc 1gr</t>
        </is>
      </c>
      <c r="D5056" t="inlineStr">
        <is>
          <t>Miss Glam Damar</t>
        </is>
      </c>
      <c r="E5056" t="n">
        <v>1</v>
      </c>
      <c r="F5056" t="n">
        <v>0.0546</v>
      </c>
      <c r="G5056" t="n">
        <v>0.91</v>
      </c>
      <c r="H5056" t="n">
        <v>3</v>
      </c>
      <c r="I5056" t="n">
        <v>11</v>
      </c>
      <c r="J5056" t="n">
        <v>1</v>
      </c>
      <c r="K5056" t="n">
        <v>0</v>
      </c>
      <c r="L5056" t="n">
        <v>72877</v>
      </c>
      <c r="M5056" t="n">
        <v>86000</v>
      </c>
      <c r="N5056" t="n">
        <v>91</v>
      </c>
      <c r="O5056" t="n">
        <v>0.91</v>
      </c>
      <c r="P5056" t="n">
        <v>1</v>
      </c>
      <c r="Q5056" t="n">
        <v>0.08</v>
      </c>
      <c r="R5056" t="n">
        <v>2</v>
      </c>
      <c r="S5056" t="n">
        <v>4695.6</v>
      </c>
      <c r="T5056" t="n">
        <v>10</v>
      </c>
      <c r="U5056" t="n">
        <v>11</v>
      </c>
      <c r="V5056" t="n">
        <v>30</v>
      </c>
      <c r="W5056" t="n">
        <v>2</v>
      </c>
      <c r="X5056" t="n">
        <v>18.31501831501831</v>
      </c>
      <c r="Y5056" t="n">
        <v>1</v>
      </c>
      <c r="Z5056" t="n">
        <v>1</v>
      </c>
      <c r="AA5056" t="n">
        <v>0</v>
      </c>
      <c r="AB5056" t="n">
        <v>1</v>
      </c>
      <c r="AC5056" t="n">
        <v>1</v>
      </c>
      <c r="AD5056" t="n">
        <v>0</v>
      </c>
      <c r="AE5056" t="n">
        <v>72877</v>
      </c>
      <c r="AF5056" t="n">
        <v>10181</v>
      </c>
      <c r="AG5056" t="n">
        <v>78</v>
      </c>
      <c r="AH5056" t="inlineStr">
        <is>
          <t>PT. GLORIENTA P.H - PPN (PDG)</t>
        </is>
      </c>
      <c r="AI5056" t="n">
        <v>1164</v>
      </c>
      <c r="AJ5056" t="inlineStr">
        <is>
          <t>SEA MAKEUP</t>
        </is>
      </c>
      <c r="AK5056" t="n">
        <v>21</v>
      </c>
      <c r="AL5056" t="inlineStr">
        <is>
          <t>Miss Glam Damar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SEA MAKEUP</t>
        </is>
      </c>
      <c r="B5057" s="2">
        <f>"20200568031"</f>
        <v/>
      </c>
      <c r="C5057" t="inlineStr">
        <is>
          <t>SEA MAKEUP Day To Glam Eyeshadow Palette Elements 1gr</t>
        </is>
      </c>
      <c r="D5057" t="inlineStr">
        <is>
          <t>Miss Glam Damar</t>
        </is>
      </c>
      <c r="E5057" t="n">
        <v>0</v>
      </c>
      <c r="F5057" t="n">
        <v>0.0182</v>
      </c>
      <c r="G5057" t="n">
        <v>0.91</v>
      </c>
      <c r="H5057" t="n">
        <v>3</v>
      </c>
      <c r="I5057" t="n">
        <v>11</v>
      </c>
      <c r="J5057" t="n">
        <v>1</v>
      </c>
      <c r="K5057" t="n">
        <v>0</v>
      </c>
      <c r="L5057" t="n">
        <v>72877</v>
      </c>
      <c r="M5057" t="n">
        <v>86000</v>
      </c>
      <c r="N5057" t="n">
        <v>91</v>
      </c>
      <c r="O5057" t="n">
        <v>0.91</v>
      </c>
      <c r="P5057" t="n">
        <v>1</v>
      </c>
      <c r="Q5057" t="n">
        <v>0.07000000000000001</v>
      </c>
      <c r="R5057" t="n">
        <v>1</v>
      </c>
      <c r="S5057" t="n">
        <v>1565.2</v>
      </c>
      <c r="T5057" t="n">
        <v>10</v>
      </c>
      <c r="U5057" t="n">
        <v>11</v>
      </c>
      <c r="V5057" t="n">
        <v>30</v>
      </c>
      <c r="W5057" t="n">
        <v>1</v>
      </c>
      <c r="X5057" t="n">
        <v>0</v>
      </c>
      <c r="Y5057" t="n">
        <v>1</v>
      </c>
      <c r="Z5057" t="n">
        <v>1</v>
      </c>
      <c r="AA5057" t="n">
        <v>1</v>
      </c>
      <c r="AB5057" t="n">
        <v>0</v>
      </c>
      <c r="AC5057" t="n">
        <v>0</v>
      </c>
      <c r="AD5057" t="n">
        <v>72877</v>
      </c>
      <c r="AE5057" t="n">
        <v>0</v>
      </c>
      <c r="AF5057" t="n">
        <v>10181</v>
      </c>
      <c r="AG5057" t="n">
        <v>78</v>
      </c>
      <c r="AH5057" t="inlineStr">
        <is>
          <t>PT. GLORIENTA P.H - PPN (PDG)</t>
        </is>
      </c>
      <c r="AI5057" t="n">
        <v>1164</v>
      </c>
      <c r="AJ5057" t="inlineStr">
        <is>
          <t>SEA MAKEUP</t>
        </is>
      </c>
      <c r="AK5057" t="n">
        <v>21</v>
      </c>
      <c r="AL5057" t="inlineStr">
        <is>
          <t>Miss Glam Damar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SEA MAKEUP</t>
        </is>
      </c>
      <c r="B5058" s="2">
        <f>"10700327011"</f>
        <v/>
      </c>
      <c r="C5058" t="inlineStr">
        <is>
          <t>SEA MAKEUP Hydrating Glossy Gleam Tinted Lip Balm Aurora 4.5g</t>
        </is>
      </c>
      <c r="D5058" t="inlineStr">
        <is>
          <t>Miss Glam Damar</t>
        </is>
      </c>
      <c r="E5058" t="n">
        <v>9</v>
      </c>
      <c r="F5058" t="n">
        <v>0.6006</v>
      </c>
      <c r="G5058" t="n">
        <v>2.73</v>
      </c>
      <c r="H5058" t="n">
        <v>3</v>
      </c>
      <c r="I5058" t="n">
        <v>11</v>
      </c>
      <c r="J5058" t="n">
        <v>3</v>
      </c>
      <c r="K5058" t="n">
        <v>0</v>
      </c>
      <c r="L5058" t="n">
        <v>49301</v>
      </c>
      <c r="M5058" t="n">
        <v>65000</v>
      </c>
      <c r="N5058" t="n">
        <v>91</v>
      </c>
      <c r="O5058" t="n">
        <v>0.91</v>
      </c>
      <c r="P5058" t="n">
        <v>1</v>
      </c>
      <c r="Q5058" t="n">
        <v>0.15</v>
      </c>
      <c r="R5058" t="n">
        <v>2</v>
      </c>
      <c r="S5058" t="n">
        <v>39039</v>
      </c>
      <c r="T5058" t="n">
        <v>29</v>
      </c>
      <c r="U5058" t="n">
        <v>31</v>
      </c>
      <c r="V5058" t="n">
        <v>30</v>
      </c>
      <c r="W5058" t="n">
        <v>19</v>
      </c>
      <c r="X5058" t="n">
        <v>14.98501498501498</v>
      </c>
      <c r="Y5058" t="n">
        <v>1</v>
      </c>
      <c r="Z5058" t="n">
        <v>10</v>
      </c>
      <c r="AA5058" t="n">
        <v>0</v>
      </c>
      <c r="AB5058" t="n">
        <v>10</v>
      </c>
      <c r="AC5058" t="n">
        <v>10</v>
      </c>
      <c r="AD5058" t="n">
        <v>0</v>
      </c>
      <c r="AE5058" t="n">
        <v>493010</v>
      </c>
      <c r="AF5058" t="n">
        <v>10181</v>
      </c>
      <c r="AG5058" t="n">
        <v>78</v>
      </c>
      <c r="AH5058" t="inlineStr">
        <is>
          <t>PT. GLORIENTA P.H - PPN (PDG)</t>
        </is>
      </c>
      <c r="AI5058" t="n">
        <v>1164</v>
      </c>
      <c r="AJ5058" t="inlineStr">
        <is>
          <t>SEA MAKEUP</t>
        </is>
      </c>
      <c r="AK5058" t="n">
        <v>21</v>
      </c>
      <c r="AL5058" t="inlineStr">
        <is>
          <t>Miss Glam Damar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SEA MAKEUP</t>
        </is>
      </c>
      <c r="B5059" s="2">
        <f>"10700326823"</f>
        <v/>
      </c>
      <c r="C5059" t="inlineStr">
        <is>
          <t>SEA MAKEUP Hydrating Glossy Gleam Tinted Lip Balm Avery 4.5gr</t>
        </is>
      </c>
      <c r="D5059" t="inlineStr">
        <is>
          <t>Miss Glam Damar</t>
        </is>
      </c>
      <c r="E5059" t="n">
        <v>9</v>
      </c>
      <c r="F5059" t="n">
        <v>0.8463000000000001</v>
      </c>
      <c r="G5059" t="n">
        <v>3.64</v>
      </c>
      <c r="H5059" t="n">
        <v>3</v>
      </c>
      <c r="I5059" t="n">
        <v>11</v>
      </c>
      <c r="J5059" t="n">
        <v>3</v>
      </c>
      <c r="K5059" t="n">
        <v>0</v>
      </c>
      <c r="L5059" t="n">
        <v>49301</v>
      </c>
      <c r="M5059" t="n">
        <v>65000</v>
      </c>
      <c r="N5059" t="n">
        <v>91</v>
      </c>
      <c r="O5059" t="n">
        <v>0.91</v>
      </c>
      <c r="P5059" t="n">
        <v>1</v>
      </c>
      <c r="Q5059" t="n">
        <v>0.44</v>
      </c>
      <c r="R5059" t="n">
        <v>3</v>
      </c>
      <c r="S5059" t="n">
        <v>55009.5</v>
      </c>
      <c r="T5059" t="n">
        <v>38</v>
      </c>
      <c r="U5059" t="n">
        <v>41</v>
      </c>
      <c r="V5059" t="n">
        <v>30</v>
      </c>
      <c r="W5059" t="n">
        <v>26</v>
      </c>
      <c r="X5059" t="n">
        <v>10.63452676355902</v>
      </c>
      <c r="Y5059" t="n">
        <v>1</v>
      </c>
      <c r="Z5059" t="n">
        <v>17</v>
      </c>
      <c r="AA5059" t="n">
        <v>1</v>
      </c>
      <c r="AB5059" t="n">
        <v>16</v>
      </c>
      <c r="AC5059" t="n">
        <v>16</v>
      </c>
      <c r="AD5059" t="n">
        <v>49301</v>
      </c>
      <c r="AE5059" t="n">
        <v>788816</v>
      </c>
      <c r="AF5059" t="n">
        <v>10181</v>
      </c>
      <c r="AG5059" t="n">
        <v>78</v>
      </c>
      <c r="AH5059" t="inlineStr">
        <is>
          <t>PT. GLORIENTA P.H - PPN (PDG)</t>
        </is>
      </c>
      <c r="AI5059" t="n">
        <v>1164</v>
      </c>
      <c r="AJ5059" t="inlineStr">
        <is>
          <t>SEA MAKEUP</t>
        </is>
      </c>
      <c r="AK5059" t="n">
        <v>21</v>
      </c>
      <c r="AL5059" t="inlineStr">
        <is>
          <t>Miss Glam Damar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SEA MAKEUP</t>
        </is>
      </c>
      <c r="B5060" s="2">
        <f>"10700326759"</f>
        <v/>
      </c>
      <c r="C5060" t="inlineStr">
        <is>
          <t>SEA MAKEUP Hydrating Glossy Gleam Tinted Lip Balm Fae 4.5g</t>
        </is>
      </c>
      <c r="D5060" t="inlineStr">
        <is>
          <t>Miss Glam Damar</t>
        </is>
      </c>
      <c r="E5060" t="n">
        <v>2</v>
      </c>
      <c r="F5060" t="n">
        <v>0.2821</v>
      </c>
      <c r="G5060" t="n">
        <v>2.73</v>
      </c>
      <c r="H5060" t="n">
        <v>3</v>
      </c>
      <c r="I5060" t="n">
        <v>11</v>
      </c>
      <c r="J5060" t="n">
        <v>3</v>
      </c>
      <c r="K5060" t="n">
        <v>0</v>
      </c>
      <c r="L5060" t="n">
        <v>49301</v>
      </c>
      <c r="M5060" t="n">
        <v>65000</v>
      </c>
      <c r="N5060" t="n">
        <v>91</v>
      </c>
      <c r="O5060" t="n">
        <v>0.91</v>
      </c>
      <c r="P5060" t="n">
        <v>1</v>
      </c>
      <c r="Q5060" t="n">
        <v>0.14</v>
      </c>
      <c r="R5060" t="n">
        <v>1</v>
      </c>
      <c r="S5060" t="n">
        <v>18336.5</v>
      </c>
      <c r="T5060" t="n">
        <v>30</v>
      </c>
      <c r="U5060" t="n">
        <v>31</v>
      </c>
      <c r="V5060" t="n">
        <v>30</v>
      </c>
      <c r="W5060" t="n">
        <v>9</v>
      </c>
      <c r="X5060" t="n">
        <v>7.089684509039348</v>
      </c>
      <c r="Y5060" t="n">
        <v>1</v>
      </c>
      <c r="Z5060" t="n">
        <v>7</v>
      </c>
      <c r="AA5060" t="n">
        <v>2</v>
      </c>
      <c r="AB5060" t="n">
        <v>5</v>
      </c>
      <c r="AC5060" t="n">
        <v>5</v>
      </c>
      <c r="AD5060" t="n">
        <v>98602</v>
      </c>
      <c r="AE5060" t="n">
        <v>246505</v>
      </c>
      <c r="AF5060" t="n">
        <v>10181</v>
      </c>
      <c r="AG5060" t="n">
        <v>78</v>
      </c>
      <c r="AH5060" t="inlineStr">
        <is>
          <t>PT. GLORIENTA P.H - PPN (PDG)</t>
        </is>
      </c>
      <c r="AI5060" t="n">
        <v>1164</v>
      </c>
      <c r="AJ5060" t="inlineStr">
        <is>
          <t>SEA MAKEUP</t>
        </is>
      </c>
      <c r="AK5060" t="n">
        <v>21</v>
      </c>
      <c r="AL5060" t="inlineStr">
        <is>
          <t>Miss Glam Damar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SEA MAKEUP</t>
        </is>
      </c>
      <c r="B5061" s="2">
        <f>"10700326945"</f>
        <v/>
      </c>
      <c r="C5061" t="inlineStr">
        <is>
          <t>SEA MAKEUP Hydrating Glossy Gleam Tinted Lip Balm Luna 4.5g</t>
        </is>
      </c>
      <c r="D5061" t="inlineStr">
        <is>
          <t>Miss Glam Damar</t>
        </is>
      </c>
      <c r="E5061" t="n">
        <v>2</v>
      </c>
      <c r="F5061" t="n">
        <v>0.182</v>
      </c>
      <c r="G5061" t="n">
        <v>0.91</v>
      </c>
      <c r="H5061" t="n">
        <v>3</v>
      </c>
      <c r="I5061" t="n">
        <v>11</v>
      </c>
      <c r="J5061" t="n">
        <v>3</v>
      </c>
      <c r="K5061" t="n">
        <v>0</v>
      </c>
      <c r="L5061" t="n">
        <v>49301</v>
      </c>
      <c r="M5061" t="n">
        <v>65000</v>
      </c>
      <c r="N5061" t="n">
        <v>91</v>
      </c>
      <c r="O5061" t="n">
        <v>0.91</v>
      </c>
      <c r="P5061" t="n">
        <v>1</v>
      </c>
      <c r="Q5061" t="n">
        <v>0.03</v>
      </c>
      <c r="R5061" t="n">
        <v>1</v>
      </c>
      <c r="S5061" t="n">
        <v>11830</v>
      </c>
      <c r="T5061" t="n">
        <v>10</v>
      </c>
      <c r="U5061" t="n">
        <v>11</v>
      </c>
      <c r="V5061" t="n">
        <v>30</v>
      </c>
      <c r="W5061" t="n">
        <v>6</v>
      </c>
      <c r="X5061" t="n">
        <v>10.98901098901099</v>
      </c>
      <c r="Y5061" t="n">
        <v>1</v>
      </c>
      <c r="Z5061" t="n">
        <v>4</v>
      </c>
      <c r="AA5061" t="n">
        <v>1</v>
      </c>
      <c r="AB5061" t="n">
        <v>3</v>
      </c>
      <c r="AC5061" t="n">
        <v>3</v>
      </c>
      <c r="AD5061" t="n">
        <v>49301</v>
      </c>
      <c r="AE5061" t="n">
        <v>147903</v>
      </c>
      <c r="AF5061" t="n">
        <v>10181</v>
      </c>
      <c r="AG5061" t="n">
        <v>78</v>
      </c>
      <c r="AH5061" t="inlineStr">
        <is>
          <t>PT. GLORIENTA P.H - PPN (PDG)</t>
        </is>
      </c>
      <c r="AI5061" t="n">
        <v>1164</v>
      </c>
      <c r="AJ5061" t="inlineStr">
        <is>
          <t>SEA MAKEUP</t>
        </is>
      </c>
      <c r="AK5061" t="n">
        <v>21</v>
      </c>
      <c r="AL5061" t="inlineStr">
        <is>
          <t>Miss Glam Damar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SEA MAKEUP</t>
        </is>
      </c>
      <c r="B5062" s="2">
        <f>"792649106990"</f>
        <v/>
      </c>
      <c r="C5062" t="inlineStr">
        <is>
          <t>SEA MAKEUP Lacquer Shake Lip Ink Bloody Mary 3.8ml</t>
        </is>
      </c>
      <c r="D5062" t="inlineStr">
        <is>
          <t>Miss Glam Damar</t>
        </is>
      </c>
      <c r="E5062" t="n">
        <v>0</v>
      </c>
      <c r="F5062" t="n">
        <v>0.05</v>
      </c>
      <c r="G5062" t="n">
        <v>1</v>
      </c>
      <c r="H5062" t="n">
        <v>3</v>
      </c>
      <c r="I5062" t="n">
        <v>11</v>
      </c>
      <c r="J5062" t="n">
        <v>3</v>
      </c>
      <c r="K5062" t="n">
        <v>0</v>
      </c>
      <c r="L5062" t="n">
        <v>49301</v>
      </c>
      <c r="M5062" t="n">
        <v>58000</v>
      </c>
      <c r="N5062" t="n">
        <v>91</v>
      </c>
      <c r="O5062" t="n">
        <v>0.91</v>
      </c>
      <c r="P5062" t="n">
        <v>0</v>
      </c>
      <c r="Q5062" t="n">
        <v>0.05</v>
      </c>
      <c r="R5062" t="n">
        <v>1</v>
      </c>
      <c r="S5062" t="n">
        <v>2900</v>
      </c>
      <c r="T5062" t="n">
        <v>11</v>
      </c>
      <c r="U5062" t="n">
        <v>12</v>
      </c>
      <c r="V5062" t="n">
        <v>30</v>
      </c>
      <c r="W5062" t="n">
        <v>2</v>
      </c>
      <c r="X5062" t="n">
        <v>0</v>
      </c>
      <c r="Y5062" t="n">
        <v>1</v>
      </c>
      <c r="Z5062" t="n">
        <v>2</v>
      </c>
      <c r="AA5062" t="n">
        <v>1</v>
      </c>
      <c r="AB5062" t="n">
        <v>1</v>
      </c>
      <c r="AC5062" t="n">
        <v>3</v>
      </c>
      <c r="AD5062" t="n">
        <v>49301</v>
      </c>
      <c r="AE5062" t="n">
        <v>147903</v>
      </c>
      <c r="AF5062" t="n">
        <v>10181</v>
      </c>
      <c r="AG5062" t="n">
        <v>78</v>
      </c>
      <c r="AH5062" t="inlineStr">
        <is>
          <t>PT. GLORIENTA P.H - PPN (PDG)</t>
        </is>
      </c>
      <c r="AI5062" t="n">
        <v>1164</v>
      </c>
      <c r="AJ5062" t="inlineStr">
        <is>
          <t>SEA MAKEUP</t>
        </is>
      </c>
      <c r="AK5062" t="n">
        <v>21</v>
      </c>
      <c r="AL5062" t="inlineStr">
        <is>
          <t>Miss Glam Damar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SEA MAKEUP</t>
        </is>
      </c>
      <c r="B5063" s="2">
        <f>"792649106891"</f>
        <v/>
      </c>
      <c r="C5063" t="inlineStr">
        <is>
          <t>SEA MAKEUP Lacquer Shake Lip Ink Manhattan 3.8ml</t>
        </is>
      </c>
      <c r="D5063" t="inlineStr">
        <is>
          <t>Miss Glam Damar</t>
        </is>
      </c>
      <c r="E5063" t="n">
        <v>2</v>
      </c>
      <c r="F5063" t="n">
        <v>0.182</v>
      </c>
      <c r="G5063" t="n">
        <v>1.82</v>
      </c>
      <c r="H5063" t="n">
        <v>3</v>
      </c>
      <c r="I5063" t="n">
        <v>11</v>
      </c>
      <c r="J5063" t="n">
        <v>3</v>
      </c>
      <c r="K5063" t="n">
        <v>0</v>
      </c>
      <c r="L5063" t="n">
        <v>49301</v>
      </c>
      <c r="M5063" t="n">
        <v>58000</v>
      </c>
      <c r="N5063" t="n">
        <v>91</v>
      </c>
      <c r="O5063" t="n">
        <v>0.91</v>
      </c>
      <c r="P5063" t="n">
        <v>1</v>
      </c>
      <c r="Q5063" t="n">
        <v>0.07000000000000001</v>
      </c>
      <c r="R5063" t="n">
        <v>1</v>
      </c>
      <c r="S5063" t="n">
        <v>10556</v>
      </c>
      <c r="T5063" t="n">
        <v>20</v>
      </c>
      <c r="U5063" t="n">
        <v>21</v>
      </c>
      <c r="V5063" t="n">
        <v>30</v>
      </c>
      <c r="W5063" t="n">
        <v>6</v>
      </c>
      <c r="X5063" t="n">
        <v>10.98901098901099</v>
      </c>
      <c r="Y5063" t="n">
        <v>1</v>
      </c>
      <c r="Z5063" t="n">
        <v>4</v>
      </c>
      <c r="AA5063" t="n">
        <v>1</v>
      </c>
      <c r="AB5063" t="n">
        <v>3</v>
      </c>
      <c r="AC5063" t="n">
        <v>3</v>
      </c>
      <c r="AD5063" t="n">
        <v>49301</v>
      </c>
      <c r="AE5063" t="n">
        <v>147903</v>
      </c>
      <c r="AF5063" t="n">
        <v>10181</v>
      </c>
      <c r="AG5063" t="n">
        <v>78</v>
      </c>
      <c r="AH5063" t="inlineStr">
        <is>
          <t>PT. GLORIENTA P.H - PPN (PDG)</t>
        </is>
      </c>
      <c r="AI5063" t="n">
        <v>1164</v>
      </c>
      <c r="AJ5063" t="inlineStr">
        <is>
          <t>SEA MAKEUP</t>
        </is>
      </c>
      <c r="AK5063" t="n">
        <v>21</v>
      </c>
      <c r="AL5063" t="inlineStr">
        <is>
          <t>Miss Glam Damar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SEA MAKEUP</t>
        </is>
      </c>
      <c r="B5064" s="2">
        <f>"745604686129"</f>
        <v/>
      </c>
      <c r="C5064" t="inlineStr">
        <is>
          <t>SEA MAKEUP Lacquer Shake Lip Ink Margarita 3,8ml</t>
        </is>
      </c>
      <c r="D5064" t="inlineStr">
        <is>
          <t>Miss Glam Damar</t>
        </is>
      </c>
      <c r="E5064" t="n">
        <v>4</v>
      </c>
      <c r="F5064" t="n">
        <v>0.1456</v>
      </c>
      <c r="G5064" t="n">
        <v>0.91</v>
      </c>
      <c r="H5064" t="n">
        <v>3</v>
      </c>
      <c r="I5064" t="n">
        <v>11</v>
      </c>
      <c r="J5064" t="n">
        <v>3</v>
      </c>
      <c r="K5064" t="n">
        <v>0</v>
      </c>
      <c r="L5064" t="n">
        <v>49300</v>
      </c>
      <c r="M5064" t="n">
        <v>58000</v>
      </c>
      <c r="N5064" t="n">
        <v>91</v>
      </c>
      <c r="O5064" t="n">
        <v>0.91</v>
      </c>
      <c r="P5064" t="n">
        <v>1</v>
      </c>
      <c r="Q5064" t="n">
        <v>0.1</v>
      </c>
      <c r="R5064" t="n">
        <v>2</v>
      </c>
      <c r="S5064" t="n">
        <v>8444.800000000001</v>
      </c>
      <c r="T5064" t="n">
        <v>10</v>
      </c>
      <c r="U5064" t="n">
        <v>11</v>
      </c>
      <c r="V5064" t="n">
        <v>30</v>
      </c>
      <c r="W5064" t="n">
        <v>5</v>
      </c>
      <c r="X5064" t="n">
        <v>27.47252747252747</v>
      </c>
      <c r="Y5064" t="n">
        <v>1</v>
      </c>
      <c r="Z5064" t="n">
        <v>1</v>
      </c>
      <c r="AA5064" t="n">
        <v>0</v>
      </c>
      <c r="AB5064" t="n">
        <v>1</v>
      </c>
      <c r="AC5064" t="n">
        <v>3</v>
      </c>
      <c r="AD5064" t="n">
        <v>0</v>
      </c>
      <c r="AE5064" t="n">
        <v>147900</v>
      </c>
      <c r="AF5064" t="n">
        <v>10181</v>
      </c>
      <c r="AG5064" t="n">
        <v>78</v>
      </c>
      <c r="AH5064" t="inlineStr">
        <is>
          <t>PT. GLORIENTA P.H - PPN (PDG)</t>
        </is>
      </c>
      <c r="AI5064" t="n">
        <v>1164</v>
      </c>
      <c r="AJ5064" t="inlineStr">
        <is>
          <t>SEA MAKEUP</t>
        </is>
      </c>
      <c r="AK5064" t="n">
        <v>21</v>
      </c>
      <c r="AL5064" t="inlineStr">
        <is>
          <t>Miss Glam Damar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SEA MAKEUP</t>
        </is>
      </c>
      <c r="B5065" s="2">
        <f>"745604686112"</f>
        <v/>
      </c>
      <c r="C5065" t="inlineStr">
        <is>
          <t>SEA MAKEUP Lacquer Shake Lip Ink Marttini 3,8ml</t>
        </is>
      </c>
      <c r="D5065" t="inlineStr">
        <is>
          <t>Miss Glam Damar</t>
        </is>
      </c>
      <c r="E5065" t="n">
        <v>5</v>
      </c>
      <c r="F5065" t="n">
        <v>0.04550000000000001</v>
      </c>
      <c r="G5065" t="n">
        <v>0.91</v>
      </c>
      <c r="H5065" t="n">
        <v>3</v>
      </c>
      <c r="I5065" t="n">
        <v>11</v>
      </c>
      <c r="J5065" t="n">
        <v>3</v>
      </c>
      <c r="K5065" t="n">
        <v>0</v>
      </c>
      <c r="L5065" t="n">
        <v>49300</v>
      </c>
      <c r="M5065" t="n">
        <v>58000</v>
      </c>
      <c r="N5065" t="n">
        <v>91</v>
      </c>
      <c r="O5065" t="n">
        <v>0.91</v>
      </c>
      <c r="P5065" t="n">
        <v>1</v>
      </c>
      <c r="Q5065" t="n">
        <v>0.02</v>
      </c>
      <c r="R5065" t="n">
        <v>1</v>
      </c>
      <c r="S5065" t="n">
        <v>2639</v>
      </c>
      <c r="T5065" t="n">
        <v>10</v>
      </c>
      <c r="U5065" t="n">
        <v>11</v>
      </c>
      <c r="V5065" t="n">
        <v>30</v>
      </c>
      <c r="W5065" t="n">
        <v>2</v>
      </c>
      <c r="X5065" t="n">
        <v>109.8901098901099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10181</v>
      </c>
      <c r="AG5065" t="n">
        <v>78</v>
      </c>
      <c r="AH5065" t="inlineStr">
        <is>
          <t>PT. GLORIENTA P.H - PPN (PDG)</t>
        </is>
      </c>
      <c r="AI5065" t="n">
        <v>1164</v>
      </c>
      <c r="AJ5065" t="inlineStr">
        <is>
          <t>SEA MAKEUP</t>
        </is>
      </c>
      <c r="AK5065" t="n">
        <v>21</v>
      </c>
      <c r="AL5065" t="inlineStr">
        <is>
          <t>Miss Glam Damar</t>
        </is>
      </c>
      <c r="AM5065" t="n">
        <v>1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SEA MAKEUP</t>
        </is>
      </c>
      <c r="B5066" s="2">
        <f>"745604686105"</f>
        <v/>
      </c>
      <c r="C5066" t="inlineStr">
        <is>
          <t>SEA MAKEUP Lacquer Shake Lip Ink Negroni 3.8ml</t>
        </is>
      </c>
      <c r="D5066" t="inlineStr">
        <is>
          <t>Miss Glam Damar</t>
        </is>
      </c>
      <c r="E5066" t="n">
        <v>10</v>
      </c>
      <c r="F5066" t="n">
        <v>0.3549</v>
      </c>
      <c r="G5066" t="n">
        <v>1.82</v>
      </c>
      <c r="H5066" t="n">
        <v>3</v>
      </c>
      <c r="I5066" t="n">
        <v>11</v>
      </c>
      <c r="J5066" t="n">
        <v>3</v>
      </c>
      <c r="K5066" t="n">
        <v>0</v>
      </c>
      <c r="L5066" t="n">
        <v>49300</v>
      </c>
      <c r="M5066" t="n">
        <v>58000</v>
      </c>
      <c r="N5066" t="n">
        <v>91</v>
      </c>
      <c r="O5066" t="n">
        <v>0.91</v>
      </c>
      <c r="P5066" t="n">
        <v>1</v>
      </c>
      <c r="Q5066" t="n">
        <v>0.32</v>
      </c>
      <c r="R5066" t="n">
        <v>3</v>
      </c>
      <c r="S5066" t="n">
        <v>20584.2</v>
      </c>
      <c r="T5066" t="n">
        <v>19</v>
      </c>
      <c r="U5066" t="n">
        <v>21</v>
      </c>
      <c r="V5066" t="n">
        <v>30</v>
      </c>
      <c r="W5066" t="n">
        <v>11</v>
      </c>
      <c r="X5066" t="n">
        <v>28.17695125387433</v>
      </c>
      <c r="Y5066" t="n">
        <v>1</v>
      </c>
      <c r="Z5066" t="n">
        <v>1</v>
      </c>
      <c r="AA5066" t="n">
        <v>0</v>
      </c>
      <c r="AB5066" t="n">
        <v>1</v>
      </c>
      <c r="AC5066" t="n">
        <v>3</v>
      </c>
      <c r="AD5066" t="n">
        <v>0</v>
      </c>
      <c r="AE5066" t="n">
        <v>147900</v>
      </c>
      <c r="AF5066" t="n">
        <v>10181</v>
      </c>
      <c r="AG5066" t="n">
        <v>78</v>
      </c>
      <c r="AH5066" t="inlineStr">
        <is>
          <t>PT. GLORIENTA P.H - PPN (PDG)</t>
        </is>
      </c>
      <c r="AI5066" t="n">
        <v>1164</v>
      </c>
      <c r="AJ5066" t="inlineStr">
        <is>
          <t>SEA MAKEUP</t>
        </is>
      </c>
      <c r="AK5066" t="n">
        <v>21</v>
      </c>
      <c r="AL5066" t="inlineStr">
        <is>
          <t>Miss Glam Damar</t>
        </is>
      </c>
      <c r="AM5066" t="n">
        <v>1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SEA MAKEUP</t>
        </is>
      </c>
      <c r="B5067" s="2">
        <f>"745604686075"</f>
        <v/>
      </c>
      <c r="C5067" t="inlineStr">
        <is>
          <t>SEA MAKEUP Lacquer Shake Lip Ink Paloma 3.8ml</t>
        </is>
      </c>
      <c r="D5067" t="inlineStr">
        <is>
          <t>Miss Glam Damar</t>
        </is>
      </c>
      <c r="E5067" t="n">
        <v>0</v>
      </c>
      <c r="F5067" t="n">
        <v>0.1456</v>
      </c>
      <c r="G5067" t="n">
        <v>1.82</v>
      </c>
      <c r="H5067" t="n">
        <v>3</v>
      </c>
      <c r="I5067" t="n">
        <v>11</v>
      </c>
      <c r="J5067" t="n">
        <v>3</v>
      </c>
      <c r="K5067" t="n">
        <v>0</v>
      </c>
      <c r="L5067" t="n">
        <v>49300</v>
      </c>
      <c r="M5067" t="n">
        <v>58000</v>
      </c>
      <c r="N5067" t="n">
        <v>91</v>
      </c>
      <c r="O5067" t="n">
        <v>0.91</v>
      </c>
      <c r="P5067" t="n">
        <v>1</v>
      </c>
      <c r="Q5067" t="n">
        <v>0.05</v>
      </c>
      <c r="R5067" t="n">
        <v>1</v>
      </c>
      <c r="S5067" t="n">
        <v>8444.800000000001</v>
      </c>
      <c r="T5067" t="n">
        <v>20</v>
      </c>
      <c r="U5067" t="n">
        <v>21</v>
      </c>
      <c r="V5067" t="n">
        <v>30</v>
      </c>
      <c r="W5067" t="n">
        <v>5</v>
      </c>
      <c r="X5067" t="n">
        <v>0</v>
      </c>
      <c r="Y5067" t="n">
        <v>1</v>
      </c>
      <c r="Z5067" t="n">
        <v>5</v>
      </c>
      <c r="AA5067" t="n">
        <v>2</v>
      </c>
      <c r="AB5067" t="n">
        <v>3</v>
      </c>
      <c r="AC5067" t="n">
        <v>3</v>
      </c>
      <c r="AD5067" t="n">
        <v>98600</v>
      </c>
      <c r="AE5067" t="n">
        <v>147900</v>
      </c>
      <c r="AF5067" t="n">
        <v>10181</v>
      </c>
      <c r="AG5067" t="n">
        <v>78</v>
      </c>
      <c r="AH5067" t="inlineStr">
        <is>
          <t>PT. GLORIENTA P.H - PPN (PDG)</t>
        </is>
      </c>
      <c r="AI5067" t="n">
        <v>1164</v>
      </c>
      <c r="AJ5067" t="inlineStr">
        <is>
          <t>SEA MAKEUP</t>
        </is>
      </c>
      <c r="AK5067" t="n">
        <v>21</v>
      </c>
      <c r="AL5067" t="inlineStr">
        <is>
          <t>Miss Glam Damar</t>
        </is>
      </c>
      <c r="AM5067" t="n">
        <v>1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SEA MAKEUP</t>
        </is>
      </c>
      <c r="B5068" s="2">
        <f>"745604686082"</f>
        <v/>
      </c>
      <c r="C5068" t="inlineStr">
        <is>
          <t>SEA MAKEUP Lacquer Shake Lip Ink Pina Colada 3,8ml</t>
        </is>
      </c>
      <c r="D5068" t="inlineStr">
        <is>
          <t>Miss Glam Damar</t>
        </is>
      </c>
      <c r="E5068" t="n">
        <v>3</v>
      </c>
      <c r="F5068" t="n">
        <v>0.182</v>
      </c>
      <c r="G5068" t="n">
        <v>1.82</v>
      </c>
      <c r="H5068" t="n">
        <v>3</v>
      </c>
      <c r="I5068" t="n">
        <v>11</v>
      </c>
      <c r="J5068" t="n">
        <v>3</v>
      </c>
      <c r="K5068" t="n">
        <v>0</v>
      </c>
      <c r="L5068" t="n">
        <v>49299</v>
      </c>
      <c r="M5068" t="n">
        <v>58000</v>
      </c>
      <c r="N5068" t="n">
        <v>91</v>
      </c>
      <c r="O5068" t="n">
        <v>0.91</v>
      </c>
      <c r="P5068" t="n">
        <v>1</v>
      </c>
      <c r="Q5068" t="n">
        <v>0.03</v>
      </c>
      <c r="R5068" t="n">
        <v>1</v>
      </c>
      <c r="S5068" t="n">
        <v>10556</v>
      </c>
      <c r="T5068" t="n">
        <v>20</v>
      </c>
      <c r="U5068" t="n">
        <v>21</v>
      </c>
      <c r="V5068" t="n">
        <v>30</v>
      </c>
      <c r="W5068" t="n">
        <v>6</v>
      </c>
      <c r="X5068" t="n">
        <v>16.48351648351648</v>
      </c>
      <c r="Y5068" t="n">
        <v>1</v>
      </c>
      <c r="Z5068" t="n">
        <v>3</v>
      </c>
      <c r="AA5068" t="n">
        <v>0</v>
      </c>
      <c r="AB5068" t="n">
        <v>3</v>
      </c>
      <c r="AC5068" t="n">
        <v>3</v>
      </c>
      <c r="AD5068" t="n">
        <v>0</v>
      </c>
      <c r="AE5068" t="n">
        <v>147897</v>
      </c>
      <c r="AF5068" t="n">
        <v>10181</v>
      </c>
      <c r="AG5068" t="n">
        <v>78</v>
      </c>
      <c r="AH5068" t="inlineStr">
        <is>
          <t>PT. GLORIENTA P.H - PPN (PDG)</t>
        </is>
      </c>
      <c r="AI5068" t="n">
        <v>1164</v>
      </c>
      <c r="AJ5068" t="inlineStr">
        <is>
          <t>SEA MAKEUP</t>
        </is>
      </c>
      <c r="AK5068" t="n">
        <v>21</v>
      </c>
      <c r="AL5068" t="inlineStr">
        <is>
          <t>Miss Glam Damar</t>
        </is>
      </c>
      <c r="AM5068" t="n">
        <v>1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SEA MAKEUP</t>
        </is>
      </c>
      <c r="B5069" s="2">
        <f>"792649106976"</f>
        <v/>
      </c>
      <c r="C5069" t="inlineStr">
        <is>
          <t>SEA MAKEUP Lacquer Shake Lip Ink Pink Lady 3.8ml</t>
        </is>
      </c>
      <c r="D5069" t="inlineStr">
        <is>
          <t>Miss Glam Damar</t>
        </is>
      </c>
      <c r="E5069" t="n">
        <v>3</v>
      </c>
      <c r="F5069" t="n">
        <v>0.182</v>
      </c>
      <c r="G5069" t="n">
        <v>1.82</v>
      </c>
      <c r="H5069" t="n">
        <v>3</v>
      </c>
      <c r="I5069" t="n">
        <v>11</v>
      </c>
      <c r="J5069" t="n">
        <v>3</v>
      </c>
      <c r="K5069" t="n">
        <v>0</v>
      </c>
      <c r="L5069" t="n">
        <v>49301</v>
      </c>
      <c r="M5069" t="n">
        <v>58000</v>
      </c>
      <c r="N5069" t="n">
        <v>91</v>
      </c>
      <c r="O5069" t="n">
        <v>0.91</v>
      </c>
      <c r="P5069" t="n">
        <v>1</v>
      </c>
      <c r="Q5069" t="n">
        <v>0.03</v>
      </c>
      <c r="R5069" t="n">
        <v>2</v>
      </c>
      <c r="S5069" t="n">
        <v>10556</v>
      </c>
      <c r="T5069" t="n">
        <v>20</v>
      </c>
      <c r="U5069" t="n">
        <v>21</v>
      </c>
      <c r="V5069" t="n">
        <v>30</v>
      </c>
      <c r="W5069" t="n">
        <v>6</v>
      </c>
      <c r="X5069" t="n">
        <v>16.48351648351648</v>
      </c>
      <c r="Y5069" t="n">
        <v>1</v>
      </c>
      <c r="Z5069" t="n">
        <v>3</v>
      </c>
      <c r="AA5069" t="n">
        <v>0</v>
      </c>
      <c r="AB5069" t="n">
        <v>3</v>
      </c>
      <c r="AC5069" t="n">
        <v>3</v>
      </c>
      <c r="AD5069" t="n">
        <v>0</v>
      </c>
      <c r="AE5069" t="n">
        <v>147903</v>
      </c>
      <c r="AF5069" t="n">
        <v>10181</v>
      </c>
      <c r="AG5069" t="n">
        <v>78</v>
      </c>
      <c r="AH5069" t="inlineStr">
        <is>
          <t>PT. GLORIENTA P.H - PPN (PDG)</t>
        </is>
      </c>
      <c r="AI5069" t="n">
        <v>1164</v>
      </c>
      <c r="AJ5069" t="inlineStr">
        <is>
          <t>SEA MAKEUP</t>
        </is>
      </c>
      <c r="AK5069" t="n">
        <v>21</v>
      </c>
      <c r="AL5069" t="inlineStr">
        <is>
          <t>Miss Glam Damar</t>
        </is>
      </c>
      <c r="AM5069" t="n">
        <v>1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SEA MAKEUP</t>
        </is>
      </c>
      <c r="B5070" s="2">
        <f>"745604686099"</f>
        <v/>
      </c>
      <c r="C5070" t="inlineStr">
        <is>
          <t>SEA MAKEUP Lacquer Shake Lip Ink Sangria 3,8ml</t>
        </is>
      </c>
      <c r="D5070" t="inlineStr">
        <is>
          <t>Miss Glam Damar</t>
        </is>
      </c>
      <c r="E5070" t="n">
        <v>4</v>
      </c>
      <c r="F5070" t="n">
        <v>0.09100000000000001</v>
      </c>
      <c r="G5070" t="n">
        <v>0.91</v>
      </c>
      <c r="H5070" t="n">
        <v>3</v>
      </c>
      <c r="I5070" t="n">
        <v>11</v>
      </c>
      <c r="J5070" t="n">
        <v>3</v>
      </c>
      <c r="K5070" t="n">
        <v>0</v>
      </c>
      <c r="L5070" t="n">
        <v>49300</v>
      </c>
      <c r="M5070" t="n">
        <v>58000</v>
      </c>
      <c r="N5070" t="n">
        <v>91</v>
      </c>
      <c r="O5070" t="n">
        <v>0.91</v>
      </c>
      <c r="P5070" t="n">
        <v>1</v>
      </c>
      <c r="Q5070" t="n">
        <v>0.07000000000000001</v>
      </c>
      <c r="R5070" t="n">
        <v>1</v>
      </c>
      <c r="S5070" t="n">
        <v>5278.000000000001</v>
      </c>
      <c r="T5070" t="n">
        <v>10</v>
      </c>
      <c r="U5070" t="n">
        <v>11</v>
      </c>
      <c r="V5070" t="n">
        <v>30</v>
      </c>
      <c r="W5070" t="n">
        <v>3</v>
      </c>
      <c r="X5070" t="n">
        <v>43.95604395604395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10181</v>
      </c>
      <c r="AG5070" t="n">
        <v>78</v>
      </c>
      <c r="AH5070" t="inlineStr">
        <is>
          <t>PT. GLORIENTA P.H - PPN (PDG)</t>
        </is>
      </c>
      <c r="AI5070" t="n">
        <v>1164</v>
      </c>
      <c r="AJ5070" t="inlineStr">
        <is>
          <t>SEA MAKEUP</t>
        </is>
      </c>
      <c r="AK5070" t="n">
        <v>21</v>
      </c>
      <c r="AL5070" t="inlineStr">
        <is>
          <t>Miss Glam Damar</t>
        </is>
      </c>
      <c r="AM5070" t="n">
        <v>1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SEA MAKEUP</t>
        </is>
      </c>
      <c r="B5071" s="2">
        <f>"725765154392"</f>
        <v/>
      </c>
      <c r="C5071" t="inlineStr">
        <is>
          <t>SEA MAKEUP Lock It Matte Acne Setting Spray 100ml</t>
        </is>
      </c>
      <c r="D5071" t="inlineStr">
        <is>
          <t>Miss Glam Damar</t>
        </is>
      </c>
      <c r="E5071" t="n">
        <v>13</v>
      </c>
      <c r="F5071" t="n">
        <v>1.2922</v>
      </c>
      <c r="G5071" t="n">
        <v>4.55</v>
      </c>
      <c r="H5071" t="n">
        <v>3</v>
      </c>
      <c r="I5071" t="n">
        <v>11</v>
      </c>
      <c r="J5071" t="n">
        <v>3</v>
      </c>
      <c r="K5071" t="n">
        <v>0</v>
      </c>
      <c r="L5071" t="n">
        <v>57800</v>
      </c>
      <c r="M5071" t="n">
        <v>68000</v>
      </c>
      <c r="N5071" t="n">
        <v>91</v>
      </c>
      <c r="O5071" t="n">
        <v>0.91</v>
      </c>
      <c r="P5071" t="n">
        <v>1</v>
      </c>
      <c r="Q5071" t="n">
        <v>0.58</v>
      </c>
      <c r="R5071" t="n">
        <v>2</v>
      </c>
      <c r="S5071" t="n">
        <v>87869.60000000001</v>
      </c>
      <c r="T5071" t="n">
        <v>47</v>
      </c>
      <c r="U5071" t="n">
        <v>51</v>
      </c>
      <c r="V5071" t="n">
        <v>30</v>
      </c>
      <c r="W5071" t="n">
        <v>39</v>
      </c>
      <c r="X5071" t="n">
        <v>10.06036217303823</v>
      </c>
      <c r="Y5071" t="n">
        <v>1</v>
      </c>
      <c r="Z5071" t="n">
        <v>26</v>
      </c>
      <c r="AA5071" t="n">
        <v>2</v>
      </c>
      <c r="AB5071" t="n">
        <v>24</v>
      </c>
      <c r="AC5071" t="n">
        <v>24</v>
      </c>
      <c r="AD5071" t="n">
        <v>115600</v>
      </c>
      <c r="AE5071" t="n">
        <v>1387200</v>
      </c>
      <c r="AF5071" t="n">
        <v>10181</v>
      </c>
      <c r="AG5071" t="n">
        <v>78</v>
      </c>
      <c r="AH5071" t="inlineStr">
        <is>
          <t>PT. GLORIENTA P.H - PPN (PDG)</t>
        </is>
      </c>
      <c r="AI5071" t="n">
        <v>1164</v>
      </c>
      <c r="AJ5071" t="inlineStr">
        <is>
          <t>SEA MAKEUP</t>
        </is>
      </c>
      <c r="AK5071" t="n">
        <v>21</v>
      </c>
      <c r="AL5071" t="inlineStr">
        <is>
          <t>Miss Glam Damar</t>
        </is>
      </c>
      <c r="AM5071" t="n">
        <v>1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SEA MAKEUP</t>
        </is>
      </c>
      <c r="B5072" s="2">
        <f>"20100186006"</f>
        <v/>
      </c>
      <c r="C5072" t="inlineStr">
        <is>
          <t>SEA MAKEUP Soft Focus Skin Perfector Tint Baked Alaska 25ml</t>
        </is>
      </c>
      <c r="D5072" t="inlineStr">
        <is>
          <t>Miss Glam Damar</t>
        </is>
      </c>
      <c r="E5072" t="n">
        <v>3</v>
      </c>
      <c r="F5072" t="n">
        <v>0.0182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74271</v>
      </c>
      <c r="M5072" t="n">
        <v>89000</v>
      </c>
      <c r="N5072" t="n">
        <v>91</v>
      </c>
      <c r="O5072" t="n">
        <v>0.91</v>
      </c>
      <c r="P5072" t="n">
        <v>1</v>
      </c>
      <c r="Q5072" t="n">
        <v>0</v>
      </c>
      <c r="R5072" t="n">
        <v>0</v>
      </c>
      <c r="S5072" t="n">
        <v>1619.8</v>
      </c>
      <c r="T5072" t="n">
        <v>0</v>
      </c>
      <c r="U5072" t="n">
        <v>0</v>
      </c>
      <c r="V5072" t="n">
        <v>30</v>
      </c>
      <c r="W5072" t="n">
        <v>1</v>
      </c>
      <c r="X5072" t="n">
        <v>164.8351648351648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10181</v>
      </c>
      <c r="AG5072" t="n">
        <v>78</v>
      </c>
      <c r="AH5072" t="inlineStr">
        <is>
          <t>PT. GLORIENTA P.H - PPN (PDG)</t>
        </is>
      </c>
      <c r="AI5072" t="n">
        <v>1164</v>
      </c>
      <c r="AJ5072" t="inlineStr">
        <is>
          <t>SEA MAKEUP</t>
        </is>
      </c>
      <c r="AK5072" t="n">
        <v>21</v>
      </c>
      <c r="AL5072" t="inlineStr">
        <is>
          <t>Miss Glam Damar</t>
        </is>
      </c>
      <c r="AM5072" t="n">
        <v>1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SEA MAKEUP</t>
        </is>
      </c>
      <c r="B5073" s="2">
        <f>"20100186320"</f>
        <v/>
      </c>
      <c r="C5073" t="inlineStr">
        <is>
          <t>SEA MAKEUP Soft Focus Skin Perfector Tint Panna Cotta 25ml</t>
        </is>
      </c>
      <c r="D5073" t="inlineStr">
        <is>
          <t>Miss Glam Damar</t>
        </is>
      </c>
      <c r="E5073" t="n">
        <v>2</v>
      </c>
      <c r="F5073" t="n">
        <v>0.02</v>
      </c>
      <c r="G5073" t="n">
        <v>1</v>
      </c>
      <c r="H5073" t="n">
        <v>3</v>
      </c>
      <c r="I5073" t="n">
        <v>11</v>
      </c>
      <c r="J5073" t="n">
        <v>1</v>
      </c>
      <c r="K5073" t="n">
        <v>0</v>
      </c>
      <c r="L5073" t="n">
        <v>74271</v>
      </c>
      <c r="M5073" t="n">
        <v>89000</v>
      </c>
      <c r="N5073" t="n">
        <v>91</v>
      </c>
      <c r="O5073" t="n">
        <v>0.91</v>
      </c>
      <c r="P5073" t="n">
        <v>0</v>
      </c>
      <c r="Q5073" t="n">
        <v>0.02</v>
      </c>
      <c r="R5073" t="n">
        <v>1</v>
      </c>
      <c r="S5073" t="n">
        <v>1780</v>
      </c>
      <c r="T5073" t="n">
        <v>11</v>
      </c>
      <c r="U5073" t="n">
        <v>12</v>
      </c>
      <c r="V5073" t="n">
        <v>30</v>
      </c>
      <c r="W5073" t="n">
        <v>1</v>
      </c>
      <c r="X5073" t="n">
        <v>100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10181</v>
      </c>
      <c r="AG5073" t="n">
        <v>78</v>
      </c>
      <c r="AH5073" t="inlineStr">
        <is>
          <t>PT. GLORIENTA P.H - PPN (PDG)</t>
        </is>
      </c>
      <c r="AI5073" t="n">
        <v>1164</v>
      </c>
      <c r="AJ5073" t="inlineStr">
        <is>
          <t>SEA MAKEUP</t>
        </is>
      </c>
      <c r="AK5073" t="n">
        <v>21</v>
      </c>
      <c r="AL5073" t="inlineStr">
        <is>
          <t>Miss Glam Damar</t>
        </is>
      </c>
      <c r="AM5073" t="n">
        <v>1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SEA MAKEUP</t>
        </is>
      </c>
      <c r="B5074" s="2">
        <f>"20101207602"</f>
        <v/>
      </c>
      <c r="C5074" t="inlineStr">
        <is>
          <t>SEA MAKEUP Stayput Prime &amp; Set Acne Setting Spray 100ml</t>
        </is>
      </c>
      <c r="D5074" t="inlineStr">
        <is>
          <t>Miss Glam Damar</t>
        </is>
      </c>
      <c r="E5074" t="n">
        <v>28</v>
      </c>
      <c r="F5074" t="n">
        <v>2.3296</v>
      </c>
      <c r="G5074" t="n">
        <v>5.46</v>
      </c>
      <c r="H5074" t="n">
        <v>3</v>
      </c>
      <c r="I5074" t="n">
        <v>11</v>
      </c>
      <c r="J5074" t="n">
        <v>1</v>
      </c>
      <c r="K5074" t="n">
        <v>0</v>
      </c>
      <c r="L5074" t="n">
        <v>64420</v>
      </c>
      <c r="M5074" t="n">
        <v>91000</v>
      </c>
      <c r="N5074" t="n">
        <v>91</v>
      </c>
      <c r="O5074" t="n">
        <v>0.91</v>
      </c>
      <c r="P5074" t="n">
        <v>1</v>
      </c>
      <c r="Q5074" t="n">
        <v>1.24</v>
      </c>
      <c r="R5074" t="n">
        <v>5</v>
      </c>
      <c r="S5074" t="n">
        <v>211993.6</v>
      </c>
      <c r="T5074" t="n">
        <v>54</v>
      </c>
      <c r="U5074" t="n">
        <v>61</v>
      </c>
      <c r="V5074" t="n">
        <v>30</v>
      </c>
      <c r="W5074" t="n">
        <v>70</v>
      </c>
      <c r="X5074" t="n">
        <v>12.01923076923077</v>
      </c>
      <c r="Y5074" t="n">
        <v>1</v>
      </c>
      <c r="Z5074" t="n">
        <v>42</v>
      </c>
      <c r="AA5074" t="n">
        <v>0</v>
      </c>
      <c r="AB5074" t="n">
        <v>42</v>
      </c>
      <c r="AC5074" t="n">
        <v>42</v>
      </c>
      <c r="AD5074" t="n">
        <v>0</v>
      </c>
      <c r="AE5074" t="n">
        <v>2705640</v>
      </c>
      <c r="AF5074" t="n">
        <v>10181</v>
      </c>
      <c r="AG5074" t="n">
        <v>78</v>
      </c>
      <c r="AH5074" t="inlineStr">
        <is>
          <t>PT. GLORIENTA P.H - PPN (PDG)</t>
        </is>
      </c>
      <c r="AI5074" t="n">
        <v>1164</v>
      </c>
      <c r="AJ5074" t="inlineStr">
        <is>
          <t>SEA MAKEUP</t>
        </is>
      </c>
      <c r="AK5074" t="n">
        <v>21</v>
      </c>
      <c r="AL5074" t="inlineStr">
        <is>
          <t>Miss Glam Damar</t>
        </is>
      </c>
      <c r="AM5074" t="n">
        <v>1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SEA MAKEUP</t>
        </is>
      </c>
      <c r="B5075" s="2">
        <f>"769503433363"</f>
        <v/>
      </c>
      <c r="C5075" t="inlineStr">
        <is>
          <t>SEA MAKEUP Stick Cover Jelly Tint Red Velvet 3.2ml</t>
        </is>
      </c>
      <c r="D5075" t="inlineStr">
        <is>
          <t>Miss Glam Damar</t>
        </is>
      </c>
      <c r="E5075" t="n">
        <v>2</v>
      </c>
      <c r="F5075" t="n">
        <v>0.07000000000000001</v>
      </c>
      <c r="G5075" t="n">
        <v>2</v>
      </c>
      <c r="H5075" t="n">
        <v>3</v>
      </c>
      <c r="I5075" t="n">
        <v>11</v>
      </c>
      <c r="J5075" t="n">
        <v>3</v>
      </c>
      <c r="K5075" t="n">
        <v>0</v>
      </c>
      <c r="L5075" t="n">
        <v>40800</v>
      </c>
      <c r="M5075" t="n">
        <v>54500</v>
      </c>
      <c r="N5075" t="n">
        <v>91</v>
      </c>
      <c r="O5075" t="n">
        <v>0.91</v>
      </c>
      <c r="P5075" t="n">
        <v>0</v>
      </c>
      <c r="Q5075" t="n">
        <v>0.07000000000000001</v>
      </c>
      <c r="R5075" t="n">
        <v>2</v>
      </c>
      <c r="S5075" t="n">
        <v>3815</v>
      </c>
      <c r="T5075" t="n">
        <v>22</v>
      </c>
      <c r="U5075" t="n">
        <v>23</v>
      </c>
      <c r="V5075" t="n">
        <v>30</v>
      </c>
      <c r="W5075" t="n">
        <v>3</v>
      </c>
      <c r="X5075" t="n">
        <v>28.57142857142857</v>
      </c>
      <c r="Y5075" t="n">
        <v>1</v>
      </c>
      <c r="Z5075" t="n">
        <v>1</v>
      </c>
      <c r="AA5075" t="n">
        <v>0</v>
      </c>
      <c r="AB5075" t="n">
        <v>1</v>
      </c>
      <c r="AC5075" t="n">
        <v>3</v>
      </c>
      <c r="AD5075" t="n">
        <v>0</v>
      </c>
      <c r="AE5075" t="n">
        <v>122400</v>
      </c>
      <c r="AF5075" t="n">
        <v>10181</v>
      </c>
      <c r="AG5075" t="n">
        <v>78</v>
      </c>
      <c r="AH5075" t="inlineStr">
        <is>
          <t>PT. GLORIENTA P.H - PPN (PDG)</t>
        </is>
      </c>
      <c r="AI5075" t="n">
        <v>1164</v>
      </c>
      <c r="AJ5075" t="inlineStr">
        <is>
          <t>SEA MAKEUP</t>
        </is>
      </c>
      <c r="AK5075" t="n">
        <v>21</v>
      </c>
      <c r="AL5075" t="inlineStr">
        <is>
          <t>Miss Glam Damar</t>
        </is>
      </c>
      <c r="AM5075" t="n">
        <v>1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SEA MAKEUP</t>
        </is>
      </c>
      <c r="B5076" s="2">
        <f>"769503433370"</f>
        <v/>
      </c>
      <c r="C5076" t="inlineStr">
        <is>
          <t>SEA MAKEUP Stick Cover Jelly Tint Rosey Crumble 3.2ml</t>
        </is>
      </c>
      <c r="D5076" t="inlineStr">
        <is>
          <t>Miss Glam Damar</t>
        </is>
      </c>
      <c r="E5076" t="n">
        <v>2</v>
      </c>
      <c r="F5076" t="n">
        <v>0.2184</v>
      </c>
      <c r="G5076" t="n">
        <v>1.82</v>
      </c>
      <c r="H5076" t="n">
        <v>3</v>
      </c>
      <c r="I5076" t="n">
        <v>11</v>
      </c>
      <c r="J5076" t="n">
        <v>3</v>
      </c>
      <c r="K5076" t="n">
        <v>0</v>
      </c>
      <c r="L5076" t="n">
        <v>40800</v>
      </c>
      <c r="M5076" t="n">
        <v>48000</v>
      </c>
      <c r="N5076" t="n">
        <v>91</v>
      </c>
      <c r="O5076" t="n">
        <v>0.91</v>
      </c>
      <c r="P5076" t="n">
        <v>1</v>
      </c>
      <c r="Q5076" t="n">
        <v>0.05</v>
      </c>
      <c r="R5076" t="n">
        <v>1</v>
      </c>
      <c r="S5076" t="n">
        <v>10483.2</v>
      </c>
      <c r="T5076" t="n">
        <v>20</v>
      </c>
      <c r="U5076" t="n">
        <v>21</v>
      </c>
      <c r="V5076" t="n">
        <v>30</v>
      </c>
      <c r="W5076" t="n">
        <v>7</v>
      </c>
      <c r="X5076" t="n">
        <v>9.157509157509157</v>
      </c>
      <c r="Y5076" t="n">
        <v>1</v>
      </c>
      <c r="Z5076" t="n">
        <v>5</v>
      </c>
      <c r="AA5076" t="n">
        <v>1</v>
      </c>
      <c r="AB5076" t="n">
        <v>4</v>
      </c>
      <c r="AC5076" t="n">
        <v>4</v>
      </c>
      <c r="AD5076" t="n">
        <v>40800</v>
      </c>
      <c r="AE5076" t="n">
        <v>163200</v>
      </c>
      <c r="AF5076" t="n">
        <v>10181</v>
      </c>
      <c r="AG5076" t="n">
        <v>78</v>
      </c>
      <c r="AH5076" t="inlineStr">
        <is>
          <t>PT. GLORIENTA P.H - PPN (PDG)</t>
        </is>
      </c>
      <c r="AI5076" t="n">
        <v>1164</v>
      </c>
      <c r="AJ5076" t="inlineStr">
        <is>
          <t>SEA MAKEUP</t>
        </is>
      </c>
      <c r="AK5076" t="n">
        <v>21</v>
      </c>
      <c r="AL5076" t="inlineStr">
        <is>
          <t>Miss Glam Damar</t>
        </is>
      </c>
      <c r="AM5076" t="n">
        <v>1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SEA MAKEUP</t>
        </is>
      </c>
      <c r="B5077" s="2">
        <f>"769503433356"</f>
        <v/>
      </c>
      <c r="C5077" t="inlineStr">
        <is>
          <t>SEA MAKEUP Stick Cover Jelly Tint Strawberry Popsicle 3.2ml</t>
        </is>
      </c>
      <c r="D5077" t="inlineStr">
        <is>
          <t>Miss Glam Damar</t>
        </is>
      </c>
      <c r="E5077" t="n">
        <v>12</v>
      </c>
      <c r="F5077" t="n">
        <v>0.2639</v>
      </c>
      <c r="G5077" t="n">
        <v>3.64</v>
      </c>
      <c r="H5077" t="n">
        <v>3</v>
      </c>
      <c r="I5077" t="n">
        <v>11</v>
      </c>
      <c r="J5077" t="n">
        <v>3</v>
      </c>
      <c r="K5077" t="n">
        <v>0</v>
      </c>
      <c r="L5077" t="n">
        <v>40800</v>
      </c>
      <c r="M5077" t="n">
        <v>48000</v>
      </c>
      <c r="N5077" t="n">
        <v>91</v>
      </c>
      <c r="O5077" t="n">
        <v>0.91</v>
      </c>
      <c r="P5077" t="n">
        <v>1</v>
      </c>
      <c r="Q5077" t="n">
        <v>0.32</v>
      </c>
      <c r="R5077" t="n">
        <v>2</v>
      </c>
      <c r="S5077" t="n">
        <v>12667.2</v>
      </c>
      <c r="T5077" t="n">
        <v>40</v>
      </c>
      <c r="U5077" t="n">
        <v>41</v>
      </c>
      <c r="V5077" t="n">
        <v>30</v>
      </c>
      <c r="W5077" t="n">
        <v>8</v>
      </c>
      <c r="X5077" t="n">
        <v>45.47176960970065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10181</v>
      </c>
      <c r="AG5077" t="n">
        <v>78</v>
      </c>
      <c r="AH5077" t="inlineStr">
        <is>
          <t>PT. GLORIENTA P.H - PPN (PDG)</t>
        </is>
      </c>
      <c r="AI5077" t="n">
        <v>1164</v>
      </c>
      <c r="AJ5077" t="inlineStr">
        <is>
          <t>SEA MAKEUP</t>
        </is>
      </c>
      <c r="AK5077" t="n">
        <v>21</v>
      </c>
      <c r="AL5077" t="inlineStr">
        <is>
          <t>Miss Glam Damar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SEA MAKEUP</t>
        </is>
      </c>
      <c r="B5078" s="2">
        <f>"745604686259"</f>
        <v/>
      </c>
      <c r="C5078" t="inlineStr">
        <is>
          <t>SEA MAKEUP Vibrant Flushed Liquid Blush Dahlia Sunset 6ml</t>
        </is>
      </c>
      <c r="D5078" t="inlineStr">
        <is>
          <t>Miss Glam Damar</t>
        </is>
      </c>
      <c r="E5078" t="n">
        <v>3</v>
      </c>
      <c r="F5078" t="n">
        <v>0.09100000000000001</v>
      </c>
      <c r="G5078" t="n">
        <v>0.91</v>
      </c>
      <c r="H5078" t="n">
        <v>3</v>
      </c>
      <c r="I5078" t="n">
        <v>11</v>
      </c>
      <c r="J5078" t="n">
        <v>3</v>
      </c>
      <c r="K5078" t="n">
        <v>0</v>
      </c>
      <c r="L5078" t="n">
        <v>54941</v>
      </c>
      <c r="M5078" t="n">
        <v>68000</v>
      </c>
      <c r="N5078" t="n">
        <v>91</v>
      </c>
      <c r="O5078" t="n">
        <v>0.91</v>
      </c>
      <c r="P5078" t="n">
        <v>1</v>
      </c>
      <c r="Q5078" t="n">
        <v>0.12</v>
      </c>
      <c r="R5078" t="n">
        <v>1</v>
      </c>
      <c r="S5078" t="n">
        <v>6188.000000000001</v>
      </c>
      <c r="T5078" t="n">
        <v>10</v>
      </c>
      <c r="U5078" t="n">
        <v>11</v>
      </c>
      <c r="V5078" t="n">
        <v>30</v>
      </c>
      <c r="W5078" t="n">
        <v>3</v>
      </c>
      <c r="X5078" t="n">
        <v>32.96703296703296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10181</v>
      </c>
      <c r="AG5078" t="n">
        <v>78</v>
      </c>
      <c r="AH5078" t="inlineStr">
        <is>
          <t>PT. GLORIENTA P.H - PPN (PDG)</t>
        </is>
      </c>
      <c r="AI5078" t="n">
        <v>1164</v>
      </c>
      <c r="AJ5078" t="inlineStr">
        <is>
          <t>SEA MAKEUP</t>
        </is>
      </c>
      <c r="AK5078" t="n">
        <v>21</v>
      </c>
      <c r="AL5078" t="inlineStr">
        <is>
          <t>Miss Glam Damar</t>
        </is>
      </c>
      <c r="AM5078" t="n">
        <v>1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SEA MAKEUP</t>
        </is>
      </c>
      <c r="B5079" s="2">
        <f>"745604686266"</f>
        <v/>
      </c>
      <c r="C5079" t="inlineStr">
        <is>
          <t>SEA MAKEUP Vibrant Flushed Liquid Blush Orchid Dusk 6ml</t>
        </is>
      </c>
      <c r="D5079" t="inlineStr">
        <is>
          <t>Miss Glam Damar</t>
        </is>
      </c>
      <c r="E5079" t="n">
        <v>7</v>
      </c>
      <c r="F5079" t="n">
        <v>0.2</v>
      </c>
      <c r="G5079" t="n">
        <v>1</v>
      </c>
      <c r="H5079" t="n">
        <v>3</v>
      </c>
      <c r="I5079" t="n">
        <v>11</v>
      </c>
      <c r="J5079" t="n">
        <v>3</v>
      </c>
      <c r="K5079" t="n">
        <v>0</v>
      </c>
      <c r="L5079" t="n">
        <v>57800</v>
      </c>
      <c r="M5079" t="n">
        <v>68000</v>
      </c>
      <c r="N5079" t="n">
        <v>91</v>
      </c>
      <c r="O5079" t="n">
        <v>0.91</v>
      </c>
      <c r="P5079" t="n">
        <v>0</v>
      </c>
      <c r="Q5079" t="n">
        <v>0.2</v>
      </c>
      <c r="R5079" t="n">
        <v>1</v>
      </c>
      <c r="S5079" t="n">
        <v>13600</v>
      </c>
      <c r="T5079" t="n">
        <v>11</v>
      </c>
      <c r="U5079" t="n">
        <v>12</v>
      </c>
      <c r="V5079" t="n">
        <v>30</v>
      </c>
      <c r="W5079" t="n">
        <v>6</v>
      </c>
      <c r="X5079" t="n">
        <v>35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10181</v>
      </c>
      <c r="AG5079" t="n">
        <v>78</v>
      </c>
      <c r="AH5079" t="inlineStr">
        <is>
          <t>PT. GLORIENTA P.H - PPN (PDG)</t>
        </is>
      </c>
      <c r="AI5079" t="n">
        <v>1164</v>
      </c>
      <c r="AJ5079" t="inlineStr">
        <is>
          <t>SEA MAKEUP</t>
        </is>
      </c>
      <c r="AK5079" t="n">
        <v>21</v>
      </c>
      <c r="AL5079" t="inlineStr">
        <is>
          <t>Miss Glam Damar</t>
        </is>
      </c>
      <c r="AM5079" t="n">
        <v>1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SECRET CLEAN</t>
        </is>
      </c>
      <c r="B5080" s="2">
        <f>"8997226227279"</f>
        <v/>
      </c>
      <c r="C5080" t="inlineStr">
        <is>
          <t>SECRET CLEAN Propolis Antiseptic Mouthwash Green Tea 150ml</t>
        </is>
      </c>
      <c r="D5080" t="inlineStr">
        <is>
          <t>Miss Glam Damar</t>
        </is>
      </c>
      <c r="E5080" t="n">
        <v>6</v>
      </c>
      <c r="F5080" t="n">
        <v>0.0273</v>
      </c>
      <c r="G5080" t="n">
        <v>0.91</v>
      </c>
      <c r="H5080" t="n">
        <v>3</v>
      </c>
      <c r="I5080" t="n">
        <v>11</v>
      </c>
      <c r="J5080" t="n">
        <v>3</v>
      </c>
      <c r="K5080" t="n">
        <v>0</v>
      </c>
      <c r="L5080" t="n">
        <v>23720</v>
      </c>
      <c r="M5080" t="n">
        <v>31000</v>
      </c>
      <c r="N5080" t="n">
        <v>91</v>
      </c>
      <c r="O5080" t="n">
        <v>0.91</v>
      </c>
      <c r="P5080" t="n">
        <v>1</v>
      </c>
      <c r="Q5080" t="n">
        <v>0.25</v>
      </c>
      <c r="R5080" t="n">
        <v>2</v>
      </c>
      <c r="S5080" t="n">
        <v>846.3000000000001</v>
      </c>
      <c r="T5080" t="n">
        <v>10</v>
      </c>
      <c r="U5080" t="n">
        <v>11</v>
      </c>
      <c r="V5080" t="n">
        <v>30</v>
      </c>
      <c r="W5080" t="n">
        <v>1</v>
      </c>
      <c r="X5080" t="n">
        <v>219.7802197802198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10188</v>
      </c>
      <c r="AG5080" t="n">
        <v>78</v>
      </c>
      <c r="AH5080" t="inlineStr">
        <is>
          <t>PT. GLORIENTA P.H - PPN (PDG)</t>
        </is>
      </c>
      <c r="AI5080" t="n">
        <v>927</v>
      </c>
      <c r="AJ5080" t="inlineStr">
        <is>
          <t>SECRET CLEAN</t>
        </is>
      </c>
      <c r="AK5080" t="n">
        <v>21</v>
      </c>
      <c r="AL5080" t="inlineStr">
        <is>
          <t>Miss Glam Damar</t>
        </is>
      </c>
      <c r="AM5080" t="n">
        <v>1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SECRET CLEAN</t>
        </is>
      </c>
      <c r="B5081" s="2">
        <f>"8997226226555"</f>
        <v/>
      </c>
      <c r="C5081" t="inlineStr">
        <is>
          <t>SECRET CLEAN Propolis Antiseptic Mouthwash Orange Mint 150ml</t>
        </is>
      </c>
      <c r="D5081" t="inlineStr">
        <is>
          <t>Miss Glam Damar</t>
        </is>
      </c>
      <c r="E5081" t="n">
        <v>-1</v>
      </c>
      <c r="F5081" t="n">
        <v>0.1365</v>
      </c>
      <c r="G5081" t="n">
        <v>0.91</v>
      </c>
      <c r="H5081" t="n">
        <v>3</v>
      </c>
      <c r="I5081" t="n">
        <v>11</v>
      </c>
      <c r="J5081" t="n">
        <v>3</v>
      </c>
      <c r="K5081" t="n">
        <v>0</v>
      </c>
      <c r="L5081" t="n">
        <v>23720</v>
      </c>
      <c r="M5081" t="n">
        <v>43000</v>
      </c>
      <c r="N5081" t="n">
        <v>91</v>
      </c>
      <c r="O5081" t="n">
        <v>0.91</v>
      </c>
      <c r="P5081" t="n">
        <v>1</v>
      </c>
      <c r="Q5081" t="n">
        <v>0.24</v>
      </c>
      <c r="R5081" t="n">
        <v>3</v>
      </c>
      <c r="S5081" t="n">
        <v>5869.5</v>
      </c>
      <c r="T5081" t="n">
        <v>10</v>
      </c>
      <c r="U5081" t="n">
        <v>11</v>
      </c>
      <c r="V5081" t="n">
        <v>30</v>
      </c>
      <c r="W5081" t="n">
        <v>5</v>
      </c>
      <c r="X5081" t="n">
        <v>-7.326007326007326</v>
      </c>
      <c r="Y5081" t="n">
        <v>1</v>
      </c>
      <c r="Z5081" t="n">
        <v>6</v>
      </c>
      <c r="AA5081" t="n">
        <v>3</v>
      </c>
      <c r="AB5081" t="n">
        <v>3</v>
      </c>
      <c r="AC5081" t="n">
        <v>3</v>
      </c>
      <c r="AD5081" t="n">
        <v>71160</v>
      </c>
      <c r="AE5081" t="n">
        <v>71160</v>
      </c>
      <c r="AF5081" t="n">
        <v>10188</v>
      </c>
      <c r="AG5081" t="n">
        <v>78</v>
      </c>
      <c r="AH5081" t="inlineStr">
        <is>
          <t>PT. GLORIENTA P.H - PPN (PDG)</t>
        </is>
      </c>
      <c r="AI5081" t="n">
        <v>927</v>
      </c>
      <c r="AJ5081" t="inlineStr">
        <is>
          <t>SECRET CLEAN</t>
        </is>
      </c>
      <c r="AK5081" t="n">
        <v>21</v>
      </c>
      <c r="AL5081" t="inlineStr">
        <is>
          <t>Miss Glam Damar</t>
        </is>
      </c>
      <c r="AM5081" t="n">
        <v>1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SECRET CLEAN</t>
        </is>
      </c>
      <c r="B5082" s="2">
        <f>"8997226227026"</f>
        <v/>
      </c>
      <c r="C5082" t="inlineStr">
        <is>
          <t>SECRET CLEAN Propolis Antiseptic Mouthwash Orange Mint 500ml</t>
        </is>
      </c>
      <c r="D5082" t="inlineStr">
        <is>
          <t>Miss Glam Damar</t>
        </is>
      </c>
      <c r="E5082" t="n">
        <v>0</v>
      </c>
      <c r="F5082" t="n">
        <v>0.06370000000000001</v>
      </c>
      <c r="G5082" t="n">
        <v>0.91</v>
      </c>
      <c r="H5082" t="n">
        <v>3</v>
      </c>
      <c r="I5082" t="n">
        <v>11</v>
      </c>
      <c r="J5082" t="n">
        <v>3</v>
      </c>
      <c r="K5082" t="n">
        <v>0</v>
      </c>
      <c r="L5082" t="n">
        <v>52520</v>
      </c>
      <c r="M5082" t="n">
        <v>70000</v>
      </c>
      <c r="N5082" t="n">
        <v>91</v>
      </c>
      <c r="O5082" t="n">
        <v>0.91</v>
      </c>
      <c r="P5082" t="n">
        <v>1</v>
      </c>
      <c r="Q5082" t="n">
        <v>0.09</v>
      </c>
      <c r="R5082" t="n">
        <v>1</v>
      </c>
      <c r="S5082" t="n">
        <v>4459.000000000001</v>
      </c>
      <c r="T5082" t="n">
        <v>10</v>
      </c>
      <c r="U5082" t="n">
        <v>11</v>
      </c>
      <c r="V5082" t="n">
        <v>30</v>
      </c>
      <c r="W5082" t="n">
        <v>2</v>
      </c>
      <c r="X5082" t="n">
        <v>0</v>
      </c>
      <c r="Y5082" t="n">
        <v>1</v>
      </c>
      <c r="Z5082" t="n">
        <v>2</v>
      </c>
      <c r="AA5082" t="n">
        <v>1</v>
      </c>
      <c r="AB5082" t="n">
        <v>1</v>
      </c>
      <c r="AC5082" t="n">
        <v>3</v>
      </c>
      <c r="AD5082" t="n">
        <v>52520</v>
      </c>
      <c r="AE5082" t="n">
        <v>157560</v>
      </c>
      <c r="AF5082" t="n">
        <v>10188</v>
      </c>
      <c r="AG5082" t="n">
        <v>78</v>
      </c>
      <c r="AH5082" t="inlineStr">
        <is>
          <t>PT. GLORIENTA P.H - PPN (PDG)</t>
        </is>
      </c>
      <c r="AI5082" t="n">
        <v>927</v>
      </c>
      <c r="AJ5082" t="inlineStr">
        <is>
          <t>SECRET CLEAN</t>
        </is>
      </c>
      <c r="AK5082" t="n">
        <v>21</v>
      </c>
      <c r="AL5082" t="inlineStr">
        <is>
          <t>Miss Glam Damar</t>
        </is>
      </c>
      <c r="AM5082" t="n">
        <v>1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SECRET CLEAN</t>
        </is>
      </c>
      <c r="B5083" s="2">
        <f>"8997226226562"</f>
        <v/>
      </c>
      <c r="C5083" t="inlineStr">
        <is>
          <t>SECRET CLEAN Propolis Antiseptic Mouthwash Peppermint 150ml</t>
        </is>
      </c>
      <c r="D5083" t="inlineStr">
        <is>
          <t>Miss Glam Damar</t>
        </is>
      </c>
      <c r="E5083" t="n">
        <v>3</v>
      </c>
      <c r="F5083" t="n">
        <v>0.3367</v>
      </c>
      <c r="G5083" t="n">
        <v>1.82</v>
      </c>
      <c r="H5083" t="n">
        <v>3</v>
      </c>
      <c r="I5083" t="n">
        <v>11</v>
      </c>
      <c r="J5083" t="n">
        <v>3</v>
      </c>
      <c r="K5083" t="n">
        <v>0</v>
      </c>
      <c r="L5083" t="n">
        <v>23720</v>
      </c>
      <c r="M5083" t="n">
        <v>30000</v>
      </c>
      <c r="N5083" t="n">
        <v>91</v>
      </c>
      <c r="O5083" t="n">
        <v>0.91</v>
      </c>
      <c r="P5083" t="n">
        <v>1</v>
      </c>
      <c r="Q5083" t="n">
        <v>0.24</v>
      </c>
      <c r="R5083" t="n">
        <v>2</v>
      </c>
      <c r="S5083" t="n">
        <v>10101</v>
      </c>
      <c r="T5083" t="n">
        <v>20</v>
      </c>
      <c r="U5083" t="n">
        <v>22</v>
      </c>
      <c r="V5083" t="n">
        <v>30</v>
      </c>
      <c r="W5083" t="n">
        <v>11</v>
      </c>
      <c r="X5083" t="n">
        <v>8.91000891000891</v>
      </c>
      <c r="Y5083" t="n">
        <v>1</v>
      </c>
      <c r="Z5083" t="n">
        <v>8</v>
      </c>
      <c r="AA5083" t="n">
        <v>1</v>
      </c>
      <c r="AB5083" t="n">
        <v>7</v>
      </c>
      <c r="AC5083" t="n">
        <v>7</v>
      </c>
      <c r="AD5083" t="n">
        <v>23720</v>
      </c>
      <c r="AE5083" t="n">
        <v>166040</v>
      </c>
      <c r="AF5083" t="n">
        <v>10188</v>
      </c>
      <c r="AG5083" t="n">
        <v>78</v>
      </c>
      <c r="AH5083" t="inlineStr">
        <is>
          <t>PT. GLORIENTA P.H - PPN (PDG)</t>
        </is>
      </c>
      <c r="AI5083" t="n">
        <v>927</v>
      </c>
      <c r="AJ5083" t="inlineStr">
        <is>
          <t>SECRET CLEAN</t>
        </is>
      </c>
      <c r="AK5083" t="n">
        <v>21</v>
      </c>
      <c r="AL5083" t="inlineStr">
        <is>
          <t>Miss Glam Damar</t>
        </is>
      </c>
      <c r="AM5083" t="n">
        <v>1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SECRET CLEAN</t>
        </is>
      </c>
      <c r="B5084" s="2">
        <f>"8997226227033"</f>
        <v/>
      </c>
      <c r="C5084" t="inlineStr">
        <is>
          <t>SECRET CLEAN Propolis Antiseptic Mouthwash Peppermint 500ml</t>
        </is>
      </c>
      <c r="D5084" t="inlineStr">
        <is>
          <t>Miss Glam Damar</t>
        </is>
      </c>
      <c r="E5084" t="n">
        <v>0</v>
      </c>
      <c r="F5084" t="n">
        <v>0.0546</v>
      </c>
      <c r="G5084" t="n">
        <v>1.82</v>
      </c>
      <c r="H5084" t="n">
        <v>3</v>
      </c>
      <c r="I5084" t="n">
        <v>11</v>
      </c>
      <c r="J5084" t="n">
        <v>3</v>
      </c>
      <c r="K5084" t="n">
        <v>0</v>
      </c>
      <c r="L5084" t="n">
        <v>52520</v>
      </c>
      <c r="M5084" t="n">
        <v>70000</v>
      </c>
      <c r="N5084" t="n">
        <v>91</v>
      </c>
      <c r="O5084" t="n">
        <v>0.91</v>
      </c>
      <c r="P5084" t="n">
        <v>1</v>
      </c>
      <c r="Q5084" t="n">
        <v>0.15</v>
      </c>
      <c r="R5084" t="n">
        <v>1</v>
      </c>
      <c r="S5084" t="n">
        <v>3822</v>
      </c>
      <c r="T5084" t="n">
        <v>20</v>
      </c>
      <c r="U5084" t="n">
        <v>21</v>
      </c>
      <c r="V5084" t="n">
        <v>30</v>
      </c>
      <c r="W5084" t="n">
        <v>2</v>
      </c>
      <c r="X5084" t="n">
        <v>0</v>
      </c>
      <c r="Y5084" t="n">
        <v>1</v>
      </c>
      <c r="Z5084" t="n">
        <v>2</v>
      </c>
      <c r="AA5084" t="n">
        <v>1</v>
      </c>
      <c r="AB5084" t="n">
        <v>1</v>
      </c>
      <c r="AC5084" t="n">
        <v>3</v>
      </c>
      <c r="AD5084" t="n">
        <v>52520</v>
      </c>
      <c r="AE5084" t="n">
        <v>157560</v>
      </c>
      <c r="AF5084" t="n">
        <v>10188</v>
      </c>
      <c r="AG5084" t="n">
        <v>78</v>
      </c>
      <c r="AH5084" t="inlineStr">
        <is>
          <t>PT. GLORIENTA P.H - PPN (PDG)</t>
        </is>
      </c>
      <c r="AI5084" t="n">
        <v>927</v>
      </c>
      <c r="AJ5084" t="inlineStr">
        <is>
          <t>SECRET CLEAN</t>
        </is>
      </c>
      <c r="AK5084" t="n">
        <v>21</v>
      </c>
      <c r="AL5084" t="inlineStr">
        <is>
          <t>Miss Glam Damar</t>
        </is>
      </c>
      <c r="AM5084" t="n">
        <v>1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SECRET CLEAN</t>
        </is>
      </c>
      <c r="B5085" s="2">
        <f>"30800115346"</f>
        <v/>
      </c>
      <c r="C5085" t="inlineStr">
        <is>
          <t>SECRET CLEAN Propolis Feminime Wash Something Clean Down There 100ml</t>
        </is>
      </c>
      <c r="D5085" t="inlineStr">
        <is>
          <t>Miss Glam Damar</t>
        </is>
      </c>
      <c r="E5085" t="n">
        <v>15</v>
      </c>
      <c r="F5085" t="n">
        <v>1.5743</v>
      </c>
      <c r="G5085" t="n">
        <v>6.37</v>
      </c>
      <c r="H5085" t="n">
        <v>3</v>
      </c>
      <c r="I5085" t="n">
        <v>11</v>
      </c>
      <c r="J5085" t="n">
        <v>12</v>
      </c>
      <c r="K5085" t="n">
        <v>0</v>
      </c>
      <c r="L5085" t="n">
        <v>17520</v>
      </c>
      <c r="M5085" t="n">
        <v>22000</v>
      </c>
      <c r="N5085" t="n">
        <v>91</v>
      </c>
      <c r="O5085" t="n">
        <v>0.91</v>
      </c>
      <c r="P5085" t="n">
        <v>1</v>
      </c>
      <c r="Q5085" t="n">
        <v>1.08</v>
      </c>
      <c r="R5085" t="n">
        <v>5</v>
      </c>
      <c r="S5085" t="n">
        <v>34634.6</v>
      </c>
      <c r="T5085" t="n">
        <v>66</v>
      </c>
      <c r="U5085" t="n">
        <v>71</v>
      </c>
      <c r="V5085" t="n">
        <v>30</v>
      </c>
      <c r="W5085" t="n">
        <v>48</v>
      </c>
      <c r="X5085" t="n">
        <v>9.528044210125135</v>
      </c>
      <c r="Y5085" t="n">
        <v>1</v>
      </c>
      <c r="Z5085" t="n">
        <v>33</v>
      </c>
      <c r="AA5085" t="n">
        <v>3</v>
      </c>
      <c r="AB5085" t="n">
        <v>30</v>
      </c>
      <c r="AC5085" t="n">
        <v>30</v>
      </c>
      <c r="AD5085" t="n">
        <v>52560</v>
      </c>
      <c r="AE5085" t="n">
        <v>525600</v>
      </c>
      <c r="AF5085" t="n">
        <v>10188</v>
      </c>
      <c r="AG5085" t="n">
        <v>78</v>
      </c>
      <c r="AH5085" t="inlineStr">
        <is>
          <t>PT. GLORIENTA P.H - PPN (PDG)</t>
        </is>
      </c>
      <c r="AI5085" t="n">
        <v>927</v>
      </c>
      <c r="AJ5085" t="inlineStr">
        <is>
          <t>SECRET CLEAN</t>
        </is>
      </c>
      <c r="AK5085" t="n">
        <v>21</v>
      </c>
      <c r="AL5085" t="inlineStr">
        <is>
          <t>Miss Glam Damar</t>
        </is>
      </c>
      <c r="AM5085" t="n">
        <v>1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SECRET CLEAN</t>
        </is>
      </c>
      <c r="B5086" s="2">
        <f>"30800115211"</f>
        <v/>
      </c>
      <c r="C5086" t="inlineStr">
        <is>
          <t>SECRET CLEAN Propolis Feminine Intimate Spray 8ml</t>
        </is>
      </c>
      <c r="D5086" t="inlineStr">
        <is>
          <t>Miss Glam Damar</t>
        </is>
      </c>
      <c r="E5086" t="n">
        <v>17</v>
      </c>
      <c r="F5086" t="n">
        <v>0.3367</v>
      </c>
      <c r="G5086" t="n">
        <v>3.64</v>
      </c>
      <c r="H5086" t="n">
        <v>3</v>
      </c>
      <c r="I5086" t="n">
        <v>11</v>
      </c>
      <c r="J5086" t="n">
        <v>3</v>
      </c>
      <c r="K5086" t="n">
        <v>0</v>
      </c>
      <c r="L5086" t="n">
        <v>14120</v>
      </c>
      <c r="M5086" t="n">
        <v>18500</v>
      </c>
      <c r="N5086" t="n">
        <v>91</v>
      </c>
      <c r="O5086" t="n">
        <v>0.91</v>
      </c>
      <c r="P5086" t="n">
        <v>1</v>
      </c>
      <c r="Q5086" t="n">
        <v>0.29</v>
      </c>
      <c r="R5086" t="n">
        <v>2</v>
      </c>
      <c r="S5086" t="n">
        <v>6228.95</v>
      </c>
      <c r="T5086" t="n">
        <v>40</v>
      </c>
      <c r="U5086" t="n">
        <v>42</v>
      </c>
      <c r="V5086" t="n">
        <v>30</v>
      </c>
      <c r="W5086" t="n">
        <v>11</v>
      </c>
      <c r="X5086" t="n">
        <v>50.49005049005049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10188</v>
      </c>
      <c r="AG5086" t="n">
        <v>78</v>
      </c>
      <c r="AH5086" t="inlineStr">
        <is>
          <t>PT. GLORIENTA P.H - PPN (PDG)</t>
        </is>
      </c>
      <c r="AI5086" t="n">
        <v>927</v>
      </c>
      <c r="AJ5086" t="inlineStr">
        <is>
          <t>SECRET CLEAN</t>
        </is>
      </c>
      <c r="AK5086" t="n">
        <v>21</v>
      </c>
      <c r="AL5086" t="inlineStr">
        <is>
          <t>Miss Glam Damar</t>
        </is>
      </c>
      <c r="AM5086" t="n">
        <v>1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SECRET CLEAN</t>
        </is>
      </c>
      <c r="B5087" s="2">
        <f>"30800115141"</f>
        <v/>
      </c>
      <c r="C5087" t="inlineStr">
        <is>
          <t>SECRET CLEAN Propolis Feminine Spray Happy Down 8ml</t>
        </is>
      </c>
      <c r="D5087" t="inlineStr">
        <is>
          <t>Miss Glam Damar</t>
        </is>
      </c>
      <c r="E5087" t="n">
        <v>1</v>
      </c>
      <c r="F5087" t="n">
        <v>0.2457</v>
      </c>
      <c r="G5087" t="n">
        <v>1.82</v>
      </c>
      <c r="H5087" t="n">
        <v>3</v>
      </c>
      <c r="I5087" t="n">
        <v>11</v>
      </c>
      <c r="J5087" t="n">
        <v>1</v>
      </c>
      <c r="K5087" t="n">
        <v>0</v>
      </c>
      <c r="L5087" t="n">
        <v>14091</v>
      </c>
      <c r="M5087" t="n">
        <v>18000</v>
      </c>
      <c r="N5087" t="n">
        <v>91</v>
      </c>
      <c r="O5087" t="n">
        <v>0.91</v>
      </c>
      <c r="P5087" t="n">
        <v>1</v>
      </c>
      <c r="Q5087" t="n">
        <v>0.29</v>
      </c>
      <c r="R5087" t="n">
        <v>2</v>
      </c>
      <c r="S5087" t="n">
        <v>4422.6</v>
      </c>
      <c r="T5087" t="n">
        <v>20</v>
      </c>
      <c r="U5087" t="n">
        <v>21</v>
      </c>
      <c r="V5087" t="n">
        <v>30</v>
      </c>
      <c r="W5087" t="n">
        <v>8</v>
      </c>
      <c r="X5087" t="n">
        <v>4.070004070004069</v>
      </c>
      <c r="Y5087" t="n">
        <v>1</v>
      </c>
      <c r="Z5087" t="n">
        <v>7</v>
      </c>
      <c r="AA5087" t="n">
        <v>2</v>
      </c>
      <c r="AB5087" t="n">
        <v>5</v>
      </c>
      <c r="AC5087" t="n">
        <v>5</v>
      </c>
      <c r="AD5087" t="n">
        <v>28182</v>
      </c>
      <c r="AE5087" t="n">
        <v>70455</v>
      </c>
      <c r="AF5087" t="n">
        <v>10188</v>
      </c>
      <c r="AG5087" t="n">
        <v>78</v>
      </c>
      <c r="AH5087" t="inlineStr">
        <is>
          <t>PT. GLORIENTA P.H - PPN (PDG)</t>
        </is>
      </c>
      <c r="AI5087" t="n">
        <v>927</v>
      </c>
      <c r="AJ5087" t="inlineStr">
        <is>
          <t>SECRET CLEAN</t>
        </is>
      </c>
      <c r="AK5087" t="n">
        <v>21</v>
      </c>
      <c r="AL5087" t="inlineStr">
        <is>
          <t>Miss Glam Damar</t>
        </is>
      </c>
      <c r="AM5087" t="n">
        <v>1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SECRET CLEAN</t>
        </is>
      </c>
      <c r="B5088" s="2">
        <f>"30800115213"</f>
        <v/>
      </c>
      <c r="C5088" t="inlineStr">
        <is>
          <t>SECRET CLEAN Propolis Feminine Spray Romantic Love 8ml</t>
        </is>
      </c>
      <c r="D5088" t="inlineStr">
        <is>
          <t>Miss Glam Damar</t>
        </is>
      </c>
      <c r="E5088" t="n">
        <v>18</v>
      </c>
      <c r="F5088" t="n">
        <v>0.5369</v>
      </c>
      <c r="G5088" t="n">
        <v>2.73</v>
      </c>
      <c r="H5088" t="n">
        <v>3</v>
      </c>
      <c r="I5088" t="n">
        <v>11</v>
      </c>
      <c r="J5088" t="n">
        <v>1</v>
      </c>
      <c r="K5088" t="n">
        <v>0</v>
      </c>
      <c r="L5088" t="n">
        <v>14119</v>
      </c>
      <c r="M5088" t="n">
        <v>18000</v>
      </c>
      <c r="N5088" t="n">
        <v>91</v>
      </c>
      <c r="O5088" t="n">
        <v>0.91</v>
      </c>
      <c r="P5088" t="n">
        <v>1</v>
      </c>
      <c r="Q5088" t="n">
        <v>0.53</v>
      </c>
      <c r="R5088" t="n">
        <v>4</v>
      </c>
      <c r="S5088" t="n">
        <v>9664.200000000001</v>
      </c>
      <c r="T5088" t="n">
        <v>29</v>
      </c>
      <c r="U5088" t="n">
        <v>31</v>
      </c>
      <c r="V5088" t="n">
        <v>30</v>
      </c>
      <c r="W5088" t="n">
        <v>17</v>
      </c>
      <c r="X5088" t="n">
        <v>33.52579623766064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10188</v>
      </c>
      <c r="AG5088" t="n">
        <v>78</v>
      </c>
      <c r="AH5088" t="inlineStr">
        <is>
          <t>PT. GLORIENTA P.H - PPN (PDG)</t>
        </is>
      </c>
      <c r="AI5088" t="n">
        <v>927</v>
      </c>
      <c r="AJ5088" t="inlineStr">
        <is>
          <t>SECRET CLEAN</t>
        </is>
      </c>
      <c r="AK5088" t="n">
        <v>21</v>
      </c>
      <c r="AL5088" t="inlineStr">
        <is>
          <t>Miss Glam Damar</t>
        </is>
      </c>
      <c r="AM5088" t="n">
        <v>1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SECRET CLEAN</t>
        </is>
      </c>
      <c r="B5089" s="2">
        <f>"30800116036"</f>
        <v/>
      </c>
      <c r="C5089" t="inlineStr">
        <is>
          <t>SECRET CLEAN Propolis Feminine Wash &amp; Spray + Glow Up Underarm 30gr</t>
        </is>
      </c>
      <c r="D5089" t="inlineStr">
        <is>
          <t>Miss Glam Damar</t>
        </is>
      </c>
      <c r="E5089" t="n">
        <v>14</v>
      </c>
      <c r="F5089" t="n">
        <v>0.7735</v>
      </c>
      <c r="G5089" t="n">
        <v>3.64</v>
      </c>
      <c r="H5089" t="n">
        <v>3</v>
      </c>
      <c r="I5089" t="n">
        <v>11</v>
      </c>
      <c r="J5089" t="n">
        <v>1</v>
      </c>
      <c r="K5089" t="n">
        <v>0</v>
      </c>
      <c r="L5089" t="n">
        <v>23200</v>
      </c>
      <c r="M5089" t="n">
        <v>29000</v>
      </c>
      <c r="N5089" t="n">
        <v>91</v>
      </c>
      <c r="O5089" t="n">
        <v>0.91</v>
      </c>
      <c r="P5089" t="n">
        <v>1</v>
      </c>
      <c r="Q5089" t="n">
        <v>0.27</v>
      </c>
      <c r="R5089" t="n">
        <v>2</v>
      </c>
      <c r="S5089" t="n">
        <v>22431.5</v>
      </c>
      <c r="T5089" t="n">
        <v>38</v>
      </c>
      <c r="U5089" t="n">
        <v>41</v>
      </c>
      <c r="V5089" t="n">
        <v>30</v>
      </c>
      <c r="W5089" t="n">
        <v>24</v>
      </c>
      <c r="X5089" t="n">
        <v>18.09954751131222</v>
      </c>
      <c r="Y5089" t="n">
        <v>1</v>
      </c>
      <c r="Z5089" t="n">
        <v>10</v>
      </c>
      <c r="AA5089" t="n">
        <v>0</v>
      </c>
      <c r="AB5089" t="n">
        <v>10</v>
      </c>
      <c r="AC5089" t="n">
        <v>10</v>
      </c>
      <c r="AD5089" t="n">
        <v>0</v>
      </c>
      <c r="AE5089" t="n">
        <v>232000</v>
      </c>
      <c r="AF5089" t="n">
        <v>10188</v>
      </c>
      <c r="AG5089" t="n">
        <v>78</v>
      </c>
      <c r="AH5089" t="inlineStr">
        <is>
          <t>PT. GLORIENTA P.H - PPN (PDG)</t>
        </is>
      </c>
      <c r="AI5089" t="n">
        <v>927</v>
      </c>
      <c r="AJ5089" t="inlineStr">
        <is>
          <t>SECRET CLEAN</t>
        </is>
      </c>
      <c r="AK5089" t="n">
        <v>21</v>
      </c>
      <c r="AL5089" t="inlineStr">
        <is>
          <t>Miss Glam Damar</t>
        </is>
      </c>
      <c r="AM5089" t="n">
        <v>1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SECRET CLEAN</t>
        </is>
      </c>
      <c r="B5090" s="2">
        <f>"30800115325"</f>
        <v/>
      </c>
      <c r="C5090" t="inlineStr">
        <is>
          <t>SECRET CLEAN Propolis Feminine Wash Happy Down 100ml</t>
        </is>
      </c>
      <c r="D5090" t="inlineStr">
        <is>
          <t>Miss Glam Damar</t>
        </is>
      </c>
      <c r="E5090" t="n">
        <v>11</v>
      </c>
      <c r="F5090" t="n">
        <v>0.8372000000000001</v>
      </c>
      <c r="G5090" t="n">
        <v>3.64</v>
      </c>
      <c r="H5090" t="n">
        <v>3</v>
      </c>
      <c r="I5090" t="n">
        <v>11</v>
      </c>
      <c r="J5090" t="n">
        <v>1</v>
      </c>
      <c r="K5090" t="n">
        <v>0</v>
      </c>
      <c r="L5090" t="n">
        <v>17520</v>
      </c>
      <c r="M5090" t="n">
        <v>21000</v>
      </c>
      <c r="N5090" t="n">
        <v>91</v>
      </c>
      <c r="O5090" t="n">
        <v>0.91</v>
      </c>
      <c r="P5090" t="n">
        <v>1</v>
      </c>
      <c r="Q5090" t="n">
        <v>0.88</v>
      </c>
      <c r="R5090" t="n">
        <v>4</v>
      </c>
      <c r="S5090" t="n">
        <v>17581.2</v>
      </c>
      <c r="T5090" t="n">
        <v>38</v>
      </c>
      <c r="U5090" t="n">
        <v>41</v>
      </c>
      <c r="V5090" t="n">
        <v>30</v>
      </c>
      <c r="W5090" t="n">
        <v>26</v>
      </c>
      <c r="X5090" t="n">
        <v>13.13903487816531</v>
      </c>
      <c r="Y5090" t="n">
        <v>1</v>
      </c>
      <c r="Z5090" t="n">
        <v>15</v>
      </c>
      <c r="AA5090" t="n">
        <v>0</v>
      </c>
      <c r="AB5090" t="n">
        <v>15</v>
      </c>
      <c r="AC5090" t="n">
        <v>15</v>
      </c>
      <c r="AD5090" t="n">
        <v>0</v>
      </c>
      <c r="AE5090" t="n">
        <v>262800</v>
      </c>
      <c r="AF5090" t="n">
        <v>10188</v>
      </c>
      <c r="AG5090" t="n">
        <v>78</v>
      </c>
      <c r="AH5090" t="inlineStr">
        <is>
          <t>PT. GLORIENTA P.H - PPN (PDG)</t>
        </is>
      </c>
      <c r="AI5090" t="n">
        <v>927</v>
      </c>
      <c r="AJ5090" t="inlineStr">
        <is>
          <t>SECRET CLEAN</t>
        </is>
      </c>
      <c r="AK5090" t="n">
        <v>21</v>
      </c>
      <c r="AL5090" t="inlineStr">
        <is>
          <t>Miss Glam Damar</t>
        </is>
      </c>
      <c r="AM5090" t="n">
        <v>1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SECRET CLEAN</t>
        </is>
      </c>
      <c r="B5091" s="2">
        <f>"30800115459"</f>
        <v/>
      </c>
      <c r="C5091" t="inlineStr">
        <is>
          <t>SECRET CLEAN Propolis Feminine Wash Romantic Love 100ml</t>
        </is>
      </c>
      <c r="D5091" t="inlineStr">
        <is>
          <t>Miss Glam Damar</t>
        </is>
      </c>
      <c r="E5091" t="n">
        <v>5</v>
      </c>
      <c r="F5091" t="n">
        <v>1.5106</v>
      </c>
      <c r="G5091" t="n">
        <v>4.55</v>
      </c>
      <c r="H5091" t="n">
        <v>3</v>
      </c>
      <c r="I5091" t="n">
        <v>11</v>
      </c>
      <c r="J5091" t="n">
        <v>1</v>
      </c>
      <c r="K5091" t="n">
        <v>0</v>
      </c>
      <c r="L5091" t="n">
        <v>17520</v>
      </c>
      <c r="M5091" t="n">
        <v>21000</v>
      </c>
      <c r="N5091" t="n">
        <v>91</v>
      </c>
      <c r="O5091" t="n">
        <v>0.91</v>
      </c>
      <c r="P5091" t="n">
        <v>1</v>
      </c>
      <c r="Q5091" t="n">
        <v>1.61</v>
      </c>
      <c r="R5091" t="n">
        <v>6</v>
      </c>
      <c r="S5091" t="n">
        <v>31722.6</v>
      </c>
      <c r="T5091" t="n">
        <v>46</v>
      </c>
      <c r="U5091" t="n">
        <v>51</v>
      </c>
      <c r="V5091" t="n">
        <v>30</v>
      </c>
      <c r="W5091" t="n">
        <v>46</v>
      </c>
      <c r="X5091" t="n">
        <v>3.309943068979214</v>
      </c>
      <c r="Y5091" t="n">
        <v>1</v>
      </c>
      <c r="Z5091" t="n">
        <v>41</v>
      </c>
      <c r="AA5091" t="n">
        <v>12</v>
      </c>
      <c r="AB5091" t="n">
        <v>29</v>
      </c>
      <c r="AC5091" t="n">
        <v>29</v>
      </c>
      <c r="AD5091" t="n">
        <v>210240</v>
      </c>
      <c r="AE5091" t="n">
        <v>508080</v>
      </c>
      <c r="AF5091" t="n">
        <v>10188</v>
      </c>
      <c r="AG5091" t="n">
        <v>78</v>
      </c>
      <c r="AH5091" t="inlineStr">
        <is>
          <t>PT. GLORIENTA P.H - PPN (PDG)</t>
        </is>
      </c>
      <c r="AI5091" t="n">
        <v>927</v>
      </c>
      <c r="AJ5091" t="inlineStr">
        <is>
          <t>SECRET CLEAN</t>
        </is>
      </c>
      <c r="AK5091" t="n">
        <v>21</v>
      </c>
      <c r="AL5091" t="inlineStr">
        <is>
          <t>Miss Glam Damar</t>
        </is>
      </c>
      <c r="AM5091" t="n">
        <v>1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SELECTION</t>
        </is>
      </c>
      <c r="B5092" s="2">
        <f>"8991038779094"</f>
        <v/>
      </c>
      <c r="C5092" t="inlineStr">
        <is>
          <t>SELECTION Baby Cotton Bud Isi 100 Refill</t>
        </is>
      </c>
      <c r="D5092" t="inlineStr">
        <is>
          <t>Miss Glam Damar</t>
        </is>
      </c>
      <c r="E5092" t="n">
        <v>62</v>
      </c>
      <c r="F5092" t="n">
        <v>3.5308</v>
      </c>
      <c r="G5092" t="n">
        <v>10.01</v>
      </c>
      <c r="H5092" t="n">
        <v>1</v>
      </c>
      <c r="I5092" t="n">
        <v>2</v>
      </c>
      <c r="J5092" t="n">
        <v>12</v>
      </c>
      <c r="K5092" t="n">
        <v>0</v>
      </c>
      <c r="L5092" t="n">
        <v>3641</v>
      </c>
      <c r="M5092" t="n">
        <v>5000</v>
      </c>
      <c r="N5092" t="n">
        <v>91</v>
      </c>
      <c r="O5092" t="n">
        <v>0.91</v>
      </c>
      <c r="P5092" t="n">
        <v>1</v>
      </c>
      <c r="Q5092" t="n">
        <v>2.51</v>
      </c>
      <c r="R5092" t="n">
        <v>7</v>
      </c>
      <c r="S5092" t="n">
        <v>17654</v>
      </c>
      <c r="T5092" t="n">
        <v>17</v>
      </c>
      <c r="U5092" t="n">
        <v>21</v>
      </c>
      <c r="V5092" t="n">
        <v>30</v>
      </c>
      <c r="W5092" t="n">
        <v>106</v>
      </c>
      <c r="X5092" t="n">
        <v>17.55975982780106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13500</v>
      </c>
      <c r="AG5092" t="n">
        <v>142</v>
      </c>
      <c r="AH5092" t="inlineStr">
        <is>
          <t>SUMASCO CV - PPN (PDG)</t>
        </is>
      </c>
      <c r="AI5092" t="n">
        <v>142</v>
      </c>
      <c r="AJ5092" t="inlineStr">
        <is>
          <t>SELECTION</t>
        </is>
      </c>
      <c r="AK5092" t="n">
        <v>21</v>
      </c>
      <c r="AL5092" t="inlineStr">
        <is>
          <t>Miss Glam Damar</t>
        </is>
      </c>
      <c r="AM5092" t="n">
        <v>4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SELECTION</t>
        </is>
      </c>
      <c r="B5093" s="2">
        <f>"8991038775416"</f>
        <v/>
      </c>
      <c r="C5093" t="inlineStr">
        <is>
          <t>SELECTION Cotton Bud 180pcs</t>
        </is>
      </c>
      <c r="D5093" t="inlineStr">
        <is>
          <t>Miss Glam Damar</t>
        </is>
      </c>
      <c r="E5093" t="n">
        <v>25</v>
      </c>
      <c r="F5093" t="n">
        <v>0.4459</v>
      </c>
      <c r="G5093" t="n">
        <v>2.73</v>
      </c>
      <c r="H5093" t="n">
        <v>1</v>
      </c>
      <c r="I5093" t="n">
        <v>2</v>
      </c>
      <c r="J5093" t="n">
        <v>12</v>
      </c>
      <c r="K5093" t="n">
        <v>0</v>
      </c>
      <c r="L5093" t="n">
        <v>8888</v>
      </c>
      <c r="M5093" t="n">
        <v>12000</v>
      </c>
      <c r="N5093" t="n">
        <v>91</v>
      </c>
      <c r="O5093" t="n">
        <v>0.91</v>
      </c>
      <c r="P5093" t="n">
        <v>1</v>
      </c>
      <c r="Q5093" t="n">
        <v>0.61</v>
      </c>
      <c r="R5093" t="n">
        <v>4</v>
      </c>
      <c r="S5093" t="n">
        <v>5350.8</v>
      </c>
      <c r="T5093" t="n">
        <v>6</v>
      </c>
      <c r="U5093" t="n">
        <v>7</v>
      </c>
      <c r="V5093" t="n">
        <v>30</v>
      </c>
      <c r="W5093" t="n">
        <v>14</v>
      </c>
      <c r="X5093" t="n">
        <v>56.06638259699484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13500</v>
      </c>
      <c r="AG5093" t="n">
        <v>142</v>
      </c>
      <c r="AH5093" t="inlineStr">
        <is>
          <t>SUMASCO CV - PPN (PDG)</t>
        </is>
      </c>
      <c r="AI5093" t="n">
        <v>142</v>
      </c>
      <c r="AJ5093" t="inlineStr">
        <is>
          <t>SELECTION</t>
        </is>
      </c>
      <c r="AK5093" t="n">
        <v>21</v>
      </c>
      <c r="AL5093" t="inlineStr">
        <is>
          <t>Miss Glam Damar</t>
        </is>
      </c>
      <c r="AM5093" t="n">
        <v>4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SELECTION</t>
        </is>
      </c>
      <c r="B5094" s="2">
        <f>"8991038775553"</f>
        <v/>
      </c>
      <c r="C5094" t="inlineStr">
        <is>
          <t>SELECTION Cotton Bud Isi 100 Refill</t>
        </is>
      </c>
      <c r="D5094" t="inlineStr">
        <is>
          <t>Miss Glam Damar</t>
        </is>
      </c>
      <c r="E5094" t="n">
        <v>48</v>
      </c>
      <c r="F5094" t="n">
        <v>3.3124</v>
      </c>
      <c r="G5094" t="n">
        <v>7.28</v>
      </c>
      <c r="H5094" t="n">
        <v>1</v>
      </c>
      <c r="I5094" t="n">
        <v>2</v>
      </c>
      <c r="J5094" t="n">
        <v>24</v>
      </c>
      <c r="K5094" t="n">
        <v>0</v>
      </c>
      <c r="L5094" t="n">
        <v>3528</v>
      </c>
      <c r="M5094" t="n">
        <v>4700</v>
      </c>
      <c r="N5094" t="n">
        <v>91</v>
      </c>
      <c r="O5094" t="n">
        <v>0.91</v>
      </c>
      <c r="P5094" t="n">
        <v>1</v>
      </c>
      <c r="Q5094" t="n">
        <v>2.58</v>
      </c>
      <c r="R5094" t="n">
        <v>8</v>
      </c>
      <c r="S5094" t="n">
        <v>15568.28</v>
      </c>
      <c r="T5094" t="n">
        <v>12</v>
      </c>
      <c r="U5094" t="n">
        <v>16</v>
      </c>
      <c r="V5094" t="n">
        <v>30</v>
      </c>
      <c r="W5094" t="n">
        <v>100</v>
      </c>
      <c r="X5094" t="n">
        <v>14.49100350199251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13500</v>
      </c>
      <c r="AG5094" t="n">
        <v>142</v>
      </c>
      <c r="AH5094" t="inlineStr">
        <is>
          <t>SUMASCO CV - PPN (PDG)</t>
        </is>
      </c>
      <c r="AI5094" t="n">
        <v>142</v>
      </c>
      <c r="AJ5094" t="inlineStr">
        <is>
          <t>SELECTION</t>
        </is>
      </c>
      <c r="AK5094" t="n">
        <v>21</v>
      </c>
      <c r="AL5094" t="inlineStr">
        <is>
          <t>Miss Glam Damar</t>
        </is>
      </c>
      <c r="AM5094" t="n">
        <v>4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SELECTION</t>
        </is>
      </c>
      <c r="B5095" s="2">
        <f>"8991038110514"</f>
        <v/>
      </c>
      <c r="C5095" t="inlineStr">
        <is>
          <t>SELECTION Facial Cotton 50gr</t>
        </is>
      </c>
      <c r="D5095" t="inlineStr">
        <is>
          <t>Miss Glam Damar</t>
        </is>
      </c>
      <c r="E5095" t="n">
        <v>165</v>
      </c>
      <c r="F5095" t="n">
        <v>9.627800000000001</v>
      </c>
      <c r="G5095" t="n">
        <v>20.02</v>
      </c>
      <c r="H5095" t="n">
        <v>1</v>
      </c>
      <c r="I5095" t="n">
        <v>2</v>
      </c>
      <c r="J5095" t="n">
        <v>96</v>
      </c>
      <c r="K5095" t="n">
        <v>0</v>
      </c>
      <c r="L5095" t="n">
        <v>6921</v>
      </c>
      <c r="M5095" t="n">
        <v>9500</v>
      </c>
      <c r="N5095" t="n">
        <v>91</v>
      </c>
      <c r="O5095" t="n">
        <v>0.91</v>
      </c>
      <c r="P5095" t="n">
        <v>1</v>
      </c>
      <c r="Q5095" t="n">
        <v>3.12</v>
      </c>
      <c r="R5095" t="n">
        <v>9</v>
      </c>
      <c r="S5095" t="n">
        <v>91464.10000000001</v>
      </c>
      <c r="T5095" t="n">
        <v>31</v>
      </c>
      <c r="U5095" t="n">
        <v>41</v>
      </c>
      <c r="V5095" t="n">
        <v>30</v>
      </c>
      <c r="W5095" t="n">
        <v>289</v>
      </c>
      <c r="X5095" t="n">
        <v>17.13787158021562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13500</v>
      </c>
      <c r="AG5095" t="n">
        <v>142</v>
      </c>
      <c r="AH5095" t="inlineStr">
        <is>
          <t>SUMASCO CV - PPN (PDG)</t>
        </is>
      </c>
      <c r="AI5095" t="n">
        <v>142</v>
      </c>
      <c r="AJ5095" t="inlineStr">
        <is>
          <t>SELECTION</t>
        </is>
      </c>
      <c r="AK5095" t="n">
        <v>21</v>
      </c>
      <c r="AL5095" t="inlineStr">
        <is>
          <t>Miss Glam Damar</t>
        </is>
      </c>
      <c r="AM5095" t="n">
        <v>4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SELECTION</t>
        </is>
      </c>
      <c r="B5096" s="2">
        <f>"8991038111757"</f>
        <v/>
      </c>
      <c r="C5096" t="inlineStr">
        <is>
          <t>SELECTION Facial Cotton 75gr</t>
        </is>
      </c>
      <c r="D5096" t="inlineStr">
        <is>
          <t>Miss Glam Damar</t>
        </is>
      </c>
      <c r="E5096" t="n">
        <v>134</v>
      </c>
      <c r="F5096" t="n">
        <v>9.7643</v>
      </c>
      <c r="G5096" t="n">
        <v>20.93</v>
      </c>
      <c r="H5096" t="n">
        <v>1</v>
      </c>
      <c r="I5096" t="n">
        <v>2</v>
      </c>
      <c r="J5096" t="n">
        <v>72</v>
      </c>
      <c r="K5096" t="n">
        <v>0</v>
      </c>
      <c r="L5096" t="n">
        <v>9928</v>
      </c>
      <c r="M5096" t="n">
        <v>13000</v>
      </c>
      <c r="N5096" t="n">
        <v>91</v>
      </c>
      <c r="O5096" t="n">
        <v>0.91</v>
      </c>
      <c r="P5096" t="n">
        <v>1</v>
      </c>
      <c r="Q5096" t="n">
        <v>4.44</v>
      </c>
      <c r="R5096" t="n">
        <v>10</v>
      </c>
      <c r="S5096" t="n">
        <v>126935.9</v>
      </c>
      <c r="T5096" t="n">
        <v>33</v>
      </c>
      <c r="U5096" t="n">
        <v>43</v>
      </c>
      <c r="V5096" t="n">
        <v>30</v>
      </c>
      <c r="W5096" t="n">
        <v>293</v>
      </c>
      <c r="X5096" t="n">
        <v>13.72346199932407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13500</v>
      </c>
      <c r="AG5096" t="n">
        <v>142</v>
      </c>
      <c r="AH5096" t="inlineStr">
        <is>
          <t>SUMASCO CV - PPN (PDG)</t>
        </is>
      </c>
      <c r="AI5096" t="n">
        <v>142</v>
      </c>
      <c r="AJ5096" t="inlineStr">
        <is>
          <t>SELECTION</t>
        </is>
      </c>
      <c r="AK5096" t="n">
        <v>21</v>
      </c>
      <c r="AL5096" t="inlineStr">
        <is>
          <t>Miss Glam Damar</t>
        </is>
      </c>
      <c r="AM5096" t="n">
        <v>4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SELECTION</t>
        </is>
      </c>
      <c r="B5097" s="2">
        <f>"8991038110354"</f>
        <v/>
      </c>
      <c r="C5097" t="inlineStr">
        <is>
          <t>SELECTION Kapas Mini Size 35gr</t>
        </is>
      </c>
      <c r="D5097" t="inlineStr">
        <is>
          <t>Miss Glam Damar</t>
        </is>
      </c>
      <c r="E5097" t="n">
        <v>269</v>
      </c>
      <c r="F5097" t="n">
        <v>12.1394</v>
      </c>
      <c r="G5097" t="n">
        <v>27.3</v>
      </c>
      <c r="H5097" t="n">
        <v>1</v>
      </c>
      <c r="I5097" t="n">
        <v>2</v>
      </c>
      <c r="J5097" t="n">
        <v>144</v>
      </c>
      <c r="K5097" t="n">
        <v>0</v>
      </c>
      <c r="L5097" t="n">
        <v>4998</v>
      </c>
      <c r="M5097" t="n">
        <v>6500</v>
      </c>
      <c r="N5097" t="n">
        <v>91</v>
      </c>
      <c r="O5097" t="n">
        <v>0.91</v>
      </c>
      <c r="P5097" t="n">
        <v>1</v>
      </c>
      <c r="Q5097" t="n">
        <v>15.61</v>
      </c>
      <c r="R5097" t="n">
        <v>34</v>
      </c>
      <c r="S5097" t="n">
        <v>78906.10000000001</v>
      </c>
      <c r="T5097" t="n">
        <v>43</v>
      </c>
      <c r="U5097" t="n">
        <v>56</v>
      </c>
      <c r="V5097" t="n">
        <v>30</v>
      </c>
      <c r="W5097" t="n">
        <v>365</v>
      </c>
      <c r="X5097" t="n">
        <v>22.15925004530702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13500</v>
      </c>
      <c r="AG5097" t="n">
        <v>142</v>
      </c>
      <c r="AH5097" t="inlineStr">
        <is>
          <t>SUMASCO CV - PPN (PDG)</t>
        </is>
      </c>
      <c r="AI5097" t="n">
        <v>142</v>
      </c>
      <c r="AJ5097" t="inlineStr">
        <is>
          <t>SELECTION</t>
        </is>
      </c>
      <c r="AK5097" t="n">
        <v>21</v>
      </c>
      <c r="AL5097" t="inlineStr">
        <is>
          <t>Miss Glam Damar</t>
        </is>
      </c>
      <c r="AM5097" t="n">
        <v>4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SELECTION</t>
        </is>
      </c>
      <c r="B5098" s="2">
        <f>"8991038775997"</f>
        <v/>
      </c>
      <c r="C5098" t="inlineStr">
        <is>
          <t>SELECTION Kapas Tebal 60gr</t>
        </is>
      </c>
      <c r="D5098" t="inlineStr">
        <is>
          <t>Miss Glam Damar</t>
        </is>
      </c>
      <c r="E5098" t="n">
        <v>139</v>
      </c>
      <c r="F5098" t="n">
        <v>1.9747</v>
      </c>
      <c r="G5098" t="n">
        <v>10.01</v>
      </c>
      <c r="H5098" t="n">
        <v>1</v>
      </c>
      <c r="I5098" t="n">
        <v>2</v>
      </c>
      <c r="J5098" t="n">
        <v>96</v>
      </c>
      <c r="K5098" t="n">
        <v>0</v>
      </c>
      <c r="L5098" t="n">
        <v>10223</v>
      </c>
      <c r="M5098" t="n">
        <v>13000</v>
      </c>
      <c r="N5098" t="n">
        <v>91</v>
      </c>
      <c r="O5098" t="n">
        <v>0.91</v>
      </c>
      <c r="P5098" t="n">
        <v>1</v>
      </c>
      <c r="Q5098" t="n">
        <v>4.8</v>
      </c>
      <c r="R5098" t="n">
        <v>14</v>
      </c>
      <c r="S5098" t="n">
        <v>25671.1</v>
      </c>
      <c r="T5098" t="n">
        <v>19</v>
      </c>
      <c r="U5098" t="n">
        <v>21</v>
      </c>
      <c r="V5098" t="n">
        <v>30</v>
      </c>
      <c r="W5098" t="n">
        <v>60</v>
      </c>
      <c r="X5098" t="n">
        <v>70.39043905403352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13500</v>
      </c>
      <c r="AG5098" t="n">
        <v>142</v>
      </c>
      <c r="AH5098" t="inlineStr">
        <is>
          <t>SUMASCO CV - PPN (PDG)</t>
        </is>
      </c>
      <c r="AI5098" t="n">
        <v>142</v>
      </c>
      <c r="AJ5098" t="inlineStr">
        <is>
          <t>SELECTION</t>
        </is>
      </c>
      <c r="AK5098" t="n">
        <v>21</v>
      </c>
      <c r="AL5098" t="inlineStr">
        <is>
          <t>Miss Glam Damar</t>
        </is>
      </c>
      <c r="AM5098" t="n">
        <v>4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SELECTION</t>
        </is>
      </c>
      <c r="B5099" s="2">
        <f>"8991038775171"</f>
        <v/>
      </c>
      <c r="C5099" t="inlineStr">
        <is>
          <t>SELECTION Round 80s</t>
        </is>
      </c>
      <c r="D5099" t="inlineStr">
        <is>
          <t>Miss Glam Damar</t>
        </is>
      </c>
      <c r="E5099" t="n">
        <v>294</v>
      </c>
      <c r="F5099" t="n">
        <v>17.108</v>
      </c>
      <c r="G5099" t="n">
        <v>30.94</v>
      </c>
      <c r="H5099" t="n">
        <v>1</v>
      </c>
      <c r="I5099" t="n">
        <v>2</v>
      </c>
      <c r="J5099" t="n">
        <v>144</v>
      </c>
      <c r="K5099" t="n">
        <v>0</v>
      </c>
      <c r="L5099" t="n">
        <v>11783</v>
      </c>
      <c r="M5099" t="n">
        <v>14000</v>
      </c>
      <c r="N5099" t="n">
        <v>91</v>
      </c>
      <c r="O5099" t="n">
        <v>0.91</v>
      </c>
      <c r="P5099" t="n">
        <v>1</v>
      </c>
      <c r="Q5099" t="n">
        <v>11.9</v>
      </c>
      <c r="R5099" t="n">
        <v>28</v>
      </c>
      <c r="S5099" t="n">
        <v>239512</v>
      </c>
      <c r="T5099" t="n">
        <v>45</v>
      </c>
      <c r="U5099" t="n">
        <v>63</v>
      </c>
      <c r="V5099" t="n">
        <v>30</v>
      </c>
      <c r="W5099" t="n">
        <v>514</v>
      </c>
      <c r="X5099" t="n">
        <v>17.18494271685761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13500</v>
      </c>
      <c r="AG5099" t="n">
        <v>142</v>
      </c>
      <c r="AH5099" t="inlineStr">
        <is>
          <t>SUMASCO CV - PPN (PDG)</t>
        </is>
      </c>
      <c r="AI5099" t="n">
        <v>142</v>
      </c>
      <c r="AJ5099" t="inlineStr">
        <is>
          <t>SELECTION</t>
        </is>
      </c>
      <c r="AK5099" t="n">
        <v>21</v>
      </c>
      <c r="AL5099" t="inlineStr">
        <is>
          <t>Miss Glam Damar</t>
        </is>
      </c>
      <c r="AM5099" t="n">
        <v>4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SELECTION</t>
        </is>
      </c>
      <c r="B5100" s="2">
        <f>"8991038775133"</f>
        <v/>
      </c>
      <c r="C5100" t="inlineStr">
        <is>
          <t>SELECTION Special Lapis Tipis 175pcs</t>
        </is>
      </c>
      <c r="D5100" t="inlineStr">
        <is>
          <t>Miss Glam Damar</t>
        </is>
      </c>
      <c r="E5100" t="n">
        <v>167</v>
      </c>
      <c r="F5100" t="n">
        <v>14.0049</v>
      </c>
      <c r="G5100" t="n">
        <v>27.3</v>
      </c>
      <c r="H5100" t="n">
        <v>1</v>
      </c>
      <c r="I5100" t="n">
        <v>2</v>
      </c>
      <c r="J5100" t="n">
        <v>72</v>
      </c>
      <c r="K5100" t="n">
        <v>0</v>
      </c>
      <c r="L5100" t="n">
        <v>12711</v>
      </c>
      <c r="M5100" t="n">
        <v>16500</v>
      </c>
      <c r="N5100" t="n">
        <v>91</v>
      </c>
      <c r="O5100" t="n">
        <v>0.91</v>
      </c>
      <c r="P5100" t="n">
        <v>1</v>
      </c>
      <c r="Q5100" t="n">
        <v>6.59</v>
      </c>
      <c r="R5100" t="n">
        <v>14</v>
      </c>
      <c r="S5100" t="n">
        <v>231080.85</v>
      </c>
      <c r="T5100" t="n">
        <v>41</v>
      </c>
      <c r="U5100" t="n">
        <v>56</v>
      </c>
      <c r="V5100" t="n">
        <v>30</v>
      </c>
      <c r="W5100" t="n">
        <v>421</v>
      </c>
      <c r="X5100" t="n">
        <v>11.92439788931017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13500</v>
      </c>
      <c r="AG5100" t="n">
        <v>142</v>
      </c>
      <c r="AH5100" t="inlineStr">
        <is>
          <t>SUMASCO CV - PPN (PDG)</t>
        </is>
      </c>
      <c r="AI5100" t="n">
        <v>142</v>
      </c>
      <c r="AJ5100" t="inlineStr">
        <is>
          <t>SELECTION</t>
        </is>
      </c>
      <c r="AK5100" t="n">
        <v>21</v>
      </c>
      <c r="AL5100" t="inlineStr">
        <is>
          <t>Miss Glam Damar</t>
        </is>
      </c>
      <c r="AM5100" t="n">
        <v>4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SELECTION</t>
        </is>
      </c>
      <c r="B5101" s="2">
        <f>"8991038775089"</f>
        <v/>
      </c>
      <c r="C5101" t="inlineStr">
        <is>
          <t>SELECTION Special Tipis Lapis Tebal 120pcs</t>
        </is>
      </c>
      <c r="D5101" t="inlineStr">
        <is>
          <t>Miss Glam Damar</t>
        </is>
      </c>
      <c r="E5101" t="n">
        <v>66</v>
      </c>
      <c r="F5101" t="n">
        <v>2.1112</v>
      </c>
      <c r="G5101" t="n">
        <v>8.19</v>
      </c>
      <c r="H5101" t="n">
        <v>1</v>
      </c>
      <c r="I5101" t="n">
        <v>2</v>
      </c>
      <c r="J5101" t="n">
        <v>72</v>
      </c>
      <c r="K5101" t="n">
        <v>0</v>
      </c>
      <c r="L5101" t="n">
        <v>12711</v>
      </c>
      <c r="M5101" t="n">
        <v>16500</v>
      </c>
      <c r="N5101" t="n">
        <v>91</v>
      </c>
      <c r="O5101" t="n">
        <v>0.91</v>
      </c>
      <c r="P5101" t="n">
        <v>1</v>
      </c>
      <c r="Q5101" t="n">
        <v>2.98</v>
      </c>
      <c r="R5101" t="n">
        <v>7</v>
      </c>
      <c r="S5101" t="n">
        <v>34834.8</v>
      </c>
      <c r="T5101" t="n">
        <v>15</v>
      </c>
      <c r="U5101" t="n">
        <v>18</v>
      </c>
      <c r="V5101" t="n">
        <v>30</v>
      </c>
      <c r="W5101" t="n">
        <v>64</v>
      </c>
      <c r="X5101" t="n">
        <v>31.2618416066692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13500</v>
      </c>
      <c r="AG5101" t="n">
        <v>142</v>
      </c>
      <c r="AH5101" t="inlineStr">
        <is>
          <t>SUMASCO CV - PPN (PDG)</t>
        </is>
      </c>
      <c r="AI5101" t="n">
        <v>142</v>
      </c>
      <c r="AJ5101" t="inlineStr">
        <is>
          <t>SELECTION</t>
        </is>
      </c>
      <c r="AK5101" t="n">
        <v>21</v>
      </c>
      <c r="AL5101" t="inlineStr">
        <is>
          <t>Miss Glam Damar</t>
        </is>
      </c>
      <c r="AM5101" t="n">
        <v>4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SELECTION</t>
        </is>
      </c>
      <c r="B5102" s="2">
        <f>"8991038775980"</f>
        <v/>
      </c>
      <c r="C5102" t="inlineStr">
        <is>
          <t>SELECTION Tipis 60gr</t>
        </is>
      </c>
      <c r="D5102" t="inlineStr">
        <is>
          <t>Miss Glam Damar</t>
        </is>
      </c>
      <c r="E5102" t="n">
        <v>143</v>
      </c>
      <c r="F5102" t="n">
        <v>8.3629</v>
      </c>
      <c r="G5102" t="n">
        <v>19.11</v>
      </c>
      <c r="H5102" t="n">
        <v>1</v>
      </c>
      <c r="I5102" t="n">
        <v>2</v>
      </c>
      <c r="J5102" t="n">
        <v>96</v>
      </c>
      <c r="K5102" t="n">
        <v>0</v>
      </c>
      <c r="L5102" t="n">
        <v>10222</v>
      </c>
      <c r="M5102" t="n">
        <v>12500</v>
      </c>
      <c r="N5102" t="n">
        <v>91</v>
      </c>
      <c r="O5102" t="n">
        <v>0.91</v>
      </c>
      <c r="P5102" t="n">
        <v>1</v>
      </c>
      <c r="Q5102" t="n">
        <v>8.31</v>
      </c>
      <c r="R5102" t="n">
        <v>21</v>
      </c>
      <c r="S5102" t="n">
        <v>104536.25</v>
      </c>
      <c r="T5102" t="n">
        <v>30</v>
      </c>
      <c r="U5102" t="n">
        <v>39</v>
      </c>
      <c r="V5102" t="n">
        <v>30</v>
      </c>
      <c r="W5102" t="n">
        <v>251</v>
      </c>
      <c r="X5102" t="n">
        <v>17.09933157158402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13500</v>
      </c>
      <c r="AG5102" t="n">
        <v>142</v>
      </c>
      <c r="AH5102" t="inlineStr">
        <is>
          <t>SUMASCO CV - PPN (PDG)</t>
        </is>
      </c>
      <c r="AI5102" t="n">
        <v>142</v>
      </c>
      <c r="AJ5102" t="inlineStr">
        <is>
          <t>SELECTION</t>
        </is>
      </c>
      <c r="AK5102" t="n">
        <v>21</v>
      </c>
      <c r="AL5102" t="inlineStr">
        <is>
          <t>Miss Glam Damar</t>
        </is>
      </c>
      <c r="AM5102" t="n">
        <v>4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SELSUN</t>
        </is>
      </c>
      <c r="B5103" s="2">
        <f>"8992821102297"</f>
        <v/>
      </c>
      <c r="C5103" t="inlineStr">
        <is>
          <t>SELSUN 7 Herbal 120ml</t>
        </is>
      </c>
      <c r="D5103" t="inlineStr">
        <is>
          <t>Miss Glam Damar</t>
        </is>
      </c>
      <c r="E5103" t="n">
        <v>7</v>
      </c>
      <c r="F5103" t="n">
        <v>0.1274</v>
      </c>
      <c r="G5103" t="n">
        <v>0.91</v>
      </c>
      <c r="H5103" t="n">
        <v>3</v>
      </c>
      <c r="I5103" t="n">
        <v>14</v>
      </c>
      <c r="J5103" t="n">
        <v>3</v>
      </c>
      <c r="K5103" t="n">
        <v>0</v>
      </c>
      <c r="L5103" t="n">
        <v>36863</v>
      </c>
      <c r="M5103" t="n">
        <v>47000</v>
      </c>
      <c r="N5103" t="n">
        <v>91</v>
      </c>
      <c r="O5103" t="n">
        <v>0.91</v>
      </c>
      <c r="P5103" t="n">
        <v>1</v>
      </c>
      <c r="Q5103" t="n">
        <v>0.15</v>
      </c>
      <c r="R5103" t="n">
        <v>2</v>
      </c>
      <c r="S5103" t="n">
        <v>5987.8</v>
      </c>
      <c r="T5103" t="n">
        <v>13</v>
      </c>
      <c r="U5103" t="n">
        <v>14</v>
      </c>
      <c r="V5103" t="n">
        <v>30</v>
      </c>
      <c r="W5103" t="n">
        <v>4</v>
      </c>
      <c r="X5103" t="n">
        <v>54.94505494505494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11046</v>
      </c>
      <c r="AG5103" t="n">
        <v>33</v>
      </c>
      <c r="AH5103" t="inlineStr">
        <is>
          <t>PT. MENSA BINASUKSES - PPN (PDG)</t>
        </is>
      </c>
      <c r="AI5103" t="n">
        <v>303</v>
      </c>
      <c r="AJ5103" t="inlineStr">
        <is>
          <t>SELSUN</t>
        </is>
      </c>
      <c r="AK5103" t="n">
        <v>21</v>
      </c>
      <c r="AL5103" t="inlineStr">
        <is>
          <t>Miss Glam Damar</t>
        </is>
      </c>
      <c r="AM5103" t="n">
        <v>3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SELSUN</t>
        </is>
      </c>
      <c r="B5104" s="2">
        <f>"8992821102303"</f>
        <v/>
      </c>
      <c r="C5104" t="inlineStr">
        <is>
          <t>SELSUN 7Flowers 60ml</t>
        </is>
      </c>
      <c r="D5104" t="inlineStr">
        <is>
          <t>Miss Glam Damar</t>
        </is>
      </c>
      <c r="E5104" t="n">
        <v>4</v>
      </c>
      <c r="F5104" t="n">
        <v>0.2457</v>
      </c>
      <c r="G5104" t="n">
        <v>1.82</v>
      </c>
      <c r="H5104" t="n">
        <v>3</v>
      </c>
      <c r="I5104" t="n">
        <v>14</v>
      </c>
      <c r="J5104" t="n">
        <v>3</v>
      </c>
      <c r="K5104" t="n">
        <v>0</v>
      </c>
      <c r="L5104" t="n">
        <v>21709</v>
      </c>
      <c r="M5104" t="n">
        <v>28000</v>
      </c>
      <c r="N5104" t="n">
        <v>91</v>
      </c>
      <c r="O5104" t="n">
        <v>0.91</v>
      </c>
      <c r="P5104" t="n">
        <v>1</v>
      </c>
      <c r="Q5104" t="n">
        <v>0.15</v>
      </c>
      <c r="R5104" t="n">
        <v>2</v>
      </c>
      <c r="S5104" t="n">
        <v>6879.600000000001</v>
      </c>
      <c r="T5104" t="n">
        <v>25</v>
      </c>
      <c r="U5104" t="n">
        <v>26</v>
      </c>
      <c r="V5104" t="n">
        <v>30</v>
      </c>
      <c r="W5104" t="n">
        <v>8</v>
      </c>
      <c r="X5104" t="n">
        <v>16.28001628001628</v>
      </c>
      <c r="Y5104" t="n">
        <v>1</v>
      </c>
      <c r="Z5104" t="n">
        <v>4</v>
      </c>
      <c r="AA5104" t="n">
        <v>0</v>
      </c>
      <c r="AB5104" t="n">
        <v>4</v>
      </c>
      <c r="AC5104" t="n">
        <v>4</v>
      </c>
      <c r="AD5104" t="n">
        <v>0</v>
      </c>
      <c r="AE5104" t="n">
        <v>86836</v>
      </c>
      <c r="AF5104" t="n">
        <v>11046</v>
      </c>
      <c r="AG5104" t="n">
        <v>33</v>
      </c>
      <c r="AH5104" t="inlineStr">
        <is>
          <t>PT. MENSA BINASUKSES - PPN (PDG)</t>
        </is>
      </c>
      <c r="AI5104" t="n">
        <v>303</v>
      </c>
      <c r="AJ5104" t="inlineStr">
        <is>
          <t>SELSUN</t>
        </is>
      </c>
      <c r="AK5104" t="n">
        <v>21</v>
      </c>
      <c r="AL5104" t="inlineStr">
        <is>
          <t>Miss Glam Damar</t>
        </is>
      </c>
      <c r="AM5104" t="n">
        <v>3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SELSUN</t>
        </is>
      </c>
      <c r="B5105" s="2">
        <f>"8992821101603"</f>
        <v/>
      </c>
      <c r="C5105" t="inlineStr">
        <is>
          <t>SELSUN 7Herbal Shampoo 60ml</t>
        </is>
      </c>
      <c r="D5105" t="inlineStr">
        <is>
          <t>Miss Glam Damar</t>
        </is>
      </c>
      <c r="E5105" t="n">
        <v>5</v>
      </c>
      <c r="F5105" t="n">
        <v>0.1547</v>
      </c>
      <c r="G5105" t="n">
        <v>0.91</v>
      </c>
      <c r="H5105" t="n">
        <v>3</v>
      </c>
      <c r="I5105" t="n">
        <v>14</v>
      </c>
      <c r="J5105" t="n">
        <v>3</v>
      </c>
      <c r="K5105" t="n">
        <v>0</v>
      </c>
      <c r="L5105" t="n">
        <v>21708</v>
      </c>
      <c r="M5105" t="n">
        <v>28000</v>
      </c>
      <c r="N5105" t="n">
        <v>91</v>
      </c>
      <c r="O5105" t="n">
        <v>0.91</v>
      </c>
      <c r="P5105" t="n">
        <v>1</v>
      </c>
      <c r="Q5105" t="n">
        <v>0.07000000000000001</v>
      </c>
      <c r="R5105" t="n">
        <v>1</v>
      </c>
      <c r="S5105" t="n">
        <v>4331.6</v>
      </c>
      <c r="T5105" t="n">
        <v>13</v>
      </c>
      <c r="U5105" t="n">
        <v>14</v>
      </c>
      <c r="V5105" t="n">
        <v>30</v>
      </c>
      <c r="W5105" t="n">
        <v>5</v>
      </c>
      <c r="X5105" t="n">
        <v>32.32062055591467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11046</v>
      </c>
      <c r="AG5105" t="n">
        <v>33</v>
      </c>
      <c r="AH5105" t="inlineStr">
        <is>
          <t>PT. MENSA BINASUKSES - PPN (PDG)</t>
        </is>
      </c>
      <c r="AI5105" t="n">
        <v>303</v>
      </c>
      <c r="AJ5105" t="inlineStr">
        <is>
          <t>SELSUN</t>
        </is>
      </c>
      <c r="AK5105" t="n">
        <v>21</v>
      </c>
      <c r="AL5105" t="inlineStr">
        <is>
          <t>Miss Glam Damar</t>
        </is>
      </c>
      <c r="AM5105" t="n">
        <v>3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SELSUN</t>
        </is>
      </c>
      <c r="B5106" s="2">
        <f>"8992821100743"</f>
        <v/>
      </c>
      <c r="C5106" t="inlineStr">
        <is>
          <t>SELSUN Blue  5 Leaves Hair Shampoo 120ml</t>
        </is>
      </c>
      <c r="D5106" t="inlineStr">
        <is>
          <t>Miss Glam Damar</t>
        </is>
      </c>
      <c r="E5106" t="n">
        <v>9</v>
      </c>
      <c r="F5106" t="n">
        <v>0.2184</v>
      </c>
      <c r="G5106" t="n">
        <v>1.82</v>
      </c>
      <c r="H5106" t="n">
        <v>3</v>
      </c>
      <c r="I5106" t="n">
        <v>14</v>
      </c>
      <c r="J5106" t="n">
        <v>3</v>
      </c>
      <c r="K5106" t="n">
        <v>0</v>
      </c>
      <c r="L5106" t="n">
        <v>42188</v>
      </c>
      <c r="M5106" t="n">
        <v>53500</v>
      </c>
      <c r="N5106" t="n">
        <v>91</v>
      </c>
      <c r="O5106" t="n">
        <v>0.91</v>
      </c>
      <c r="P5106" t="n">
        <v>1</v>
      </c>
      <c r="Q5106" t="n">
        <v>0.08</v>
      </c>
      <c r="R5106" t="n">
        <v>1</v>
      </c>
      <c r="S5106" t="n">
        <v>11684.4</v>
      </c>
      <c r="T5106" t="n">
        <v>25</v>
      </c>
      <c r="U5106" t="n">
        <v>26</v>
      </c>
      <c r="V5106" t="n">
        <v>30</v>
      </c>
      <c r="W5106" t="n">
        <v>7</v>
      </c>
      <c r="X5106" t="n">
        <v>41.2087912087912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11046</v>
      </c>
      <c r="AG5106" t="n">
        <v>33</v>
      </c>
      <c r="AH5106" t="inlineStr">
        <is>
          <t>PT. MENSA BINASUKSES - PPN (PDG)</t>
        </is>
      </c>
      <c r="AI5106" t="n">
        <v>303</v>
      </c>
      <c r="AJ5106" t="inlineStr">
        <is>
          <t>SELSUN</t>
        </is>
      </c>
      <c r="AK5106" t="n">
        <v>21</v>
      </c>
      <c r="AL5106" t="inlineStr">
        <is>
          <t>Miss Glam Damar</t>
        </is>
      </c>
      <c r="AM5106" t="n">
        <v>3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SELSUN</t>
        </is>
      </c>
      <c r="B5107" s="2">
        <f>"8992821101092"</f>
        <v/>
      </c>
      <c r="C5107" t="inlineStr">
        <is>
          <t>SELSUN Blue Five Leaves Hair Shampoo 50ml</t>
        </is>
      </c>
      <c r="D5107" t="inlineStr">
        <is>
          <t>Miss Glam Damar</t>
        </is>
      </c>
      <c r="E5107" t="n">
        <v>10</v>
      </c>
      <c r="F5107" t="n">
        <v>0.6188</v>
      </c>
      <c r="G5107" t="n">
        <v>2.73</v>
      </c>
      <c r="H5107" t="n">
        <v>3</v>
      </c>
      <c r="I5107" t="n">
        <v>14</v>
      </c>
      <c r="J5107" t="n">
        <v>3</v>
      </c>
      <c r="K5107" t="n">
        <v>0</v>
      </c>
      <c r="L5107" t="n">
        <v>20889</v>
      </c>
      <c r="M5107" t="n">
        <v>26500</v>
      </c>
      <c r="N5107" t="n">
        <v>91</v>
      </c>
      <c r="O5107" t="n">
        <v>0.91</v>
      </c>
      <c r="P5107" t="n">
        <v>1</v>
      </c>
      <c r="Q5107" t="n">
        <v>0.24</v>
      </c>
      <c r="R5107" t="n">
        <v>2</v>
      </c>
      <c r="S5107" t="n">
        <v>16398.2</v>
      </c>
      <c r="T5107" t="n">
        <v>37</v>
      </c>
      <c r="U5107" t="n">
        <v>39</v>
      </c>
      <c r="V5107" t="n">
        <v>30</v>
      </c>
      <c r="W5107" t="n">
        <v>19</v>
      </c>
      <c r="X5107" t="n">
        <v>16.16031027795734</v>
      </c>
      <c r="Y5107" t="n">
        <v>1</v>
      </c>
      <c r="Z5107" t="n">
        <v>9</v>
      </c>
      <c r="AA5107" t="n">
        <v>0</v>
      </c>
      <c r="AB5107" t="n">
        <v>9</v>
      </c>
      <c r="AC5107" t="n">
        <v>9</v>
      </c>
      <c r="AD5107" t="n">
        <v>0</v>
      </c>
      <c r="AE5107" t="n">
        <v>188001</v>
      </c>
      <c r="AF5107" t="n">
        <v>11046</v>
      </c>
      <c r="AG5107" t="n">
        <v>33</v>
      </c>
      <c r="AH5107" t="inlineStr">
        <is>
          <t>PT. MENSA BINASUKSES - PPN (PDG)</t>
        </is>
      </c>
      <c r="AI5107" t="n">
        <v>303</v>
      </c>
      <c r="AJ5107" t="inlineStr">
        <is>
          <t>SELSUN</t>
        </is>
      </c>
      <c r="AK5107" t="n">
        <v>21</v>
      </c>
      <c r="AL5107" t="inlineStr">
        <is>
          <t>Miss Glam Damar</t>
        </is>
      </c>
      <c r="AM5107" t="n">
        <v>3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SELSUN</t>
        </is>
      </c>
      <c r="B5108" s="2">
        <f>"8992821100750"</f>
        <v/>
      </c>
      <c r="C5108" t="inlineStr">
        <is>
          <t>SELSUN Blue Five Shampoo 200ml</t>
        </is>
      </c>
      <c r="D5108" t="inlineStr">
        <is>
          <t>Miss Glam Damar</t>
        </is>
      </c>
      <c r="E5108" t="n">
        <v>6</v>
      </c>
      <c r="F5108" t="n">
        <v>0.1547</v>
      </c>
      <c r="G5108" t="n">
        <v>1.82</v>
      </c>
      <c r="H5108" t="n">
        <v>3</v>
      </c>
      <c r="I5108" t="n">
        <v>14</v>
      </c>
      <c r="J5108" t="n">
        <v>3</v>
      </c>
      <c r="K5108" t="n">
        <v>0</v>
      </c>
      <c r="L5108" t="n">
        <v>56114</v>
      </c>
      <c r="M5108" t="n">
        <v>71000</v>
      </c>
      <c r="N5108" t="n">
        <v>91</v>
      </c>
      <c r="O5108" t="n">
        <v>0.91</v>
      </c>
      <c r="P5108" t="n">
        <v>1</v>
      </c>
      <c r="Q5108" t="n">
        <v>0.03</v>
      </c>
      <c r="R5108" t="n">
        <v>1</v>
      </c>
      <c r="S5108" t="n">
        <v>10983.7</v>
      </c>
      <c r="T5108" t="n">
        <v>26</v>
      </c>
      <c r="U5108" t="n">
        <v>27</v>
      </c>
      <c r="V5108" t="n">
        <v>30</v>
      </c>
      <c r="W5108" t="n">
        <v>5</v>
      </c>
      <c r="X5108" t="n">
        <v>38.78474466709761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11046</v>
      </c>
      <c r="AG5108" t="n">
        <v>33</v>
      </c>
      <c r="AH5108" t="inlineStr">
        <is>
          <t>PT. MENSA BINASUKSES - PPN (PDG)</t>
        </is>
      </c>
      <c r="AI5108" t="n">
        <v>303</v>
      </c>
      <c r="AJ5108" t="inlineStr">
        <is>
          <t>SELSUN</t>
        </is>
      </c>
      <c r="AK5108" t="n">
        <v>21</v>
      </c>
      <c r="AL5108" t="inlineStr">
        <is>
          <t>Miss Glam Damar</t>
        </is>
      </c>
      <c r="AM5108" t="n">
        <v>3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SELSUN</t>
        </is>
      </c>
      <c r="B5109" s="2">
        <f>"8992821100736"</f>
        <v/>
      </c>
      <c r="C5109" t="inlineStr">
        <is>
          <t>SELSUN Blue Hair Care Shampoo 120ml</t>
        </is>
      </c>
      <c r="D5109" t="inlineStr">
        <is>
          <t>Miss Glam Damar</t>
        </is>
      </c>
      <c r="E5109" t="n">
        <v>3</v>
      </c>
      <c r="F5109" t="n">
        <v>0.2912</v>
      </c>
      <c r="G5109" t="n">
        <v>1.82</v>
      </c>
      <c r="H5109" t="n">
        <v>3</v>
      </c>
      <c r="I5109" t="n">
        <v>14</v>
      </c>
      <c r="J5109" t="n">
        <v>3</v>
      </c>
      <c r="K5109" t="n">
        <v>0</v>
      </c>
      <c r="L5109" t="n">
        <v>38911</v>
      </c>
      <c r="M5109" t="n">
        <v>49000</v>
      </c>
      <c r="N5109" t="n">
        <v>91</v>
      </c>
      <c r="O5109" t="n">
        <v>0.91</v>
      </c>
      <c r="P5109" t="n">
        <v>1</v>
      </c>
      <c r="Q5109" t="n">
        <v>0.24</v>
      </c>
      <c r="R5109" t="n">
        <v>2</v>
      </c>
      <c r="S5109" t="n">
        <v>14268.8</v>
      </c>
      <c r="T5109" t="n">
        <v>25</v>
      </c>
      <c r="U5109" t="n">
        <v>26</v>
      </c>
      <c r="V5109" t="n">
        <v>30</v>
      </c>
      <c r="W5109" t="n">
        <v>9</v>
      </c>
      <c r="X5109" t="n">
        <v>10.3021978021978</v>
      </c>
      <c r="Y5109" t="n">
        <v>1</v>
      </c>
      <c r="Z5109" t="n">
        <v>6</v>
      </c>
      <c r="AA5109" t="n">
        <v>2</v>
      </c>
      <c r="AB5109" t="n">
        <v>4</v>
      </c>
      <c r="AC5109" t="n">
        <v>4</v>
      </c>
      <c r="AD5109" t="n">
        <v>77822</v>
      </c>
      <c r="AE5109" t="n">
        <v>155644</v>
      </c>
      <c r="AF5109" t="n">
        <v>11046</v>
      </c>
      <c r="AG5109" t="n">
        <v>33</v>
      </c>
      <c r="AH5109" t="inlineStr">
        <is>
          <t>PT. MENSA BINASUKSES - PPN (PDG)</t>
        </is>
      </c>
      <c r="AI5109" t="n">
        <v>303</v>
      </c>
      <c r="AJ5109" t="inlineStr">
        <is>
          <t>SELSUN</t>
        </is>
      </c>
      <c r="AK5109" t="n">
        <v>21</v>
      </c>
      <c r="AL5109" t="inlineStr">
        <is>
          <t>Miss Glam Damar</t>
        </is>
      </c>
      <c r="AM5109" t="n">
        <v>3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SELSUN</t>
        </is>
      </c>
      <c r="B5110" s="2">
        <f>"8992821100729"</f>
        <v/>
      </c>
      <c r="C5110" t="inlineStr">
        <is>
          <t>SELSUN Blue Hair Care Shampoo 60ml</t>
        </is>
      </c>
      <c r="D5110" t="inlineStr">
        <is>
          <t>Miss Glam Damar</t>
        </is>
      </c>
      <c r="E5110" t="n">
        <v>7</v>
      </c>
      <c r="F5110" t="n">
        <v>0.6279</v>
      </c>
      <c r="G5110" t="n">
        <v>2.73</v>
      </c>
      <c r="H5110" t="n">
        <v>3</v>
      </c>
      <c r="I5110" t="n">
        <v>14</v>
      </c>
      <c r="J5110" t="n">
        <v>3</v>
      </c>
      <c r="K5110" t="n">
        <v>0</v>
      </c>
      <c r="L5110" t="n">
        <v>22937</v>
      </c>
      <c r="M5110" t="n">
        <v>29000</v>
      </c>
      <c r="N5110" t="n">
        <v>91</v>
      </c>
      <c r="O5110" t="n">
        <v>0.91</v>
      </c>
      <c r="P5110" t="n">
        <v>1</v>
      </c>
      <c r="Q5110" t="n">
        <v>0.34</v>
      </c>
      <c r="R5110" t="n">
        <v>3</v>
      </c>
      <c r="S5110" t="n">
        <v>18209.1</v>
      </c>
      <c r="T5110" t="n">
        <v>37</v>
      </c>
      <c r="U5110" t="n">
        <v>39</v>
      </c>
      <c r="V5110" t="n">
        <v>30</v>
      </c>
      <c r="W5110" t="n">
        <v>19</v>
      </c>
      <c r="X5110" t="n">
        <v>11.14827201783723</v>
      </c>
      <c r="Y5110" t="n">
        <v>1</v>
      </c>
      <c r="Z5110" t="n">
        <v>12</v>
      </c>
      <c r="AA5110" t="n">
        <v>2</v>
      </c>
      <c r="AB5110" t="n">
        <v>10</v>
      </c>
      <c r="AC5110" t="n">
        <v>10</v>
      </c>
      <c r="AD5110" t="n">
        <v>45874</v>
      </c>
      <c r="AE5110" t="n">
        <v>229370</v>
      </c>
      <c r="AF5110" t="n">
        <v>11046</v>
      </c>
      <c r="AG5110" t="n">
        <v>33</v>
      </c>
      <c r="AH5110" t="inlineStr">
        <is>
          <t>PT. MENSA BINASUKSES - PPN (PDG)</t>
        </is>
      </c>
      <c r="AI5110" t="n">
        <v>303</v>
      </c>
      <c r="AJ5110" t="inlineStr">
        <is>
          <t>SELSUN</t>
        </is>
      </c>
      <c r="AK5110" t="n">
        <v>21</v>
      </c>
      <c r="AL5110" t="inlineStr">
        <is>
          <t>Miss Glam Damar</t>
        </is>
      </c>
      <c r="AM5110" t="n">
        <v>3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SELSUN</t>
        </is>
      </c>
      <c r="B5111" s="2">
        <f>"8992821102310"</f>
        <v/>
      </c>
      <c r="C5111" t="inlineStr">
        <is>
          <t>SELSUN Conditioner Nourishing 100g</t>
        </is>
      </c>
      <c r="D5111" t="inlineStr">
        <is>
          <t>Miss Glam Damar</t>
        </is>
      </c>
      <c r="E5111" t="n">
        <v>13</v>
      </c>
      <c r="F5111" t="n">
        <v>0.2639</v>
      </c>
      <c r="G5111" t="n">
        <v>1.82</v>
      </c>
      <c r="H5111" t="n">
        <v>3</v>
      </c>
      <c r="I5111" t="n">
        <v>14</v>
      </c>
      <c r="J5111" t="n">
        <v>3</v>
      </c>
      <c r="K5111" t="n">
        <v>0</v>
      </c>
      <c r="L5111" t="n">
        <v>23756</v>
      </c>
      <c r="M5111" t="n">
        <v>30000</v>
      </c>
      <c r="N5111" t="n">
        <v>91</v>
      </c>
      <c r="O5111" t="n">
        <v>0.91</v>
      </c>
      <c r="P5111" t="n">
        <v>1</v>
      </c>
      <c r="Q5111" t="n">
        <v>0.25</v>
      </c>
      <c r="R5111" t="n">
        <v>3</v>
      </c>
      <c r="S5111" t="n">
        <v>7916.999999999999</v>
      </c>
      <c r="T5111" t="n">
        <v>25</v>
      </c>
      <c r="U5111" t="n">
        <v>26</v>
      </c>
      <c r="V5111" t="n">
        <v>30</v>
      </c>
      <c r="W5111" t="n">
        <v>8</v>
      </c>
      <c r="X5111" t="n">
        <v>49.26108374384237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11046</v>
      </c>
      <c r="AG5111" t="n">
        <v>33</v>
      </c>
      <c r="AH5111" t="inlineStr">
        <is>
          <t>PT. MENSA BINASUKSES - PPN (PDG)</t>
        </is>
      </c>
      <c r="AI5111" t="n">
        <v>303</v>
      </c>
      <c r="AJ5111" t="inlineStr">
        <is>
          <t>SELSUN</t>
        </is>
      </c>
      <c r="AK5111" t="n">
        <v>21</v>
      </c>
      <c r="AL5111" t="inlineStr">
        <is>
          <t>Miss Glam Damar</t>
        </is>
      </c>
      <c r="AM5111" t="n">
        <v>3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SELSUN</t>
        </is>
      </c>
      <c r="B5112" s="2">
        <f>"8992821100774"</f>
        <v/>
      </c>
      <c r="C5112" t="inlineStr">
        <is>
          <t>SELSUN Gold 120ml</t>
        </is>
      </c>
      <c r="D5112" t="inlineStr">
        <is>
          <t>Miss Glam Damar</t>
        </is>
      </c>
      <c r="E5112" t="n">
        <v>10</v>
      </c>
      <c r="F5112" t="n">
        <v>0.3094</v>
      </c>
      <c r="G5112" t="n">
        <v>2.73</v>
      </c>
      <c r="H5112" t="n">
        <v>3</v>
      </c>
      <c r="I5112" t="n">
        <v>14</v>
      </c>
      <c r="J5112" t="n">
        <v>3</v>
      </c>
      <c r="K5112" t="n">
        <v>0</v>
      </c>
      <c r="L5112" t="n">
        <v>42188</v>
      </c>
      <c r="M5112" t="n">
        <v>53500</v>
      </c>
      <c r="N5112" t="n">
        <v>91</v>
      </c>
      <c r="O5112" t="n">
        <v>0.91</v>
      </c>
      <c r="P5112" t="n">
        <v>1</v>
      </c>
      <c r="Q5112" t="n">
        <v>0.27</v>
      </c>
      <c r="R5112" t="n">
        <v>2</v>
      </c>
      <c r="S5112" t="n">
        <v>16552.9</v>
      </c>
      <c r="T5112" t="n">
        <v>38</v>
      </c>
      <c r="U5112" t="n">
        <v>39</v>
      </c>
      <c r="V5112" t="n">
        <v>30</v>
      </c>
      <c r="W5112" t="n">
        <v>10</v>
      </c>
      <c r="X5112" t="n">
        <v>32.32062055591467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11046</v>
      </c>
      <c r="AG5112" t="n">
        <v>33</v>
      </c>
      <c r="AH5112" t="inlineStr">
        <is>
          <t>PT. MENSA BINASUKSES - PPN (PDG)</t>
        </is>
      </c>
      <c r="AI5112" t="n">
        <v>303</v>
      </c>
      <c r="AJ5112" t="inlineStr">
        <is>
          <t>SELSUN</t>
        </is>
      </c>
      <c r="AK5112" t="n">
        <v>21</v>
      </c>
      <c r="AL5112" t="inlineStr">
        <is>
          <t>Miss Glam Damar</t>
        </is>
      </c>
      <c r="AM5112" t="n">
        <v>3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SELSUN</t>
        </is>
      </c>
      <c r="B5113" s="2">
        <f>"8992821103546"</f>
        <v/>
      </c>
      <c r="C5113" t="inlineStr">
        <is>
          <t>SELSUN Gold Tab 2 Shampoo 200ml</t>
        </is>
      </c>
      <c r="D5113" t="inlineStr">
        <is>
          <t>Miss Glam Damar</t>
        </is>
      </c>
      <c r="E5113" t="n">
        <v>4</v>
      </c>
      <c r="F5113" t="n">
        <v>0.0728</v>
      </c>
      <c r="G5113" t="n">
        <v>0.91</v>
      </c>
      <c r="H5113" t="n">
        <v>3</v>
      </c>
      <c r="I5113" t="n">
        <v>14</v>
      </c>
      <c r="J5113" t="n">
        <v>3</v>
      </c>
      <c r="K5113" t="n">
        <v>0</v>
      </c>
      <c r="L5113" t="n">
        <v>56114</v>
      </c>
      <c r="M5113" t="n">
        <v>71000</v>
      </c>
      <c r="N5113" t="n">
        <v>91</v>
      </c>
      <c r="O5113" t="n">
        <v>0.91</v>
      </c>
      <c r="P5113" t="n">
        <v>1</v>
      </c>
      <c r="Q5113" t="n">
        <v>0.03</v>
      </c>
      <c r="R5113" t="n">
        <v>1</v>
      </c>
      <c r="S5113" t="n">
        <v>5168.8</v>
      </c>
      <c r="T5113" t="n">
        <v>13</v>
      </c>
      <c r="U5113" t="n">
        <v>14</v>
      </c>
      <c r="V5113" t="n">
        <v>30</v>
      </c>
      <c r="W5113" t="n">
        <v>3</v>
      </c>
      <c r="X5113" t="n">
        <v>54.94505494505494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11046</v>
      </c>
      <c r="AG5113" t="n">
        <v>33</v>
      </c>
      <c r="AH5113" t="inlineStr">
        <is>
          <t>PT. MENSA BINASUKSES - PPN (PDG)</t>
        </is>
      </c>
      <c r="AI5113" t="n">
        <v>303</v>
      </c>
      <c r="AJ5113" t="inlineStr">
        <is>
          <t>SELSUN</t>
        </is>
      </c>
      <c r="AK5113" t="n">
        <v>21</v>
      </c>
      <c r="AL5113" t="inlineStr">
        <is>
          <t>Miss Glam Damar</t>
        </is>
      </c>
      <c r="AM5113" t="n">
        <v>3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SELSUN</t>
        </is>
      </c>
      <c r="B5114" s="2">
        <f>"8992821100767"</f>
        <v/>
      </c>
      <c r="C5114" t="inlineStr">
        <is>
          <t>SELSUN Gold Tab2 Shampoo 60ml</t>
        </is>
      </c>
      <c r="D5114" t="inlineStr">
        <is>
          <t>Miss Glam Damar</t>
        </is>
      </c>
      <c r="E5114" t="n">
        <v>14</v>
      </c>
      <c r="F5114" t="n">
        <v>0.2912</v>
      </c>
      <c r="G5114" t="n">
        <v>2.73</v>
      </c>
      <c r="H5114" t="n">
        <v>3</v>
      </c>
      <c r="I5114" t="n">
        <v>14</v>
      </c>
      <c r="J5114" t="n">
        <v>3</v>
      </c>
      <c r="K5114" t="n">
        <v>0</v>
      </c>
      <c r="L5114" t="n">
        <v>25804</v>
      </c>
      <c r="M5114" t="n">
        <v>32500</v>
      </c>
      <c r="N5114" t="n">
        <v>91</v>
      </c>
      <c r="O5114" t="n">
        <v>0.91</v>
      </c>
      <c r="P5114" t="n">
        <v>1</v>
      </c>
      <c r="Q5114" t="n">
        <v>0.22</v>
      </c>
      <c r="R5114" t="n">
        <v>2</v>
      </c>
      <c r="S5114" t="n">
        <v>9464</v>
      </c>
      <c r="T5114" t="n">
        <v>38</v>
      </c>
      <c r="U5114" t="n">
        <v>39</v>
      </c>
      <c r="V5114" t="n">
        <v>30</v>
      </c>
      <c r="W5114" t="n">
        <v>9</v>
      </c>
      <c r="X5114" t="n">
        <v>48.07692307692307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11046</v>
      </c>
      <c r="AG5114" t="n">
        <v>33</v>
      </c>
      <c r="AH5114" t="inlineStr">
        <is>
          <t>PT. MENSA BINASUKSES - PPN (PDG)</t>
        </is>
      </c>
      <c r="AI5114" t="n">
        <v>303</v>
      </c>
      <c r="AJ5114" t="inlineStr">
        <is>
          <t>SELSUN</t>
        </is>
      </c>
      <c r="AK5114" t="n">
        <v>21</v>
      </c>
      <c r="AL5114" t="inlineStr">
        <is>
          <t>Miss Glam Damar</t>
        </is>
      </c>
      <c r="AM5114" t="n">
        <v>3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SELSUN</t>
        </is>
      </c>
      <c r="B5115" s="2">
        <f>"8992821102280"</f>
        <v/>
      </c>
      <c r="C5115" t="inlineStr">
        <is>
          <t>SELSUN Shampoo 7 Flowers 120ml</t>
        </is>
      </c>
      <c r="D5115" t="inlineStr">
        <is>
          <t>Miss Glam Damar</t>
        </is>
      </c>
      <c r="E5115" t="n">
        <v>17</v>
      </c>
      <c r="F5115" t="n">
        <v>0.2002</v>
      </c>
      <c r="G5115" t="n">
        <v>1.82</v>
      </c>
      <c r="H5115" t="n">
        <v>3</v>
      </c>
      <c r="I5115" t="n">
        <v>14</v>
      </c>
      <c r="J5115" t="n">
        <v>3</v>
      </c>
      <c r="K5115" t="n">
        <v>0</v>
      </c>
      <c r="L5115" t="n">
        <v>36863</v>
      </c>
      <c r="M5115" t="n">
        <v>44500</v>
      </c>
      <c r="N5115" t="n">
        <v>91</v>
      </c>
      <c r="O5115" t="n">
        <v>0.91</v>
      </c>
      <c r="P5115" t="n">
        <v>1</v>
      </c>
      <c r="Q5115" t="n">
        <v>0.22</v>
      </c>
      <c r="R5115" t="n">
        <v>2</v>
      </c>
      <c r="S5115" t="n">
        <v>8908.900000000001</v>
      </c>
      <c r="T5115" t="n">
        <v>25</v>
      </c>
      <c r="U5115" t="n">
        <v>26</v>
      </c>
      <c r="V5115" t="n">
        <v>30</v>
      </c>
      <c r="W5115" t="n">
        <v>7</v>
      </c>
      <c r="X5115" t="n">
        <v>84.9150849150849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11046</v>
      </c>
      <c r="AG5115" t="n">
        <v>33</v>
      </c>
      <c r="AH5115" t="inlineStr">
        <is>
          <t>PT. MENSA BINASUKSES - PPN (PDG)</t>
        </is>
      </c>
      <c r="AI5115" t="n">
        <v>303</v>
      </c>
      <c r="AJ5115" t="inlineStr">
        <is>
          <t>SELSUN</t>
        </is>
      </c>
      <c r="AK5115" t="n">
        <v>21</v>
      </c>
      <c r="AL5115" t="inlineStr">
        <is>
          <t>Miss Glam Damar</t>
        </is>
      </c>
      <c r="AM5115" t="n">
        <v>3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SELSUN</t>
        </is>
      </c>
      <c r="B5116" s="2">
        <f>"8992821101269"</f>
        <v/>
      </c>
      <c r="C5116" t="inlineStr">
        <is>
          <t>SELSUN Yellow Double Impact 100ml</t>
        </is>
      </c>
      <c r="D5116" t="inlineStr">
        <is>
          <t>Miss Glam Damar</t>
        </is>
      </c>
      <c r="E5116" t="n">
        <v>28</v>
      </c>
      <c r="F5116" t="n">
        <v>0.8644999999999999</v>
      </c>
      <c r="G5116" t="n">
        <v>3.64</v>
      </c>
      <c r="H5116" t="n">
        <v>3</v>
      </c>
      <c r="I5116" t="n">
        <v>14</v>
      </c>
      <c r="J5116" t="n">
        <v>3</v>
      </c>
      <c r="K5116" t="n">
        <v>0</v>
      </c>
      <c r="L5116" t="n">
        <v>36863</v>
      </c>
      <c r="M5116" t="n">
        <v>47000</v>
      </c>
      <c r="N5116" t="n">
        <v>91</v>
      </c>
      <c r="O5116" t="n">
        <v>0.91</v>
      </c>
      <c r="P5116" t="n">
        <v>1</v>
      </c>
      <c r="Q5116" t="n">
        <v>0.75</v>
      </c>
      <c r="R5116" t="n">
        <v>4</v>
      </c>
      <c r="S5116" t="n">
        <v>40631.5</v>
      </c>
      <c r="T5116" t="n">
        <v>49</v>
      </c>
      <c r="U5116" t="n">
        <v>52</v>
      </c>
      <c r="V5116" t="n">
        <v>30</v>
      </c>
      <c r="W5116" t="n">
        <v>26</v>
      </c>
      <c r="X5116" t="n">
        <v>32.38866396761134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11046</v>
      </c>
      <c r="AG5116" t="n">
        <v>33</v>
      </c>
      <c r="AH5116" t="inlineStr">
        <is>
          <t>PT. MENSA BINASUKSES - PPN (PDG)</t>
        </is>
      </c>
      <c r="AI5116" t="n">
        <v>303</v>
      </c>
      <c r="AJ5116" t="inlineStr">
        <is>
          <t>SELSUN</t>
        </is>
      </c>
      <c r="AK5116" t="n">
        <v>21</v>
      </c>
      <c r="AL5116" t="inlineStr">
        <is>
          <t>Miss Glam Damar</t>
        </is>
      </c>
      <c r="AM5116" t="n">
        <v>3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SELSUN</t>
        </is>
      </c>
      <c r="B5117" s="2">
        <f>"8992821101252"</f>
        <v/>
      </c>
      <c r="C5117" t="inlineStr">
        <is>
          <t>SELSUN Yellow Double Impact 50ml</t>
        </is>
      </c>
      <c r="D5117" t="inlineStr">
        <is>
          <t>Miss Glam Damar</t>
        </is>
      </c>
      <c r="E5117" t="n">
        <v>40</v>
      </c>
      <c r="F5117" t="n">
        <v>1.1739</v>
      </c>
      <c r="G5117" t="n">
        <v>3.64</v>
      </c>
      <c r="H5117" t="n">
        <v>3</v>
      </c>
      <c r="I5117" t="n">
        <v>14</v>
      </c>
      <c r="J5117" t="n">
        <v>3</v>
      </c>
      <c r="K5117" t="n">
        <v>0</v>
      </c>
      <c r="L5117" t="n">
        <v>21708</v>
      </c>
      <c r="M5117" t="n">
        <v>27000</v>
      </c>
      <c r="N5117" t="n">
        <v>91</v>
      </c>
      <c r="O5117" t="n">
        <v>0.91</v>
      </c>
      <c r="P5117" t="n">
        <v>1</v>
      </c>
      <c r="Q5117" t="n">
        <v>0.63</v>
      </c>
      <c r="R5117" t="n">
        <v>4</v>
      </c>
      <c r="S5117" t="n">
        <v>31695.3</v>
      </c>
      <c r="T5117" t="n">
        <v>48</v>
      </c>
      <c r="U5117" t="n">
        <v>52</v>
      </c>
      <c r="V5117" t="n">
        <v>30</v>
      </c>
      <c r="W5117" t="n">
        <v>36</v>
      </c>
      <c r="X5117" t="n">
        <v>34.07445267910384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11046</v>
      </c>
      <c r="AG5117" t="n">
        <v>33</v>
      </c>
      <c r="AH5117" t="inlineStr">
        <is>
          <t>PT. MENSA BINASUKSES - PPN (PDG)</t>
        </is>
      </c>
      <c r="AI5117" t="n">
        <v>303</v>
      </c>
      <c r="AJ5117" t="inlineStr">
        <is>
          <t>SELSUN</t>
        </is>
      </c>
      <c r="AK5117" t="n">
        <v>21</v>
      </c>
      <c r="AL5117" t="inlineStr">
        <is>
          <t>Miss Glam Damar</t>
        </is>
      </c>
      <c r="AM5117" t="n">
        <v>3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SENKA</t>
        </is>
      </c>
      <c r="B5118" s="2">
        <f>"4550516474568"</f>
        <v/>
      </c>
      <c r="C5118" t="inlineStr">
        <is>
          <t>SENKA Perfect Whip A - 120gr New</t>
        </is>
      </c>
      <c r="D5118" t="inlineStr">
        <is>
          <t>Miss Glam Damar</t>
        </is>
      </c>
      <c r="E5118" t="n">
        <v>5</v>
      </c>
      <c r="F5118" t="n">
        <v>0.24</v>
      </c>
      <c r="G5118" t="n">
        <v>2</v>
      </c>
      <c r="H5118" t="n">
        <v>2</v>
      </c>
      <c r="I5118" t="n">
        <v>11</v>
      </c>
      <c r="J5118" t="n">
        <v>3</v>
      </c>
      <c r="K5118" t="n">
        <v>0</v>
      </c>
      <c r="L5118" t="n">
        <v>48085</v>
      </c>
      <c r="M5118" t="n">
        <v>60000</v>
      </c>
      <c r="N5118" t="n">
        <v>91</v>
      </c>
      <c r="O5118" t="n">
        <v>0.91</v>
      </c>
      <c r="P5118" t="n">
        <v>0</v>
      </c>
      <c r="Q5118" t="n">
        <v>0.24</v>
      </c>
      <c r="R5118" t="n">
        <v>2</v>
      </c>
      <c r="S5118" t="n">
        <v>14400</v>
      </c>
      <c r="T5118" t="n">
        <v>22</v>
      </c>
      <c r="U5118" t="n">
        <v>23</v>
      </c>
      <c r="V5118" t="n">
        <v>30</v>
      </c>
      <c r="W5118" t="n">
        <v>8</v>
      </c>
      <c r="X5118" t="n">
        <v>20.83333333333334</v>
      </c>
      <c r="Y5118" t="n">
        <v>1</v>
      </c>
      <c r="Z5118" t="n">
        <v>3</v>
      </c>
      <c r="AA5118" t="n">
        <v>0</v>
      </c>
      <c r="AB5118" t="n">
        <v>3</v>
      </c>
      <c r="AC5118" t="n">
        <v>3</v>
      </c>
      <c r="AD5118" t="n">
        <v>0</v>
      </c>
      <c r="AE5118" t="n">
        <v>144255</v>
      </c>
      <c r="AF5118" t="n">
        <v>12386</v>
      </c>
      <c r="AG5118" t="n">
        <v>92</v>
      </c>
      <c r="AH5118" t="inlineStr">
        <is>
          <t>PT. SAI (PDG)</t>
        </is>
      </c>
      <c r="AI5118" t="n">
        <v>143</v>
      </c>
      <c r="AJ5118" t="inlineStr">
        <is>
          <t>SENKA</t>
        </is>
      </c>
      <c r="AK5118" t="n">
        <v>21</v>
      </c>
      <c r="AL5118" t="inlineStr">
        <is>
          <t>Miss Glam Damar</t>
        </is>
      </c>
      <c r="AM5118" t="n">
        <v>2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SENKA</t>
        </is>
      </c>
      <c r="B5119" s="2">
        <f>"4550516705778"</f>
        <v/>
      </c>
      <c r="C5119" t="inlineStr">
        <is>
          <t>SENKA Perfect Whip A - 50gr New</t>
        </is>
      </c>
      <c r="D5119" t="inlineStr">
        <is>
          <t>Miss Glam Damar</t>
        </is>
      </c>
      <c r="E5119" t="n">
        <v>10</v>
      </c>
      <c r="F5119" t="n">
        <v>0.4004</v>
      </c>
      <c r="G5119" t="n">
        <v>1.82</v>
      </c>
      <c r="H5119" t="n">
        <v>2</v>
      </c>
      <c r="I5119" t="n">
        <v>11</v>
      </c>
      <c r="J5119" t="n">
        <v>3</v>
      </c>
      <c r="K5119" t="n">
        <v>0</v>
      </c>
      <c r="L5119" t="n">
        <v>26496</v>
      </c>
      <c r="M5119" t="n">
        <v>35000</v>
      </c>
      <c r="N5119" t="n">
        <v>91</v>
      </c>
      <c r="O5119" t="n">
        <v>0.91</v>
      </c>
      <c r="P5119" t="n">
        <v>1</v>
      </c>
      <c r="Q5119" t="n">
        <v>0.39</v>
      </c>
      <c r="R5119" t="n">
        <v>2</v>
      </c>
      <c r="S5119" t="n">
        <v>14014</v>
      </c>
      <c r="T5119" t="n">
        <v>20</v>
      </c>
      <c r="U5119" t="n">
        <v>21</v>
      </c>
      <c r="V5119" t="n">
        <v>30</v>
      </c>
      <c r="W5119" t="n">
        <v>13</v>
      </c>
      <c r="X5119" t="n">
        <v>24.97502497502497</v>
      </c>
      <c r="Y5119" t="n">
        <v>1</v>
      </c>
      <c r="Z5119" t="n">
        <v>3</v>
      </c>
      <c r="AA5119" t="n">
        <v>0</v>
      </c>
      <c r="AB5119" t="n">
        <v>3</v>
      </c>
      <c r="AC5119" t="n">
        <v>3</v>
      </c>
      <c r="AD5119" t="n">
        <v>0</v>
      </c>
      <c r="AE5119" t="n">
        <v>79488</v>
      </c>
      <c r="AF5119" t="n">
        <v>12386</v>
      </c>
      <c r="AG5119" t="n">
        <v>92</v>
      </c>
      <c r="AH5119" t="inlineStr">
        <is>
          <t>PT. SAI (PDG)</t>
        </is>
      </c>
      <c r="AI5119" t="n">
        <v>143</v>
      </c>
      <c r="AJ5119" t="inlineStr">
        <is>
          <t>SENKA</t>
        </is>
      </c>
      <c r="AK5119" t="n">
        <v>21</v>
      </c>
      <c r="AL5119" t="inlineStr">
        <is>
          <t>Miss Glam Damar</t>
        </is>
      </c>
      <c r="AM5119" t="n">
        <v>2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SENKA</t>
        </is>
      </c>
      <c r="B5120" s="2">
        <f>"4550516705969"</f>
        <v/>
      </c>
      <c r="C5120" t="inlineStr">
        <is>
          <t>SENKA Perfect Whip Acne Care A - 50gr New</t>
        </is>
      </c>
      <c r="D5120" t="inlineStr">
        <is>
          <t>Miss Glam Damar</t>
        </is>
      </c>
      <c r="E5120" t="n">
        <v>11</v>
      </c>
      <c r="F5120" t="n">
        <v>0.3094</v>
      </c>
      <c r="G5120" t="n">
        <v>1.82</v>
      </c>
      <c r="H5120" t="n">
        <v>2</v>
      </c>
      <c r="I5120" t="n">
        <v>11</v>
      </c>
      <c r="J5120" t="n">
        <v>6</v>
      </c>
      <c r="K5120" t="n">
        <v>0</v>
      </c>
      <c r="L5120" t="n">
        <v>37301</v>
      </c>
      <c r="M5120" t="n">
        <v>48000</v>
      </c>
      <c r="N5120" t="n">
        <v>91</v>
      </c>
      <c r="O5120" t="n">
        <v>0.91</v>
      </c>
      <c r="P5120" t="n">
        <v>1</v>
      </c>
      <c r="Q5120" t="n">
        <v>0.2</v>
      </c>
      <c r="R5120" t="n">
        <v>2</v>
      </c>
      <c r="S5120" t="n">
        <v>14851.2</v>
      </c>
      <c r="T5120" t="n">
        <v>20</v>
      </c>
      <c r="U5120" t="n">
        <v>21</v>
      </c>
      <c r="V5120" t="n">
        <v>30</v>
      </c>
      <c r="W5120" t="n">
        <v>10</v>
      </c>
      <c r="X5120" t="n">
        <v>35.55268261150614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12386</v>
      </c>
      <c r="AG5120" t="n">
        <v>92</v>
      </c>
      <c r="AH5120" t="inlineStr">
        <is>
          <t>PT. SAI (PDG)</t>
        </is>
      </c>
      <c r="AI5120" t="n">
        <v>143</v>
      </c>
      <c r="AJ5120" t="inlineStr">
        <is>
          <t>SENKA</t>
        </is>
      </c>
      <c r="AK5120" t="n">
        <v>21</v>
      </c>
      <c r="AL5120" t="inlineStr">
        <is>
          <t>Miss Glam Damar</t>
        </is>
      </c>
      <c r="AM5120" t="n">
        <v>2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SENKA</t>
        </is>
      </c>
      <c r="B5121" s="2">
        <f>"4550516705945"</f>
        <v/>
      </c>
      <c r="C5121" t="inlineStr">
        <is>
          <t>SENKA Perfect Whip Beauty Foam Acne Care 100gr New</t>
        </is>
      </c>
      <c r="D5121" t="inlineStr">
        <is>
          <t>Miss Glam Damar</t>
        </is>
      </c>
      <c r="E5121" t="n">
        <v>3</v>
      </c>
      <c r="F5121" t="n">
        <v>0.06370000000000001</v>
      </c>
      <c r="G5121" t="n">
        <v>0.91</v>
      </c>
      <c r="H5121" t="n">
        <v>2</v>
      </c>
      <c r="I5121" t="n">
        <v>11</v>
      </c>
      <c r="J5121" t="n">
        <v>3</v>
      </c>
      <c r="K5121" t="n">
        <v>0</v>
      </c>
      <c r="L5121" t="n">
        <v>61902</v>
      </c>
      <c r="M5121" t="n">
        <v>90000</v>
      </c>
      <c r="N5121" t="n">
        <v>91</v>
      </c>
      <c r="O5121" t="n">
        <v>0.91</v>
      </c>
      <c r="P5121" t="n">
        <v>1</v>
      </c>
      <c r="Q5121" t="n">
        <v>0.12</v>
      </c>
      <c r="R5121" t="n">
        <v>1</v>
      </c>
      <c r="S5121" t="n">
        <v>5733.000000000001</v>
      </c>
      <c r="T5121" t="n">
        <v>10</v>
      </c>
      <c r="U5121" t="n">
        <v>11</v>
      </c>
      <c r="V5121" t="n">
        <v>30</v>
      </c>
      <c r="W5121" t="n">
        <v>2</v>
      </c>
      <c r="X5121" t="n">
        <v>47.09576138147566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12386</v>
      </c>
      <c r="AG5121" t="n">
        <v>92</v>
      </c>
      <c r="AH5121" t="inlineStr">
        <is>
          <t>PT. SAI (PDG)</t>
        </is>
      </c>
      <c r="AI5121" t="n">
        <v>143</v>
      </c>
      <c r="AJ5121" t="inlineStr">
        <is>
          <t>SENKA</t>
        </is>
      </c>
      <c r="AK5121" t="n">
        <v>21</v>
      </c>
      <c r="AL5121" t="inlineStr">
        <is>
          <t>Miss Glam Damar</t>
        </is>
      </c>
      <c r="AM5121" t="n">
        <v>2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SENKA</t>
        </is>
      </c>
      <c r="B5122" s="2">
        <f>"4550516705921"</f>
        <v/>
      </c>
      <c r="C5122" t="inlineStr">
        <is>
          <t>SENKA Perfect Whip Berry  Bright Beauty Foam 100gr New</t>
        </is>
      </c>
      <c r="D5122" t="inlineStr">
        <is>
          <t>Miss Glam Damar</t>
        </is>
      </c>
      <c r="E5122" t="n">
        <v>3</v>
      </c>
      <c r="F5122" t="n">
        <v>0.0182</v>
      </c>
      <c r="G5122" t="n">
        <v>0.91</v>
      </c>
      <c r="H5122" t="n">
        <v>2</v>
      </c>
      <c r="I5122" t="n">
        <v>11</v>
      </c>
      <c r="J5122" t="n">
        <v>3</v>
      </c>
      <c r="K5122" t="n">
        <v>0</v>
      </c>
      <c r="L5122" t="n">
        <v>52992</v>
      </c>
      <c r="M5122" t="n">
        <v>68000</v>
      </c>
      <c r="N5122" t="n">
        <v>91</v>
      </c>
      <c r="O5122" t="n">
        <v>0.91</v>
      </c>
      <c r="P5122" t="n">
        <v>1</v>
      </c>
      <c r="Q5122" t="n">
        <v>0.15</v>
      </c>
      <c r="R5122" t="n">
        <v>2</v>
      </c>
      <c r="S5122" t="n">
        <v>1237.6</v>
      </c>
      <c r="T5122" t="n">
        <v>10</v>
      </c>
      <c r="U5122" t="n">
        <v>11</v>
      </c>
      <c r="V5122" t="n">
        <v>30</v>
      </c>
      <c r="W5122" t="n">
        <v>1</v>
      </c>
      <c r="X5122" t="n">
        <v>164.8351648351648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12386</v>
      </c>
      <c r="AG5122" t="n">
        <v>92</v>
      </c>
      <c r="AH5122" t="inlineStr">
        <is>
          <t>PT. SAI (PDG)</t>
        </is>
      </c>
      <c r="AI5122" t="n">
        <v>143</v>
      </c>
      <c r="AJ5122" t="inlineStr">
        <is>
          <t>SENKA</t>
        </is>
      </c>
      <c r="AK5122" t="n">
        <v>21</v>
      </c>
      <c r="AL5122" t="inlineStr">
        <is>
          <t>Miss Glam Damar</t>
        </is>
      </c>
      <c r="AM5122" t="n">
        <v>2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SENKA</t>
        </is>
      </c>
      <c r="B5123" s="2">
        <f>"4550516474582"</f>
        <v/>
      </c>
      <c r="C5123" t="inlineStr">
        <is>
          <t>SENKA Perfect Whip Collagen In 120gr New</t>
        </is>
      </c>
      <c r="D5123" t="inlineStr">
        <is>
          <t>Miss Glam Damar</t>
        </is>
      </c>
      <c r="E5123" t="n">
        <v>3</v>
      </c>
      <c r="F5123" t="n">
        <v>0.182</v>
      </c>
      <c r="G5123" t="n">
        <v>1.82</v>
      </c>
      <c r="H5123" t="n">
        <v>2</v>
      </c>
      <c r="I5123" t="n">
        <v>11</v>
      </c>
      <c r="J5123" t="n">
        <v>3</v>
      </c>
      <c r="K5123" t="n">
        <v>0</v>
      </c>
      <c r="L5123" t="n">
        <v>67752</v>
      </c>
      <c r="M5123" t="n">
        <v>98000</v>
      </c>
      <c r="N5123" t="n">
        <v>91</v>
      </c>
      <c r="O5123" t="n">
        <v>0.91</v>
      </c>
      <c r="P5123" t="n">
        <v>1</v>
      </c>
      <c r="Q5123" t="n">
        <v>0.12</v>
      </c>
      <c r="R5123" t="n">
        <v>1</v>
      </c>
      <c r="S5123" t="n">
        <v>17836</v>
      </c>
      <c r="T5123" t="n">
        <v>20</v>
      </c>
      <c r="U5123" t="n">
        <v>21</v>
      </c>
      <c r="V5123" t="n">
        <v>30</v>
      </c>
      <c r="W5123" t="n">
        <v>6</v>
      </c>
      <c r="X5123" t="n">
        <v>16.48351648351648</v>
      </c>
      <c r="Y5123" t="n">
        <v>1</v>
      </c>
      <c r="Z5123" t="n">
        <v>3</v>
      </c>
      <c r="AA5123" t="n">
        <v>0</v>
      </c>
      <c r="AB5123" t="n">
        <v>3</v>
      </c>
      <c r="AC5123" t="n">
        <v>3</v>
      </c>
      <c r="AD5123" t="n">
        <v>0</v>
      </c>
      <c r="AE5123" t="n">
        <v>203256</v>
      </c>
      <c r="AF5123" t="n">
        <v>12386</v>
      </c>
      <c r="AG5123" t="n">
        <v>92</v>
      </c>
      <c r="AH5123" t="inlineStr">
        <is>
          <t>PT. SAI (PDG)</t>
        </is>
      </c>
      <c r="AI5123" t="n">
        <v>143</v>
      </c>
      <c r="AJ5123" t="inlineStr">
        <is>
          <t>SENKA</t>
        </is>
      </c>
      <c r="AK5123" t="n">
        <v>21</v>
      </c>
      <c r="AL5123" t="inlineStr">
        <is>
          <t>Miss Glam Damar</t>
        </is>
      </c>
      <c r="AM5123" t="n">
        <v>2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SENKA</t>
        </is>
      </c>
      <c r="B5124" s="2">
        <f>"4550516705884"</f>
        <v/>
      </c>
      <c r="C5124" t="inlineStr">
        <is>
          <t>SENKA Perfect Whip Fresh Beauty Foam 100gr New</t>
        </is>
      </c>
      <c r="D5124" t="inlineStr">
        <is>
          <t>Miss Glam Damar</t>
        </is>
      </c>
      <c r="E5124" t="n">
        <v>2</v>
      </c>
      <c r="F5124" t="n">
        <v>0.3094</v>
      </c>
      <c r="G5124" t="n">
        <v>1.82</v>
      </c>
      <c r="H5124" t="n">
        <v>2</v>
      </c>
      <c r="I5124" t="n">
        <v>11</v>
      </c>
      <c r="J5124" t="n">
        <v>3</v>
      </c>
      <c r="K5124" t="n">
        <v>0</v>
      </c>
      <c r="L5124" t="n">
        <v>48162</v>
      </c>
      <c r="M5124" t="n">
        <v>62000</v>
      </c>
      <c r="N5124" t="n">
        <v>91</v>
      </c>
      <c r="O5124" t="n">
        <v>0.91</v>
      </c>
      <c r="P5124" t="n">
        <v>1</v>
      </c>
      <c r="Q5124" t="n">
        <v>0.25</v>
      </c>
      <c r="R5124" t="n">
        <v>2</v>
      </c>
      <c r="S5124" t="n">
        <v>19182.8</v>
      </c>
      <c r="T5124" t="n">
        <v>20</v>
      </c>
      <c r="U5124" t="n">
        <v>21</v>
      </c>
      <c r="V5124" t="n">
        <v>30</v>
      </c>
      <c r="W5124" t="n">
        <v>10</v>
      </c>
      <c r="X5124" t="n">
        <v>6.464124111182935</v>
      </c>
      <c r="Y5124" t="n">
        <v>1</v>
      </c>
      <c r="Z5124" t="n">
        <v>8</v>
      </c>
      <c r="AA5124" t="n">
        <v>2</v>
      </c>
      <c r="AB5124" t="n">
        <v>6</v>
      </c>
      <c r="AC5124" t="n">
        <v>6</v>
      </c>
      <c r="AD5124" t="n">
        <v>96324</v>
      </c>
      <c r="AE5124" t="n">
        <v>288972</v>
      </c>
      <c r="AF5124" t="n">
        <v>12386</v>
      </c>
      <c r="AG5124" t="n">
        <v>92</v>
      </c>
      <c r="AH5124" t="inlineStr">
        <is>
          <t>PT. SAI (PDG)</t>
        </is>
      </c>
      <c r="AI5124" t="n">
        <v>143</v>
      </c>
      <c r="AJ5124" t="inlineStr">
        <is>
          <t>SENKA</t>
        </is>
      </c>
      <c r="AK5124" t="n">
        <v>21</v>
      </c>
      <c r="AL5124" t="inlineStr">
        <is>
          <t>Miss Glam Damar</t>
        </is>
      </c>
      <c r="AM5124" t="n">
        <v>2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SENKA</t>
        </is>
      </c>
      <c r="B5125" s="2">
        <f>"4550516705334"</f>
        <v/>
      </c>
      <c r="C5125" t="inlineStr">
        <is>
          <t>SENKA Perfect Whip Halal Beauty Foam Gentle Rose 100gr</t>
        </is>
      </c>
      <c r="D5125" t="inlineStr">
        <is>
          <t>Miss Glam Damar</t>
        </is>
      </c>
      <c r="E5125" t="n">
        <v>0</v>
      </c>
      <c r="F5125" t="n">
        <v>0.0273</v>
      </c>
      <c r="G5125" t="n">
        <v>0.91</v>
      </c>
      <c r="H5125" t="n">
        <v>2</v>
      </c>
      <c r="I5125" t="n">
        <v>11</v>
      </c>
      <c r="J5125" t="n">
        <v>3</v>
      </c>
      <c r="K5125" t="n">
        <v>0</v>
      </c>
      <c r="L5125" t="n">
        <v>47629</v>
      </c>
      <c r="M5125" t="n">
        <v>60000</v>
      </c>
      <c r="N5125" t="n">
        <v>91</v>
      </c>
      <c r="O5125" t="n">
        <v>0.91</v>
      </c>
      <c r="P5125" t="n">
        <v>1</v>
      </c>
      <c r="Q5125" t="n">
        <v>0.19</v>
      </c>
      <c r="R5125" t="n">
        <v>3</v>
      </c>
      <c r="S5125" t="n">
        <v>1638</v>
      </c>
      <c r="T5125" t="n">
        <v>10</v>
      </c>
      <c r="U5125" t="n">
        <v>11</v>
      </c>
      <c r="V5125" t="n">
        <v>30</v>
      </c>
      <c r="W5125" t="n">
        <v>1</v>
      </c>
      <c r="X5125" t="n">
        <v>0</v>
      </c>
      <c r="Y5125" t="n">
        <v>1</v>
      </c>
      <c r="Z5125" t="n">
        <v>1</v>
      </c>
      <c r="AA5125" t="n">
        <v>1</v>
      </c>
      <c r="AB5125" t="n">
        <v>0</v>
      </c>
      <c r="AC5125" t="n">
        <v>0</v>
      </c>
      <c r="AD5125" t="n">
        <v>47629</v>
      </c>
      <c r="AE5125" t="n">
        <v>0</v>
      </c>
      <c r="AF5125" t="n">
        <v>12386</v>
      </c>
      <c r="AG5125" t="n">
        <v>92</v>
      </c>
      <c r="AH5125" t="inlineStr">
        <is>
          <t>PT. SAI (PDG)</t>
        </is>
      </c>
      <c r="AI5125" t="n">
        <v>143</v>
      </c>
      <c r="AJ5125" t="inlineStr">
        <is>
          <t>SENKA</t>
        </is>
      </c>
      <c r="AK5125" t="n">
        <v>21</v>
      </c>
      <c r="AL5125" t="inlineStr">
        <is>
          <t>Miss Glam Damar</t>
        </is>
      </c>
      <c r="AM5125" t="n">
        <v>2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SENKA</t>
        </is>
      </c>
      <c r="B5126" s="2">
        <f>"4550516705358"</f>
        <v/>
      </c>
      <c r="C5126" t="inlineStr">
        <is>
          <t>SENKA Perfect Whip Halal Beauty Foam Soothing Wakame 100gr</t>
        </is>
      </c>
      <c r="D5126" t="inlineStr">
        <is>
          <t>Miss Glam Damar</t>
        </is>
      </c>
      <c r="E5126" t="n">
        <v>3</v>
      </c>
      <c r="F5126" t="n">
        <v>0.06370000000000001</v>
      </c>
      <c r="G5126" t="n">
        <v>0.91</v>
      </c>
      <c r="H5126" t="n">
        <v>2</v>
      </c>
      <c r="I5126" t="n">
        <v>11</v>
      </c>
      <c r="J5126" t="n">
        <v>3</v>
      </c>
      <c r="K5126" t="n">
        <v>0</v>
      </c>
      <c r="L5126" t="n">
        <v>46368</v>
      </c>
      <c r="M5126" t="n">
        <v>60000</v>
      </c>
      <c r="N5126" t="n">
        <v>91</v>
      </c>
      <c r="O5126" t="n">
        <v>0.91</v>
      </c>
      <c r="P5126" t="n">
        <v>1</v>
      </c>
      <c r="Q5126" t="n">
        <v>0.02</v>
      </c>
      <c r="R5126" t="n">
        <v>0</v>
      </c>
      <c r="S5126" t="n">
        <v>3822</v>
      </c>
      <c r="T5126" t="n">
        <v>10</v>
      </c>
      <c r="U5126" t="n">
        <v>11</v>
      </c>
      <c r="V5126" t="n">
        <v>30</v>
      </c>
      <c r="W5126" t="n">
        <v>2</v>
      </c>
      <c r="X5126" t="n">
        <v>47.09576138147566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12386</v>
      </c>
      <c r="AG5126" t="n">
        <v>92</v>
      </c>
      <c r="AH5126" t="inlineStr">
        <is>
          <t>PT. SAI (PDG)</t>
        </is>
      </c>
      <c r="AI5126" t="n">
        <v>143</v>
      </c>
      <c r="AJ5126" t="inlineStr">
        <is>
          <t>SENKA</t>
        </is>
      </c>
      <c r="AK5126" t="n">
        <v>21</v>
      </c>
      <c r="AL5126" t="inlineStr">
        <is>
          <t>Miss Glam Damar</t>
        </is>
      </c>
      <c r="AM5126" t="n">
        <v>2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SENKA</t>
        </is>
      </c>
      <c r="B5127" s="2">
        <f>"101001114140"</f>
        <v/>
      </c>
      <c r="C5127" t="inlineStr">
        <is>
          <t>SENKA Perfect Whip Low pH Calming Cica 100 gr</t>
        </is>
      </c>
      <c r="D5127" t="inlineStr">
        <is>
          <t>Miss Glam Damar</t>
        </is>
      </c>
      <c r="E5127" t="n">
        <v>3</v>
      </c>
      <c r="F5127" t="n">
        <v>0.0182</v>
      </c>
      <c r="G5127" t="n">
        <v>0.91</v>
      </c>
      <c r="H5127" t="n">
        <v>2</v>
      </c>
      <c r="I5127" t="n">
        <v>11</v>
      </c>
      <c r="J5127" t="n">
        <v>1</v>
      </c>
      <c r="K5127" t="n">
        <v>0</v>
      </c>
      <c r="L5127" t="n">
        <v>63664</v>
      </c>
      <c r="M5127" t="n">
        <v>79000</v>
      </c>
      <c r="N5127" t="n">
        <v>91</v>
      </c>
      <c r="O5127" t="n">
        <v>0.91</v>
      </c>
      <c r="P5127" t="n">
        <v>1</v>
      </c>
      <c r="Q5127" t="n">
        <v>0.02</v>
      </c>
      <c r="R5127" t="n">
        <v>1</v>
      </c>
      <c r="S5127" t="n">
        <v>1437.8</v>
      </c>
      <c r="T5127" t="n">
        <v>10</v>
      </c>
      <c r="U5127" t="n">
        <v>11</v>
      </c>
      <c r="V5127" t="n">
        <v>30</v>
      </c>
      <c r="W5127" t="n">
        <v>1</v>
      </c>
      <c r="X5127" t="n">
        <v>164.8351648351648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12386</v>
      </c>
      <c r="AG5127" t="n">
        <v>92</v>
      </c>
      <c r="AH5127" t="inlineStr">
        <is>
          <t>PT. SAI (PDG)</t>
        </is>
      </c>
      <c r="AI5127" t="n">
        <v>143</v>
      </c>
      <c r="AJ5127" t="inlineStr">
        <is>
          <t>SENKA</t>
        </is>
      </c>
      <c r="AK5127" t="n">
        <v>21</v>
      </c>
      <c r="AL5127" t="inlineStr">
        <is>
          <t>Miss Glam Damar</t>
        </is>
      </c>
      <c r="AM5127" t="n">
        <v>2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SENKA</t>
        </is>
      </c>
      <c r="B5128" s="2">
        <f>"4550516705464"</f>
        <v/>
      </c>
      <c r="C5128" t="inlineStr">
        <is>
          <t>SENKA Perfect Whip Vit C Poreless Glow Japanese Yuzu 100gr New</t>
        </is>
      </c>
      <c r="D5128" t="inlineStr">
        <is>
          <t>Miss Glam Damar</t>
        </is>
      </c>
      <c r="E5128" t="n">
        <v>5</v>
      </c>
      <c r="F5128" t="n">
        <v>0.0273</v>
      </c>
      <c r="G5128" t="n">
        <v>0.91</v>
      </c>
      <c r="H5128" t="n">
        <v>2</v>
      </c>
      <c r="I5128" t="n">
        <v>11</v>
      </c>
      <c r="J5128" t="n">
        <v>3</v>
      </c>
      <c r="K5128" t="n">
        <v>0</v>
      </c>
      <c r="L5128" t="n">
        <v>60139</v>
      </c>
      <c r="M5128" t="n">
        <v>97500</v>
      </c>
      <c r="N5128" t="n">
        <v>91</v>
      </c>
      <c r="O5128" t="n">
        <v>0.91</v>
      </c>
      <c r="P5128" t="n">
        <v>1</v>
      </c>
      <c r="Q5128" t="n">
        <v>0.03</v>
      </c>
      <c r="R5128" t="n">
        <v>1</v>
      </c>
      <c r="S5128" t="n">
        <v>2661.75</v>
      </c>
      <c r="T5128" t="n">
        <v>10</v>
      </c>
      <c r="U5128" t="n">
        <v>11</v>
      </c>
      <c r="V5128" t="n">
        <v>30</v>
      </c>
      <c r="W5128" t="n">
        <v>1</v>
      </c>
      <c r="X5128" t="n">
        <v>183.1501831501832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12386</v>
      </c>
      <c r="AG5128" t="n">
        <v>92</v>
      </c>
      <c r="AH5128" t="inlineStr">
        <is>
          <t>PT. SAI (PDG)</t>
        </is>
      </c>
      <c r="AI5128" t="n">
        <v>143</v>
      </c>
      <c r="AJ5128" t="inlineStr">
        <is>
          <t>SENKA</t>
        </is>
      </c>
      <c r="AK5128" t="n">
        <v>21</v>
      </c>
      <c r="AL5128" t="inlineStr">
        <is>
          <t>Miss Glam Damar</t>
        </is>
      </c>
      <c r="AM5128" t="n">
        <v>2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SENKA</t>
        </is>
      </c>
      <c r="B5129" s="2">
        <f>"4550516705907"</f>
        <v/>
      </c>
      <c r="C5129" t="inlineStr">
        <is>
          <t>SENKA Perfect Whip White A - 100gr New</t>
        </is>
      </c>
      <c r="D5129" t="inlineStr">
        <is>
          <t>Miss Glam Damar</t>
        </is>
      </c>
      <c r="E5129" t="n">
        <v>6</v>
      </c>
      <c r="F5129" t="n">
        <v>0.2002</v>
      </c>
      <c r="G5129" t="n">
        <v>1.82</v>
      </c>
      <c r="H5129" t="n">
        <v>2</v>
      </c>
      <c r="I5129" t="n">
        <v>11</v>
      </c>
      <c r="J5129" t="n">
        <v>3</v>
      </c>
      <c r="K5129" t="n">
        <v>0</v>
      </c>
      <c r="L5129" t="n">
        <v>46368</v>
      </c>
      <c r="M5129" t="n">
        <v>60000</v>
      </c>
      <c r="N5129" t="n">
        <v>91</v>
      </c>
      <c r="O5129" t="n">
        <v>0.91</v>
      </c>
      <c r="P5129" t="n">
        <v>1</v>
      </c>
      <c r="Q5129" t="n">
        <v>0.14</v>
      </c>
      <c r="R5129" t="n">
        <v>2</v>
      </c>
      <c r="S5129" t="n">
        <v>12012</v>
      </c>
      <c r="T5129" t="n">
        <v>20</v>
      </c>
      <c r="U5129" t="n">
        <v>21</v>
      </c>
      <c r="V5129" t="n">
        <v>30</v>
      </c>
      <c r="W5129" t="n">
        <v>7</v>
      </c>
      <c r="X5129" t="n">
        <v>29.97002997002997</v>
      </c>
      <c r="Y5129" t="n">
        <v>1</v>
      </c>
      <c r="Z5129" t="n">
        <v>1</v>
      </c>
      <c r="AA5129" t="n">
        <v>0</v>
      </c>
      <c r="AB5129" t="n">
        <v>1</v>
      </c>
      <c r="AC5129" t="n">
        <v>3</v>
      </c>
      <c r="AD5129" t="n">
        <v>0</v>
      </c>
      <c r="AE5129" t="n">
        <v>139104</v>
      </c>
      <c r="AF5129" t="n">
        <v>12386</v>
      </c>
      <c r="AG5129" t="n">
        <v>92</v>
      </c>
      <c r="AH5129" t="inlineStr">
        <is>
          <t>PT. SAI (PDG)</t>
        </is>
      </c>
      <c r="AI5129" t="n">
        <v>143</v>
      </c>
      <c r="AJ5129" t="inlineStr">
        <is>
          <t>SENKA</t>
        </is>
      </c>
      <c r="AK5129" t="n">
        <v>21</v>
      </c>
      <c r="AL5129" t="inlineStr">
        <is>
          <t>Miss Glam Damar</t>
        </is>
      </c>
      <c r="AM5129" t="n">
        <v>2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SENKA</t>
        </is>
      </c>
      <c r="B5130" s="2">
        <f>"4550516474636"</f>
        <v/>
      </c>
      <c r="C5130" t="inlineStr">
        <is>
          <t>SENKA Perfect Whip White Clay 120gr New</t>
        </is>
      </c>
      <c r="D5130" t="inlineStr">
        <is>
          <t>Miss Glam Damar</t>
        </is>
      </c>
      <c r="E5130" t="n">
        <v>5</v>
      </c>
      <c r="F5130" t="n">
        <v>0.182</v>
      </c>
      <c r="G5130" t="n">
        <v>1.82</v>
      </c>
      <c r="H5130" t="n">
        <v>2</v>
      </c>
      <c r="I5130" t="n">
        <v>11</v>
      </c>
      <c r="J5130" t="n">
        <v>3</v>
      </c>
      <c r="K5130" t="n">
        <v>0</v>
      </c>
      <c r="L5130" t="n">
        <v>55936</v>
      </c>
      <c r="M5130" t="n">
        <v>71000</v>
      </c>
      <c r="N5130" t="n">
        <v>91</v>
      </c>
      <c r="O5130" t="n">
        <v>0.91</v>
      </c>
      <c r="P5130" t="n">
        <v>1</v>
      </c>
      <c r="Q5130" t="n">
        <v>0.14</v>
      </c>
      <c r="R5130" t="n">
        <v>2</v>
      </c>
      <c r="S5130" t="n">
        <v>12922</v>
      </c>
      <c r="T5130" t="n">
        <v>20</v>
      </c>
      <c r="U5130" t="n">
        <v>21</v>
      </c>
      <c r="V5130" t="n">
        <v>30</v>
      </c>
      <c r="W5130" t="n">
        <v>6</v>
      </c>
      <c r="X5130" t="n">
        <v>27.47252747252747</v>
      </c>
      <c r="Y5130" t="n">
        <v>1</v>
      </c>
      <c r="Z5130" t="n">
        <v>1</v>
      </c>
      <c r="AA5130" t="n">
        <v>0</v>
      </c>
      <c r="AB5130" t="n">
        <v>1</v>
      </c>
      <c r="AC5130" t="n">
        <v>3</v>
      </c>
      <c r="AD5130" t="n">
        <v>0</v>
      </c>
      <c r="AE5130" t="n">
        <v>167808</v>
      </c>
      <c r="AF5130" t="n">
        <v>12386</v>
      </c>
      <c r="AG5130" t="n">
        <v>92</v>
      </c>
      <c r="AH5130" t="inlineStr">
        <is>
          <t>PT. SAI (PDG)</t>
        </is>
      </c>
      <c r="AI5130" t="n">
        <v>143</v>
      </c>
      <c r="AJ5130" t="inlineStr">
        <is>
          <t>SENKA</t>
        </is>
      </c>
      <c r="AK5130" t="n">
        <v>21</v>
      </c>
      <c r="AL5130" t="inlineStr">
        <is>
          <t>Miss Glam Damar</t>
        </is>
      </c>
      <c r="AM5130" t="n">
        <v>2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SHANTOS ROMEO</t>
        </is>
      </c>
      <c r="B5131" s="2">
        <f>"8998183604134"</f>
        <v/>
      </c>
      <c r="C5131" t="inlineStr">
        <is>
          <t>SHANTOS ROMEO Active Man 100ml</t>
        </is>
      </c>
      <c r="D5131" t="inlineStr">
        <is>
          <t>Miss Glam Damar</t>
        </is>
      </c>
      <c r="E5131" t="n">
        <v>9</v>
      </c>
      <c r="F5131" t="n">
        <v>0.0273</v>
      </c>
      <c r="G5131" t="n">
        <v>0.91</v>
      </c>
      <c r="H5131" t="n">
        <v>4</v>
      </c>
      <c r="I5131" t="n">
        <v>8</v>
      </c>
      <c r="J5131" t="n">
        <v>3</v>
      </c>
      <c r="K5131" t="n">
        <v>0</v>
      </c>
      <c r="L5131" t="n">
        <v>44439</v>
      </c>
      <c r="M5131" t="n">
        <v>52500</v>
      </c>
      <c r="N5131" t="n">
        <v>91</v>
      </c>
      <c r="O5131" t="n">
        <v>0.91</v>
      </c>
      <c r="P5131" t="n">
        <v>1</v>
      </c>
      <c r="Q5131" t="n">
        <v>0.03</v>
      </c>
      <c r="R5131" t="n">
        <v>1</v>
      </c>
      <c r="S5131" t="n">
        <v>1433.25</v>
      </c>
      <c r="T5131" t="n">
        <v>8</v>
      </c>
      <c r="U5131" t="n">
        <v>9</v>
      </c>
      <c r="V5131" t="n">
        <v>30</v>
      </c>
      <c r="W5131" t="n">
        <v>1</v>
      </c>
      <c r="X5131" t="n">
        <v>329.6703296703296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12004</v>
      </c>
      <c r="AG5131" t="n">
        <v>109</v>
      </c>
      <c r="AH5131" t="inlineStr">
        <is>
          <t>PT. PENTA VALENT - PPN (PDG)</t>
        </is>
      </c>
      <c r="AI5131" t="n">
        <v>1673</v>
      </c>
      <c r="AJ5131" t="inlineStr">
        <is>
          <t>SHANTOS ROMEO</t>
        </is>
      </c>
      <c r="AK5131" t="n">
        <v>21</v>
      </c>
      <c r="AL5131" t="inlineStr">
        <is>
          <t>Miss Glam Damar</t>
        </is>
      </c>
      <c r="AM5131" t="n">
        <v>5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SHANTOS ROMEO</t>
        </is>
      </c>
      <c r="B5132" s="2">
        <f>"8998183606435"</f>
        <v/>
      </c>
      <c r="C5132" t="inlineStr">
        <is>
          <t>SHANTOS ROMEO Classic Pomade Greasy &amp; Shines With Ginseng 75gr</t>
        </is>
      </c>
      <c r="D5132" t="inlineStr">
        <is>
          <t>Miss Glam Damar</t>
        </is>
      </c>
      <c r="E5132" t="n">
        <v>6</v>
      </c>
      <c r="F5132" t="n">
        <v>0.04550000000000001</v>
      </c>
      <c r="G5132" t="n">
        <v>0.91</v>
      </c>
      <c r="H5132" t="n">
        <v>4</v>
      </c>
      <c r="I5132" t="n">
        <v>8</v>
      </c>
      <c r="J5132" t="n">
        <v>3</v>
      </c>
      <c r="K5132" t="n">
        <v>0</v>
      </c>
      <c r="L5132" t="n">
        <v>18021</v>
      </c>
      <c r="M5132" t="n">
        <v>21500</v>
      </c>
      <c r="N5132" t="n">
        <v>91</v>
      </c>
      <c r="O5132" t="n">
        <v>0.91</v>
      </c>
      <c r="P5132" t="n">
        <v>1</v>
      </c>
      <c r="Q5132" t="n">
        <v>0.12</v>
      </c>
      <c r="R5132" t="n">
        <v>2</v>
      </c>
      <c r="S5132" t="n">
        <v>978.2500000000001</v>
      </c>
      <c r="T5132" t="n">
        <v>8</v>
      </c>
      <c r="U5132" t="n">
        <v>9</v>
      </c>
      <c r="V5132" t="n">
        <v>30</v>
      </c>
      <c r="W5132" t="n">
        <v>2</v>
      </c>
      <c r="X5132" t="n">
        <v>131.8681318681319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12004</v>
      </c>
      <c r="AG5132" t="n">
        <v>109</v>
      </c>
      <c r="AH5132" t="inlineStr">
        <is>
          <t>PT. PENTA VALENT - PPN (PDG)</t>
        </is>
      </c>
      <c r="AI5132" t="n">
        <v>1673</v>
      </c>
      <c r="AJ5132" t="inlineStr">
        <is>
          <t>SHANTOS ROMEO</t>
        </is>
      </c>
      <c r="AK5132" t="n">
        <v>21</v>
      </c>
      <c r="AL5132" t="inlineStr">
        <is>
          <t>Miss Glam Damar</t>
        </is>
      </c>
      <c r="AM5132" t="n">
        <v>5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SHANTOS ROMEO</t>
        </is>
      </c>
      <c r="B5133" s="2">
        <f>"8998183606893"</f>
        <v/>
      </c>
      <c r="C5133" t="inlineStr">
        <is>
          <t>SHANTOS ROMEO Pomade Classic 40gr</t>
        </is>
      </c>
      <c r="D5133" t="inlineStr">
        <is>
          <t>Miss Glam Damar</t>
        </is>
      </c>
      <c r="E5133" t="n">
        <v>0</v>
      </c>
      <c r="F5133" t="n">
        <v>0.0728</v>
      </c>
      <c r="G5133" t="n">
        <v>0.91</v>
      </c>
      <c r="H5133" t="n">
        <v>4</v>
      </c>
      <c r="I5133" t="n">
        <v>8</v>
      </c>
      <c r="J5133" t="n">
        <v>3</v>
      </c>
      <c r="K5133" t="n">
        <v>0</v>
      </c>
      <c r="L5133" t="n">
        <v>11416</v>
      </c>
      <c r="M5133" t="n">
        <v>13500</v>
      </c>
      <c r="N5133" t="n">
        <v>91</v>
      </c>
      <c r="O5133" t="n">
        <v>0.91</v>
      </c>
      <c r="P5133" t="n">
        <v>1</v>
      </c>
      <c r="Q5133" t="n">
        <v>0.11</v>
      </c>
      <c r="R5133" t="n">
        <v>3</v>
      </c>
      <c r="S5133" t="n">
        <v>982.8000000000001</v>
      </c>
      <c r="T5133" t="n">
        <v>7</v>
      </c>
      <c r="U5133" t="n">
        <v>8</v>
      </c>
      <c r="V5133" t="n">
        <v>30</v>
      </c>
      <c r="W5133" t="n">
        <v>3</v>
      </c>
      <c r="X5133" t="n">
        <v>0</v>
      </c>
      <c r="Y5133" t="n">
        <v>1</v>
      </c>
      <c r="Z5133" t="n">
        <v>3</v>
      </c>
      <c r="AA5133" t="n">
        <v>1</v>
      </c>
      <c r="AB5133" t="n">
        <v>2</v>
      </c>
      <c r="AC5133" t="n">
        <v>3</v>
      </c>
      <c r="AD5133" t="n">
        <v>11416</v>
      </c>
      <c r="AE5133" t="n">
        <v>34248</v>
      </c>
      <c r="AF5133" t="n">
        <v>12004</v>
      </c>
      <c r="AG5133" t="n">
        <v>109</v>
      </c>
      <c r="AH5133" t="inlineStr">
        <is>
          <t>PT. PENTA VALENT - PPN (PDG)</t>
        </is>
      </c>
      <c r="AI5133" t="n">
        <v>1673</v>
      </c>
      <c r="AJ5133" t="inlineStr">
        <is>
          <t>SHANTOS ROMEO</t>
        </is>
      </c>
      <c r="AK5133" t="n">
        <v>21</v>
      </c>
      <c r="AL5133" t="inlineStr">
        <is>
          <t>Miss Glam Damar</t>
        </is>
      </c>
      <c r="AM5133" t="n">
        <v>5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SHANTOS ROMEO</t>
        </is>
      </c>
      <c r="B5134" s="2">
        <f>"8998183606428"</f>
        <v/>
      </c>
      <c r="C5134" t="inlineStr">
        <is>
          <t>SHANTOS ROMEO Supreme Pomade Oilbased 75gr</t>
        </is>
      </c>
      <c r="D5134" t="inlineStr">
        <is>
          <t>Miss Glam Damar</t>
        </is>
      </c>
      <c r="E5134" t="n">
        <v>10</v>
      </c>
      <c r="F5134" t="n">
        <v>0.09100000000000001</v>
      </c>
      <c r="G5134" t="n">
        <v>0.91</v>
      </c>
      <c r="H5134" t="n">
        <v>4</v>
      </c>
      <c r="I5134" t="n">
        <v>8</v>
      </c>
      <c r="J5134" t="n">
        <v>3</v>
      </c>
      <c r="K5134" t="n">
        <v>0</v>
      </c>
      <c r="L5134" t="n">
        <v>22644</v>
      </c>
      <c r="M5134" t="n">
        <v>27000</v>
      </c>
      <c r="N5134" t="n">
        <v>91</v>
      </c>
      <c r="O5134" t="n">
        <v>0.91</v>
      </c>
      <c r="P5134" t="n">
        <v>1</v>
      </c>
      <c r="Q5134" t="n">
        <v>0.08</v>
      </c>
      <c r="R5134" t="n">
        <v>1</v>
      </c>
      <c r="S5134" t="n">
        <v>2457</v>
      </c>
      <c r="T5134" t="n">
        <v>7</v>
      </c>
      <c r="U5134" t="n">
        <v>8</v>
      </c>
      <c r="V5134" t="n">
        <v>30</v>
      </c>
      <c r="W5134" t="n">
        <v>3</v>
      </c>
      <c r="X5134" t="n">
        <v>109.8901098901099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12004</v>
      </c>
      <c r="AG5134" t="n">
        <v>109</v>
      </c>
      <c r="AH5134" t="inlineStr">
        <is>
          <t>PT. PENTA VALENT - PPN (PDG)</t>
        </is>
      </c>
      <c r="AI5134" t="n">
        <v>1673</v>
      </c>
      <c r="AJ5134" t="inlineStr">
        <is>
          <t>SHANTOS ROMEO</t>
        </is>
      </c>
      <c r="AK5134" t="n">
        <v>21</v>
      </c>
      <c r="AL5134" t="inlineStr">
        <is>
          <t>Miss Glam Damar</t>
        </is>
      </c>
      <c r="AM5134" t="n">
        <v>5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SHANTOS ROMEO</t>
        </is>
      </c>
      <c r="B5135" s="2">
        <f>"8998183606411"</f>
        <v/>
      </c>
      <c r="C5135" t="inlineStr">
        <is>
          <t>SHANTOS ROMEO Supreme Pomade Waterbased Water Soluble &amp; Strong Hold 75gr</t>
        </is>
      </c>
      <c r="D5135" t="inlineStr">
        <is>
          <t>Miss Glam Damar</t>
        </is>
      </c>
      <c r="E5135" t="n">
        <v>1</v>
      </c>
      <c r="F5135" t="n">
        <v>0.0182</v>
      </c>
      <c r="G5135" t="n">
        <v>0.91</v>
      </c>
      <c r="H5135" t="n">
        <v>4</v>
      </c>
      <c r="I5135" t="n">
        <v>8</v>
      </c>
      <c r="J5135" t="n">
        <v>3</v>
      </c>
      <c r="K5135" t="n">
        <v>0</v>
      </c>
      <c r="L5135" t="n">
        <v>25286</v>
      </c>
      <c r="M5135" t="n">
        <v>30000</v>
      </c>
      <c r="N5135" t="n">
        <v>91</v>
      </c>
      <c r="O5135" t="n">
        <v>0.91</v>
      </c>
      <c r="P5135" t="n">
        <v>1</v>
      </c>
      <c r="Q5135" t="n">
        <v>0.03</v>
      </c>
      <c r="R5135" t="n">
        <v>1</v>
      </c>
      <c r="S5135" t="n">
        <v>546</v>
      </c>
      <c r="T5135" t="n">
        <v>8</v>
      </c>
      <c r="U5135" t="n">
        <v>9</v>
      </c>
      <c r="V5135" t="n">
        <v>30</v>
      </c>
      <c r="W5135" t="n">
        <v>1</v>
      </c>
      <c r="X5135" t="n">
        <v>54.94505494505494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12004</v>
      </c>
      <c r="AG5135" t="n">
        <v>109</v>
      </c>
      <c r="AH5135" t="inlineStr">
        <is>
          <t>PT. PENTA VALENT - PPN (PDG)</t>
        </is>
      </c>
      <c r="AI5135" t="n">
        <v>1673</v>
      </c>
      <c r="AJ5135" t="inlineStr">
        <is>
          <t>SHANTOS ROMEO</t>
        </is>
      </c>
      <c r="AK5135" t="n">
        <v>21</v>
      </c>
      <c r="AL5135" t="inlineStr">
        <is>
          <t>Miss Glam Damar</t>
        </is>
      </c>
      <c r="AM5135" t="n">
        <v>5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SHINZUI</t>
        </is>
      </c>
      <c r="B5136" s="2">
        <f>"8992946519383"</f>
        <v/>
      </c>
      <c r="C5136" t="inlineStr">
        <is>
          <t>SHINZUI Body Cleanser Hana 180ml</t>
        </is>
      </c>
      <c r="D5136" t="inlineStr">
        <is>
          <t>Miss Glam Damar</t>
        </is>
      </c>
      <c r="E5136" t="n">
        <v>4</v>
      </c>
      <c r="F5136" t="n">
        <v>0.1729</v>
      </c>
      <c r="G5136" t="n">
        <v>1.82</v>
      </c>
      <c r="H5136" t="n">
        <v>3</v>
      </c>
      <c r="I5136" t="n">
        <v>8</v>
      </c>
      <c r="J5136" t="n">
        <v>3</v>
      </c>
      <c r="K5136" t="n">
        <v>6</v>
      </c>
      <c r="L5136" t="n">
        <v>12410</v>
      </c>
      <c r="M5136" t="n">
        <v>18000</v>
      </c>
      <c r="N5136" t="n">
        <v>91</v>
      </c>
      <c r="O5136" t="n">
        <v>0.91</v>
      </c>
      <c r="P5136" t="n">
        <v>1</v>
      </c>
      <c r="Q5136" t="n">
        <v>0.12</v>
      </c>
      <c r="R5136" t="n">
        <v>2</v>
      </c>
      <c r="S5136" t="n">
        <v>3112.2</v>
      </c>
      <c r="T5136" t="n">
        <v>15</v>
      </c>
      <c r="U5136" t="n">
        <v>16</v>
      </c>
      <c r="V5136" t="n">
        <v>30</v>
      </c>
      <c r="W5136" t="n">
        <v>6</v>
      </c>
      <c r="X5136" t="n">
        <v>23.13475997686524</v>
      </c>
      <c r="Y5136" t="n">
        <v>1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10485</v>
      </c>
      <c r="AG5136" t="n">
        <v>144</v>
      </c>
      <c r="AH5136" t="inlineStr">
        <is>
          <t>PT. JAYA MURNI - PPN (PDG)</t>
        </is>
      </c>
      <c r="AI5136" t="n">
        <v>144</v>
      </c>
      <c r="AJ5136" t="inlineStr">
        <is>
          <t>SHINZUI</t>
        </is>
      </c>
      <c r="AK5136" t="n">
        <v>21</v>
      </c>
      <c r="AL5136" t="inlineStr">
        <is>
          <t>Miss Glam Damar</t>
        </is>
      </c>
      <c r="AM5136" t="n">
        <v>4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SHINZUI</t>
        </is>
      </c>
      <c r="B5137" s="2">
        <f>"8992946519369"</f>
        <v/>
      </c>
      <c r="C5137" t="inlineStr">
        <is>
          <t>SHINZUI Body Cleanser Hana 225ml</t>
        </is>
      </c>
      <c r="D5137" t="inlineStr">
        <is>
          <t>Miss Glam Damar</t>
        </is>
      </c>
      <c r="E5137" t="n">
        <v>5</v>
      </c>
      <c r="F5137" t="n">
        <v>0.1092</v>
      </c>
      <c r="G5137" t="n">
        <v>0.91</v>
      </c>
      <c r="H5137" t="n">
        <v>3</v>
      </c>
      <c r="I5137" t="n">
        <v>8</v>
      </c>
      <c r="J5137" t="n">
        <v>3</v>
      </c>
      <c r="K5137" t="n">
        <v>0</v>
      </c>
      <c r="L5137" t="n">
        <v>19555</v>
      </c>
      <c r="M5137" t="n">
        <v>27500</v>
      </c>
      <c r="N5137" t="n">
        <v>91</v>
      </c>
      <c r="O5137" t="n">
        <v>0.91</v>
      </c>
      <c r="P5137" t="n">
        <v>1</v>
      </c>
      <c r="Q5137" t="n">
        <v>0.05</v>
      </c>
      <c r="R5137" t="n">
        <v>1</v>
      </c>
      <c r="S5137" t="n">
        <v>3003</v>
      </c>
      <c r="T5137" t="n">
        <v>7</v>
      </c>
      <c r="U5137" t="n">
        <v>8</v>
      </c>
      <c r="V5137" t="n">
        <v>30</v>
      </c>
      <c r="W5137" t="n">
        <v>4</v>
      </c>
      <c r="X5137" t="n">
        <v>45.78754578754579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10485</v>
      </c>
      <c r="AG5137" t="n">
        <v>144</v>
      </c>
      <c r="AH5137" t="inlineStr">
        <is>
          <t>PT. JAYA MURNI - PPN (PDG)</t>
        </is>
      </c>
      <c r="AI5137" t="n">
        <v>144</v>
      </c>
      <c r="AJ5137" t="inlineStr">
        <is>
          <t>SHINZUI</t>
        </is>
      </c>
      <c r="AK5137" t="n">
        <v>21</v>
      </c>
      <c r="AL5137" t="inlineStr">
        <is>
          <t>Miss Glam Damar</t>
        </is>
      </c>
      <c r="AM5137" t="n">
        <v>4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SHINZUI</t>
        </is>
      </c>
      <c r="B5138" s="2">
        <f>"8992946522277"</f>
        <v/>
      </c>
      <c r="C5138" t="inlineStr">
        <is>
          <t>SHINZUI Body Cleanser Khenso 180ml</t>
        </is>
      </c>
      <c r="D5138" t="inlineStr">
        <is>
          <t>Miss Glam Damar</t>
        </is>
      </c>
      <c r="E5138" t="n">
        <v>8</v>
      </c>
      <c r="F5138" t="n">
        <v>0.5277999999999999</v>
      </c>
      <c r="G5138" t="n">
        <v>3.64</v>
      </c>
      <c r="H5138" t="n">
        <v>3</v>
      </c>
      <c r="I5138" t="n">
        <v>8</v>
      </c>
      <c r="J5138" t="n">
        <v>3</v>
      </c>
      <c r="K5138" t="n">
        <v>0</v>
      </c>
      <c r="L5138" t="n">
        <v>12351</v>
      </c>
      <c r="M5138" t="n">
        <v>18000</v>
      </c>
      <c r="N5138" t="n">
        <v>91</v>
      </c>
      <c r="O5138" t="n">
        <v>0.91</v>
      </c>
      <c r="P5138" t="n">
        <v>1</v>
      </c>
      <c r="Q5138" t="n">
        <v>0.14</v>
      </c>
      <c r="R5138" t="n">
        <v>2</v>
      </c>
      <c r="S5138" t="n">
        <v>9500.4</v>
      </c>
      <c r="T5138" t="n">
        <v>28</v>
      </c>
      <c r="U5138" t="n">
        <v>30</v>
      </c>
      <c r="V5138" t="n">
        <v>30</v>
      </c>
      <c r="W5138" t="n">
        <v>16</v>
      </c>
      <c r="X5138" t="n">
        <v>15.15725653656688</v>
      </c>
      <c r="Y5138" t="n">
        <v>1</v>
      </c>
      <c r="Z5138" t="n">
        <v>8</v>
      </c>
      <c r="AA5138" t="n">
        <v>0</v>
      </c>
      <c r="AB5138" t="n">
        <v>8</v>
      </c>
      <c r="AC5138" t="n">
        <v>8</v>
      </c>
      <c r="AD5138" t="n">
        <v>0</v>
      </c>
      <c r="AE5138" t="n">
        <v>98808</v>
      </c>
      <c r="AF5138" t="n">
        <v>10485</v>
      </c>
      <c r="AG5138" t="n">
        <v>144</v>
      </c>
      <c r="AH5138" t="inlineStr">
        <is>
          <t>PT. JAYA MURNI - PPN (PDG)</t>
        </is>
      </c>
      <c r="AI5138" t="n">
        <v>144</v>
      </c>
      <c r="AJ5138" t="inlineStr">
        <is>
          <t>SHINZUI</t>
        </is>
      </c>
      <c r="AK5138" t="n">
        <v>21</v>
      </c>
      <c r="AL5138" t="inlineStr">
        <is>
          <t>Miss Glam Damar</t>
        </is>
      </c>
      <c r="AM5138" t="n">
        <v>4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SHINZUI</t>
        </is>
      </c>
      <c r="B5139" s="2">
        <f>"8992946522246"</f>
        <v/>
      </c>
      <c r="C5139" t="inlineStr">
        <is>
          <t>SHINZUI Body Cleanser Khenso 225ml</t>
        </is>
      </c>
      <c r="D5139" t="inlineStr">
        <is>
          <t>Miss Glam Damar</t>
        </is>
      </c>
      <c r="E5139" t="n">
        <v>8</v>
      </c>
      <c r="F5139" t="n">
        <v>0.27</v>
      </c>
      <c r="G5139" t="n">
        <v>2</v>
      </c>
      <c r="H5139" t="n">
        <v>3</v>
      </c>
      <c r="I5139" t="n">
        <v>8</v>
      </c>
      <c r="J5139" t="n">
        <v>3</v>
      </c>
      <c r="K5139" t="n">
        <v>0</v>
      </c>
      <c r="L5139" t="n">
        <v>18818</v>
      </c>
      <c r="M5139" t="n">
        <v>27500</v>
      </c>
      <c r="N5139" t="n">
        <v>91</v>
      </c>
      <c r="O5139" t="n">
        <v>0.91</v>
      </c>
      <c r="P5139" t="n">
        <v>0</v>
      </c>
      <c r="Q5139" t="n">
        <v>0.27</v>
      </c>
      <c r="R5139" t="n">
        <v>2</v>
      </c>
      <c r="S5139" t="n">
        <v>7425.000000000001</v>
      </c>
      <c r="T5139" t="n">
        <v>16</v>
      </c>
      <c r="U5139" t="n">
        <v>17</v>
      </c>
      <c r="V5139" t="n">
        <v>30</v>
      </c>
      <c r="W5139" t="n">
        <v>9</v>
      </c>
      <c r="X5139" t="n">
        <v>29.62962962962963</v>
      </c>
      <c r="Y5139" t="n">
        <v>1</v>
      </c>
      <c r="Z5139" t="n">
        <v>1</v>
      </c>
      <c r="AA5139" t="n">
        <v>0</v>
      </c>
      <c r="AB5139" t="n">
        <v>1</v>
      </c>
      <c r="AC5139" t="n">
        <v>3</v>
      </c>
      <c r="AD5139" t="n">
        <v>0</v>
      </c>
      <c r="AE5139" t="n">
        <v>56454</v>
      </c>
      <c r="AF5139" t="n">
        <v>10485</v>
      </c>
      <c r="AG5139" t="n">
        <v>144</v>
      </c>
      <c r="AH5139" t="inlineStr">
        <is>
          <t>PT. JAYA MURNI - PPN (PDG)</t>
        </is>
      </c>
      <c r="AI5139" t="n">
        <v>144</v>
      </c>
      <c r="AJ5139" t="inlineStr">
        <is>
          <t>SHINZUI</t>
        </is>
      </c>
      <c r="AK5139" t="n">
        <v>21</v>
      </c>
      <c r="AL5139" t="inlineStr">
        <is>
          <t>Miss Glam Damar</t>
        </is>
      </c>
      <c r="AM5139" t="n">
        <v>4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SHINZUI</t>
        </is>
      </c>
      <c r="B5140" s="2">
        <f>"8992946519390"</f>
        <v/>
      </c>
      <c r="C5140" t="inlineStr">
        <is>
          <t>SHINZUI Body Cleanser Kirei 180ml</t>
        </is>
      </c>
      <c r="D5140" t="inlineStr">
        <is>
          <t>Miss Glam Damar</t>
        </is>
      </c>
      <c r="E5140" t="n">
        <v>2</v>
      </c>
      <c r="F5140" t="n">
        <v>0.4914000000000001</v>
      </c>
      <c r="G5140" t="n">
        <v>2.73</v>
      </c>
      <c r="H5140" t="n">
        <v>3</v>
      </c>
      <c r="I5140" t="n">
        <v>8</v>
      </c>
      <c r="J5140" t="n">
        <v>3</v>
      </c>
      <c r="K5140" t="n">
        <v>12</v>
      </c>
      <c r="L5140" t="n">
        <v>12622</v>
      </c>
      <c r="M5140" t="n">
        <v>18000</v>
      </c>
      <c r="N5140" t="n">
        <v>91</v>
      </c>
      <c r="O5140" t="n">
        <v>0.91</v>
      </c>
      <c r="P5140" t="n">
        <v>1</v>
      </c>
      <c r="Q5140" t="n">
        <v>0.14</v>
      </c>
      <c r="R5140" t="n">
        <v>2</v>
      </c>
      <c r="S5140" t="n">
        <v>8845.200000000001</v>
      </c>
      <c r="T5140" t="n">
        <v>21</v>
      </c>
      <c r="U5140" t="n">
        <v>23</v>
      </c>
      <c r="V5140" t="n">
        <v>30</v>
      </c>
      <c r="W5140" t="n">
        <v>15</v>
      </c>
      <c r="X5140" t="n">
        <v>4.070004070004069</v>
      </c>
      <c r="Y5140" t="n">
        <v>1</v>
      </c>
      <c r="Z5140" t="n">
        <v>1</v>
      </c>
      <c r="AA5140" t="n">
        <v>1</v>
      </c>
      <c r="AB5140" t="n">
        <v>0</v>
      </c>
      <c r="AC5140" t="n">
        <v>0</v>
      </c>
      <c r="AD5140" t="n">
        <v>12622</v>
      </c>
      <c r="AE5140" t="n">
        <v>0</v>
      </c>
      <c r="AF5140" t="n">
        <v>10485</v>
      </c>
      <c r="AG5140" t="n">
        <v>144</v>
      </c>
      <c r="AH5140" t="inlineStr">
        <is>
          <t>PT. JAYA MURNI - PPN (PDG)</t>
        </is>
      </c>
      <c r="AI5140" t="n">
        <v>144</v>
      </c>
      <c r="AJ5140" t="inlineStr">
        <is>
          <t>SHINZUI</t>
        </is>
      </c>
      <c r="AK5140" t="n">
        <v>21</v>
      </c>
      <c r="AL5140" t="inlineStr">
        <is>
          <t>Miss Glam Damar</t>
        </is>
      </c>
      <c r="AM5140" t="n">
        <v>4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SHINZUI</t>
        </is>
      </c>
      <c r="B5141" s="2">
        <f>"8992946519376"</f>
        <v/>
      </c>
      <c r="C5141" t="inlineStr">
        <is>
          <t>SHINZUI Body Cleanser Kirei 225ml</t>
        </is>
      </c>
      <c r="D5141" t="inlineStr">
        <is>
          <t>Miss Glam Damar</t>
        </is>
      </c>
      <c r="E5141" t="n">
        <v>7</v>
      </c>
      <c r="F5141" t="n">
        <v>0.09100000000000001</v>
      </c>
      <c r="G5141" t="n">
        <v>0.91</v>
      </c>
      <c r="H5141" t="n">
        <v>3</v>
      </c>
      <c r="I5141" t="n">
        <v>8</v>
      </c>
      <c r="J5141" t="n">
        <v>3</v>
      </c>
      <c r="K5141" t="n">
        <v>0</v>
      </c>
      <c r="L5141" t="n">
        <v>18947</v>
      </c>
      <c r="M5141" t="n">
        <v>27500</v>
      </c>
      <c r="N5141" t="n">
        <v>91</v>
      </c>
      <c r="O5141" t="n">
        <v>0.91</v>
      </c>
      <c r="P5141" t="n">
        <v>1</v>
      </c>
      <c r="Q5141" t="n">
        <v>0.19</v>
      </c>
      <c r="R5141" t="n">
        <v>1</v>
      </c>
      <c r="S5141" t="n">
        <v>2502.5</v>
      </c>
      <c r="T5141" t="n">
        <v>8</v>
      </c>
      <c r="U5141" t="n">
        <v>9</v>
      </c>
      <c r="V5141" t="n">
        <v>30</v>
      </c>
      <c r="W5141" t="n">
        <v>3</v>
      </c>
      <c r="X5141" t="n">
        <v>76.92307692307692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10485</v>
      </c>
      <c r="AG5141" t="n">
        <v>144</v>
      </c>
      <c r="AH5141" t="inlineStr">
        <is>
          <t>PT. JAYA MURNI - PPN (PDG)</t>
        </is>
      </c>
      <c r="AI5141" t="n">
        <v>144</v>
      </c>
      <c r="AJ5141" t="inlineStr">
        <is>
          <t>SHINZUI</t>
        </is>
      </c>
      <c r="AK5141" t="n">
        <v>21</v>
      </c>
      <c r="AL5141" t="inlineStr">
        <is>
          <t>Miss Glam Damar</t>
        </is>
      </c>
      <c r="AM5141" t="n">
        <v>4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SHINZUI</t>
        </is>
      </c>
      <c r="B5142" s="2">
        <f>"8992946523533"</f>
        <v/>
      </c>
      <c r="C5142" t="inlineStr">
        <is>
          <t>SHINZUI Body Cleanser Kirei 400ml</t>
        </is>
      </c>
      <c r="D5142" t="inlineStr">
        <is>
          <t>Miss Glam Damar</t>
        </is>
      </c>
      <c r="E5142" t="n">
        <v>11</v>
      </c>
      <c r="F5142" t="n">
        <v>0.3276</v>
      </c>
      <c r="G5142" t="n">
        <v>1.82</v>
      </c>
      <c r="H5142" t="n">
        <v>3</v>
      </c>
      <c r="I5142" t="n">
        <v>8</v>
      </c>
      <c r="J5142" t="n">
        <v>3</v>
      </c>
      <c r="K5142" t="n">
        <v>0</v>
      </c>
      <c r="L5142" t="n">
        <v>24463</v>
      </c>
      <c r="M5142" t="n">
        <v>32000</v>
      </c>
      <c r="N5142" t="n">
        <v>91</v>
      </c>
      <c r="O5142" t="n">
        <v>0.91</v>
      </c>
      <c r="P5142" t="n">
        <v>1</v>
      </c>
      <c r="Q5142" t="n">
        <v>0.27</v>
      </c>
      <c r="R5142" t="n">
        <v>1</v>
      </c>
      <c r="S5142" t="n">
        <v>10483.2</v>
      </c>
      <c r="T5142" t="n">
        <v>14</v>
      </c>
      <c r="U5142" t="n">
        <v>15</v>
      </c>
      <c r="V5142" t="n">
        <v>30</v>
      </c>
      <c r="W5142" t="n">
        <v>10</v>
      </c>
      <c r="X5142" t="n">
        <v>33.57753357753358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10485</v>
      </c>
      <c r="AG5142" t="n">
        <v>144</v>
      </c>
      <c r="AH5142" t="inlineStr">
        <is>
          <t>PT. JAYA MURNI - PPN (PDG)</t>
        </is>
      </c>
      <c r="AI5142" t="n">
        <v>144</v>
      </c>
      <c r="AJ5142" t="inlineStr">
        <is>
          <t>SHINZUI</t>
        </is>
      </c>
      <c r="AK5142" t="n">
        <v>21</v>
      </c>
      <c r="AL5142" t="inlineStr">
        <is>
          <t>Miss Glam Damar</t>
        </is>
      </c>
      <c r="AM5142" t="n">
        <v>4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SHINZUI</t>
        </is>
      </c>
      <c r="B5143" s="2">
        <f>"8992946518799"</f>
        <v/>
      </c>
      <c r="C5143" t="inlineStr">
        <is>
          <t>SHINZUI Body Cleanser Matsu 180ml</t>
        </is>
      </c>
      <c r="D5143" t="inlineStr">
        <is>
          <t>Miss Glam Damar</t>
        </is>
      </c>
      <c r="E5143" t="n">
        <v>6</v>
      </c>
      <c r="F5143" t="n">
        <v>0.2457</v>
      </c>
      <c r="G5143" t="n">
        <v>2.73</v>
      </c>
      <c r="H5143" t="n">
        <v>3</v>
      </c>
      <c r="I5143" t="n">
        <v>8</v>
      </c>
      <c r="J5143" t="n">
        <v>3</v>
      </c>
      <c r="K5143" t="n">
        <v>6</v>
      </c>
      <c r="L5143" t="n">
        <v>12335</v>
      </c>
      <c r="M5143" t="n">
        <v>18000</v>
      </c>
      <c r="N5143" t="n">
        <v>91</v>
      </c>
      <c r="O5143" t="n">
        <v>0.91</v>
      </c>
      <c r="P5143" t="n">
        <v>1</v>
      </c>
      <c r="Q5143" t="n">
        <v>0.2</v>
      </c>
      <c r="R5143" t="n">
        <v>2</v>
      </c>
      <c r="S5143" t="n">
        <v>4422.6</v>
      </c>
      <c r="T5143" t="n">
        <v>22</v>
      </c>
      <c r="U5143" t="n">
        <v>23</v>
      </c>
      <c r="V5143" t="n">
        <v>30</v>
      </c>
      <c r="W5143" t="n">
        <v>8</v>
      </c>
      <c r="X5143" t="n">
        <v>24.42002442002442</v>
      </c>
      <c r="Y5143" t="n">
        <v>1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10485</v>
      </c>
      <c r="AG5143" t="n">
        <v>144</v>
      </c>
      <c r="AH5143" t="inlineStr">
        <is>
          <t>PT. JAYA MURNI - PPN (PDG)</t>
        </is>
      </c>
      <c r="AI5143" t="n">
        <v>144</v>
      </c>
      <c r="AJ5143" t="inlineStr">
        <is>
          <t>SHINZUI</t>
        </is>
      </c>
      <c r="AK5143" t="n">
        <v>21</v>
      </c>
      <c r="AL5143" t="inlineStr">
        <is>
          <t>Miss Glam Damar</t>
        </is>
      </c>
      <c r="AM5143" t="n">
        <v>4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SHINZUI</t>
        </is>
      </c>
      <c r="B5144" s="2">
        <f>"8992946513350"</f>
        <v/>
      </c>
      <c r="C5144" t="inlineStr">
        <is>
          <t>SHINZUI Body Cleanser Matsu 225ml</t>
        </is>
      </c>
      <c r="D5144" t="inlineStr">
        <is>
          <t>Miss Glam Damar</t>
        </is>
      </c>
      <c r="E5144" t="n">
        <v>9</v>
      </c>
      <c r="F5144" t="n">
        <v>0.182</v>
      </c>
      <c r="G5144" t="n">
        <v>1.82</v>
      </c>
      <c r="H5144" t="n">
        <v>3</v>
      </c>
      <c r="I5144" t="n">
        <v>8</v>
      </c>
      <c r="J5144" t="n">
        <v>3</v>
      </c>
      <c r="K5144" t="n">
        <v>0</v>
      </c>
      <c r="L5144" t="n">
        <v>18869</v>
      </c>
      <c r="M5144" t="n">
        <v>27500</v>
      </c>
      <c r="N5144" t="n">
        <v>91</v>
      </c>
      <c r="O5144" t="n">
        <v>0.91</v>
      </c>
      <c r="P5144" t="n">
        <v>1</v>
      </c>
      <c r="Q5144" t="n">
        <v>0.15</v>
      </c>
      <c r="R5144" t="n">
        <v>2</v>
      </c>
      <c r="S5144" t="n">
        <v>5005.000000000001</v>
      </c>
      <c r="T5144" t="n">
        <v>15</v>
      </c>
      <c r="U5144" t="n">
        <v>16</v>
      </c>
      <c r="V5144" t="n">
        <v>30</v>
      </c>
      <c r="W5144" t="n">
        <v>6</v>
      </c>
      <c r="X5144" t="n">
        <v>49.45054945054945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10485</v>
      </c>
      <c r="AG5144" t="n">
        <v>144</v>
      </c>
      <c r="AH5144" t="inlineStr">
        <is>
          <t>PT. JAYA MURNI - PPN (PDG)</t>
        </is>
      </c>
      <c r="AI5144" t="n">
        <v>144</v>
      </c>
      <c r="AJ5144" t="inlineStr">
        <is>
          <t>SHINZUI</t>
        </is>
      </c>
      <c r="AK5144" t="n">
        <v>21</v>
      </c>
      <c r="AL5144" t="inlineStr">
        <is>
          <t>Miss Glam Damar</t>
        </is>
      </c>
      <c r="AM5144" t="n">
        <v>4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SHINZUI</t>
        </is>
      </c>
      <c r="B5145" s="2">
        <f>"8992946523519"</f>
        <v/>
      </c>
      <c r="C5145" t="inlineStr">
        <is>
          <t>SHINZUI Body Cleanser Matsu 400ml</t>
        </is>
      </c>
      <c r="D5145" t="inlineStr">
        <is>
          <t>Miss Glam Damar</t>
        </is>
      </c>
      <c r="E5145" t="n">
        <v>9</v>
      </c>
      <c r="F5145" t="n">
        <v>0.1729</v>
      </c>
      <c r="G5145" t="n">
        <v>0.91</v>
      </c>
      <c r="H5145" t="n">
        <v>3</v>
      </c>
      <c r="I5145" t="n">
        <v>8</v>
      </c>
      <c r="J5145" t="n">
        <v>3</v>
      </c>
      <c r="K5145" t="n">
        <v>0</v>
      </c>
      <c r="L5145" t="n">
        <v>24482</v>
      </c>
      <c r="M5145" t="n">
        <v>32000</v>
      </c>
      <c r="N5145" t="n">
        <v>91</v>
      </c>
      <c r="O5145" t="n">
        <v>0.91</v>
      </c>
      <c r="P5145" t="n">
        <v>1</v>
      </c>
      <c r="Q5145" t="n">
        <v>0.19</v>
      </c>
      <c r="R5145" t="n">
        <v>2</v>
      </c>
      <c r="S5145" t="n">
        <v>5532.8</v>
      </c>
      <c r="T5145" t="n">
        <v>7</v>
      </c>
      <c r="U5145" t="n">
        <v>8</v>
      </c>
      <c r="V5145" t="n">
        <v>30</v>
      </c>
      <c r="W5145" t="n">
        <v>6</v>
      </c>
      <c r="X5145" t="n">
        <v>52.05320994794679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10485</v>
      </c>
      <c r="AG5145" t="n">
        <v>144</v>
      </c>
      <c r="AH5145" t="inlineStr">
        <is>
          <t>PT. JAYA MURNI - PPN (PDG)</t>
        </is>
      </c>
      <c r="AI5145" t="n">
        <v>144</v>
      </c>
      <c r="AJ5145" t="inlineStr">
        <is>
          <t>SHINZUI</t>
        </is>
      </c>
      <c r="AK5145" t="n">
        <v>21</v>
      </c>
      <c r="AL5145" t="inlineStr">
        <is>
          <t>Miss Glam Damar</t>
        </is>
      </c>
      <c r="AM5145" t="n">
        <v>4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SHINZUI</t>
        </is>
      </c>
      <c r="B5146" s="2">
        <f>"8992946522253"</f>
        <v/>
      </c>
      <c r="C5146" t="inlineStr">
        <is>
          <t>SHINZUI Body Cleanser Myori 180ml</t>
        </is>
      </c>
      <c r="D5146" t="inlineStr">
        <is>
          <t>Miss Glam Damar</t>
        </is>
      </c>
      <c r="E5146" t="n">
        <v>8</v>
      </c>
      <c r="F5146" t="n">
        <v>0.3094</v>
      </c>
      <c r="G5146" t="n">
        <v>2.73</v>
      </c>
      <c r="H5146" t="n">
        <v>3</v>
      </c>
      <c r="I5146" t="n">
        <v>8</v>
      </c>
      <c r="J5146" t="n">
        <v>3</v>
      </c>
      <c r="K5146" t="n">
        <v>0</v>
      </c>
      <c r="L5146" t="n">
        <v>12389</v>
      </c>
      <c r="M5146" t="n">
        <v>18000</v>
      </c>
      <c r="N5146" t="n">
        <v>91</v>
      </c>
      <c r="O5146" t="n">
        <v>0.91</v>
      </c>
      <c r="P5146" t="n">
        <v>1</v>
      </c>
      <c r="Q5146" t="n">
        <v>0.12</v>
      </c>
      <c r="R5146" t="n">
        <v>2</v>
      </c>
      <c r="S5146" t="n">
        <v>5569.2</v>
      </c>
      <c r="T5146" t="n">
        <v>21</v>
      </c>
      <c r="U5146" t="n">
        <v>22</v>
      </c>
      <c r="V5146" t="n">
        <v>30</v>
      </c>
      <c r="W5146" t="n">
        <v>10</v>
      </c>
      <c r="X5146" t="n">
        <v>25.85649644473174</v>
      </c>
      <c r="Y5146" t="n">
        <v>1</v>
      </c>
      <c r="Z5146" t="n">
        <v>2</v>
      </c>
      <c r="AA5146" t="n">
        <v>0</v>
      </c>
      <c r="AB5146" t="n">
        <v>2</v>
      </c>
      <c r="AC5146" t="n">
        <v>3</v>
      </c>
      <c r="AD5146" t="n">
        <v>0</v>
      </c>
      <c r="AE5146" t="n">
        <v>37167</v>
      </c>
      <c r="AF5146" t="n">
        <v>10485</v>
      </c>
      <c r="AG5146" t="n">
        <v>144</v>
      </c>
      <c r="AH5146" t="inlineStr">
        <is>
          <t>PT. JAYA MURNI - PPN (PDG)</t>
        </is>
      </c>
      <c r="AI5146" t="n">
        <v>144</v>
      </c>
      <c r="AJ5146" t="inlineStr">
        <is>
          <t>SHINZUI</t>
        </is>
      </c>
      <c r="AK5146" t="n">
        <v>21</v>
      </c>
      <c r="AL5146" t="inlineStr">
        <is>
          <t>Miss Glam Damar</t>
        </is>
      </c>
      <c r="AM5146" t="n">
        <v>4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SHINZUI</t>
        </is>
      </c>
      <c r="B5147" s="2">
        <f>"8992946522222"</f>
        <v/>
      </c>
      <c r="C5147" t="inlineStr">
        <is>
          <t>SHINZUI Body Cleanser Myori 225ml</t>
        </is>
      </c>
      <c r="D5147" t="inlineStr">
        <is>
          <t>Miss Glam Damar</t>
        </is>
      </c>
      <c r="E5147" t="n">
        <v>4</v>
      </c>
      <c r="F5147" t="n">
        <v>0.1274</v>
      </c>
      <c r="G5147" t="n">
        <v>0.91</v>
      </c>
      <c r="H5147" t="n">
        <v>3</v>
      </c>
      <c r="I5147" t="n">
        <v>8</v>
      </c>
      <c r="J5147" t="n">
        <v>3</v>
      </c>
      <c r="K5147" t="n">
        <v>0</v>
      </c>
      <c r="L5147" t="n">
        <v>18818</v>
      </c>
      <c r="M5147" t="n">
        <v>27500</v>
      </c>
      <c r="N5147" t="n">
        <v>91</v>
      </c>
      <c r="O5147" t="n">
        <v>0.91</v>
      </c>
      <c r="P5147" t="n">
        <v>1</v>
      </c>
      <c r="Q5147" t="n">
        <v>0.08</v>
      </c>
      <c r="R5147" t="n">
        <v>1</v>
      </c>
      <c r="S5147" t="n">
        <v>3503.5</v>
      </c>
      <c r="T5147" t="n">
        <v>7</v>
      </c>
      <c r="U5147" t="n">
        <v>8</v>
      </c>
      <c r="V5147" t="n">
        <v>30</v>
      </c>
      <c r="W5147" t="n">
        <v>4</v>
      </c>
      <c r="X5147" t="n">
        <v>31.39717425431711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10485</v>
      </c>
      <c r="AG5147" t="n">
        <v>144</v>
      </c>
      <c r="AH5147" t="inlineStr">
        <is>
          <t>PT. JAYA MURNI - PPN (PDG)</t>
        </is>
      </c>
      <c r="AI5147" t="n">
        <v>144</v>
      </c>
      <c r="AJ5147" t="inlineStr">
        <is>
          <t>SHINZUI</t>
        </is>
      </c>
      <c r="AK5147" t="n">
        <v>21</v>
      </c>
      <c r="AL5147" t="inlineStr">
        <is>
          <t>Miss Glam Damar</t>
        </is>
      </c>
      <c r="AM5147" t="n">
        <v>4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SHINZUI</t>
        </is>
      </c>
      <c r="B5148" s="2">
        <f>"8992946523540"</f>
        <v/>
      </c>
      <c r="C5148" t="inlineStr">
        <is>
          <t>SHINZUI Body Cleanser Myori 400ml</t>
        </is>
      </c>
      <c r="D5148" t="inlineStr">
        <is>
          <t>Miss Glam Damar</t>
        </is>
      </c>
      <c r="E5148" t="n">
        <v>0</v>
      </c>
      <c r="F5148" t="n">
        <v>0.2457</v>
      </c>
      <c r="G5148" t="n">
        <v>1.82</v>
      </c>
      <c r="H5148" t="n">
        <v>3</v>
      </c>
      <c r="I5148" t="n">
        <v>8</v>
      </c>
      <c r="J5148" t="n">
        <v>3</v>
      </c>
      <c r="K5148" t="n">
        <v>12</v>
      </c>
      <c r="L5148" t="n">
        <v>24536</v>
      </c>
      <c r="M5148" t="n">
        <v>32000</v>
      </c>
      <c r="N5148" t="n">
        <v>91</v>
      </c>
      <c r="O5148" t="n">
        <v>0.91</v>
      </c>
      <c r="P5148" t="n">
        <v>1</v>
      </c>
      <c r="Q5148" t="n">
        <v>0.31</v>
      </c>
      <c r="R5148" t="n">
        <v>3</v>
      </c>
      <c r="S5148" t="n">
        <v>7862.400000000001</v>
      </c>
      <c r="T5148" t="n">
        <v>14</v>
      </c>
      <c r="U5148" t="n">
        <v>15</v>
      </c>
      <c r="V5148" t="n">
        <v>30</v>
      </c>
      <c r="W5148" t="n">
        <v>8</v>
      </c>
      <c r="X5148" t="n">
        <v>0</v>
      </c>
      <c r="Y5148" t="n">
        <v>1</v>
      </c>
      <c r="Z5148" t="n">
        <v>0</v>
      </c>
      <c r="AA5148" t="n">
        <v>1</v>
      </c>
      <c r="AB5148" t="n">
        <v>0</v>
      </c>
      <c r="AC5148" t="n">
        <v>0</v>
      </c>
      <c r="AD5148" t="n">
        <v>24536</v>
      </c>
      <c r="AE5148" t="n">
        <v>0</v>
      </c>
      <c r="AF5148" t="n">
        <v>10485</v>
      </c>
      <c r="AG5148" t="n">
        <v>144</v>
      </c>
      <c r="AH5148" t="inlineStr">
        <is>
          <t>PT. JAYA MURNI - PPN (PDG)</t>
        </is>
      </c>
      <c r="AI5148" t="n">
        <v>144</v>
      </c>
      <c r="AJ5148" t="inlineStr">
        <is>
          <t>SHINZUI</t>
        </is>
      </c>
      <c r="AK5148" t="n">
        <v>21</v>
      </c>
      <c r="AL5148" t="inlineStr">
        <is>
          <t>Miss Glam Damar</t>
        </is>
      </c>
      <c r="AM5148" t="n">
        <v>4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SHINZUI</t>
        </is>
      </c>
      <c r="B5149" s="2">
        <f>"8992946522260"</f>
        <v/>
      </c>
      <c r="C5149" t="inlineStr">
        <is>
          <t>SHINZUI Body Cleanser Sakura 180ml</t>
        </is>
      </c>
      <c r="D5149" t="inlineStr">
        <is>
          <t>Miss Glam Damar</t>
        </is>
      </c>
      <c r="E5149" t="n">
        <v>8</v>
      </c>
      <c r="F5149" t="n">
        <v>0.8918</v>
      </c>
      <c r="G5149" t="n">
        <v>2.73</v>
      </c>
      <c r="H5149" t="n">
        <v>3</v>
      </c>
      <c r="I5149" t="n">
        <v>8</v>
      </c>
      <c r="J5149" t="n">
        <v>3</v>
      </c>
      <c r="K5149" t="n">
        <v>6</v>
      </c>
      <c r="L5149" t="n">
        <v>12361</v>
      </c>
      <c r="M5149" t="n">
        <v>18000</v>
      </c>
      <c r="N5149" t="n">
        <v>91</v>
      </c>
      <c r="O5149" t="n">
        <v>0.91</v>
      </c>
      <c r="P5149" t="n">
        <v>1</v>
      </c>
      <c r="Q5149" t="n">
        <v>0.46</v>
      </c>
      <c r="R5149" t="n">
        <v>2</v>
      </c>
      <c r="S5149" t="n">
        <v>16052.4</v>
      </c>
      <c r="T5149" t="n">
        <v>20</v>
      </c>
      <c r="U5149" t="n">
        <v>23</v>
      </c>
      <c r="V5149" t="n">
        <v>30</v>
      </c>
      <c r="W5149" t="n">
        <v>27</v>
      </c>
      <c r="X5149" t="n">
        <v>8.970621215519174</v>
      </c>
      <c r="Y5149" t="n">
        <v>1</v>
      </c>
      <c r="Z5149" t="n">
        <v>13</v>
      </c>
      <c r="AA5149" t="n">
        <v>0</v>
      </c>
      <c r="AB5149" t="n">
        <v>13</v>
      </c>
      <c r="AC5149" t="n">
        <v>13</v>
      </c>
      <c r="AD5149" t="n">
        <v>0</v>
      </c>
      <c r="AE5149" t="n">
        <v>160693</v>
      </c>
      <c r="AF5149" t="n">
        <v>10485</v>
      </c>
      <c r="AG5149" t="n">
        <v>144</v>
      </c>
      <c r="AH5149" t="inlineStr">
        <is>
          <t>PT. JAYA MURNI - PPN (PDG)</t>
        </is>
      </c>
      <c r="AI5149" t="n">
        <v>144</v>
      </c>
      <c r="AJ5149" t="inlineStr">
        <is>
          <t>SHINZUI</t>
        </is>
      </c>
      <c r="AK5149" t="n">
        <v>21</v>
      </c>
      <c r="AL5149" t="inlineStr">
        <is>
          <t>Miss Glam Damar</t>
        </is>
      </c>
      <c r="AM5149" t="n">
        <v>4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SHINZUI</t>
        </is>
      </c>
      <c r="B5150" s="2">
        <f>"8992946522239"</f>
        <v/>
      </c>
      <c r="C5150" t="inlineStr">
        <is>
          <t>SHINZUI Body Cleanser Sakura 225ml</t>
        </is>
      </c>
      <c r="D5150" t="inlineStr">
        <is>
          <t>Miss Glam Damar</t>
        </is>
      </c>
      <c r="E5150" t="n">
        <v>11</v>
      </c>
      <c r="F5150" t="n">
        <v>0.4459</v>
      </c>
      <c r="G5150" t="n">
        <v>2.73</v>
      </c>
      <c r="H5150" t="n">
        <v>3</v>
      </c>
      <c r="I5150" t="n">
        <v>8</v>
      </c>
      <c r="J5150" t="n">
        <v>3</v>
      </c>
      <c r="K5150" t="n">
        <v>0</v>
      </c>
      <c r="L5150" t="n">
        <v>18834</v>
      </c>
      <c r="M5150" t="n">
        <v>27500</v>
      </c>
      <c r="N5150" t="n">
        <v>91</v>
      </c>
      <c r="O5150" t="n">
        <v>0.91</v>
      </c>
      <c r="P5150" t="n">
        <v>1</v>
      </c>
      <c r="Q5150" t="n">
        <v>0.2</v>
      </c>
      <c r="R5150" t="n">
        <v>1</v>
      </c>
      <c r="S5150" t="n">
        <v>12262.25</v>
      </c>
      <c r="T5150" t="n">
        <v>21</v>
      </c>
      <c r="U5150" t="n">
        <v>23</v>
      </c>
      <c r="V5150" t="n">
        <v>30</v>
      </c>
      <c r="W5150" t="n">
        <v>14</v>
      </c>
      <c r="X5150" t="n">
        <v>24.66920834267773</v>
      </c>
      <c r="Y5150" t="n">
        <v>1</v>
      </c>
      <c r="Z5150" t="n">
        <v>3</v>
      </c>
      <c r="AA5150" t="n">
        <v>0</v>
      </c>
      <c r="AB5150" t="n">
        <v>3</v>
      </c>
      <c r="AC5150" t="n">
        <v>3</v>
      </c>
      <c r="AD5150" t="n">
        <v>0</v>
      </c>
      <c r="AE5150" t="n">
        <v>56502</v>
      </c>
      <c r="AF5150" t="n">
        <v>10485</v>
      </c>
      <c r="AG5150" t="n">
        <v>144</v>
      </c>
      <c r="AH5150" t="inlineStr">
        <is>
          <t>PT. JAYA MURNI - PPN (PDG)</t>
        </is>
      </c>
      <c r="AI5150" t="n">
        <v>144</v>
      </c>
      <c r="AJ5150" t="inlineStr">
        <is>
          <t>SHINZUI</t>
        </is>
      </c>
      <c r="AK5150" t="n">
        <v>21</v>
      </c>
      <c r="AL5150" t="inlineStr">
        <is>
          <t>Miss Glam Damar</t>
        </is>
      </c>
      <c r="AM5150" t="n">
        <v>4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SHINZUI</t>
        </is>
      </c>
      <c r="B5151" s="2">
        <f>"8992946523557"</f>
        <v/>
      </c>
      <c r="C5151" t="inlineStr">
        <is>
          <t>SHINZUI Body Cleanser Sakura 400ml</t>
        </is>
      </c>
      <c r="D5151" t="inlineStr">
        <is>
          <t>Miss Glam Damar</t>
        </is>
      </c>
      <c r="E5151" t="n">
        <v>7</v>
      </c>
      <c r="F5151" t="n">
        <v>0.5733</v>
      </c>
      <c r="G5151" t="n">
        <v>2.73</v>
      </c>
      <c r="H5151" t="n">
        <v>3</v>
      </c>
      <c r="I5151" t="n">
        <v>8</v>
      </c>
      <c r="J5151" t="n">
        <v>3</v>
      </c>
      <c r="K5151" t="n">
        <v>3</v>
      </c>
      <c r="L5151" t="n">
        <v>24495</v>
      </c>
      <c r="M5151" t="n">
        <v>32000</v>
      </c>
      <c r="N5151" t="n">
        <v>91</v>
      </c>
      <c r="O5151" t="n">
        <v>0.91</v>
      </c>
      <c r="P5151" t="n">
        <v>1</v>
      </c>
      <c r="Q5151" t="n">
        <v>0.42</v>
      </c>
      <c r="R5151" t="n">
        <v>2</v>
      </c>
      <c r="S5151" t="n">
        <v>18345.6</v>
      </c>
      <c r="T5151" t="n">
        <v>21</v>
      </c>
      <c r="U5151" t="n">
        <v>23</v>
      </c>
      <c r="V5151" t="n">
        <v>30</v>
      </c>
      <c r="W5151" t="n">
        <v>18</v>
      </c>
      <c r="X5151" t="n">
        <v>12.21001221001221</v>
      </c>
      <c r="Y5151" t="n">
        <v>1</v>
      </c>
      <c r="Z5151" t="n">
        <v>8</v>
      </c>
      <c r="AA5151" t="n">
        <v>0</v>
      </c>
      <c r="AB5151" t="n">
        <v>8</v>
      </c>
      <c r="AC5151" t="n">
        <v>8</v>
      </c>
      <c r="AD5151" t="n">
        <v>0</v>
      </c>
      <c r="AE5151" t="n">
        <v>195960</v>
      </c>
      <c r="AF5151" t="n">
        <v>10485</v>
      </c>
      <c r="AG5151" t="n">
        <v>144</v>
      </c>
      <c r="AH5151" t="inlineStr">
        <is>
          <t>PT. JAYA MURNI - PPN (PDG)</t>
        </is>
      </c>
      <c r="AI5151" t="n">
        <v>144</v>
      </c>
      <c r="AJ5151" t="inlineStr">
        <is>
          <t>SHINZUI</t>
        </is>
      </c>
      <c r="AK5151" t="n">
        <v>21</v>
      </c>
      <c r="AL5151" t="inlineStr">
        <is>
          <t>Miss Glam Damar</t>
        </is>
      </c>
      <c r="AM5151" t="n">
        <v>4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SHINZUI</t>
        </is>
      </c>
      <c r="B5152" s="2">
        <f>"8992946525568"</f>
        <v/>
      </c>
      <c r="C5152" t="inlineStr">
        <is>
          <t>SHINZUI Body Cleanser Skin Lightening Hana Botol 500ml</t>
        </is>
      </c>
      <c r="D5152" t="inlineStr">
        <is>
          <t>Miss Glam Damar</t>
        </is>
      </c>
      <c r="E5152" t="n">
        <v>4</v>
      </c>
      <c r="F5152" t="n">
        <v>0.04550000000000001</v>
      </c>
      <c r="G5152" t="n">
        <v>0.91</v>
      </c>
      <c r="H5152" t="n">
        <v>3</v>
      </c>
      <c r="I5152" t="n">
        <v>8</v>
      </c>
      <c r="J5152" t="n">
        <v>3</v>
      </c>
      <c r="K5152" t="n">
        <v>0</v>
      </c>
      <c r="L5152" t="n">
        <v>36860</v>
      </c>
      <c r="M5152" t="n">
        <v>52500</v>
      </c>
      <c r="N5152" t="n">
        <v>91</v>
      </c>
      <c r="O5152" t="n">
        <v>0.91</v>
      </c>
      <c r="P5152" t="n">
        <v>1</v>
      </c>
      <c r="Q5152" t="n">
        <v>0.05</v>
      </c>
      <c r="R5152" t="n">
        <v>1</v>
      </c>
      <c r="S5152" t="n">
        <v>2388.75</v>
      </c>
      <c r="T5152" t="n">
        <v>8</v>
      </c>
      <c r="U5152" t="n">
        <v>9</v>
      </c>
      <c r="V5152" t="n">
        <v>30</v>
      </c>
      <c r="W5152" t="n">
        <v>2</v>
      </c>
      <c r="X5152" t="n">
        <v>87.9120879120879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10485</v>
      </c>
      <c r="AG5152" t="n">
        <v>144</v>
      </c>
      <c r="AH5152" t="inlineStr">
        <is>
          <t>PT. JAYA MURNI - PPN (PDG)</t>
        </is>
      </c>
      <c r="AI5152" t="n">
        <v>144</v>
      </c>
      <c r="AJ5152" t="inlineStr">
        <is>
          <t>SHINZUI</t>
        </is>
      </c>
      <c r="AK5152" t="n">
        <v>21</v>
      </c>
      <c r="AL5152" t="inlineStr">
        <is>
          <t>Miss Glam Damar</t>
        </is>
      </c>
      <c r="AM5152" t="n">
        <v>4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SHINZUI</t>
        </is>
      </c>
      <c r="B5153" s="2">
        <f>"8992946525605"</f>
        <v/>
      </c>
      <c r="C5153" t="inlineStr">
        <is>
          <t>SHINZUI Body Cleanser Skin Lightening Kensho Botol 480ml</t>
        </is>
      </c>
      <c r="D5153" t="inlineStr">
        <is>
          <t>Miss Glam Damar</t>
        </is>
      </c>
      <c r="E5153" t="n">
        <v>3</v>
      </c>
      <c r="F5153" t="n">
        <v>0.09100000000000001</v>
      </c>
      <c r="G5153" t="n">
        <v>0.91</v>
      </c>
      <c r="H5153" t="n">
        <v>3</v>
      </c>
      <c r="I5153" t="n">
        <v>8</v>
      </c>
      <c r="J5153" t="n">
        <v>3</v>
      </c>
      <c r="K5153" t="n">
        <v>3</v>
      </c>
      <c r="L5153" t="n">
        <v>39146</v>
      </c>
      <c r="M5153" t="n">
        <v>49500</v>
      </c>
      <c r="N5153" t="n">
        <v>91</v>
      </c>
      <c r="O5153" t="n">
        <v>0.91</v>
      </c>
      <c r="P5153" t="n">
        <v>1</v>
      </c>
      <c r="Q5153" t="n">
        <v>0.05</v>
      </c>
      <c r="R5153" t="n">
        <v>1</v>
      </c>
      <c r="S5153" t="n">
        <v>4504.500000000001</v>
      </c>
      <c r="T5153" t="n">
        <v>8</v>
      </c>
      <c r="U5153" t="n">
        <v>9</v>
      </c>
      <c r="V5153" t="n">
        <v>30</v>
      </c>
      <c r="W5153" t="n">
        <v>3</v>
      </c>
      <c r="X5153" t="n">
        <v>32.96703296703296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10485</v>
      </c>
      <c r="AG5153" t="n">
        <v>144</v>
      </c>
      <c r="AH5153" t="inlineStr">
        <is>
          <t>PT. JAYA MURNI - PPN (PDG)</t>
        </is>
      </c>
      <c r="AI5153" t="n">
        <v>144</v>
      </c>
      <c r="AJ5153" t="inlineStr">
        <is>
          <t>SHINZUI</t>
        </is>
      </c>
      <c r="AK5153" t="n">
        <v>21</v>
      </c>
      <c r="AL5153" t="inlineStr">
        <is>
          <t>Miss Glam Damar</t>
        </is>
      </c>
      <c r="AM5153" t="n">
        <v>4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SHINZUI</t>
        </is>
      </c>
      <c r="B5154" s="2">
        <f>"8992946525575"</f>
        <v/>
      </c>
      <c r="C5154" t="inlineStr">
        <is>
          <t>SHINZUI Body Cleanser Skin Lightening Kirei Botol 500ml</t>
        </is>
      </c>
      <c r="D5154" t="inlineStr">
        <is>
          <t>Miss Glam Damar</t>
        </is>
      </c>
      <c r="E5154" t="n">
        <v>6</v>
      </c>
      <c r="F5154" t="n">
        <v>0.09100000000000001</v>
      </c>
      <c r="G5154" t="n">
        <v>0.91</v>
      </c>
      <c r="H5154" t="n">
        <v>3</v>
      </c>
      <c r="I5154" t="n">
        <v>8</v>
      </c>
      <c r="J5154" t="n">
        <v>3</v>
      </c>
      <c r="K5154" t="n">
        <v>0</v>
      </c>
      <c r="L5154" t="n">
        <v>35754</v>
      </c>
      <c r="M5154" t="n">
        <v>52500</v>
      </c>
      <c r="N5154" t="n">
        <v>91</v>
      </c>
      <c r="O5154" t="n">
        <v>0.91</v>
      </c>
      <c r="P5154" t="n">
        <v>1</v>
      </c>
      <c r="Q5154" t="n">
        <v>0.03</v>
      </c>
      <c r="R5154" t="n">
        <v>2</v>
      </c>
      <c r="S5154" t="n">
        <v>4777.500000000001</v>
      </c>
      <c r="T5154" t="n">
        <v>8</v>
      </c>
      <c r="U5154" t="n">
        <v>9</v>
      </c>
      <c r="V5154" t="n">
        <v>30</v>
      </c>
      <c r="W5154" t="n">
        <v>3</v>
      </c>
      <c r="X5154" t="n">
        <v>65.93406593406593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10485</v>
      </c>
      <c r="AG5154" t="n">
        <v>144</v>
      </c>
      <c r="AH5154" t="inlineStr">
        <is>
          <t>PT. JAYA MURNI - PPN (PDG)</t>
        </is>
      </c>
      <c r="AI5154" t="n">
        <v>144</v>
      </c>
      <c r="AJ5154" t="inlineStr">
        <is>
          <t>SHINZUI</t>
        </is>
      </c>
      <c r="AK5154" t="n">
        <v>21</v>
      </c>
      <c r="AL5154" t="inlineStr">
        <is>
          <t>Miss Glam Damar</t>
        </is>
      </c>
      <c r="AM5154" t="n">
        <v>4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SHINZUI</t>
        </is>
      </c>
      <c r="B5155" s="2">
        <f>"8992946525551"</f>
        <v/>
      </c>
      <c r="C5155" t="inlineStr">
        <is>
          <t>SHINZUI Body Cleanser Skin Lightening Matsu Botol 500ml</t>
        </is>
      </c>
      <c r="D5155" t="inlineStr">
        <is>
          <t>Miss Glam Damar</t>
        </is>
      </c>
      <c r="E5155" t="n">
        <v>13</v>
      </c>
      <c r="F5155" t="n">
        <v>0.04550000000000001</v>
      </c>
      <c r="G5155" t="n">
        <v>0.91</v>
      </c>
      <c r="H5155" t="n">
        <v>3</v>
      </c>
      <c r="I5155" t="n">
        <v>8</v>
      </c>
      <c r="J5155" t="n">
        <v>3</v>
      </c>
      <c r="K5155" t="n">
        <v>0</v>
      </c>
      <c r="L5155" t="n">
        <v>35754</v>
      </c>
      <c r="M5155" t="n">
        <v>52500</v>
      </c>
      <c r="N5155" t="n">
        <v>91</v>
      </c>
      <c r="O5155" t="n">
        <v>0.91</v>
      </c>
      <c r="P5155" t="n">
        <v>1</v>
      </c>
      <c r="Q5155" t="n">
        <v>0.02</v>
      </c>
      <c r="R5155" t="n">
        <v>1</v>
      </c>
      <c r="S5155" t="n">
        <v>2388.75</v>
      </c>
      <c r="T5155" t="n">
        <v>8</v>
      </c>
      <c r="U5155" t="n">
        <v>9</v>
      </c>
      <c r="V5155" t="n">
        <v>30</v>
      </c>
      <c r="W5155" t="n">
        <v>2</v>
      </c>
      <c r="X5155" t="n">
        <v>285.7142857142857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10485</v>
      </c>
      <c r="AG5155" t="n">
        <v>144</v>
      </c>
      <c r="AH5155" t="inlineStr">
        <is>
          <t>PT. JAYA MURNI - PPN (PDG)</t>
        </is>
      </c>
      <c r="AI5155" t="n">
        <v>144</v>
      </c>
      <c r="AJ5155" t="inlineStr">
        <is>
          <t>SHINZUI</t>
        </is>
      </c>
      <c r="AK5155" t="n">
        <v>21</v>
      </c>
      <c r="AL5155" t="inlineStr">
        <is>
          <t>Miss Glam Damar</t>
        </is>
      </c>
      <c r="AM5155" t="n">
        <v>4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SHINZUI</t>
        </is>
      </c>
      <c r="B5156" s="2">
        <f>"8992946525582"</f>
        <v/>
      </c>
      <c r="C5156" t="inlineStr">
        <is>
          <t>SHINZUI Body Cleanser Skin Lightening Myori Botol 500ml</t>
        </is>
      </c>
      <c r="D5156" t="inlineStr">
        <is>
          <t>Miss Glam Damar</t>
        </is>
      </c>
      <c r="E5156" t="n">
        <v>4</v>
      </c>
      <c r="F5156" t="n">
        <v>0.1365</v>
      </c>
      <c r="G5156" t="n">
        <v>1.82</v>
      </c>
      <c r="H5156" t="n">
        <v>3</v>
      </c>
      <c r="I5156" t="n">
        <v>8</v>
      </c>
      <c r="J5156" t="n">
        <v>3</v>
      </c>
      <c r="K5156" t="n">
        <v>0</v>
      </c>
      <c r="L5156" t="n">
        <v>35863</v>
      </c>
      <c r="M5156" t="n">
        <v>52500</v>
      </c>
      <c r="N5156" t="n">
        <v>91</v>
      </c>
      <c r="O5156" t="n">
        <v>0.91</v>
      </c>
      <c r="P5156" t="n">
        <v>1</v>
      </c>
      <c r="Q5156" t="n">
        <v>0.05</v>
      </c>
      <c r="R5156" t="n">
        <v>1</v>
      </c>
      <c r="S5156" t="n">
        <v>7166.250000000001</v>
      </c>
      <c r="T5156" t="n">
        <v>15</v>
      </c>
      <c r="U5156" t="n">
        <v>16</v>
      </c>
      <c r="V5156" t="n">
        <v>30</v>
      </c>
      <c r="W5156" t="n">
        <v>5</v>
      </c>
      <c r="X5156" t="n">
        <v>29.3040293040293</v>
      </c>
      <c r="Y5156" t="n">
        <v>1</v>
      </c>
      <c r="Z5156" t="n">
        <v>1</v>
      </c>
      <c r="AA5156" t="n">
        <v>0</v>
      </c>
      <c r="AB5156" t="n">
        <v>1</v>
      </c>
      <c r="AC5156" t="n">
        <v>3</v>
      </c>
      <c r="AD5156" t="n">
        <v>0</v>
      </c>
      <c r="AE5156" t="n">
        <v>107589</v>
      </c>
      <c r="AF5156" t="n">
        <v>10485</v>
      </c>
      <c r="AG5156" t="n">
        <v>144</v>
      </c>
      <c r="AH5156" t="inlineStr">
        <is>
          <t>PT. JAYA MURNI - PPN (PDG)</t>
        </is>
      </c>
      <c r="AI5156" t="n">
        <v>144</v>
      </c>
      <c r="AJ5156" t="inlineStr">
        <is>
          <t>SHINZUI</t>
        </is>
      </c>
      <c r="AK5156" t="n">
        <v>21</v>
      </c>
      <c r="AL5156" t="inlineStr">
        <is>
          <t>Miss Glam Damar</t>
        </is>
      </c>
      <c r="AM5156" t="n">
        <v>4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SHINZUI</t>
        </is>
      </c>
      <c r="B5157" s="2">
        <f>"8992946525599"</f>
        <v/>
      </c>
      <c r="C5157" t="inlineStr">
        <is>
          <t>SHINZUI Body Cleanser Skin Lightening Sakura Botol 500ml</t>
        </is>
      </c>
      <c r="D5157" t="inlineStr">
        <is>
          <t>Miss Glam Damar</t>
        </is>
      </c>
      <c r="E5157" t="n">
        <v>0</v>
      </c>
      <c r="F5157" t="n">
        <v>0.2184</v>
      </c>
      <c r="G5157" t="n">
        <v>1.82</v>
      </c>
      <c r="H5157" t="n">
        <v>3</v>
      </c>
      <c r="I5157" t="n">
        <v>8</v>
      </c>
      <c r="J5157" t="n">
        <v>3</v>
      </c>
      <c r="K5157" t="n">
        <v>6</v>
      </c>
      <c r="L5157" t="n">
        <v>35754</v>
      </c>
      <c r="M5157" t="n">
        <v>49500</v>
      </c>
      <c r="N5157" t="n">
        <v>91</v>
      </c>
      <c r="O5157" t="n">
        <v>0.91</v>
      </c>
      <c r="P5157" t="n">
        <v>1</v>
      </c>
      <c r="Q5157" t="n">
        <v>0.18</v>
      </c>
      <c r="R5157" t="n">
        <v>3</v>
      </c>
      <c r="S5157" t="n">
        <v>10810.8</v>
      </c>
      <c r="T5157" t="n">
        <v>14</v>
      </c>
      <c r="U5157" t="n">
        <v>15</v>
      </c>
      <c r="V5157" t="n">
        <v>30</v>
      </c>
      <c r="W5157" t="n">
        <v>7</v>
      </c>
      <c r="X5157" t="n">
        <v>0</v>
      </c>
      <c r="Y5157" t="n">
        <v>1</v>
      </c>
      <c r="Z5157" t="n">
        <v>1</v>
      </c>
      <c r="AA5157" t="n">
        <v>1</v>
      </c>
      <c r="AB5157" t="n">
        <v>0</v>
      </c>
      <c r="AC5157" t="n">
        <v>0</v>
      </c>
      <c r="AD5157" t="n">
        <v>35754</v>
      </c>
      <c r="AE5157" t="n">
        <v>0</v>
      </c>
      <c r="AF5157" t="n">
        <v>10485</v>
      </c>
      <c r="AG5157" t="n">
        <v>144</v>
      </c>
      <c r="AH5157" t="inlineStr">
        <is>
          <t>PT. JAYA MURNI - PPN (PDG)</t>
        </is>
      </c>
      <c r="AI5157" t="n">
        <v>144</v>
      </c>
      <c r="AJ5157" t="inlineStr">
        <is>
          <t>SHINZUI</t>
        </is>
      </c>
      <c r="AK5157" t="n">
        <v>21</v>
      </c>
      <c r="AL5157" t="inlineStr">
        <is>
          <t>Miss Glam Damar</t>
        </is>
      </c>
      <c r="AM5157" t="n">
        <v>4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SHINZUI</t>
        </is>
      </c>
      <c r="B5158" s="2">
        <f>"8992946518829"</f>
        <v/>
      </c>
      <c r="C5158" t="inlineStr">
        <is>
          <t>SHINZUI Body Lotiion Kirei 210ml</t>
        </is>
      </c>
      <c r="D5158" t="inlineStr">
        <is>
          <t>Miss Glam Damar</t>
        </is>
      </c>
      <c r="E5158" t="n">
        <v>4</v>
      </c>
      <c r="F5158" t="n">
        <v>0.2002</v>
      </c>
      <c r="G5158" t="n">
        <v>1.82</v>
      </c>
      <c r="H5158" t="n">
        <v>3</v>
      </c>
      <c r="I5158" t="n">
        <v>8</v>
      </c>
      <c r="J5158" t="n">
        <v>3</v>
      </c>
      <c r="K5158" t="n">
        <v>3</v>
      </c>
      <c r="L5158" t="n">
        <v>18824</v>
      </c>
      <c r="M5158" t="n">
        <v>27500</v>
      </c>
      <c r="N5158" t="n">
        <v>91</v>
      </c>
      <c r="O5158" t="n">
        <v>0.91</v>
      </c>
      <c r="P5158" t="n">
        <v>1</v>
      </c>
      <c r="Q5158" t="n">
        <v>0.22</v>
      </c>
      <c r="R5158" t="n">
        <v>1</v>
      </c>
      <c r="S5158" t="n">
        <v>5505.500000000001</v>
      </c>
      <c r="T5158" t="n">
        <v>14</v>
      </c>
      <c r="U5158" t="n">
        <v>15</v>
      </c>
      <c r="V5158" t="n">
        <v>30</v>
      </c>
      <c r="W5158" t="n">
        <v>7</v>
      </c>
      <c r="X5158" t="n">
        <v>19.98001998001998</v>
      </c>
      <c r="Y5158" t="n">
        <v>1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10485</v>
      </c>
      <c r="AG5158" t="n">
        <v>144</v>
      </c>
      <c r="AH5158" t="inlineStr">
        <is>
          <t>PT. JAYA MURNI - PPN (PDG)</t>
        </is>
      </c>
      <c r="AI5158" t="n">
        <v>144</v>
      </c>
      <c r="AJ5158" t="inlineStr">
        <is>
          <t>SHINZUI</t>
        </is>
      </c>
      <c r="AK5158" t="n">
        <v>21</v>
      </c>
      <c r="AL5158" t="inlineStr">
        <is>
          <t>Miss Glam Damar</t>
        </is>
      </c>
      <c r="AM5158" t="n">
        <v>4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SHINZUI</t>
        </is>
      </c>
      <c r="B5159" s="2">
        <f>"8992946513282"</f>
        <v/>
      </c>
      <c r="C5159" t="inlineStr">
        <is>
          <t>SHINZUI Body Lotion Hana 100ml</t>
        </is>
      </c>
      <c r="D5159" t="inlineStr">
        <is>
          <t>Miss Glam Damar</t>
        </is>
      </c>
      <c r="E5159" t="n">
        <v>0</v>
      </c>
      <c r="F5159" t="n">
        <v>0.06370000000000001</v>
      </c>
      <c r="G5159" t="n">
        <v>0.91</v>
      </c>
      <c r="H5159" t="n">
        <v>3</v>
      </c>
      <c r="I5159" t="n">
        <v>8</v>
      </c>
      <c r="J5159" t="n">
        <v>3</v>
      </c>
      <c r="K5159" t="n">
        <v>12</v>
      </c>
      <c r="L5159" t="n">
        <v>10616</v>
      </c>
      <c r="M5159" t="n">
        <v>15500</v>
      </c>
      <c r="N5159" t="n">
        <v>91</v>
      </c>
      <c r="O5159" t="n">
        <v>0.91</v>
      </c>
      <c r="P5159" t="n">
        <v>1</v>
      </c>
      <c r="Q5159" t="n">
        <v>0.08</v>
      </c>
      <c r="R5159" t="n">
        <v>2</v>
      </c>
      <c r="S5159" t="n">
        <v>987.3500000000001</v>
      </c>
      <c r="T5159" t="n">
        <v>8</v>
      </c>
      <c r="U5159" t="n">
        <v>9</v>
      </c>
      <c r="V5159" t="n">
        <v>30</v>
      </c>
      <c r="W5159" t="n">
        <v>2</v>
      </c>
      <c r="X5159" t="n">
        <v>0</v>
      </c>
      <c r="Y5159" t="n">
        <v>1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10485</v>
      </c>
      <c r="AG5159" t="n">
        <v>144</v>
      </c>
      <c r="AH5159" t="inlineStr">
        <is>
          <t>PT. JAYA MURNI - PPN (PDG)</t>
        </is>
      </c>
      <c r="AI5159" t="n">
        <v>144</v>
      </c>
      <c r="AJ5159" t="inlineStr">
        <is>
          <t>SHINZUI</t>
        </is>
      </c>
      <c r="AK5159" t="n">
        <v>21</v>
      </c>
      <c r="AL5159" t="inlineStr">
        <is>
          <t>Miss Glam Damar</t>
        </is>
      </c>
      <c r="AM5159" t="n">
        <v>4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SHINZUI</t>
        </is>
      </c>
      <c r="B5160" s="2">
        <f>"8992946518812"</f>
        <v/>
      </c>
      <c r="C5160" t="inlineStr">
        <is>
          <t>SHINZUI Body Lotion Hana 210ml</t>
        </is>
      </c>
      <c r="D5160" t="inlineStr">
        <is>
          <t>Miss Glam Damar</t>
        </is>
      </c>
      <c r="E5160" t="n">
        <v>2</v>
      </c>
      <c r="F5160" t="n">
        <v>0.09100000000000001</v>
      </c>
      <c r="G5160" t="n">
        <v>0.91</v>
      </c>
      <c r="H5160" t="n">
        <v>3</v>
      </c>
      <c r="I5160" t="n">
        <v>8</v>
      </c>
      <c r="J5160" t="n">
        <v>3</v>
      </c>
      <c r="K5160" t="n">
        <v>6</v>
      </c>
      <c r="L5160" t="n">
        <v>18999</v>
      </c>
      <c r="M5160" t="n">
        <v>26000</v>
      </c>
      <c r="N5160" t="n">
        <v>91</v>
      </c>
      <c r="O5160" t="n">
        <v>0.91</v>
      </c>
      <c r="P5160" t="n">
        <v>1</v>
      </c>
      <c r="Q5160" t="n">
        <v>0.1</v>
      </c>
      <c r="R5160" t="n">
        <v>2</v>
      </c>
      <c r="S5160" t="n">
        <v>2366</v>
      </c>
      <c r="T5160" t="n">
        <v>8</v>
      </c>
      <c r="U5160" t="n">
        <v>9</v>
      </c>
      <c r="V5160" t="n">
        <v>30</v>
      </c>
      <c r="W5160" t="n">
        <v>3</v>
      </c>
      <c r="X5160" t="n">
        <v>21.97802197802197</v>
      </c>
      <c r="Y5160" t="n">
        <v>1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10485</v>
      </c>
      <c r="AG5160" t="n">
        <v>144</v>
      </c>
      <c r="AH5160" t="inlineStr">
        <is>
          <t>PT. JAYA MURNI - PPN (PDG)</t>
        </is>
      </c>
      <c r="AI5160" t="n">
        <v>144</v>
      </c>
      <c r="AJ5160" t="inlineStr">
        <is>
          <t>SHINZUI</t>
        </is>
      </c>
      <c r="AK5160" t="n">
        <v>21</v>
      </c>
      <c r="AL5160" t="inlineStr">
        <is>
          <t>Miss Glam Damar</t>
        </is>
      </c>
      <c r="AM5160" t="n">
        <v>4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SHINZUI</t>
        </is>
      </c>
      <c r="B5161" s="2">
        <f>"8992946513299"</f>
        <v/>
      </c>
      <c r="C5161" t="inlineStr">
        <is>
          <t>SHINZUI Body Lotion Kirei 100ml</t>
        </is>
      </c>
      <c r="D5161" t="inlineStr">
        <is>
          <t>Miss Glam Damar</t>
        </is>
      </c>
      <c r="E5161" t="n">
        <v>6</v>
      </c>
      <c r="F5161" t="n">
        <v>0.1365</v>
      </c>
      <c r="G5161" t="n">
        <v>0.91</v>
      </c>
      <c r="H5161" t="n">
        <v>3</v>
      </c>
      <c r="I5161" t="n">
        <v>8</v>
      </c>
      <c r="J5161" t="n">
        <v>3</v>
      </c>
      <c r="K5161" t="n">
        <v>0</v>
      </c>
      <c r="L5161" t="n">
        <v>10369</v>
      </c>
      <c r="M5161" t="n">
        <v>15500</v>
      </c>
      <c r="N5161" t="n">
        <v>91</v>
      </c>
      <c r="O5161" t="n">
        <v>0.91</v>
      </c>
      <c r="P5161" t="n">
        <v>1</v>
      </c>
      <c r="Q5161" t="n">
        <v>0.14</v>
      </c>
      <c r="R5161" t="n">
        <v>1</v>
      </c>
      <c r="S5161" t="n">
        <v>2115.75</v>
      </c>
      <c r="T5161" t="n">
        <v>7</v>
      </c>
      <c r="U5161" t="n">
        <v>8</v>
      </c>
      <c r="V5161" t="n">
        <v>30</v>
      </c>
      <c r="W5161" t="n">
        <v>5</v>
      </c>
      <c r="X5161" t="n">
        <v>43.95604395604396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10485</v>
      </c>
      <c r="AG5161" t="n">
        <v>144</v>
      </c>
      <c r="AH5161" t="inlineStr">
        <is>
          <t>PT. JAYA MURNI - PPN (PDG)</t>
        </is>
      </c>
      <c r="AI5161" t="n">
        <v>144</v>
      </c>
      <c r="AJ5161" t="inlineStr">
        <is>
          <t>SHINZUI</t>
        </is>
      </c>
      <c r="AK5161" t="n">
        <v>21</v>
      </c>
      <c r="AL5161" t="inlineStr">
        <is>
          <t>Miss Glam Damar</t>
        </is>
      </c>
      <c r="AM5161" t="n">
        <v>4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SHINZUI</t>
        </is>
      </c>
      <c r="B5162" s="2">
        <f>"8992946513275"</f>
        <v/>
      </c>
      <c r="C5162" t="inlineStr">
        <is>
          <t>SHINZUI Body Lotion Matsu 100ml</t>
        </is>
      </c>
      <c r="D5162" t="inlineStr">
        <is>
          <t>Miss Glam Damar</t>
        </is>
      </c>
      <c r="E5162" t="n">
        <v>0</v>
      </c>
      <c r="F5162" t="n">
        <v>0.1274</v>
      </c>
      <c r="G5162" t="n">
        <v>1.82</v>
      </c>
      <c r="H5162" t="n">
        <v>3</v>
      </c>
      <c r="I5162" t="n">
        <v>8</v>
      </c>
      <c r="J5162" t="n">
        <v>3</v>
      </c>
      <c r="K5162" t="n">
        <v>12</v>
      </c>
      <c r="L5162" t="n">
        <v>10563</v>
      </c>
      <c r="M5162" t="n">
        <v>15500</v>
      </c>
      <c r="N5162" t="n">
        <v>91</v>
      </c>
      <c r="O5162" t="n">
        <v>0.91</v>
      </c>
      <c r="P5162" t="n">
        <v>1</v>
      </c>
      <c r="Q5162" t="n">
        <v>0.12</v>
      </c>
      <c r="R5162" t="n">
        <v>2</v>
      </c>
      <c r="S5162" t="n">
        <v>1974.7</v>
      </c>
      <c r="T5162" t="n">
        <v>15</v>
      </c>
      <c r="U5162" t="n">
        <v>16</v>
      </c>
      <c r="V5162" t="n">
        <v>30</v>
      </c>
      <c r="W5162" t="n">
        <v>4</v>
      </c>
      <c r="X5162" t="n">
        <v>0</v>
      </c>
      <c r="Y5162" t="n">
        <v>1</v>
      </c>
      <c r="Z5162" t="n">
        <v>0</v>
      </c>
      <c r="AA5162" t="n">
        <v>1</v>
      </c>
      <c r="AB5162" t="n">
        <v>0</v>
      </c>
      <c r="AC5162" t="n">
        <v>0</v>
      </c>
      <c r="AD5162" t="n">
        <v>10563</v>
      </c>
      <c r="AE5162" t="n">
        <v>0</v>
      </c>
      <c r="AF5162" t="n">
        <v>10485</v>
      </c>
      <c r="AG5162" t="n">
        <v>144</v>
      </c>
      <c r="AH5162" t="inlineStr">
        <is>
          <t>PT. JAYA MURNI - PPN (PDG)</t>
        </is>
      </c>
      <c r="AI5162" t="n">
        <v>144</v>
      </c>
      <c r="AJ5162" t="inlineStr">
        <is>
          <t>SHINZUI</t>
        </is>
      </c>
      <c r="AK5162" t="n">
        <v>21</v>
      </c>
      <c r="AL5162" t="inlineStr">
        <is>
          <t>Miss Glam Damar</t>
        </is>
      </c>
      <c r="AM5162" t="n">
        <v>4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SHINZUI</t>
        </is>
      </c>
      <c r="B5163" s="2">
        <f>"8992946518805"</f>
        <v/>
      </c>
      <c r="C5163" t="inlineStr">
        <is>
          <t>SHINZUI Body Lotion Matsu Reg 210ml</t>
        </is>
      </c>
      <c r="D5163" t="inlineStr">
        <is>
          <t>Miss Glam Damar</t>
        </is>
      </c>
      <c r="E5163" t="n">
        <v>5</v>
      </c>
      <c r="F5163" t="n">
        <v>0.1092</v>
      </c>
      <c r="G5163" t="n">
        <v>0.91</v>
      </c>
      <c r="H5163" t="n">
        <v>3</v>
      </c>
      <c r="I5163" t="n">
        <v>8</v>
      </c>
      <c r="J5163" t="n">
        <v>3</v>
      </c>
      <c r="K5163" t="n">
        <v>0</v>
      </c>
      <c r="L5163" t="n">
        <v>19241</v>
      </c>
      <c r="M5163" t="n">
        <v>27500</v>
      </c>
      <c r="N5163" t="n">
        <v>91</v>
      </c>
      <c r="O5163" t="n">
        <v>0.91</v>
      </c>
      <c r="P5163" t="n">
        <v>1</v>
      </c>
      <c r="Q5163" t="n">
        <v>0.05</v>
      </c>
      <c r="R5163" t="n">
        <v>1</v>
      </c>
      <c r="S5163" t="n">
        <v>3003</v>
      </c>
      <c r="T5163" t="n">
        <v>7</v>
      </c>
      <c r="U5163" t="n">
        <v>8</v>
      </c>
      <c r="V5163" t="n">
        <v>30</v>
      </c>
      <c r="W5163" t="n">
        <v>4</v>
      </c>
      <c r="X5163" t="n">
        <v>45.78754578754579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10485</v>
      </c>
      <c r="AG5163" t="n">
        <v>144</v>
      </c>
      <c r="AH5163" t="inlineStr">
        <is>
          <t>PT. JAYA MURNI - PPN (PDG)</t>
        </is>
      </c>
      <c r="AI5163" t="n">
        <v>144</v>
      </c>
      <c r="AJ5163" t="inlineStr">
        <is>
          <t>SHINZUI</t>
        </is>
      </c>
      <c r="AK5163" t="n">
        <v>21</v>
      </c>
      <c r="AL5163" t="inlineStr">
        <is>
          <t>Miss Glam Damar</t>
        </is>
      </c>
      <c r="AM5163" t="n">
        <v>4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SHINZUI</t>
        </is>
      </c>
      <c r="B5164" s="2">
        <f>"8992946522291"</f>
        <v/>
      </c>
      <c r="C5164" t="inlineStr">
        <is>
          <t>SHINZUI Body Lotion Sakura 100 ml</t>
        </is>
      </c>
      <c r="D5164" t="inlineStr">
        <is>
          <t>Miss Glam Damar</t>
        </is>
      </c>
      <c r="E5164" t="n">
        <v>8</v>
      </c>
      <c r="F5164" t="n">
        <v>0.2002</v>
      </c>
      <c r="G5164" t="n">
        <v>1.82</v>
      </c>
      <c r="H5164" t="n">
        <v>3</v>
      </c>
      <c r="I5164" t="n">
        <v>8</v>
      </c>
      <c r="J5164" t="n">
        <v>3</v>
      </c>
      <c r="K5164" t="n">
        <v>0</v>
      </c>
      <c r="L5164" t="n">
        <v>10397</v>
      </c>
      <c r="M5164" t="n">
        <v>15000</v>
      </c>
      <c r="N5164" t="n">
        <v>91</v>
      </c>
      <c r="O5164" t="n">
        <v>0.91</v>
      </c>
      <c r="P5164" t="n">
        <v>1</v>
      </c>
      <c r="Q5164" t="n">
        <v>0.2</v>
      </c>
      <c r="R5164" t="n">
        <v>1</v>
      </c>
      <c r="S5164" t="n">
        <v>3003</v>
      </c>
      <c r="T5164" t="n">
        <v>14</v>
      </c>
      <c r="U5164" t="n">
        <v>15</v>
      </c>
      <c r="V5164" t="n">
        <v>30</v>
      </c>
      <c r="W5164" t="n">
        <v>7</v>
      </c>
      <c r="X5164" t="n">
        <v>39.96003996003996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10485</v>
      </c>
      <c r="AG5164" t="n">
        <v>144</v>
      </c>
      <c r="AH5164" t="inlineStr">
        <is>
          <t>PT. JAYA MURNI - PPN (PDG)</t>
        </is>
      </c>
      <c r="AI5164" t="n">
        <v>144</v>
      </c>
      <c r="AJ5164" t="inlineStr">
        <is>
          <t>SHINZUI</t>
        </is>
      </c>
      <c r="AK5164" t="n">
        <v>21</v>
      </c>
      <c r="AL5164" t="inlineStr">
        <is>
          <t>Miss Glam Damar</t>
        </is>
      </c>
      <c r="AM5164" t="n">
        <v>4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SHINZUI</t>
        </is>
      </c>
      <c r="B5165" s="2">
        <f>"8992946522321"</f>
        <v/>
      </c>
      <c r="C5165" t="inlineStr">
        <is>
          <t>SHINZUI Body Lotion Sakura 210ml</t>
        </is>
      </c>
      <c r="D5165" t="inlineStr">
        <is>
          <t>Miss Glam Damar</t>
        </is>
      </c>
      <c r="E5165" t="n">
        <v>7</v>
      </c>
      <c r="F5165" t="n">
        <v>0.182</v>
      </c>
      <c r="G5165" t="n">
        <v>1.82</v>
      </c>
      <c r="H5165" t="n">
        <v>3</v>
      </c>
      <c r="I5165" t="n">
        <v>8</v>
      </c>
      <c r="J5165" t="n">
        <v>3</v>
      </c>
      <c r="K5165" t="n">
        <v>12</v>
      </c>
      <c r="L5165" t="n">
        <v>18818</v>
      </c>
      <c r="M5165" t="n">
        <v>27500</v>
      </c>
      <c r="N5165" t="n">
        <v>91</v>
      </c>
      <c r="O5165" t="n">
        <v>0.91</v>
      </c>
      <c r="P5165" t="n">
        <v>1</v>
      </c>
      <c r="Q5165" t="n">
        <v>0.39</v>
      </c>
      <c r="R5165" t="n">
        <v>3</v>
      </c>
      <c r="S5165" t="n">
        <v>5005.000000000001</v>
      </c>
      <c r="T5165" t="n">
        <v>15</v>
      </c>
      <c r="U5165" t="n">
        <v>16</v>
      </c>
      <c r="V5165" t="n">
        <v>30</v>
      </c>
      <c r="W5165" t="n">
        <v>6</v>
      </c>
      <c r="X5165" t="n">
        <v>38.46153846153846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10485</v>
      </c>
      <c r="AG5165" t="n">
        <v>144</v>
      </c>
      <c r="AH5165" t="inlineStr">
        <is>
          <t>PT. JAYA MURNI - PPN (PDG)</t>
        </is>
      </c>
      <c r="AI5165" t="n">
        <v>144</v>
      </c>
      <c r="AJ5165" t="inlineStr">
        <is>
          <t>SHINZUI</t>
        </is>
      </c>
      <c r="AK5165" t="n">
        <v>21</v>
      </c>
      <c r="AL5165" t="inlineStr">
        <is>
          <t>Miss Glam Damar</t>
        </is>
      </c>
      <c r="AM5165" t="n">
        <v>4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SHINZUI</t>
        </is>
      </c>
      <c r="B5166" s="2">
        <f>"8992946522178"</f>
        <v/>
      </c>
      <c r="C5166" t="inlineStr">
        <is>
          <t>SHINZUI Body Scrub Hana 110gr</t>
        </is>
      </c>
      <c r="D5166" t="inlineStr">
        <is>
          <t>Miss Glam Damar</t>
        </is>
      </c>
      <c r="E5166" t="n">
        <v>3</v>
      </c>
      <c r="F5166" t="n">
        <v>0.4914000000000001</v>
      </c>
      <c r="G5166" t="n">
        <v>1.82</v>
      </c>
      <c r="H5166" t="n">
        <v>3</v>
      </c>
      <c r="I5166" t="n">
        <v>8</v>
      </c>
      <c r="J5166" t="n">
        <v>3</v>
      </c>
      <c r="K5166" t="n">
        <v>6</v>
      </c>
      <c r="L5166" t="n">
        <v>8322</v>
      </c>
      <c r="M5166" t="n">
        <v>11500</v>
      </c>
      <c r="N5166" t="n">
        <v>91</v>
      </c>
      <c r="O5166" t="n">
        <v>0.91</v>
      </c>
      <c r="P5166" t="n">
        <v>1</v>
      </c>
      <c r="Q5166" t="n">
        <v>0.2</v>
      </c>
      <c r="R5166" t="n">
        <v>2</v>
      </c>
      <c r="S5166" t="n">
        <v>5651.1</v>
      </c>
      <c r="T5166" t="n">
        <v>14</v>
      </c>
      <c r="U5166" t="n">
        <v>16</v>
      </c>
      <c r="V5166" t="n">
        <v>30</v>
      </c>
      <c r="W5166" t="n">
        <v>15</v>
      </c>
      <c r="X5166" t="n">
        <v>6.105006105006105</v>
      </c>
      <c r="Y5166" t="n">
        <v>1</v>
      </c>
      <c r="Z5166" t="n">
        <v>6</v>
      </c>
      <c r="AA5166" t="n">
        <v>0</v>
      </c>
      <c r="AB5166" t="n">
        <v>6</v>
      </c>
      <c r="AC5166" t="n">
        <v>6</v>
      </c>
      <c r="AD5166" t="n">
        <v>0</v>
      </c>
      <c r="AE5166" t="n">
        <v>49932</v>
      </c>
      <c r="AF5166" t="n">
        <v>10485</v>
      </c>
      <c r="AG5166" t="n">
        <v>144</v>
      </c>
      <c r="AH5166" t="inlineStr">
        <is>
          <t>PT. JAYA MURNI - PPN (PDG)</t>
        </is>
      </c>
      <c r="AI5166" t="n">
        <v>144</v>
      </c>
      <c r="AJ5166" t="inlineStr">
        <is>
          <t>SHINZUI</t>
        </is>
      </c>
      <c r="AK5166" t="n">
        <v>21</v>
      </c>
      <c r="AL5166" t="inlineStr">
        <is>
          <t>Miss Glam Damar</t>
        </is>
      </c>
      <c r="AM5166" t="n">
        <v>4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SHINZUI</t>
        </is>
      </c>
      <c r="B5167" s="2">
        <f>"8992946519345"</f>
        <v/>
      </c>
      <c r="C5167" t="inlineStr">
        <is>
          <t>SHINZUI Body Scrub Hanna 200gr</t>
        </is>
      </c>
      <c r="D5167" t="inlineStr">
        <is>
          <t>Miss Glam Damar</t>
        </is>
      </c>
      <c r="E5167" t="n">
        <v>8</v>
      </c>
      <c r="F5167" t="n">
        <v>1.0647</v>
      </c>
      <c r="G5167" t="n">
        <v>4.55</v>
      </c>
      <c r="H5167" t="n">
        <v>3</v>
      </c>
      <c r="I5167" t="n">
        <v>8</v>
      </c>
      <c r="J5167" t="n">
        <v>3</v>
      </c>
      <c r="K5167" t="n">
        <v>6</v>
      </c>
      <c r="L5167" t="n">
        <v>12527</v>
      </c>
      <c r="M5167" t="n">
        <v>17500</v>
      </c>
      <c r="N5167" t="n">
        <v>91</v>
      </c>
      <c r="O5167" t="n">
        <v>0.91</v>
      </c>
      <c r="P5167" t="n">
        <v>1</v>
      </c>
      <c r="Q5167" t="n">
        <v>0.29</v>
      </c>
      <c r="R5167" t="n">
        <v>2</v>
      </c>
      <c r="S5167" t="n">
        <v>18632.25</v>
      </c>
      <c r="T5167" t="n">
        <v>34</v>
      </c>
      <c r="U5167" t="n">
        <v>38</v>
      </c>
      <c r="V5167" t="n">
        <v>30</v>
      </c>
      <c r="W5167" t="n">
        <v>32</v>
      </c>
      <c r="X5167" t="n">
        <v>7.513853667699822</v>
      </c>
      <c r="Y5167" t="n">
        <v>1</v>
      </c>
      <c r="Z5167" t="n">
        <v>18</v>
      </c>
      <c r="AA5167" t="n">
        <v>0</v>
      </c>
      <c r="AB5167" t="n">
        <v>18</v>
      </c>
      <c r="AC5167" t="n">
        <v>18</v>
      </c>
      <c r="AD5167" t="n">
        <v>0</v>
      </c>
      <c r="AE5167" t="n">
        <v>225486</v>
      </c>
      <c r="AF5167" t="n">
        <v>10485</v>
      </c>
      <c r="AG5167" t="n">
        <v>144</v>
      </c>
      <c r="AH5167" t="inlineStr">
        <is>
          <t>PT. JAYA MURNI - PPN (PDG)</t>
        </is>
      </c>
      <c r="AI5167" t="n">
        <v>144</v>
      </c>
      <c r="AJ5167" t="inlineStr">
        <is>
          <t>SHINZUI</t>
        </is>
      </c>
      <c r="AK5167" t="n">
        <v>21</v>
      </c>
      <c r="AL5167" t="inlineStr">
        <is>
          <t>Miss Glam Damar</t>
        </is>
      </c>
      <c r="AM5167" t="n">
        <v>4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SHINZUI</t>
        </is>
      </c>
      <c r="B5168" s="2">
        <f>"8992946522215"</f>
        <v/>
      </c>
      <c r="C5168" t="inlineStr">
        <is>
          <t>SHINZUI Body Scrub Kensho 120gr</t>
        </is>
      </c>
      <c r="D5168" t="inlineStr">
        <is>
          <t>Miss Glam Damar</t>
        </is>
      </c>
      <c r="E5168" t="n">
        <v>13</v>
      </c>
      <c r="F5168" t="n">
        <v>0.4004</v>
      </c>
      <c r="G5168" t="n">
        <v>5.46</v>
      </c>
      <c r="H5168" t="n">
        <v>3</v>
      </c>
      <c r="I5168" t="n">
        <v>8</v>
      </c>
      <c r="J5168" t="n">
        <v>3</v>
      </c>
      <c r="K5168" t="n">
        <v>0</v>
      </c>
      <c r="L5168" t="n">
        <v>8289</v>
      </c>
      <c r="M5168" t="n">
        <v>11500</v>
      </c>
      <c r="N5168" t="n">
        <v>91</v>
      </c>
      <c r="O5168" t="n">
        <v>0.91</v>
      </c>
      <c r="P5168" t="n">
        <v>1</v>
      </c>
      <c r="Q5168" t="n">
        <v>0.24</v>
      </c>
      <c r="R5168" t="n">
        <v>2</v>
      </c>
      <c r="S5168" t="n">
        <v>4604.6</v>
      </c>
      <c r="T5168" t="n">
        <v>43</v>
      </c>
      <c r="U5168" t="n">
        <v>45</v>
      </c>
      <c r="V5168" t="n">
        <v>30</v>
      </c>
      <c r="W5168" t="n">
        <v>13</v>
      </c>
      <c r="X5168" t="n">
        <v>32.46753246753246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10485</v>
      </c>
      <c r="AG5168" t="n">
        <v>144</v>
      </c>
      <c r="AH5168" t="inlineStr">
        <is>
          <t>PT. JAYA MURNI - PPN (PDG)</t>
        </is>
      </c>
      <c r="AI5168" t="n">
        <v>144</v>
      </c>
      <c r="AJ5168" t="inlineStr">
        <is>
          <t>SHINZUI</t>
        </is>
      </c>
      <c r="AK5168" t="n">
        <v>21</v>
      </c>
      <c r="AL5168" t="inlineStr">
        <is>
          <t>Miss Glam Damar</t>
        </is>
      </c>
      <c r="AM5168" t="n">
        <v>4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SHINZUI</t>
        </is>
      </c>
      <c r="B5169" s="2">
        <f>"8992946522185"</f>
        <v/>
      </c>
      <c r="C5169" t="inlineStr">
        <is>
          <t>SHINZUI Body Scrub Kerai 110gr</t>
        </is>
      </c>
      <c r="D5169" t="inlineStr">
        <is>
          <t>Miss Glam Damar</t>
        </is>
      </c>
      <c r="E5169" t="n">
        <v>18</v>
      </c>
      <c r="F5169" t="n">
        <v>0.9555000000000001</v>
      </c>
      <c r="G5169" t="n">
        <v>4.55</v>
      </c>
      <c r="H5169" t="n">
        <v>3</v>
      </c>
      <c r="I5169" t="n">
        <v>8</v>
      </c>
      <c r="J5169" t="n">
        <v>3</v>
      </c>
      <c r="K5169" t="n">
        <v>0</v>
      </c>
      <c r="L5169" t="n">
        <v>8336</v>
      </c>
      <c r="M5169" t="n">
        <v>11500</v>
      </c>
      <c r="N5169" t="n">
        <v>91</v>
      </c>
      <c r="O5169" t="n">
        <v>0.91</v>
      </c>
      <c r="P5169" t="n">
        <v>1</v>
      </c>
      <c r="Q5169" t="n">
        <v>0.54</v>
      </c>
      <c r="R5169" t="n">
        <v>4</v>
      </c>
      <c r="S5169" t="n">
        <v>10988.25</v>
      </c>
      <c r="T5169" t="n">
        <v>34</v>
      </c>
      <c r="U5169" t="n">
        <v>37</v>
      </c>
      <c r="V5169" t="n">
        <v>30</v>
      </c>
      <c r="W5169" t="n">
        <v>29</v>
      </c>
      <c r="X5169" t="n">
        <v>18.83830455259027</v>
      </c>
      <c r="Y5169" t="n">
        <v>1</v>
      </c>
      <c r="Z5169" t="n">
        <v>11</v>
      </c>
      <c r="AA5169" t="n">
        <v>0</v>
      </c>
      <c r="AB5169" t="n">
        <v>11</v>
      </c>
      <c r="AC5169" t="n">
        <v>11</v>
      </c>
      <c r="AD5169" t="n">
        <v>0</v>
      </c>
      <c r="AE5169" t="n">
        <v>91696</v>
      </c>
      <c r="AF5169" t="n">
        <v>10485</v>
      </c>
      <c r="AG5169" t="n">
        <v>144</v>
      </c>
      <c r="AH5169" t="inlineStr">
        <is>
          <t>PT. JAYA MURNI - PPN (PDG)</t>
        </is>
      </c>
      <c r="AI5169" t="n">
        <v>144</v>
      </c>
      <c r="AJ5169" t="inlineStr">
        <is>
          <t>SHINZUI</t>
        </is>
      </c>
      <c r="AK5169" t="n">
        <v>21</v>
      </c>
      <c r="AL5169" t="inlineStr">
        <is>
          <t>Miss Glam Damar</t>
        </is>
      </c>
      <c r="AM5169" t="n">
        <v>4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SHINZUI</t>
        </is>
      </c>
      <c r="B5170" s="2">
        <f>"8992946513398"</f>
        <v/>
      </c>
      <c r="C5170" t="inlineStr">
        <is>
          <t>SHINZUI Body Scrub Kesho 200ml</t>
        </is>
      </c>
      <c r="D5170" t="inlineStr">
        <is>
          <t>Miss Glam Damar</t>
        </is>
      </c>
      <c r="E5170" t="n">
        <v>15</v>
      </c>
      <c r="F5170" t="n">
        <v>1.4924</v>
      </c>
      <c r="G5170" t="n">
        <v>6.37</v>
      </c>
      <c r="H5170" t="n">
        <v>3</v>
      </c>
      <c r="I5170" t="n">
        <v>8</v>
      </c>
      <c r="J5170" t="n">
        <v>3</v>
      </c>
      <c r="K5170" t="n">
        <v>0</v>
      </c>
      <c r="L5170" t="n">
        <v>12576</v>
      </c>
      <c r="M5170" t="n">
        <v>17500</v>
      </c>
      <c r="N5170" t="n">
        <v>91</v>
      </c>
      <c r="O5170" t="n">
        <v>0.91</v>
      </c>
      <c r="P5170" t="n">
        <v>1</v>
      </c>
      <c r="Q5170" t="n">
        <v>0.76</v>
      </c>
      <c r="R5170" t="n">
        <v>3</v>
      </c>
      <c r="S5170" t="n">
        <v>26117</v>
      </c>
      <c r="T5170" t="n">
        <v>47</v>
      </c>
      <c r="U5170" t="n">
        <v>52</v>
      </c>
      <c r="V5170" t="n">
        <v>30</v>
      </c>
      <c r="W5170" t="n">
        <v>45</v>
      </c>
      <c r="X5170" t="n">
        <v>10.05092468507103</v>
      </c>
      <c r="Y5170" t="n">
        <v>1</v>
      </c>
      <c r="Z5170" t="n">
        <v>30</v>
      </c>
      <c r="AA5170" t="n">
        <v>0</v>
      </c>
      <c r="AB5170" t="n">
        <v>30</v>
      </c>
      <c r="AC5170" t="n">
        <v>30</v>
      </c>
      <c r="AD5170" t="n">
        <v>0</v>
      </c>
      <c r="AE5170" t="n">
        <v>377280</v>
      </c>
      <c r="AF5170" t="n">
        <v>10485</v>
      </c>
      <c r="AG5170" t="n">
        <v>144</v>
      </c>
      <c r="AH5170" t="inlineStr">
        <is>
          <t>PT. JAYA MURNI - PPN (PDG)</t>
        </is>
      </c>
      <c r="AI5170" t="n">
        <v>144</v>
      </c>
      <c r="AJ5170" t="inlineStr">
        <is>
          <t>SHINZUI</t>
        </is>
      </c>
      <c r="AK5170" t="n">
        <v>21</v>
      </c>
      <c r="AL5170" t="inlineStr">
        <is>
          <t>Miss Glam Damar</t>
        </is>
      </c>
      <c r="AM5170" t="n">
        <v>4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SHINZUI</t>
        </is>
      </c>
      <c r="B5171" s="2">
        <f>"8992946519352"</f>
        <v/>
      </c>
      <c r="C5171" t="inlineStr">
        <is>
          <t>SHINZUI Body Scrub Kirei 200g</t>
        </is>
      </c>
      <c r="D5171" t="inlineStr">
        <is>
          <t>Miss Glam Damar</t>
        </is>
      </c>
      <c r="E5171" t="n">
        <v>49</v>
      </c>
      <c r="F5171" t="n">
        <v>2.5025</v>
      </c>
      <c r="G5171" t="n">
        <v>7.28</v>
      </c>
      <c r="H5171" t="n">
        <v>3</v>
      </c>
      <c r="I5171" t="n">
        <v>8</v>
      </c>
      <c r="J5171" t="n">
        <v>3</v>
      </c>
      <c r="K5171" t="n">
        <v>0</v>
      </c>
      <c r="L5171" t="n">
        <v>12526</v>
      </c>
      <c r="M5171" t="n">
        <v>17500</v>
      </c>
      <c r="N5171" t="n">
        <v>91</v>
      </c>
      <c r="O5171" t="n">
        <v>0.91</v>
      </c>
      <c r="P5171" t="n">
        <v>1</v>
      </c>
      <c r="Q5171" t="n">
        <v>2.02</v>
      </c>
      <c r="R5171" t="n">
        <v>6</v>
      </c>
      <c r="S5171" t="n">
        <v>43793.75</v>
      </c>
      <c r="T5171" t="n">
        <v>51</v>
      </c>
      <c r="U5171" t="n">
        <v>59</v>
      </c>
      <c r="V5171" t="n">
        <v>30</v>
      </c>
      <c r="W5171" t="n">
        <v>76</v>
      </c>
      <c r="X5171" t="n">
        <v>19.58041958041958</v>
      </c>
      <c r="Y5171" t="n">
        <v>1</v>
      </c>
      <c r="Z5171" t="n">
        <v>27</v>
      </c>
      <c r="AA5171" t="n">
        <v>0</v>
      </c>
      <c r="AB5171" t="n">
        <v>27</v>
      </c>
      <c r="AC5171" t="n">
        <v>27</v>
      </c>
      <c r="AD5171" t="n">
        <v>0</v>
      </c>
      <c r="AE5171" t="n">
        <v>338202</v>
      </c>
      <c r="AF5171" t="n">
        <v>10485</v>
      </c>
      <c r="AG5171" t="n">
        <v>144</v>
      </c>
      <c r="AH5171" t="inlineStr">
        <is>
          <t>PT. JAYA MURNI - PPN (PDG)</t>
        </is>
      </c>
      <c r="AI5171" t="n">
        <v>144</v>
      </c>
      <c r="AJ5171" t="inlineStr">
        <is>
          <t>SHINZUI</t>
        </is>
      </c>
      <c r="AK5171" t="n">
        <v>21</v>
      </c>
      <c r="AL5171" t="inlineStr">
        <is>
          <t>Miss Glam Damar</t>
        </is>
      </c>
      <c r="AM5171" t="n">
        <v>4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SHINZUI</t>
        </is>
      </c>
      <c r="B5172" s="2">
        <f>"8992946522161"</f>
        <v/>
      </c>
      <c r="C5172" t="inlineStr">
        <is>
          <t>SHINZUI Body Scrub Matsu 110ml</t>
        </is>
      </c>
      <c r="D5172" t="inlineStr">
        <is>
          <t>Miss Glam Damar</t>
        </is>
      </c>
      <c r="E5172" t="n">
        <v>3</v>
      </c>
      <c r="F5172" t="n">
        <v>0.2184</v>
      </c>
      <c r="G5172" t="n">
        <v>1.82</v>
      </c>
      <c r="H5172" t="n">
        <v>3</v>
      </c>
      <c r="I5172" t="n">
        <v>8</v>
      </c>
      <c r="J5172" t="n">
        <v>3</v>
      </c>
      <c r="K5172" t="n">
        <v>24</v>
      </c>
      <c r="L5172" t="n">
        <v>8451</v>
      </c>
      <c r="M5172" t="n">
        <v>11500</v>
      </c>
      <c r="N5172" t="n">
        <v>91</v>
      </c>
      <c r="O5172" t="n">
        <v>0.91</v>
      </c>
      <c r="P5172" t="n">
        <v>1</v>
      </c>
      <c r="Q5172" t="n">
        <v>0.37</v>
      </c>
      <c r="R5172" t="n">
        <v>2</v>
      </c>
      <c r="S5172" t="n">
        <v>2511.6</v>
      </c>
      <c r="T5172" t="n">
        <v>14</v>
      </c>
      <c r="U5172" t="n">
        <v>15</v>
      </c>
      <c r="V5172" t="n">
        <v>30</v>
      </c>
      <c r="W5172" t="n">
        <v>7</v>
      </c>
      <c r="X5172" t="n">
        <v>13.73626373626374</v>
      </c>
      <c r="Y5172" t="n">
        <v>1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10485</v>
      </c>
      <c r="AG5172" t="n">
        <v>144</v>
      </c>
      <c r="AH5172" t="inlineStr">
        <is>
          <t>PT. JAYA MURNI - PPN (PDG)</t>
        </is>
      </c>
      <c r="AI5172" t="n">
        <v>144</v>
      </c>
      <c r="AJ5172" t="inlineStr">
        <is>
          <t>SHINZUI</t>
        </is>
      </c>
      <c r="AK5172" t="n">
        <v>21</v>
      </c>
      <c r="AL5172" t="inlineStr">
        <is>
          <t>Miss Glam Damar</t>
        </is>
      </c>
      <c r="AM5172" t="n">
        <v>4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SHINZUI</t>
        </is>
      </c>
      <c r="B5173" s="2">
        <f>"8992946519338"</f>
        <v/>
      </c>
      <c r="C5173" t="inlineStr">
        <is>
          <t>SHINZUI Body Scrub Matsu 200gr</t>
        </is>
      </c>
      <c r="D5173" t="inlineStr">
        <is>
          <t>Miss Glam Damar</t>
        </is>
      </c>
      <c r="E5173" t="n">
        <v>22</v>
      </c>
      <c r="F5173" t="n">
        <v>1.2194</v>
      </c>
      <c r="G5173" t="n">
        <v>4.55</v>
      </c>
      <c r="H5173" t="n">
        <v>3</v>
      </c>
      <c r="I5173" t="n">
        <v>8</v>
      </c>
      <c r="J5173" t="n">
        <v>3</v>
      </c>
      <c r="K5173" t="n">
        <v>0</v>
      </c>
      <c r="L5173" t="n">
        <v>12501</v>
      </c>
      <c r="M5173" t="n">
        <v>17500</v>
      </c>
      <c r="N5173" t="n">
        <v>91</v>
      </c>
      <c r="O5173" t="n">
        <v>0.91</v>
      </c>
      <c r="P5173" t="n">
        <v>1</v>
      </c>
      <c r="Q5173" t="n">
        <v>0.59</v>
      </c>
      <c r="R5173" t="n">
        <v>5</v>
      </c>
      <c r="S5173" t="n">
        <v>21339.5</v>
      </c>
      <c r="T5173" t="n">
        <v>33</v>
      </c>
      <c r="U5173" t="n">
        <v>37</v>
      </c>
      <c r="V5173" t="n">
        <v>30</v>
      </c>
      <c r="W5173" t="n">
        <v>37</v>
      </c>
      <c r="X5173" t="n">
        <v>18.04165983270461</v>
      </c>
      <c r="Y5173" t="n">
        <v>1</v>
      </c>
      <c r="Z5173" t="n">
        <v>15</v>
      </c>
      <c r="AA5173" t="n">
        <v>0</v>
      </c>
      <c r="AB5173" t="n">
        <v>15</v>
      </c>
      <c r="AC5173" t="n">
        <v>15</v>
      </c>
      <c r="AD5173" t="n">
        <v>0</v>
      </c>
      <c r="AE5173" t="n">
        <v>187515</v>
      </c>
      <c r="AF5173" t="n">
        <v>10485</v>
      </c>
      <c r="AG5173" t="n">
        <v>144</v>
      </c>
      <c r="AH5173" t="inlineStr">
        <is>
          <t>PT. JAYA MURNI - PPN (PDG)</t>
        </is>
      </c>
      <c r="AI5173" t="n">
        <v>144</v>
      </c>
      <c r="AJ5173" t="inlineStr">
        <is>
          <t>SHINZUI</t>
        </is>
      </c>
      <c r="AK5173" t="n">
        <v>21</v>
      </c>
      <c r="AL5173" t="inlineStr">
        <is>
          <t>Miss Glam Damar</t>
        </is>
      </c>
      <c r="AM5173" t="n">
        <v>4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SHINZUI</t>
        </is>
      </c>
      <c r="B5174" s="2">
        <f>"8992946522192"</f>
        <v/>
      </c>
      <c r="C5174" t="inlineStr">
        <is>
          <t>SHINZUI Body Scrub Myori 110gr</t>
        </is>
      </c>
      <c r="D5174" t="inlineStr">
        <is>
          <t>Miss Glam Damar</t>
        </is>
      </c>
      <c r="E5174" t="n">
        <v>22</v>
      </c>
      <c r="F5174" t="n">
        <v>0.7826</v>
      </c>
      <c r="G5174" t="n">
        <v>3.64</v>
      </c>
      <c r="H5174" t="n">
        <v>3</v>
      </c>
      <c r="I5174" t="n">
        <v>8</v>
      </c>
      <c r="J5174" t="n">
        <v>3</v>
      </c>
      <c r="K5174" t="n">
        <v>0</v>
      </c>
      <c r="L5174" t="n">
        <v>8315</v>
      </c>
      <c r="M5174" t="n">
        <v>11500</v>
      </c>
      <c r="N5174" t="n">
        <v>91</v>
      </c>
      <c r="O5174" t="n">
        <v>0.91</v>
      </c>
      <c r="P5174" t="n">
        <v>1</v>
      </c>
      <c r="Q5174" t="n">
        <v>0.66</v>
      </c>
      <c r="R5174" t="n">
        <v>4</v>
      </c>
      <c r="S5174" t="n">
        <v>8999.9</v>
      </c>
      <c r="T5174" t="n">
        <v>27</v>
      </c>
      <c r="U5174" t="n">
        <v>30</v>
      </c>
      <c r="V5174" t="n">
        <v>30</v>
      </c>
      <c r="W5174" t="n">
        <v>24</v>
      </c>
      <c r="X5174" t="n">
        <v>28.11142346026067</v>
      </c>
      <c r="Y5174" t="n">
        <v>1</v>
      </c>
      <c r="Z5174" t="n">
        <v>2</v>
      </c>
      <c r="AA5174" t="n">
        <v>0</v>
      </c>
      <c r="AB5174" t="n">
        <v>2</v>
      </c>
      <c r="AC5174" t="n">
        <v>3</v>
      </c>
      <c r="AD5174" t="n">
        <v>0</v>
      </c>
      <c r="AE5174" t="n">
        <v>24945</v>
      </c>
      <c r="AF5174" t="n">
        <v>10485</v>
      </c>
      <c r="AG5174" t="n">
        <v>144</v>
      </c>
      <c r="AH5174" t="inlineStr">
        <is>
          <t>PT. JAYA MURNI - PPN (PDG)</t>
        </is>
      </c>
      <c r="AI5174" t="n">
        <v>144</v>
      </c>
      <c r="AJ5174" t="inlineStr">
        <is>
          <t>SHINZUI</t>
        </is>
      </c>
      <c r="AK5174" t="n">
        <v>21</v>
      </c>
      <c r="AL5174" t="inlineStr">
        <is>
          <t>Miss Glam Damar</t>
        </is>
      </c>
      <c r="AM5174" t="n">
        <v>4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SHINZUI</t>
        </is>
      </c>
      <c r="B5175" s="2">
        <f>"8992946521812"</f>
        <v/>
      </c>
      <c r="C5175" t="inlineStr">
        <is>
          <t>SHINZUI Body Scrub Myori 200ml</t>
        </is>
      </c>
      <c r="D5175" t="inlineStr">
        <is>
          <t>Miss Glam Damar</t>
        </is>
      </c>
      <c r="E5175" t="n">
        <v>21</v>
      </c>
      <c r="F5175" t="n">
        <v>1.9929</v>
      </c>
      <c r="G5175" t="n">
        <v>8.19</v>
      </c>
      <c r="H5175" t="n">
        <v>3</v>
      </c>
      <c r="I5175" t="n">
        <v>8</v>
      </c>
      <c r="J5175" t="n">
        <v>36</v>
      </c>
      <c r="K5175" t="n">
        <v>48</v>
      </c>
      <c r="L5175" t="n">
        <v>12523</v>
      </c>
      <c r="M5175" t="n">
        <v>17500</v>
      </c>
      <c r="N5175" t="n">
        <v>91</v>
      </c>
      <c r="O5175" t="n">
        <v>0.91</v>
      </c>
      <c r="P5175" t="n">
        <v>1</v>
      </c>
      <c r="Q5175" t="n">
        <v>1.02</v>
      </c>
      <c r="R5175" t="n">
        <v>5</v>
      </c>
      <c r="S5175" t="n">
        <v>34875.75</v>
      </c>
      <c r="T5175" t="n">
        <v>60</v>
      </c>
      <c r="U5175" t="n">
        <v>66</v>
      </c>
      <c r="V5175" t="n">
        <v>30</v>
      </c>
      <c r="W5175" t="n">
        <v>60</v>
      </c>
      <c r="X5175" t="n">
        <v>10.53740779768177</v>
      </c>
      <c r="Y5175" t="n">
        <v>1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10485</v>
      </c>
      <c r="AG5175" t="n">
        <v>144</v>
      </c>
      <c r="AH5175" t="inlineStr">
        <is>
          <t>PT. JAYA MURNI - PPN (PDG)</t>
        </is>
      </c>
      <c r="AI5175" t="n">
        <v>144</v>
      </c>
      <c r="AJ5175" t="inlineStr">
        <is>
          <t>SHINZUI</t>
        </is>
      </c>
      <c r="AK5175" t="n">
        <v>21</v>
      </c>
      <c r="AL5175" t="inlineStr">
        <is>
          <t>Miss Glam Damar</t>
        </is>
      </c>
      <c r="AM5175" t="n">
        <v>4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SHINZUI</t>
        </is>
      </c>
      <c r="B5176" s="2">
        <f>"8992946522208"</f>
        <v/>
      </c>
      <c r="C5176" t="inlineStr">
        <is>
          <t>SHINZUI Body Scrub Sakura 110ml</t>
        </is>
      </c>
      <c r="D5176" t="inlineStr">
        <is>
          <t>Miss Glam Damar</t>
        </is>
      </c>
      <c r="E5176" t="n">
        <v>32</v>
      </c>
      <c r="F5176" t="n">
        <v>1.8837</v>
      </c>
      <c r="G5176" t="n">
        <v>9.1</v>
      </c>
      <c r="H5176" t="n">
        <v>3</v>
      </c>
      <c r="I5176" t="n">
        <v>8</v>
      </c>
      <c r="J5176" t="n">
        <v>36</v>
      </c>
      <c r="K5176" t="n">
        <v>0</v>
      </c>
      <c r="L5176" t="n">
        <v>8309</v>
      </c>
      <c r="M5176" t="n">
        <v>11500</v>
      </c>
      <c r="N5176" t="n">
        <v>91</v>
      </c>
      <c r="O5176" t="n">
        <v>0.91</v>
      </c>
      <c r="P5176" t="n">
        <v>1</v>
      </c>
      <c r="Q5176" t="n">
        <v>1.41</v>
      </c>
      <c r="R5176" t="n">
        <v>5</v>
      </c>
      <c r="S5176" t="n">
        <v>21662.55</v>
      </c>
      <c r="T5176" t="n">
        <v>68</v>
      </c>
      <c r="U5176" t="n">
        <v>74</v>
      </c>
      <c r="V5176" t="n">
        <v>30</v>
      </c>
      <c r="W5176" t="n">
        <v>57</v>
      </c>
      <c r="X5176" t="n">
        <v>16.9878430747996</v>
      </c>
      <c r="Y5176" t="n">
        <v>1</v>
      </c>
      <c r="Z5176" t="n">
        <v>25</v>
      </c>
      <c r="AA5176" t="n">
        <v>0</v>
      </c>
      <c r="AB5176" t="n">
        <v>25</v>
      </c>
      <c r="AC5176" t="n">
        <v>36</v>
      </c>
      <c r="AD5176" t="n">
        <v>0</v>
      </c>
      <c r="AE5176" t="n">
        <v>299124</v>
      </c>
      <c r="AF5176" t="n">
        <v>10485</v>
      </c>
      <c r="AG5176" t="n">
        <v>144</v>
      </c>
      <c r="AH5176" t="inlineStr">
        <is>
          <t>PT. JAYA MURNI - PPN (PDG)</t>
        </is>
      </c>
      <c r="AI5176" t="n">
        <v>144</v>
      </c>
      <c r="AJ5176" t="inlineStr">
        <is>
          <t>SHINZUI</t>
        </is>
      </c>
      <c r="AK5176" t="n">
        <v>21</v>
      </c>
      <c r="AL5176" t="inlineStr">
        <is>
          <t>Miss Glam Damar</t>
        </is>
      </c>
      <c r="AM5176" t="n">
        <v>4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SHINZUI</t>
        </is>
      </c>
      <c r="B5177" s="2">
        <f>"8992946521829"</f>
        <v/>
      </c>
      <c r="C5177" t="inlineStr">
        <is>
          <t>SHINZUI Body Scrub Sakura 200ml</t>
        </is>
      </c>
      <c r="D5177" t="inlineStr">
        <is>
          <t>Miss Glam Damar</t>
        </is>
      </c>
      <c r="E5177" t="n">
        <v>63</v>
      </c>
      <c r="F5177" t="n">
        <v>3.3579</v>
      </c>
      <c r="G5177" t="n">
        <v>9.1</v>
      </c>
      <c r="H5177" t="n">
        <v>3</v>
      </c>
      <c r="I5177" t="n">
        <v>8</v>
      </c>
      <c r="J5177" t="n">
        <v>3</v>
      </c>
      <c r="K5177" t="n">
        <v>0</v>
      </c>
      <c r="L5177" t="n">
        <v>12515</v>
      </c>
      <c r="M5177" t="n">
        <v>17500</v>
      </c>
      <c r="N5177" t="n">
        <v>91</v>
      </c>
      <c r="O5177" t="n">
        <v>0.91</v>
      </c>
      <c r="P5177" t="n">
        <v>1</v>
      </c>
      <c r="Q5177" t="n">
        <v>2.46</v>
      </c>
      <c r="R5177" t="n">
        <v>7</v>
      </c>
      <c r="S5177" t="n">
        <v>58763.25</v>
      </c>
      <c r="T5177" t="n">
        <v>63</v>
      </c>
      <c r="U5177" t="n">
        <v>74</v>
      </c>
      <c r="V5177" t="n">
        <v>30</v>
      </c>
      <c r="W5177" t="n">
        <v>101</v>
      </c>
      <c r="X5177" t="n">
        <v>18.76172607879925</v>
      </c>
      <c r="Y5177" t="n">
        <v>1</v>
      </c>
      <c r="Z5177" t="n">
        <v>38</v>
      </c>
      <c r="AA5177" t="n">
        <v>0</v>
      </c>
      <c r="AB5177" t="n">
        <v>38</v>
      </c>
      <c r="AC5177" t="n">
        <v>38</v>
      </c>
      <c r="AD5177" t="n">
        <v>0</v>
      </c>
      <c r="AE5177" t="n">
        <v>475570</v>
      </c>
      <c r="AF5177" t="n">
        <v>10485</v>
      </c>
      <c r="AG5177" t="n">
        <v>144</v>
      </c>
      <c r="AH5177" t="inlineStr">
        <is>
          <t>PT. JAYA MURNI - PPN (PDG)</t>
        </is>
      </c>
      <c r="AI5177" t="n">
        <v>144</v>
      </c>
      <c r="AJ5177" t="inlineStr">
        <is>
          <t>SHINZUI</t>
        </is>
      </c>
      <c r="AK5177" t="n">
        <v>21</v>
      </c>
      <c r="AL5177" t="inlineStr">
        <is>
          <t>Miss Glam Damar</t>
        </is>
      </c>
      <c r="AM5177" t="n">
        <v>4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SHINZUI</t>
        </is>
      </c>
      <c r="B5178" s="2">
        <f>"8992946533686"</f>
        <v/>
      </c>
      <c r="C5178" t="inlineStr">
        <is>
          <t>SHINZUI Exfoliating Gel Cica 130ml</t>
        </is>
      </c>
      <c r="D5178" t="inlineStr">
        <is>
          <t>Miss Glam Damar</t>
        </is>
      </c>
      <c r="E5178" t="n">
        <v>0</v>
      </c>
      <c r="F5178" t="n">
        <v>0.1365</v>
      </c>
      <c r="G5178" t="n">
        <v>0.91</v>
      </c>
      <c r="H5178" t="n">
        <v>3</v>
      </c>
      <c r="I5178" t="n">
        <v>8</v>
      </c>
      <c r="J5178" t="n">
        <v>3</v>
      </c>
      <c r="K5178" t="n">
        <v>12</v>
      </c>
      <c r="L5178" t="n">
        <v>9897</v>
      </c>
      <c r="M5178" t="n">
        <v>13000</v>
      </c>
      <c r="N5178" t="n">
        <v>91</v>
      </c>
      <c r="O5178" t="n">
        <v>0.91</v>
      </c>
      <c r="P5178" t="n">
        <v>1</v>
      </c>
      <c r="Q5178" t="n">
        <v>0.09</v>
      </c>
      <c r="R5178" t="n">
        <v>1</v>
      </c>
      <c r="S5178" t="n">
        <v>1774.5</v>
      </c>
      <c r="T5178" t="n">
        <v>7</v>
      </c>
      <c r="U5178" t="n">
        <v>8</v>
      </c>
      <c r="V5178" t="n">
        <v>30</v>
      </c>
      <c r="W5178" t="n">
        <v>5</v>
      </c>
      <c r="X5178" t="n">
        <v>0</v>
      </c>
      <c r="Y5178" t="n">
        <v>1</v>
      </c>
      <c r="Z5178" t="n">
        <v>0</v>
      </c>
      <c r="AA5178" t="n">
        <v>1</v>
      </c>
      <c r="AB5178" t="n">
        <v>0</v>
      </c>
      <c r="AC5178" t="n">
        <v>0</v>
      </c>
      <c r="AD5178" t="n">
        <v>9897</v>
      </c>
      <c r="AE5178" t="n">
        <v>0</v>
      </c>
      <c r="AF5178" t="n">
        <v>10485</v>
      </c>
      <c r="AG5178" t="n">
        <v>144</v>
      </c>
      <c r="AH5178" t="inlineStr">
        <is>
          <t>PT. JAYA MURNI - PPN (PDG)</t>
        </is>
      </c>
      <c r="AI5178" t="n">
        <v>144</v>
      </c>
      <c r="AJ5178" t="inlineStr">
        <is>
          <t>SHINZUI</t>
        </is>
      </c>
      <c r="AK5178" t="n">
        <v>21</v>
      </c>
      <c r="AL5178" t="inlineStr">
        <is>
          <t>Miss Glam Damar</t>
        </is>
      </c>
      <c r="AM5178" t="n">
        <v>4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SHINZUI</t>
        </is>
      </c>
      <c r="B5179" s="2">
        <f>"8992946533693"</f>
        <v/>
      </c>
      <c r="C5179" t="inlineStr">
        <is>
          <t>SHINZUI Exfoliating Gel Honey 130ml</t>
        </is>
      </c>
      <c r="D5179" t="inlineStr">
        <is>
          <t>Miss Glam Damar</t>
        </is>
      </c>
      <c r="E5179" t="n">
        <v>5</v>
      </c>
      <c r="F5179" t="n">
        <v>0.2457</v>
      </c>
      <c r="G5179" t="n">
        <v>1.82</v>
      </c>
      <c r="H5179" t="n">
        <v>3</v>
      </c>
      <c r="I5179" t="n">
        <v>8</v>
      </c>
      <c r="J5179" t="n">
        <v>3</v>
      </c>
      <c r="K5179" t="n">
        <v>0</v>
      </c>
      <c r="L5179" t="n">
        <v>9756</v>
      </c>
      <c r="M5179" t="n">
        <v>13000</v>
      </c>
      <c r="N5179" t="n">
        <v>91</v>
      </c>
      <c r="O5179" t="n">
        <v>0.91</v>
      </c>
      <c r="P5179" t="n">
        <v>1</v>
      </c>
      <c r="Q5179" t="n">
        <v>0.12</v>
      </c>
      <c r="R5179" t="n">
        <v>1</v>
      </c>
      <c r="S5179" t="n">
        <v>3194.1</v>
      </c>
      <c r="T5179" t="n">
        <v>14</v>
      </c>
      <c r="U5179" t="n">
        <v>15</v>
      </c>
      <c r="V5179" t="n">
        <v>30</v>
      </c>
      <c r="W5179" t="n">
        <v>8</v>
      </c>
      <c r="X5179" t="n">
        <v>20.35002035002035</v>
      </c>
      <c r="Y5179" t="n">
        <v>1</v>
      </c>
      <c r="Z5179" t="n">
        <v>3</v>
      </c>
      <c r="AA5179" t="n">
        <v>0</v>
      </c>
      <c r="AB5179" t="n">
        <v>3</v>
      </c>
      <c r="AC5179" t="n">
        <v>3</v>
      </c>
      <c r="AD5179" t="n">
        <v>0</v>
      </c>
      <c r="AE5179" t="n">
        <v>29268</v>
      </c>
      <c r="AF5179" t="n">
        <v>10485</v>
      </c>
      <c r="AG5179" t="n">
        <v>144</v>
      </c>
      <c r="AH5179" t="inlineStr">
        <is>
          <t>PT. JAYA MURNI - PPN (PDG)</t>
        </is>
      </c>
      <c r="AI5179" t="n">
        <v>144</v>
      </c>
      <c r="AJ5179" t="inlineStr">
        <is>
          <t>SHINZUI</t>
        </is>
      </c>
      <c r="AK5179" t="n">
        <v>21</v>
      </c>
      <c r="AL5179" t="inlineStr">
        <is>
          <t>Miss Glam Damar</t>
        </is>
      </c>
      <c r="AM5179" t="n">
        <v>4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SHINZUI</t>
        </is>
      </c>
      <c r="B5180" s="2">
        <f>"8992946514296"</f>
        <v/>
      </c>
      <c r="C5180" t="inlineStr">
        <is>
          <t>SHINZUI Lightening Facial Wash 80ml</t>
        </is>
      </c>
      <c r="D5180" t="inlineStr">
        <is>
          <t>Miss Glam Damar</t>
        </is>
      </c>
      <c r="E5180" t="n">
        <v>23</v>
      </c>
      <c r="F5180" t="n">
        <v>0.8190000000000001</v>
      </c>
      <c r="G5180" t="n">
        <v>3.64</v>
      </c>
      <c r="H5180" t="n">
        <v>3</v>
      </c>
      <c r="I5180" t="n">
        <v>8</v>
      </c>
      <c r="J5180" t="n">
        <v>3</v>
      </c>
      <c r="K5180" t="n">
        <v>0</v>
      </c>
      <c r="L5180" t="n">
        <v>19784</v>
      </c>
      <c r="M5180" t="n">
        <v>28000</v>
      </c>
      <c r="N5180" t="n">
        <v>91</v>
      </c>
      <c r="O5180" t="n">
        <v>0.91</v>
      </c>
      <c r="P5180" t="n">
        <v>1</v>
      </c>
      <c r="Q5180" t="n">
        <v>0.75</v>
      </c>
      <c r="R5180" t="n">
        <v>5</v>
      </c>
      <c r="S5180" t="n">
        <v>22932</v>
      </c>
      <c r="T5180" t="n">
        <v>27</v>
      </c>
      <c r="U5180" t="n">
        <v>30</v>
      </c>
      <c r="V5180" t="n">
        <v>30</v>
      </c>
      <c r="W5180" t="n">
        <v>25</v>
      </c>
      <c r="X5180" t="n">
        <v>28.08302808302808</v>
      </c>
      <c r="Y5180" t="n">
        <v>1</v>
      </c>
      <c r="Z5180" t="n">
        <v>2</v>
      </c>
      <c r="AA5180" t="n">
        <v>0</v>
      </c>
      <c r="AB5180" t="n">
        <v>2</v>
      </c>
      <c r="AC5180" t="n">
        <v>3</v>
      </c>
      <c r="AD5180" t="n">
        <v>0</v>
      </c>
      <c r="AE5180" t="n">
        <v>59352</v>
      </c>
      <c r="AF5180" t="n">
        <v>10485</v>
      </c>
      <c r="AG5180" t="n">
        <v>144</v>
      </c>
      <c r="AH5180" t="inlineStr">
        <is>
          <t>PT. JAYA MURNI - PPN (PDG)</t>
        </is>
      </c>
      <c r="AI5180" t="n">
        <v>144</v>
      </c>
      <c r="AJ5180" t="inlineStr">
        <is>
          <t>SHINZUI</t>
        </is>
      </c>
      <c r="AK5180" t="n">
        <v>21</v>
      </c>
      <c r="AL5180" t="inlineStr">
        <is>
          <t>Miss Glam Damar</t>
        </is>
      </c>
      <c r="AM5180" t="n">
        <v>4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SHINZUI</t>
        </is>
      </c>
      <c r="B5181" s="2">
        <f>"8992946526206"</f>
        <v/>
      </c>
      <c r="C5181" t="inlineStr">
        <is>
          <t>SHINZUI Skin Lightening Facial Wash For Acne Skin 80ml</t>
        </is>
      </c>
      <c r="D5181" t="inlineStr">
        <is>
          <t>Miss Glam Damar</t>
        </is>
      </c>
      <c r="E5181" t="n">
        <v>3</v>
      </c>
      <c r="F5181" t="n">
        <v>0.09100000000000001</v>
      </c>
      <c r="G5181" t="n">
        <v>1.82</v>
      </c>
      <c r="H5181" t="n">
        <v>3</v>
      </c>
      <c r="I5181" t="n">
        <v>8</v>
      </c>
      <c r="J5181" t="n">
        <v>3</v>
      </c>
      <c r="K5181" t="n">
        <v>0</v>
      </c>
      <c r="L5181" t="n">
        <v>19873</v>
      </c>
      <c r="M5181" t="n">
        <v>25000</v>
      </c>
      <c r="N5181" t="n">
        <v>91</v>
      </c>
      <c r="O5181" t="n">
        <v>0.91</v>
      </c>
      <c r="P5181" t="n">
        <v>1</v>
      </c>
      <c r="Q5181" t="n">
        <v>0.05</v>
      </c>
      <c r="R5181" t="n">
        <v>1</v>
      </c>
      <c r="S5181" t="n">
        <v>2275</v>
      </c>
      <c r="T5181" t="n">
        <v>15</v>
      </c>
      <c r="U5181" t="n">
        <v>16</v>
      </c>
      <c r="V5181" t="n">
        <v>30</v>
      </c>
      <c r="W5181" t="n">
        <v>3</v>
      </c>
      <c r="X5181" t="n">
        <v>32.96703296703296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10485</v>
      </c>
      <c r="AG5181" t="n">
        <v>144</v>
      </c>
      <c r="AH5181" t="inlineStr">
        <is>
          <t>PT. JAYA MURNI - PPN (PDG)</t>
        </is>
      </c>
      <c r="AI5181" t="n">
        <v>144</v>
      </c>
      <c r="AJ5181" t="inlineStr">
        <is>
          <t>SHINZUI</t>
        </is>
      </c>
      <c r="AK5181" t="n">
        <v>21</v>
      </c>
      <c r="AL5181" t="inlineStr">
        <is>
          <t>Miss Glam Damar</t>
        </is>
      </c>
      <c r="AM5181" t="n">
        <v>4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SHINZUI</t>
        </is>
      </c>
      <c r="B5182" s="2">
        <f>"10400615835"</f>
        <v/>
      </c>
      <c r="C5182" t="inlineStr">
        <is>
          <t>SHINZUI Whitessentials Brightening Serum 20ml</t>
        </is>
      </c>
      <c r="D5182" t="inlineStr">
        <is>
          <t>Miss Glam Damar</t>
        </is>
      </c>
      <c r="E5182" t="n">
        <v>7</v>
      </c>
      <c r="F5182" t="n">
        <v>0.1274</v>
      </c>
      <c r="G5182" t="n">
        <v>0.91</v>
      </c>
      <c r="H5182" t="n">
        <v>3</v>
      </c>
      <c r="I5182" t="n">
        <v>8</v>
      </c>
      <c r="J5182" t="n">
        <v>1</v>
      </c>
      <c r="K5182" t="n">
        <v>0</v>
      </c>
      <c r="L5182" t="n">
        <v>32804</v>
      </c>
      <c r="M5182" t="n">
        <v>39000</v>
      </c>
      <c r="N5182" t="n">
        <v>91</v>
      </c>
      <c r="O5182" t="n">
        <v>0.91</v>
      </c>
      <c r="P5182" t="n">
        <v>1</v>
      </c>
      <c r="Q5182" t="n">
        <v>0.05</v>
      </c>
      <c r="R5182" t="n">
        <v>3</v>
      </c>
      <c r="S5182" t="n">
        <v>4968.6</v>
      </c>
      <c r="T5182" t="n">
        <v>7</v>
      </c>
      <c r="U5182" t="n">
        <v>8</v>
      </c>
      <c r="V5182" t="n">
        <v>30</v>
      </c>
      <c r="W5182" t="n">
        <v>4</v>
      </c>
      <c r="X5182" t="n">
        <v>54.94505494505494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10485</v>
      </c>
      <c r="AG5182" t="n">
        <v>144</v>
      </c>
      <c r="AH5182" t="inlineStr">
        <is>
          <t>PT. JAYA MURNI - PPN (PDG)</t>
        </is>
      </c>
      <c r="AI5182" t="n">
        <v>144</v>
      </c>
      <c r="AJ5182" t="inlineStr">
        <is>
          <t>SHINZUI</t>
        </is>
      </c>
      <c r="AK5182" t="n">
        <v>21</v>
      </c>
      <c r="AL5182" t="inlineStr">
        <is>
          <t>Miss Glam Damar</t>
        </is>
      </c>
      <c r="AM5182" t="n">
        <v>4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SHINZUI</t>
        </is>
      </c>
      <c r="B5183" s="2">
        <f>"10300724454"</f>
        <v/>
      </c>
      <c r="C5183" t="inlineStr">
        <is>
          <t>SHINZUI Whitessentials Brightening Serum Moisturizer 30gr</t>
        </is>
      </c>
      <c r="D5183" t="inlineStr">
        <is>
          <t>Miss Glam Damar</t>
        </is>
      </c>
      <c r="E5183" t="n">
        <v>7</v>
      </c>
      <c r="F5183" t="n">
        <v>0.1547</v>
      </c>
      <c r="G5183" t="n">
        <v>0.91</v>
      </c>
      <c r="H5183" t="n">
        <v>3</v>
      </c>
      <c r="I5183" t="n">
        <v>8</v>
      </c>
      <c r="J5183" t="n">
        <v>1</v>
      </c>
      <c r="K5183" t="n">
        <v>0</v>
      </c>
      <c r="L5183" t="n">
        <v>42956</v>
      </c>
      <c r="M5183" t="n">
        <v>51500</v>
      </c>
      <c r="N5183" t="n">
        <v>91</v>
      </c>
      <c r="O5183" t="n">
        <v>0.91</v>
      </c>
      <c r="P5183" t="n">
        <v>1</v>
      </c>
      <c r="Q5183" t="n">
        <v>0.12</v>
      </c>
      <c r="R5183" t="n">
        <v>3</v>
      </c>
      <c r="S5183" t="n">
        <v>7967.05</v>
      </c>
      <c r="T5183" t="n">
        <v>7</v>
      </c>
      <c r="U5183" t="n">
        <v>8</v>
      </c>
      <c r="V5183" t="n">
        <v>30</v>
      </c>
      <c r="W5183" t="n">
        <v>5</v>
      </c>
      <c r="X5183" t="n">
        <v>45.24886877828054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10485</v>
      </c>
      <c r="AG5183" t="n">
        <v>144</v>
      </c>
      <c r="AH5183" t="inlineStr">
        <is>
          <t>PT. JAYA MURNI - PPN (PDG)</t>
        </is>
      </c>
      <c r="AI5183" t="n">
        <v>144</v>
      </c>
      <c r="AJ5183" t="inlineStr">
        <is>
          <t>SHINZUI</t>
        </is>
      </c>
      <c r="AK5183" t="n">
        <v>21</v>
      </c>
      <c r="AL5183" t="inlineStr">
        <is>
          <t>Miss Glam Damar</t>
        </is>
      </c>
      <c r="AM5183" t="n">
        <v>4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SHINZUI</t>
        </is>
      </c>
      <c r="B5184" s="2">
        <f>"10400615748"</f>
        <v/>
      </c>
      <c r="C5184" t="inlineStr">
        <is>
          <t>SHINZUI Whitessentials Brightening Serum Sunscreen SPF 35 PA +++ 30ml</t>
        </is>
      </c>
      <c r="D5184" t="inlineStr">
        <is>
          <t>Miss Glam Damar</t>
        </is>
      </c>
      <c r="E5184" t="n">
        <v>11</v>
      </c>
      <c r="F5184" t="n">
        <v>0.3549</v>
      </c>
      <c r="G5184" t="n">
        <v>3.64</v>
      </c>
      <c r="H5184" t="n">
        <v>3</v>
      </c>
      <c r="I5184" t="n">
        <v>8</v>
      </c>
      <c r="J5184" t="n">
        <v>1</v>
      </c>
      <c r="K5184" t="n">
        <v>0</v>
      </c>
      <c r="L5184" t="n">
        <v>27521</v>
      </c>
      <c r="M5184" t="n">
        <v>34000</v>
      </c>
      <c r="N5184" t="n">
        <v>91</v>
      </c>
      <c r="O5184" t="n">
        <v>0.91</v>
      </c>
      <c r="P5184" t="n">
        <v>1</v>
      </c>
      <c r="Q5184" t="n">
        <v>0.32</v>
      </c>
      <c r="R5184" t="n">
        <v>4</v>
      </c>
      <c r="S5184" t="n">
        <v>12066.6</v>
      </c>
      <c r="T5184" t="n">
        <v>29</v>
      </c>
      <c r="U5184" t="n">
        <v>31</v>
      </c>
      <c r="V5184" t="n">
        <v>30</v>
      </c>
      <c r="W5184" t="n">
        <v>11</v>
      </c>
      <c r="X5184" t="n">
        <v>30.99464637926176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10485</v>
      </c>
      <c r="AG5184" t="n">
        <v>144</v>
      </c>
      <c r="AH5184" t="inlineStr">
        <is>
          <t>PT. JAYA MURNI - PPN (PDG)</t>
        </is>
      </c>
      <c r="AI5184" t="n">
        <v>144</v>
      </c>
      <c r="AJ5184" t="inlineStr">
        <is>
          <t>SHINZUI</t>
        </is>
      </c>
      <c r="AK5184" t="n">
        <v>21</v>
      </c>
      <c r="AL5184" t="inlineStr">
        <is>
          <t>Miss Glam Damar</t>
        </is>
      </c>
      <c r="AM5184" t="n">
        <v>4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SHINZUI</t>
        </is>
      </c>
      <c r="B5185" s="2">
        <f>"101001110604"</f>
        <v/>
      </c>
      <c r="C5185" t="inlineStr">
        <is>
          <t>SHINZUI Whitessentials Double Brightening Facial Wash Snow Mushroom 20ml</t>
        </is>
      </c>
      <c r="D5185" t="inlineStr">
        <is>
          <t>Miss Glam Damar</t>
        </is>
      </c>
      <c r="E5185" t="n">
        <v>3</v>
      </c>
      <c r="F5185" t="n">
        <v>1.001</v>
      </c>
      <c r="G5185" t="n">
        <v>4.55</v>
      </c>
      <c r="H5185" t="n">
        <v>3</v>
      </c>
      <c r="I5185" t="n">
        <v>8</v>
      </c>
      <c r="J5185" t="n">
        <v>1</v>
      </c>
      <c r="K5185" t="n">
        <v>20</v>
      </c>
      <c r="L5185" t="n">
        <v>4639</v>
      </c>
      <c r="M5185" t="n">
        <v>6000</v>
      </c>
      <c r="N5185" t="n">
        <v>91</v>
      </c>
      <c r="O5185" t="n">
        <v>0.91</v>
      </c>
      <c r="P5185" t="n">
        <v>1</v>
      </c>
      <c r="Q5185" t="n">
        <v>0.46</v>
      </c>
      <c r="R5185" t="n">
        <v>4</v>
      </c>
      <c r="S5185" t="n">
        <v>6006.000000000001</v>
      </c>
      <c r="T5185" t="n">
        <v>34</v>
      </c>
      <c r="U5185" t="n">
        <v>38</v>
      </c>
      <c r="V5185" t="n">
        <v>30</v>
      </c>
      <c r="W5185" t="n">
        <v>31</v>
      </c>
      <c r="X5185" t="n">
        <v>2.997002997002997</v>
      </c>
      <c r="Y5185" t="n">
        <v>1</v>
      </c>
      <c r="Z5185" t="n">
        <v>8</v>
      </c>
      <c r="AA5185" t="n">
        <v>5</v>
      </c>
      <c r="AB5185" t="n">
        <v>3</v>
      </c>
      <c r="AC5185" t="n">
        <v>3</v>
      </c>
      <c r="AD5185" t="n">
        <v>23195</v>
      </c>
      <c r="AE5185" t="n">
        <v>13917</v>
      </c>
      <c r="AF5185" t="n">
        <v>10485</v>
      </c>
      <c r="AG5185" t="n">
        <v>144</v>
      </c>
      <c r="AH5185" t="inlineStr">
        <is>
          <t>PT. JAYA MURNI - PPN (PDG)</t>
        </is>
      </c>
      <c r="AI5185" t="n">
        <v>144</v>
      </c>
      <c r="AJ5185" t="inlineStr">
        <is>
          <t>SHINZUI</t>
        </is>
      </c>
      <c r="AK5185" t="n">
        <v>21</v>
      </c>
      <c r="AL5185" t="inlineStr">
        <is>
          <t>Miss Glam Damar</t>
        </is>
      </c>
      <c r="AM5185" t="n">
        <v>4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SILCOT</t>
        </is>
      </c>
      <c r="B5186" s="2">
        <f>"8993189700804"</f>
        <v/>
      </c>
      <c r="C5186" t="inlineStr">
        <is>
          <t>SILCOT Cleansing Cotton Ungu isi 82 Pcs</t>
        </is>
      </c>
      <c r="D5186" t="inlineStr">
        <is>
          <t>Miss Glam Damar</t>
        </is>
      </c>
      <c r="E5186" t="n">
        <v>15</v>
      </c>
      <c r="F5186" t="n">
        <v>0.0273</v>
      </c>
      <c r="G5186" t="n">
        <v>0.91</v>
      </c>
      <c r="H5186" t="n">
        <v>2</v>
      </c>
      <c r="I5186" t="n">
        <v>2</v>
      </c>
      <c r="J5186" t="n">
        <v>3</v>
      </c>
      <c r="K5186" t="n">
        <v>0</v>
      </c>
      <c r="L5186" t="n">
        <v>25619</v>
      </c>
      <c r="M5186" t="n">
        <v>30500</v>
      </c>
      <c r="N5186" t="n">
        <v>91</v>
      </c>
      <c r="O5186" t="n">
        <v>0.91</v>
      </c>
      <c r="P5186" t="n">
        <v>1</v>
      </c>
      <c r="Q5186" t="n">
        <v>0.02</v>
      </c>
      <c r="R5186" t="n">
        <v>2</v>
      </c>
      <c r="S5186" t="n">
        <v>832.6500000000001</v>
      </c>
      <c r="T5186" t="n">
        <v>2</v>
      </c>
      <c r="U5186" t="n">
        <v>3</v>
      </c>
      <c r="V5186" t="n">
        <v>30</v>
      </c>
      <c r="W5186" t="n">
        <v>1</v>
      </c>
      <c r="X5186" t="n">
        <v>549.4505494505494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12276</v>
      </c>
      <c r="AG5186" t="n">
        <v>3301</v>
      </c>
      <c r="AH5186" t="inlineStr">
        <is>
          <t>PT. RIMBUN PADI BERJAYA - PPN (PDG)</t>
        </is>
      </c>
      <c r="AI5186" t="n">
        <v>360</v>
      </c>
      <c r="AJ5186" t="inlineStr">
        <is>
          <t>SILCOT</t>
        </is>
      </c>
      <c r="AK5186" t="n">
        <v>21</v>
      </c>
      <c r="AL5186" t="inlineStr">
        <is>
          <t>Miss Glam Damar</t>
        </is>
      </c>
      <c r="AM5186" t="n">
        <v>5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SILCOT</t>
        </is>
      </c>
      <c r="B5187" s="2">
        <f>"8993189329333"</f>
        <v/>
      </c>
      <c r="C5187" t="inlineStr">
        <is>
          <t>SILCOT Maximizer Cotton Kapas Isi 40</t>
        </is>
      </c>
      <c r="D5187" t="inlineStr">
        <is>
          <t>Miss Glam Damar</t>
        </is>
      </c>
      <c r="E5187" t="n">
        <v>37</v>
      </c>
      <c r="F5187" t="n">
        <v>0.2184</v>
      </c>
      <c r="G5187" t="n">
        <v>1.82</v>
      </c>
      <c r="H5187" t="n">
        <v>2</v>
      </c>
      <c r="I5187" t="n">
        <v>2</v>
      </c>
      <c r="J5187" t="n">
        <v>3</v>
      </c>
      <c r="K5187" t="n">
        <v>0</v>
      </c>
      <c r="L5187" t="n">
        <v>25619</v>
      </c>
      <c r="M5187" t="n">
        <v>30500</v>
      </c>
      <c r="N5187" t="n">
        <v>91</v>
      </c>
      <c r="O5187" t="n">
        <v>0.91</v>
      </c>
      <c r="P5187" t="n">
        <v>1</v>
      </c>
      <c r="Q5187" t="n">
        <v>0.25</v>
      </c>
      <c r="R5187" t="n">
        <v>2</v>
      </c>
      <c r="S5187" t="n">
        <v>6661.200000000001</v>
      </c>
      <c r="T5187" t="n">
        <v>4</v>
      </c>
      <c r="U5187" t="n">
        <v>5</v>
      </c>
      <c r="V5187" t="n">
        <v>30</v>
      </c>
      <c r="W5187" t="n">
        <v>7</v>
      </c>
      <c r="X5187" t="n">
        <v>169.4139194139194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12276</v>
      </c>
      <c r="AG5187" t="n">
        <v>3301</v>
      </c>
      <c r="AH5187" t="inlineStr">
        <is>
          <t>PT. RIMBUN PADI BERJAYA - PPN (PDG)</t>
        </is>
      </c>
      <c r="AI5187" t="n">
        <v>360</v>
      </c>
      <c r="AJ5187" t="inlineStr">
        <is>
          <t>SILCOT</t>
        </is>
      </c>
      <c r="AK5187" t="n">
        <v>21</v>
      </c>
      <c r="AL5187" t="inlineStr">
        <is>
          <t>Miss Glam Damar</t>
        </is>
      </c>
      <c r="AM5187" t="n">
        <v>5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SILKORO</t>
        </is>
      </c>
      <c r="B5188" s="2">
        <f>"9555135302419"</f>
        <v/>
      </c>
      <c r="C5188" t="inlineStr">
        <is>
          <t>SILKORO Color Care Hair Serum Blue 200ml</t>
        </is>
      </c>
      <c r="D5188" t="inlineStr">
        <is>
          <t>Miss Glam Damar</t>
        </is>
      </c>
      <c r="E5188" t="n">
        <v>5</v>
      </c>
      <c r="F5188" t="n">
        <v>0.0273</v>
      </c>
      <c r="G5188" t="n">
        <v>0.91</v>
      </c>
      <c r="H5188" t="n">
        <v>5</v>
      </c>
      <c r="I5188" t="n">
        <v>6</v>
      </c>
      <c r="J5188" t="n">
        <v>3</v>
      </c>
      <c r="K5188" t="n">
        <v>0</v>
      </c>
      <c r="L5188" t="n">
        <v>40685</v>
      </c>
      <c r="M5188" t="n">
        <v>49500</v>
      </c>
      <c r="N5188" t="n">
        <v>91</v>
      </c>
      <c r="O5188" t="n">
        <v>0.91</v>
      </c>
      <c r="P5188" t="n">
        <v>1</v>
      </c>
      <c r="Q5188" t="n">
        <v>0.08</v>
      </c>
      <c r="R5188" t="n">
        <v>2</v>
      </c>
      <c r="S5188" t="n">
        <v>1351.35</v>
      </c>
      <c r="T5188" t="n">
        <v>6</v>
      </c>
      <c r="U5188" t="n">
        <v>7</v>
      </c>
      <c r="V5188" t="n">
        <v>30</v>
      </c>
      <c r="W5188" t="n">
        <v>1</v>
      </c>
      <c r="X5188" t="n">
        <v>183.1501831501832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13580</v>
      </c>
      <c r="AG5188" t="n">
        <v>3433</v>
      </c>
      <c r="AH5188" t="inlineStr">
        <is>
          <t>UD. WIRA JAYA SUKSES - NON PPN - SILKORO/SUMMER (PKU)</t>
        </is>
      </c>
      <c r="AI5188" t="n">
        <v>357</v>
      </c>
      <c r="AJ5188" t="inlineStr">
        <is>
          <t>SILKORO</t>
        </is>
      </c>
      <c r="AK5188" t="n">
        <v>21</v>
      </c>
      <c r="AL5188" t="inlineStr">
        <is>
          <t>Miss Glam Damar</t>
        </is>
      </c>
      <c r="AM5188" t="n">
        <v>4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SILKORO</t>
        </is>
      </c>
      <c r="B5189" s="2">
        <f>"9555135302402"</f>
        <v/>
      </c>
      <c r="C5189" t="inlineStr">
        <is>
          <t>SILKORO Color Care Hair Serum Hijau 200ml</t>
        </is>
      </c>
      <c r="D5189" t="inlineStr">
        <is>
          <t>Miss Glam Damar</t>
        </is>
      </c>
      <c r="E5189" t="n">
        <v>4</v>
      </c>
      <c r="F5189" t="n">
        <v>0.06370000000000001</v>
      </c>
      <c r="G5189" t="n">
        <v>0.91</v>
      </c>
      <c r="H5189" t="n">
        <v>5</v>
      </c>
      <c r="I5189" t="n">
        <v>6</v>
      </c>
      <c r="J5189" t="n">
        <v>3</v>
      </c>
      <c r="K5189" t="n">
        <v>0</v>
      </c>
      <c r="L5189" t="n">
        <v>40465</v>
      </c>
      <c r="M5189" t="n">
        <v>50000</v>
      </c>
      <c r="N5189" t="n">
        <v>91</v>
      </c>
      <c r="O5189" t="n">
        <v>0.91</v>
      </c>
      <c r="P5189" t="n">
        <v>1</v>
      </c>
      <c r="Q5189" t="n">
        <v>0.12</v>
      </c>
      <c r="R5189" t="n">
        <v>1</v>
      </c>
      <c r="S5189" t="n">
        <v>3185</v>
      </c>
      <c r="T5189" t="n">
        <v>6</v>
      </c>
      <c r="U5189" t="n">
        <v>7</v>
      </c>
      <c r="V5189" t="n">
        <v>30</v>
      </c>
      <c r="W5189" t="n">
        <v>2</v>
      </c>
      <c r="X5189" t="n">
        <v>62.79434850863422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13580</v>
      </c>
      <c r="AG5189" t="n">
        <v>3433</v>
      </c>
      <c r="AH5189" t="inlineStr">
        <is>
          <t>UD. WIRA JAYA SUKSES - NON PPN - SILKORO/SUMMER (PKU)</t>
        </is>
      </c>
      <c r="AI5189" t="n">
        <v>357</v>
      </c>
      <c r="AJ5189" t="inlineStr">
        <is>
          <t>SILKORO</t>
        </is>
      </c>
      <c r="AK5189" t="n">
        <v>21</v>
      </c>
      <c r="AL5189" t="inlineStr">
        <is>
          <t>Miss Glam Damar</t>
        </is>
      </c>
      <c r="AM5189" t="n">
        <v>4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SILKORO</t>
        </is>
      </c>
      <c r="B5190" s="2">
        <f>"9555135302426"</f>
        <v/>
      </c>
      <c r="C5190" t="inlineStr">
        <is>
          <t>SILKORO Color Care Hair Serum Merah 200ml</t>
        </is>
      </c>
      <c r="D5190" t="inlineStr">
        <is>
          <t>Miss Glam Damar</t>
        </is>
      </c>
      <c r="E5190" t="n">
        <v>1</v>
      </c>
      <c r="F5190" t="n">
        <v>0.05</v>
      </c>
      <c r="G5190" t="n">
        <v>1</v>
      </c>
      <c r="H5190" t="n">
        <v>5</v>
      </c>
      <c r="I5190" t="n">
        <v>6</v>
      </c>
      <c r="J5190" t="n">
        <v>3</v>
      </c>
      <c r="K5190" t="n">
        <v>0</v>
      </c>
      <c r="L5190" t="n">
        <v>40465</v>
      </c>
      <c r="M5190" t="n">
        <v>50000</v>
      </c>
      <c r="N5190" t="n">
        <v>91</v>
      </c>
      <c r="O5190" t="n">
        <v>0.91</v>
      </c>
      <c r="P5190" t="n">
        <v>0</v>
      </c>
      <c r="Q5190" t="n">
        <v>0.05</v>
      </c>
      <c r="R5190" t="n">
        <v>1</v>
      </c>
      <c r="S5190" t="n">
        <v>2500</v>
      </c>
      <c r="T5190" t="n">
        <v>6</v>
      </c>
      <c r="U5190" t="n">
        <v>7</v>
      </c>
      <c r="V5190" t="n">
        <v>30</v>
      </c>
      <c r="W5190" t="n">
        <v>2</v>
      </c>
      <c r="X5190" t="n">
        <v>20</v>
      </c>
      <c r="Y5190" t="n">
        <v>1</v>
      </c>
      <c r="Z5190" t="n">
        <v>1</v>
      </c>
      <c r="AA5190" t="n">
        <v>0</v>
      </c>
      <c r="AB5190" t="n">
        <v>1</v>
      </c>
      <c r="AC5190" t="n">
        <v>3</v>
      </c>
      <c r="AD5190" t="n">
        <v>0</v>
      </c>
      <c r="AE5190" t="n">
        <v>121395</v>
      </c>
      <c r="AF5190" t="n">
        <v>13580</v>
      </c>
      <c r="AG5190" t="n">
        <v>3433</v>
      </c>
      <c r="AH5190" t="inlineStr">
        <is>
          <t>UD. WIRA JAYA SUKSES - NON PPN - SILKORO/SUMMER (PKU)</t>
        </is>
      </c>
      <c r="AI5190" t="n">
        <v>357</v>
      </c>
      <c r="AJ5190" t="inlineStr">
        <is>
          <t>SILKORO</t>
        </is>
      </c>
      <c r="AK5190" t="n">
        <v>21</v>
      </c>
      <c r="AL5190" t="inlineStr">
        <is>
          <t>Miss Glam Damar</t>
        </is>
      </c>
      <c r="AM5190" t="n">
        <v>4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SILKORO</t>
        </is>
      </c>
      <c r="B5191" s="2">
        <f>"9555135304062"</f>
        <v/>
      </c>
      <c r="C5191" t="inlineStr">
        <is>
          <t>SILKORO Color Care Serum Bening 200ml</t>
        </is>
      </c>
      <c r="D5191" t="inlineStr">
        <is>
          <t>Miss Glam Damar</t>
        </is>
      </c>
      <c r="E5191" t="n">
        <v>1</v>
      </c>
      <c r="F5191" t="n">
        <v>0.1092</v>
      </c>
      <c r="G5191" t="n">
        <v>0.91</v>
      </c>
      <c r="H5191" t="n">
        <v>5</v>
      </c>
      <c r="I5191" t="n">
        <v>6</v>
      </c>
      <c r="J5191" t="n">
        <v>3</v>
      </c>
      <c r="K5191" t="n">
        <v>0</v>
      </c>
      <c r="L5191" t="n">
        <v>38700</v>
      </c>
      <c r="M5191" t="n">
        <v>50000</v>
      </c>
      <c r="N5191" t="n">
        <v>91</v>
      </c>
      <c r="O5191" t="n">
        <v>0.91</v>
      </c>
      <c r="P5191" t="n">
        <v>1</v>
      </c>
      <c r="Q5191" t="n">
        <v>0.03</v>
      </c>
      <c r="R5191" t="n">
        <v>1</v>
      </c>
      <c r="S5191" t="n">
        <v>5460</v>
      </c>
      <c r="T5191" t="n">
        <v>5</v>
      </c>
      <c r="U5191" t="n">
        <v>6</v>
      </c>
      <c r="V5191" t="n">
        <v>30</v>
      </c>
      <c r="W5191" t="n">
        <v>4</v>
      </c>
      <c r="X5191" t="n">
        <v>9.157509157509157</v>
      </c>
      <c r="Y5191" t="n">
        <v>1</v>
      </c>
      <c r="Z5191" t="n">
        <v>3</v>
      </c>
      <c r="AA5191" t="n">
        <v>0</v>
      </c>
      <c r="AB5191" t="n">
        <v>3</v>
      </c>
      <c r="AC5191" t="n">
        <v>3</v>
      </c>
      <c r="AD5191" t="n">
        <v>0</v>
      </c>
      <c r="AE5191" t="n">
        <v>116100</v>
      </c>
      <c r="AF5191" t="n">
        <v>13580</v>
      </c>
      <c r="AG5191" t="n">
        <v>3433</v>
      </c>
      <c r="AH5191" t="inlineStr">
        <is>
          <t>UD. WIRA JAYA SUKSES - NON PPN - SILKORO/SUMMER (PKU)</t>
        </is>
      </c>
      <c r="AI5191" t="n">
        <v>357</v>
      </c>
      <c r="AJ5191" t="inlineStr">
        <is>
          <t>SILKORO</t>
        </is>
      </c>
      <c r="AK5191" t="n">
        <v>21</v>
      </c>
      <c r="AL5191" t="inlineStr">
        <is>
          <t>Miss Glam Damar</t>
        </is>
      </c>
      <c r="AM5191" t="n">
        <v>4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SILKORO</t>
        </is>
      </c>
      <c r="B5192" s="2">
        <f>"9555135304055"</f>
        <v/>
      </c>
      <c r="C5192" t="inlineStr">
        <is>
          <t>SILKORO Color Care Serum Bening 80ml</t>
        </is>
      </c>
      <c r="D5192" t="inlineStr">
        <is>
          <t>Miss Glam Damar</t>
        </is>
      </c>
      <c r="E5192" t="n">
        <v>0</v>
      </c>
      <c r="F5192" t="n">
        <v>0.3094</v>
      </c>
      <c r="G5192" t="n">
        <v>1.82</v>
      </c>
      <c r="H5192" t="n">
        <v>5</v>
      </c>
      <c r="I5192" t="n">
        <v>6</v>
      </c>
      <c r="J5192" t="n">
        <v>3</v>
      </c>
      <c r="K5192" t="n">
        <v>6</v>
      </c>
      <c r="L5192" t="n">
        <v>25534</v>
      </c>
      <c r="M5192" t="n">
        <v>31500</v>
      </c>
      <c r="N5192" t="n">
        <v>91</v>
      </c>
      <c r="O5192" t="n">
        <v>0.91</v>
      </c>
      <c r="P5192" t="n">
        <v>1</v>
      </c>
      <c r="Q5192" t="n">
        <v>0.27</v>
      </c>
      <c r="R5192" t="n">
        <v>2</v>
      </c>
      <c r="S5192" t="n">
        <v>9746.1</v>
      </c>
      <c r="T5192" t="n">
        <v>10</v>
      </c>
      <c r="U5192" t="n">
        <v>12</v>
      </c>
      <c r="V5192" t="n">
        <v>30</v>
      </c>
      <c r="W5192" t="n">
        <v>10</v>
      </c>
      <c r="X5192" t="n">
        <v>0</v>
      </c>
      <c r="Y5192" t="n">
        <v>1</v>
      </c>
      <c r="Z5192" t="n">
        <v>4</v>
      </c>
      <c r="AA5192" t="n">
        <v>1</v>
      </c>
      <c r="AB5192" t="n">
        <v>3</v>
      </c>
      <c r="AC5192" t="n">
        <v>3</v>
      </c>
      <c r="AD5192" t="n">
        <v>25534</v>
      </c>
      <c r="AE5192" t="n">
        <v>76602</v>
      </c>
      <c r="AF5192" t="n">
        <v>13580</v>
      </c>
      <c r="AG5192" t="n">
        <v>3433</v>
      </c>
      <c r="AH5192" t="inlineStr">
        <is>
          <t>UD. WIRA JAYA SUKSES - NON PPN - SILKORO/SUMMER (PKU)</t>
        </is>
      </c>
      <c r="AI5192" t="n">
        <v>357</v>
      </c>
      <c r="AJ5192" t="inlineStr">
        <is>
          <t>SILKORO</t>
        </is>
      </c>
      <c r="AK5192" t="n">
        <v>21</v>
      </c>
      <c r="AL5192" t="inlineStr">
        <is>
          <t>Miss Glam Damar</t>
        </is>
      </c>
      <c r="AM5192" t="n">
        <v>4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SILKORO</t>
        </is>
      </c>
      <c r="B5193" s="2">
        <f>"9555135304086"</f>
        <v/>
      </c>
      <c r="C5193" t="inlineStr">
        <is>
          <t>SILKORO Color Care Serum Hijab 80ml</t>
        </is>
      </c>
      <c r="D5193" t="inlineStr">
        <is>
          <t>Miss Glam Damar</t>
        </is>
      </c>
      <c r="E5193" t="n">
        <v>5</v>
      </c>
      <c r="F5193" t="n">
        <v>0.1729</v>
      </c>
      <c r="G5193" t="n">
        <v>1.82</v>
      </c>
      <c r="H5193" t="n">
        <v>5</v>
      </c>
      <c r="I5193" t="n">
        <v>6</v>
      </c>
      <c r="J5193" t="n">
        <v>3</v>
      </c>
      <c r="K5193" t="n">
        <v>0</v>
      </c>
      <c r="L5193" t="n">
        <v>25757</v>
      </c>
      <c r="M5193" t="n">
        <v>30500</v>
      </c>
      <c r="N5193" t="n">
        <v>91</v>
      </c>
      <c r="O5193" t="n">
        <v>0.91</v>
      </c>
      <c r="P5193" t="n">
        <v>1</v>
      </c>
      <c r="Q5193" t="n">
        <v>0.2</v>
      </c>
      <c r="R5193" t="n">
        <v>2</v>
      </c>
      <c r="S5193" t="n">
        <v>5273.45</v>
      </c>
      <c r="T5193" t="n">
        <v>11</v>
      </c>
      <c r="U5193" t="n">
        <v>12</v>
      </c>
      <c r="V5193" t="n">
        <v>30</v>
      </c>
      <c r="W5193" t="n">
        <v>6</v>
      </c>
      <c r="X5193" t="n">
        <v>28.91844997108155</v>
      </c>
      <c r="Y5193" t="n">
        <v>1</v>
      </c>
      <c r="Z5193" t="n">
        <v>1</v>
      </c>
      <c r="AA5193" t="n">
        <v>0</v>
      </c>
      <c r="AB5193" t="n">
        <v>1</v>
      </c>
      <c r="AC5193" t="n">
        <v>3</v>
      </c>
      <c r="AD5193" t="n">
        <v>0</v>
      </c>
      <c r="AE5193" t="n">
        <v>77271</v>
      </c>
      <c r="AF5193" t="n">
        <v>13580</v>
      </c>
      <c r="AG5193" t="n">
        <v>3433</v>
      </c>
      <c r="AH5193" t="inlineStr">
        <is>
          <t>UD. WIRA JAYA SUKSES - NON PPN - SILKORO/SUMMER (PKU)</t>
        </is>
      </c>
      <c r="AI5193" t="n">
        <v>357</v>
      </c>
      <c r="AJ5193" t="inlineStr">
        <is>
          <t>SILKORO</t>
        </is>
      </c>
      <c r="AK5193" t="n">
        <v>21</v>
      </c>
      <c r="AL5193" t="inlineStr">
        <is>
          <t>Miss Glam Damar</t>
        </is>
      </c>
      <c r="AM5193" t="n">
        <v>4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SILKORO</t>
        </is>
      </c>
      <c r="B5194" s="2">
        <f>"9555135302983"</f>
        <v/>
      </c>
      <c r="C5194" t="inlineStr">
        <is>
          <t>SILKORO Color Care Serum Hijau 80ml</t>
        </is>
      </c>
      <c r="D5194" t="inlineStr">
        <is>
          <t>Miss Glam Damar</t>
        </is>
      </c>
      <c r="E5194" t="n">
        <v>2</v>
      </c>
      <c r="F5194" t="n">
        <v>0.06370000000000001</v>
      </c>
      <c r="G5194" t="n">
        <v>1.82</v>
      </c>
      <c r="H5194" t="n">
        <v>5</v>
      </c>
      <c r="I5194" t="n">
        <v>6</v>
      </c>
      <c r="J5194" t="n">
        <v>3</v>
      </c>
      <c r="K5194" t="n">
        <v>0</v>
      </c>
      <c r="L5194" t="n">
        <v>24500</v>
      </c>
      <c r="M5194" t="n">
        <v>30000</v>
      </c>
      <c r="N5194" t="n">
        <v>91</v>
      </c>
      <c r="O5194" t="n">
        <v>0.91</v>
      </c>
      <c r="P5194" t="n">
        <v>1</v>
      </c>
      <c r="Q5194" t="n">
        <v>0.02</v>
      </c>
      <c r="R5194" t="n">
        <v>1</v>
      </c>
      <c r="S5194" t="n">
        <v>1911</v>
      </c>
      <c r="T5194" t="n">
        <v>11</v>
      </c>
      <c r="U5194" t="n">
        <v>12</v>
      </c>
      <c r="V5194" t="n">
        <v>30</v>
      </c>
      <c r="W5194" t="n">
        <v>2</v>
      </c>
      <c r="X5194" t="n">
        <v>31.39717425431711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13580</v>
      </c>
      <c r="AG5194" t="n">
        <v>3433</v>
      </c>
      <c r="AH5194" t="inlineStr">
        <is>
          <t>UD. WIRA JAYA SUKSES - NON PPN - SILKORO/SUMMER (PKU)</t>
        </is>
      </c>
      <c r="AI5194" t="n">
        <v>357</v>
      </c>
      <c r="AJ5194" t="inlineStr">
        <is>
          <t>SILKORO</t>
        </is>
      </c>
      <c r="AK5194" t="n">
        <v>21</v>
      </c>
      <c r="AL5194" t="inlineStr">
        <is>
          <t>Miss Glam Damar</t>
        </is>
      </c>
      <c r="AM5194" t="n">
        <v>4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SILKORO</t>
        </is>
      </c>
      <c r="B5195" s="2">
        <f>"9555135303003"</f>
        <v/>
      </c>
      <c r="C5195" t="inlineStr">
        <is>
          <t>SILKORO Color Care Serum Merah 80ml</t>
        </is>
      </c>
      <c r="D5195" t="inlineStr">
        <is>
          <t>Miss Glam Damar</t>
        </is>
      </c>
      <c r="E5195" t="n">
        <v>0</v>
      </c>
      <c r="F5195" t="n">
        <v>0.182</v>
      </c>
      <c r="G5195" t="n">
        <v>1.82</v>
      </c>
      <c r="H5195" t="n">
        <v>5</v>
      </c>
      <c r="I5195" t="n">
        <v>6</v>
      </c>
      <c r="J5195" t="n">
        <v>3</v>
      </c>
      <c r="K5195" t="n">
        <v>6</v>
      </c>
      <c r="L5195" t="n">
        <v>25617</v>
      </c>
      <c r="M5195" t="n">
        <v>30000</v>
      </c>
      <c r="N5195" t="n">
        <v>91</v>
      </c>
      <c r="O5195" t="n">
        <v>0.91</v>
      </c>
      <c r="P5195" t="n">
        <v>1</v>
      </c>
      <c r="Q5195" t="n">
        <v>0.22</v>
      </c>
      <c r="R5195" t="n">
        <v>1</v>
      </c>
      <c r="S5195" t="n">
        <v>5460.000000000001</v>
      </c>
      <c r="T5195" t="n">
        <v>11</v>
      </c>
      <c r="U5195" t="n">
        <v>12</v>
      </c>
      <c r="V5195" t="n">
        <v>30</v>
      </c>
      <c r="W5195" t="n">
        <v>6</v>
      </c>
      <c r="X5195" t="n">
        <v>0</v>
      </c>
      <c r="Y5195" t="n">
        <v>1</v>
      </c>
      <c r="Z5195" t="n">
        <v>0</v>
      </c>
      <c r="AA5195" t="n">
        <v>1</v>
      </c>
      <c r="AB5195" t="n">
        <v>0</v>
      </c>
      <c r="AC5195" t="n">
        <v>0</v>
      </c>
      <c r="AD5195" t="n">
        <v>25617</v>
      </c>
      <c r="AE5195" t="n">
        <v>0</v>
      </c>
      <c r="AF5195" t="n">
        <v>13580</v>
      </c>
      <c r="AG5195" t="n">
        <v>3433</v>
      </c>
      <c r="AH5195" t="inlineStr">
        <is>
          <t>UD. WIRA JAYA SUKSES - NON PPN - SILKORO/SUMMER (PKU)</t>
        </is>
      </c>
      <c r="AI5195" t="n">
        <v>357</v>
      </c>
      <c r="AJ5195" t="inlineStr">
        <is>
          <t>SILKORO</t>
        </is>
      </c>
      <c r="AK5195" t="n">
        <v>21</v>
      </c>
      <c r="AL5195" t="inlineStr">
        <is>
          <t>Miss Glam Damar</t>
        </is>
      </c>
      <c r="AM5195" t="n">
        <v>4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SILKORO</t>
        </is>
      </c>
      <c r="B5196" s="2">
        <f>"9555135302990"</f>
        <v/>
      </c>
      <c r="C5196" t="inlineStr">
        <is>
          <t>SILKORO Color Care Serum Vitamin Rambut Biru 80 ml</t>
        </is>
      </c>
      <c r="D5196" t="inlineStr">
        <is>
          <t>Miss Glam Damar</t>
        </is>
      </c>
      <c r="E5196" t="n">
        <v>4</v>
      </c>
      <c r="F5196" t="n">
        <v>0.06370000000000001</v>
      </c>
      <c r="G5196" t="n">
        <v>0.91</v>
      </c>
      <c r="H5196" t="n">
        <v>5</v>
      </c>
      <c r="I5196" t="n">
        <v>6</v>
      </c>
      <c r="J5196" t="n">
        <v>3</v>
      </c>
      <c r="K5196" t="n">
        <v>0</v>
      </c>
      <c r="L5196" t="n">
        <v>25170</v>
      </c>
      <c r="M5196" t="n">
        <v>32500</v>
      </c>
      <c r="N5196" t="n">
        <v>91</v>
      </c>
      <c r="O5196" t="n">
        <v>0.91</v>
      </c>
      <c r="P5196" t="n">
        <v>1</v>
      </c>
      <c r="Q5196" t="n">
        <v>0.05</v>
      </c>
      <c r="R5196" t="n">
        <v>1</v>
      </c>
      <c r="S5196" t="n">
        <v>2070.25</v>
      </c>
      <c r="T5196" t="n">
        <v>6</v>
      </c>
      <c r="U5196" t="n">
        <v>7</v>
      </c>
      <c r="V5196" t="n">
        <v>30</v>
      </c>
      <c r="W5196" t="n">
        <v>2</v>
      </c>
      <c r="X5196" t="n">
        <v>62.79434850863422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13580</v>
      </c>
      <c r="AG5196" t="n">
        <v>3433</v>
      </c>
      <c r="AH5196" t="inlineStr">
        <is>
          <t>UD. WIRA JAYA SUKSES - NON PPN - SILKORO/SUMMER (PKU)</t>
        </is>
      </c>
      <c r="AI5196" t="n">
        <v>357</v>
      </c>
      <c r="AJ5196" t="inlineStr">
        <is>
          <t>SILKORO</t>
        </is>
      </c>
      <c r="AK5196" t="n">
        <v>21</v>
      </c>
      <c r="AL5196" t="inlineStr">
        <is>
          <t>Miss Glam Damar</t>
        </is>
      </c>
      <c r="AM5196" t="n">
        <v>4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SILKORO</t>
        </is>
      </c>
      <c r="B5197" s="2">
        <f>"9555135303812"</f>
        <v/>
      </c>
      <c r="C5197" t="inlineStr">
        <is>
          <t>SILKORO Color CareSerum Black Shine 80ml</t>
        </is>
      </c>
      <c r="D5197" t="inlineStr">
        <is>
          <t>Miss Glam Damar</t>
        </is>
      </c>
      <c r="E5197" t="n">
        <v>3</v>
      </c>
      <c r="F5197" t="n">
        <v>0.02</v>
      </c>
      <c r="G5197" t="n">
        <v>1</v>
      </c>
      <c r="H5197" t="n">
        <v>5</v>
      </c>
      <c r="I5197" t="n">
        <v>6</v>
      </c>
      <c r="J5197" t="n">
        <v>3</v>
      </c>
      <c r="K5197" t="n">
        <v>0</v>
      </c>
      <c r="L5197" t="n">
        <v>24500</v>
      </c>
      <c r="M5197" t="n">
        <v>32500</v>
      </c>
      <c r="N5197" t="n">
        <v>91</v>
      </c>
      <c r="O5197" t="n">
        <v>0.91</v>
      </c>
      <c r="P5197" t="n">
        <v>0</v>
      </c>
      <c r="Q5197" t="n">
        <v>0.02</v>
      </c>
      <c r="R5197" t="n">
        <v>1</v>
      </c>
      <c r="S5197" t="n">
        <v>650</v>
      </c>
      <c r="T5197" t="n">
        <v>6</v>
      </c>
      <c r="U5197" t="n">
        <v>7</v>
      </c>
      <c r="V5197" t="n">
        <v>30</v>
      </c>
      <c r="W5197" t="n">
        <v>1</v>
      </c>
      <c r="X5197" t="n">
        <v>150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13580</v>
      </c>
      <c r="AG5197" t="n">
        <v>3433</v>
      </c>
      <c r="AH5197" t="inlineStr">
        <is>
          <t>UD. WIRA JAYA SUKSES - NON PPN - SILKORO/SUMMER (PKU)</t>
        </is>
      </c>
      <c r="AI5197" t="n">
        <v>357</v>
      </c>
      <c r="AJ5197" t="inlineStr">
        <is>
          <t>SILKORO</t>
        </is>
      </c>
      <c r="AK5197" t="n">
        <v>21</v>
      </c>
      <c r="AL5197" t="inlineStr">
        <is>
          <t>Miss Glam Damar</t>
        </is>
      </c>
      <c r="AM5197" t="n">
        <v>4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SKIN AQUA</t>
        </is>
      </c>
      <c r="B5198" s="2">
        <f>"8992821103454"</f>
        <v/>
      </c>
      <c r="C5198" t="inlineStr">
        <is>
          <t>SKIN AQUA Lavender Tone Up UV Essence SPF 50+ Pa++++ 40gr</t>
        </is>
      </c>
      <c r="D5198" t="inlineStr">
        <is>
          <t>Miss Glam Damar</t>
        </is>
      </c>
      <c r="E5198" t="n">
        <v>6</v>
      </c>
      <c r="F5198" t="n">
        <v>0.3549</v>
      </c>
      <c r="G5198" t="n">
        <v>2.73</v>
      </c>
      <c r="H5198" t="n">
        <v>3</v>
      </c>
      <c r="I5198" t="n">
        <v>14</v>
      </c>
      <c r="J5198" t="n">
        <v>3</v>
      </c>
      <c r="K5198" t="n">
        <v>0</v>
      </c>
      <c r="L5198" t="n">
        <v>63487</v>
      </c>
      <c r="M5198" t="n">
        <v>74500</v>
      </c>
      <c r="N5198" t="n">
        <v>91</v>
      </c>
      <c r="O5198" t="n">
        <v>0.91</v>
      </c>
      <c r="P5198" t="n">
        <v>1</v>
      </c>
      <c r="Q5198" t="n">
        <v>0.19</v>
      </c>
      <c r="R5198" t="n">
        <v>1</v>
      </c>
      <c r="S5198" t="n">
        <v>26440.05</v>
      </c>
      <c r="T5198" t="n">
        <v>38</v>
      </c>
      <c r="U5198" t="n">
        <v>40</v>
      </c>
      <c r="V5198" t="n">
        <v>30</v>
      </c>
      <c r="W5198" t="n">
        <v>11</v>
      </c>
      <c r="X5198" t="n">
        <v>16.90617075232459</v>
      </c>
      <c r="Y5198" t="n">
        <v>1</v>
      </c>
      <c r="Z5198" t="n">
        <v>5</v>
      </c>
      <c r="AA5198" t="n">
        <v>0</v>
      </c>
      <c r="AB5198" t="n">
        <v>5</v>
      </c>
      <c r="AC5198" t="n">
        <v>5</v>
      </c>
      <c r="AD5198" t="n">
        <v>0</v>
      </c>
      <c r="AE5198" t="n">
        <v>317435</v>
      </c>
      <c r="AF5198" t="n">
        <v>11053</v>
      </c>
      <c r="AG5198" t="n">
        <v>33</v>
      </c>
      <c r="AH5198" t="inlineStr">
        <is>
          <t>PT. MENSA BINASUKSES - PPN (PDG)</t>
        </is>
      </c>
      <c r="AI5198" t="n">
        <v>302</v>
      </c>
      <c r="AJ5198" t="inlineStr">
        <is>
          <t>SKIN AQUA</t>
        </is>
      </c>
      <c r="AK5198" t="n">
        <v>21</v>
      </c>
      <c r="AL5198" t="inlineStr">
        <is>
          <t>Miss Glam Damar</t>
        </is>
      </c>
      <c r="AM5198" t="n">
        <v>3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SKIN AQUA</t>
        </is>
      </c>
      <c r="B5199" s="2">
        <f>"8992821104024"</f>
        <v/>
      </c>
      <c r="C5199" t="inlineStr">
        <is>
          <t>SKIN AQUA Sunscreen Serum Spf50+ 40gr</t>
        </is>
      </c>
      <c r="D5199" t="inlineStr">
        <is>
          <t>Miss Glam Damar</t>
        </is>
      </c>
      <c r="E5199" t="n">
        <v>1</v>
      </c>
      <c r="F5199" t="n">
        <v>0.0182</v>
      </c>
      <c r="G5199" t="n">
        <v>0.91</v>
      </c>
      <c r="H5199" t="n">
        <v>3</v>
      </c>
      <c r="I5199" t="n">
        <v>14</v>
      </c>
      <c r="J5199" t="n">
        <v>3</v>
      </c>
      <c r="K5199" t="n">
        <v>0</v>
      </c>
      <c r="L5199" t="n">
        <v>65534</v>
      </c>
      <c r="M5199" t="n">
        <v>77500</v>
      </c>
      <c r="N5199" t="n">
        <v>91</v>
      </c>
      <c r="O5199" t="n">
        <v>0.91</v>
      </c>
      <c r="P5199" t="n">
        <v>1</v>
      </c>
      <c r="Q5199" t="n">
        <v>0.03</v>
      </c>
      <c r="R5199" t="n">
        <v>1</v>
      </c>
      <c r="S5199" t="n">
        <v>1410.5</v>
      </c>
      <c r="T5199" t="n">
        <v>13</v>
      </c>
      <c r="U5199" t="n">
        <v>14</v>
      </c>
      <c r="V5199" t="n">
        <v>30</v>
      </c>
      <c r="W5199" t="n">
        <v>1</v>
      </c>
      <c r="X5199" t="n">
        <v>54.94505494505494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11053</v>
      </c>
      <c r="AG5199" t="n">
        <v>33</v>
      </c>
      <c r="AH5199" t="inlineStr">
        <is>
          <t>PT. MENSA BINASUKSES - PPN (PDG)</t>
        </is>
      </c>
      <c r="AI5199" t="n">
        <v>302</v>
      </c>
      <c r="AJ5199" t="inlineStr">
        <is>
          <t>SKIN AQUA</t>
        </is>
      </c>
      <c r="AK5199" t="n">
        <v>21</v>
      </c>
      <c r="AL5199" t="inlineStr">
        <is>
          <t>Miss Glam Damar</t>
        </is>
      </c>
      <c r="AM5199" t="n">
        <v>3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SKIN AQUA</t>
        </is>
      </c>
      <c r="B5200" s="2">
        <f>"10200319522"</f>
        <v/>
      </c>
      <c r="C5200" t="inlineStr">
        <is>
          <t>SKIN AQUA Super Moisture Barrier UV Essence 40gr</t>
        </is>
      </c>
      <c r="D5200" t="inlineStr">
        <is>
          <t>Miss Glam Damar</t>
        </is>
      </c>
      <c r="E5200" t="n">
        <v>15</v>
      </c>
      <c r="F5200" t="n">
        <v>0.0273</v>
      </c>
      <c r="G5200" t="n">
        <v>0.91</v>
      </c>
      <c r="H5200" t="n">
        <v>3</v>
      </c>
      <c r="I5200" t="n">
        <v>14</v>
      </c>
      <c r="J5200" t="n">
        <v>1</v>
      </c>
      <c r="K5200" t="n">
        <v>0</v>
      </c>
      <c r="L5200" t="n">
        <v>68993</v>
      </c>
      <c r="M5200" t="n">
        <v>84500</v>
      </c>
      <c r="N5200" t="n">
        <v>91</v>
      </c>
      <c r="O5200" t="n">
        <v>0.91</v>
      </c>
      <c r="P5200" t="n">
        <v>1</v>
      </c>
      <c r="Q5200" t="n">
        <v>0.03</v>
      </c>
      <c r="R5200" t="n">
        <v>3</v>
      </c>
      <c r="S5200" t="n">
        <v>2306.85</v>
      </c>
      <c r="T5200" t="n">
        <v>13</v>
      </c>
      <c r="U5200" t="n">
        <v>14</v>
      </c>
      <c r="V5200" t="n">
        <v>30</v>
      </c>
      <c r="W5200" t="n">
        <v>1</v>
      </c>
      <c r="X5200" t="n">
        <v>549.4505494505494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11053</v>
      </c>
      <c r="AG5200" t="n">
        <v>33</v>
      </c>
      <c r="AH5200" t="inlineStr">
        <is>
          <t>PT. MENSA BINASUKSES - PPN (PDG)</t>
        </is>
      </c>
      <c r="AI5200" t="n">
        <v>302</v>
      </c>
      <c r="AJ5200" t="inlineStr">
        <is>
          <t>SKIN AQUA</t>
        </is>
      </c>
      <c r="AK5200" t="n">
        <v>21</v>
      </c>
      <c r="AL5200" t="inlineStr">
        <is>
          <t>Miss Glam Damar</t>
        </is>
      </c>
      <c r="AM5200" t="n">
        <v>3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SKIN AQUA</t>
        </is>
      </c>
      <c r="B5201" s="2">
        <f>"10400617705"</f>
        <v/>
      </c>
      <c r="C5201" t="inlineStr">
        <is>
          <t>SKIN AQUA Tone Up Latte Beige 40gr</t>
        </is>
      </c>
      <c r="D5201" t="inlineStr">
        <is>
          <t>Miss Glam Damar</t>
        </is>
      </c>
      <c r="E5201" t="n">
        <v>4</v>
      </c>
      <c r="F5201" t="n">
        <v>0.04550000000000001</v>
      </c>
      <c r="G5201" t="n">
        <v>0.91</v>
      </c>
      <c r="H5201" t="n">
        <v>3</v>
      </c>
      <c r="I5201" t="n">
        <v>14</v>
      </c>
      <c r="J5201" t="n">
        <v>1</v>
      </c>
      <c r="K5201" t="n">
        <v>0</v>
      </c>
      <c r="L5201" t="n">
        <v>62258</v>
      </c>
      <c r="M5201" t="n">
        <v>76000</v>
      </c>
      <c r="N5201" t="n">
        <v>91</v>
      </c>
      <c r="O5201" t="n">
        <v>0.91</v>
      </c>
      <c r="P5201" t="n">
        <v>1</v>
      </c>
      <c r="Q5201" t="n">
        <v>0.05</v>
      </c>
      <c r="R5201" t="n">
        <v>1</v>
      </c>
      <c r="S5201" t="n">
        <v>3458</v>
      </c>
      <c r="T5201" t="n">
        <v>13</v>
      </c>
      <c r="U5201" t="n">
        <v>14</v>
      </c>
      <c r="V5201" t="n">
        <v>30</v>
      </c>
      <c r="W5201" t="n">
        <v>2</v>
      </c>
      <c r="X5201" t="n">
        <v>87.9120879120879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11053</v>
      </c>
      <c r="AG5201" t="n">
        <v>33</v>
      </c>
      <c r="AH5201" t="inlineStr">
        <is>
          <t>PT. MENSA BINASUKSES - PPN (PDG)</t>
        </is>
      </c>
      <c r="AI5201" t="n">
        <v>302</v>
      </c>
      <c r="AJ5201" t="inlineStr">
        <is>
          <t>SKIN AQUA</t>
        </is>
      </c>
      <c r="AK5201" t="n">
        <v>21</v>
      </c>
      <c r="AL5201" t="inlineStr">
        <is>
          <t>Miss Glam Damar</t>
        </is>
      </c>
      <c r="AM5201" t="n">
        <v>3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SKIN AQUA</t>
        </is>
      </c>
      <c r="B5202" s="2">
        <f>"10400617603"</f>
        <v/>
      </c>
      <c r="C5202" t="inlineStr">
        <is>
          <t>SKIN AQUA Tone Up Rose 40gr</t>
        </is>
      </c>
      <c r="D5202" t="inlineStr">
        <is>
          <t>Miss Glam Damar</t>
        </is>
      </c>
      <c r="E5202" t="n">
        <v>10</v>
      </c>
      <c r="F5202" t="n">
        <v>0.1274</v>
      </c>
      <c r="G5202" t="n">
        <v>0.91</v>
      </c>
      <c r="H5202" t="n">
        <v>3</v>
      </c>
      <c r="I5202" t="n">
        <v>14</v>
      </c>
      <c r="J5202" t="n">
        <v>1</v>
      </c>
      <c r="K5202" t="n">
        <v>0</v>
      </c>
      <c r="L5202" t="n">
        <v>62258</v>
      </c>
      <c r="M5202" t="n">
        <v>76000</v>
      </c>
      <c r="N5202" t="n">
        <v>91</v>
      </c>
      <c r="O5202" t="n">
        <v>0.91</v>
      </c>
      <c r="P5202" t="n">
        <v>1</v>
      </c>
      <c r="Q5202" t="n">
        <v>0.12</v>
      </c>
      <c r="R5202" t="n">
        <v>1</v>
      </c>
      <c r="S5202" t="n">
        <v>9682.400000000001</v>
      </c>
      <c r="T5202" t="n">
        <v>13</v>
      </c>
      <c r="U5202" t="n">
        <v>14</v>
      </c>
      <c r="V5202" t="n">
        <v>30</v>
      </c>
      <c r="W5202" t="n">
        <v>4</v>
      </c>
      <c r="X5202" t="n">
        <v>78.49293563579278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11053</v>
      </c>
      <c r="AG5202" t="n">
        <v>33</v>
      </c>
      <c r="AH5202" t="inlineStr">
        <is>
          <t>PT. MENSA BINASUKSES - PPN (PDG)</t>
        </is>
      </c>
      <c r="AI5202" t="n">
        <v>302</v>
      </c>
      <c r="AJ5202" t="inlineStr">
        <is>
          <t>SKIN AQUA</t>
        </is>
      </c>
      <c r="AK5202" t="n">
        <v>21</v>
      </c>
      <c r="AL5202" t="inlineStr">
        <is>
          <t>Miss Glam Damar</t>
        </is>
      </c>
      <c r="AM5202" t="n">
        <v>3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SKIN AQUA</t>
        </is>
      </c>
      <c r="B5203" s="2">
        <f>"8992821103683"</f>
        <v/>
      </c>
      <c r="C5203" t="inlineStr">
        <is>
          <t>SKIN AQUA Tone Up UV Essences Mint Green SPF 50+ PA++++</t>
        </is>
      </c>
      <c r="D5203" t="inlineStr">
        <is>
          <t>Miss Glam Damar</t>
        </is>
      </c>
      <c r="E5203" t="n">
        <v>9</v>
      </c>
      <c r="F5203" t="n">
        <v>0.1365</v>
      </c>
      <c r="G5203" t="n">
        <v>1.82</v>
      </c>
      <c r="H5203" t="n">
        <v>3</v>
      </c>
      <c r="I5203" t="n">
        <v>14</v>
      </c>
      <c r="J5203" t="n">
        <v>3</v>
      </c>
      <c r="K5203" t="n">
        <v>0</v>
      </c>
      <c r="L5203" t="n">
        <v>63487</v>
      </c>
      <c r="M5203" t="n">
        <v>74500</v>
      </c>
      <c r="N5203" t="n">
        <v>91</v>
      </c>
      <c r="O5203" t="n">
        <v>0.91</v>
      </c>
      <c r="P5203" t="n">
        <v>1</v>
      </c>
      <c r="Q5203" t="n">
        <v>0.12</v>
      </c>
      <c r="R5203" t="n">
        <v>3</v>
      </c>
      <c r="S5203" t="n">
        <v>10169.25</v>
      </c>
      <c r="T5203" t="n">
        <v>26</v>
      </c>
      <c r="U5203" t="n">
        <v>27</v>
      </c>
      <c r="V5203" t="n">
        <v>30</v>
      </c>
      <c r="W5203" t="n">
        <v>5</v>
      </c>
      <c r="X5203" t="n">
        <v>65.93406593406593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11053</v>
      </c>
      <c r="AG5203" t="n">
        <v>33</v>
      </c>
      <c r="AH5203" t="inlineStr">
        <is>
          <t>PT. MENSA BINASUKSES - PPN (PDG)</t>
        </is>
      </c>
      <c r="AI5203" t="n">
        <v>302</v>
      </c>
      <c r="AJ5203" t="inlineStr">
        <is>
          <t>SKIN AQUA</t>
        </is>
      </c>
      <c r="AK5203" t="n">
        <v>21</v>
      </c>
      <c r="AL5203" t="inlineStr">
        <is>
          <t>Miss Glam Damar</t>
        </is>
      </c>
      <c r="AM5203" t="n">
        <v>3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SKIN AQUA</t>
        </is>
      </c>
      <c r="B5204" s="2">
        <f>"8992821101290"</f>
        <v/>
      </c>
      <c r="C5204" t="inlineStr">
        <is>
          <t>SKIN AQUA UV Mild Milk SPF 25 40gr</t>
        </is>
      </c>
      <c r="D5204" t="inlineStr">
        <is>
          <t>Miss Glam Damar</t>
        </is>
      </c>
      <c r="E5204" t="n">
        <v>27</v>
      </c>
      <c r="F5204" t="n">
        <v>0.4277</v>
      </c>
      <c r="G5204" t="n">
        <v>1.82</v>
      </c>
      <c r="H5204" t="n">
        <v>3</v>
      </c>
      <c r="I5204" t="n">
        <v>14</v>
      </c>
      <c r="J5204" t="n">
        <v>3</v>
      </c>
      <c r="K5204" t="n">
        <v>0</v>
      </c>
      <c r="L5204" t="n">
        <v>50789</v>
      </c>
      <c r="M5204" t="n">
        <v>59500</v>
      </c>
      <c r="N5204" t="n">
        <v>91</v>
      </c>
      <c r="O5204" t="n">
        <v>0.91</v>
      </c>
      <c r="P5204" t="n">
        <v>1</v>
      </c>
      <c r="Q5204" t="n">
        <v>0.36</v>
      </c>
      <c r="R5204" t="n">
        <v>2</v>
      </c>
      <c r="S5204" t="n">
        <v>25448.15</v>
      </c>
      <c r="T5204" t="n">
        <v>25</v>
      </c>
      <c r="U5204" t="n">
        <v>27</v>
      </c>
      <c r="V5204" t="n">
        <v>30</v>
      </c>
      <c r="W5204" t="n">
        <v>13</v>
      </c>
      <c r="X5204" t="n">
        <v>63.12836100070143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11053</v>
      </c>
      <c r="AG5204" t="n">
        <v>33</v>
      </c>
      <c r="AH5204" t="inlineStr">
        <is>
          <t>PT. MENSA BINASUKSES - PPN (PDG)</t>
        </is>
      </c>
      <c r="AI5204" t="n">
        <v>302</v>
      </c>
      <c r="AJ5204" t="inlineStr">
        <is>
          <t>SKIN AQUA</t>
        </is>
      </c>
      <c r="AK5204" t="n">
        <v>21</v>
      </c>
      <c r="AL5204" t="inlineStr">
        <is>
          <t>Miss Glam Damar</t>
        </is>
      </c>
      <c r="AM5204" t="n">
        <v>3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SKIN AQUA</t>
        </is>
      </c>
      <c r="B5205" s="2">
        <f>"8992821103942"</f>
        <v/>
      </c>
      <c r="C5205" t="inlineStr">
        <is>
          <t>SKIN AQUA UV Mist Light &amp; Moisture 40gr</t>
        </is>
      </c>
      <c r="D5205" t="inlineStr">
        <is>
          <t>Miss Glam Damar</t>
        </is>
      </c>
      <c r="E5205" t="n">
        <v>2</v>
      </c>
      <c r="F5205" t="n">
        <v>0.0273</v>
      </c>
      <c r="G5205" t="n">
        <v>0.91</v>
      </c>
      <c r="H5205" t="n">
        <v>3</v>
      </c>
      <c r="I5205" t="n">
        <v>14</v>
      </c>
      <c r="J5205" t="n">
        <v>3</v>
      </c>
      <c r="K5205" t="n">
        <v>0</v>
      </c>
      <c r="L5205" t="n">
        <v>65534</v>
      </c>
      <c r="M5205" t="n">
        <v>79000</v>
      </c>
      <c r="N5205" t="n">
        <v>91</v>
      </c>
      <c r="O5205" t="n">
        <v>0.91</v>
      </c>
      <c r="P5205" t="n">
        <v>1</v>
      </c>
      <c r="Q5205" t="n">
        <v>0.05</v>
      </c>
      <c r="R5205" t="n">
        <v>1</v>
      </c>
      <c r="S5205" t="n">
        <v>2156.7</v>
      </c>
      <c r="T5205" t="n">
        <v>13</v>
      </c>
      <c r="U5205" t="n">
        <v>14</v>
      </c>
      <c r="V5205" t="n">
        <v>30</v>
      </c>
      <c r="W5205" t="n">
        <v>1</v>
      </c>
      <c r="X5205" t="n">
        <v>73.26007326007326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11053</v>
      </c>
      <c r="AG5205" t="n">
        <v>33</v>
      </c>
      <c r="AH5205" t="inlineStr">
        <is>
          <t>PT. MENSA BINASUKSES - PPN (PDG)</t>
        </is>
      </c>
      <c r="AI5205" t="n">
        <v>302</v>
      </c>
      <c r="AJ5205" t="inlineStr">
        <is>
          <t>SKIN AQUA</t>
        </is>
      </c>
      <c r="AK5205" t="n">
        <v>21</v>
      </c>
      <c r="AL5205" t="inlineStr">
        <is>
          <t>Miss Glam Damar</t>
        </is>
      </c>
      <c r="AM5205" t="n">
        <v>3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SKIN AQUA</t>
        </is>
      </c>
      <c r="B5206" s="2">
        <f>"8992821101276"</f>
        <v/>
      </c>
      <c r="C5206" t="inlineStr">
        <is>
          <t>SKIN AQUA UV Moisture Gel SPF 30 40gr</t>
        </is>
      </c>
      <c r="D5206" t="inlineStr">
        <is>
          <t>Miss Glam Damar</t>
        </is>
      </c>
      <c r="E5206" t="n">
        <v>11</v>
      </c>
      <c r="F5206" t="n">
        <v>0.8827</v>
      </c>
      <c r="G5206" t="n">
        <v>2.73</v>
      </c>
      <c r="H5206" t="n">
        <v>3</v>
      </c>
      <c r="I5206" t="n">
        <v>14</v>
      </c>
      <c r="J5206" t="n">
        <v>3</v>
      </c>
      <c r="K5206" t="n">
        <v>0</v>
      </c>
      <c r="L5206" t="n">
        <v>50789</v>
      </c>
      <c r="M5206" t="n">
        <v>59000</v>
      </c>
      <c r="N5206" t="n">
        <v>91</v>
      </c>
      <c r="O5206" t="n">
        <v>0.91</v>
      </c>
      <c r="P5206" t="n">
        <v>1</v>
      </c>
      <c r="Q5206" t="n">
        <v>0.78</v>
      </c>
      <c r="R5206" t="n">
        <v>3</v>
      </c>
      <c r="S5206" t="n">
        <v>52079.3</v>
      </c>
      <c r="T5206" t="n">
        <v>36</v>
      </c>
      <c r="U5206" t="n">
        <v>39</v>
      </c>
      <c r="V5206" t="n">
        <v>30</v>
      </c>
      <c r="W5206" t="n">
        <v>27</v>
      </c>
      <c r="X5206" t="n">
        <v>12.46176503908463</v>
      </c>
      <c r="Y5206" t="n">
        <v>1</v>
      </c>
      <c r="Z5206" t="n">
        <v>16</v>
      </c>
      <c r="AA5206" t="n">
        <v>2</v>
      </c>
      <c r="AB5206" t="n">
        <v>14</v>
      </c>
      <c r="AC5206" t="n">
        <v>14</v>
      </c>
      <c r="AD5206" t="n">
        <v>101578</v>
      </c>
      <c r="AE5206" t="n">
        <v>711046</v>
      </c>
      <c r="AF5206" t="n">
        <v>11053</v>
      </c>
      <c r="AG5206" t="n">
        <v>33</v>
      </c>
      <c r="AH5206" t="inlineStr">
        <is>
          <t>PT. MENSA BINASUKSES - PPN (PDG)</t>
        </is>
      </c>
      <c r="AI5206" t="n">
        <v>302</v>
      </c>
      <c r="AJ5206" t="inlineStr">
        <is>
          <t>SKIN AQUA</t>
        </is>
      </c>
      <c r="AK5206" t="n">
        <v>21</v>
      </c>
      <c r="AL5206" t="inlineStr">
        <is>
          <t>Miss Glam Damar</t>
        </is>
      </c>
      <c r="AM5206" t="n">
        <v>3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SKIN AQUA</t>
        </is>
      </c>
      <c r="B5207" s="2">
        <f>"8992821101283"</f>
        <v/>
      </c>
      <c r="C5207" t="inlineStr">
        <is>
          <t>SKIN AQUA Uv Moisture Milk Spf 50 40gr</t>
        </is>
      </c>
      <c r="D5207" t="inlineStr">
        <is>
          <t>Miss Glam Damar</t>
        </is>
      </c>
      <c r="E5207" t="n">
        <v>18</v>
      </c>
      <c r="F5207" t="n">
        <v>1.8018</v>
      </c>
      <c r="G5207" t="n">
        <v>6.37</v>
      </c>
      <c r="H5207" t="n">
        <v>3</v>
      </c>
      <c r="I5207" t="n">
        <v>14</v>
      </c>
      <c r="J5207" t="n">
        <v>3</v>
      </c>
      <c r="K5207" t="n">
        <v>0</v>
      </c>
      <c r="L5207" t="n">
        <v>50789</v>
      </c>
      <c r="M5207" t="n">
        <v>59000</v>
      </c>
      <c r="N5207" t="n">
        <v>91</v>
      </c>
      <c r="O5207" t="n">
        <v>0.91</v>
      </c>
      <c r="P5207" t="n">
        <v>1</v>
      </c>
      <c r="Q5207" t="n">
        <v>1.29</v>
      </c>
      <c r="R5207" t="n">
        <v>7</v>
      </c>
      <c r="S5207" t="n">
        <v>106306.2</v>
      </c>
      <c r="T5207" t="n">
        <v>84</v>
      </c>
      <c r="U5207" t="n">
        <v>90</v>
      </c>
      <c r="V5207" t="n">
        <v>30</v>
      </c>
      <c r="W5207" t="n">
        <v>55</v>
      </c>
      <c r="X5207" t="n">
        <v>9.990009990009989</v>
      </c>
      <c r="Y5207" t="n">
        <v>1</v>
      </c>
      <c r="Z5207" t="n">
        <v>37</v>
      </c>
      <c r="AA5207" t="n">
        <v>8</v>
      </c>
      <c r="AB5207" t="n">
        <v>29</v>
      </c>
      <c r="AC5207" t="n">
        <v>29</v>
      </c>
      <c r="AD5207" t="n">
        <v>406312</v>
      </c>
      <c r="AE5207" t="n">
        <v>1472881</v>
      </c>
      <c r="AF5207" t="n">
        <v>11053</v>
      </c>
      <c r="AG5207" t="n">
        <v>33</v>
      </c>
      <c r="AH5207" t="inlineStr">
        <is>
          <t>PT. MENSA BINASUKSES - PPN (PDG)</t>
        </is>
      </c>
      <c r="AI5207" t="n">
        <v>302</v>
      </c>
      <c r="AJ5207" t="inlineStr">
        <is>
          <t>SKIN AQUA</t>
        </is>
      </c>
      <c r="AK5207" t="n">
        <v>21</v>
      </c>
      <c r="AL5207" t="inlineStr">
        <is>
          <t>Miss Glam Damar</t>
        </is>
      </c>
      <c r="AM5207" t="n">
        <v>3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SKIN AQUA</t>
        </is>
      </c>
      <c r="B5208" s="2">
        <f>"8992821101306"</f>
        <v/>
      </c>
      <c r="C5208" t="inlineStr">
        <is>
          <t>SKIN AQUA UV Whitening Milk SPF 50 PA++++ 40gr</t>
        </is>
      </c>
      <c r="D5208" t="inlineStr">
        <is>
          <t>Miss Glam Damar</t>
        </is>
      </c>
      <c r="E5208" t="n">
        <v>84</v>
      </c>
      <c r="F5208" t="n">
        <v>8.3629</v>
      </c>
      <c r="G5208" t="n">
        <v>18.2</v>
      </c>
      <c r="H5208" t="n">
        <v>3</v>
      </c>
      <c r="I5208" t="n">
        <v>14</v>
      </c>
      <c r="J5208" t="n">
        <v>3</v>
      </c>
      <c r="K5208" t="n">
        <v>0</v>
      </c>
      <c r="L5208" t="n">
        <v>50789</v>
      </c>
      <c r="M5208" t="n">
        <v>56500</v>
      </c>
      <c r="N5208" t="n">
        <v>91</v>
      </c>
      <c r="O5208" t="n">
        <v>0.91</v>
      </c>
      <c r="P5208" t="n">
        <v>1</v>
      </c>
      <c r="Q5208" t="n">
        <v>5.03</v>
      </c>
      <c r="R5208" t="n">
        <v>16</v>
      </c>
      <c r="S5208" t="n">
        <v>472503.85</v>
      </c>
      <c r="T5208" t="n">
        <v>230</v>
      </c>
      <c r="U5208" t="n">
        <v>256</v>
      </c>
      <c r="V5208" t="n">
        <v>30</v>
      </c>
      <c r="W5208" t="n">
        <v>251</v>
      </c>
      <c r="X5208" t="n">
        <v>10.04436260148991</v>
      </c>
      <c r="Y5208" t="n">
        <v>1</v>
      </c>
      <c r="Z5208" t="n">
        <v>167</v>
      </c>
      <c r="AA5208" t="n">
        <v>34</v>
      </c>
      <c r="AB5208" t="n">
        <v>133</v>
      </c>
      <c r="AC5208" t="n">
        <v>133</v>
      </c>
      <c r="AD5208" t="n">
        <v>1726826</v>
      </c>
      <c r="AE5208" t="n">
        <v>6754937</v>
      </c>
      <c r="AF5208" t="n">
        <v>11053</v>
      </c>
      <c r="AG5208" t="n">
        <v>33</v>
      </c>
      <c r="AH5208" t="inlineStr">
        <is>
          <t>PT. MENSA BINASUKSES - PPN (PDG)</t>
        </is>
      </c>
      <c r="AI5208" t="n">
        <v>302</v>
      </c>
      <c r="AJ5208" t="inlineStr">
        <is>
          <t>SKIN AQUA</t>
        </is>
      </c>
      <c r="AK5208" t="n">
        <v>21</v>
      </c>
      <c r="AL5208" t="inlineStr">
        <is>
          <t>Miss Glam Damar</t>
        </is>
      </c>
      <c r="AM5208" t="n">
        <v>3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SKIN GAME</t>
        </is>
      </c>
      <c r="B5209" s="2">
        <f>"8994451150044"</f>
        <v/>
      </c>
      <c r="C5209" t="inlineStr">
        <is>
          <t>SKIN GAME Kind Hydrating Facial Wash 100ml</t>
        </is>
      </c>
      <c r="D5209" t="inlineStr">
        <is>
          <t>Miss Glam Damar</t>
        </is>
      </c>
      <c r="E5209" t="n">
        <v>1</v>
      </c>
      <c r="F5209" t="n">
        <v>0.05</v>
      </c>
      <c r="G5209" t="n">
        <v>1</v>
      </c>
      <c r="H5209" t="n">
        <v>4</v>
      </c>
      <c r="I5209" t="n">
        <v>21</v>
      </c>
      <c r="J5209" t="n">
        <v>3</v>
      </c>
      <c r="K5209" t="n">
        <v>0</v>
      </c>
      <c r="L5209" t="n">
        <v>96600</v>
      </c>
      <c r="M5209" t="n">
        <v>128000</v>
      </c>
      <c r="N5209" t="n">
        <v>91</v>
      </c>
      <c r="O5209" t="n">
        <v>0.91</v>
      </c>
      <c r="P5209" t="n">
        <v>0</v>
      </c>
      <c r="Q5209" t="n">
        <v>0.05</v>
      </c>
      <c r="R5209" t="n">
        <v>1</v>
      </c>
      <c r="S5209" t="n">
        <v>6400</v>
      </c>
      <c r="T5209" t="n">
        <v>21</v>
      </c>
      <c r="U5209" t="n">
        <v>22</v>
      </c>
      <c r="V5209" t="n">
        <v>30</v>
      </c>
      <c r="W5209" t="n">
        <v>2</v>
      </c>
      <c r="X5209" t="n">
        <v>20</v>
      </c>
      <c r="Y5209" t="n">
        <v>1</v>
      </c>
      <c r="Z5209" t="n">
        <v>1</v>
      </c>
      <c r="AA5209" t="n">
        <v>1</v>
      </c>
      <c r="AB5209" t="n">
        <v>0</v>
      </c>
      <c r="AC5209" t="n">
        <v>0</v>
      </c>
      <c r="AD5209" t="n">
        <v>96600</v>
      </c>
      <c r="AE5209" t="n">
        <v>0</v>
      </c>
      <c r="AF5209" t="n">
        <v>8486</v>
      </c>
      <c r="AG5209" t="n">
        <v>1</v>
      </c>
      <c r="AH5209" t="inlineStr">
        <is>
          <t>PT. BERSAMA DISTRIVERSA INDONESIA (DC CIPUTAT)</t>
        </is>
      </c>
      <c r="AI5209" t="n">
        <v>315</v>
      </c>
      <c r="AJ5209" t="inlineStr">
        <is>
          <t>SKIN GAME</t>
        </is>
      </c>
      <c r="AK5209" t="n">
        <v>21</v>
      </c>
      <c r="AL5209" t="inlineStr">
        <is>
          <t>Miss Glam Damar</t>
        </is>
      </c>
      <c r="AM5209" t="n">
        <v>4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SKIN SANE</t>
        </is>
      </c>
      <c r="B5210" s="2">
        <f>"30200416004"</f>
        <v/>
      </c>
      <c r="C5210" t="inlineStr">
        <is>
          <t>SKIN SANE Body Serum Playing At The Garden 250ml</t>
        </is>
      </c>
      <c r="D5210" t="inlineStr">
        <is>
          <t>Miss Glam Damar</t>
        </is>
      </c>
      <c r="E5210" t="n">
        <v>6</v>
      </c>
      <c r="F5210" t="n">
        <v>0.0182</v>
      </c>
      <c r="G5210" t="n">
        <v>0.91</v>
      </c>
      <c r="H5210" t="n">
        <v>2</v>
      </c>
      <c r="I5210" t="n">
        <v>4</v>
      </c>
      <c r="J5210" t="n">
        <v>3</v>
      </c>
      <c r="K5210" t="n">
        <v>0</v>
      </c>
      <c r="L5210" t="n">
        <v>55200</v>
      </c>
      <c r="M5210" t="n">
        <v>69000</v>
      </c>
      <c r="N5210" t="n">
        <v>91</v>
      </c>
      <c r="O5210" t="n">
        <v>0.91</v>
      </c>
      <c r="P5210" t="n">
        <v>1</v>
      </c>
      <c r="Q5210" t="n">
        <v>0.02</v>
      </c>
      <c r="R5210" t="n">
        <v>1</v>
      </c>
      <c r="S5210" t="n">
        <v>1255.8</v>
      </c>
      <c r="T5210" t="n">
        <v>4</v>
      </c>
      <c r="U5210" t="n">
        <v>5</v>
      </c>
      <c r="V5210" t="n">
        <v>30</v>
      </c>
      <c r="W5210" t="n">
        <v>1</v>
      </c>
      <c r="X5210" t="n">
        <v>329.6703296703296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13425</v>
      </c>
      <c r="AG5210" t="n">
        <v>2217</v>
      </c>
      <c r="AH5210" t="inlineStr">
        <is>
          <t>SR12 (PST)</t>
        </is>
      </c>
      <c r="AI5210" t="n">
        <v>1734</v>
      </c>
      <c r="AJ5210" t="inlineStr">
        <is>
          <t>SKIN SANE</t>
        </is>
      </c>
      <c r="AK5210" t="n">
        <v>21</v>
      </c>
      <c r="AL5210" t="inlineStr">
        <is>
          <t>Miss Glam Damar</t>
        </is>
      </c>
      <c r="AM5210" t="n">
        <v>4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SKIN SANE</t>
        </is>
      </c>
      <c r="B5211" s="2">
        <f>"30200415854"</f>
        <v/>
      </c>
      <c r="C5211" t="inlineStr">
        <is>
          <t>SKIN SANE Body Serum Sweet Berry Crush 250ml</t>
        </is>
      </c>
      <c r="D5211" t="inlineStr">
        <is>
          <t>Miss Glam Damar</t>
        </is>
      </c>
      <c r="E5211" t="n">
        <v>5</v>
      </c>
      <c r="F5211" t="n">
        <v>0.09100000000000001</v>
      </c>
      <c r="G5211" t="n">
        <v>1.82</v>
      </c>
      <c r="H5211" t="n">
        <v>2</v>
      </c>
      <c r="I5211" t="n">
        <v>4</v>
      </c>
      <c r="J5211" t="n">
        <v>3</v>
      </c>
      <c r="K5211" t="n">
        <v>0</v>
      </c>
      <c r="L5211" t="n">
        <v>55200</v>
      </c>
      <c r="M5211" t="n">
        <v>69000</v>
      </c>
      <c r="N5211" t="n">
        <v>91</v>
      </c>
      <c r="O5211" t="n">
        <v>0.91</v>
      </c>
      <c r="P5211" t="n">
        <v>1</v>
      </c>
      <c r="Q5211" t="n">
        <v>0.07000000000000001</v>
      </c>
      <c r="R5211" t="n">
        <v>1</v>
      </c>
      <c r="S5211" t="n">
        <v>6279.000000000001</v>
      </c>
      <c r="T5211" t="n">
        <v>8</v>
      </c>
      <c r="U5211" t="n">
        <v>9</v>
      </c>
      <c r="V5211" t="n">
        <v>30</v>
      </c>
      <c r="W5211" t="n">
        <v>3</v>
      </c>
      <c r="X5211" t="n">
        <v>54.94505494505494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13425</v>
      </c>
      <c r="AG5211" t="n">
        <v>2217</v>
      </c>
      <c r="AH5211" t="inlineStr">
        <is>
          <t>SR12 (PST)</t>
        </is>
      </c>
      <c r="AI5211" t="n">
        <v>1734</v>
      </c>
      <c r="AJ5211" t="inlineStr">
        <is>
          <t>SKIN SANE</t>
        </is>
      </c>
      <c r="AK5211" t="n">
        <v>21</v>
      </c>
      <c r="AL5211" t="inlineStr">
        <is>
          <t>Miss Glam Damar</t>
        </is>
      </c>
      <c r="AM5211" t="n">
        <v>4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SKIN1004</t>
        </is>
      </c>
      <c r="B5212" s="2">
        <f>"8809576261608"</f>
        <v/>
      </c>
      <c r="C5212" t="inlineStr">
        <is>
          <t>SKIN1004 Madagascar Centella Air-Fit Suncream Light Spf 30 50ml</t>
        </is>
      </c>
      <c r="D5212" t="inlineStr">
        <is>
          <t>Miss Glam Damar</t>
        </is>
      </c>
      <c r="E5212" t="n">
        <v>0</v>
      </c>
      <c r="F5212" t="n">
        <v>0.05</v>
      </c>
      <c r="G5212" t="n">
        <v>1</v>
      </c>
      <c r="H5212" t="n">
        <v>4</v>
      </c>
      <c r="I5212" t="n">
        <v>21</v>
      </c>
      <c r="J5212" t="n">
        <v>3</v>
      </c>
      <c r="K5212" t="n">
        <v>0</v>
      </c>
      <c r="L5212" t="n">
        <v>103000</v>
      </c>
      <c r="M5212" t="n">
        <v>155000</v>
      </c>
      <c r="N5212" t="n">
        <v>91</v>
      </c>
      <c r="O5212" t="n">
        <v>0.91</v>
      </c>
      <c r="P5212" t="n">
        <v>0</v>
      </c>
      <c r="Q5212" t="n">
        <v>0.05</v>
      </c>
      <c r="R5212" t="n">
        <v>1</v>
      </c>
      <c r="S5212" t="n">
        <v>7750</v>
      </c>
      <c r="T5212" t="n">
        <v>21</v>
      </c>
      <c r="U5212" t="n">
        <v>22</v>
      </c>
      <c r="V5212" t="n">
        <v>30</v>
      </c>
      <c r="W5212" t="n">
        <v>2</v>
      </c>
      <c r="X5212" t="n">
        <v>0</v>
      </c>
      <c r="Y5212" t="n">
        <v>1</v>
      </c>
      <c r="Z5212" t="n">
        <v>2</v>
      </c>
      <c r="AA5212" t="n">
        <v>2</v>
      </c>
      <c r="AB5212" t="n">
        <v>0</v>
      </c>
      <c r="AC5212" t="n">
        <v>0</v>
      </c>
      <c r="AD5212" t="n">
        <v>206000</v>
      </c>
      <c r="AE5212" t="n">
        <v>0</v>
      </c>
      <c r="AF5212" t="n">
        <v>8519</v>
      </c>
      <c r="AG5212" t="n">
        <v>1</v>
      </c>
      <c r="AH5212" t="inlineStr">
        <is>
          <t>PT. BERSAMA DISTRIVERSA INDONESIA (DC CIPUTAT)</t>
        </is>
      </c>
      <c r="AI5212" t="n">
        <v>2098</v>
      </c>
      <c r="AJ5212" t="inlineStr">
        <is>
          <t>SKIN1004</t>
        </is>
      </c>
      <c r="AK5212" t="n">
        <v>21</v>
      </c>
      <c r="AL5212" t="inlineStr">
        <is>
          <t>Miss Glam Damar</t>
        </is>
      </c>
      <c r="AM5212" t="n">
        <v>1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SKIN1004</t>
        </is>
      </c>
      <c r="B5213" s="2">
        <f>"8809576261301"</f>
        <v/>
      </c>
      <c r="C5213" t="inlineStr">
        <is>
          <t>SKIN1004 Madagascar Centella Air-Fit Suncream Plus 50+ PA+++ 50ml</t>
        </is>
      </c>
      <c r="D5213" t="inlineStr">
        <is>
          <t>Miss Glam Damar</t>
        </is>
      </c>
      <c r="E5213" t="n">
        <v>5</v>
      </c>
      <c r="F5213" t="n">
        <v>0.0546</v>
      </c>
      <c r="G5213" t="n">
        <v>1.82</v>
      </c>
      <c r="H5213" t="n">
        <v>4</v>
      </c>
      <c r="I5213" t="n">
        <v>21</v>
      </c>
      <c r="J5213" t="n">
        <v>3</v>
      </c>
      <c r="K5213" t="n">
        <v>0</v>
      </c>
      <c r="L5213" t="n">
        <v>102485</v>
      </c>
      <c r="M5213" t="n">
        <v>183000</v>
      </c>
      <c r="N5213" t="n">
        <v>91</v>
      </c>
      <c r="O5213" t="n">
        <v>0.91</v>
      </c>
      <c r="P5213" t="n">
        <v>1</v>
      </c>
      <c r="Q5213" t="n">
        <v>0.1</v>
      </c>
      <c r="R5213" t="n">
        <v>2</v>
      </c>
      <c r="S5213" t="n">
        <v>9991.800000000001</v>
      </c>
      <c r="T5213" t="n">
        <v>39</v>
      </c>
      <c r="U5213" t="n">
        <v>40</v>
      </c>
      <c r="V5213" t="n">
        <v>30</v>
      </c>
      <c r="W5213" t="n">
        <v>2</v>
      </c>
      <c r="X5213" t="n">
        <v>91.57509157509158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8519</v>
      </c>
      <c r="AG5213" t="n">
        <v>1</v>
      </c>
      <c r="AH5213" t="inlineStr">
        <is>
          <t>PT. BERSAMA DISTRIVERSA INDONESIA (DC CIPUTAT)</t>
        </is>
      </c>
      <c r="AI5213" t="n">
        <v>2098</v>
      </c>
      <c r="AJ5213" t="inlineStr">
        <is>
          <t>SKIN1004</t>
        </is>
      </c>
      <c r="AK5213" t="n">
        <v>21</v>
      </c>
      <c r="AL5213" t="inlineStr">
        <is>
          <t>Miss Glam Damar</t>
        </is>
      </c>
      <c r="AM5213" t="n">
        <v>1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SKIN1004</t>
        </is>
      </c>
      <c r="B5214" s="2">
        <f>"8809576260663"</f>
        <v/>
      </c>
      <c r="C5214" t="inlineStr">
        <is>
          <t>SKIN1004 Madagascar Centella Ampoule 100ml</t>
        </is>
      </c>
      <c r="D5214" t="inlineStr">
        <is>
          <t>Miss Glam Damar</t>
        </is>
      </c>
      <c r="E5214" t="n">
        <v>18</v>
      </c>
      <c r="F5214" t="n">
        <v>0.05</v>
      </c>
      <c r="G5214" t="n">
        <v>1</v>
      </c>
      <c r="H5214" t="n">
        <v>4</v>
      </c>
      <c r="I5214" t="n">
        <v>21</v>
      </c>
      <c r="J5214" t="n">
        <v>3</v>
      </c>
      <c r="K5214" t="n">
        <v>0</v>
      </c>
      <c r="L5214" t="n">
        <v>132669</v>
      </c>
      <c r="M5214" t="n">
        <v>177000</v>
      </c>
      <c r="N5214" t="n">
        <v>91</v>
      </c>
      <c r="O5214" t="n">
        <v>0.91</v>
      </c>
      <c r="P5214" t="n">
        <v>0</v>
      </c>
      <c r="Q5214" t="n">
        <v>0.05</v>
      </c>
      <c r="R5214" t="n">
        <v>1</v>
      </c>
      <c r="S5214" t="n">
        <v>8850</v>
      </c>
      <c r="T5214" t="n">
        <v>21</v>
      </c>
      <c r="U5214" t="n">
        <v>22</v>
      </c>
      <c r="V5214" t="n">
        <v>30</v>
      </c>
      <c r="W5214" t="n">
        <v>2</v>
      </c>
      <c r="X5214" t="n">
        <v>360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8519</v>
      </c>
      <c r="AG5214" t="n">
        <v>1</v>
      </c>
      <c r="AH5214" t="inlineStr">
        <is>
          <t>PT. BERSAMA DISTRIVERSA INDONESIA (DC CIPUTAT)</t>
        </is>
      </c>
      <c r="AI5214" t="n">
        <v>2098</v>
      </c>
      <c r="AJ5214" t="inlineStr">
        <is>
          <t>SKIN1004</t>
        </is>
      </c>
      <c r="AK5214" t="n">
        <v>21</v>
      </c>
      <c r="AL5214" t="inlineStr">
        <is>
          <t>Miss Glam Damar</t>
        </is>
      </c>
      <c r="AM5214" t="n">
        <v>1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SKIN1004</t>
        </is>
      </c>
      <c r="B5215" s="2">
        <f>"8809576260618"</f>
        <v/>
      </c>
      <c r="C5215" t="inlineStr">
        <is>
          <t>SKIN1004 Madagascar Centella Ampoule 30ml</t>
        </is>
      </c>
      <c r="D5215" t="inlineStr">
        <is>
          <t>Miss Glam Damar</t>
        </is>
      </c>
      <c r="E5215" t="n">
        <v>4</v>
      </c>
      <c r="F5215" t="n">
        <v>0.03</v>
      </c>
      <c r="G5215" t="n">
        <v>1</v>
      </c>
      <c r="H5215" t="n">
        <v>4</v>
      </c>
      <c r="I5215" t="n">
        <v>21</v>
      </c>
      <c r="J5215" t="n">
        <v>3</v>
      </c>
      <c r="K5215" t="n">
        <v>0</v>
      </c>
      <c r="L5215" t="n">
        <v>55620</v>
      </c>
      <c r="M5215" t="n">
        <v>80500</v>
      </c>
      <c r="N5215" t="n">
        <v>91</v>
      </c>
      <c r="O5215" t="n">
        <v>0.91</v>
      </c>
      <c r="P5215" t="n">
        <v>0</v>
      </c>
      <c r="Q5215" t="n">
        <v>0.03</v>
      </c>
      <c r="R5215" t="n">
        <v>1</v>
      </c>
      <c r="S5215" t="n">
        <v>2415</v>
      </c>
      <c r="T5215" t="n">
        <v>21</v>
      </c>
      <c r="U5215" t="n">
        <v>22</v>
      </c>
      <c r="V5215" t="n">
        <v>30</v>
      </c>
      <c r="W5215" t="n">
        <v>1</v>
      </c>
      <c r="X5215" t="n">
        <v>133.3333333333333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8519</v>
      </c>
      <c r="AG5215" t="n">
        <v>1</v>
      </c>
      <c r="AH5215" t="inlineStr">
        <is>
          <t>PT. BERSAMA DISTRIVERSA INDONESIA (DC CIPUTAT)</t>
        </is>
      </c>
      <c r="AI5215" t="n">
        <v>2098</v>
      </c>
      <c r="AJ5215" t="inlineStr">
        <is>
          <t>SKIN1004</t>
        </is>
      </c>
      <c r="AK5215" t="n">
        <v>21</v>
      </c>
      <c r="AL5215" t="inlineStr">
        <is>
          <t>Miss Glam Damar</t>
        </is>
      </c>
      <c r="AM5215" t="n">
        <v>1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SKIN1004</t>
        </is>
      </c>
      <c r="B5216" s="2">
        <f>"8809576260601"</f>
        <v/>
      </c>
      <c r="C5216" t="inlineStr">
        <is>
          <t>SKIN1004 Madagascar Centella Ampoule 55ml</t>
        </is>
      </c>
      <c r="D5216" t="inlineStr">
        <is>
          <t>Miss Glam Damar</t>
        </is>
      </c>
      <c r="E5216" t="n">
        <v>3</v>
      </c>
      <c r="F5216" t="n">
        <v>0.3276</v>
      </c>
      <c r="G5216" t="n">
        <v>1.82</v>
      </c>
      <c r="H5216" t="n">
        <v>4</v>
      </c>
      <c r="I5216" t="n">
        <v>21</v>
      </c>
      <c r="J5216" t="n">
        <v>3</v>
      </c>
      <c r="K5216" t="n">
        <v>0</v>
      </c>
      <c r="L5216" t="n">
        <v>90456</v>
      </c>
      <c r="M5216" t="n">
        <v>130000</v>
      </c>
      <c r="N5216" t="n">
        <v>91</v>
      </c>
      <c r="O5216" t="n">
        <v>0.91</v>
      </c>
      <c r="P5216" t="n">
        <v>1</v>
      </c>
      <c r="Q5216" t="n">
        <v>0.29</v>
      </c>
      <c r="R5216" t="n">
        <v>2</v>
      </c>
      <c r="S5216" t="n">
        <v>42588</v>
      </c>
      <c r="T5216" t="n">
        <v>37</v>
      </c>
      <c r="U5216" t="n">
        <v>39</v>
      </c>
      <c r="V5216" t="n">
        <v>30</v>
      </c>
      <c r="W5216" t="n">
        <v>10</v>
      </c>
      <c r="X5216" t="n">
        <v>9.157509157509157</v>
      </c>
      <c r="Y5216" t="n">
        <v>1</v>
      </c>
      <c r="Z5216" t="n">
        <v>7</v>
      </c>
      <c r="AA5216" t="n">
        <v>4</v>
      </c>
      <c r="AB5216" t="n">
        <v>3</v>
      </c>
      <c r="AC5216" t="n">
        <v>3</v>
      </c>
      <c r="AD5216" t="n">
        <v>361824</v>
      </c>
      <c r="AE5216" t="n">
        <v>271368</v>
      </c>
      <c r="AF5216" t="n">
        <v>8519</v>
      </c>
      <c r="AG5216" t="n">
        <v>1</v>
      </c>
      <c r="AH5216" t="inlineStr">
        <is>
          <t>PT. BERSAMA DISTRIVERSA INDONESIA (DC CIPUTAT)</t>
        </is>
      </c>
      <c r="AI5216" t="n">
        <v>2098</v>
      </c>
      <c r="AJ5216" t="inlineStr">
        <is>
          <t>SKIN1004</t>
        </is>
      </c>
      <c r="AK5216" t="n">
        <v>21</v>
      </c>
      <c r="AL5216" t="inlineStr">
        <is>
          <t>Miss Glam Damar</t>
        </is>
      </c>
      <c r="AM5216" t="n">
        <v>1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SKIN1004</t>
        </is>
      </c>
      <c r="B5217" s="2">
        <f>"8809576261127"</f>
        <v/>
      </c>
      <c r="C5217" t="inlineStr">
        <is>
          <t>SKIN1004 Madagascar Centella Ampoule Foam 125ml</t>
        </is>
      </c>
      <c r="D5217" t="inlineStr">
        <is>
          <t>Miss Glam Damar</t>
        </is>
      </c>
      <c r="E5217" t="n">
        <v>2</v>
      </c>
      <c r="F5217" t="n">
        <v>0.0546</v>
      </c>
      <c r="G5217" t="n">
        <v>0.91</v>
      </c>
      <c r="H5217" t="n">
        <v>4</v>
      </c>
      <c r="I5217" t="n">
        <v>21</v>
      </c>
      <c r="J5217" t="n">
        <v>3</v>
      </c>
      <c r="K5217" t="n">
        <v>0</v>
      </c>
      <c r="L5217" t="n">
        <v>88580</v>
      </c>
      <c r="M5217" t="n">
        <v>139500</v>
      </c>
      <c r="N5217" t="n">
        <v>91</v>
      </c>
      <c r="O5217" t="n">
        <v>0.91</v>
      </c>
      <c r="P5217" t="n">
        <v>1</v>
      </c>
      <c r="Q5217" t="n">
        <v>0.07000000000000001</v>
      </c>
      <c r="R5217" t="n">
        <v>1</v>
      </c>
      <c r="S5217" t="n">
        <v>7616.700000000001</v>
      </c>
      <c r="T5217" t="n">
        <v>19</v>
      </c>
      <c r="U5217" t="n">
        <v>20</v>
      </c>
      <c r="V5217" t="n">
        <v>30</v>
      </c>
      <c r="W5217" t="n">
        <v>2</v>
      </c>
      <c r="X5217" t="n">
        <v>36.63003663003663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8519</v>
      </c>
      <c r="AG5217" t="n">
        <v>1</v>
      </c>
      <c r="AH5217" t="inlineStr">
        <is>
          <t>PT. BERSAMA DISTRIVERSA INDONESIA (DC CIPUTAT)</t>
        </is>
      </c>
      <c r="AI5217" t="n">
        <v>2098</v>
      </c>
      <c r="AJ5217" t="inlineStr">
        <is>
          <t>SKIN1004</t>
        </is>
      </c>
      <c r="AK5217" t="n">
        <v>21</v>
      </c>
      <c r="AL5217" t="inlineStr">
        <is>
          <t>Miss Glam Damar</t>
        </is>
      </c>
      <c r="AM5217" t="n">
        <v>1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SKIN1004</t>
        </is>
      </c>
      <c r="B5218" s="2">
        <f>"8809576260441"</f>
        <v/>
      </c>
      <c r="C5218" t="inlineStr">
        <is>
          <t>SKIN1004 MADAGASCAR Centella Cream 75ml</t>
        </is>
      </c>
      <c r="D5218" t="inlineStr">
        <is>
          <t>Miss Glam Damar</t>
        </is>
      </c>
      <c r="E5218" t="n">
        <v>3</v>
      </c>
      <c r="F5218" t="n">
        <v>0.07000000000000001</v>
      </c>
      <c r="G5218" t="n">
        <v>1</v>
      </c>
      <c r="H5218" t="n">
        <v>4</v>
      </c>
      <c r="I5218" t="n">
        <v>21</v>
      </c>
      <c r="J5218" t="n">
        <v>3</v>
      </c>
      <c r="K5218" t="n">
        <v>0</v>
      </c>
      <c r="L5218" t="n">
        <v>125735</v>
      </c>
      <c r="M5218" t="n">
        <v>238000</v>
      </c>
      <c r="N5218" t="n">
        <v>91</v>
      </c>
      <c r="O5218" t="n">
        <v>0.91</v>
      </c>
      <c r="P5218" t="n">
        <v>0</v>
      </c>
      <c r="Q5218" t="n">
        <v>0.07000000000000001</v>
      </c>
      <c r="R5218" t="n">
        <v>1</v>
      </c>
      <c r="S5218" t="n">
        <v>16660</v>
      </c>
      <c r="T5218" t="n">
        <v>21</v>
      </c>
      <c r="U5218" t="n">
        <v>22</v>
      </c>
      <c r="V5218" t="n">
        <v>30</v>
      </c>
      <c r="W5218" t="n">
        <v>3</v>
      </c>
      <c r="X5218" t="n">
        <v>42.85714285714285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8519</v>
      </c>
      <c r="AG5218" t="n">
        <v>1</v>
      </c>
      <c r="AH5218" t="inlineStr">
        <is>
          <t>PT. BERSAMA DISTRIVERSA INDONESIA (DC CIPUTAT)</t>
        </is>
      </c>
      <c r="AI5218" t="n">
        <v>2098</v>
      </c>
      <c r="AJ5218" t="inlineStr">
        <is>
          <t>SKIN1004</t>
        </is>
      </c>
      <c r="AK5218" t="n">
        <v>21</v>
      </c>
      <c r="AL5218" t="inlineStr">
        <is>
          <t>Miss Glam Damar</t>
        </is>
      </c>
      <c r="AM5218" t="n">
        <v>1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SKIN1004</t>
        </is>
      </c>
      <c r="B5219" s="2">
        <f>"8809576261073"</f>
        <v/>
      </c>
      <c r="C5219" t="inlineStr">
        <is>
          <t>SKIN1004 MADAGASCAR Centella Hyalu-Cica Brightening Toner 30ml</t>
        </is>
      </c>
      <c r="D5219" t="inlineStr">
        <is>
          <t>Miss Glam Damar</t>
        </is>
      </c>
      <c r="E5219" t="n">
        <v>4</v>
      </c>
      <c r="F5219" t="n">
        <v>0.0182</v>
      </c>
      <c r="G5219" t="n">
        <v>0.91</v>
      </c>
      <c r="H5219" t="n">
        <v>4</v>
      </c>
      <c r="I5219" t="n">
        <v>21</v>
      </c>
      <c r="J5219" t="n">
        <v>3</v>
      </c>
      <c r="K5219" t="n">
        <v>0</v>
      </c>
      <c r="L5219" t="n">
        <v>45531</v>
      </c>
      <c r="M5219" t="n">
        <v>72000</v>
      </c>
      <c r="N5219" t="n">
        <v>91</v>
      </c>
      <c r="O5219" t="n">
        <v>0.91</v>
      </c>
      <c r="P5219" t="n">
        <v>1</v>
      </c>
      <c r="Q5219" t="n">
        <v>0.08</v>
      </c>
      <c r="R5219" t="n">
        <v>1</v>
      </c>
      <c r="S5219" t="n">
        <v>1310.4</v>
      </c>
      <c r="T5219" t="n">
        <v>20</v>
      </c>
      <c r="U5219" t="n">
        <v>21</v>
      </c>
      <c r="V5219" t="n">
        <v>30</v>
      </c>
      <c r="W5219" t="n">
        <v>1</v>
      </c>
      <c r="X5219" t="n">
        <v>219.7802197802198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8519</v>
      </c>
      <c r="AG5219" t="n">
        <v>1</v>
      </c>
      <c r="AH5219" t="inlineStr">
        <is>
          <t>PT. BERSAMA DISTRIVERSA INDONESIA (DC CIPUTAT)</t>
        </is>
      </c>
      <c r="AI5219" t="n">
        <v>2098</v>
      </c>
      <c r="AJ5219" t="inlineStr">
        <is>
          <t>SKIN1004</t>
        </is>
      </c>
      <c r="AK5219" t="n">
        <v>21</v>
      </c>
      <c r="AL5219" t="inlineStr">
        <is>
          <t>Miss Glam Damar</t>
        </is>
      </c>
      <c r="AM5219" t="n">
        <v>1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SKIN1004</t>
        </is>
      </c>
      <c r="B5220" s="2">
        <f>"8809913830283"</f>
        <v/>
      </c>
      <c r="C5220" t="inlineStr">
        <is>
          <t>SKIN1004 MADAGASCAR Centella Hyalu-Cica Silky Fit Sun Stick SPF 50+ PA+++ 7gr</t>
        </is>
      </c>
      <c r="D5220" t="inlineStr">
        <is>
          <t>Miss Glam Damar</t>
        </is>
      </c>
      <c r="E5220" t="n">
        <v>8</v>
      </c>
      <c r="F5220" t="n">
        <v>0.0182</v>
      </c>
      <c r="G5220" t="n">
        <v>0.91</v>
      </c>
      <c r="H5220" t="n">
        <v>4</v>
      </c>
      <c r="I5220" t="n">
        <v>21</v>
      </c>
      <c r="J5220" t="n">
        <v>3</v>
      </c>
      <c r="K5220" t="n">
        <v>0</v>
      </c>
      <c r="L5220" t="n">
        <v>56458</v>
      </c>
      <c r="M5220" t="n">
        <v>75000</v>
      </c>
      <c r="N5220" t="n">
        <v>91</v>
      </c>
      <c r="O5220" t="n">
        <v>0.91</v>
      </c>
      <c r="P5220" t="n">
        <v>1</v>
      </c>
      <c r="Q5220" t="n">
        <v>0.02</v>
      </c>
      <c r="R5220" t="n">
        <v>1</v>
      </c>
      <c r="S5220" t="n">
        <v>1365</v>
      </c>
      <c r="T5220" t="n">
        <v>20</v>
      </c>
      <c r="U5220" t="n">
        <v>21</v>
      </c>
      <c r="V5220" t="n">
        <v>30</v>
      </c>
      <c r="W5220" t="n">
        <v>1</v>
      </c>
      <c r="X5220" t="n">
        <v>439.5604395604395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8519</v>
      </c>
      <c r="AG5220" t="n">
        <v>1</v>
      </c>
      <c r="AH5220" t="inlineStr">
        <is>
          <t>PT. BERSAMA DISTRIVERSA INDONESIA (DC CIPUTAT)</t>
        </is>
      </c>
      <c r="AI5220" t="n">
        <v>2098</v>
      </c>
      <c r="AJ5220" t="inlineStr">
        <is>
          <t>SKIN1004</t>
        </is>
      </c>
      <c r="AK5220" t="n">
        <v>21</v>
      </c>
      <c r="AL5220" t="inlineStr">
        <is>
          <t>Miss Glam Damar</t>
        </is>
      </c>
      <c r="AM5220" t="n">
        <v>1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SKIN1004</t>
        </is>
      </c>
      <c r="B5221" s="2">
        <f>"8809913830061"</f>
        <v/>
      </c>
      <c r="C5221" t="inlineStr">
        <is>
          <t>SKIN1004 MADAGASCAR Centella Hyalu-Cica Water-Fit Sun Serum 15ML</t>
        </is>
      </c>
      <c r="D5221" t="inlineStr">
        <is>
          <t>Miss Glam Damar</t>
        </is>
      </c>
      <c r="E5221" t="n">
        <v>11</v>
      </c>
      <c r="F5221" t="n">
        <v>0.0546</v>
      </c>
      <c r="G5221" t="n">
        <v>0.91</v>
      </c>
      <c r="H5221" t="n">
        <v>4</v>
      </c>
      <c r="I5221" t="n">
        <v>21</v>
      </c>
      <c r="J5221" t="n">
        <v>3</v>
      </c>
      <c r="K5221" t="n">
        <v>0</v>
      </c>
      <c r="L5221" t="n">
        <v>44290</v>
      </c>
      <c r="M5221" t="n">
        <v>58000</v>
      </c>
      <c r="N5221" t="n">
        <v>91</v>
      </c>
      <c r="O5221" t="n">
        <v>0.91</v>
      </c>
      <c r="P5221" t="n">
        <v>1</v>
      </c>
      <c r="Q5221" t="n">
        <v>0.15</v>
      </c>
      <c r="R5221" t="n">
        <v>2</v>
      </c>
      <c r="S5221" t="n">
        <v>3166.8</v>
      </c>
      <c r="T5221" t="n">
        <v>19</v>
      </c>
      <c r="U5221" t="n">
        <v>20</v>
      </c>
      <c r="V5221" t="n">
        <v>30</v>
      </c>
      <c r="W5221" t="n">
        <v>2</v>
      </c>
      <c r="X5221" t="n">
        <v>201.4652014652015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8519</v>
      </c>
      <c r="AG5221" t="n">
        <v>1</v>
      </c>
      <c r="AH5221" t="inlineStr">
        <is>
          <t>PT. BERSAMA DISTRIVERSA INDONESIA (DC CIPUTAT)</t>
        </is>
      </c>
      <c r="AI5221" t="n">
        <v>2098</v>
      </c>
      <c r="AJ5221" t="inlineStr">
        <is>
          <t>SKIN1004</t>
        </is>
      </c>
      <c r="AK5221" t="n">
        <v>21</v>
      </c>
      <c r="AL5221" t="inlineStr">
        <is>
          <t>Miss Glam Damar</t>
        </is>
      </c>
      <c r="AM5221" t="n">
        <v>1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SKIN1004</t>
        </is>
      </c>
      <c r="B5222" s="2">
        <f>"8809576261110"</f>
        <v/>
      </c>
      <c r="C5222" t="inlineStr">
        <is>
          <t>SKIN1004 MADAGASCAR Centella Light Cleansing Oil 200ml</t>
        </is>
      </c>
      <c r="D5222" t="inlineStr">
        <is>
          <t>Miss Glam Damar</t>
        </is>
      </c>
      <c r="E5222" t="n">
        <v>2</v>
      </c>
      <c r="F5222" t="n">
        <v>0.12</v>
      </c>
      <c r="G5222" t="n">
        <v>2</v>
      </c>
      <c r="H5222" t="n">
        <v>4</v>
      </c>
      <c r="I5222" t="n">
        <v>21</v>
      </c>
      <c r="J5222" t="n">
        <v>3</v>
      </c>
      <c r="K5222" t="n">
        <v>0</v>
      </c>
      <c r="L5222" t="n">
        <v>107120</v>
      </c>
      <c r="M5222" t="n">
        <v>154500</v>
      </c>
      <c r="N5222" t="n">
        <v>91</v>
      </c>
      <c r="O5222" t="n">
        <v>0.91</v>
      </c>
      <c r="P5222" t="n">
        <v>0</v>
      </c>
      <c r="Q5222" t="n">
        <v>0.12</v>
      </c>
      <c r="R5222" t="n">
        <v>2</v>
      </c>
      <c r="S5222" t="n">
        <v>18540</v>
      </c>
      <c r="T5222" t="n">
        <v>42</v>
      </c>
      <c r="U5222" t="n">
        <v>43</v>
      </c>
      <c r="V5222" t="n">
        <v>30</v>
      </c>
      <c r="W5222" t="n">
        <v>4</v>
      </c>
      <c r="X5222" t="n">
        <v>16.66666666666667</v>
      </c>
      <c r="Y5222" t="n">
        <v>1</v>
      </c>
      <c r="Z5222" t="n">
        <v>2</v>
      </c>
      <c r="AA5222" t="n">
        <v>1</v>
      </c>
      <c r="AB5222" t="n">
        <v>1</v>
      </c>
      <c r="AC5222" t="n">
        <v>3</v>
      </c>
      <c r="AD5222" t="n">
        <v>107120</v>
      </c>
      <c r="AE5222" t="n">
        <v>321360</v>
      </c>
      <c r="AF5222" t="n">
        <v>8519</v>
      </c>
      <c r="AG5222" t="n">
        <v>1</v>
      </c>
      <c r="AH5222" t="inlineStr">
        <is>
          <t>PT. BERSAMA DISTRIVERSA INDONESIA (DC CIPUTAT)</t>
        </is>
      </c>
      <c r="AI5222" t="n">
        <v>2098</v>
      </c>
      <c r="AJ5222" t="inlineStr">
        <is>
          <t>SKIN1004</t>
        </is>
      </c>
      <c r="AK5222" t="n">
        <v>21</v>
      </c>
      <c r="AL5222" t="inlineStr">
        <is>
          <t>Miss Glam Damar</t>
        </is>
      </c>
      <c r="AM5222" t="n">
        <v>1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SKIN1004</t>
        </is>
      </c>
      <c r="B5223" s="2">
        <f>"11200432357"</f>
        <v/>
      </c>
      <c r="C5223" t="inlineStr">
        <is>
          <t>SKIN1004 MADAGASCAR Centella Poremazing Centella Fresh Ampoule 50ml</t>
        </is>
      </c>
      <c r="D5223" t="inlineStr">
        <is>
          <t>Miss Glam Damar</t>
        </is>
      </c>
      <c r="E5223" t="n">
        <v>0</v>
      </c>
      <c r="F5223" t="n">
        <v>0.03</v>
      </c>
      <c r="G5223" t="n">
        <v>1</v>
      </c>
      <c r="H5223" t="n">
        <v>4</v>
      </c>
      <c r="I5223" t="n">
        <v>21</v>
      </c>
      <c r="J5223" t="n">
        <v>1</v>
      </c>
      <c r="K5223" t="n">
        <v>0</v>
      </c>
      <c r="L5223" t="n">
        <v>85431</v>
      </c>
      <c r="M5223" t="n">
        <v>114000</v>
      </c>
      <c r="N5223" t="n">
        <v>91</v>
      </c>
      <c r="O5223" t="n">
        <v>0.91</v>
      </c>
      <c r="P5223" t="n">
        <v>0</v>
      </c>
      <c r="Q5223" t="n">
        <v>0.03</v>
      </c>
      <c r="R5223" t="n">
        <v>1</v>
      </c>
      <c r="S5223" t="n">
        <v>3420</v>
      </c>
      <c r="T5223" t="n">
        <v>21</v>
      </c>
      <c r="U5223" t="n">
        <v>22</v>
      </c>
      <c r="V5223" t="n">
        <v>30</v>
      </c>
      <c r="W5223" t="n">
        <v>1</v>
      </c>
      <c r="X5223" t="n">
        <v>0</v>
      </c>
      <c r="Y5223" t="n">
        <v>1</v>
      </c>
      <c r="Z5223" t="n">
        <v>1</v>
      </c>
      <c r="AA5223" t="n">
        <v>1</v>
      </c>
      <c r="AB5223" t="n">
        <v>0</v>
      </c>
      <c r="AC5223" t="n">
        <v>0</v>
      </c>
      <c r="AD5223" t="n">
        <v>85431</v>
      </c>
      <c r="AE5223" t="n">
        <v>0</v>
      </c>
      <c r="AF5223" t="n">
        <v>8519</v>
      </c>
      <c r="AG5223" t="n">
        <v>1</v>
      </c>
      <c r="AH5223" t="inlineStr">
        <is>
          <t>PT. BERSAMA DISTRIVERSA INDONESIA (DC CIPUTAT)</t>
        </is>
      </c>
      <c r="AI5223" t="n">
        <v>2098</v>
      </c>
      <c r="AJ5223" t="inlineStr">
        <is>
          <t>SKIN1004</t>
        </is>
      </c>
      <c r="AK5223" t="n">
        <v>21</v>
      </c>
      <c r="AL5223" t="inlineStr">
        <is>
          <t>Miss Glam Damar</t>
        </is>
      </c>
      <c r="AM5223" t="n">
        <v>1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SKIN1004</t>
        </is>
      </c>
      <c r="B5224" s="2">
        <f>"8809576261455"</f>
        <v/>
      </c>
      <c r="C5224" t="inlineStr">
        <is>
          <t>SKIN1004 MADAGASCAR Centella Poremizing Clear Toner 210ml</t>
        </is>
      </c>
      <c r="D5224" t="inlineStr">
        <is>
          <t>Miss Glam Damar</t>
        </is>
      </c>
      <c r="E5224" t="n">
        <v>12</v>
      </c>
      <c r="F5224" t="n">
        <v>0.09100000000000001</v>
      </c>
      <c r="G5224" t="n">
        <v>0.91</v>
      </c>
      <c r="H5224" t="n">
        <v>4</v>
      </c>
      <c r="I5224" t="n">
        <v>21</v>
      </c>
      <c r="J5224" t="n">
        <v>3</v>
      </c>
      <c r="K5224" t="n">
        <v>0</v>
      </c>
      <c r="L5224" t="n">
        <v>102477</v>
      </c>
      <c r="M5224" t="n">
        <v>152500</v>
      </c>
      <c r="N5224" t="n">
        <v>91</v>
      </c>
      <c r="O5224" t="n">
        <v>0.91</v>
      </c>
      <c r="P5224" t="n">
        <v>1</v>
      </c>
      <c r="Q5224" t="n">
        <v>0.03</v>
      </c>
      <c r="R5224" t="n">
        <v>1</v>
      </c>
      <c r="S5224" t="n">
        <v>13877.5</v>
      </c>
      <c r="T5224" t="n">
        <v>19</v>
      </c>
      <c r="U5224" t="n">
        <v>20</v>
      </c>
      <c r="V5224" t="n">
        <v>30</v>
      </c>
      <c r="W5224" t="n">
        <v>3</v>
      </c>
      <c r="X5224" t="n">
        <v>131.8681318681319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8519</v>
      </c>
      <c r="AG5224" t="n">
        <v>1</v>
      </c>
      <c r="AH5224" t="inlineStr">
        <is>
          <t>PT. BERSAMA DISTRIVERSA INDONESIA (DC CIPUTAT)</t>
        </is>
      </c>
      <c r="AI5224" t="n">
        <v>2098</v>
      </c>
      <c r="AJ5224" t="inlineStr">
        <is>
          <t>SKIN1004</t>
        </is>
      </c>
      <c r="AK5224" t="n">
        <v>21</v>
      </c>
      <c r="AL5224" t="inlineStr">
        <is>
          <t>Miss Glam Damar</t>
        </is>
      </c>
      <c r="AM5224" t="n">
        <v>1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SKIN1004</t>
        </is>
      </c>
      <c r="B5225" s="2">
        <f>"8809576261462"</f>
        <v/>
      </c>
      <c r="C5225" t="inlineStr">
        <is>
          <t>SKIN1004 Madagascar Centella Poremizing Fresh Ampoule 100ml</t>
        </is>
      </c>
      <c r="D5225" t="inlineStr">
        <is>
          <t>Miss Glam Damar</t>
        </is>
      </c>
      <c r="E5225" t="n">
        <v>6</v>
      </c>
      <c r="F5225" t="n">
        <v>0.08</v>
      </c>
      <c r="G5225" t="n">
        <v>1</v>
      </c>
      <c r="H5225" t="n">
        <v>4</v>
      </c>
      <c r="I5225" t="n">
        <v>21</v>
      </c>
      <c r="J5225" t="n">
        <v>3</v>
      </c>
      <c r="K5225" t="n">
        <v>0</v>
      </c>
      <c r="L5225" t="n">
        <v>101970</v>
      </c>
      <c r="M5225" t="n">
        <v>140000</v>
      </c>
      <c r="N5225" t="n">
        <v>91</v>
      </c>
      <c r="O5225" t="n">
        <v>0.91</v>
      </c>
      <c r="P5225" t="n">
        <v>0</v>
      </c>
      <c r="Q5225" t="n">
        <v>0.08</v>
      </c>
      <c r="R5225" t="n">
        <v>1</v>
      </c>
      <c r="S5225" t="n">
        <v>11200</v>
      </c>
      <c r="T5225" t="n">
        <v>21</v>
      </c>
      <c r="U5225" t="n">
        <v>22</v>
      </c>
      <c r="V5225" t="n">
        <v>30</v>
      </c>
      <c r="W5225" t="n">
        <v>3</v>
      </c>
      <c r="X5225" t="n">
        <v>75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8519</v>
      </c>
      <c r="AG5225" t="n">
        <v>1</v>
      </c>
      <c r="AH5225" t="inlineStr">
        <is>
          <t>PT. BERSAMA DISTRIVERSA INDONESIA (DC CIPUTAT)</t>
        </is>
      </c>
      <c r="AI5225" t="n">
        <v>2098</v>
      </c>
      <c r="AJ5225" t="inlineStr">
        <is>
          <t>SKIN1004</t>
        </is>
      </c>
      <c r="AK5225" t="n">
        <v>21</v>
      </c>
      <c r="AL5225" t="inlineStr">
        <is>
          <t>Miss Glam Damar</t>
        </is>
      </c>
      <c r="AM5225" t="n">
        <v>1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SKIN1004</t>
        </is>
      </c>
      <c r="B5226" s="2">
        <f>"10500637055"</f>
        <v/>
      </c>
      <c r="C5226" t="inlineStr">
        <is>
          <t>SKIN1004 Madagascar Centella Poremizing Quick Clay Stick Mask 27g</t>
        </is>
      </c>
      <c r="D5226" t="inlineStr">
        <is>
          <t>Miss Glam Damar</t>
        </is>
      </c>
      <c r="E5226" t="n">
        <v>31</v>
      </c>
      <c r="F5226" t="n">
        <v>0.0273</v>
      </c>
      <c r="G5226" t="n">
        <v>0.91</v>
      </c>
      <c r="H5226" t="n">
        <v>4</v>
      </c>
      <c r="I5226" t="n">
        <v>21</v>
      </c>
      <c r="J5226" t="n">
        <v>3</v>
      </c>
      <c r="K5226" t="n">
        <v>0</v>
      </c>
      <c r="L5226" t="n">
        <v>99463</v>
      </c>
      <c r="M5226" t="n">
        <v>133000</v>
      </c>
      <c r="N5226" t="n">
        <v>91</v>
      </c>
      <c r="O5226" t="n">
        <v>0.91</v>
      </c>
      <c r="P5226" t="n">
        <v>1</v>
      </c>
      <c r="Q5226" t="n">
        <v>0.1</v>
      </c>
      <c r="R5226" t="n">
        <v>2</v>
      </c>
      <c r="S5226" t="n">
        <v>3630.9</v>
      </c>
      <c r="T5226" t="n">
        <v>20</v>
      </c>
      <c r="U5226" t="n">
        <v>21</v>
      </c>
      <c r="V5226" t="n">
        <v>30</v>
      </c>
      <c r="W5226" t="n">
        <v>1</v>
      </c>
      <c r="X5226" t="n">
        <v>1135.531135531136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8519</v>
      </c>
      <c r="AG5226" t="n">
        <v>1</v>
      </c>
      <c r="AH5226" t="inlineStr">
        <is>
          <t>PT. BERSAMA DISTRIVERSA INDONESIA (DC CIPUTAT)</t>
        </is>
      </c>
      <c r="AI5226" t="n">
        <v>2098</v>
      </c>
      <c r="AJ5226" t="inlineStr">
        <is>
          <t>SKIN1004</t>
        </is>
      </c>
      <c r="AK5226" t="n">
        <v>21</v>
      </c>
      <c r="AL5226" t="inlineStr">
        <is>
          <t>Miss Glam Damar</t>
        </is>
      </c>
      <c r="AM5226" t="n">
        <v>1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SKIN1004</t>
        </is>
      </c>
      <c r="B5227" s="2">
        <f>"8809576261202"</f>
        <v/>
      </c>
      <c r="C5227" t="inlineStr">
        <is>
          <t>SKIN1004 MADAGASCAR Centella Shooting Cream 30ml</t>
        </is>
      </c>
      <c r="D5227" t="inlineStr">
        <is>
          <t>Miss Glam Damar</t>
        </is>
      </c>
      <c r="E5227" t="n">
        <v>6</v>
      </c>
      <c r="F5227" t="n">
        <v>0.08</v>
      </c>
      <c r="G5227" t="n">
        <v>1</v>
      </c>
      <c r="H5227" t="n">
        <v>4</v>
      </c>
      <c r="I5227" t="n">
        <v>21</v>
      </c>
      <c r="J5227" t="n">
        <v>3</v>
      </c>
      <c r="K5227" t="n">
        <v>0</v>
      </c>
      <c r="L5227" t="n">
        <v>40170</v>
      </c>
      <c r="M5227" t="n">
        <v>52500</v>
      </c>
      <c r="N5227" t="n">
        <v>91</v>
      </c>
      <c r="O5227" t="n">
        <v>0.91</v>
      </c>
      <c r="P5227" t="n">
        <v>0</v>
      </c>
      <c r="Q5227" t="n">
        <v>0.08</v>
      </c>
      <c r="R5227" t="n">
        <v>1</v>
      </c>
      <c r="S5227" t="n">
        <v>4200</v>
      </c>
      <c r="T5227" t="n">
        <v>21</v>
      </c>
      <c r="U5227" t="n">
        <v>22</v>
      </c>
      <c r="V5227" t="n">
        <v>30</v>
      </c>
      <c r="W5227" t="n">
        <v>3</v>
      </c>
      <c r="X5227" t="n">
        <v>75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8519</v>
      </c>
      <c r="AG5227" t="n">
        <v>1</v>
      </c>
      <c r="AH5227" t="inlineStr">
        <is>
          <t>PT. BERSAMA DISTRIVERSA INDONESIA (DC CIPUTAT)</t>
        </is>
      </c>
      <c r="AI5227" t="n">
        <v>2098</v>
      </c>
      <c r="AJ5227" t="inlineStr">
        <is>
          <t>SKIN1004</t>
        </is>
      </c>
      <c r="AK5227" t="n">
        <v>21</v>
      </c>
      <c r="AL5227" t="inlineStr">
        <is>
          <t>Miss Glam Damar</t>
        </is>
      </c>
      <c r="AM5227" t="n">
        <v>1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SKIN1004</t>
        </is>
      </c>
      <c r="B5228" s="2">
        <f>"8809576261134"</f>
        <v/>
      </c>
      <c r="C5228" t="inlineStr">
        <is>
          <t>SKIN1004 MADAGASCAR Centella Shooting Cream 75ml</t>
        </is>
      </c>
      <c r="D5228" t="inlineStr">
        <is>
          <t>Miss Glam Damar</t>
        </is>
      </c>
      <c r="E5228" t="n">
        <v>5</v>
      </c>
      <c r="F5228" t="n">
        <v>0.1274</v>
      </c>
      <c r="G5228" t="n">
        <v>1.82</v>
      </c>
      <c r="H5228" t="n">
        <v>4</v>
      </c>
      <c r="I5228" t="n">
        <v>21</v>
      </c>
      <c r="J5228" t="n">
        <v>3</v>
      </c>
      <c r="K5228" t="n">
        <v>0</v>
      </c>
      <c r="L5228" t="n">
        <v>110776</v>
      </c>
      <c r="M5228" t="n">
        <v>150000</v>
      </c>
      <c r="N5228" t="n">
        <v>91</v>
      </c>
      <c r="O5228" t="n">
        <v>0.91</v>
      </c>
      <c r="P5228" t="n">
        <v>1</v>
      </c>
      <c r="Q5228" t="n">
        <v>0.08</v>
      </c>
      <c r="R5228" t="n">
        <v>1</v>
      </c>
      <c r="S5228" t="n">
        <v>19110</v>
      </c>
      <c r="T5228" t="n">
        <v>38</v>
      </c>
      <c r="U5228" t="n">
        <v>39</v>
      </c>
      <c r="V5228" t="n">
        <v>30</v>
      </c>
      <c r="W5228" t="n">
        <v>4</v>
      </c>
      <c r="X5228" t="n">
        <v>39.24646781789639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8519</v>
      </c>
      <c r="AG5228" t="n">
        <v>1</v>
      </c>
      <c r="AH5228" t="inlineStr">
        <is>
          <t>PT. BERSAMA DISTRIVERSA INDONESIA (DC CIPUTAT)</t>
        </is>
      </c>
      <c r="AI5228" t="n">
        <v>2098</v>
      </c>
      <c r="AJ5228" t="inlineStr">
        <is>
          <t>SKIN1004</t>
        </is>
      </c>
      <c r="AK5228" t="n">
        <v>21</v>
      </c>
      <c r="AL5228" t="inlineStr">
        <is>
          <t>Miss Glam Damar</t>
        </is>
      </c>
      <c r="AM5228" t="n">
        <v>1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SKIN1004</t>
        </is>
      </c>
      <c r="B5229" s="2">
        <f>"8809576261660"</f>
        <v/>
      </c>
      <c r="C5229" t="inlineStr">
        <is>
          <t>SKIN1004 Madagascar Centella Tea-Trica Purifying Toner 210ml</t>
        </is>
      </c>
      <c r="D5229" t="inlineStr">
        <is>
          <t>Miss Glam Damar</t>
        </is>
      </c>
      <c r="E5229" t="n">
        <v>5</v>
      </c>
      <c r="F5229" t="n">
        <v>0.05</v>
      </c>
      <c r="G5229" t="n">
        <v>1</v>
      </c>
      <c r="H5229" t="n">
        <v>4</v>
      </c>
      <c r="I5229" t="n">
        <v>21</v>
      </c>
      <c r="J5229" t="n">
        <v>3</v>
      </c>
      <c r="K5229" t="n">
        <v>0</v>
      </c>
      <c r="L5229" t="n">
        <v>119735</v>
      </c>
      <c r="M5229" t="n">
        <v>160000</v>
      </c>
      <c r="N5229" t="n">
        <v>91</v>
      </c>
      <c r="O5229" t="n">
        <v>0.91</v>
      </c>
      <c r="P5229" t="n">
        <v>0</v>
      </c>
      <c r="Q5229" t="n">
        <v>0.05</v>
      </c>
      <c r="R5229" t="n">
        <v>1</v>
      </c>
      <c r="S5229" t="n">
        <v>8000</v>
      </c>
      <c r="T5229" t="n">
        <v>21</v>
      </c>
      <c r="U5229" t="n">
        <v>22</v>
      </c>
      <c r="V5229" t="n">
        <v>30</v>
      </c>
      <c r="W5229" t="n">
        <v>2</v>
      </c>
      <c r="X5229" t="n">
        <v>100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8519</v>
      </c>
      <c r="AG5229" t="n">
        <v>1</v>
      </c>
      <c r="AH5229" t="inlineStr">
        <is>
          <t>PT. BERSAMA DISTRIVERSA INDONESIA (DC CIPUTAT)</t>
        </is>
      </c>
      <c r="AI5229" t="n">
        <v>2098</v>
      </c>
      <c r="AJ5229" t="inlineStr">
        <is>
          <t>SKIN1004</t>
        </is>
      </c>
      <c r="AK5229" t="n">
        <v>21</v>
      </c>
      <c r="AL5229" t="inlineStr">
        <is>
          <t>Miss Glam Damar</t>
        </is>
      </c>
      <c r="AM5229" t="n">
        <v>1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SKIN1004</t>
        </is>
      </c>
      <c r="B5230" s="2">
        <f>"8809576261165"</f>
        <v/>
      </c>
      <c r="C5230" t="inlineStr">
        <is>
          <t>SKIN1004 MADAGASCAR Centella Tone Brightening Boosting Toner 210ml</t>
        </is>
      </c>
      <c r="D5230" t="inlineStr">
        <is>
          <t>Miss Glam Damar</t>
        </is>
      </c>
      <c r="E5230" t="n">
        <v>1</v>
      </c>
      <c r="F5230" t="n">
        <v>0.1456</v>
      </c>
      <c r="G5230" t="n">
        <v>1.82</v>
      </c>
      <c r="H5230" t="n">
        <v>4</v>
      </c>
      <c r="I5230" t="n">
        <v>21</v>
      </c>
      <c r="J5230" t="n">
        <v>3</v>
      </c>
      <c r="K5230" t="n">
        <v>0</v>
      </c>
      <c r="L5230" t="n">
        <v>107542</v>
      </c>
      <c r="M5230" t="n">
        <v>158500</v>
      </c>
      <c r="N5230" t="n">
        <v>91</v>
      </c>
      <c r="O5230" t="n">
        <v>0.91</v>
      </c>
      <c r="P5230" t="n">
        <v>1</v>
      </c>
      <c r="Q5230" t="n">
        <v>0.1</v>
      </c>
      <c r="R5230" t="n">
        <v>1</v>
      </c>
      <c r="S5230" t="n">
        <v>23077.6</v>
      </c>
      <c r="T5230" t="n">
        <v>38</v>
      </c>
      <c r="U5230" t="n">
        <v>39</v>
      </c>
      <c r="V5230" t="n">
        <v>30</v>
      </c>
      <c r="W5230" t="n">
        <v>5</v>
      </c>
      <c r="X5230" t="n">
        <v>6.868131868131868</v>
      </c>
      <c r="Y5230" t="n">
        <v>1</v>
      </c>
      <c r="Z5230" t="n">
        <v>4</v>
      </c>
      <c r="AA5230" t="n">
        <v>3</v>
      </c>
      <c r="AB5230" t="n">
        <v>1</v>
      </c>
      <c r="AC5230" t="n">
        <v>3</v>
      </c>
      <c r="AD5230" t="n">
        <v>322626</v>
      </c>
      <c r="AE5230" t="n">
        <v>322626</v>
      </c>
      <c r="AF5230" t="n">
        <v>8519</v>
      </c>
      <c r="AG5230" t="n">
        <v>1</v>
      </c>
      <c r="AH5230" t="inlineStr">
        <is>
          <t>PT. BERSAMA DISTRIVERSA INDONESIA (DC CIPUTAT)</t>
        </is>
      </c>
      <c r="AI5230" t="n">
        <v>2098</v>
      </c>
      <c r="AJ5230" t="inlineStr">
        <is>
          <t>SKIN1004</t>
        </is>
      </c>
      <c r="AK5230" t="n">
        <v>21</v>
      </c>
      <c r="AL5230" t="inlineStr">
        <is>
          <t>Miss Glam Damar</t>
        </is>
      </c>
      <c r="AM5230" t="n">
        <v>1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SKIN1004</t>
        </is>
      </c>
      <c r="B5231" s="2">
        <f>"8809576261172"</f>
        <v/>
      </c>
      <c r="C5231" t="inlineStr">
        <is>
          <t>SKIN1004 MADAGASCAR Centella Tone Brightening Capsule Ampoule 100ml</t>
        </is>
      </c>
      <c r="D5231" t="inlineStr">
        <is>
          <t>Miss Glam Damar</t>
        </is>
      </c>
      <c r="E5231" t="n">
        <v>3</v>
      </c>
      <c r="F5231" t="n">
        <v>0.05</v>
      </c>
      <c r="G5231" t="n">
        <v>1</v>
      </c>
      <c r="H5231" t="n">
        <v>4</v>
      </c>
      <c r="I5231" t="n">
        <v>21</v>
      </c>
      <c r="J5231" t="n">
        <v>3</v>
      </c>
      <c r="K5231" t="n">
        <v>0</v>
      </c>
      <c r="L5231" t="n">
        <v>118450</v>
      </c>
      <c r="M5231" t="n">
        <v>164500</v>
      </c>
      <c r="N5231" t="n">
        <v>91</v>
      </c>
      <c r="O5231" t="n">
        <v>0.91</v>
      </c>
      <c r="P5231" t="n">
        <v>0</v>
      </c>
      <c r="Q5231" t="n">
        <v>0.05</v>
      </c>
      <c r="R5231" t="n">
        <v>1</v>
      </c>
      <c r="S5231" t="n">
        <v>8225</v>
      </c>
      <c r="T5231" t="n">
        <v>21</v>
      </c>
      <c r="U5231" t="n">
        <v>22</v>
      </c>
      <c r="V5231" t="n">
        <v>30</v>
      </c>
      <c r="W5231" t="n">
        <v>2</v>
      </c>
      <c r="X5231" t="n">
        <v>60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8519</v>
      </c>
      <c r="AG5231" t="n">
        <v>1</v>
      </c>
      <c r="AH5231" t="inlineStr">
        <is>
          <t>PT. BERSAMA DISTRIVERSA INDONESIA (DC CIPUTAT)</t>
        </is>
      </c>
      <c r="AI5231" t="n">
        <v>2098</v>
      </c>
      <c r="AJ5231" t="inlineStr">
        <is>
          <t>SKIN1004</t>
        </is>
      </c>
      <c r="AK5231" t="n">
        <v>21</v>
      </c>
      <c r="AL5231" t="inlineStr">
        <is>
          <t>Miss Glam Damar</t>
        </is>
      </c>
      <c r="AM5231" t="n">
        <v>1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SKIN1004</t>
        </is>
      </c>
      <c r="B5232" s="2">
        <f>"8809576261417"</f>
        <v/>
      </c>
      <c r="C5232" t="inlineStr">
        <is>
          <t>SKIN1004 MADAGASCAR Centella Tone Brightening Capsule Ampoule 30ml</t>
        </is>
      </c>
      <c r="D5232" t="inlineStr">
        <is>
          <t>Miss Glam Damar</t>
        </is>
      </c>
      <c r="E5232" t="n">
        <v>2</v>
      </c>
      <c r="F5232" t="n">
        <v>0.1365</v>
      </c>
      <c r="G5232" t="n">
        <v>2.73</v>
      </c>
      <c r="H5232" t="n">
        <v>4</v>
      </c>
      <c r="I5232" t="n">
        <v>21</v>
      </c>
      <c r="J5232" t="n">
        <v>3</v>
      </c>
      <c r="K5232" t="n">
        <v>0</v>
      </c>
      <c r="L5232" t="n">
        <v>54693</v>
      </c>
      <c r="M5232" t="n">
        <v>71500</v>
      </c>
      <c r="N5232" t="n">
        <v>91</v>
      </c>
      <c r="O5232" t="n">
        <v>0.91</v>
      </c>
      <c r="P5232" t="n">
        <v>1</v>
      </c>
      <c r="Q5232" t="n">
        <v>0.07000000000000001</v>
      </c>
      <c r="R5232" t="n">
        <v>1</v>
      </c>
      <c r="S5232" t="n">
        <v>9759.75</v>
      </c>
      <c r="T5232" t="n">
        <v>57</v>
      </c>
      <c r="U5232" t="n">
        <v>58</v>
      </c>
      <c r="V5232" t="n">
        <v>30</v>
      </c>
      <c r="W5232" t="n">
        <v>5</v>
      </c>
      <c r="X5232" t="n">
        <v>14.65201465201465</v>
      </c>
      <c r="Y5232" t="n">
        <v>1</v>
      </c>
      <c r="Z5232" t="n">
        <v>3</v>
      </c>
      <c r="AA5232" t="n">
        <v>1</v>
      </c>
      <c r="AB5232" t="n">
        <v>2</v>
      </c>
      <c r="AC5232" t="n">
        <v>3</v>
      </c>
      <c r="AD5232" t="n">
        <v>54693</v>
      </c>
      <c r="AE5232" t="n">
        <v>164079</v>
      </c>
      <c r="AF5232" t="n">
        <v>8519</v>
      </c>
      <c r="AG5232" t="n">
        <v>1</v>
      </c>
      <c r="AH5232" t="inlineStr">
        <is>
          <t>PT. BERSAMA DISTRIVERSA INDONESIA (DC CIPUTAT)</t>
        </is>
      </c>
      <c r="AI5232" t="n">
        <v>2098</v>
      </c>
      <c r="AJ5232" t="inlineStr">
        <is>
          <t>SKIN1004</t>
        </is>
      </c>
      <c r="AK5232" t="n">
        <v>21</v>
      </c>
      <c r="AL5232" t="inlineStr">
        <is>
          <t>Miss Glam Damar</t>
        </is>
      </c>
      <c r="AM5232" t="n">
        <v>1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SKIN1004</t>
        </is>
      </c>
      <c r="B5233" s="2">
        <f>"8809576261615"</f>
        <v/>
      </c>
      <c r="C5233" t="inlineStr">
        <is>
          <t>SKIN1004 Madagascar Centella Tone Brightening Capsule Cream 75ml</t>
        </is>
      </c>
      <c r="D5233" t="inlineStr">
        <is>
          <t>Miss Glam Damar</t>
        </is>
      </c>
      <c r="E5233" t="n">
        <v>5</v>
      </c>
      <c r="F5233" t="n">
        <v>0.1274</v>
      </c>
      <c r="G5233" t="n">
        <v>1.82</v>
      </c>
      <c r="H5233" t="n">
        <v>4</v>
      </c>
      <c r="I5233" t="n">
        <v>21</v>
      </c>
      <c r="J5233" t="n">
        <v>3</v>
      </c>
      <c r="K5233" t="n">
        <v>0</v>
      </c>
      <c r="L5233" t="n">
        <v>121437</v>
      </c>
      <c r="M5233" t="n">
        <v>162000</v>
      </c>
      <c r="N5233" t="n">
        <v>91</v>
      </c>
      <c r="O5233" t="n">
        <v>0.91</v>
      </c>
      <c r="P5233" t="n">
        <v>1</v>
      </c>
      <c r="Q5233" t="n">
        <v>0.02</v>
      </c>
      <c r="R5233" t="n">
        <v>1</v>
      </c>
      <c r="S5233" t="n">
        <v>20638.8</v>
      </c>
      <c r="T5233" t="n">
        <v>38</v>
      </c>
      <c r="U5233" t="n">
        <v>39</v>
      </c>
      <c r="V5233" t="n">
        <v>30</v>
      </c>
      <c r="W5233" t="n">
        <v>4</v>
      </c>
      <c r="X5233" t="n">
        <v>39.24646781789639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8519</v>
      </c>
      <c r="AG5233" t="n">
        <v>1</v>
      </c>
      <c r="AH5233" t="inlineStr">
        <is>
          <t>PT. BERSAMA DISTRIVERSA INDONESIA (DC CIPUTAT)</t>
        </is>
      </c>
      <c r="AI5233" t="n">
        <v>2098</v>
      </c>
      <c r="AJ5233" t="inlineStr">
        <is>
          <t>SKIN1004</t>
        </is>
      </c>
      <c r="AK5233" t="n">
        <v>21</v>
      </c>
      <c r="AL5233" t="inlineStr">
        <is>
          <t>Miss Glam Damar</t>
        </is>
      </c>
      <c r="AM5233" t="n">
        <v>1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SKIN1004</t>
        </is>
      </c>
      <c r="B5234" s="2">
        <f>"8809576261189"</f>
        <v/>
      </c>
      <c r="C5234" t="inlineStr">
        <is>
          <t>SKIN1004 MADAGASCAR Centella Tone Brightening Cleansing Gel Foam 125ml</t>
        </is>
      </c>
      <c r="D5234" t="inlineStr">
        <is>
          <t>Miss Glam Damar</t>
        </is>
      </c>
      <c r="E5234" t="n">
        <v>4</v>
      </c>
      <c r="F5234" t="n">
        <v>0.03</v>
      </c>
      <c r="G5234" t="n">
        <v>1</v>
      </c>
      <c r="H5234" t="n">
        <v>4</v>
      </c>
      <c r="I5234" t="n">
        <v>21</v>
      </c>
      <c r="J5234" t="n">
        <v>3</v>
      </c>
      <c r="K5234" t="n">
        <v>0</v>
      </c>
      <c r="L5234" t="n">
        <v>81370</v>
      </c>
      <c r="M5234" t="n">
        <v>115500</v>
      </c>
      <c r="N5234" t="n">
        <v>91</v>
      </c>
      <c r="O5234" t="n">
        <v>0.91</v>
      </c>
      <c r="P5234" t="n">
        <v>0</v>
      </c>
      <c r="Q5234" t="n">
        <v>0.03</v>
      </c>
      <c r="R5234" t="n">
        <v>1</v>
      </c>
      <c r="S5234" t="n">
        <v>3465</v>
      </c>
      <c r="T5234" t="n">
        <v>21</v>
      </c>
      <c r="U5234" t="n">
        <v>22</v>
      </c>
      <c r="V5234" t="n">
        <v>30</v>
      </c>
      <c r="W5234" t="n">
        <v>1</v>
      </c>
      <c r="X5234" t="n">
        <v>133.3333333333333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8519</v>
      </c>
      <c r="AG5234" t="n">
        <v>1</v>
      </c>
      <c r="AH5234" t="inlineStr">
        <is>
          <t>PT. BERSAMA DISTRIVERSA INDONESIA (DC CIPUTAT)</t>
        </is>
      </c>
      <c r="AI5234" t="n">
        <v>2098</v>
      </c>
      <c r="AJ5234" t="inlineStr">
        <is>
          <t>SKIN1004</t>
        </is>
      </c>
      <c r="AK5234" t="n">
        <v>21</v>
      </c>
      <c r="AL5234" t="inlineStr">
        <is>
          <t>Miss Glam Damar</t>
        </is>
      </c>
      <c r="AM5234" t="n">
        <v>1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SKIN1004</t>
        </is>
      </c>
      <c r="B5235" s="2">
        <f>"8809576261622"</f>
        <v/>
      </c>
      <c r="C5235" t="inlineStr">
        <is>
          <t>SKIN1004 MADAGASCAR Centella Tone Brightening Tone Up Sunscreen 50ml</t>
        </is>
      </c>
      <c r="D5235" t="inlineStr">
        <is>
          <t>Miss Glam Damar</t>
        </is>
      </c>
      <c r="E5235" t="n">
        <v>11</v>
      </c>
      <c r="F5235" t="n">
        <v>0.0728</v>
      </c>
      <c r="G5235" t="n">
        <v>0.91</v>
      </c>
      <c r="H5235" t="n">
        <v>4</v>
      </c>
      <c r="I5235" t="n">
        <v>21</v>
      </c>
      <c r="J5235" t="n">
        <v>3</v>
      </c>
      <c r="K5235" t="n">
        <v>0</v>
      </c>
      <c r="L5235" t="n">
        <v>103000</v>
      </c>
      <c r="M5235" t="n">
        <v>135000</v>
      </c>
      <c r="N5235" t="n">
        <v>91</v>
      </c>
      <c r="O5235" t="n">
        <v>0.91</v>
      </c>
      <c r="P5235" t="n">
        <v>1</v>
      </c>
      <c r="Q5235" t="n">
        <v>0.02</v>
      </c>
      <c r="R5235" t="n">
        <v>1</v>
      </c>
      <c r="S5235" t="n">
        <v>9828</v>
      </c>
      <c r="T5235" t="n">
        <v>19</v>
      </c>
      <c r="U5235" t="n">
        <v>20</v>
      </c>
      <c r="V5235" t="n">
        <v>30</v>
      </c>
      <c r="W5235" t="n">
        <v>3</v>
      </c>
      <c r="X5235" t="n">
        <v>151.0989010989011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8519</v>
      </c>
      <c r="AG5235" t="n">
        <v>1</v>
      </c>
      <c r="AH5235" t="inlineStr">
        <is>
          <t>PT. BERSAMA DISTRIVERSA INDONESIA (DC CIPUTAT)</t>
        </is>
      </c>
      <c r="AI5235" t="n">
        <v>2098</v>
      </c>
      <c r="AJ5235" t="inlineStr">
        <is>
          <t>SKIN1004</t>
        </is>
      </c>
      <c r="AK5235" t="n">
        <v>21</v>
      </c>
      <c r="AL5235" t="inlineStr">
        <is>
          <t>Miss Glam Damar</t>
        </is>
      </c>
      <c r="AM5235" t="n">
        <v>1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SKIN1004</t>
        </is>
      </c>
      <c r="B5236" s="2">
        <f>"8809576261196"</f>
        <v/>
      </c>
      <c r="C5236" t="inlineStr">
        <is>
          <t>SKIN1004 MADAGASCAR Centella Toner  30 ml</t>
        </is>
      </c>
      <c r="D5236" t="inlineStr">
        <is>
          <t>Miss Glam Damar</t>
        </is>
      </c>
      <c r="E5236" t="n">
        <v>5</v>
      </c>
      <c r="F5236" t="n">
        <v>0.1092</v>
      </c>
      <c r="G5236" t="n">
        <v>0.91</v>
      </c>
      <c r="H5236" t="n">
        <v>4</v>
      </c>
      <c r="I5236" t="n">
        <v>21</v>
      </c>
      <c r="J5236" t="n">
        <v>3</v>
      </c>
      <c r="K5236" t="n">
        <v>0</v>
      </c>
      <c r="L5236" t="n">
        <v>39563</v>
      </c>
      <c r="M5236" t="n">
        <v>52500</v>
      </c>
      <c r="N5236" t="n">
        <v>91</v>
      </c>
      <c r="O5236" t="n">
        <v>0.91</v>
      </c>
      <c r="P5236" t="n">
        <v>1</v>
      </c>
      <c r="Q5236" t="n">
        <v>0.17</v>
      </c>
      <c r="R5236" t="n">
        <v>1</v>
      </c>
      <c r="S5236" t="n">
        <v>5733</v>
      </c>
      <c r="T5236" t="n">
        <v>19</v>
      </c>
      <c r="U5236" t="n">
        <v>20</v>
      </c>
      <c r="V5236" t="n">
        <v>30</v>
      </c>
      <c r="W5236" t="n">
        <v>4</v>
      </c>
      <c r="X5236" t="n">
        <v>45.78754578754579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8519</v>
      </c>
      <c r="AG5236" t="n">
        <v>1</v>
      </c>
      <c r="AH5236" t="inlineStr">
        <is>
          <t>PT. BERSAMA DISTRIVERSA INDONESIA (DC CIPUTAT)</t>
        </is>
      </c>
      <c r="AI5236" t="n">
        <v>2098</v>
      </c>
      <c r="AJ5236" t="inlineStr">
        <is>
          <t>SKIN1004</t>
        </is>
      </c>
      <c r="AK5236" t="n">
        <v>21</v>
      </c>
      <c r="AL5236" t="inlineStr">
        <is>
          <t>Miss Glam Damar</t>
        </is>
      </c>
      <c r="AM5236" t="n">
        <v>1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SKIN1004</t>
        </is>
      </c>
      <c r="B5237" s="2">
        <f>"8809576261141"</f>
        <v/>
      </c>
      <c r="C5237" t="inlineStr">
        <is>
          <t>SKIN1004 MADAGASCAR Centella Toning Toner 210ml</t>
        </is>
      </c>
      <c r="D5237" t="inlineStr">
        <is>
          <t>Miss Glam Damar</t>
        </is>
      </c>
      <c r="E5237" t="n">
        <v>0</v>
      </c>
      <c r="F5237" t="n">
        <v>0.06370000000000001</v>
      </c>
      <c r="G5237" t="n">
        <v>0.91</v>
      </c>
      <c r="H5237" t="n">
        <v>4</v>
      </c>
      <c r="I5237" t="n">
        <v>21</v>
      </c>
      <c r="J5237" t="n">
        <v>3</v>
      </c>
      <c r="K5237" t="n">
        <v>0</v>
      </c>
      <c r="L5237" t="n">
        <v>109180</v>
      </c>
      <c r="M5237" t="n">
        <v>155500</v>
      </c>
      <c r="N5237" t="n">
        <v>91</v>
      </c>
      <c r="O5237" t="n">
        <v>0.91</v>
      </c>
      <c r="P5237" t="n">
        <v>1</v>
      </c>
      <c r="Q5237" t="n">
        <v>0.17</v>
      </c>
      <c r="R5237" t="n">
        <v>2</v>
      </c>
      <c r="S5237" t="n">
        <v>9905.35</v>
      </c>
      <c r="T5237" t="n">
        <v>19</v>
      </c>
      <c r="U5237" t="n">
        <v>20</v>
      </c>
      <c r="V5237" t="n">
        <v>30</v>
      </c>
      <c r="W5237" t="n">
        <v>2</v>
      </c>
      <c r="X5237" t="n">
        <v>0</v>
      </c>
      <c r="Y5237" t="n">
        <v>1</v>
      </c>
      <c r="Z5237" t="n">
        <v>2</v>
      </c>
      <c r="AA5237" t="n">
        <v>2</v>
      </c>
      <c r="AB5237" t="n">
        <v>0</v>
      </c>
      <c r="AC5237" t="n">
        <v>0</v>
      </c>
      <c r="AD5237" t="n">
        <v>218360</v>
      </c>
      <c r="AE5237" t="n">
        <v>0</v>
      </c>
      <c r="AF5237" t="n">
        <v>8519</v>
      </c>
      <c r="AG5237" t="n">
        <v>1</v>
      </c>
      <c r="AH5237" t="inlineStr">
        <is>
          <t>PT. BERSAMA DISTRIVERSA INDONESIA (DC CIPUTAT)</t>
        </is>
      </c>
      <c r="AI5237" t="n">
        <v>2098</v>
      </c>
      <c r="AJ5237" t="inlineStr">
        <is>
          <t>SKIN1004</t>
        </is>
      </c>
      <c r="AK5237" t="n">
        <v>21</v>
      </c>
      <c r="AL5237" t="inlineStr">
        <is>
          <t>Miss Glam Damar</t>
        </is>
      </c>
      <c r="AM5237" t="n">
        <v>1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SKINDIVORE</t>
        </is>
      </c>
      <c r="B5238" s="2">
        <f>"10500174559"</f>
        <v/>
      </c>
      <c r="C5238" t="inlineStr">
        <is>
          <t>SKINDIVORE Masker Organik Coffe 60gr</t>
        </is>
      </c>
      <c r="D5238" t="inlineStr">
        <is>
          <t>Miss Glam Damar</t>
        </is>
      </c>
      <c r="E5238" t="n">
        <v>8</v>
      </c>
      <c r="F5238" t="n">
        <v>0.04550000000000001</v>
      </c>
      <c r="G5238" t="n">
        <v>0.91</v>
      </c>
      <c r="H5238" t="n">
        <v>4</v>
      </c>
      <c r="I5238" t="n">
        <v>21</v>
      </c>
      <c r="J5238" t="n">
        <v>1</v>
      </c>
      <c r="K5238" t="n">
        <v>0</v>
      </c>
      <c r="L5238" t="n">
        <v>23671</v>
      </c>
      <c r="M5238" t="n">
        <v>38000</v>
      </c>
      <c r="N5238" t="n">
        <v>91</v>
      </c>
      <c r="O5238" t="n">
        <v>0.91</v>
      </c>
      <c r="P5238" t="n">
        <v>1</v>
      </c>
      <c r="Q5238" t="n">
        <v>0.1</v>
      </c>
      <c r="R5238" t="n">
        <v>1</v>
      </c>
      <c r="S5238" t="n">
        <v>1729</v>
      </c>
      <c r="T5238" t="n">
        <v>19</v>
      </c>
      <c r="U5238" t="n">
        <v>20</v>
      </c>
      <c r="V5238" t="n">
        <v>30</v>
      </c>
      <c r="W5238" t="n">
        <v>2</v>
      </c>
      <c r="X5238" t="n">
        <v>175.8241758241758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8552</v>
      </c>
      <c r="AG5238" t="n">
        <v>1</v>
      </c>
      <c r="AH5238" t="inlineStr">
        <is>
          <t>PT. BERSAMA DISTRIVERSA INDONESIA (DC CIPUTAT)</t>
        </is>
      </c>
      <c r="AI5238" t="n">
        <v>2291</v>
      </c>
      <c r="AJ5238" t="inlineStr">
        <is>
          <t>SKINDIVORE</t>
        </is>
      </c>
      <c r="AK5238" t="n">
        <v>21</v>
      </c>
      <c r="AL5238" t="inlineStr">
        <is>
          <t>Miss Glam Damar</t>
        </is>
      </c>
      <c r="AM5238" t="n">
        <v>4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SKINDIVORE</t>
        </is>
      </c>
      <c r="B5239" s="2">
        <f>"10500174257"</f>
        <v/>
      </c>
      <c r="C5239" t="inlineStr">
        <is>
          <t>SKINDIVORE Masker Organik Greentea 60gr</t>
        </is>
      </c>
      <c r="D5239" t="inlineStr">
        <is>
          <t>Miss Glam Damar</t>
        </is>
      </c>
      <c r="E5239" t="n">
        <v>13</v>
      </c>
      <c r="F5239" t="n">
        <v>0.1274</v>
      </c>
      <c r="G5239" t="n">
        <v>1.82</v>
      </c>
      <c r="H5239" t="n">
        <v>4</v>
      </c>
      <c r="I5239" t="n">
        <v>21</v>
      </c>
      <c r="J5239" t="n">
        <v>1</v>
      </c>
      <c r="K5239" t="n">
        <v>0</v>
      </c>
      <c r="L5239" t="n">
        <v>22894</v>
      </c>
      <c r="M5239" t="n">
        <v>38000</v>
      </c>
      <c r="N5239" t="n">
        <v>91</v>
      </c>
      <c r="O5239" t="n">
        <v>0.91</v>
      </c>
      <c r="P5239" t="n">
        <v>1</v>
      </c>
      <c r="Q5239" t="n">
        <v>0.14</v>
      </c>
      <c r="R5239" t="n">
        <v>2</v>
      </c>
      <c r="S5239" t="n">
        <v>4841.200000000001</v>
      </c>
      <c r="T5239" t="n">
        <v>38</v>
      </c>
      <c r="U5239" t="n">
        <v>39</v>
      </c>
      <c r="V5239" t="n">
        <v>30</v>
      </c>
      <c r="W5239" t="n">
        <v>4</v>
      </c>
      <c r="X5239" t="n">
        <v>102.0408163265306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8552</v>
      </c>
      <c r="AG5239" t="n">
        <v>1</v>
      </c>
      <c r="AH5239" t="inlineStr">
        <is>
          <t>PT. BERSAMA DISTRIVERSA INDONESIA (DC CIPUTAT)</t>
        </is>
      </c>
      <c r="AI5239" t="n">
        <v>2291</v>
      </c>
      <c r="AJ5239" t="inlineStr">
        <is>
          <t>SKINDIVORE</t>
        </is>
      </c>
      <c r="AK5239" t="n">
        <v>21</v>
      </c>
      <c r="AL5239" t="inlineStr">
        <is>
          <t>Miss Glam Damar</t>
        </is>
      </c>
      <c r="AM5239" t="n">
        <v>4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SKINDIVORE</t>
        </is>
      </c>
      <c r="B5240" s="2">
        <f>"10500174428"</f>
        <v/>
      </c>
      <c r="C5240" t="inlineStr">
        <is>
          <t>SKINDIVORE Masker Organik Hibiscus 60gr</t>
        </is>
      </c>
      <c r="D5240" t="inlineStr">
        <is>
          <t>Miss Glam Damar</t>
        </is>
      </c>
      <c r="E5240" t="n">
        <v>9</v>
      </c>
      <c r="F5240" t="n">
        <v>0.04550000000000001</v>
      </c>
      <c r="G5240" t="n">
        <v>0.91</v>
      </c>
      <c r="H5240" t="n">
        <v>4</v>
      </c>
      <c r="I5240" t="n">
        <v>21</v>
      </c>
      <c r="J5240" t="n">
        <v>1</v>
      </c>
      <c r="K5240" t="n">
        <v>0</v>
      </c>
      <c r="L5240" t="n">
        <v>22394</v>
      </c>
      <c r="M5240" t="n">
        <v>38000</v>
      </c>
      <c r="N5240" t="n">
        <v>91</v>
      </c>
      <c r="O5240" t="n">
        <v>0.91</v>
      </c>
      <c r="P5240" t="n">
        <v>1</v>
      </c>
      <c r="Q5240" t="n">
        <v>0.1</v>
      </c>
      <c r="R5240" t="n">
        <v>1</v>
      </c>
      <c r="S5240" t="n">
        <v>1729</v>
      </c>
      <c r="T5240" t="n">
        <v>19</v>
      </c>
      <c r="U5240" t="n">
        <v>20</v>
      </c>
      <c r="V5240" t="n">
        <v>30</v>
      </c>
      <c r="W5240" t="n">
        <v>2</v>
      </c>
      <c r="X5240" t="n">
        <v>197.8021978021978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8552</v>
      </c>
      <c r="AG5240" t="n">
        <v>1</v>
      </c>
      <c r="AH5240" t="inlineStr">
        <is>
          <t>PT. BERSAMA DISTRIVERSA INDONESIA (DC CIPUTAT)</t>
        </is>
      </c>
      <c r="AI5240" t="n">
        <v>2291</v>
      </c>
      <c r="AJ5240" t="inlineStr">
        <is>
          <t>SKINDIVORE</t>
        </is>
      </c>
      <c r="AK5240" t="n">
        <v>21</v>
      </c>
      <c r="AL5240" t="inlineStr">
        <is>
          <t>Miss Glam Damar</t>
        </is>
      </c>
      <c r="AM5240" t="n">
        <v>4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SKINDIVORE</t>
        </is>
      </c>
      <c r="B5241" s="2">
        <f>"10500174630"</f>
        <v/>
      </c>
      <c r="C5241" t="inlineStr">
        <is>
          <t>SKINDIVORE Masker Organik Milk 60gr</t>
        </is>
      </c>
      <c r="D5241" t="inlineStr">
        <is>
          <t>Miss Glam Damar</t>
        </is>
      </c>
      <c r="E5241" t="n">
        <v>12</v>
      </c>
      <c r="F5241" t="n">
        <v>0.09100000000000001</v>
      </c>
      <c r="G5241" t="n">
        <v>1.82</v>
      </c>
      <c r="H5241" t="n">
        <v>4</v>
      </c>
      <c r="I5241" t="n">
        <v>21</v>
      </c>
      <c r="J5241" t="n">
        <v>1</v>
      </c>
      <c r="K5241" t="n">
        <v>0</v>
      </c>
      <c r="L5241" t="n">
        <v>22266</v>
      </c>
      <c r="M5241" t="n">
        <v>38000</v>
      </c>
      <c r="N5241" t="n">
        <v>91</v>
      </c>
      <c r="O5241" t="n">
        <v>0.91</v>
      </c>
      <c r="P5241" t="n">
        <v>1</v>
      </c>
      <c r="Q5241" t="n">
        <v>0.1</v>
      </c>
      <c r="R5241" t="n">
        <v>1</v>
      </c>
      <c r="S5241" t="n">
        <v>3458</v>
      </c>
      <c r="T5241" t="n">
        <v>38</v>
      </c>
      <c r="U5241" t="n">
        <v>39</v>
      </c>
      <c r="V5241" t="n">
        <v>30</v>
      </c>
      <c r="W5241" t="n">
        <v>3</v>
      </c>
      <c r="X5241" t="n">
        <v>131.8681318681319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8552</v>
      </c>
      <c r="AG5241" t="n">
        <v>1</v>
      </c>
      <c r="AH5241" t="inlineStr">
        <is>
          <t>PT. BERSAMA DISTRIVERSA INDONESIA (DC CIPUTAT)</t>
        </is>
      </c>
      <c r="AI5241" t="n">
        <v>2291</v>
      </c>
      <c r="AJ5241" t="inlineStr">
        <is>
          <t>SKINDIVORE</t>
        </is>
      </c>
      <c r="AK5241" t="n">
        <v>21</v>
      </c>
      <c r="AL5241" t="inlineStr">
        <is>
          <t>Miss Glam Damar</t>
        </is>
      </c>
      <c r="AM5241" t="n">
        <v>4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SKINFLAIR</t>
        </is>
      </c>
      <c r="B5242" s="2">
        <f>"10500638238"</f>
        <v/>
      </c>
      <c r="C5242" t="inlineStr">
        <is>
          <t>SKINFLAIR  Mask White Glow Perfect Mask Masker Wajah 50gr</t>
        </is>
      </c>
      <c r="D5242" t="inlineStr">
        <is>
          <t>Miss Glam Damar</t>
        </is>
      </c>
      <c r="E5242" t="n">
        <v>0</v>
      </c>
      <c r="F5242" t="n">
        <v>0.6552</v>
      </c>
      <c r="G5242" t="n">
        <v>2.73</v>
      </c>
      <c r="H5242" t="n">
        <v>4</v>
      </c>
      <c r="I5242" t="n">
        <v>21</v>
      </c>
      <c r="J5242" t="n">
        <v>1</v>
      </c>
      <c r="K5242" t="n">
        <v>11</v>
      </c>
      <c r="L5242" t="n">
        <v>35535</v>
      </c>
      <c r="M5242" t="n">
        <v>45000</v>
      </c>
      <c r="N5242" t="n">
        <v>91</v>
      </c>
      <c r="O5242" t="n">
        <v>0.91</v>
      </c>
      <c r="P5242" t="n">
        <v>1</v>
      </c>
      <c r="Q5242" t="n">
        <v>0.37</v>
      </c>
      <c r="R5242" t="n">
        <v>2</v>
      </c>
      <c r="S5242" t="n">
        <v>29484</v>
      </c>
      <c r="T5242" t="n">
        <v>55</v>
      </c>
      <c r="U5242" t="n">
        <v>58</v>
      </c>
      <c r="V5242" t="n">
        <v>30</v>
      </c>
      <c r="W5242" t="n">
        <v>20</v>
      </c>
      <c r="X5242" t="n">
        <v>0</v>
      </c>
      <c r="Y5242" t="n">
        <v>1</v>
      </c>
      <c r="Z5242" t="n">
        <v>9</v>
      </c>
      <c r="AA5242" t="n">
        <v>13</v>
      </c>
      <c r="AB5242" t="n">
        <v>0</v>
      </c>
      <c r="AC5242" t="n">
        <v>0</v>
      </c>
      <c r="AD5242" t="n">
        <v>461955</v>
      </c>
      <c r="AE5242" t="n">
        <v>0</v>
      </c>
      <c r="AF5242" t="n">
        <v>8585</v>
      </c>
      <c r="AG5242" t="n">
        <v>1</v>
      </c>
      <c r="AH5242" t="inlineStr">
        <is>
          <t>PT. BERSAMA DISTRIVERSA INDONESIA (DC CIPUTAT)</t>
        </is>
      </c>
      <c r="AI5242" t="n">
        <v>2326</v>
      </c>
      <c r="AJ5242" t="inlineStr">
        <is>
          <t>SKINFLAIR</t>
        </is>
      </c>
      <c r="AK5242" t="n">
        <v>21</v>
      </c>
      <c r="AL5242" t="inlineStr">
        <is>
          <t>Miss Glam Damar</t>
        </is>
      </c>
      <c r="AM5242" t="n">
        <v>4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SKINFLAIR</t>
        </is>
      </c>
      <c r="B5243" s="2">
        <f>"30100244441"</f>
        <v/>
      </c>
      <c r="C5243" t="inlineStr">
        <is>
          <t>SKINFLAIR Glutathione Body Scrub Tone Up Booster</t>
        </is>
      </c>
      <c r="D5243" t="inlineStr">
        <is>
          <t>Miss Glam Damar</t>
        </is>
      </c>
      <c r="E5243" t="n">
        <v>2</v>
      </c>
      <c r="F5243" t="n">
        <v>0.09100000000000001</v>
      </c>
      <c r="G5243" t="n">
        <v>0.91</v>
      </c>
      <c r="H5243" t="n">
        <v>4</v>
      </c>
      <c r="I5243" t="n">
        <v>21</v>
      </c>
      <c r="J5243" t="n">
        <v>1</v>
      </c>
      <c r="K5243" t="n">
        <v>0</v>
      </c>
      <c r="L5243" t="n">
        <v>55900</v>
      </c>
      <c r="M5243" t="n">
        <v>82000</v>
      </c>
      <c r="N5243" t="n">
        <v>91</v>
      </c>
      <c r="O5243" t="n">
        <v>0.91</v>
      </c>
      <c r="P5243" t="n">
        <v>1</v>
      </c>
      <c r="Q5243" t="n">
        <v>0.27</v>
      </c>
      <c r="R5243" t="n">
        <v>3</v>
      </c>
      <c r="S5243" t="n">
        <v>7462.000000000001</v>
      </c>
      <c r="T5243" t="n">
        <v>19</v>
      </c>
      <c r="U5243" t="n">
        <v>20</v>
      </c>
      <c r="V5243" t="n">
        <v>30</v>
      </c>
      <c r="W5243" t="n">
        <v>3</v>
      </c>
      <c r="X5243" t="n">
        <v>21.97802197802197</v>
      </c>
      <c r="Y5243" t="n">
        <v>1</v>
      </c>
      <c r="Z5243" t="n">
        <v>1</v>
      </c>
      <c r="AA5243" t="n">
        <v>0</v>
      </c>
      <c r="AB5243" t="n">
        <v>1</v>
      </c>
      <c r="AC5243" t="n">
        <v>1</v>
      </c>
      <c r="AD5243" t="n">
        <v>0</v>
      </c>
      <c r="AE5243" t="n">
        <v>55900</v>
      </c>
      <c r="AF5243" t="n">
        <v>8585</v>
      </c>
      <c r="AG5243" t="n">
        <v>1</v>
      </c>
      <c r="AH5243" t="inlineStr">
        <is>
          <t>PT. BERSAMA DISTRIVERSA INDONESIA (DC CIPUTAT)</t>
        </is>
      </c>
      <c r="AI5243" t="n">
        <v>2326</v>
      </c>
      <c r="AJ5243" t="inlineStr">
        <is>
          <t>SKINFLAIR</t>
        </is>
      </c>
      <c r="AK5243" t="n">
        <v>21</v>
      </c>
      <c r="AL5243" t="inlineStr">
        <is>
          <t>Miss Glam Damar</t>
        </is>
      </c>
      <c r="AM5243" t="n">
        <v>4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SKINFLAIR</t>
        </is>
      </c>
      <c r="B5244" s="2">
        <f>"30200193012"</f>
        <v/>
      </c>
      <c r="C5244" t="inlineStr">
        <is>
          <t>SKINFLAIR Glutawhite Milky Lotion 150ml</t>
        </is>
      </c>
      <c r="D5244" t="inlineStr">
        <is>
          <t>Miss Glam Damar</t>
        </is>
      </c>
      <c r="E5244" t="n">
        <v>21</v>
      </c>
      <c r="F5244" t="n">
        <v>0.2912</v>
      </c>
      <c r="G5244" t="n">
        <v>4.55</v>
      </c>
      <c r="H5244" t="n">
        <v>4</v>
      </c>
      <c r="I5244" t="n">
        <v>21</v>
      </c>
      <c r="J5244" t="n">
        <v>1</v>
      </c>
      <c r="K5244" t="n">
        <v>13</v>
      </c>
      <c r="L5244" t="n">
        <v>73130</v>
      </c>
      <c r="M5244" t="n">
        <v>92000</v>
      </c>
      <c r="N5244" t="n">
        <v>91</v>
      </c>
      <c r="O5244" t="n">
        <v>0.91</v>
      </c>
      <c r="P5244" t="n">
        <v>1</v>
      </c>
      <c r="Q5244" t="n">
        <v>0.44</v>
      </c>
      <c r="R5244" t="n">
        <v>6</v>
      </c>
      <c r="S5244" t="n">
        <v>26790.4</v>
      </c>
      <c r="T5244" t="n">
        <v>95</v>
      </c>
      <c r="U5244" t="n">
        <v>97</v>
      </c>
      <c r="V5244" t="n">
        <v>30</v>
      </c>
      <c r="W5244" t="n">
        <v>9</v>
      </c>
      <c r="X5244" t="n">
        <v>72.11538461538461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8585</v>
      </c>
      <c r="AG5244" t="n">
        <v>1</v>
      </c>
      <c r="AH5244" t="inlineStr">
        <is>
          <t>PT. BERSAMA DISTRIVERSA INDONESIA (DC CIPUTAT)</t>
        </is>
      </c>
      <c r="AI5244" t="n">
        <v>2326</v>
      </c>
      <c r="AJ5244" t="inlineStr">
        <is>
          <t>SKINFLAIR</t>
        </is>
      </c>
      <c r="AK5244" t="n">
        <v>21</v>
      </c>
      <c r="AL5244" t="inlineStr">
        <is>
          <t>Miss Glam Damar</t>
        </is>
      </c>
      <c r="AM5244" t="n">
        <v>4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SKINMURCH</t>
        </is>
      </c>
      <c r="B5245" s="2">
        <f>"8994451460037"</f>
        <v/>
      </c>
      <c r="C5245" t="inlineStr">
        <is>
          <t>SKINMURCH Cloud Skin Sunscare 40ml</t>
        </is>
      </c>
      <c r="D5245" t="inlineStr">
        <is>
          <t>Miss Glam Damar</t>
        </is>
      </c>
      <c r="E5245" t="n">
        <v>1</v>
      </c>
      <c r="F5245" t="n">
        <v>0.0273</v>
      </c>
      <c r="G5245" t="n">
        <v>0.91</v>
      </c>
      <c r="H5245" t="n">
        <v>4</v>
      </c>
      <c r="I5245" t="n">
        <v>21</v>
      </c>
      <c r="J5245" t="n">
        <v>3</v>
      </c>
      <c r="K5245" t="n">
        <v>0</v>
      </c>
      <c r="L5245" t="n">
        <v>81306</v>
      </c>
      <c r="M5245" t="n">
        <v>104000</v>
      </c>
      <c r="N5245" t="n">
        <v>91</v>
      </c>
      <c r="O5245" t="n">
        <v>0.91</v>
      </c>
      <c r="P5245" t="n">
        <v>1</v>
      </c>
      <c r="Q5245" t="n">
        <v>0</v>
      </c>
      <c r="R5245" t="n">
        <v>0</v>
      </c>
      <c r="S5245" t="n">
        <v>2839.2</v>
      </c>
      <c r="T5245" t="n">
        <v>20</v>
      </c>
      <c r="U5245" t="n">
        <v>21</v>
      </c>
      <c r="V5245" t="n">
        <v>30</v>
      </c>
      <c r="W5245" t="n">
        <v>1</v>
      </c>
      <c r="X5245" t="n">
        <v>36.63003663003663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8618</v>
      </c>
      <c r="AG5245" t="n">
        <v>1</v>
      </c>
      <c r="AH5245" t="inlineStr">
        <is>
          <t>PT. BERSAMA DISTRIVERSA INDONESIA (DC CIPUTAT)</t>
        </is>
      </c>
      <c r="AI5245" t="n">
        <v>1719</v>
      </c>
      <c r="AJ5245" t="inlineStr">
        <is>
          <t>SKINMURCH</t>
        </is>
      </c>
      <c r="AK5245" t="n">
        <v>21</v>
      </c>
      <c r="AL5245" t="inlineStr">
        <is>
          <t>Miss Glam Damar</t>
        </is>
      </c>
      <c r="AM5245" t="n">
        <v>4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SKINTIFIC</t>
        </is>
      </c>
      <c r="B5246" s="2">
        <f>"7554411565328"</f>
        <v/>
      </c>
      <c r="C5246" t="inlineStr">
        <is>
          <t>SKINTIFIC 10% Niacinamide Brightening Serum 20ml</t>
        </is>
      </c>
      <c r="D5246" t="inlineStr">
        <is>
          <t>Miss Glam Damar</t>
        </is>
      </c>
      <c r="E5246" t="n">
        <v>13</v>
      </c>
      <c r="F5246" t="n">
        <v>1.1739</v>
      </c>
      <c r="G5246" t="n">
        <v>3.64</v>
      </c>
      <c r="H5246" t="n">
        <v>2</v>
      </c>
      <c r="I5246" t="n">
        <v>9</v>
      </c>
      <c r="J5246" t="n">
        <v>3</v>
      </c>
      <c r="K5246" t="n">
        <v>0</v>
      </c>
      <c r="L5246" t="n">
        <v>107974</v>
      </c>
      <c r="M5246" t="n">
        <v>143200</v>
      </c>
      <c r="N5246" t="n">
        <v>91</v>
      </c>
      <c r="O5246" t="n">
        <v>0.91</v>
      </c>
      <c r="P5246" t="n">
        <v>1</v>
      </c>
      <c r="Q5246" t="n">
        <v>1</v>
      </c>
      <c r="R5246" t="n">
        <v>4</v>
      </c>
      <c r="S5246" t="n">
        <v>168102.48</v>
      </c>
      <c r="T5246" t="n">
        <v>31</v>
      </c>
      <c r="U5246" t="n">
        <v>34</v>
      </c>
      <c r="V5246" t="n">
        <v>30</v>
      </c>
      <c r="W5246" t="n">
        <v>36</v>
      </c>
      <c r="X5246" t="n">
        <v>11.07419712070875</v>
      </c>
      <c r="Y5246" t="n">
        <v>1</v>
      </c>
      <c r="Z5246" t="n">
        <v>23</v>
      </c>
      <c r="AA5246" t="n">
        <v>0</v>
      </c>
      <c r="AB5246" t="n">
        <v>23</v>
      </c>
      <c r="AC5246" t="n">
        <v>23</v>
      </c>
      <c r="AD5246" t="n">
        <v>0</v>
      </c>
      <c r="AE5246" t="n">
        <v>2483402</v>
      </c>
      <c r="AF5246" t="n">
        <v>13364</v>
      </c>
      <c r="AG5246" t="n">
        <v>3495</v>
      </c>
      <c r="AH5246" t="inlineStr">
        <is>
          <t>PT. YAFINDO MITRA PERMATA (PDG)</t>
        </is>
      </c>
      <c r="AI5246" t="n">
        <v>1017</v>
      </c>
      <c r="AJ5246" t="inlineStr">
        <is>
          <t>SKINTIFIC</t>
        </is>
      </c>
      <c r="AK5246" t="n">
        <v>21</v>
      </c>
      <c r="AL5246" t="inlineStr">
        <is>
          <t>Miss Glam Damar</t>
        </is>
      </c>
      <c r="AM5246" t="n">
        <v>1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SKINTIFIC</t>
        </is>
      </c>
      <c r="B5247" s="2">
        <f>"810114870273"</f>
        <v/>
      </c>
      <c r="C5247" t="inlineStr">
        <is>
          <t>SKINTIFIC 10% Niacinamide Brightening Serum 50ml</t>
        </is>
      </c>
      <c r="D5247" t="inlineStr">
        <is>
          <t>Miss Glam Damar</t>
        </is>
      </c>
      <c r="E5247" t="n">
        <v>6</v>
      </c>
      <c r="F5247" t="n">
        <v>0.1547</v>
      </c>
      <c r="G5247" t="n">
        <v>1.82</v>
      </c>
      <c r="H5247" t="n">
        <v>2</v>
      </c>
      <c r="I5247" t="n">
        <v>9</v>
      </c>
      <c r="J5247" t="n">
        <v>3</v>
      </c>
      <c r="K5247" t="n">
        <v>0</v>
      </c>
      <c r="L5247" t="n">
        <v>193378</v>
      </c>
      <c r="M5247" t="n">
        <v>266500</v>
      </c>
      <c r="N5247" t="n">
        <v>91</v>
      </c>
      <c r="O5247" t="n">
        <v>0.91</v>
      </c>
      <c r="P5247" t="n">
        <v>1</v>
      </c>
      <c r="Q5247" t="n">
        <v>0.29</v>
      </c>
      <c r="R5247" t="n">
        <v>2</v>
      </c>
      <c r="S5247" t="n">
        <v>41227.55</v>
      </c>
      <c r="T5247" t="n">
        <v>17</v>
      </c>
      <c r="U5247" t="n">
        <v>18</v>
      </c>
      <c r="V5247" t="n">
        <v>30</v>
      </c>
      <c r="W5247" t="n">
        <v>5</v>
      </c>
      <c r="X5247" t="n">
        <v>38.78474466709761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13364</v>
      </c>
      <c r="AG5247" t="n">
        <v>3495</v>
      </c>
      <c r="AH5247" t="inlineStr">
        <is>
          <t>PT. YAFINDO MITRA PERMATA (PDG)</t>
        </is>
      </c>
      <c r="AI5247" t="n">
        <v>1017</v>
      </c>
      <c r="AJ5247" t="inlineStr">
        <is>
          <t>SKINTIFIC</t>
        </is>
      </c>
      <c r="AK5247" t="n">
        <v>21</v>
      </c>
      <c r="AL5247" t="inlineStr">
        <is>
          <t>Miss Glam Damar</t>
        </is>
      </c>
      <c r="AM5247" t="n">
        <v>1</v>
      </c>
      <c r="AN5247" t="n">
        <v>500000</v>
      </c>
      <c r="AO5247" t="n">
        <v>0</v>
      </c>
      <c r="AP5247" t="inlineStr"/>
      <c r="AQ5247" t="inlineStr"/>
    </row>
    <row r="5248">
      <c r="A5248" t="inlineStr">
        <is>
          <t>SKINTIFIC</t>
        </is>
      </c>
      <c r="B5248" s="2">
        <f>"11200151409"</f>
        <v/>
      </c>
      <c r="C5248" t="inlineStr">
        <is>
          <t>SKINTIFIC 10% Pure Vitamin C Brightening Serum (1g+9g)</t>
        </is>
      </c>
      <c r="D5248" t="inlineStr">
        <is>
          <t>Miss Glam Damar</t>
        </is>
      </c>
      <c r="E5248" t="n">
        <v>39</v>
      </c>
      <c r="F5248" t="n">
        <v>0.4277</v>
      </c>
      <c r="G5248" t="n">
        <v>2.73</v>
      </c>
      <c r="H5248" t="n">
        <v>2</v>
      </c>
      <c r="I5248" t="n">
        <v>9</v>
      </c>
      <c r="J5248" t="n">
        <v>1</v>
      </c>
      <c r="K5248" t="n">
        <v>0</v>
      </c>
      <c r="L5248" t="n">
        <v>95671</v>
      </c>
      <c r="M5248" t="n">
        <v>148000</v>
      </c>
      <c r="N5248" t="n">
        <v>91</v>
      </c>
      <c r="O5248" t="n">
        <v>0.91</v>
      </c>
      <c r="P5248" t="n">
        <v>1</v>
      </c>
      <c r="Q5248" t="n">
        <v>0.76</v>
      </c>
      <c r="R5248" t="n">
        <v>4</v>
      </c>
      <c r="S5248" t="n">
        <v>63299.6</v>
      </c>
      <c r="T5248" t="n">
        <v>24</v>
      </c>
      <c r="U5248" t="n">
        <v>25</v>
      </c>
      <c r="V5248" t="n">
        <v>30</v>
      </c>
      <c r="W5248" t="n">
        <v>13</v>
      </c>
      <c r="X5248" t="n">
        <v>91.18541033434651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13364</v>
      </c>
      <c r="AG5248" t="n">
        <v>3495</v>
      </c>
      <c r="AH5248" t="inlineStr">
        <is>
          <t>PT. YAFINDO MITRA PERMATA (PDG)</t>
        </is>
      </c>
      <c r="AI5248" t="n">
        <v>1017</v>
      </c>
      <c r="AJ5248" t="inlineStr">
        <is>
          <t>SKINTIFIC</t>
        </is>
      </c>
      <c r="AK5248" t="n">
        <v>21</v>
      </c>
      <c r="AL5248" t="inlineStr">
        <is>
          <t>Miss Glam Damar</t>
        </is>
      </c>
      <c r="AM5248" t="n">
        <v>1</v>
      </c>
      <c r="AN5248" t="n">
        <v>500000</v>
      </c>
      <c r="AO5248" t="n">
        <v>0</v>
      </c>
      <c r="AP5248" t="inlineStr"/>
      <c r="AQ5248" t="inlineStr"/>
    </row>
    <row r="5249">
      <c r="A5249" t="inlineStr">
        <is>
          <t>SKINTIFIC</t>
        </is>
      </c>
      <c r="B5249" s="2">
        <f>"810114871843"</f>
        <v/>
      </c>
      <c r="C5249" t="inlineStr">
        <is>
          <t>SKINTIFIC 12% AHA BHA PHA LHA Peeling Solution 30ml</t>
        </is>
      </c>
      <c r="D5249" t="inlineStr">
        <is>
          <t>Miss Glam Damar</t>
        </is>
      </c>
      <c r="E5249" t="n">
        <v>11</v>
      </c>
      <c r="F5249" t="n">
        <v>0.8372000000000001</v>
      </c>
      <c r="G5249" t="n">
        <v>2.73</v>
      </c>
      <c r="H5249" t="n">
        <v>2</v>
      </c>
      <c r="I5249" t="n">
        <v>9</v>
      </c>
      <c r="J5249" t="n">
        <v>24</v>
      </c>
      <c r="K5249" t="n">
        <v>0</v>
      </c>
      <c r="L5249" t="n">
        <v>118734</v>
      </c>
      <c r="M5249" t="n">
        <v>154200</v>
      </c>
      <c r="N5249" t="n">
        <v>91</v>
      </c>
      <c r="O5249" t="n">
        <v>0.91</v>
      </c>
      <c r="P5249" t="n">
        <v>1</v>
      </c>
      <c r="Q5249" t="n">
        <v>0.78</v>
      </c>
      <c r="R5249" t="n">
        <v>5</v>
      </c>
      <c r="S5249" t="n">
        <v>129096.24</v>
      </c>
      <c r="T5249" t="n">
        <v>23</v>
      </c>
      <c r="U5249" t="n">
        <v>25</v>
      </c>
      <c r="V5249" t="n">
        <v>30</v>
      </c>
      <c r="W5249" t="n">
        <v>26</v>
      </c>
      <c r="X5249" t="n">
        <v>13.13903487816531</v>
      </c>
      <c r="Y5249" t="n">
        <v>1</v>
      </c>
      <c r="Z5249" t="n">
        <v>15</v>
      </c>
      <c r="AA5249" t="n">
        <v>0</v>
      </c>
      <c r="AB5249" t="n">
        <v>15</v>
      </c>
      <c r="AC5249" t="n">
        <v>24</v>
      </c>
      <c r="AD5249" t="n">
        <v>0</v>
      </c>
      <c r="AE5249" t="n">
        <v>2849616</v>
      </c>
      <c r="AF5249" t="n">
        <v>13364</v>
      </c>
      <c r="AG5249" t="n">
        <v>3495</v>
      </c>
      <c r="AH5249" t="inlineStr">
        <is>
          <t>PT. YAFINDO MITRA PERMATA (PDG)</t>
        </is>
      </c>
      <c r="AI5249" t="n">
        <v>1017</v>
      </c>
      <c r="AJ5249" t="inlineStr">
        <is>
          <t>SKINTIFIC</t>
        </is>
      </c>
      <c r="AK5249" t="n">
        <v>21</v>
      </c>
      <c r="AL5249" t="inlineStr">
        <is>
          <t>Miss Glam Damar</t>
        </is>
      </c>
      <c r="AM5249" t="n">
        <v>1</v>
      </c>
      <c r="AN5249" t="n">
        <v>500000</v>
      </c>
      <c r="AO5249" t="n">
        <v>0</v>
      </c>
      <c r="AP5249" t="inlineStr"/>
      <c r="AQ5249" t="inlineStr"/>
    </row>
    <row r="5250">
      <c r="A5250" t="inlineStr">
        <is>
          <t>SKINTIFIC</t>
        </is>
      </c>
      <c r="B5250" s="2">
        <f>"6974388210013"</f>
        <v/>
      </c>
      <c r="C5250" t="inlineStr">
        <is>
          <t>SKINTIFIC 2% Salicylic Acid Anti Acne Serum 20ml</t>
        </is>
      </c>
      <c r="D5250" t="inlineStr">
        <is>
          <t>Miss Glam Damar</t>
        </is>
      </c>
      <c r="E5250" t="n">
        <v>3</v>
      </c>
      <c r="F5250" t="n">
        <v>0.3094</v>
      </c>
      <c r="G5250" t="n">
        <v>1.82</v>
      </c>
      <c r="H5250" t="n">
        <v>2</v>
      </c>
      <c r="I5250" t="n">
        <v>9</v>
      </c>
      <c r="J5250" t="n">
        <v>3</v>
      </c>
      <c r="K5250" t="n">
        <v>0</v>
      </c>
      <c r="L5250" t="n">
        <v>110264</v>
      </c>
      <c r="M5250" t="n">
        <v>142000</v>
      </c>
      <c r="N5250" t="n">
        <v>91</v>
      </c>
      <c r="O5250" t="n">
        <v>0.91</v>
      </c>
      <c r="P5250" t="n">
        <v>1</v>
      </c>
      <c r="Q5250" t="n">
        <v>0.14</v>
      </c>
      <c r="R5250" t="n">
        <v>1</v>
      </c>
      <c r="S5250" t="n">
        <v>43934.8</v>
      </c>
      <c r="T5250" t="n">
        <v>16</v>
      </c>
      <c r="U5250" t="n">
        <v>17</v>
      </c>
      <c r="V5250" t="n">
        <v>30</v>
      </c>
      <c r="W5250" t="n">
        <v>10</v>
      </c>
      <c r="X5250" t="n">
        <v>9.696186166774401</v>
      </c>
      <c r="Y5250" t="n">
        <v>1</v>
      </c>
      <c r="Z5250" t="n">
        <v>7</v>
      </c>
      <c r="AA5250" t="n">
        <v>0</v>
      </c>
      <c r="AB5250" t="n">
        <v>7</v>
      </c>
      <c r="AC5250" t="n">
        <v>7</v>
      </c>
      <c r="AD5250" t="n">
        <v>0</v>
      </c>
      <c r="AE5250" t="n">
        <v>771848</v>
      </c>
      <c r="AF5250" t="n">
        <v>13364</v>
      </c>
      <c r="AG5250" t="n">
        <v>3495</v>
      </c>
      <c r="AH5250" t="inlineStr">
        <is>
          <t>PT. YAFINDO MITRA PERMATA (PDG)</t>
        </is>
      </c>
      <c r="AI5250" t="n">
        <v>1017</v>
      </c>
      <c r="AJ5250" t="inlineStr">
        <is>
          <t>SKINTIFIC</t>
        </is>
      </c>
      <c r="AK5250" t="n">
        <v>21</v>
      </c>
      <c r="AL5250" t="inlineStr">
        <is>
          <t>Miss Glam Damar</t>
        </is>
      </c>
      <c r="AM5250" t="n">
        <v>1</v>
      </c>
      <c r="AN5250" t="n">
        <v>500000</v>
      </c>
      <c r="AO5250" t="n">
        <v>0</v>
      </c>
      <c r="AP5250" t="inlineStr"/>
      <c r="AQ5250" t="inlineStr"/>
    </row>
    <row r="5251">
      <c r="A5251" t="inlineStr">
        <is>
          <t>SKINTIFIC</t>
        </is>
      </c>
      <c r="B5251" s="2">
        <f>"810114870457"</f>
        <v/>
      </c>
      <c r="C5251" t="inlineStr">
        <is>
          <t>SKINTIFIC 3% Tranexamic Acid Advanced Bright Serum 20ml</t>
        </is>
      </c>
      <c r="D5251" t="inlineStr">
        <is>
          <t>Miss Glam Damar</t>
        </is>
      </c>
      <c r="E5251" t="n">
        <v>4</v>
      </c>
      <c r="F5251" t="n">
        <v>0.1092</v>
      </c>
      <c r="G5251" t="n">
        <v>0.91</v>
      </c>
      <c r="H5251" t="n">
        <v>2</v>
      </c>
      <c r="I5251" t="n">
        <v>9</v>
      </c>
      <c r="J5251" t="n">
        <v>3</v>
      </c>
      <c r="K5251" t="n">
        <v>0</v>
      </c>
      <c r="L5251" t="n">
        <v>109810</v>
      </c>
      <c r="M5251" t="n">
        <v>148500</v>
      </c>
      <c r="N5251" t="n">
        <v>91</v>
      </c>
      <c r="O5251" t="n">
        <v>0.91</v>
      </c>
      <c r="P5251" t="n">
        <v>1</v>
      </c>
      <c r="Q5251" t="n">
        <v>0.37</v>
      </c>
      <c r="R5251" t="n">
        <v>3</v>
      </c>
      <c r="S5251" t="n">
        <v>16216.2</v>
      </c>
      <c r="T5251" t="n">
        <v>8</v>
      </c>
      <c r="U5251" t="n">
        <v>9</v>
      </c>
      <c r="V5251" t="n">
        <v>30</v>
      </c>
      <c r="W5251" t="n">
        <v>4</v>
      </c>
      <c r="X5251" t="n">
        <v>36.63003663003663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13364</v>
      </c>
      <c r="AG5251" t="n">
        <v>3495</v>
      </c>
      <c r="AH5251" t="inlineStr">
        <is>
          <t>PT. YAFINDO MITRA PERMATA (PDG)</t>
        </is>
      </c>
      <c r="AI5251" t="n">
        <v>1017</v>
      </c>
      <c r="AJ5251" t="inlineStr">
        <is>
          <t>SKINTIFIC</t>
        </is>
      </c>
      <c r="AK5251" t="n">
        <v>21</v>
      </c>
      <c r="AL5251" t="inlineStr">
        <is>
          <t>Miss Glam Damar</t>
        </is>
      </c>
      <c r="AM5251" t="n">
        <v>1</v>
      </c>
      <c r="AN5251" t="n">
        <v>500000</v>
      </c>
      <c r="AO5251" t="n">
        <v>0</v>
      </c>
      <c r="AP5251" t="inlineStr"/>
      <c r="AQ5251" t="inlineStr"/>
    </row>
    <row r="5252">
      <c r="A5252" t="inlineStr">
        <is>
          <t>SKINTIFIC</t>
        </is>
      </c>
      <c r="B5252" s="2">
        <f>"10200162158"</f>
        <v/>
      </c>
      <c r="C5252" t="inlineStr">
        <is>
          <t>SKINTIFIC 377 Dark Spot Essence Toner 80ml</t>
        </is>
      </c>
      <c r="D5252" t="inlineStr">
        <is>
          <t>Miss Glam Damar</t>
        </is>
      </c>
      <c r="E5252" t="n">
        <v>6</v>
      </c>
      <c r="F5252" t="n">
        <v>0.2639</v>
      </c>
      <c r="G5252" t="n">
        <v>1.82</v>
      </c>
      <c r="H5252" t="n">
        <v>2</v>
      </c>
      <c r="I5252" t="n">
        <v>9</v>
      </c>
      <c r="J5252" t="n">
        <v>1</v>
      </c>
      <c r="K5252" t="n">
        <v>0</v>
      </c>
      <c r="L5252" t="n">
        <v>89348</v>
      </c>
      <c r="M5252" t="n">
        <v>135000</v>
      </c>
      <c r="N5252" t="n">
        <v>91</v>
      </c>
      <c r="O5252" t="n">
        <v>0.91</v>
      </c>
      <c r="P5252" t="n">
        <v>1</v>
      </c>
      <c r="Q5252" t="n">
        <v>0.36</v>
      </c>
      <c r="R5252" t="n">
        <v>3</v>
      </c>
      <c r="S5252" t="n">
        <v>35626.49999999999</v>
      </c>
      <c r="T5252" t="n">
        <v>16</v>
      </c>
      <c r="U5252" t="n">
        <v>17</v>
      </c>
      <c r="V5252" t="n">
        <v>30</v>
      </c>
      <c r="W5252" t="n">
        <v>8</v>
      </c>
      <c r="X5252" t="n">
        <v>22.73588480485033</v>
      </c>
      <c r="Y5252" t="n">
        <v>1</v>
      </c>
      <c r="Z5252" t="n">
        <v>2</v>
      </c>
      <c r="AA5252" t="n">
        <v>0</v>
      </c>
      <c r="AB5252" t="n">
        <v>2</v>
      </c>
      <c r="AC5252" t="n">
        <v>2</v>
      </c>
      <c r="AD5252" t="n">
        <v>0</v>
      </c>
      <c r="AE5252" t="n">
        <v>178696</v>
      </c>
      <c r="AF5252" t="n">
        <v>13364</v>
      </c>
      <c r="AG5252" t="n">
        <v>3495</v>
      </c>
      <c r="AH5252" t="inlineStr">
        <is>
          <t>PT. YAFINDO MITRA PERMATA (PDG)</t>
        </is>
      </c>
      <c r="AI5252" t="n">
        <v>1017</v>
      </c>
      <c r="AJ5252" t="inlineStr">
        <is>
          <t>SKINTIFIC</t>
        </is>
      </c>
      <c r="AK5252" t="n">
        <v>21</v>
      </c>
      <c r="AL5252" t="inlineStr">
        <is>
          <t>Miss Glam Damar</t>
        </is>
      </c>
      <c r="AM5252" t="n">
        <v>1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SKINTIFIC</t>
        </is>
      </c>
      <c r="B5253" s="2">
        <f>"810114871799"</f>
        <v/>
      </c>
      <c r="C5253" t="inlineStr">
        <is>
          <t>SKINTIFIC 3x Acid Acne Gel Cleanser 120ml</t>
        </is>
      </c>
      <c r="D5253" t="inlineStr">
        <is>
          <t>Miss Glam Damar</t>
        </is>
      </c>
      <c r="E5253" t="n">
        <v>4</v>
      </c>
      <c r="F5253" t="n">
        <v>0.6643</v>
      </c>
      <c r="G5253" t="n">
        <v>2.73</v>
      </c>
      <c r="H5253" t="n">
        <v>2</v>
      </c>
      <c r="I5253" t="n">
        <v>9</v>
      </c>
      <c r="J5253" t="n">
        <v>3</v>
      </c>
      <c r="K5253" t="n">
        <v>0</v>
      </c>
      <c r="L5253" t="n">
        <v>76237</v>
      </c>
      <c r="M5253" t="n">
        <v>106000</v>
      </c>
      <c r="N5253" t="n">
        <v>91</v>
      </c>
      <c r="O5253" t="n">
        <v>0.91</v>
      </c>
      <c r="P5253" t="n">
        <v>1</v>
      </c>
      <c r="Q5253" t="n">
        <v>0.36</v>
      </c>
      <c r="R5253" t="n">
        <v>4</v>
      </c>
      <c r="S5253" t="n">
        <v>70415.8</v>
      </c>
      <c r="T5253" t="n">
        <v>24</v>
      </c>
      <c r="U5253" t="n">
        <v>26</v>
      </c>
      <c r="V5253" t="n">
        <v>30</v>
      </c>
      <c r="W5253" t="n">
        <v>20</v>
      </c>
      <c r="X5253" t="n">
        <v>6.021375884389583</v>
      </c>
      <c r="Y5253" t="n">
        <v>1</v>
      </c>
      <c r="Z5253" t="n">
        <v>16</v>
      </c>
      <c r="AA5253" t="n">
        <v>2</v>
      </c>
      <c r="AB5253" t="n">
        <v>14</v>
      </c>
      <c r="AC5253" t="n">
        <v>14</v>
      </c>
      <c r="AD5253" t="n">
        <v>152474</v>
      </c>
      <c r="AE5253" t="n">
        <v>1067318</v>
      </c>
      <c r="AF5253" t="n">
        <v>13364</v>
      </c>
      <c r="AG5253" t="n">
        <v>3495</v>
      </c>
      <c r="AH5253" t="inlineStr">
        <is>
          <t>PT. YAFINDO MITRA PERMATA (PDG)</t>
        </is>
      </c>
      <c r="AI5253" t="n">
        <v>1017</v>
      </c>
      <c r="AJ5253" t="inlineStr">
        <is>
          <t>SKINTIFIC</t>
        </is>
      </c>
      <c r="AK5253" t="n">
        <v>21</v>
      </c>
      <c r="AL5253" t="inlineStr">
        <is>
          <t>Miss Glam Damar</t>
        </is>
      </c>
      <c r="AM5253" t="n">
        <v>1</v>
      </c>
      <c r="AN5253" t="n">
        <v>500000</v>
      </c>
      <c r="AO5253" t="n">
        <v>0</v>
      </c>
      <c r="AP5253" t="inlineStr"/>
      <c r="AQ5253" t="inlineStr"/>
    </row>
    <row r="5254">
      <c r="A5254" t="inlineStr">
        <is>
          <t>SKINTIFIC</t>
        </is>
      </c>
      <c r="B5254" s="2">
        <f>"810114871461"</f>
        <v/>
      </c>
      <c r="C5254" t="inlineStr">
        <is>
          <t>SKINTIFIC 3x Acid Anti Acne Gel Moisturizer 30gr</t>
        </is>
      </c>
      <c r="D5254" t="inlineStr">
        <is>
          <t>Miss Glam Damar</t>
        </is>
      </c>
      <c r="E5254" t="n">
        <v>6</v>
      </c>
      <c r="F5254" t="n">
        <v>0.5733</v>
      </c>
      <c r="G5254" t="n">
        <v>2.73</v>
      </c>
      <c r="H5254" t="n">
        <v>2</v>
      </c>
      <c r="I5254" t="n">
        <v>9</v>
      </c>
      <c r="J5254" t="n">
        <v>3</v>
      </c>
      <c r="K5254" t="n">
        <v>0</v>
      </c>
      <c r="L5254" t="n">
        <v>112914</v>
      </c>
      <c r="M5254" t="n">
        <v>148500</v>
      </c>
      <c r="N5254" t="n">
        <v>91</v>
      </c>
      <c r="O5254" t="n">
        <v>0.91</v>
      </c>
      <c r="P5254" t="n">
        <v>1</v>
      </c>
      <c r="Q5254" t="n">
        <v>0.2</v>
      </c>
      <c r="R5254" t="n">
        <v>2</v>
      </c>
      <c r="S5254" t="n">
        <v>85135.05</v>
      </c>
      <c r="T5254" t="n">
        <v>24</v>
      </c>
      <c r="U5254" t="n">
        <v>26</v>
      </c>
      <c r="V5254" t="n">
        <v>30</v>
      </c>
      <c r="W5254" t="n">
        <v>18</v>
      </c>
      <c r="X5254" t="n">
        <v>10.46572475143904</v>
      </c>
      <c r="Y5254" t="n">
        <v>1</v>
      </c>
      <c r="Z5254" t="n">
        <v>12</v>
      </c>
      <c r="AA5254" t="n">
        <v>0</v>
      </c>
      <c r="AB5254" t="n">
        <v>12</v>
      </c>
      <c r="AC5254" t="n">
        <v>12</v>
      </c>
      <c r="AD5254" t="n">
        <v>0</v>
      </c>
      <c r="AE5254" t="n">
        <v>1354968</v>
      </c>
      <c r="AF5254" t="n">
        <v>13364</v>
      </c>
      <c r="AG5254" t="n">
        <v>3495</v>
      </c>
      <c r="AH5254" t="inlineStr">
        <is>
          <t>PT. YAFINDO MITRA PERMATA (PDG)</t>
        </is>
      </c>
      <c r="AI5254" t="n">
        <v>1017</v>
      </c>
      <c r="AJ5254" t="inlineStr">
        <is>
          <t>SKINTIFIC</t>
        </is>
      </c>
      <c r="AK5254" t="n">
        <v>21</v>
      </c>
      <c r="AL5254" t="inlineStr">
        <is>
          <t>Miss Glam Damar</t>
        </is>
      </c>
      <c r="AM5254" t="n">
        <v>1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SKINTIFIC</t>
        </is>
      </c>
      <c r="B5255" s="2">
        <f>"10600406553"</f>
        <v/>
      </c>
      <c r="C5255" t="inlineStr">
        <is>
          <t>SKINTIFIC 3X Acid Intensive Acne Spot 11gr</t>
        </is>
      </c>
      <c r="D5255" t="inlineStr">
        <is>
          <t>Miss Glam Damar</t>
        </is>
      </c>
      <c r="E5255" t="n">
        <v>4</v>
      </c>
      <c r="F5255" t="n">
        <v>0.03</v>
      </c>
      <c r="G5255" t="n">
        <v>1</v>
      </c>
      <c r="H5255" t="n">
        <v>2</v>
      </c>
      <c r="I5255" t="n">
        <v>9</v>
      </c>
      <c r="J5255" t="n">
        <v>1</v>
      </c>
      <c r="K5255" t="n">
        <v>0</v>
      </c>
      <c r="L5255" t="n">
        <v>76237</v>
      </c>
      <c r="M5255" t="n">
        <v>106000</v>
      </c>
      <c r="N5255" t="n">
        <v>91</v>
      </c>
      <c r="O5255" t="n">
        <v>0.91</v>
      </c>
      <c r="P5255" t="n">
        <v>0</v>
      </c>
      <c r="Q5255" t="n">
        <v>0.03</v>
      </c>
      <c r="R5255" t="n">
        <v>1</v>
      </c>
      <c r="S5255" t="n">
        <v>3180</v>
      </c>
      <c r="T5255" t="n">
        <v>9</v>
      </c>
      <c r="U5255" t="n">
        <v>10</v>
      </c>
      <c r="V5255" t="n">
        <v>30</v>
      </c>
      <c r="W5255" t="n">
        <v>1</v>
      </c>
      <c r="X5255" t="n">
        <v>133.3333333333333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13364</v>
      </c>
      <c r="AG5255" t="n">
        <v>3495</v>
      </c>
      <c r="AH5255" t="inlineStr">
        <is>
          <t>PT. YAFINDO MITRA PERMATA (PDG)</t>
        </is>
      </c>
      <c r="AI5255" t="n">
        <v>1017</v>
      </c>
      <c r="AJ5255" t="inlineStr">
        <is>
          <t>SKINTIFIC</t>
        </is>
      </c>
      <c r="AK5255" t="n">
        <v>21</v>
      </c>
      <c r="AL5255" t="inlineStr">
        <is>
          <t>Miss Glam Damar</t>
        </is>
      </c>
      <c r="AM5255" t="n">
        <v>1</v>
      </c>
      <c r="AN5255" t="n">
        <v>500000</v>
      </c>
      <c r="AO5255" t="n">
        <v>0</v>
      </c>
      <c r="AP5255" t="inlineStr"/>
      <c r="AQ5255" t="inlineStr"/>
    </row>
    <row r="5256">
      <c r="A5256" t="inlineStr">
        <is>
          <t>SKINTIFIC</t>
        </is>
      </c>
      <c r="B5256" s="2">
        <f>"7554411565946"</f>
        <v/>
      </c>
      <c r="C5256" t="inlineStr">
        <is>
          <t>SKINTIFIC 4D Hyaluronic Acid Barrier Essence Toner 100ml</t>
        </is>
      </c>
      <c r="D5256" t="inlineStr">
        <is>
          <t>Miss Glam Damar</t>
        </is>
      </c>
      <c r="E5256" t="n">
        <v>1</v>
      </c>
      <c r="F5256" t="n">
        <v>0.2002</v>
      </c>
      <c r="G5256" t="n">
        <v>1.82</v>
      </c>
      <c r="H5256" t="n">
        <v>2</v>
      </c>
      <c r="I5256" t="n">
        <v>9</v>
      </c>
      <c r="J5256" t="n">
        <v>3</v>
      </c>
      <c r="K5256" t="n">
        <v>0</v>
      </c>
      <c r="L5256" t="n">
        <v>94262</v>
      </c>
      <c r="M5256" t="n">
        <v>124000</v>
      </c>
      <c r="N5256" t="n">
        <v>91</v>
      </c>
      <c r="O5256" t="n">
        <v>0.91</v>
      </c>
      <c r="P5256" t="n">
        <v>1</v>
      </c>
      <c r="Q5256" t="n">
        <v>0.27</v>
      </c>
      <c r="R5256" t="n">
        <v>2</v>
      </c>
      <c r="S5256" t="n">
        <v>24824.8</v>
      </c>
      <c r="T5256" t="n">
        <v>16</v>
      </c>
      <c r="U5256" t="n">
        <v>17</v>
      </c>
      <c r="V5256" t="n">
        <v>30</v>
      </c>
      <c r="W5256" t="n">
        <v>7</v>
      </c>
      <c r="X5256" t="n">
        <v>4.995004995004995</v>
      </c>
      <c r="Y5256" t="n">
        <v>1</v>
      </c>
      <c r="Z5256" t="n">
        <v>6</v>
      </c>
      <c r="AA5256" t="n">
        <v>1</v>
      </c>
      <c r="AB5256" t="n">
        <v>5</v>
      </c>
      <c r="AC5256" t="n">
        <v>5</v>
      </c>
      <c r="AD5256" t="n">
        <v>94262</v>
      </c>
      <c r="AE5256" t="n">
        <v>471310</v>
      </c>
      <c r="AF5256" t="n">
        <v>13364</v>
      </c>
      <c r="AG5256" t="n">
        <v>3495</v>
      </c>
      <c r="AH5256" t="inlineStr">
        <is>
          <t>PT. YAFINDO MITRA PERMATA (PDG)</t>
        </is>
      </c>
      <c r="AI5256" t="n">
        <v>1017</v>
      </c>
      <c r="AJ5256" t="inlineStr">
        <is>
          <t>SKINTIFIC</t>
        </is>
      </c>
      <c r="AK5256" t="n">
        <v>21</v>
      </c>
      <c r="AL5256" t="inlineStr">
        <is>
          <t>Miss Glam Damar</t>
        </is>
      </c>
      <c r="AM5256" t="n">
        <v>1</v>
      </c>
      <c r="AN5256" t="n">
        <v>500000</v>
      </c>
      <c r="AO5256" t="n">
        <v>0</v>
      </c>
      <c r="AP5256" t="inlineStr"/>
      <c r="AQ5256" t="inlineStr"/>
    </row>
    <row r="5257">
      <c r="A5257" t="inlineStr">
        <is>
          <t>SKINTIFIC</t>
        </is>
      </c>
      <c r="B5257" s="2">
        <f>"810114870693"</f>
        <v/>
      </c>
      <c r="C5257" t="inlineStr">
        <is>
          <t>SKINTIFIC 5% Panthenol Acne Calming Water Gel 45gr</t>
        </is>
      </c>
      <c r="D5257" t="inlineStr">
        <is>
          <t>Miss Glam Damar</t>
        </is>
      </c>
      <c r="E5257" t="n">
        <v>9</v>
      </c>
      <c r="F5257" t="n">
        <v>0.5369</v>
      </c>
      <c r="G5257" t="n">
        <v>2.73</v>
      </c>
      <c r="H5257" t="n">
        <v>2</v>
      </c>
      <c r="I5257" t="n">
        <v>9</v>
      </c>
      <c r="J5257" t="n">
        <v>3</v>
      </c>
      <c r="K5257" t="n">
        <v>0</v>
      </c>
      <c r="L5257" t="n">
        <v>108757</v>
      </c>
      <c r="M5257" t="n">
        <v>148500</v>
      </c>
      <c r="N5257" t="n">
        <v>91</v>
      </c>
      <c r="O5257" t="n">
        <v>0.91</v>
      </c>
      <c r="P5257" t="n">
        <v>1</v>
      </c>
      <c r="Q5257" t="n">
        <v>0.54</v>
      </c>
      <c r="R5257" t="n">
        <v>3</v>
      </c>
      <c r="S5257" t="n">
        <v>79729.65000000001</v>
      </c>
      <c r="T5257" t="n">
        <v>24</v>
      </c>
      <c r="U5257" t="n">
        <v>26</v>
      </c>
      <c r="V5257" t="n">
        <v>30</v>
      </c>
      <c r="W5257" t="n">
        <v>17</v>
      </c>
      <c r="X5257" t="n">
        <v>16.76289811883032</v>
      </c>
      <c r="Y5257" t="n">
        <v>1</v>
      </c>
      <c r="Z5257" t="n">
        <v>8</v>
      </c>
      <c r="AA5257" t="n">
        <v>0</v>
      </c>
      <c r="AB5257" t="n">
        <v>8</v>
      </c>
      <c r="AC5257" t="n">
        <v>8</v>
      </c>
      <c r="AD5257" t="n">
        <v>0</v>
      </c>
      <c r="AE5257" t="n">
        <v>870056</v>
      </c>
      <c r="AF5257" t="n">
        <v>13364</v>
      </c>
      <c r="AG5257" t="n">
        <v>3495</v>
      </c>
      <c r="AH5257" t="inlineStr">
        <is>
          <t>PT. YAFINDO MITRA PERMATA (PDG)</t>
        </is>
      </c>
      <c r="AI5257" t="n">
        <v>1017</v>
      </c>
      <c r="AJ5257" t="inlineStr">
        <is>
          <t>SKINTIFIC</t>
        </is>
      </c>
      <c r="AK5257" t="n">
        <v>21</v>
      </c>
      <c r="AL5257" t="inlineStr">
        <is>
          <t>Miss Glam Damar</t>
        </is>
      </c>
      <c r="AM5257" t="n">
        <v>1</v>
      </c>
      <c r="AN5257" t="n">
        <v>500000</v>
      </c>
      <c r="AO5257" t="n">
        <v>0</v>
      </c>
      <c r="AP5257" t="inlineStr"/>
      <c r="AQ5257" t="inlineStr"/>
    </row>
    <row r="5258">
      <c r="A5258" t="inlineStr">
        <is>
          <t>SKINTIFIC</t>
        </is>
      </c>
      <c r="B5258" s="2">
        <f>"10300514242"</f>
        <v/>
      </c>
      <c r="C5258" t="inlineStr">
        <is>
          <t>SKINTIFIC 5X Ceramide Barrier Moisture Gel Light Texture 30gr</t>
        </is>
      </c>
      <c r="D5258" t="inlineStr">
        <is>
          <t>Miss Glam Damar</t>
        </is>
      </c>
      <c r="E5258" t="n">
        <v>12</v>
      </c>
      <c r="F5258" t="n">
        <v>1.001</v>
      </c>
      <c r="G5258" t="n">
        <v>4.55</v>
      </c>
      <c r="H5258" t="n">
        <v>2</v>
      </c>
      <c r="I5258" t="n">
        <v>9</v>
      </c>
      <c r="J5258" t="n">
        <v>1</v>
      </c>
      <c r="K5258" t="n">
        <v>0</v>
      </c>
      <c r="L5258" t="n">
        <v>107030</v>
      </c>
      <c r="M5258" t="n">
        <v>139000</v>
      </c>
      <c r="N5258" t="n">
        <v>91</v>
      </c>
      <c r="O5258" t="n">
        <v>0.91</v>
      </c>
      <c r="P5258" t="n">
        <v>1</v>
      </c>
      <c r="Q5258" t="n">
        <v>0.97</v>
      </c>
      <c r="R5258" t="n">
        <v>4</v>
      </c>
      <c r="S5258" t="n">
        <v>139139</v>
      </c>
      <c r="T5258" t="n">
        <v>39</v>
      </c>
      <c r="U5258" t="n">
        <v>42</v>
      </c>
      <c r="V5258" t="n">
        <v>30</v>
      </c>
      <c r="W5258" t="n">
        <v>31</v>
      </c>
      <c r="X5258" t="n">
        <v>11.98801198801199</v>
      </c>
      <c r="Y5258" t="n">
        <v>1</v>
      </c>
      <c r="Z5258" t="n">
        <v>19</v>
      </c>
      <c r="AA5258" t="n">
        <v>0</v>
      </c>
      <c r="AB5258" t="n">
        <v>19</v>
      </c>
      <c r="AC5258" t="n">
        <v>19</v>
      </c>
      <c r="AD5258" t="n">
        <v>0</v>
      </c>
      <c r="AE5258" t="n">
        <v>2033570</v>
      </c>
      <c r="AF5258" t="n">
        <v>13364</v>
      </c>
      <c r="AG5258" t="n">
        <v>3495</v>
      </c>
      <c r="AH5258" t="inlineStr">
        <is>
          <t>PT. YAFINDO MITRA PERMATA (PDG)</t>
        </is>
      </c>
      <c r="AI5258" t="n">
        <v>1017</v>
      </c>
      <c r="AJ5258" t="inlineStr">
        <is>
          <t>SKINTIFIC</t>
        </is>
      </c>
      <c r="AK5258" t="n">
        <v>21</v>
      </c>
      <c r="AL5258" t="inlineStr">
        <is>
          <t>Miss Glam Damar</t>
        </is>
      </c>
      <c r="AM5258" t="n">
        <v>1</v>
      </c>
      <c r="AN5258" t="n">
        <v>500000</v>
      </c>
      <c r="AO5258" t="n">
        <v>0</v>
      </c>
      <c r="AP5258" t="inlineStr"/>
      <c r="AQ5258" t="inlineStr"/>
    </row>
    <row r="5259">
      <c r="A5259" t="inlineStr">
        <is>
          <t>SKINTIFIC</t>
        </is>
      </c>
      <c r="B5259" s="2">
        <f>"7554411569838"</f>
        <v/>
      </c>
      <c r="C5259" t="inlineStr">
        <is>
          <t>SKINTIFIC 5X Ceramide Barrier Moisturi Gel 6gr</t>
        </is>
      </c>
      <c r="D5259" t="inlineStr">
        <is>
          <t>Miss Glam Damar</t>
        </is>
      </c>
      <c r="E5259" t="n">
        <v>9</v>
      </c>
      <c r="F5259" t="n">
        <v>0.3822</v>
      </c>
      <c r="G5259" t="n">
        <v>4.55</v>
      </c>
      <c r="H5259" t="n">
        <v>2</v>
      </c>
      <c r="I5259" t="n">
        <v>9</v>
      </c>
      <c r="J5259" t="n">
        <v>3</v>
      </c>
      <c r="K5259" t="n">
        <v>0</v>
      </c>
      <c r="L5259" t="n">
        <v>33342</v>
      </c>
      <c r="M5259" t="n">
        <v>42000</v>
      </c>
      <c r="N5259" t="n">
        <v>91</v>
      </c>
      <c r="O5259" t="n">
        <v>0.91</v>
      </c>
      <c r="P5259" t="n">
        <v>1</v>
      </c>
      <c r="Q5259" t="n">
        <v>0.44</v>
      </c>
      <c r="R5259" t="n">
        <v>2</v>
      </c>
      <c r="S5259" t="n">
        <v>16052.4</v>
      </c>
      <c r="T5259" t="n">
        <v>41</v>
      </c>
      <c r="U5259" t="n">
        <v>42</v>
      </c>
      <c r="V5259" t="n">
        <v>30</v>
      </c>
      <c r="W5259" t="n">
        <v>12</v>
      </c>
      <c r="X5259" t="n">
        <v>23.54788069073783</v>
      </c>
      <c r="Y5259" t="n">
        <v>1</v>
      </c>
      <c r="Z5259" t="n">
        <v>3</v>
      </c>
      <c r="AA5259" t="n">
        <v>0</v>
      </c>
      <c r="AB5259" t="n">
        <v>3</v>
      </c>
      <c r="AC5259" t="n">
        <v>3</v>
      </c>
      <c r="AD5259" t="n">
        <v>0</v>
      </c>
      <c r="AE5259" t="n">
        <v>100026</v>
      </c>
      <c r="AF5259" t="n">
        <v>13364</v>
      </c>
      <c r="AG5259" t="n">
        <v>3495</v>
      </c>
      <c r="AH5259" t="inlineStr">
        <is>
          <t>PT. YAFINDO MITRA PERMATA (PDG)</t>
        </is>
      </c>
      <c r="AI5259" t="n">
        <v>1017</v>
      </c>
      <c r="AJ5259" t="inlineStr">
        <is>
          <t>SKINTIFIC</t>
        </is>
      </c>
      <c r="AK5259" t="n">
        <v>21</v>
      </c>
      <c r="AL5259" t="inlineStr">
        <is>
          <t>Miss Glam Damar</t>
        </is>
      </c>
      <c r="AM5259" t="n">
        <v>1</v>
      </c>
      <c r="AN5259" t="n">
        <v>500000</v>
      </c>
      <c r="AO5259" t="n">
        <v>0</v>
      </c>
      <c r="AP5259" t="inlineStr"/>
      <c r="AQ5259" t="inlineStr"/>
    </row>
    <row r="5260">
      <c r="A5260" t="inlineStr">
        <is>
          <t>SKINTIFIC</t>
        </is>
      </c>
      <c r="B5260" s="2">
        <f>"7554411566554"</f>
        <v/>
      </c>
      <c r="C5260" t="inlineStr">
        <is>
          <t>SKINTIFIC 5X Ceramide Barrier Repair Moisture Gel 30gr</t>
        </is>
      </c>
      <c r="D5260" t="inlineStr">
        <is>
          <t>Miss Glam Damar</t>
        </is>
      </c>
      <c r="E5260" t="n">
        <v>74</v>
      </c>
      <c r="F5260" t="n">
        <v>3.64</v>
      </c>
      <c r="G5260" t="n">
        <v>15.47</v>
      </c>
      <c r="H5260" t="n">
        <v>2</v>
      </c>
      <c r="I5260" t="n">
        <v>9</v>
      </c>
      <c r="J5260" t="n">
        <v>12</v>
      </c>
      <c r="K5260" t="n">
        <v>0</v>
      </c>
      <c r="L5260" t="n">
        <v>108756</v>
      </c>
      <c r="M5260" t="n">
        <v>152000</v>
      </c>
      <c r="N5260" t="n">
        <v>91</v>
      </c>
      <c r="O5260" t="n">
        <v>0.91</v>
      </c>
      <c r="P5260" t="n">
        <v>1</v>
      </c>
      <c r="Q5260" t="n">
        <v>4.08</v>
      </c>
      <c r="R5260" t="n">
        <v>12</v>
      </c>
      <c r="S5260" t="n">
        <v>553280</v>
      </c>
      <c r="T5260" t="n">
        <v>132</v>
      </c>
      <c r="U5260" t="n">
        <v>140</v>
      </c>
      <c r="V5260" t="n">
        <v>30</v>
      </c>
      <c r="W5260" t="n">
        <v>110</v>
      </c>
      <c r="X5260" t="n">
        <v>20.32967032967033</v>
      </c>
      <c r="Y5260" t="n">
        <v>1</v>
      </c>
      <c r="Z5260" t="n">
        <v>36</v>
      </c>
      <c r="AA5260" t="n">
        <v>0</v>
      </c>
      <c r="AB5260" t="n">
        <v>36</v>
      </c>
      <c r="AC5260" t="n">
        <v>36</v>
      </c>
      <c r="AD5260" t="n">
        <v>0</v>
      </c>
      <c r="AE5260" t="n">
        <v>3915216</v>
      </c>
      <c r="AF5260" t="n">
        <v>13364</v>
      </c>
      <c r="AG5260" t="n">
        <v>3495</v>
      </c>
      <c r="AH5260" t="inlineStr">
        <is>
          <t>PT. YAFINDO MITRA PERMATA (PDG)</t>
        </is>
      </c>
      <c r="AI5260" t="n">
        <v>1017</v>
      </c>
      <c r="AJ5260" t="inlineStr">
        <is>
          <t>SKINTIFIC</t>
        </is>
      </c>
      <c r="AK5260" t="n">
        <v>21</v>
      </c>
      <c r="AL5260" t="inlineStr">
        <is>
          <t>Miss Glam Damar</t>
        </is>
      </c>
      <c r="AM5260" t="n">
        <v>1</v>
      </c>
      <c r="AN5260" t="n">
        <v>500000</v>
      </c>
      <c r="AO5260" t="n">
        <v>0</v>
      </c>
      <c r="AP5260" t="inlineStr"/>
      <c r="AQ5260" t="inlineStr"/>
    </row>
    <row r="5261">
      <c r="A5261" t="inlineStr">
        <is>
          <t>SKINTIFIC</t>
        </is>
      </c>
      <c r="B5261" s="2">
        <f>"7554411571336"</f>
        <v/>
      </c>
      <c r="C5261" t="inlineStr">
        <is>
          <t>SKINTIFIC 5X Ceramide Barrier Repair Moisture Gel 80g</t>
        </is>
      </c>
      <c r="D5261" t="inlineStr">
        <is>
          <t>Miss Glam Damar</t>
        </is>
      </c>
      <c r="E5261" t="n">
        <v>6</v>
      </c>
      <c r="F5261" t="n">
        <v>0.1547</v>
      </c>
      <c r="G5261" t="n">
        <v>1.82</v>
      </c>
      <c r="H5261" t="n">
        <v>2</v>
      </c>
      <c r="I5261" t="n">
        <v>9</v>
      </c>
      <c r="J5261" t="n">
        <v>3</v>
      </c>
      <c r="K5261" t="n">
        <v>0</v>
      </c>
      <c r="L5261" t="n">
        <v>233613</v>
      </c>
      <c r="M5261" t="n">
        <v>321000</v>
      </c>
      <c r="N5261" t="n">
        <v>91</v>
      </c>
      <c r="O5261" t="n">
        <v>0.91</v>
      </c>
      <c r="P5261" t="n">
        <v>1</v>
      </c>
      <c r="Q5261" t="n">
        <v>0.44</v>
      </c>
      <c r="R5261" t="n">
        <v>2</v>
      </c>
      <c r="S5261" t="n">
        <v>49658.7</v>
      </c>
      <c r="T5261" t="n">
        <v>17</v>
      </c>
      <c r="U5261" t="n">
        <v>18</v>
      </c>
      <c r="V5261" t="n">
        <v>30</v>
      </c>
      <c r="W5261" t="n">
        <v>5</v>
      </c>
      <c r="X5261" t="n">
        <v>38.78474466709761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13364</v>
      </c>
      <c r="AG5261" t="n">
        <v>3495</v>
      </c>
      <c r="AH5261" t="inlineStr">
        <is>
          <t>PT. YAFINDO MITRA PERMATA (PDG)</t>
        </is>
      </c>
      <c r="AI5261" t="n">
        <v>1017</v>
      </c>
      <c r="AJ5261" t="inlineStr">
        <is>
          <t>SKINTIFIC</t>
        </is>
      </c>
      <c r="AK5261" t="n">
        <v>21</v>
      </c>
      <c r="AL5261" t="inlineStr">
        <is>
          <t>Miss Glam Damar</t>
        </is>
      </c>
      <c r="AM5261" t="n">
        <v>1</v>
      </c>
      <c r="AN5261" t="n">
        <v>500000</v>
      </c>
      <c r="AO5261" t="n">
        <v>0</v>
      </c>
      <c r="AP5261" t="inlineStr"/>
      <c r="AQ5261" t="inlineStr"/>
    </row>
    <row r="5262">
      <c r="A5262" t="inlineStr">
        <is>
          <t>SKINTIFIC</t>
        </is>
      </c>
      <c r="B5262" s="2">
        <f>"7554411568916"</f>
        <v/>
      </c>
      <c r="C5262" t="inlineStr">
        <is>
          <t>SKINTIFIC 5X Ceramide Barrier Repair Serum 20ml</t>
        </is>
      </c>
      <c r="D5262" t="inlineStr">
        <is>
          <t>Miss Glam Damar</t>
        </is>
      </c>
      <c r="E5262" t="n">
        <v>21</v>
      </c>
      <c r="F5262" t="n">
        <v>0.2275</v>
      </c>
      <c r="G5262" t="n">
        <v>2.73</v>
      </c>
      <c r="H5262" t="n">
        <v>2</v>
      </c>
      <c r="I5262" t="n">
        <v>9</v>
      </c>
      <c r="J5262" t="n">
        <v>24</v>
      </c>
      <c r="K5262" t="n">
        <v>0</v>
      </c>
      <c r="L5262" t="n">
        <v>101522</v>
      </c>
      <c r="M5262" t="n">
        <v>138000</v>
      </c>
      <c r="N5262" t="n">
        <v>91</v>
      </c>
      <c r="O5262" t="n">
        <v>0.91</v>
      </c>
      <c r="P5262" t="n">
        <v>1</v>
      </c>
      <c r="Q5262" t="n">
        <v>0.37</v>
      </c>
      <c r="R5262" t="n">
        <v>1</v>
      </c>
      <c r="S5262" t="n">
        <v>31395</v>
      </c>
      <c r="T5262" t="n">
        <v>25</v>
      </c>
      <c r="U5262" t="n">
        <v>26</v>
      </c>
      <c r="V5262" t="n">
        <v>30</v>
      </c>
      <c r="W5262" t="n">
        <v>7</v>
      </c>
      <c r="X5262" t="n">
        <v>92.30769230769231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13364</v>
      </c>
      <c r="AG5262" t="n">
        <v>3495</v>
      </c>
      <c r="AH5262" t="inlineStr">
        <is>
          <t>PT. YAFINDO MITRA PERMATA (PDG)</t>
        </is>
      </c>
      <c r="AI5262" t="n">
        <v>1017</v>
      </c>
      <c r="AJ5262" t="inlineStr">
        <is>
          <t>SKINTIFIC</t>
        </is>
      </c>
      <c r="AK5262" t="n">
        <v>21</v>
      </c>
      <c r="AL5262" t="inlineStr">
        <is>
          <t>Miss Glam Damar</t>
        </is>
      </c>
      <c r="AM5262" t="n">
        <v>1</v>
      </c>
      <c r="AN5262" t="n">
        <v>500000</v>
      </c>
      <c r="AO5262" t="n">
        <v>0</v>
      </c>
      <c r="AP5262" t="inlineStr"/>
      <c r="AQ5262" t="inlineStr"/>
    </row>
    <row r="5263">
      <c r="A5263" t="inlineStr">
        <is>
          <t>SKINTIFIC</t>
        </is>
      </c>
      <c r="B5263" s="2">
        <f>"810114870310"</f>
        <v/>
      </c>
      <c r="C5263" t="inlineStr">
        <is>
          <t>SKINTIFIC 5X Ceramide Barrier Repair Serum 50ml</t>
        </is>
      </c>
      <c r="D5263" t="inlineStr">
        <is>
          <t>Miss Glam Damar</t>
        </is>
      </c>
      <c r="E5263" t="n">
        <v>4</v>
      </c>
      <c r="F5263" t="n">
        <v>0.0273</v>
      </c>
      <c r="G5263" t="n">
        <v>0.91</v>
      </c>
      <c r="H5263" t="n">
        <v>2</v>
      </c>
      <c r="I5263" t="n">
        <v>9</v>
      </c>
      <c r="J5263" t="n">
        <v>3</v>
      </c>
      <c r="K5263" t="n">
        <v>0</v>
      </c>
      <c r="L5263" t="n">
        <v>197003</v>
      </c>
      <c r="M5263" t="n">
        <v>266500</v>
      </c>
      <c r="N5263" t="n">
        <v>91</v>
      </c>
      <c r="O5263" t="n">
        <v>0.91</v>
      </c>
      <c r="P5263" t="n">
        <v>1</v>
      </c>
      <c r="Q5263" t="n">
        <v>0.14</v>
      </c>
      <c r="R5263" t="n">
        <v>1</v>
      </c>
      <c r="S5263" t="n">
        <v>7275.450000000001</v>
      </c>
      <c r="T5263" t="n">
        <v>9</v>
      </c>
      <c r="U5263" t="n">
        <v>10</v>
      </c>
      <c r="V5263" t="n">
        <v>30</v>
      </c>
      <c r="W5263" t="n">
        <v>1</v>
      </c>
      <c r="X5263" t="n">
        <v>146.5201465201465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13364</v>
      </c>
      <c r="AG5263" t="n">
        <v>3495</v>
      </c>
      <c r="AH5263" t="inlineStr">
        <is>
          <t>PT. YAFINDO MITRA PERMATA (PDG)</t>
        </is>
      </c>
      <c r="AI5263" t="n">
        <v>1017</v>
      </c>
      <c r="AJ5263" t="inlineStr">
        <is>
          <t>SKINTIFIC</t>
        </is>
      </c>
      <c r="AK5263" t="n">
        <v>21</v>
      </c>
      <c r="AL5263" t="inlineStr">
        <is>
          <t>Miss Glam Damar</t>
        </is>
      </c>
      <c r="AM5263" t="n">
        <v>1</v>
      </c>
      <c r="AN5263" t="n">
        <v>500000</v>
      </c>
      <c r="AO5263" t="n">
        <v>0</v>
      </c>
      <c r="AP5263" t="inlineStr"/>
      <c r="AQ5263" t="inlineStr"/>
    </row>
    <row r="5264">
      <c r="A5264" t="inlineStr">
        <is>
          <t>SKINTIFIC</t>
        </is>
      </c>
      <c r="B5264" s="2">
        <f>"810114870082"</f>
        <v/>
      </c>
      <c r="C5264" t="inlineStr">
        <is>
          <t>SKINTIFIC 5X Ceramide Barrier Repair Travel Kit Series</t>
        </is>
      </c>
      <c r="D5264" t="inlineStr">
        <is>
          <t>Miss Glam Damar</t>
        </is>
      </c>
      <c r="E5264" t="n">
        <v>0</v>
      </c>
      <c r="F5264" t="n">
        <v>0.06370000000000001</v>
      </c>
      <c r="G5264" t="n">
        <v>0.91</v>
      </c>
      <c r="H5264" t="n">
        <v>2</v>
      </c>
      <c r="I5264" t="n">
        <v>9</v>
      </c>
      <c r="J5264" t="n">
        <v>3</v>
      </c>
      <c r="K5264" t="n">
        <v>0</v>
      </c>
      <c r="L5264" t="n">
        <v>110264</v>
      </c>
      <c r="M5264" t="n">
        <v>138000</v>
      </c>
      <c r="N5264" t="n">
        <v>91</v>
      </c>
      <c r="O5264" t="n">
        <v>0.91</v>
      </c>
      <c r="P5264" t="n">
        <v>1</v>
      </c>
      <c r="Q5264" t="n">
        <v>0.09</v>
      </c>
      <c r="R5264" t="n">
        <v>2</v>
      </c>
      <c r="S5264" t="n">
        <v>8790.6</v>
      </c>
      <c r="T5264" t="n">
        <v>9</v>
      </c>
      <c r="U5264" t="n">
        <v>10</v>
      </c>
      <c r="V5264" t="n">
        <v>30</v>
      </c>
      <c r="W5264" t="n">
        <v>2</v>
      </c>
      <c r="X5264" t="n">
        <v>0</v>
      </c>
      <c r="Y5264" t="n">
        <v>1</v>
      </c>
      <c r="Z5264" t="n">
        <v>2</v>
      </c>
      <c r="AA5264" t="n">
        <v>1</v>
      </c>
      <c r="AB5264" t="n">
        <v>1</v>
      </c>
      <c r="AC5264" t="n">
        <v>3</v>
      </c>
      <c r="AD5264" t="n">
        <v>110264</v>
      </c>
      <c r="AE5264" t="n">
        <v>330792</v>
      </c>
      <c r="AF5264" t="n">
        <v>13364</v>
      </c>
      <c r="AG5264" t="n">
        <v>3495</v>
      </c>
      <c r="AH5264" t="inlineStr">
        <is>
          <t>PT. YAFINDO MITRA PERMATA (PDG)</t>
        </is>
      </c>
      <c r="AI5264" t="n">
        <v>1017</v>
      </c>
      <c r="AJ5264" t="inlineStr">
        <is>
          <t>SKINTIFIC</t>
        </is>
      </c>
      <c r="AK5264" t="n">
        <v>21</v>
      </c>
      <c r="AL5264" t="inlineStr">
        <is>
          <t>Miss Glam Damar</t>
        </is>
      </c>
      <c r="AM5264" t="n">
        <v>1</v>
      </c>
      <c r="AN5264" t="n">
        <v>500000</v>
      </c>
      <c r="AO5264" t="n">
        <v>0</v>
      </c>
      <c r="AP5264" t="inlineStr"/>
      <c r="AQ5264" t="inlineStr"/>
    </row>
    <row r="5265">
      <c r="A5265" t="inlineStr">
        <is>
          <t>SKINTIFIC</t>
        </is>
      </c>
      <c r="B5265" s="2">
        <f>"7554411570414"</f>
        <v/>
      </c>
      <c r="C5265" t="inlineStr">
        <is>
          <t>SKINTIFIC 5X Ceramide Low PH Cleanser 15ml</t>
        </is>
      </c>
      <c r="D5265" t="inlineStr">
        <is>
          <t>Miss Glam Damar</t>
        </is>
      </c>
      <c r="E5265" t="n">
        <v>5</v>
      </c>
      <c r="F5265" t="n">
        <v>0.08</v>
      </c>
      <c r="G5265" t="n">
        <v>1</v>
      </c>
      <c r="H5265" t="n">
        <v>2</v>
      </c>
      <c r="I5265" t="n">
        <v>9</v>
      </c>
      <c r="J5265" t="n">
        <v>3</v>
      </c>
      <c r="K5265" t="n">
        <v>0</v>
      </c>
      <c r="L5265" t="n">
        <v>33342</v>
      </c>
      <c r="M5265" t="n">
        <v>42000</v>
      </c>
      <c r="N5265" t="n">
        <v>91</v>
      </c>
      <c r="O5265" t="n">
        <v>0.91</v>
      </c>
      <c r="P5265" t="n">
        <v>0</v>
      </c>
      <c r="Q5265" t="n">
        <v>0.08</v>
      </c>
      <c r="R5265" t="n">
        <v>1</v>
      </c>
      <c r="S5265" t="n">
        <v>3360</v>
      </c>
      <c r="T5265" t="n">
        <v>9</v>
      </c>
      <c r="U5265" t="n">
        <v>10</v>
      </c>
      <c r="V5265" t="n">
        <v>30</v>
      </c>
      <c r="W5265" t="n">
        <v>3</v>
      </c>
      <c r="X5265" t="n">
        <v>62.5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13364</v>
      </c>
      <c r="AG5265" t="n">
        <v>3495</v>
      </c>
      <c r="AH5265" t="inlineStr">
        <is>
          <t>PT. YAFINDO MITRA PERMATA (PDG)</t>
        </is>
      </c>
      <c r="AI5265" t="n">
        <v>1017</v>
      </c>
      <c r="AJ5265" t="inlineStr">
        <is>
          <t>SKINTIFIC</t>
        </is>
      </c>
      <c r="AK5265" t="n">
        <v>21</v>
      </c>
      <c r="AL5265" t="inlineStr">
        <is>
          <t>Miss Glam Damar</t>
        </is>
      </c>
      <c r="AM5265" t="n">
        <v>1</v>
      </c>
      <c r="AN5265" t="n">
        <v>500000</v>
      </c>
      <c r="AO5265" t="n">
        <v>0</v>
      </c>
      <c r="AP5265" t="inlineStr"/>
      <c r="AQ5265" t="inlineStr"/>
    </row>
    <row r="5266">
      <c r="A5266" t="inlineStr">
        <is>
          <t>SKINTIFIC</t>
        </is>
      </c>
      <c r="B5266" s="2">
        <f>"6974388210037"</f>
        <v/>
      </c>
      <c r="C5266" t="inlineStr">
        <is>
          <t>SKINTIFIC 5X Ceramide Low PH Cleanser 80ml</t>
        </is>
      </c>
      <c r="D5266" t="inlineStr">
        <is>
          <t>Miss Glam Damar</t>
        </is>
      </c>
      <c r="E5266" t="n">
        <v>36</v>
      </c>
      <c r="F5266" t="n">
        <v>1.1921</v>
      </c>
      <c r="G5266" t="n">
        <v>3.64</v>
      </c>
      <c r="H5266" t="n">
        <v>2</v>
      </c>
      <c r="I5266" t="n">
        <v>9</v>
      </c>
      <c r="J5266" t="n">
        <v>3</v>
      </c>
      <c r="K5266" t="n">
        <v>0</v>
      </c>
      <c r="L5266" t="n">
        <v>76725</v>
      </c>
      <c r="M5266" t="n">
        <v>103500</v>
      </c>
      <c r="N5266" t="n">
        <v>91</v>
      </c>
      <c r="O5266" t="n">
        <v>0.91</v>
      </c>
      <c r="P5266" t="n">
        <v>1</v>
      </c>
      <c r="Q5266" t="n">
        <v>1.61</v>
      </c>
      <c r="R5266" t="n">
        <v>6</v>
      </c>
      <c r="S5266" t="n">
        <v>123382.35</v>
      </c>
      <c r="T5266" t="n">
        <v>31</v>
      </c>
      <c r="U5266" t="n">
        <v>34</v>
      </c>
      <c r="V5266" t="n">
        <v>30</v>
      </c>
      <c r="W5266" t="n">
        <v>36</v>
      </c>
      <c r="X5266" t="n">
        <v>30.19880882476302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13364</v>
      </c>
      <c r="AG5266" t="n">
        <v>3495</v>
      </c>
      <c r="AH5266" t="inlineStr">
        <is>
          <t>PT. YAFINDO MITRA PERMATA (PDG)</t>
        </is>
      </c>
      <c r="AI5266" t="n">
        <v>1017</v>
      </c>
      <c r="AJ5266" t="inlineStr">
        <is>
          <t>SKINTIFIC</t>
        </is>
      </c>
      <c r="AK5266" t="n">
        <v>21</v>
      </c>
      <c r="AL5266" t="inlineStr">
        <is>
          <t>Miss Glam Damar</t>
        </is>
      </c>
      <c r="AM5266" t="n">
        <v>1</v>
      </c>
      <c r="AN5266" t="n">
        <v>500000</v>
      </c>
      <c r="AO5266" t="n">
        <v>0</v>
      </c>
      <c r="AP5266" t="inlineStr"/>
      <c r="AQ5266" t="inlineStr"/>
    </row>
    <row r="5267">
      <c r="A5267" t="inlineStr">
        <is>
          <t>SKINTIFIC</t>
        </is>
      </c>
      <c r="B5267" s="2">
        <f>"810114870044"</f>
        <v/>
      </c>
      <c r="C5267" t="inlineStr">
        <is>
          <t>SKINTIFIC 5x Ceramide Serum Sunscreen SPF 50 30ml</t>
        </is>
      </c>
      <c r="D5267" t="inlineStr">
        <is>
          <t>Miss Glam Damar</t>
        </is>
      </c>
      <c r="E5267" t="n">
        <v>31</v>
      </c>
      <c r="F5267" t="n">
        <v>1.0829</v>
      </c>
      <c r="G5267" t="n">
        <v>3.64</v>
      </c>
      <c r="H5267" t="n">
        <v>2</v>
      </c>
      <c r="I5267" t="n">
        <v>9</v>
      </c>
      <c r="J5267" t="n">
        <v>3</v>
      </c>
      <c r="K5267" t="n">
        <v>0</v>
      </c>
      <c r="L5267" t="n">
        <v>77107</v>
      </c>
      <c r="M5267" t="n">
        <v>109900</v>
      </c>
      <c r="N5267" t="n">
        <v>91</v>
      </c>
      <c r="O5267" t="n">
        <v>0.91</v>
      </c>
      <c r="P5267" t="n">
        <v>1</v>
      </c>
      <c r="Q5267" t="n">
        <v>0.95</v>
      </c>
      <c r="R5267" t="n">
        <v>4</v>
      </c>
      <c r="S5267" t="n">
        <v>119010.71</v>
      </c>
      <c r="T5267" t="n">
        <v>31</v>
      </c>
      <c r="U5267" t="n">
        <v>34</v>
      </c>
      <c r="V5267" t="n">
        <v>30</v>
      </c>
      <c r="W5267" t="n">
        <v>33</v>
      </c>
      <c r="X5267" t="n">
        <v>28.62683534952443</v>
      </c>
      <c r="Y5267" t="n">
        <v>1</v>
      </c>
      <c r="Z5267" t="n">
        <v>2</v>
      </c>
      <c r="AA5267" t="n">
        <v>0</v>
      </c>
      <c r="AB5267" t="n">
        <v>2</v>
      </c>
      <c r="AC5267" t="n">
        <v>3</v>
      </c>
      <c r="AD5267" t="n">
        <v>0</v>
      </c>
      <c r="AE5267" t="n">
        <v>231321</v>
      </c>
      <c r="AF5267" t="n">
        <v>13364</v>
      </c>
      <c r="AG5267" t="n">
        <v>3495</v>
      </c>
      <c r="AH5267" t="inlineStr">
        <is>
          <t>PT. YAFINDO MITRA PERMATA (PDG)</t>
        </is>
      </c>
      <c r="AI5267" t="n">
        <v>1017</v>
      </c>
      <c r="AJ5267" t="inlineStr">
        <is>
          <t>SKINTIFIC</t>
        </is>
      </c>
      <c r="AK5267" t="n">
        <v>21</v>
      </c>
      <c r="AL5267" t="inlineStr">
        <is>
          <t>Miss Glam Damar</t>
        </is>
      </c>
      <c r="AM5267" t="n">
        <v>1</v>
      </c>
      <c r="AN5267" t="n">
        <v>500000</v>
      </c>
      <c r="AO5267" t="n">
        <v>0</v>
      </c>
      <c r="AP5267" t="inlineStr"/>
      <c r="AQ5267" t="inlineStr"/>
    </row>
    <row r="5268">
      <c r="A5268" t="inlineStr">
        <is>
          <t>SKINTIFIC</t>
        </is>
      </c>
      <c r="B5268" s="2">
        <f>"10400618143"</f>
        <v/>
      </c>
      <c r="C5268" t="inlineStr">
        <is>
          <t>SKINTIFIC 5X Ceramide Serum Sunscreen SPF 50 PA++++ 50ml</t>
        </is>
      </c>
      <c r="D5268" t="inlineStr">
        <is>
          <t>Miss Glam Damar</t>
        </is>
      </c>
      <c r="E5268" t="n">
        <v>5</v>
      </c>
      <c r="F5268" t="n">
        <v>0.4186</v>
      </c>
      <c r="G5268" t="n">
        <v>2.73</v>
      </c>
      <c r="H5268" t="n">
        <v>2</v>
      </c>
      <c r="I5268" t="n">
        <v>9</v>
      </c>
      <c r="J5268" t="n">
        <v>1</v>
      </c>
      <c r="K5268" t="n">
        <v>0</v>
      </c>
      <c r="L5268" t="n">
        <v>84615</v>
      </c>
      <c r="M5268" t="n">
        <v>110000</v>
      </c>
      <c r="N5268" t="n">
        <v>91</v>
      </c>
      <c r="O5268" t="n">
        <v>0.91</v>
      </c>
      <c r="P5268" t="n">
        <v>1</v>
      </c>
      <c r="Q5268" t="n">
        <v>0.46</v>
      </c>
      <c r="R5268" t="n">
        <v>4</v>
      </c>
      <c r="S5268" t="n">
        <v>46046</v>
      </c>
      <c r="T5268" t="n">
        <v>24</v>
      </c>
      <c r="U5268" t="n">
        <v>25</v>
      </c>
      <c r="V5268" t="n">
        <v>30</v>
      </c>
      <c r="W5268" t="n">
        <v>13</v>
      </c>
      <c r="X5268" t="n">
        <v>11.94457716196847</v>
      </c>
      <c r="Y5268" t="n">
        <v>1</v>
      </c>
      <c r="Z5268" t="n">
        <v>8</v>
      </c>
      <c r="AA5268" t="n">
        <v>0</v>
      </c>
      <c r="AB5268" t="n">
        <v>8</v>
      </c>
      <c r="AC5268" t="n">
        <v>8</v>
      </c>
      <c r="AD5268" t="n">
        <v>0</v>
      </c>
      <c r="AE5268" t="n">
        <v>676920</v>
      </c>
      <c r="AF5268" t="n">
        <v>13364</v>
      </c>
      <c r="AG5268" t="n">
        <v>3495</v>
      </c>
      <c r="AH5268" t="inlineStr">
        <is>
          <t>PT. YAFINDO MITRA PERMATA (PDG)</t>
        </is>
      </c>
      <c r="AI5268" t="n">
        <v>1017</v>
      </c>
      <c r="AJ5268" t="inlineStr">
        <is>
          <t>SKINTIFIC</t>
        </is>
      </c>
      <c r="AK5268" t="n">
        <v>21</v>
      </c>
      <c r="AL5268" t="inlineStr">
        <is>
          <t>Miss Glam Damar</t>
        </is>
      </c>
      <c r="AM5268" t="n">
        <v>1</v>
      </c>
      <c r="AN5268" t="n">
        <v>500000</v>
      </c>
      <c r="AO5268" t="n">
        <v>0</v>
      </c>
      <c r="AP5268" t="inlineStr"/>
      <c r="AQ5268" t="inlineStr"/>
    </row>
    <row r="5269">
      <c r="A5269" t="inlineStr">
        <is>
          <t>SKINTIFIC</t>
        </is>
      </c>
      <c r="B5269" s="2">
        <f>"810114870099"</f>
        <v/>
      </c>
      <c r="C5269" t="inlineStr">
        <is>
          <t>SKINTIFIC 5x Ceramide Shooting Sheet Mask 26ml</t>
        </is>
      </c>
      <c r="D5269" t="inlineStr">
        <is>
          <t>Miss Glam Damar</t>
        </is>
      </c>
      <c r="E5269" t="n">
        <v>42</v>
      </c>
      <c r="F5269" t="n">
        <v>1.2922</v>
      </c>
      <c r="G5269" t="n">
        <v>9.1</v>
      </c>
      <c r="H5269" t="n">
        <v>2</v>
      </c>
      <c r="I5269" t="n">
        <v>9</v>
      </c>
      <c r="J5269" t="n">
        <v>3</v>
      </c>
      <c r="K5269" t="n">
        <v>0</v>
      </c>
      <c r="L5269" t="n">
        <v>21368</v>
      </c>
      <c r="M5269" t="n">
        <v>27000</v>
      </c>
      <c r="N5269" t="n">
        <v>91</v>
      </c>
      <c r="O5269" t="n">
        <v>0.91</v>
      </c>
      <c r="P5269" t="n">
        <v>1</v>
      </c>
      <c r="Q5269" t="n">
        <v>2.92</v>
      </c>
      <c r="R5269" t="n">
        <v>13</v>
      </c>
      <c r="S5269" t="n">
        <v>34889.4</v>
      </c>
      <c r="T5269" t="n">
        <v>80</v>
      </c>
      <c r="U5269" t="n">
        <v>83</v>
      </c>
      <c r="V5269" t="n">
        <v>30</v>
      </c>
      <c r="W5269" t="n">
        <v>39</v>
      </c>
      <c r="X5269" t="n">
        <v>32.50270855904659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13364</v>
      </c>
      <c r="AG5269" t="n">
        <v>3495</v>
      </c>
      <c r="AH5269" t="inlineStr">
        <is>
          <t>PT. YAFINDO MITRA PERMATA (PDG)</t>
        </is>
      </c>
      <c r="AI5269" t="n">
        <v>1017</v>
      </c>
      <c r="AJ5269" t="inlineStr">
        <is>
          <t>SKINTIFIC</t>
        </is>
      </c>
      <c r="AK5269" t="n">
        <v>21</v>
      </c>
      <c r="AL5269" t="inlineStr">
        <is>
          <t>Miss Glam Damar</t>
        </is>
      </c>
      <c r="AM5269" t="n">
        <v>1</v>
      </c>
      <c r="AN5269" t="n">
        <v>500000</v>
      </c>
      <c r="AO5269" t="n">
        <v>0</v>
      </c>
      <c r="AP5269" t="inlineStr"/>
      <c r="AQ5269" t="inlineStr"/>
    </row>
    <row r="5270">
      <c r="A5270" t="inlineStr">
        <is>
          <t>SKINTIFIC</t>
        </is>
      </c>
      <c r="B5270" s="2">
        <f>"7554411568398"</f>
        <v/>
      </c>
      <c r="C5270" t="inlineStr">
        <is>
          <t>SKINTIFIC 5X Ceramide Shooting Toner 80ml</t>
        </is>
      </c>
      <c r="D5270" t="inlineStr">
        <is>
          <t>Miss Glam Damar</t>
        </is>
      </c>
      <c r="E5270" t="n">
        <v>10</v>
      </c>
      <c r="F5270" t="n">
        <v>0.4641</v>
      </c>
      <c r="G5270" t="n">
        <v>1.82</v>
      </c>
      <c r="H5270" t="n">
        <v>2</v>
      </c>
      <c r="I5270" t="n">
        <v>9</v>
      </c>
      <c r="J5270" t="n">
        <v>3</v>
      </c>
      <c r="K5270" t="n">
        <v>0</v>
      </c>
      <c r="L5270" t="n">
        <v>92523</v>
      </c>
      <c r="M5270" t="n">
        <v>124000</v>
      </c>
      <c r="N5270" t="n">
        <v>91</v>
      </c>
      <c r="O5270" t="n">
        <v>0.91</v>
      </c>
      <c r="P5270" t="n">
        <v>1</v>
      </c>
      <c r="Q5270" t="n">
        <v>0.53</v>
      </c>
      <c r="R5270" t="n">
        <v>2</v>
      </c>
      <c r="S5270" t="n">
        <v>57548.4</v>
      </c>
      <c r="T5270" t="n">
        <v>16</v>
      </c>
      <c r="U5270" t="n">
        <v>17</v>
      </c>
      <c r="V5270" t="n">
        <v>30</v>
      </c>
      <c r="W5270" t="n">
        <v>14</v>
      </c>
      <c r="X5270" t="n">
        <v>21.54708037060978</v>
      </c>
      <c r="Y5270" t="n">
        <v>1</v>
      </c>
      <c r="Z5270" t="n">
        <v>4</v>
      </c>
      <c r="AA5270" t="n">
        <v>0</v>
      </c>
      <c r="AB5270" t="n">
        <v>4</v>
      </c>
      <c r="AC5270" t="n">
        <v>4</v>
      </c>
      <c r="AD5270" t="n">
        <v>0</v>
      </c>
      <c r="AE5270" t="n">
        <v>370092</v>
      </c>
      <c r="AF5270" t="n">
        <v>13364</v>
      </c>
      <c r="AG5270" t="n">
        <v>3495</v>
      </c>
      <c r="AH5270" t="inlineStr">
        <is>
          <t>PT. YAFINDO MITRA PERMATA (PDG)</t>
        </is>
      </c>
      <c r="AI5270" t="n">
        <v>1017</v>
      </c>
      <c r="AJ5270" t="inlineStr">
        <is>
          <t>SKINTIFIC</t>
        </is>
      </c>
      <c r="AK5270" t="n">
        <v>21</v>
      </c>
      <c r="AL5270" t="inlineStr">
        <is>
          <t>Miss Glam Damar</t>
        </is>
      </c>
      <c r="AM5270" t="n">
        <v>1</v>
      </c>
      <c r="AN5270" t="n">
        <v>500000</v>
      </c>
      <c r="AO5270" t="n">
        <v>0</v>
      </c>
      <c r="AP5270" t="inlineStr"/>
      <c r="AQ5270" t="inlineStr"/>
    </row>
    <row r="5271">
      <c r="A5271" t="inlineStr">
        <is>
          <t>SKINTIFIC</t>
        </is>
      </c>
      <c r="B5271" s="2">
        <f>"810114870037"</f>
        <v/>
      </c>
      <c r="C5271" t="inlineStr">
        <is>
          <t>SKINTIFIC Alaska Volcano Clay Mask 55g</t>
        </is>
      </c>
      <c r="D5271" t="inlineStr">
        <is>
          <t>Miss Glam Damar</t>
        </is>
      </c>
      <c r="E5271" t="n">
        <v>2</v>
      </c>
      <c r="F5271" t="n">
        <v>0.0182</v>
      </c>
      <c r="G5271" t="n">
        <v>0</v>
      </c>
      <c r="H5271" t="n">
        <v>2</v>
      </c>
      <c r="I5271" t="n">
        <v>9</v>
      </c>
      <c r="J5271" t="n">
        <v>3</v>
      </c>
      <c r="K5271" t="n">
        <v>0</v>
      </c>
      <c r="L5271" t="n">
        <v>76076</v>
      </c>
      <c r="M5271" t="n">
        <v>95500</v>
      </c>
      <c r="N5271" t="n">
        <v>91</v>
      </c>
      <c r="O5271" t="n">
        <v>0.91</v>
      </c>
      <c r="P5271" t="n">
        <v>1</v>
      </c>
      <c r="Q5271" t="n">
        <v>0.07000000000000001</v>
      </c>
      <c r="R5271" t="n">
        <v>1</v>
      </c>
      <c r="S5271" t="n">
        <v>1738.1</v>
      </c>
      <c r="T5271" t="n">
        <v>0</v>
      </c>
      <c r="U5271" t="n">
        <v>1</v>
      </c>
      <c r="V5271" t="n">
        <v>30</v>
      </c>
      <c r="W5271" t="n">
        <v>1</v>
      </c>
      <c r="X5271" t="n">
        <v>109.8901098901099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13364</v>
      </c>
      <c r="AG5271" t="n">
        <v>3495</v>
      </c>
      <c r="AH5271" t="inlineStr">
        <is>
          <t>PT. YAFINDO MITRA PERMATA (PDG)</t>
        </is>
      </c>
      <c r="AI5271" t="n">
        <v>1017</v>
      </c>
      <c r="AJ5271" t="inlineStr">
        <is>
          <t>SKINTIFIC</t>
        </is>
      </c>
      <c r="AK5271" t="n">
        <v>21</v>
      </c>
      <c r="AL5271" t="inlineStr">
        <is>
          <t>Miss Glam Damar</t>
        </is>
      </c>
      <c r="AM5271" t="n">
        <v>1</v>
      </c>
      <c r="AN5271" t="n">
        <v>500000</v>
      </c>
      <c r="AO5271" t="n">
        <v>0</v>
      </c>
      <c r="AP5271" t="inlineStr"/>
      <c r="AQ5271" t="inlineStr"/>
    </row>
    <row r="5272">
      <c r="A5272" t="inlineStr">
        <is>
          <t>SKINTIFIC</t>
        </is>
      </c>
      <c r="B5272" s="2">
        <f>"810114870259"</f>
        <v/>
      </c>
      <c r="C5272" t="inlineStr">
        <is>
          <t>SKINTIFIC Alaska Volcano Clay Pore Detox Clay Stick 40gr</t>
        </is>
      </c>
      <c r="D5272" t="inlineStr">
        <is>
          <t>Miss Glam Damar</t>
        </is>
      </c>
      <c r="E5272" t="n">
        <v>12</v>
      </c>
      <c r="F5272" t="n">
        <v>0.6643</v>
      </c>
      <c r="G5272" t="n">
        <v>2.73</v>
      </c>
      <c r="H5272" t="n">
        <v>2</v>
      </c>
      <c r="I5272" t="n">
        <v>9</v>
      </c>
      <c r="J5272" t="n">
        <v>3</v>
      </c>
      <c r="K5272" t="n">
        <v>0</v>
      </c>
      <c r="L5272" t="n">
        <v>70242</v>
      </c>
      <c r="M5272" t="n">
        <v>95500</v>
      </c>
      <c r="N5272" t="n">
        <v>91</v>
      </c>
      <c r="O5272" t="n">
        <v>0.91</v>
      </c>
      <c r="P5272" t="n">
        <v>1</v>
      </c>
      <c r="Q5272" t="n">
        <v>0.71</v>
      </c>
      <c r="R5272" t="n">
        <v>2</v>
      </c>
      <c r="S5272" t="n">
        <v>63440.65</v>
      </c>
      <c r="T5272" t="n">
        <v>24</v>
      </c>
      <c r="U5272" t="n">
        <v>26</v>
      </c>
      <c r="V5272" t="n">
        <v>30</v>
      </c>
      <c r="W5272" t="n">
        <v>20</v>
      </c>
      <c r="X5272" t="n">
        <v>18.06412765316875</v>
      </c>
      <c r="Y5272" t="n">
        <v>1</v>
      </c>
      <c r="Z5272" t="n">
        <v>8</v>
      </c>
      <c r="AA5272" t="n">
        <v>0</v>
      </c>
      <c r="AB5272" t="n">
        <v>8</v>
      </c>
      <c r="AC5272" t="n">
        <v>8</v>
      </c>
      <c r="AD5272" t="n">
        <v>0</v>
      </c>
      <c r="AE5272" t="n">
        <v>561936</v>
      </c>
      <c r="AF5272" t="n">
        <v>13364</v>
      </c>
      <c r="AG5272" t="n">
        <v>3495</v>
      </c>
      <c r="AH5272" t="inlineStr">
        <is>
          <t>PT. YAFINDO MITRA PERMATA (PDG)</t>
        </is>
      </c>
      <c r="AI5272" t="n">
        <v>1017</v>
      </c>
      <c r="AJ5272" t="inlineStr">
        <is>
          <t>SKINTIFIC</t>
        </is>
      </c>
      <c r="AK5272" t="n">
        <v>21</v>
      </c>
      <c r="AL5272" t="inlineStr">
        <is>
          <t>Miss Glam Damar</t>
        </is>
      </c>
      <c r="AM5272" t="n">
        <v>1</v>
      </c>
      <c r="AN5272" t="n">
        <v>500000</v>
      </c>
      <c r="AO5272" t="n">
        <v>0</v>
      </c>
      <c r="AP5272" t="inlineStr"/>
      <c r="AQ5272" t="inlineStr"/>
    </row>
    <row r="5273">
      <c r="A5273" t="inlineStr">
        <is>
          <t>SKINTIFIC</t>
        </is>
      </c>
      <c r="B5273" s="2">
        <f>"810114870471"</f>
        <v/>
      </c>
      <c r="C5273" t="inlineStr">
        <is>
          <t>SKINTIFIC All Day Light Sunscreen Mist SPF 50 PA++++ 120ml</t>
        </is>
      </c>
      <c r="D5273" t="inlineStr">
        <is>
          <t>Miss Glam Damar</t>
        </is>
      </c>
      <c r="E5273" t="n">
        <v>12</v>
      </c>
      <c r="F5273" t="n">
        <v>0.4004</v>
      </c>
      <c r="G5273" t="n">
        <v>4.55</v>
      </c>
      <c r="H5273" t="n">
        <v>2</v>
      </c>
      <c r="I5273" t="n">
        <v>9</v>
      </c>
      <c r="J5273" t="n">
        <v>3</v>
      </c>
      <c r="K5273" t="n">
        <v>0</v>
      </c>
      <c r="L5273" t="n">
        <v>76237</v>
      </c>
      <c r="M5273" t="n">
        <v>106000</v>
      </c>
      <c r="N5273" t="n">
        <v>91</v>
      </c>
      <c r="O5273" t="n">
        <v>0.91</v>
      </c>
      <c r="P5273" t="n">
        <v>1</v>
      </c>
      <c r="Q5273" t="n">
        <v>0.47</v>
      </c>
      <c r="R5273" t="n">
        <v>5</v>
      </c>
      <c r="S5273" t="n">
        <v>42442.4</v>
      </c>
      <c r="T5273" t="n">
        <v>41</v>
      </c>
      <c r="U5273" t="n">
        <v>42</v>
      </c>
      <c r="V5273" t="n">
        <v>30</v>
      </c>
      <c r="W5273" t="n">
        <v>13</v>
      </c>
      <c r="X5273" t="n">
        <v>29.97002997002997</v>
      </c>
      <c r="Y5273" t="n">
        <v>1</v>
      </c>
      <c r="Z5273" t="n">
        <v>1</v>
      </c>
      <c r="AA5273" t="n">
        <v>0</v>
      </c>
      <c r="AB5273" t="n">
        <v>1</v>
      </c>
      <c r="AC5273" t="n">
        <v>3</v>
      </c>
      <c r="AD5273" t="n">
        <v>0</v>
      </c>
      <c r="AE5273" t="n">
        <v>228711</v>
      </c>
      <c r="AF5273" t="n">
        <v>13364</v>
      </c>
      <c r="AG5273" t="n">
        <v>3495</v>
      </c>
      <c r="AH5273" t="inlineStr">
        <is>
          <t>PT. YAFINDO MITRA PERMATA (PDG)</t>
        </is>
      </c>
      <c r="AI5273" t="n">
        <v>1017</v>
      </c>
      <c r="AJ5273" t="inlineStr">
        <is>
          <t>SKINTIFIC</t>
        </is>
      </c>
      <c r="AK5273" t="n">
        <v>21</v>
      </c>
      <c r="AL5273" t="inlineStr">
        <is>
          <t>Miss Glam Damar</t>
        </is>
      </c>
      <c r="AM5273" t="n">
        <v>1</v>
      </c>
      <c r="AN5273" t="n">
        <v>500000</v>
      </c>
      <c r="AO5273" t="n">
        <v>0</v>
      </c>
      <c r="AP5273" t="inlineStr"/>
      <c r="AQ5273" t="inlineStr"/>
    </row>
    <row r="5274">
      <c r="A5274" t="inlineStr">
        <is>
          <t>SKINTIFIC</t>
        </is>
      </c>
      <c r="B5274" s="2">
        <f>"10400206554"</f>
        <v/>
      </c>
      <c r="C5274" t="inlineStr">
        <is>
          <t>SKINTIFIC All Day Light Sunscreen Mist SPF 50 PA++++ 70ml</t>
        </is>
      </c>
      <c r="D5274" t="inlineStr">
        <is>
          <t>Miss Glam Damar</t>
        </is>
      </c>
      <c r="E5274" t="n">
        <v>12</v>
      </c>
      <c r="F5274" t="n">
        <v>0.5733</v>
      </c>
      <c r="G5274" t="n">
        <v>2.73</v>
      </c>
      <c r="H5274" t="n">
        <v>2</v>
      </c>
      <c r="I5274" t="n">
        <v>9</v>
      </c>
      <c r="J5274" t="n">
        <v>3</v>
      </c>
      <c r="K5274" t="n">
        <v>0</v>
      </c>
      <c r="L5274" t="n">
        <v>61505</v>
      </c>
      <c r="M5274" t="n">
        <v>84500</v>
      </c>
      <c r="N5274" t="n">
        <v>91</v>
      </c>
      <c r="O5274" t="n">
        <v>0.91</v>
      </c>
      <c r="P5274" t="n">
        <v>1</v>
      </c>
      <c r="Q5274" t="n">
        <v>0.5600000000000001</v>
      </c>
      <c r="R5274" t="n">
        <v>3</v>
      </c>
      <c r="S5274" t="n">
        <v>48443.85000000001</v>
      </c>
      <c r="T5274" t="n">
        <v>24</v>
      </c>
      <c r="U5274" t="n">
        <v>26</v>
      </c>
      <c r="V5274" t="n">
        <v>30</v>
      </c>
      <c r="W5274" t="n">
        <v>18</v>
      </c>
      <c r="X5274" t="n">
        <v>20.93144950287807</v>
      </c>
      <c r="Y5274" t="n">
        <v>1</v>
      </c>
      <c r="Z5274" t="n">
        <v>6</v>
      </c>
      <c r="AA5274" t="n">
        <v>0</v>
      </c>
      <c r="AB5274" t="n">
        <v>6</v>
      </c>
      <c r="AC5274" t="n">
        <v>6</v>
      </c>
      <c r="AD5274" t="n">
        <v>0</v>
      </c>
      <c r="AE5274" t="n">
        <v>369030</v>
      </c>
      <c r="AF5274" t="n">
        <v>13364</v>
      </c>
      <c r="AG5274" t="n">
        <v>3495</v>
      </c>
      <c r="AH5274" t="inlineStr">
        <is>
          <t>PT. YAFINDO MITRA PERMATA (PDG)</t>
        </is>
      </c>
      <c r="AI5274" t="n">
        <v>1017</v>
      </c>
      <c r="AJ5274" t="inlineStr">
        <is>
          <t>SKINTIFIC</t>
        </is>
      </c>
      <c r="AK5274" t="n">
        <v>21</v>
      </c>
      <c r="AL5274" t="inlineStr">
        <is>
          <t>Miss Glam Damar</t>
        </is>
      </c>
      <c r="AM5274" t="n">
        <v>1</v>
      </c>
      <c r="AN5274" t="n">
        <v>500000</v>
      </c>
      <c r="AO5274" t="n">
        <v>0</v>
      </c>
      <c r="AP5274" t="inlineStr"/>
      <c r="AQ5274" t="inlineStr"/>
    </row>
    <row r="5275">
      <c r="A5275" t="inlineStr">
        <is>
          <t>SKINTIFIC</t>
        </is>
      </c>
      <c r="B5275" s="2">
        <f>"810114870174"</f>
        <v/>
      </c>
      <c r="C5275" t="inlineStr">
        <is>
          <t>SKINTIFIC All Perfect Cushion Ivory 11ml</t>
        </is>
      </c>
      <c r="D5275" t="inlineStr">
        <is>
          <t>Miss Glam Damar</t>
        </is>
      </c>
      <c r="E5275" t="n">
        <v>8</v>
      </c>
      <c r="F5275" t="n">
        <v>0.5733</v>
      </c>
      <c r="G5275" t="n">
        <v>2.73</v>
      </c>
      <c r="H5275" t="n">
        <v>2</v>
      </c>
      <c r="I5275" t="n">
        <v>9</v>
      </c>
      <c r="J5275" t="n">
        <v>3</v>
      </c>
      <c r="K5275" t="n">
        <v>0</v>
      </c>
      <c r="L5275" t="n">
        <v>130766</v>
      </c>
      <c r="M5275" t="n">
        <v>185000</v>
      </c>
      <c r="N5275" t="n">
        <v>91</v>
      </c>
      <c r="O5275" t="n">
        <v>0.91</v>
      </c>
      <c r="P5275" t="n">
        <v>1</v>
      </c>
      <c r="Q5275" t="n">
        <v>0.46</v>
      </c>
      <c r="R5275" t="n">
        <v>2</v>
      </c>
      <c r="S5275" t="n">
        <v>106060.5</v>
      </c>
      <c r="T5275" t="n">
        <v>24</v>
      </c>
      <c r="U5275" t="n">
        <v>26</v>
      </c>
      <c r="V5275" t="n">
        <v>30</v>
      </c>
      <c r="W5275" t="n">
        <v>18</v>
      </c>
      <c r="X5275" t="n">
        <v>13.95429966858538</v>
      </c>
      <c r="Y5275" t="n">
        <v>1</v>
      </c>
      <c r="Z5275" t="n">
        <v>10</v>
      </c>
      <c r="AA5275" t="n">
        <v>0</v>
      </c>
      <c r="AB5275" t="n">
        <v>10</v>
      </c>
      <c r="AC5275" t="n">
        <v>10</v>
      </c>
      <c r="AD5275" t="n">
        <v>0</v>
      </c>
      <c r="AE5275" t="n">
        <v>1307660</v>
      </c>
      <c r="AF5275" t="n">
        <v>13364</v>
      </c>
      <c r="AG5275" t="n">
        <v>3495</v>
      </c>
      <c r="AH5275" t="inlineStr">
        <is>
          <t>PT. YAFINDO MITRA PERMATA (PDG)</t>
        </is>
      </c>
      <c r="AI5275" t="n">
        <v>1017</v>
      </c>
      <c r="AJ5275" t="inlineStr">
        <is>
          <t>SKINTIFIC</t>
        </is>
      </c>
      <c r="AK5275" t="n">
        <v>21</v>
      </c>
      <c r="AL5275" t="inlineStr">
        <is>
          <t>Miss Glam Damar</t>
        </is>
      </c>
      <c r="AM5275" t="n">
        <v>1</v>
      </c>
      <c r="AN5275" t="n">
        <v>500000</v>
      </c>
      <c r="AO5275" t="n">
        <v>0</v>
      </c>
      <c r="AP5275" t="inlineStr"/>
      <c r="AQ5275" t="inlineStr"/>
    </row>
    <row r="5276">
      <c r="A5276" t="inlineStr">
        <is>
          <t>SKINTIFIC</t>
        </is>
      </c>
      <c r="B5276" s="2">
        <f>"810114870198"</f>
        <v/>
      </c>
      <c r="C5276" t="inlineStr">
        <is>
          <t>SKINTIFIC All Perfect Cushion Petal 11ml</t>
        </is>
      </c>
      <c r="D5276" t="inlineStr">
        <is>
          <t>Miss Glam Damar</t>
        </is>
      </c>
      <c r="E5276" t="n">
        <v>5</v>
      </c>
      <c r="F5276" t="n">
        <v>0.4277</v>
      </c>
      <c r="G5276" t="n">
        <v>2.73</v>
      </c>
      <c r="H5276" t="n">
        <v>2</v>
      </c>
      <c r="I5276" t="n">
        <v>9</v>
      </c>
      <c r="J5276" t="n">
        <v>3</v>
      </c>
      <c r="K5276" t="n">
        <v>0</v>
      </c>
      <c r="L5276" t="n">
        <v>130137</v>
      </c>
      <c r="M5276" t="n">
        <v>185000</v>
      </c>
      <c r="N5276" t="n">
        <v>91</v>
      </c>
      <c r="O5276" t="n">
        <v>0.91</v>
      </c>
      <c r="P5276" t="n">
        <v>1</v>
      </c>
      <c r="Q5276" t="n">
        <v>0.34</v>
      </c>
      <c r="R5276" t="n">
        <v>2</v>
      </c>
      <c r="S5276" t="n">
        <v>79124.5</v>
      </c>
      <c r="T5276" t="n">
        <v>24</v>
      </c>
      <c r="U5276" t="n">
        <v>25</v>
      </c>
      <c r="V5276" t="n">
        <v>30</v>
      </c>
      <c r="W5276" t="n">
        <v>13</v>
      </c>
      <c r="X5276" t="n">
        <v>11.69043722235212</v>
      </c>
      <c r="Y5276" t="n">
        <v>1</v>
      </c>
      <c r="Z5276" t="n">
        <v>8</v>
      </c>
      <c r="AA5276" t="n">
        <v>0</v>
      </c>
      <c r="AB5276" t="n">
        <v>8</v>
      </c>
      <c r="AC5276" t="n">
        <v>8</v>
      </c>
      <c r="AD5276" t="n">
        <v>0</v>
      </c>
      <c r="AE5276" t="n">
        <v>1041096</v>
      </c>
      <c r="AF5276" t="n">
        <v>13364</v>
      </c>
      <c r="AG5276" t="n">
        <v>3495</v>
      </c>
      <c r="AH5276" t="inlineStr">
        <is>
          <t>PT. YAFINDO MITRA PERMATA (PDG)</t>
        </is>
      </c>
      <c r="AI5276" t="n">
        <v>1017</v>
      </c>
      <c r="AJ5276" t="inlineStr">
        <is>
          <t>SKINTIFIC</t>
        </is>
      </c>
      <c r="AK5276" t="n">
        <v>21</v>
      </c>
      <c r="AL5276" t="inlineStr">
        <is>
          <t>Miss Glam Damar</t>
        </is>
      </c>
      <c r="AM5276" t="n">
        <v>1</v>
      </c>
      <c r="AN5276" t="n">
        <v>500000</v>
      </c>
      <c r="AO5276" t="n">
        <v>0</v>
      </c>
      <c r="AP5276" t="inlineStr"/>
      <c r="AQ5276" t="inlineStr"/>
    </row>
    <row r="5277">
      <c r="A5277" t="inlineStr">
        <is>
          <t>SKINTIFIC</t>
        </is>
      </c>
      <c r="B5277" s="2">
        <f>"810114870150"</f>
        <v/>
      </c>
      <c r="C5277" t="inlineStr">
        <is>
          <t>SKINTIFIC All Perfect Cushion Vanilla 11ml</t>
        </is>
      </c>
      <c r="D5277" t="inlineStr">
        <is>
          <t>Miss Glam Damar</t>
        </is>
      </c>
      <c r="E5277" t="n">
        <v>8</v>
      </c>
      <c r="F5277" t="n">
        <v>0.2184</v>
      </c>
      <c r="G5277" t="n">
        <v>2.73</v>
      </c>
      <c r="H5277" t="n">
        <v>2</v>
      </c>
      <c r="I5277" t="n">
        <v>9</v>
      </c>
      <c r="J5277" t="n">
        <v>3</v>
      </c>
      <c r="K5277" t="n">
        <v>0</v>
      </c>
      <c r="L5277" t="n">
        <v>132864</v>
      </c>
      <c r="M5277" t="n">
        <v>185000</v>
      </c>
      <c r="N5277" t="n">
        <v>91</v>
      </c>
      <c r="O5277" t="n">
        <v>0.91</v>
      </c>
      <c r="P5277" t="n">
        <v>1</v>
      </c>
      <c r="Q5277" t="n">
        <v>0.25</v>
      </c>
      <c r="R5277" t="n">
        <v>3</v>
      </c>
      <c r="S5277" t="n">
        <v>40404</v>
      </c>
      <c r="T5277" t="n">
        <v>25</v>
      </c>
      <c r="U5277" t="n">
        <v>26</v>
      </c>
      <c r="V5277" t="n">
        <v>30</v>
      </c>
      <c r="W5277" t="n">
        <v>7</v>
      </c>
      <c r="X5277" t="n">
        <v>36.63003663003663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13364</v>
      </c>
      <c r="AG5277" t="n">
        <v>3495</v>
      </c>
      <c r="AH5277" t="inlineStr">
        <is>
          <t>PT. YAFINDO MITRA PERMATA (PDG)</t>
        </is>
      </c>
      <c r="AI5277" t="n">
        <v>1017</v>
      </c>
      <c r="AJ5277" t="inlineStr">
        <is>
          <t>SKINTIFIC</t>
        </is>
      </c>
      <c r="AK5277" t="n">
        <v>21</v>
      </c>
      <c r="AL5277" t="inlineStr">
        <is>
          <t>Miss Glam Damar</t>
        </is>
      </c>
      <c r="AM5277" t="n">
        <v>1</v>
      </c>
      <c r="AN5277" t="n">
        <v>500000</v>
      </c>
      <c r="AO5277" t="n">
        <v>0</v>
      </c>
      <c r="AP5277" t="inlineStr"/>
      <c r="AQ5277" t="inlineStr"/>
    </row>
    <row r="5278">
      <c r="A5278" t="inlineStr">
        <is>
          <t>SKINTIFIC</t>
        </is>
      </c>
      <c r="B5278" s="2">
        <f>"810114870983"</f>
        <v/>
      </c>
      <c r="C5278" t="inlineStr">
        <is>
          <t>SKINTIFIC Aqua Light Daily Sunscreen SPF 35 PA+++ 30gr</t>
        </is>
      </c>
      <c r="D5278" t="inlineStr">
        <is>
          <t>Miss Glam Damar</t>
        </is>
      </c>
      <c r="E5278" t="n">
        <v>15</v>
      </c>
      <c r="F5278" t="n">
        <v>0.7371000000000001</v>
      </c>
      <c r="G5278" t="n">
        <v>3.64</v>
      </c>
      <c r="H5278" t="n">
        <v>2</v>
      </c>
      <c r="I5278" t="n">
        <v>9</v>
      </c>
      <c r="J5278" t="n">
        <v>3</v>
      </c>
      <c r="K5278" t="n">
        <v>0</v>
      </c>
      <c r="L5278" t="n">
        <v>61910</v>
      </c>
      <c r="M5278" t="n">
        <v>97000</v>
      </c>
      <c r="N5278" t="n">
        <v>91</v>
      </c>
      <c r="O5278" t="n">
        <v>0.91</v>
      </c>
      <c r="P5278" t="n">
        <v>1</v>
      </c>
      <c r="Q5278" t="n">
        <v>0.85</v>
      </c>
      <c r="R5278" t="n">
        <v>4</v>
      </c>
      <c r="S5278" t="n">
        <v>71498.70000000001</v>
      </c>
      <c r="T5278" t="n">
        <v>32</v>
      </c>
      <c r="U5278" t="n">
        <v>34</v>
      </c>
      <c r="V5278" t="n">
        <v>30</v>
      </c>
      <c r="W5278" t="n">
        <v>23</v>
      </c>
      <c r="X5278" t="n">
        <v>20.35002035002035</v>
      </c>
      <c r="Y5278" t="n">
        <v>1</v>
      </c>
      <c r="Z5278" t="n">
        <v>8</v>
      </c>
      <c r="AA5278" t="n">
        <v>0</v>
      </c>
      <c r="AB5278" t="n">
        <v>8</v>
      </c>
      <c r="AC5278" t="n">
        <v>8</v>
      </c>
      <c r="AD5278" t="n">
        <v>0</v>
      </c>
      <c r="AE5278" t="n">
        <v>495280</v>
      </c>
      <c r="AF5278" t="n">
        <v>13364</v>
      </c>
      <c r="AG5278" t="n">
        <v>3495</v>
      </c>
      <c r="AH5278" t="inlineStr">
        <is>
          <t>PT. YAFINDO MITRA PERMATA (PDG)</t>
        </is>
      </c>
      <c r="AI5278" t="n">
        <v>1017</v>
      </c>
      <c r="AJ5278" t="inlineStr">
        <is>
          <t>SKINTIFIC</t>
        </is>
      </c>
      <c r="AK5278" t="n">
        <v>21</v>
      </c>
      <c r="AL5278" t="inlineStr">
        <is>
          <t>Miss Glam Damar</t>
        </is>
      </c>
      <c r="AM5278" t="n">
        <v>1</v>
      </c>
      <c r="AN5278" t="n">
        <v>500000</v>
      </c>
      <c r="AO5278" t="n">
        <v>0</v>
      </c>
      <c r="AP5278" t="inlineStr"/>
      <c r="AQ5278" t="inlineStr"/>
    </row>
    <row r="5279">
      <c r="A5279" t="inlineStr">
        <is>
          <t>SKINTIFIC</t>
        </is>
      </c>
      <c r="B5279" s="2">
        <f>"10400617402"</f>
        <v/>
      </c>
      <c r="C5279" t="inlineStr">
        <is>
          <t>SKINTIFIC Bright Fit Serum Suncreen 30ml</t>
        </is>
      </c>
      <c r="D5279" t="inlineStr">
        <is>
          <t>Miss Glam Damar</t>
        </is>
      </c>
      <c r="E5279" t="n">
        <v>13</v>
      </c>
      <c r="F5279" t="n">
        <v>0.8008000000000001</v>
      </c>
      <c r="G5279" t="n">
        <v>3.64</v>
      </c>
      <c r="H5279" t="n">
        <v>2</v>
      </c>
      <c r="I5279" t="n">
        <v>9</v>
      </c>
      <c r="J5279" t="n">
        <v>1</v>
      </c>
      <c r="K5279" t="n">
        <v>0</v>
      </c>
      <c r="L5279" t="n">
        <v>76237</v>
      </c>
      <c r="M5279" t="n">
        <v>110500</v>
      </c>
      <c r="N5279" t="n">
        <v>91</v>
      </c>
      <c r="O5279" t="n">
        <v>0.91</v>
      </c>
      <c r="P5279" t="n">
        <v>1</v>
      </c>
      <c r="Q5279" t="n">
        <v>0.47</v>
      </c>
      <c r="R5279" t="n">
        <v>4</v>
      </c>
      <c r="S5279" t="n">
        <v>88488.40000000001</v>
      </c>
      <c r="T5279" t="n">
        <v>32</v>
      </c>
      <c r="U5279" t="n">
        <v>34</v>
      </c>
      <c r="V5279" t="n">
        <v>30</v>
      </c>
      <c r="W5279" t="n">
        <v>25</v>
      </c>
      <c r="X5279" t="n">
        <v>16.23376623376623</v>
      </c>
      <c r="Y5279" t="n">
        <v>1</v>
      </c>
      <c r="Z5279" t="n">
        <v>12</v>
      </c>
      <c r="AA5279" t="n">
        <v>0</v>
      </c>
      <c r="AB5279" t="n">
        <v>12</v>
      </c>
      <c r="AC5279" t="n">
        <v>12</v>
      </c>
      <c r="AD5279" t="n">
        <v>0</v>
      </c>
      <c r="AE5279" t="n">
        <v>914844</v>
      </c>
      <c r="AF5279" t="n">
        <v>13364</v>
      </c>
      <c r="AG5279" t="n">
        <v>3495</v>
      </c>
      <c r="AH5279" t="inlineStr">
        <is>
          <t>PT. YAFINDO MITRA PERMATA (PDG)</t>
        </is>
      </c>
      <c r="AI5279" t="n">
        <v>1017</v>
      </c>
      <c r="AJ5279" t="inlineStr">
        <is>
          <t>SKINTIFIC</t>
        </is>
      </c>
      <c r="AK5279" t="n">
        <v>21</v>
      </c>
      <c r="AL5279" t="inlineStr">
        <is>
          <t>Miss Glam Damar</t>
        </is>
      </c>
      <c r="AM5279" t="n">
        <v>1</v>
      </c>
      <c r="AN5279" t="n">
        <v>500000</v>
      </c>
      <c r="AO5279" t="n">
        <v>0</v>
      </c>
      <c r="AP5279" t="inlineStr"/>
      <c r="AQ5279" t="inlineStr"/>
    </row>
    <row r="5280">
      <c r="A5280" t="inlineStr">
        <is>
          <t>SKINTIFIC</t>
        </is>
      </c>
      <c r="B5280" s="2">
        <f>"10400617519"</f>
        <v/>
      </c>
      <c r="C5280" t="inlineStr">
        <is>
          <t>SKINTIFIC Bright Fit Serum Suncreen 50ml</t>
        </is>
      </c>
      <c r="D5280" t="inlineStr">
        <is>
          <t>Miss Glam Damar</t>
        </is>
      </c>
      <c r="E5280" t="n">
        <v>17</v>
      </c>
      <c r="F5280" t="n">
        <v>0.7553</v>
      </c>
      <c r="G5280" t="n">
        <v>4.55</v>
      </c>
      <c r="H5280" t="n">
        <v>2</v>
      </c>
      <c r="I5280" t="n">
        <v>9</v>
      </c>
      <c r="J5280" t="n">
        <v>1</v>
      </c>
      <c r="K5280" t="n">
        <v>0</v>
      </c>
      <c r="L5280" t="n">
        <v>107094</v>
      </c>
      <c r="M5280" t="n">
        <v>149000</v>
      </c>
      <c r="N5280" t="n">
        <v>91</v>
      </c>
      <c r="O5280" t="n">
        <v>0.91</v>
      </c>
      <c r="P5280" t="n">
        <v>1</v>
      </c>
      <c r="Q5280" t="n">
        <v>0.47</v>
      </c>
      <c r="R5280" t="n">
        <v>2</v>
      </c>
      <c r="S5280" t="n">
        <v>112539.7</v>
      </c>
      <c r="T5280" t="n">
        <v>40</v>
      </c>
      <c r="U5280" t="n">
        <v>42</v>
      </c>
      <c r="V5280" t="n">
        <v>30</v>
      </c>
      <c r="W5280" t="n">
        <v>23</v>
      </c>
      <c r="X5280" t="n">
        <v>22.50761286905865</v>
      </c>
      <c r="Y5280" t="n">
        <v>1</v>
      </c>
      <c r="Z5280" t="n">
        <v>6</v>
      </c>
      <c r="AA5280" t="n">
        <v>0</v>
      </c>
      <c r="AB5280" t="n">
        <v>6</v>
      </c>
      <c r="AC5280" t="n">
        <v>6</v>
      </c>
      <c r="AD5280" t="n">
        <v>0</v>
      </c>
      <c r="AE5280" t="n">
        <v>642564</v>
      </c>
      <c r="AF5280" t="n">
        <v>13364</v>
      </c>
      <c r="AG5280" t="n">
        <v>3495</v>
      </c>
      <c r="AH5280" t="inlineStr">
        <is>
          <t>PT. YAFINDO MITRA PERMATA (PDG)</t>
        </is>
      </c>
      <c r="AI5280" t="n">
        <v>1017</v>
      </c>
      <c r="AJ5280" t="inlineStr">
        <is>
          <t>SKINTIFIC</t>
        </is>
      </c>
      <c r="AK5280" t="n">
        <v>21</v>
      </c>
      <c r="AL5280" t="inlineStr">
        <is>
          <t>Miss Glam Damar</t>
        </is>
      </c>
      <c r="AM5280" t="n">
        <v>1</v>
      </c>
      <c r="AN5280" t="n">
        <v>500000</v>
      </c>
      <c r="AO5280" t="n">
        <v>0</v>
      </c>
      <c r="AP5280" t="inlineStr"/>
      <c r="AQ5280" t="inlineStr"/>
    </row>
    <row r="5281">
      <c r="A5281" t="inlineStr">
        <is>
          <t>SKINTIFIC</t>
        </is>
      </c>
      <c r="B5281" s="2">
        <f>"10700513117"</f>
        <v/>
      </c>
      <c r="C5281" t="inlineStr">
        <is>
          <t>SKINTIFIC Brightening Lip Serum Cherry Red 6.5ml</t>
        </is>
      </c>
      <c r="D5281" t="inlineStr">
        <is>
          <t>Miss Glam Damar</t>
        </is>
      </c>
      <c r="E5281" t="n">
        <v>22</v>
      </c>
      <c r="F5281" t="n">
        <v>0.6006</v>
      </c>
      <c r="G5281" t="n">
        <v>3.64</v>
      </c>
      <c r="H5281" t="n">
        <v>2</v>
      </c>
      <c r="I5281" t="n">
        <v>9</v>
      </c>
      <c r="J5281" t="n">
        <v>1</v>
      </c>
      <c r="K5281" t="n">
        <v>0</v>
      </c>
      <c r="L5281" t="n">
        <v>89320</v>
      </c>
      <c r="M5281" t="n">
        <v>116000</v>
      </c>
      <c r="N5281" t="n">
        <v>91</v>
      </c>
      <c r="O5281" t="n">
        <v>0.91</v>
      </c>
      <c r="P5281" t="n">
        <v>1</v>
      </c>
      <c r="Q5281" t="n">
        <v>1.41</v>
      </c>
      <c r="R5281" t="n">
        <v>7</v>
      </c>
      <c r="S5281" t="n">
        <v>69669.60000000001</v>
      </c>
      <c r="T5281" t="n">
        <v>32</v>
      </c>
      <c r="U5281" t="n">
        <v>34</v>
      </c>
      <c r="V5281" t="n">
        <v>30</v>
      </c>
      <c r="W5281" t="n">
        <v>19</v>
      </c>
      <c r="X5281" t="n">
        <v>36.63003663003663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13364</v>
      </c>
      <c r="AG5281" t="n">
        <v>3495</v>
      </c>
      <c r="AH5281" t="inlineStr">
        <is>
          <t>PT. YAFINDO MITRA PERMATA (PDG)</t>
        </is>
      </c>
      <c r="AI5281" t="n">
        <v>1017</v>
      </c>
      <c r="AJ5281" t="inlineStr">
        <is>
          <t>SKINTIFIC</t>
        </is>
      </c>
      <c r="AK5281" t="n">
        <v>21</v>
      </c>
      <c r="AL5281" t="inlineStr">
        <is>
          <t>Miss Glam Damar</t>
        </is>
      </c>
      <c r="AM5281" t="n">
        <v>1</v>
      </c>
      <c r="AN5281" t="n">
        <v>500000</v>
      </c>
      <c r="AO5281" t="n">
        <v>0</v>
      </c>
      <c r="AP5281" t="inlineStr"/>
      <c r="AQ5281" t="inlineStr"/>
    </row>
    <row r="5282">
      <c r="A5282" t="inlineStr">
        <is>
          <t>SKINTIFIC</t>
        </is>
      </c>
      <c r="B5282" s="2">
        <f>"10700513044"</f>
        <v/>
      </c>
      <c r="C5282" t="inlineStr">
        <is>
          <t>SKINTIFIC Brightening Lip Serum Peach Rose 6.5ml</t>
        </is>
      </c>
      <c r="D5282" t="inlineStr">
        <is>
          <t>Miss Glam Damar</t>
        </is>
      </c>
      <c r="E5282" t="n">
        <v>4</v>
      </c>
      <c r="F5282" t="n">
        <v>0.0728</v>
      </c>
      <c r="G5282" t="n">
        <v>0.91</v>
      </c>
      <c r="H5282" t="n">
        <v>2</v>
      </c>
      <c r="I5282" t="n">
        <v>9</v>
      </c>
      <c r="J5282" t="n">
        <v>1</v>
      </c>
      <c r="K5282" t="n">
        <v>0</v>
      </c>
      <c r="L5282" t="n">
        <v>89320</v>
      </c>
      <c r="M5282" t="n">
        <v>116000</v>
      </c>
      <c r="N5282" t="n">
        <v>91</v>
      </c>
      <c r="O5282" t="n">
        <v>0.91</v>
      </c>
      <c r="P5282" t="n">
        <v>1</v>
      </c>
      <c r="Q5282" t="n">
        <v>0.19</v>
      </c>
      <c r="R5282" t="n">
        <v>2</v>
      </c>
      <c r="S5282" t="n">
        <v>8444.800000000001</v>
      </c>
      <c r="T5282" t="n">
        <v>9</v>
      </c>
      <c r="U5282" t="n">
        <v>10</v>
      </c>
      <c r="V5282" t="n">
        <v>30</v>
      </c>
      <c r="W5282" t="n">
        <v>3</v>
      </c>
      <c r="X5282" t="n">
        <v>54.94505494505494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13364</v>
      </c>
      <c r="AG5282" t="n">
        <v>3495</v>
      </c>
      <c r="AH5282" t="inlineStr">
        <is>
          <t>PT. YAFINDO MITRA PERMATA (PDG)</t>
        </is>
      </c>
      <c r="AI5282" t="n">
        <v>1017</v>
      </c>
      <c r="AJ5282" t="inlineStr">
        <is>
          <t>SKINTIFIC</t>
        </is>
      </c>
      <c r="AK5282" t="n">
        <v>21</v>
      </c>
      <c r="AL5282" t="inlineStr">
        <is>
          <t>Miss Glam Damar</t>
        </is>
      </c>
      <c r="AM5282" t="n">
        <v>1</v>
      </c>
      <c r="AN5282" t="n">
        <v>500000</v>
      </c>
      <c r="AO5282" t="n">
        <v>0</v>
      </c>
      <c r="AP5282" t="inlineStr"/>
      <c r="AQ5282" t="inlineStr"/>
    </row>
    <row r="5283">
      <c r="A5283" t="inlineStr">
        <is>
          <t>SKINTIFIC</t>
        </is>
      </c>
      <c r="B5283" s="2">
        <f>"10700512901"</f>
        <v/>
      </c>
      <c r="C5283" t="inlineStr">
        <is>
          <t>SKINTIFIC Brightening Lip Serum Pink Berry 6.5ml</t>
        </is>
      </c>
      <c r="D5283" t="inlineStr">
        <is>
          <t>Miss Glam Damar</t>
        </is>
      </c>
      <c r="E5283" t="n">
        <v>11</v>
      </c>
      <c r="F5283" t="n">
        <v>0.6825</v>
      </c>
      <c r="G5283" t="n">
        <v>3.64</v>
      </c>
      <c r="H5283" t="n">
        <v>2</v>
      </c>
      <c r="I5283" t="n">
        <v>9</v>
      </c>
      <c r="J5283" t="n">
        <v>1</v>
      </c>
      <c r="K5283" t="n">
        <v>0</v>
      </c>
      <c r="L5283" t="n">
        <v>89268</v>
      </c>
      <c r="M5283" t="n">
        <v>116000</v>
      </c>
      <c r="N5283" t="n">
        <v>91</v>
      </c>
      <c r="O5283" t="n">
        <v>0.91</v>
      </c>
      <c r="P5283" t="n">
        <v>1</v>
      </c>
      <c r="Q5283" t="n">
        <v>1.12</v>
      </c>
      <c r="R5283" t="n">
        <v>5</v>
      </c>
      <c r="S5283" t="n">
        <v>79170</v>
      </c>
      <c r="T5283" t="n">
        <v>32</v>
      </c>
      <c r="U5283" t="n">
        <v>34</v>
      </c>
      <c r="V5283" t="n">
        <v>30</v>
      </c>
      <c r="W5283" t="n">
        <v>21</v>
      </c>
      <c r="X5283" t="n">
        <v>16.11721611721612</v>
      </c>
      <c r="Y5283" t="n">
        <v>1</v>
      </c>
      <c r="Z5283" t="n">
        <v>10</v>
      </c>
      <c r="AA5283" t="n">
        <v>0</v>
      </c>
      <c r="AB5283" t="n">
        <v>10</v>
      </c>
      <c r="AC5283" t="n">
        <v>10</v>
      </c>
      <c r="AD5283" t="n">
        <v>0</v>
      </c>
      <c r="AE5283" t="n">
        <v>892680</v>
      </c>
      <c r="AF5283" t="n">
        <v>13364</v>
      </c>
      <c r="AG5283" t="n">
        <v>3495</v>
      </c>
      <c r="AH5283" t="inlineStr">
        <is>
          <t>PT. YAFINDO MITRA PERMATA (PDG)</t>
        </is>
      </c>
      <c r="AI5283" t="n">
        <v>1017</v>
      </c>
      <c r="AJ5283" t="inlineStr">
        <is>
          <t>SKINTIFIC</t>
        </is>
      </c>
      <c r="AK5283" t="n">
        <v>21</v>
      </c>
      <c r="AL5283" t="inlineStr">
        <is>
          <t>Miss Glam Damar</t>
        </is>
      </c>
      <c r="AM5283" t="n">
        <v>1</v>
      </c>
      <c r="AN5283" t="n">
        <v>500000</v>
      </c>
      <c r="AO5283" t="n">
        <v>0</v>
      </c>
      <c r="AP5283" t="inlineStr"/>
      <c r="AQ5283" t="inlineStr"/>
    </row>
    <row r="5284">
      <c r="A5284" t="inlineStr">
        <is>
          <t>SKINTIFIC</t>
        </is>
      </c>
      <c r="B5284" s="2">
        <f>"10100205219"</f>
        <v/>
      </c>
      <c r="C5284" t="inlineStr">
        <is>
          <t>SKINTIFIC Centella Deep Cleansing Oil 200ml</t>
        </is>
      </c>
      <c r="D5284" t="inlineStr">
        <is>
          <t>Miss Glam Damar</t>
        </is>
      </c>
      <c r="E5284" t="n">
        <v>0</v>
      </c>
      <c r="F5284" t="n">
        <v>0.09100000000000001</v>
      </c>
      <c r="G5284" t="n">
        <v>0.91</v>
      </c>
      <c r="H5284" t="n">
        <v>2</v>
      </c>
      <c r="I5284" t="n">
        <v>9</v>
      </c>
      <c r="J5284" t="n">
        <v>1</v>
      </c>
      <c r="K5284" t="n">
        <v>0</v>
      </c>
      <c r="L5284" t="n">
        <v>89320</v>
      </c>
      <c r="M5284" t="n">
        <v>116000</v>
      </c>
      <c r="N5284" t="n">
        <v>91</v>
      </c>
      <c r="O5284" t="n">
        <v>0.91</v>
      </c>
      <c r="P5284" t="n">
        <v>1</v>
      </c>
      <c r="Q5284" t="n">
        <v>0.15</v>
      </c>
      <c r="R5284" t="n">
        <v>1</v>
      </c>
      <c r="S5284" t="n">
        <v>10556</v>
      </c>
      <c r="T5284" t="n">
        <v>9</v>
      </c>
      <c r="U5284" t="n">
        <v>10</v>
      </c>
      <c r="V5284" t="n">
        <v>30</v>
      </c>
      <c r="W5284" t="n">
        <v>3</v>
      </c>
      <c r="X5284" t="n">
        <v>0</v>
      </c>
      <c r="Y5284" t="n">
        <v>1</v>
      </c>
      <c r="Z5284" t="n">
        <v>3</v>
      </c>
      <c r="AA5284" t="n">
        <v>1</v>
      </c>
      <c r="AB5284" t="n">
        <v>2</v>
      </c>
      <c r="AC5284" t="n">
        <v>2</v>
      </c>
      <c r="AD5284" t="n">
        <v>89320</v>
      </c>
      <c r="AE5284" t="n">
        <v>178640</v>
      </c>
      <c r="AF5284" t="n">
        <v>13364</v>
      </c>
      <c r="AG5284" t="n">
        <v>3495</v>
      </c>
      <c r="AH5284" t="inlineStr">
        <is>
          <t>PT. YAFINDO MITRA PERMATA (PDG)</t>
        </is>
      </c>
      <c r="AI5284" t="n">
        <v>1017</v>
      </c>
      <c r="AJ5284" t="inlineStr">
        <is>
          <t>SKINTIFIC</t>
        </is>
      </c>
      <c r="AK5284" t="n">
        <v>21</v>
      </c>
      <c r="AL5284" t="inlineStr">
        <is>
          <t>Miss Glam Damar</t>
        </is>
      </c>
      <c r="AM5284" t="n">
        <v>1</v>
      </c>
      <c r="AN5284" t="n">
        <v>500000</v>
      </c>
      <c r="AO5284" t="n">
        <v>0</v>
      </c>
      <c r="AP5284" t="inlineStr"/>
      <c r="AQ5284" t="inlineStr"/>
    </row>
    <row r="5285">
      <c r="A5285" t="inlineStr">
        <is>
          <t>SKINTIFIC</t>
        </is>
      </c>
      <c r="B5285" s="2">
        <f>"810114870167"</f>
        <v/>
      </c>
      <c r="C5285" t="inlineStr">
        <is>
          <t>SKINTIFIC Cover All Perfect Cushion 01 Vanilla Refill</t>
        </is>
      </c>
      <c r="D5285" t="inlineStr">
        <is>
          <t>Miss Glam Damar</t>
        </is>
      </c>
      <c r="E5285" t="n">
        <v>12</v>
      </c>
      <c r="F5285" t="n">
        <v>0.2002</v>
      </c>
      <c r="G5285" t="n">
        <v>1.82</v>
      </c>
      <c r="H5285" t="n">
        <v>2</v>
      </c>
      <c r="I5285" t="n">
        <v>9</v>
      </c>
      <c r="J5285" t="n">
        <v>3</v>
      </c>
      <c r="K5285" t="n">
        <v>0</v>
      </c>
      <c r="L5285" t="n">
        <v>91831</v>
      </c>
      <c r="M5285" t="n">
        <v>129000</v>
      </c>
      <c r="N5285" t="n">
        <v>91</v>
      </c>
      <c r="O5285" t="n">
        <v>0.91</v>
      </c>
      <c r="P5285" t="n">
        <v>1</v>
      </c>
      <c r="Q5285" t="n">
        <v>0.41</v>
      </c>
      <c r="R5285" t="n">
        <v>2</v>
      </c>
      <c r="S5285" t="n">
        <v>25825.8</v>
      </c>
      <c r="T5285" t="n">
        <v>16</v>
      </c>
      <c r="U5285" t="n">
        <v>17</v>
      </c>
      <c r="V5285" t="n">
        <v>30</v>
      </c>
      <c r="W5285" t="n">
        <v>7</v>
      </c>
      <c r="X5285" t="n">
        <v>59.94005994005993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13364</v>
      </c>
      <c r="AG5285" t="n">
        <v>3495</v>
      </c>
      <c r="AH5285" t="inlineStr">
        <is>
          <t>PT. YAFINDO MITRA PERMATA (PDG)</t>
        </is>
      </c>
      <c r="AI5285" t="n">
        <v>1017</v>
      </c>
      <c r="AJ5285" t="inlineStr">
        <is>
          <t>SKINTIFIC</t>
        </is>
      </c>
      <c r="AK5285" t="n">
        <v>21</v>
      </c>
      <c r="AL5285" t="inlineStr">
        <is>
          <t>Miss Glam Damar</t>
        </is>
      </c>
      <c r="AM5285" t="n">
        <v>1</v>
      </c>
      <c r="AN5285" t="n">
        <v>500000</v>
      </c>
      <c r="AO5285" t="n">
        <v>0</v>
      </c>
      <c r="AP5285" t="inlineStr"/>
      <c r="AQ5285" t="inlineStr"/>
    </row>
    <row r="5286">
      <c r="A5286" t="inlineStr">
        <is>
          <t>SKINTIFIC</t>
        </is>
      </c>
      <c r="B5286" s="2">
        <f>"810114870181"</f>
        <v/>
      </c>
      <c r="C5286" t="inlineStr">
        <is>
          <t>SKINTIFIC Cover All Perfect Cushion 02 Ivory Refill</t>
        </is>
      </c>
      <c r="D5286" t="inlineStr">
        <is>
          <t>Miss Glam Damar</t>
        </is>
      </c>
      <c r="E5286" t="n">
        <v>8</v>
      </c>
      <c r="F5286" t="n">
        <v>0.7826</v>
      </c>
      <c r="G5286" t="n">
        <v>2.73</v>
      </c>
      <c r="H5286" t="n">
        <v>2</v>
      </c>
      <c r="I5286" t="n">
        <v>9</v>
      </c>
      <c r="J5286" t="n">
        <v>3</v>
      </c>
      <c r="K5286" t="n">
        <v>0</v>
      </c>
      <c r="L5286" t="n">
        <v>91845</v>
      </c>
      <c r="M5286" t="n">
        <v>129000</v>
      </c>
      <c r="N5286" t="n">
        <v>91</v>
      </c>
      <c r="O5286" t="n">
        <v>0.91</v>
      </c>
      <c r="P5286" t="n">
        <v>1</v>
      </c>
      <c r="Q5286" t="n">
        <v>0.68</v>
      </c>
      <c r="R5286" t="n">
        <v>3</v>
      </c>
      <c r="S5286" t="n">
        <v>100955.4</v>
      </c>
      <c r="T5286" t="n">
        <v>24</v>
      </c>
      <c r="U5286" t="n">
        <v>26</v>
      </c>
      <c r="V5286" t="n">
        <v>30</v>
      </c>
      <c r="W5286" t="n">
        <v>24</v>
      </c>
      <c r="X5286" t="n">
        <v>10.22233580373115</v>
      </c>
      <c r="Y5286" t="n">
        <v>1</v>
      </c>
      <c r="Z5286" t="n">
        <v>16</v>
      </c>
      <c r="AA5286" t="n">
        <v>0</v>
      </c>
      <c r="AB5286" t="n">
        <v>16</v>
      </c>
      <c r="AC5286" t="n">
        <v>16</v>
      </c>
      <c r="AD5286" t="n">
        <v>0</v>
      </c>
      <c r="AE5286" t="n">
        <v>1469520</v>
      </c>
      <c r="AF5286" t="n">
        <v>13364</v>
      </c>
      <c r="AG5286" t="n">
        <v>3495</v>
      </c>
      <c r="AH5286" t="inlineStr">
        <is>
          <t>PT. YAFINDO MITRA PERMATA (PDG)</t>
        </is>
      </c>
      <c r="AI5286" t="n">
        <v>1017</v>
      </c>
      <c r="AJ5286" t="inlineStr">
        <is>
          <t>SKINTIFIC</t>
        </is>
      </c>
      <c r="AK5286" t="n">
        <v>21</v>
      </c>
      <c r="AL5286" t="inlineStr">
        <is>
          <t>Miss Glam Damar</t>
        </is>
      </c>
      <c r="AM5286" t="n">
        <v>1</v>
      </c>
      <c r="AN5286" t="n">
        <v>500000</v>
      </c>
      <c r="AO5286" t="n">
        <v>0</v>
      </c>
      <c r="AP5286" t="inlineStr"/>
      <c r="AQ5286" t="inlineStr"/>
    </row>
    <row r="5287">
      <c r="A5287" t="inlineStr">
        <is>
          <t>SKINTIFIC</t>
        </is>
      </c>
      <c r="B5287" s="2">
        <f>"810114871560"</f>
        <v/>
      </c>
      <c r="C5287" t="inlineStr">
        <is>
          <t>SKINTIFIC Cover All Perfect Cushion 02N Natural Ivory 11gr</t>
        </is>
      </c>
      <c r="D5287" t="inlineStr">
        <is>
          <t>Miss Glam Damar</t>
        </is>
      </c>
      <c r="E5287" t="n">
        <v>4</v>
      </c>
      <c r="F5287" t="n">
        <v>0.15</v>
      </c>
      <c r="G5287" t="n">
        <v>1</v>
      </c>
      <c r="H5287" t="n">
        <v>2</v>
      </c>
      <c r="I5287" t="n">
        <v>9</v>
      </c>
      <c r="J5287" t="n">
        <v>3</v>
      </c>
      <c r="K5287" t="n">
        <v>0</v>
      </c>
      <c r="L5287" t="n">
        <v>138317</v>
      </c>
      <c r="M5287" t="n">
        <v>202000</v>
      </c>
      <c r="N5287" t="n">
        <v>91</v>
      </c>
      <c r="O5287" t="n">
        <v>0.91</v>
      </c>
      <c r="P5287" t="n">
        <v>0</v>
      </c>
      <c r="Q5287" t="n">
        <v>0.15</v>
      </c>
      <c r="R5287" t="n">
        <v>1</v>
      </c>
      <c r="S5287" t="n">
        <v>30300</v>
      </c>
      <c r="T5287" t="n">
        <v>9</v>
      </c>
      <c r="U5287" t="n">
        <v>10</v>
      </c>
      <c r="V5287" t="n">
        <v>30</v>
      </c>
      <c r="W5287" t="n">
        <v>5</v>
      </c>
      <c r="X5287" t="n">
        <v>26.66666666666667</v>
      </c>
      <c r="Y5287" t="n">
        <v>1</v>
      </c>
      <c r="Z5287" t="n">
        <v>1</v>
      </c>
      <c r="AA5287" t="n">
        <v>0</v>
      </c>
      <c r="AB5287" t="n">
        <v>1</v>
      </c>
      <c r="AC5287" t="n">
        <v>3</v>
      </c>
      <c r="AD5287" t="n">
        <v>0</v>
      </c>
      <c r="AE5287" t="n">
        <v>414951</v>
      </c>
      <c r="AF5287" t="n">
        <v>13364</v>
      </c>
      <c r="AG5287" t="n">
        <v>3495</v>
      </c>
      <c r="AH5287" t="inlineStr">
        <is>
          <t>PT. YAFINDO MITRA PERMATA (PDG)</t>
        </is>
      </c>
      <c r="AI5287" t="n">
        <v>1017</v>
      </c>
      <c r="AJ5287" t="inlineStr">
        <is>
          <t>SKINTIFIC</t>
        </is>
      </c>
      <c r="AK5287" t="n">
        <v>21</v>
      </c>
      <c r="AL5287" t="inlineStr">
        <is>
          <t>Miss Glam Damar</t>
        </is>
      </c>
      <c r="AM5287" t="n">
        <v>1</v>
      </c>
      <c r="AN5287" t="n">
        <v>500000</v>
      </c>
      <c r="AO5287" t="n">
        <v>0</v>
      </c>
      <c r="AP5287" t="inlineStr"/>
      <c r="AQ5287" t="inlineStr"/>
    </row>
    <row r="5288">
      <c r="A5288" t="inlineStr">
        <is>
          <t>SKINTIFIC</t>
        </is>
      </c>
      <c r="B5288" s="2">
        <f>"810114870204"</f>
        <v/>
      </c>
      <c r="C5288" t="inlineStr">
        <is>
          <t>SKINTIFIC Cover All Perfect Cushion 03 Petal Refill</t>
        </is>
      </c>
      <c r="D5288" t="inlineStr">
        <is>
          <t>Miss Glam Damar</t>
        </is>
      </c>
      <c r="E5288" t="n">
        <v>9</v>
      </c>
      <c r="F5288" t="n">
        <v>0.5551</v>
      </c>
      <c r="G5288" t="n">
        <v>2.73</v>
      </c>
      <c r="H5288" t="n">
        <v>2</v>
      </c>
      <c r="I5288" t="n">
        <v>9</v>
      </c>
      <c r="J5288" t="n">
        <v>3</v>
      </c>
      <c r="K5288" t="n">
        <v>0</v>
      </c>
      <c r="L5288" t="n">
        <v>92457</v>
      </c>
      <c r="M5288" t="n">
        <v>129000</v>
      </c>
      <c r="N5288" t="n">
        <v>91</v>
      </c>
      <c r="O5288" t="n">
        <v>0.91</v>
      </c>
      <c r="P5288" t="n">
        <v>1</v>
      </c>
      <c r="Q5288" t="n">
        <v>0.49</v>
      </c>
      <c r="R5288" t="n">
        <v>4</v>
      </c>
      <c r="S5288" t="n">
        <v>71607.90000000001</v>
      </c>
      <c r="T5288" t="n">
        <v>24</v>
      </c>
      <c r="U5288" t="n">
        <v>26</v>
      </c>
      <c r="V5288" t="n">
        <v>30</v>
      </c>
      <c r="W5288" t="n">
        <v>17</v>
      </c>
      <c r="X5288" t="n">
        <v>16.21329490181949</v>
      </c>
      <c r="Y5288" t="n">
        <v>1</v>
      </c>
      <c r="Z5288" t="n">
        <v>8</v>
      </c>
      <c r="AA5288" t="n">
        <v>0</v>
      </c>
      <c r="AB5288" t="n">
        <v>8</v>
      </c>
      <c r="AC5288" t="n">
        <v>8</v>
      </c>
      <c r="AD5288" t="n">
        <v>0</v>
      </c>
      <c r="AE5288" t="n">
        <v>739656</v>
      </c>
      <c r="AF5288" t="n">
        <v>13364</v>
      </c>
      <c r="AG5288" t="n">
        <v>3495</v>
      </c>
      <c r="AH5288" t="inlineStr">
        <is>
          <t>PT. YAFINDO MITRA PERMATA (PDG)</t>
        </is>
      </c>
      <c r="AI5288" t="n">
        <v>1017</v>
      </c>
      <c r="AJ5288" t="inlineStr">
        <is>
          <t>SKINTIFIC</t>
        </is>
      </c>
      <c r="AK5288" t="n">
        <v>21</v>
      </c>
      <c r="AL5288" t="inlineStr">
        <is>
          <t>Miss Glam Damar</t>
        </is>
      </c>
      <c r="AM5288" t="n">
        <v>1</v>
      </c>
      <c r="AN5288" t="n">
        <v>500000</v>
      </c>
      <c r="AO5288" t="n">
        <v>0</v>
      </c>
      <c r="AP5288" t="inlineStr"/>
      <c r="AQ5288" t="inlineStr"/>
    </row>
    <row r="5289">
      <c r="A5289" t="inlineStr">
        <is>
          <t>SKINTIFIC</t>
        </is>
      </c>
      <c r="B5289" s="2">
        <f>"810114870495"</f>
        <v/>
      </c>
      <c r="C5289" t="inlineStr">
        <is>
          <t>SKINTIFIC Cover All Perfect Cushion Refill 03A Almond 11gr</t>
        </is>
      </c>
      <c r="D5289" t="inlineStr">
        <is>
          <t>Miss Glam Damar</t>
        </is>
      </c>
      <c r="E5289" t="n">
        <v>10</v>
      </c>
      <c r="F5289" t="n">
        <v>0.2184</v>
      </c>
      <c r="G5289" t="n">
        <v>0.91</v>
      </c>
      <c r="H5289" t="n">
        <v>2</v>
      </c>
      <c r="I5289" t="n">
        <v>9</v>
      </c>
      <c r="J5289" t="n">
        <v>3</v>
      </c>
      <c r="K5289" t="n">
        <v>0</v>
      </c>
      <c r="L5289" t="n">
        <v>92807</v>
      </c>
      <c r="M5289" t="n">
        <v>129000</v>
      </c>
      <c r="N5289" t="n">
        <v>91</v>
      </c>
      <c r="O5289" t="n">
        <v>0.91</v>
      </c>
      <c r="P5289" t="n">
        <v>1</v>
      </c>
      <c r="Q5289" t="n">
        <v>0.15</v>
      </c>
      <c r="R5289" t="n">
        <v>1</v>
      </c>
      <c r="S5289" t="n">
        <v>28173.6</v>
      </c>
      <c r="T5289" t="n">
        <v>8</v>
      </c>
      <c r="U5289" t="n">
        <v>9</v>
      </c>
      <c r="V5289" t="n">
        <v>30</v>
      </c>
      <c r="W5289" t="n">
        <v>7</v>
      </c>
      <c r="X5289" t="n">
        <v>45.78754578754579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13364</v>
      </c>
      <c r="AG5289" t="n">
        <v>3495</v>
      </c>
      <c r="AH5289" t="inlineStr">
        <is>
          <t>PT. YAFINDO MITRA PERMATA (PDG)</t>
        </is>
      </c>
      <c r="AI5289" t="n">
        <v>1017</v>
      </c>
      <c r="AJ5289" t="inlineStr">
        <is>
          <t>SKINTIFIC</t>
        </is>
      </c>
      <c r="AK5289" t="n">
        <v>21</v>
      </c>
      <c r="AL5289" t="inlineStr">
        <is>
          <t>Miss Glam Damar</t>
        </is>
      </c>
      <c r="AM5289" t="n">
        <v>1</v>
      </c>
      <c r="AN5289" t="n">
        <v>500000</v>
      </c>
      <c r="AO5289" t="n">
        <v>0</v>
      </c>
      <c r="AP5289" t="inlineStr"/>
      <c r="AQ5289" t="inlineStr"/>
    </row>
    <row r="5290">
      <c r="A5290" t="inlineStr">
        <is>
          <t>SKINTIFIC</t>
        </is>
      </c>
      <c r="B5290" s="2">
        <f>"810114870488"</f>
        <v/>
      </c>
      <c r="C5290" t="inlineStr">
        <is>
          <t>SKINTIFIC Cover All Perfect Cushion Spf 35 PA++++ 03A Almond 11ml</t>
        </is>
      </c>
      <c r="D5290" t="inlineStr">
        <is>
          <t>Miss Glam Damar</t>
        </is>
      </c>
      <c r="E5290" t="n">
        <v>3</v>
      </c>
      <c r="F5290" t="n">
        <v>0.06370000000000001</v>
      </c>
      <c r="G5290" t="n">
        <v>0.91</v>
      </c>
      <c r="H5290" t="n">
        <v>2</v>
      </c>
      <c r="I5290" t="n">
        <v>9</v>
      </c>
      <c r="J5290" t="n">
        <v>3</v>
      </c>
      <c r="K5290" t="n">
        <v>0</v>
      </c>
      <c r="L5290" t="n">
        <v>144452</v>
      </c>
      <c r="M5290" t="n">
        <v>181000</v>
      </c>
      <c r="N5290" t="n">
        <v>91</v>
      </c>
      <c r="O5290" t="n">
        <v>0.91</v>
      </c>
      <c r="P5290" t="n">
        <v>1</v>
      </c>
      <c r="Q5290" t="n">
        <v>0.08</v>
      </c>
      <c r="R5290" t="n">
        <v>2</v>
      </c>
      <c r="S5290" t="n">
        <v>11529.7</v>
      </c>
      <c r="T5290" t="n">
        <v>9</v>
      </c>
      <c r="U5290" t="n">
        <v>10</v>
      </c>
      <c r="V5290" t="n">
        <v>30</v>
      </c>
      <c r="W5290" t="n">
        <v>2</v>
      </c>
      <c r="X5290" t="n">
        <v>47.09576138147566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13364</v>
      </c>
      <c r="AG5290" t="n">
        <v>3495</v>
      </c>
      <c r="AH5290" t="inlineStr">
        <is>
          <t>PT. YAFINDO MITRA PERMATA (PDG)</t>
        </is>
      </c>
      <c r="AI5290" t="n">
        <v>1017</v>
      </c>
      <c r="AJ5290" t="inlineStr">
        <is>
          <t>SKINTIFIC</t>
        </is>
      </c>
      <c r="AK5290" t="n">
        <v>21</v>
      </c>
      <c r="AL5290" t="inlineStr">
        <is>
          <t>Miss Glam Damar</t>
        </is>
      </c>
      <c r="AM5290" t="n">
        <v>1</v>
      </c>
      <c r="AN5290" t="n">
        <v>500000</v>
      </c>
      <c r="AO5290" t="n">
        <v>0</v>
      </c>
      <c r="AP5290" t="inlineStr"/>
      <c r="AQ5290" t="inlineStr"/>
    </row>
    <row r="5291">
      <c r="A5291" t="inlineStr">
        <is>
          <t>SKINTIFIC</t>
        </is>
      </c>
      <c r="B5291" s="2">
        <f>"20100493443"</f>
        <v/>
      </c>
      <c r="C5291" t="inlineStr">
        <is>
          <t>SKINTIFIC Cover Glow Perfect Cushion 01 Vanilla 30gr</t>
        </is>
      </c>
      <c r="D5291" t="inlineStr">
        <is>
          <t>Miss Glam Damar</t>
        </is>
      </c>
      <c r="E5291" t="n">
        <v>6</v>
      </c>
      <c r="F5291" t="n">
        <v>0.182</v>
      </c>
      <c r="G5291" t="n">
        <v>1.82</v>
      </c>
      <c r="H5291" t="n">
        <v>2</v>
      </c>
      <c r="I5291" t="n">
        <v>9</v>
      </c>
      <c r="J5291" t="n">
        <v>1</v>
      </c>
      <c r="K5291" t="n">
        <v>0</v>
      </c>
      <c r="L5291" t="n">
        <v>130130</v>
      </c>
      <c r="M5291" t="n">
        <v>154000</v>
      </c>
      <c r="N5291" t="n">
        <v>91</v>
      </c>
      <c r="O5291" t="n">
        <v>0.91</v>
      </c>
      <c r="P5291" t="n">
        <v>1</v>
      </c>
      <c r="Q5291" t="n">
        <v>0.31</v>
      </c>
      <c r="R5291" t="n">
        <v>4</v>
      </c>
      <c r="S5291" t="n">
        <v>28028</v>
      </c>
      <c r="T5291" t="n">
        <v>17</v>
      </c>
      <c r="U5291" t="n">
        <v>18</v>
      </c>
      <c r="V5291" t="n">
        <v>30</v>
      </c>
      <c r="W5291" t="n">
        <v>6</v>
      </c>
      <c r="X5291" t="n">
        <v>32.96703296703296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13364</v>
      </c>
      <c r="AG5291" t="n">
        <v>3495</v>
      </c>
      <c r="AH5291" t="inlineStr">
        <is>
          <t>PT. YAFINDO MITRA PERMATA (PDG)</t>
        </is>
      </c>
      <c r="AI5291" t="n">
        <v>1017</v>
      </c>
      <c r="AJ5291" t="inlineStr">
        <is>
          <t>SKINTIFIC</t>
        </is>
      </c>
      <c r="AK5291" t="n">
        <v>21</v>
      </c>
      <c r="AL5291" t="inlineStr">
        <is>
          <t>Miss Glam Damar</t>
        </is>
      </c>
      <c r="AM5291" t="n">
        <v>1</v>
      </c>
      <c r="AN5291" t="n">
        <v>500000</v>
      </c>
      <c r="AO5291" t="n">
        <v>0</v>
      </c>
      <c r="AP5291" t="inlineStr"/>
      <c r="AQ5291" t="inlineStr"/>
    </row>
    <row r="5292">
      <c r="A5292" t="inlineStr">
        <is>
          <t>SKINTIFIC</t>
        </is>
      </c>
      <c r="B5292" s="2">
        <f>"20100493552"</f>
        <v/>
      </c>
      <c r="C5292" t="inlineStr">
        <is>
          <t>SKINTIFIC Cover Glow Perfect Cushion 02 Ivory 30gr</t>
        </is>
      </c>
      <c r="D5292" t="inlineStr">
        <is>
          <t>Miss Glam Damar</t>
        </is>
      </c>
      <c r="E5292" t="n">
        <v>7</v>
      </c>
      <c r="F5292" t="n">
        <v>0.4641</v>
      </c>
      <c r="G5292" t="n">
        <v>2.73</v>
      </c>
      <c r="H5292" t="n">
        <v>2</v>
      </c>
      <c r="I5292" t="n">
        <v>9</v>
      </c>
      <c r="J5292" t="n">
        <v>1</v>
      </c>
      <c r="K5292" t="n">
        <v>0</v>
      </c>
      <c r="L5292" t="n">
        <v>130130</v>
      </c>
      <c r="M5292" t="n">
        <v>154000</v>
      </c>
      <c r="N5292" t="n">
        <v>91</v>
      </c>
      <c r="O5292" t="n">
        <v>0.91</v>
      </c>
      <c r="P5292" t="n">
        <v>1</v>
      </c>
      <c r="Q5292" t="n">
        <v>0.46</v>
      </c>
      <c r="R5292" t="n">
        <v>5</v>
      </c>
      <c r="S5292" t="n">
        <v>71471.40000000001</v>
      </c>
      <c r="T5292" t="n">
        <v>24</v>
      </c>
      <c r="U5292" t="n">
        <v>25</v>
      </c>
      <c r="V5292" t="n">
        <v>30</v>
      </c>
      <c r="W5292" t="n">
        <v>14</v>
      </c>
      <c r="X5292" t="n">
        <v>15.08295625942685</v>
      </c>
      <c r="Y5292" t="n">
        <v>1</v>
      </c>
      <c r="Z5292" t="n">
        <v>7</v>
      </c>
      <c r="AA5292" t="n">
        <v>0</v>
      </c>
      <c r="AB5292" t="n">
        <v>7</v>
      </c>
      <c r="AC5292" t="n">
        <v>7</v>
      </c>
      <c r="AD5292" t="n">
        <v>0</v>
      </c>
      <c r="AE5292" t="n">
        <v>910910</v>
      </c>
      <c r="AF5292" t="n">
        <v>13364</v>
      </c>
      <c r="AG5292" t="n">
        <v>3495</v>
      </c>
      <c r="AH5292" t="inlineStr">
        <is>
          <t>PT. YAFINDO MITRA PERMATA (PDG)</t>
        </is>
      </c>
      <c r="AI5292" t="n">
        <v>1017</v>
      </c>
      <c r="AJ5292" t="inlineStr">
        <is>
          <t>SKINTIFIC</t>
        </is>
      </c>
      <c r="AK5292" t="n">
        <v>21</v>
      </c>
      <c r="AL5292" t="inlineStr">
        <is>
          <t>Miss Glam Damar</t>
        </is>
      </c>
      <c r="AM5292" t="n">
        <v>1</v>
      </c>
      <c r="AN5292" t="n">
        <v>500000</v>
      </c>
      <c r="AO5292" t="n">
        <v>0</v>
      </c>
      <c r="AP5292" t="inlineStr"/>
      <c r="AQ5292" t="inlineStr"/>
    </row>
    <row r="5293">
      <c r="A5293" t="inlineStr">
        <is>
          <t>SKINTIFIC</t>
        </is>
      </c>
      <c r="B5293" s="2">
        <f>"20100493603"</f>
        <v/>
      </c>
      <c r="C5293" t="inlineStr">
        <is>
          <t>SKINTIFIC Cover Glow Perfect Cushion 03 Petal 30gr</t>
        </is>
      </c>
      <c r="D5293" t="inlineStr">
        <is>
          <t>Miss Glam Damar</t>
        </is>
      </c>
      <c r="E5293" t="n">
        <v>7</v>
      </c>
      <c r="F5293" t="n">
        <v>0.4277</v>
      </c>
      <c r="G5293" t="n">
        <v>3.64</v>
      </c>
      <c r="H5293" t="n">
        <v>2</v>
      </c>
      <c r="I5293" t="n">
        <v>9</v>
      </c>
      <c r="J5293" t="n">
        <v>1</v>
      </c>
      <c r="K5293" t="n">
        <v>0</v>
      </c>
      <c r="L5293" t="n">
        <v>130130</v>
      </c>
      <c r="M5293" t="n">
        <v>154000</v>
      </c>
      <c r="N5293" t="n">
        <v>91</v>
      </c>
      <c r="O5293" t="n">
        <v>0.91</v>
      </c>
      <c r="P5293" t="n">
        <v>1</v>
      </c>
      <c r="Q5293" t="n">
        <v>0.34</v>
      </c>
      <c r="R5293" t="n">
        <v>3</v>
      </c>
      <c r="S5293" t="n">
        <v>65865.79999999999</v>
      </c>
      <c r="T5293" t="n">
        <v>32</v>
      </c>
      <c r="U5293" t="n">
        <v>33</v>
      </c>
      <c r="V5293" t="n">
        <v>30</v>
      </c>
      <c r="W5293" t="n">
        <v>13</v>
      </c>
      <c r="X5293" t="n">
        <v>16.36661211129296</v>
      </c>
      <c r="Y5293" t="n">
        <v>1</v>
      </c>
      <c r="Z5293" t="n">
        <v>6</v>
      </c>
      <c r="AA5293" t="n">
        <v>0</v>
      </c>
      <c r="AB5293" t="n">
        <v>6</v>
      </c>
      <c r="AC5293" t="n">
        <v>6</v>
      </c>
      <c r="AD5293" t="n">
        <v>0</v>
      </c>
      <c r="AE5293" t="n">
        <v>780780</v>
      </c>
      <c r="AF5293" t="n">
        <v>13364</v>
      </c>
      <c r="AG5293" t="n">
        <v>3495</v>
      </c>
      <c r="AH5293" t="inlineStr">
        <is>
          <t>PT. YAFINDO MITRA PERMATA (PDG)</t>
        </is>
      </c>
      <c r="AI5293" t="n">
        <v>1017</v>
      </c>
      <c r="AJ5293" t="inlineStr">
        <is>
          <t>SKINTIFIC</t>
        </is>
      </c>
      <c r="AK5293" t="n">
        <v>21</v>
      </c>
      <c r="AL5293" t="inlineStr">
        <is>
          <t>Miss Glam Damar</t>
        </is>
      </c>
      <c r="AM5293" t="n">
        <v>1</v>
      </c>
      <c r="AN5293" t="n">
        <v>500000</v>
      </c>
      <c r="AO5293" t="n">
        <v>0</v>
      </c>
      <c r="AP5293" t="inlineStr"/>
      <c r="AQ5293" t="inlineStr"/>
    </row>
    <row r="5294">
      <c r="A5294" t="inlineStr">
        <is>
          <t>SKINTIFIC</t>
        </is>
      </c>
      <c r="B5294" s="2">
        <f>"20100493731"</f>
        <v/>
      </c>
      <c r="C5294" t="inlineStr">
        <is>
          <t>SKINTIFIC Cover Glow Perfect Cushion 04 Beige 30gr</t>
        </is>
      </c>
      <c r="D5294" t="inlineStr">
        <is>
          <t>Miss Glam Damar</t>
        </is>
      </c>
      <c r="E5294" t="n">
        <v>6</v>
      </c>
      <c r="F5294" t="n">
        <v>0.04550000000000001</v>
      </c>
      <c r="G5294" t="n">
        <v>0.91</v>
      </c>
      <c r="H5294" t="n">
        <v>2</v>
      </c>
      <c r="I5294" t="n">
        <v>9</v>
      </c>
      <c r="J5294" t="n">
        <v>1</v>
      </c>
      <c r="K5294" t="n">
        <v>0</v>
      </c>
      <c r="L5294" t="n">
        <v>130130</v>
      </c>
      <c r="M5294" t="n">
        <v>154000</v>
      </c>
      <c r="N5294" t="n">
        <v>91</v>
      </c>
      <c r="O5294" t="n">
        <v>0.91</v>
      </c>
      <c r="P5294" t="n">
        <v>1</v>
      </c>
      <c r="Q5294" t="n">
        <v>0.05</v>
      </c>
      <c r="R5294" t="n">
        <v>2</v>
      </c>
      <c r="S5294" t="n">
        <v>7007.000000000001</v>
      </c>
      <c r="T5294" t="n">
        <v>9</v>
      </c>
      <c r="U5294" t="n">
        <v>10</v>
      </c>
      <c r="V5294" t="n">
        <v>30</v>
      </c>
      <c r="W5294" t="n">
        <v>2</v>
      </c>
      <c r="X5294" t="n">
        <v>131.8681318681319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13364</v>
      </c>
      <c r="AG5294" t="n">
        <v>3495</v>
      </c>
      <c r="AH5294" t="inlineStr">
        <is>
          <t>PT. YAFINDO MITRA PERMATA (PDG)</t>
        </is>
      </c>
      <c r="AI5294" t="n">
        <v>1017</v>
      </c>
      <c r="AJ5294" t="inlineStr">
        <is>
          <t>SKINTIFIC</t>
        </is>
      </c>
      <c r="AK5294" t="n">
        <v>21</v>
      </c>
      <c r="AL5294" t="inlineStr">
        <is>
          <t>Miss Glam Damar</t>
        </is>
      </c>
      <c r="AM5294" t="n">
        <v>1</v>
      </c>
      <c r="AN5294" t="n">
        <v>500000</v>
      </c>
      <c r="AO5294" t="n">
        <v>0</v>
      </c>
      <c r="AP5294" t="inlineStr"/>
      <c r="AQ5294" t="inlineStr"/>
    </row>
    <row r="5295">
      <c r="A5295" t="inlineStr">
        <is>
          <t>SKINTIFIC</t>
        </is>
      </c>
      <c r="B5295" s="2">
        <f>"7554411567476"</f>
        <v/>
      </c>
      <c r="C5295" t="inlineStr">
        <is>
          <t>SKINTIFIC Crystal Massager Lifting Eye Cream</t>
        </is>
      </c>
      <c r="D5295" t="inlineStr">
        <is>
          <t>Miss Glam Damar</t>
        </is>
      </c>
      <c r="E5295" t="n">
        <v>2</v>
      </c>
      <c r="F5295" t="n">
        <v>0.09100000000000001</v>
      </c>
      <c r="G5295" t="n">
        <v>1.82</v>
      </c>
      <c r="H5295" t="n">
        <v>2</v>
      </c>
      <c r="I5295" t="n">
        <v>9</v>
      </c>
      <c r="J5295" t="n">
        <v>3</v>
      </c>
      <c r="K5295" t="n">
        <v>0</v>
      </c>
      <c r="L5295" t="n">
        <v>144452</v>
      </c>
      <c r="M5295" t="n">
        <v>181000</v>
      </c>
      <c r="N5295" t="n">
        <v>91</v>
      </c>
      <c r="O5295" t="n">
        <v>0.91</v>
      </c>
      <c r="P5295" t="n">
        <v>1</v>
      </c>
      <c r="Q5295" t="n">
        <v>0.17</v>
      </c>
      <c r="R5295" t="n">
        <v>2</v>
      </c>
      <c r="S5295" t="n">
        <v>16471</v>
      </c>
      <c r="T5295" t="n">
        <v>17</v>
      </c>
      <c r="U5295" t="n">
        <v>18</v>
      </c>
      <c r="V5295" t="n">
        <v>30</v>
      </c>
      <c r="W5295" t="n">
        <v>3</v>
      </c>
      <c r="X5295" t="n">
        <v>21.97802197802197</v>
      </c>
      <c r="Y5295" t="n">
        <v>1</v>
      </c>
      <c r="Z5295" t="n">
        <v>1</v>
      </c>
      <c r="AA5295" t="n">
        <v>0</v>
      </c>
      <c r="AB5295" t="n">
        <v>1</v>
      </c>
      <c r="AC5295" t="n">
        <v>3</v>
      </c>
      <c r="AD5295" t="n">
        <v>0</v>
      </c>
      <c r="AE5295" t="n">
        <v>433356</v>
      </c>
      <c r="AF5295" t="n">
        <v>13364</v>
      </c>
      <c r="AG5295" t="n">
        <v>3495</v>
      </c>
      <c r="AH5295" t="inlineStr">
        <is>
          <t>PT. YAFINDO MITRA PERMATA (PDG)</t>
        </is>
      </c>
      <c r="AI5295" t="n">
        <v>1017</v>
      </c>
      <c r="AJ5295" t="inlineStr">
        <is>
          <t>SKINTIFIC</t>
        </is>
      </c>
      <c r="AK5295" t="n">
        <v>21</v>
      </c>
      <c r="AL5295" t="inlineStr">
        <is>
          <t>Miss Glam Damar</t>
        </is>
      </c>
      <c r="AM5295" t="n">
        <v>1</v>
      </c>
      <c r="AN5295" t="n">
        <v>500000</v>
      </c>
      <c r="AO5295" t="n">
        <v>0</v>
      </c>
      <c r="AP5295" t="inlineStr"/>
      <c r="AQ5295" t="inlineStr"/>
    </row>
    <row r="5296">
      <c r="A5296" t="inlineStr">
        <is>
          <t>SKINTIFIC</t>
        </is>
      </c>
      <c r="B5296" s="2">
        <f>"20100177959"</f>
        <v/>
      </c>
      <c r="C5296" t="inlineStr">
        <is>
          <t>SKINTIFIC Daily Filter Perfect Skin Tint 00 Porcelain 28gr</t>
        </is>
      </c>
      <c r="D5296" t="inlineStr">
        <is>
          <t>Miss Glam Damar</t>
        </is>
      </c>
      <c r="E5296" t="n">
        <v>1</v>
      </c>
      <c r="F5296" t="n">
        <v>0.06370000000000001</v>
      </c>
      <c r="G5296" t="n">
        <v>0.91</v>
      </c>
      <c r="H5296" t="n">
        <v>2</v>
      </c>
      <c r="I5296" t="n">
        <v>9</v>
      </c>
      <c r="J5296" t="n">
        <v>1</v>
      </c>
      <c r="K5296" t="n">
        <v>0</v>
      </c>
      <c r="L5296" t="n">
        <v>68530</v>
      </c>
      <c r="M5296" t="n">
        <v>99000</v>
      </c>
      <c r="N5296" t="n">
        <v>91</v>
      </c>
      <c r="O5296" t="n">
        <v>0.91</v>
      </c>
      <c r="P5296" t="n">
        <v>1</v>
      </c>
      <c r="Q5296" t="n">
        <v>0.24</v>
      </c>
      <c r="R5296" t="n">
        <v>2</v>
      </c>
      <c r="S5296" t="n">
        <v>6306.300000000001</v>
      </c>
      <c r="T5296" t="n">
        <v>9</v>
      </c>
      <c r="U5296" t="n">
        <v>10</v>
      </c>
      <c r="V5296" t="n">
        <v>30</v>
      </c>
      <c r="W5296" t="n">
        <v>2</v>
      </c>
      <c r="X5296" t="n">
        <v>15.69858712715855</v>
      </c>
      <c r="Y5296" t="n">
        <v>1</v>
      </c>
      <c r="Z5296" t="n">
        <v>1</v>
      </c>
      <c r="AA5296" t="n">
        <v>0</v>
      </c>
      <c r="AB5296" t="n">
        <v>1</v>
      </c>
      <c r="AC5296" t="n">
        <v>1</v>
      </c>
      <c r="AD5296" t="n">
        <v>0</v>
      </c>
      <c r="AE5296" t="n">
        <v>68530</v>
      </c>
      <c r="AF5296" t="n">
        <v>13364</v>
      </c>
      <c r="AG5296" t="n">
        <v>3495</v>
      </c>
      <c r="AH5296" t="inlineStr">
        <is>
          <t>PT. YAFINDO MITRA PERMATA (PDG)</t>
        </is>
      </c>
      <c r="AI5296" t="n">
        <v>1017</v>
      </c>
      <c r="AJ5296" t="inlineStr">
        <is>
          <t>SKINTIFIC</t>
        </is>
      </c>
      <c r="AK5296" t="n">
        <v>21</v>
      </c>
      <c r="AL5296" t="inlineStr">
        <is>
          <t>Miss Glam Damar</t>
        </is>
      </c>
      <c r="AM5296" t="n">
        <v>1</v>
      </c>
      <c r="AN5296" t="n">
        <v>500000</v>
      </c>
      <c r="AO5296" t="n">
        <v>0</v>
      </c>
      <c r="AP5296" t="inlineStr"/>
      <c r="AQ5296" t="inlineStr"/>
    </row>
    <row r="5297">
      <c r="A5297" t="inlineStr">
        <is>
          <t>SKINTIFIC</t>
        </is>
      </c>
      <c r="B5297" s="2">
        <f>"20100178034"</f>
        <v/>
      </c>
      <c r="C5297" t="inlineStr">
        <is>
          <t>SKINTIFIC Daily Filter Perfect Skin Tint 01 Vanilla 28gr</t>
        </is>
      </c>
      <c r="D5297" t="inlineStr">
        <is>
          <t>Miss Glam Damar</t>
        </is>
      </c>
      <c r="E5297" t="n">
        <v>12</v>
      </c>
      <c r="F5297" t="n">
        <v>0.2275</v>
      </c>
      <c r="G5297" t="n">
        <v>1.82</v>
      </c>
      <c r="H5297" t="n">
        <v>2</v>
      </c>
      <c r="I5297" t="n">
        <v>9</v>
      </c>
      <c r="J5297" t="n">
        <v>1</v>
      </c>
      <c r="K5297" t="n">
        <v>0</v>
      </c>
      <c r="L5297" t="n">
        <v>68530</v>
      </c>
      <c r="M5297" t="n">
        <v>99000</v>
      </c>
      <c r="N5297" t="n">
        <v>91</v>
      </c>
      <c r="O5297" t="n">
        <v>0.91</v>
      </c>
      <c r="P5297" t="n">
        <v>1</v>
      </c>
      <c r="Q5297" t="n">
        <v>0.36</v>
      </c>
      <c r="R5297" t="n">
        <v>3</v>
      </c>
      <c r="S5297" t="n">
        <v>22522.5</v>
      </c>
      <c r="T5297" t="n">
        <v>16</v>
      </c>
      <c r="U5297" t="n">
        <v>17</v>
      </c>
      <c r="V5297" t="n">
        <v>30</v>
      </c>
      <c r="W5297" t="n">
        <v>7</v>
      </c>
      <c r="X5297" t="n">
        <v>52.74725274725274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13364</v>
      </c>
      <c r="AG5297" t="n">
        <v>3495</v>
      </c>
      <c r="AH5297" t="inlineStr">
        <is>
          <t>PT. YAFINDO MITRA PERMATA (PDG)</t>
        </is>
      </c>
      <c r="AI5297" t="n">
        <v>1017</v>
      </c>
      <c r="AJ5297" t="inlineStr">
        <is>
          <t>SKINTIFIC</t>
        </is>
      </c>
      <c r="AK5297" t="n">
        <v>21</v>
      </c>
      <c r="AL5297" t="inlineStr">
        <is>
          <t>Miss Glam Damar</t>
        </is>
      </c>
      <c r="AM5297" t="n">
        <v>1</v>
      </c>
      <c r="AN5297" t="n">
        <v>500000</v>
      </c>
      <c r="AO5297" t="n">
        <v>0</v>
      </c>
      <c r="AP5297" t="inlineStr"/>
      <c r="AQ5297" t="inlineStr"/>
    </row>
    <row r="5298">
      <c r="A5298" t="inlineStr">
        <is>
          <t>SKINTIFIC</t>
        </is>
      </c>
      <c r="B5298" s="2">
        <f>"20100178122"</f>
        <v/>
      </c>
      <c r="C5298" t="inlineStr">
        <is>
          <t>SKINTIFIC Daily Filter Perfect Skin Tint 02 Ivory 28gr</t>
        </is>
      </c>
      <c r="D5298" t="inlineStr">
        <is>
          <t>Miss Glam Damar</t>
        </is>
      </c>
      <c r="E5298" t="n">
        <v>14</v>
      </c>
      <c r="F5298" t="n">
        <v>0.7371000000000001</v>
      </c>
      <c r="G5298" t="n">
        <v>3.64</v>
      </c>
      <c r="H5298" t="n">
        <v>2</v>
      </c>
      <c r="I5298" t="n">
        <v>9</v>
      </c>
      <c r="J5298" t="n">
        <v>1</v>
      </c>
      <c r="K5298" t="n">
        <v>0</v>
      </c>
      <c r="L5298" t="n">
        <v>68529</v>
      </c>
      <c r="M5298" t="n">
        <v>99000</v>
      </c>
      <c r="N5298" t="n">
        <v>91</v>
      </c>
      <c r="O5298" t="n">
        <v>0.91</v>
      </c>
      <c r="P5298" t="n">
        <v>1</v>
      </c>
      <c r="Q5298" t="n">
        <v>0.8100000000000001</v>
      </c>
      <c r="R5298" t="n">
        <v>4</v>
      </c>
      <c r="S5298" t="n">
        <v>72972.90000000001</v>
      </c>
      <c r="T5298" t="n">
        <v>32</v>
      </c>
      <c r="U5298" t="n">
        <v>34</v>
      </c>
      <c r="V5298" t="n">
        <v>30</v>
      </c>
      <c r="W5298" t="n">
        <v>23</v>
      </c>
      <c r="X5298" t="n">
        <v>18.99335232668566</v>
      </c>
      <c r="Y5298" t="n">
        <v>1</v>
      </c>
      <c r="Z5298" t="n">
        <v>9</v>
      </c>
      <c r="AA5298" t="n">
        <v>0</v>
      </c>
      <c r="AB5298" t="n">
        <v>9</v>
      </c>
      <c r="AC5298" t="n">
        <v>9</v>
      </c>
      <c r="AD5298" t="n">
        <v>0</v>
      </c>
      <c r="AE5298" t="n">
        <v>616761</v>
      </c>
      <c r="AF5298" t="n">
        <v>13364</v>
      </c>
      <c r="AG5298" t="n">
        <v>3495</v>
      </c>
      <c r="AH5298" t="inlineStr">
        <is>
          <t>PT. YAFINDO MITRA PERMATA (PDG)</t>
        </is>
      </c>
      <c r="AI5298" t="n">
        <v>1017</v>
      </c>
      <c r="AJ5298" t="inlineStr">
        <is>
          <t>SKINTIFIC</t>
        </is>
      </c>
      <c r="AK5298" t="n">
        <v>21</v>
      </c>
      <c r="AL5298" t="inlineStr">
        <is>
          <t>Miss Glam Damar</t>
        </is>
      </c>
      <c r="AM5298" t="n">
        <v>1</v>
      </c>
      <c r="AN5298" t="n">
        <v>500000</v>
      </c>
      <c r="AO5298" t="n">
        <v>0</v>
      </c>
      <c r="AP5298" t="inlineStr"/>
      <c r="AQ5298" t="inlineStr"/>
    </row>
    <row r="5299">
      <c r="A5299" t="inlineStr">
        <is>
          <t>SKINTIFIC</t>
        </is>
      </c>
      <c r="B5299" s="2">
        <f>"20100178346"</f>
        <v/>
      </c>
      <c r="C5299" t="inlineStr">
        <is>
          <t>SKINTIFIC Daily Filter Perfect Skin Tint 03 Petal 28gr</t>
        </is>
      </c>
      <c r="D5299" t="inlineStr">
        <is>
          <t>Miss Glam Damar</t>
        </is>
      </c>
      <c r="E5299" t="n">
        <v>6</v>
      </c>
      <c r="F5299" t="n">
        <v>0.5824</v>
      </c>
      <c r="G5299" t="n">
        <v>2.73</v>
      </c>
      <c r="H5299" t="n">
        <v>2</v>
      </c>
      <c r="I5299" t="n">
        <v>9</v>
      </c>
      <c r="J5299" t="n">
        <v>1</v>
      </c>
      <c r="K5299" t="n">
        <v>0</v>
      </c>
      <c r="L5299" t="n">
        <v>68530</v>
      </c>
      <c r="M5299" t="n">
        <v>99000</v>
      </c>
      <c r="N5299" t="n">
        <v>91</v>
      </c>
      <c r="O5299" t="n">
        <v>0.91</v>
      </c>
      <c r="P5299" t="n">
        <v>1</v>
      </c>
      <c r="Q5299" t="n">
        <v>0.63</v>
      </c>
      <c r="R5299" t="n">
        <v>3</v>
      </c>
      <c r="S5299" t="n">
        <v>57657.60000000001</v>
      </c>
      <c r="T5299" t="n">
        <v>24</v>
      </c>
      <c r="U5299" t="n">
        <v>26</v>
      </c>
      <c r="V5299" t="n">
        <v>30</v>
      </c>
      <c r="W5299" t="n">
        <v>18</v>
      </c>
      <c r="X5299" t="n">
        <v>10.3021978021978</v>
      </c>
      <c r="Y5299" t="n">
        <v>1</v>
      </c>
      <c r="Z5299" t="n">
        <v>12</v>
      </c>
      <c r="AA5299" t="n">
        <v>0</v>
      </c>
      <c r="AB5299" t="n">
        <v>12</v>
      </c>
      <c r="AC5299" t="n">
        <v>12</v>
      </c>
      <c r="AD5299" t="n">
        <v>0</v>
      </c>
      <c r="AE5299" t="n">
        <v>822360</v>
      </c>
      <c r="AF5299" t="n">
        <v>13364</v>
      </c>
      <c r="AG5299" t="n">
        <v>3495</v>
      </c>
      <c r="AH5299" t="inlineStr">
        <is>
          <t>PT. YAFINDO MITRA PERMATA (PDG)</t>
        </is>
      </c>
      <c r="AI5299" t="n">
        <v>1017</v>
      </c>
      <c r="AJ5299" t="inlineStr">
        <is>
          <t>SKINTIFIC</t>
        </is>
      </c>
      <c r="AK5299" t="n">
        <v>21</v>
      </c>
      <c r="AL5299" t="inlineStr">
        <is>
          <t>Miss Glam Damar</t>
        </is>
      </c>
      <c r="AM5299" t="n">
        <v>1</v>
      </c>
      <c r="AN5299" t="n">
        <v>500000</v>
      </c>
      <c r="AO5299" t="n">
        <v>0</v>
      </c>
      <c r="AP5299" t="inlineStr"/>
      <c r="AQ5299" t="inlineStr"/>
    </row>
    <row r="5300">
      <c r="A5300" t="inlineStr">
        <is>
          <t>SKINTIFIC</t>
        </is>
      </c>
      <c r="B5300" s="2">
        <f>"20100178228"</f>
        <v/>
      </c>
      <c r="C5300" t="inlineStr">
        <is>
          <t>SKINTIFIC Daily Filter Perfect Skin Tint 03A Almond 28gr</t>
        </is>
      </c>
      <c r="D5300" t="inlineStr">
        <is>
          <t>Miss Glam Damar</t>
        </is>
      </c>
      <c r="E5300" t="n">
        <v>8</v>
      </c>
      <c r="F5300" t="n">
        <v>0.5096000000000001</v>
      </c>
      <c r="G5300" t="n">
        <v>2.73</v>
      </c>
      <c r="H5300" t="n">
        <v>2</v>
      </c>
      <c r="I5300" t="n">
        <v>9</v>
      </c>
      <c r="J5300" t="n">
        <v>1</v>
      </c>
      <c r="K5300" t="n">
        <v>0</v>
      </c>
      <c r="L5300" t="n">
        <v>68530</v>
      </c>
      <c r="M5300" t="n">
        <v>99000</v>
      </c>
      <c r="N5300" t="n">
        <v>91</v>
      </c>
      <c r="O5300" t="n">
        <v>0.91</v>
      </c>
      <c r="P5300" t="n">
        <v>1</v>
      </c>
      <c r="Q5300" t="n">
        <v>0.37</v>
      </c>
      <c r="R5300" t="n">
        <v>3</v>
      </c>
      <c r="S5300" t="n">
        <v>50450.40000000001</v>
      </c>
      <c r="T5300" t="n">
        <v>24</v>
      </c>
      <c r="U5300" t="n">
        <v>26</v>
      </c>
      <c r="V5300" t="n">
        <v>30</v>
      </c>
      <c r="W5300" t="n">
        <v>16</v>
      </c>
      <c r="X5300" t="n">
        <v>15.69858712715855</v>
      </c>
      <c r="Y5300" t="n">
        <v>1</v>
      </c>
      <c r="Z5300" t="n">
        <v>8</v>
      </c>
      <c r="AA5300" t="n">
        <v>0</v>
      </c>
      <c r="AB5300" t="n">
        <v>8</v>
      </c>
      <c r="AC5300" t="n">
        <v>8</v>
      </c>
      <c r="AD5300" t="n">
        <v>0</v>
      </c>
      <c r="AE5300" t="n">
        <v>548240</v>
      </c>
      <c r="AF5300" t="n">
        <v>13364</v>
      </c>
      <c r="AG5300" t="n">
        <v>3495</v>
      </c>
      <c r="AH5300" t="inlineStr">
        <is>
          <t>PT. YAFINDO MITRA PERMATA (PDG)</t>
        </is>
      </c>
      <c r="AI5300" t="n">
        <v>1017</v>
      </c>
      <c r="AJ5300" t="inlineStr">
        <is>
          <t>SKINTIFIC</t>
        </is>
      </c>
      <c r="AK5300" t="n">
        <v>21</v>
      </c>
      <c r="AL5300" t="inlineStr">
        <is>
          <t>Miss Glam Damar</t>
        </is>
      </c>
      <c r="AM5300" t="n">
        <v>1</v>
      </c>
      <c r="AN5300" t="n">
        <v>500000</v>
      </c>
      <c r="AO5300" t="n">
        <v>0</v>
      </c>
      <c r="AP5300" t="inlineStr"/>
      <c r="AQ5300" t="inlineStr"/>
    </row>
    <row r="5301">
      <c r="A5301" t="inlineStr">
        <is>
          <t>SKINTIFIC</t>
        </is>
      </c>
      <c r="B5301" s="2">
        <f>"7554411572562"</f>
        <v/>
      </c>
      <c r="C5301" t="inlineStr">
        <is>
          <t>SKINTIFIC Glycolic Acid Daily Clarifying Toner 80ml</t>
        </is>
      </c>
      <c r="D5301" t="inlineStr">
        <is>
          <t>Miss Glam Damar</t>
        </is>
      </c>
      <c r="E5301" t="n">
        <v>0</v>
      </c>
      <c r="F5301" t="n">
        <v>0.0546</v>
      </c>
      <c r="G5301" t="n">
        <v>0.91</v>
      </c>
      <c r="H5301" t="n">
        <v>2</v>
      </c>
      <c r="I5301" t="n">
        <v>9</v>
      </c>
      <c r="J5301" t="n">
        <v>3</v>
      </c>
      <c r="K5301" t="n">
        <v>0</v>
      </c>
      <c r="L5301" t="n">
        <v>99176</v>
      </c>
      <c r="M5301" t="n">
        <v>124000</v>
      </c>
      <c r="N5301" t="n">
        <v>91</v>
      </c>
      <c r="O5301" t="n">
        <v>0.91</v>
      </c>
      <c r="P5301" t="n">
        <v>1</v>
      </c>
      <c r="Q5301" t="n">
        <v>0.13</v>
      </c>
      <c r="R5301" t="n">
        <v>3</v>
      </c>
      <c r="S5301" t="n">
        <v>6770.400000000001</v>
      </c>
      <c r="T5301" t="n">
        <v>9</v>
      </c>
      <c r="U5301" t="n">
        <v>10</v>
      </c>
      <c r="V5301" t="n">
        <v>30</v>
      </c>
      <c r="W5301" t="n">
        <v>2</v>
      </c>
      <c r="X5301" t="n">
        <v>0</v>
      </c>
      <c r="Y5301" t="n">
        <v>1</v>
      </c>
      <c r="Z5301" t="n">
        <v>2</v>
      </c>
      <c r="AA5301" t="n">
        <v>1</v>
      </c>
      <c r="AB5301" t="n">
        <v>1</v>
      </c>
      <c r="AC5301" t="n">
        <v>3</v>
      </c>
      <c r="AD5301" t="n">
        <v>99176</v>
      </c>
      <c r="AE5301" t="n">
        <v>297528</v>
      </c>
      <c r="AF5301" t="n">
        <v>13364</v>
      </c>
      <c r="AG5301" t="n">
        <v>3495</v>
      </c>
      <c r="AH5301" t="inlineStr">
        <is>
          <t>PT. YAFINDO MITRA PERMATA (PDG)</t>
        </is>
      </c>
      <c r="AI5301" t="n">
        <v>1017</v>
      </c>
      <c r="AJ5301" t="inlineStr">
        <is>
          <t>SKINTIFIC</t>
        </is>
      </c>
      <c r="AK5301" t="n">
        <v>21</v>
      </c>
      <c r="AL5301" t="inlineStr">
        <is>
          <t>Miss Glam Damar</t>
        </is>
      </c>
      <c r="AM5301" t="n">
        <v>1</v>
      </c>
      <c r="AN5301" t="n">
        <v>500000</v>
      </c>
      <c r="AO5301" t="n">
        <v>0</v>
      </c>
      <c r="AP5301" t="inlineStr"/>
      <c r="AQ5301" t="inlineStr"/>
    </row>
    <row r="5302">
      <c r="A5302" t="inlineStr">
        <is>
          <t>SKINTIFIC</t>
        </is>
      </c>
      <c r="B5302" s="2">
        <f>"7554411571022"</f>
        <v/>
      </c>
      <c r="C5302" t="inlineStr">
        <is>
          <t>SKINTIFIC Ice Cream Cleansing Balm 40g</t>
        </is>
      </c>
      <c r="D5302" t="inlineStr">
        <is>
          <t>Miss Glam Damar</t>
        </is>
      </c>
      <c r="E5302" t="n">
        <v>3</v>
      </c>
      <c r="F5302" t="n">
        <v>0.06370000000000001</v>
      </c>
      <c r="G5302" t="n">
        <v>0.91</v>
      </c>
      <c r="H5302" t="n">
        <v>2</v>
      </c>
      <c r="I5302" t="n">
        <v>9</v>
      </c>
      <c r="J5302" t="n">
        <v>3</v>
      </c>
      <c r="K5302" t="n">
        <v>0</v>
      </c>
      <c r="L5302" t="n">
        <v>110264</v>
      </c>
      <c r="M5302" t="n">
        <v>138000</v>
      </c>
      <c r="N5302" t="n">
        <v>91</v>
      </c>
      <c r="O5302" t="n">
        <v>0.91</v>
      </c>
      <c r="P5302" t="n">
        <v>1</v>
      </c>
      <c r="Q5302" t="n">
        <v>0.07000000000000001</v>
      </c>
      <c r="R5302" t="n">
        <v>1</v>
      </c>
      <c r="S5302" t="n">
        <v>8790.6</v>
      </c>
      <c r="T5302" t="n">
        <v>9</v>
      </c>
      <c r="U5302" t="n">
        <v>10</v>
      </c>
      <c r="V5302" t="n">
        <v>30</v>
      </c>
      <c r="W5302" t="n">
        <v>2</v>
      </c>
      <c r="X5302" t="n">
        <v>47.09576138147566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13364</v>
      </c>
      <c r="AG5302" t="n">
        <v>3495</v>
      </c>
      <c r="AH5302" t="inlineStr">
        <is>
          <t>PT. YAFINDO MITRA PERMATA (PDG)</t>
        </is>
      </c>
      <c r="AI5302" t="n">
        <v>1017</v>
      </c>
      <c r="AJ5302" t="inlineStr">
        <is>
          <t>SKINTIFIC</t>
        </is>
      </c>
      <c r="AK5302" t="n">
        <v>21</v>
      </c>
      <c r="AL5302" t="inlineStr">
        <is>
          <t>Miss Glam Damar</t>
        </is>
      </c>
      <c r="AM5302" t="n">
        <v>1</v>
      </c>
      <c r="AN5302" t="n">
        <v>500000</v>
      </c>
      <c r="AO5302" t="n">
        <v>0</v>
      </c>
      <c r="AP5302" t="inlineStr"/>
      <c r="AQ5302" t="inlineStr"/>
    </row>
    <row r="5303">
      <c r="A5303" t="inlineStr">
        <is>
          <t>SKINTIFIC</t>
        </is>
      </c>
      <c r="B5303" s="2">
        <f>"20100471447"</f>
        <v/>
      </c>
      <c r="C5303" t="inlineStr">
        <is>
          <t>SKINTIFIC Invisiblur All Day Loose Powder 01 Vanilla 11gr</t>
        </is>
      </c>
      <c r="D5303" t="inlineStr">
        <is>
          <t>Miss Glam Damar</t>
        </is>
      </c>
      <c r="E5303" t="n">
        <v>4</v>
      </c>
      <c r="F5303" t="n">
        <v>0.04550000000000001</v>
      </c>
      <c r="G5303" t="n">
        <v>0.91</v>
      </c>
      <c r="H5303" t="n">
        <v>2</v>
      </c>
      <c r="I5303" t="n">
        <v>9</v>
      </c>
      <c r="J5303" t="n">
        <v>1</v>
      </c>
      <c r="K5303" t="n">
        <v>0</v>
      </c>
      <c r="L5303" t="n">
        <v>118580</v>
      </c>
      <c r="M5303" t="n">
        <v>154000</v>
      </c>
      <c r="N5303" t="n">
        <v>91</v>
      </c>
      <c r="O5303" t="n">
        <v>0.91</v>
      </c>
      <c r="P5303" t="n">
        <v>1</v>
      </c>
      <c r="Q5303" t="n">
        <v>0.12</v>
      </c>
      <c r="R5303" t="n">
        <v>1</v>
      </c>
      <c r="S5303" t="n">
        <v>7007.000000000001</v>
      </c>
      <c r="T5303" t="n">
        <v>9</v>
      </c>
      <c r="U5303" t="n">
        <v>10</v>
      </c>
      <c r="V5303" t="n">
        <v>30</v>
      </c>
      <c r="W5303" t="n">
        <v>2</v>
      </c>
      <c r="X5303" t="n">
        <v>87.9120879120879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13364</v>
      </c>
      <c r="AG5303" t="n">
        <v>3495</v>
      </c>
      <c r="AH5303" t="inlineStr">
        <is>
          <t>PT. YAFINDO MITRA PERMATA (PDG)</t>
        </is>
      </c>
      <c r="AI5303" t="n">
        <v>1017</v>
      </c>
      <c r="AJ5303" t="inlineStr">
        <is>
          <t>SKINTIFIC</t>
        </is>
      </c>
      <c r="AK5303" t="n">
        <v>21</v>
      </c>
      <c r="AL5303" t="inlineStr">
        <is>
          <t>Miss Glam Damar</t>
        </is>
      </c>
      <c r="AM5303" t="n">
        <v>1</v>
      </c>
      <c r="AN5303" t="n">
        <v>500000</v>
      </c>
      <c r="AO5303" t="n">
        <v>0</v>
      </c>
      <c r="AP5303" t="inlineStr"/>
      <c r="AQ5303" t="inlineStr"/>
    </row>
    <row r="5304">
      <c r="A5304" t="inlineStr">
        <is>
          <t>SKINTIFIC</t>
        </is>
      </c>
      <c r="B5304" s="2">
        <f>"20100471559"</f>
        <v/>
      </c>
      <c r="C5304" t="inlineStr">
        <is>
          <t>SKINTIFIC Invisiblur All Day Loose Powder 02 Ivory 11gr</t>
        </is>
      </c>
      <c r="D5304" t="inlineStr">
        <is>
          <t>Miss Glam Damar</t>
        </is>
      </c>
      <c r="E5304" t="n">
        <v>12</v>
      </c>
      <c r="F5304" t="n">
        <v>0.2275</v>
      </c>
      <c r="G5304" t="n">
        <v>1.82</v>
      </c>
      <c r="H5304" t="n">
        <v>2</v>
      </c>
      <c r="I5304" t="n">
        <v>9</v>
      </c>
      <c r="J5304" t="n">
        <v>1</v>
      </c>
      <c r="K5304" t="n">
        <v>0</v>
      </c>
      <c r="L5304" t="n">
        <v>117631</v>
      </c>
      <c r="M5304" t="n">
        <v>154000</v>
      </c>
      <c r="N5304" t="n">
        <v>91</v>
      </c>
      <c r="O5304" t="n">
        <v>0.91</v>
      </c>
      <c r="P5304" t="n">
        <v>1</v>
      </c>
      <c r="Q5304" t="n">
        <v>0.39</v>
      </c>
      <c r="R5304" t="n">
        <v>3</v>
      </c>
      <c r="S5304" t="n">
        <v>35035</v>
      </c>
      <c r="T5304" t="n">
        <v>16</v>
      </c>
      <c r="U5304" t="n">
        <v>17</v>
      </c>
      <c r="V5304" t="n">
        <v>30</v>
      </c>
      <c r="W5304" t="n">
        <v>7</v>
      </c>
      <c r="X5304" t="n">
        <v>52.74725274725274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13364</v>
      </c>
      <c r="AG5304" t="n">
        <v>3495</v>
      </c>
      <c r="AH5304" t="inlineStr">
        <is>
          <t>PT. YAFINDO MITRA PERMATA (PDG)</t>
        </is>
      </c>
      <c r="AI5304" t="n">
        <v>1017</v>
      </c>
      <c r="AJ5304" t="inlineStr">
        <is>
          <t>SKINTIFIC</t>
        </is>
      </c>
      <c r="AK5304" t="n">
        <v>21</v>
      </c>
      <c r="AL5304" t="inlineStr">
        <is>
          <t>Miss Glam Damar</t>
        </is>
      </c>
      <c r="AM5304" t="n">
        <v>1</v>
      </c>
      <c r="AN5304" t="n">
        <v>500000</v>
      </c>
      <c r="AO5304" t="n">
        <v>0</v>
      </c>
      <c r="AP5304" t="inlineStr"/>
      <c r="AQ5304" t="inlineStr"/>
    </row>
    <row r="5305">
      <c r="A5305" t="inlineStr">
        <is>
          <t>SKINTIFIC</t>
        </is>
      </c>
      <c r="B5305" s="2">
        <f>"20100641135"</f>
        <v/>
      </c>
      <c r="C5305" t="inlineStr">
        <is>
          <t>SKINTIFIC Invisiblur All Day Loose Powder 03 Petal 10gr</t>
        </is>
      </c>
      <c r="D5305" t="inlineStr">
        <is>
          <t>Miss Glam Damar</t>
        </is>
      </c>
      <c r="E5305" t="n">
        <v>13</v>
      </c>
      <c r="F5305" t="n">
        <v>0.182</v>
      </c>
      <c r="G5305" t="n">
        <v>2.73</v>
      </c>
      <c r="H5305" t="n">
        <v>2</v>
      </c>
      <c r="I5305" t="n">
        <v>9</v>
      </c>
      <c r="J5305" t="n">
        <v>1</v>
      </c>
      <c r="K5305" t="n">
        <v>0</v>
      </c>
      <c r="L5305" t="n">
        <v>118580</v>
      </c>
      <c r="M5305" t="n">
        <v>154000</v>
      </c>
      <c r="N5305" t="n">
        <v>91</v>
      </c>
      <c r="O5305" t="n">
        <v>0.91</v>
      </c>
      <c r="P5305" t="n">
        <v>1</v>
      </c>
      <c r="Q5305" t="n">
        <v>0.42</v>
      </c>
      <c r="R5305" t="n">
        <v>2</v>
      </c>
      <c r="S5305" t="n">
        <v>28028</v>
      </c>
      <c r="T5305" t="n">
        <v>25</v>
      </c>
      <c r="U5305" t="n">
        <v>26</v>
      </c>
      <c r="V5305" t="n">
        <v>30</v>
      </c>
      <c r="W5305" t="n">
        <v>6</v>
      </c>
      <c r="X5305" t="n">
        <v>71.42857142857142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13364</v>
      </c>
      <c r="AG5305" t="n">
        <v>3495</v>
      </c>
      <c r="AH5305" t="inlineStr">
        <is>
          <t>PT. YAFINDO MITRA PERMATA (PDG)</t>
        </is>
      </c>
      <c r="AI5305" t="n">
        <v>1017</v>
      </c>
      <c r="AJ5305" t="inlineStr">
        <is>
          <t>SKINTIFIC</t>
        </is>
      </c>
      <c r="AK5305" t="n">
        <v>21</v>
      </c>
      <c r="AL5305" t="inlineStr">
        <is>
          <t>Miss Glam Damar</t>
        </is>
      </c>
      <c r="AM5305" t="n">
        <v>1</v>
      </c>
      <c r="AN5305" t="n">
        <v>500000</v>
      </c>
      <c r="AO5305" t="n">
        <v>0</v>
      </c>
      <c r="AP5305" t="inlineStr"/>
      <c r="AQ5305" t="inlineStr"/>
    </row>
    <row r="5306">
      <c r="A5306" t="inlineStr">
        <is>
          <t>SKINTIFIC</t>
        </is>
      </c>
      <c r="B5306" s="2">
        <f>"20100471652"</f>
        <v/>
      </c>
      <c r="C5306" t="inlineStr">
        <is>
          <t>SKINTIFIC Invisiblur All Day Loose Powder 03A Almond 11gr</t>
        </is>
      </c>
      <c r="D5306" t="inlineStr">
        <is>
          <t>Miss Glam Damar</t>
        </is>
      </c>
      <c r="E5306" t="n">
        <v>7</v>
      </c>
      <c r="F5306" t="n">
        <v>0.06370000000000001</v>
      </c>
      <c r="G5306" t="n">
        <v>1.82</v>
      </c>
      <c r="H5306" t="n">
        <v>2</v>
      </c>
      <c r="I5306" t="n">
        <v>9</v>
      </c>
      <c r="J5306" t="n">
        <v>1</v>
      </c>
      <c r="K5306" t="n">
        <v>0</v>
      </c>
      <c r="L5306" t="n">
        <v>117472</v>
      </c>
      <c r="M5306" t="n">
        <v>154000</v>
      </c>
      <c r="N5306" t="n">
        <v>91</v>
      </c>
      <c r="O5306" t="n">
        <v>0.91</v>
      </c>
      <c r="P5306" t="n">
        <v>1</v>
      </c>
      <c r="Q5306" t="n">
        <v>0.12</v>
      </c>
      <c r="R5306" t="n">
        <v>1</v>
      </c>
      <c r="S5306" t="n">
        <v>9809.800000000001</v>
      </c>
      <c r="T5306" t="n">
        <v>17</v>
      </c>
      <c r="U5306" t="n">
        <v>18</v>
      </c>
      <c r="V5306" t="n">
        <v>30</v>
      </c>
      <c r="W5306" t="n">
        <v>2</v>
      </c>
      <c r="X5306" t="n">
        <v>109.8901098901099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13364</v>
      </c>
      <c r="AG5306" t="n">
        <v>3495</v>
      </c>
      <c r="AH5306" t="inlineStr">
        <is>
          <t>PT. YAFINDO MITRA PERMATA (PDG)</t>
        </is>
      </c>
      <c r="AI5306" t="n">
        <v>1017</v>
      </c>
      <c r="AJ5306" t="inlineStr">
        <is>
          <t>SKINTIFIC</t>
        </is>
      </c>
      <c r="AK5306" t="n">
        <v>21</v>
      </c>
      <c r="AL5306" t="inlineStr">
        <is>
          <t>Miss Glam Damar</t>
        </is>
      </c>
      <c r="AM5306" t="n">
        <v>1</v>
      </c>
      <c r="AN5306" t="n">
        <v>500000</v>
      </c>
      <c r="AO5306" t="n">
        <v>0</v>
      </c>
      <c r="AP5306" t="inlineStr"/>
      <c r="AQ5306" t="inlineStr"/>
    </row>
    <row r="5307">
      <c r="A5307" t="inlineStr">
        <is>
          <t>SKINTIFIC</t>
        </is>
      </c>
      <c r="B5307" s="2">
        <f>"20100471722"</f>
        <v/>
      </c>
      <c r="C5307" t="inlineStr">
        <is>
          <t>SKINTIFIC Invisiblur All Day Loose Powder 04 Beige 11gr</t>
        </is>
      </c>
      <c r="D5307" t="inlineStr">
        <is>
          <t>Miss Glam Damar</t>
        </is>
      </c>
      <c r="E5307" t="n">
        <v>3</v>
      </c>
      <c r="F5307" t="n">
        <v>0.04550000000000001</v>
      </c>
      <c r="G5307" t="n">
        <v>0.91</v>
      </c>
      <c r="H5307" t="n">
        <v>2</v>
      </c>
      <c r="I5307" t="n">
        <v>9</v>
      </c>
      <c r="J5307" t="n">
        <v>1</v>
      </c>
      <c r="K5307" t="n">
        <v>0</v>
      </c>
      <c r="L5307" t="n">
        <v>117028</v>
      </c>
      <c r="M5307" t="n">
        <v>154000</v>
      </c>
      <c r="N5307" t="n">
        <v>91</v>
      </c>
      <c r="O5307" t="n">
        <v>0.91</v>
      </c>
      <c r="P5307" t="n">
        <v>1</v>
      </c>
      <c r="Q5307" t="n">
        <v>0.08</v>
      </c>
      <c r="R5307" t="n">
        <v>1</v>
      </c>
      <c r="S5307" t="n">
        <v>7007.000000000001</v>
      </c>
      <c r="T5307" t="n">
        <v>9</v>
      </c>
      <c r="U5307" t="n">
        <v>10</v>
      </c>
      <c r="V5307" t="n">
        <v>30</v>
      </c>
      <c r="W5307" t="n">
        <v>2</v>
      </c>
      <c r="X5307" t="n">
        <v>65.93406593406593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13364</v>
      </c>
      <c r="AG5307" t="n">
        <v>3495</v>
      </c>
      <c r="AH5307" t="inlineStr">
        <is>
          <t>PT. YAFINDO MITRA PERMATA (PDG)</t>
        </is>
      </c>
      <c r="AI5307" t="n">
        <v>1017</v>
      </c>
      <c r="AJ5307" t="inlineStr">
        <is>
          <t>SKINTIFIC</t>
        </is>
      </c>
      <c r="AK5307" t="n">
        <v>21</v>
      </c>
      <c r="AL5307" t="inlineStr">
        <is>
          <t>Miss Glam Damar</t>
        </is>
      </c>
      <c r="AM5307" t="n">
        <v>1</v>
      </c>
      <c r="AN5307" t="n">
        <v>500000</v>
      </c>
      <c r="AO5307" t="n">
        <v>0</v>
      </c>
      <c r="AP5307" t="inlineStr"/>
      <c r="AQ5307" t="inlineStr"/>
    </row>
    <row r="5308">
      <c r="A5308" t="inlineStr">
        <is>
          <t>SKINTIFIC</t>
        </is>
      </c>
      <c r="B5308" s="2">
        <f>"20100471810"</f>
        <v/>
      </c>
      <c r="C5308" t="inlineStr">
        <is>
          <t>SKINTIFIC Invisiblur All Day Loose Powder 05 Sand 11gr</t>
        </is>
      </c>
      <c r="D5308" t="inlineStr">
        <is>
          <t>Miss Glam Damar</t>
        </is>
      </c>
      <c r="E5308" t="n">
        <v>4</v>
      </c>
      <c r="F5308" t="n">
        <v>0.0273</v>
      </c>
      <c r="G5308" t="n">
        <v>1.82</v>
      </c>
      <c r="H5308" t="n">
        <v>2</v>
      </c>
      <c r="I5308" t="n">
        <v>9</v>
      </c>
      <c r="J5308" t="n">
        <v>1</v>
      </c>
      <c r="K5308" t="n">
        <v>0</v>
      </c>
      <c r="L5308" t="n">
        <v>118580</v>
      </c>
      <c r="M5308" t="n">
        <v>154000</v>
      </c>
      <c r="N5308" t="n">
        <v>91</v>
      </c>
      <c r="O5308" t="n">
        <v>0.91</v>
      </c>
      <c r="P5308" t="n">
        <v>1</v>
      </c>
      <c r="Q5308" t="n">
        <v>0.03</v>
      </c>
      <c r="R5308" t="n">
        <v>1</v>
      </c>
      <c r="S5308" t="n">
        <v>4204.2</v>
      </c>
      <c r="T5308" t="n">
        <v>17</v>
      </c>
      <c r="U5308" t="n">
        <v>18</v>
      </c>
      <c r="V5308" t="n">
        <v>30</v>
      </c>
      <c r="W5308" t="n">
        <v>1</v>
      </c>
      <c r="X5308" t="n">
        <v>146.5201465201465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13364</v>
      </c>
      <c r="AG5308" t="n">
        <v>3495</v>
      </c>
      <c r="AH5308" t="inlineStr">
        <is>
          <t>PT. YAFINDO MITRA PERMATA (PDG)</t>
        </is>
      </c>
      <c r="AI5308" t="n">
        <v>1017</v>
      </c>
      <c r="AJ5308" t="inlineStr">
        <is>
          <t>SKINTIFIC</t>
        </is>
      </c>
      <c r="AK5308" t="n">
        <v>21</v>
      </c>
      <c r="AL5308" t="inlineStr">
        <is>
          <t>Miss Glam Damar</t>
        </is>
      </c>
      <c r="AM5308" t="n">
        <v>1</v>
      </c>
      <c r="AN5308" t="n">
        <v>500000</v>
      </c>
      <c r="AO5308" t="n">
        <v>0</v>
      </c>
      <c r="AP5308" t="inlineStr"/>
      <c r="AQ5308" t="inlineStr"/>
    </row>
    <row r="5309">
      <c r="A5309" t="inlineStr">
        <is>
          <t>SKINTIFIC</t>
        </is>
      </c>
      <c r="B5309" s="2">
        <f>"20100642952"</f>
        <v/>
      </c>
      <c r="C5309" t="inlineStr">
        <is>
          <t>SKINTIFIC Invisiblur All Day Loose Powder 88 Translucent 10gr</t>
        </is>
      </c>
      <c r="D5309" t="inlineStr">
        <is>
          <t>Miss Glam Damar</t>
        </is>
      </c>
      <c r="E5309" t="n">
        <v>4</v>
      </c>
      <c r="F5309" t="n">
        <v>0.03</v>
      </c>
      <c r="G5309" t="n">
        <v>1</v>
      </c>
      <c r="H5309" t="n">
        <v>2</v>
      </c>
      <c r="I5309" t="n">
        <v>9</v>
      </c>
      <c r="J5309" t="n">
        <v>1</v>
      </c>
      <c r="K5309" t="n">
        <v>0</v>
      </c>
      <c r="L5309" t="n">
        <v>114701</v>
      </c>
      <c r="M5309" t="n">
        <v>154000</v>
      </c>
      <c r="N5309" t="n">
        <v>91</v>
      </c>
      <c r="O5309" t="n">
        <v>0.91</v>
      </c>
      <c r="P5309" t="n">
        <v>0</v>
      </c>
      <c r="Q5309" t="n">
        <v>0.03</v>
      </c>
      <c r="R5309" t="n">
        <v>1</v>
      </c>
      <c r="S5309" t="n">
        <v>4620</v>
      </c>
      <c r="T5309" t="n">
        <v>9</v>
      </c>
      <c r="U5309" t="n">
        <v>10</v>
      </c>
      <c r="V5309" t="n">
        <v>30</v>
      </c>
      <c r="W5309" t="n">
        <v>1</v>
      </c>
      <c r="X5309" t="n">
        <v>133.3333333333333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13364</v>
      </c>
      <c r="AG5309" t="n">
        <v>3495</v>
      </c>
      <c r="AH5309" t="inlineStr">
        <is>
          <t>PT. YAFINDO MITRA PERMATA (PDG)</t>
        </is>
      </c>
      <c r="AI5309" t="n">
        <v>1017</v>
      </c>
      <c r="AJ5309" t="inlineStr">
        <is>
          <t>SKINTIFIC</t>
        </is>
      </c>
      <c r="AK5309" t="n">
        <v>21</v>
      </c>
      <c r="AL5309" t="inlineStr">
        <is>
          <t>Miss Glam Damar</t>
        </is>
      </c>
      <c r="AM5309" t="n">
        <v>1</v>
      </c>
      <c r="AN5309" t="n">
        <v>500000</v>
      </c>
      <c r="AO5309" t="n">
        <v>0</v>
      </c>
      <c r="AP5309" t="inlineStr"/>
      <c r="AQ5309" t="inlineStr"/>
    </row>
    <row r="5310">
      <c r="A5310" t="inlineStr">
        <is>
          <t>SKINTIFIC</t>
        </is>
      </c>
      <c r="B5310" s="2">
        <f>"810114871478"</f>
        <v/>
      </c>
      <c r="C5310" t="inlineStr">
        <is>
          <t>SKINTIFIC Lock The Look Setting Spray 80ml</t>
        </is>
      </c>
      <c r="D5310" t="inlineStr">
        <is>
          <t>Miss Glam Damar</t>
        </is>
      </c>
      <c r="E5310" t="n">
        <v>11</v>
      </c>
      <c r="F5310" t="n">
        <v>0.4004</v>
      </c>
      <c r="G5310" t="n">
        <v>1.82</v>
      </c>
      <c r="H5310" t="n">
        <v>2</v>
      </c>
      <c r="I5310" t="n">
        <v>9</v>
      </c>
      <c r="J5310" t="n">
        <v>3</v>
      </c>
      <c r="K5310" t="n">
        <v>0</v>
      </c>
      <c r="L5310" t="n">
        <v>99337</v>
      </c>
      <c r="M5310" t="n">
        <v>138000</v>
      </c>
      <c r="N5310" t="n">
        <v>91</v>
      </c>
      <c r="O5310" t="n">
        <v>0.91</v>
      </c>
      <c r="P5310" t="n">
        <v>1</v>
      </c>
      <c r="Q5310" t="n">
        <v>0.34</v>
      </c>
      <c r="R5310" t="n">
        <v>2</v>
      </c>
      <c r="S5310" t="n">
        <v>55255.2</v>
      </c>
      <c r="T5310" t="n">
        <v>16</v>
      </c>
      <c r="U5310" t="n">
        <v>17</v>
      </c>
      <c r="V5310" t="n">
        <v>30</v>
      </c>
      <c r="W5310" t="n">
        <v>13</v>
      </c>
      <c r="X5310" t="n">
        <v>27.47252747252747</v>
      </c>
      <c r="Y5310" t="n">
        <v>1</v>
      </c>
      <c r="Z5310" t="n">
        <v>2</v>
      </c>
      <c r="AA5310" t="n">
        <v>0</v>
      </c>
      <c r="AB5310" t="n">
        <v>2</v>
      </c>
      <c r="AC5310" t="n">
        <v>3</v>
      </c>
      <c r="AD5310" t="n">
        <v>0</v>
      </c>
      <c r="AE5310" t="n">
        <v>298011</v>
      </c>
      <c r="AF5310" t="n">
        <v>13364</v>
      </c>
      <c r="AG5310" t="n">
        <v>3495</v>
      </c>
      <c r="AH5310" t="inlineStr">
        <is>
          <t>PT. YAFINDO MITRA PERMATA (PDG)</t>
        </is>
      </c>
      <c r="AI5310" t="n">
        <v>1017</v>
      </c>
      <c r="AJ5310" t="inlineStr">
        <is>
          <t>SKINTIFIC</t>
        </is>
      </c>
      <c r="AK5310" t="n">
        <v>21</v>
      </c>
      <c r="AL5310" t="inlineStr">
        <is>
          <t>Miss Glam Damar</t>
        </is>
      </c>
      <c r="AM5310" t="n">
        <v>1</v>
      </c>
      <c r="AN5310" t="n">
        <v>500000</v>
      </c>
      <c r="AO5310" t="n">
        <v>0</v>
      </c>
      <c r="AP5310" t="inlineStr"/>
      <c r="AQ5310" t="inlineStr"/>
    </row>
    <row r="5311">
      <c r="A5311" t="inlineStr">
        <is>
          <t>SKINTIFIC</t>
        </is>
      </c>
      <c r="B5311" s="2">
        <f>"810114871867"</f>
        <v/>
      </c>
      <c r="C5311" t="inlineStr">
        <is>
          <t>SKINTIFIC Matte Fit Serum Sunscreen SPF 50+ PA++++ 30gr</t>
        </is>
      </c>
      <c r="D5311" t="inlineStr">
        <is>
          <t>Miss Glam Damar</t>
        </is>
      </c>
      <c r="E5311" t="n">
        <v>10</v>
      </c>
      <c r="F5311" t="n">
        <v>0.5824</v>
      </c>
      <c r="G5311" t="n">
        <v>2.73</v>
      </c>
      <c r="H5311" t="n">
        <v>2</v>
      </c>
      <c r="I5311" t="n">
        <v>9</v>
      </c>
      <c r="J5311" t="n">
        <v>3</v>
      </c>
      <c r="K5311" t="n">
        <v>0</v>
      </c>
      <c r="L5311" t="n">
        <v>76237</v>
      </c>
      <c r="M5311" t="n">
        <v>106000</v>
      </c>
      <c r="N5311" t="n">
        <v>91</v>
      </c>
      <c r="O5311" t="n">
        <v>0.91</v>
      </c>
      <c r="P5311" t="n">
        <v>1</v>
      </c>
      <c r="Q5311" t="n">
        <v>0.34</v>
      </c>
      <c r="R5311" t="n">
        <v>3</v>
      </c>
      <c r="S5311" t="n">
        <v>61734.4</v>
      </c>
      <c r="T5311" t="n">
        <v>24</v>
      </c>
      <c r="U5311" t="n">
        <v>26</v>
      </c>
      <c r="V5311" t="n">
        <v>30</v>
      </c>
      <c r="W5311" t="n">
        <v>18</v>
      </c>
      <c r="X5311" t="n">
        <v>17.17032967032967</v>
      </c>
      <c r="Y5311" t="n">
        <v>1</v>
      </c>
      <c r="Z5311" t="n">
        <v>8</v>
      </c>
      <c r="AA5311" t="n">
        <v>0</v>
      </c>
      <c r="AB5311" t="n">
        <v>8</v>
      </c>
      <c r="AC5311" t="n">
        <v>8</v>
      </c>
      <c r="AD5311" t="n">
        <v>0</v>
      </c>
      <c r="AE5311" t="n">
        <v>609896</v>
      </c>
      <c r="AF5311" t="n">
        <v>13364</v>
      </c>
      <c r="AG5311" t="n">
        <v>3495</v>
      </c>
      <c r="AH5311" t="inlineStr">
        <is>
          <t>PT. YAFINDO MITRA PERMATA (PDG)</t>
        </is>
      </c>
      <c r="AI5311" t="n">
        <v>1017</v>
      </c>
      <c r="AJ5311" t="inlineStr">
        <is>
          <t>SKINTIFIC</t>
        </is>
      </c>
      <c r="AK5311" t="n">
        <v>21</v>
      </c>
      <c r="AL5311" t="inlineStr">
        <is>
          <t>Miss Glam Damar</t>
        </is>
      </c>
      <c r="AM5311" t="n">
        <v>1</v>
      </c>
      <c r="AN5311" t="n">
        <v>500000</v>
      </c>
      <c r="AO5311" t="n">
        <v>0</v>
      </c>
      <c r="AP5311" t="inlineStr"/>
      <c r="AQ5311" t="inlineStr"/>
    </row>
    <row r="5312">
      <c r="A5312" t="inlineStr">
        <is>
          <t>SKINTIFIC</t>
        </is>
      </c>
      <c r="B5312" s="2">
        <f>"810114871874"</f>
        <v/>
      </c>
      <c r="C5312" t="inlineStr">
        <is>
          <t>SKINTIFIC Matte Fit Serum Sunscreen SPF 50+ PA++++ 50gr</t>
        </is>
      </c>
      <c r="D5312" t="inlineStr">
        <is>
          <t>Miss Glam Damar</t>
        </is>
      </c>
      <c r="E5312" t="n">
        <v>13</v>
      </c>
      <c r="F5312" t="n">
        <v>0.3276</v>
      </c>
      <c r="G5312" t="n">
        <v>2.73</v>
      </c>
      <c r="H5312" t="n">
        <v>2</v>
      </c>
      <c r="I5312" t="n">
        <v>9</v>
      </c>
      <c r="J5312" t="n">
        <v>3</v>
      </c>
      <c r="K5312" t="n">
        <v>0</v>
      </c>
      <c r="L5312" t="n">
        <v>114412</v>
      </c>
      <c r="M5312" t="n">
        <v>149000</v>
      </c>
      <c r="N5312" t="n">
        <v>91</v>
      </c>
      <c r="O5312" t="n">
        <v>0.91</v>
      </c>
      <c r="P5312" t="n">
        <v>1</v>
      </c>
      <c r="Q5312" t="n">
        <v>0.64</v>
      </c>
      <c r="R5312" t="n">
        <v>4</v>
      </c>
      <c r="S5312" t="n">
        <v>48812.4</v>
      </c>
      <c r="T5312" t="n">
        <v>24</v>
      </c>
      <c r="U5312" t="n">
        <v>25</v>
      </c>
      <c r="V5312" t="n">
        <v>30</v>
      </c>
      <c r="W5312" t="n">
        <v>10</v>
      </c>
      <c r="X5312" t="n">
        <v>39.68253968253968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13364</v>
      </c>
      <c r="AG5312" t="n">
        <v>3495</v>
      </c>
      <c r="AH5312" t="inlineStr">
        <is>
          <t>PT. YAFINDO MITRA PERMATA (PDG)</t>
        </is>
      </c>
      <c r="AI5312" t="n">
        <v>1017</v>
      </c>
      <c r="AJ5312" t="inlineStr">
        <is>
          <t>SKINTIFIC</t>
        </is>
      </c>
      <c r="AK5312" t="n">
        <v>21</v>
      </c>
      <c r="AL5312" t="inlineStr">
        <is>
          <t>Miss Glam Damar</t>
        </is>
      </c>
      <c r="AM5312" t="n">
        <v>1</v>
      </c>
      <c r="AN5312" t="n">
        <v>500000</v>
      </c>
      <c r="AO5312" t="n">
        <v>0</v>
      </c>
      <c r="AP5312" t="inlineStr"/>
      <c r="AQ5312" t="inlineStr"/>
    </row>
    <row r="5313">
      <c r="A5313" t="inlineStr">
        <is>
          <t>SKINTIFIC</t>
        </is>
      </c>
      <c r="B5313" s="2">
        <f>"810114870136"</f>
        <v/>
      </c>
      <c r="C5313" t="inlineStr">
        <is>
          <t>SKINTIFIC MSH Niacinamide Brightening Moisture Gel 30gr</t>
        </is>
      </c>
      <c r="D5313" t="inlineStr">
        <is>
          <t>Miss Glam Damar</t>
        </is>
      </c>
      <c r="E5313" t="n">
        <v>53</v>
      </c>
      <c r="F5313" t="n">
        <v>2.7027</v>
      </c>
      <c r="G5313" t="n">
        <v>9.1</v>
      </c>
      <c r="H5313" t="n">
        <v>2</v>
      </c>
      <c r="I5313" t="n">
        <v>9</v>
      </c>
      <c r="J5313" t="n">
        <v>12</v>
      </c>
      <c r="K5313" t="n">
        <v>0</v>
      </c>
      <c r="L5313" t="n">
        <v>108629</v>
      </c>
      <c r="M5313" t="n">
        <v>154200</v>
      </c>
      <c r="N5313" t="n">
        <v>91</v>
      </c>
      <c r="O5313" t="n">
        <v>0.91</v>
      </c>
      <c r="P5313" t="n">
        <v>1</v>
      </c>
      <c r="Q5313" t="n">
        <v>2.34</v>
      </c>
      <c r="R5313" t="n">
        <v>8</v>
      </c>
      <c r="S5313" t="n">
        <v>416756.34</v>
      </c>
      <c r="T5313" t="n">
        <v>77</v>
      </c>
      <c r="U5313" t="n">
        <v>83</v>
      </c>
      <c r="V5313" t="n">
        <v>30</v>
      </c>
      <c r="W5313" t="n">
        <v>82</v>
      </c>
      <c r="X5313" t="n">
        <v>19.61001961001961</v>
      </c>
      <c r="Y5313" t="n">
        <v>1</v>
      </c>
      <c r="Z5313" t="n">
        <v>29</v>
      </c>
      <c r="AA5313" t="n">
        <v>0</v>
      </c>
      <c r="AB5313" t="n">
        <v>29</v>
      </c>
      <c r="AC5313" t="n">
        <v>29</v>
      </c>
      <c r="AD5313" t="n">
        <v>0</v>
      </c>
      <c r="AE5313" t="n">
        <v>3150241</v>
      </c>
      <c r="AF5313" t="n">
        <v>13364</v>
      </c>
      <c r="AG5313" t="n">
        <v>3495</v>
      </c>
      <c r="AH5313" t="inlineStr">
        <is>
          <t>PT. YAFINDO MITRA PERMATA (PDG)</t>
        </is>
      </c>
      <c r="AI5313" t="n">
        <v>1017</v>
      </c>
      <c r="AJ5313" t="inlineStr">
        <is>
          <t>SKINTIFIC</t>
        </is>
      </c>
      <c r="AK5313" t="n">
        <v>21</v>
      </c>
      <c r="AL5313" t="inlineStr">
        <is>
          <t>Miss Glam Damar</t>
        </is>
      </c>
      <c r="AM5313" t="n">
        <v>1</v>
      </c>
      <c r="AN5313" t="n">
        <v>500000</v>
      </c>
      <c r="AO5313" t="n">
        <v>0</v>
      </c>
      <c r="AP5313" t="inlineStr"/>
      <c r="AQ5313" t="inlineStr"/>
    </row>
    <row r="5314">
      <c r="A5314" t="inlineStr">
        <is>
          <t>SKINTIFIC</t>
        </is>
      </c>
      <c r="B5314" s="2">
        <f>"810114870402"</f>
        <v/>
      </c>
      <c r="C5314" t="inlineStr">
        <is>
          <t>SKINTIFIC MSH Niacinamide Brightening Moisture Gel 6gr</t>
        </is>
      </c>
      <c r="D5314" t="inlineStr">
        <is>
          <t>Miss Glam Damar</t>
        </is>
      </c>
      <c r="E5314" t="n">
        <v>7</v>
      </c>
      <c r="F5314" t="n">
        <v>0.1092</v>
      </c>
      <c r="G5314" t="n">
        <v>0.91</v>
      </c>
      <c r="H5314" t="n">
        <v>2</v>
      </c>
      <c r="I5314" t="n">
        <v>9</v>
      </c>
      <c r="J5314" t="n">
        <v>3</v>
      </c>
      <c r="K5314" t="n">
        <v>0</v>
      </c>
      <c r="L5314" t="n">
        <v>33342</v>
      </c>
      <c r="M5314" t="n">
        <v>42000</v>
      </c>
      <c r="N5314" t="n">
        <v>91</v>
      </c>
      <c r="O5314" t="n">
        <v>0.91</v>
      </c>
      <c r="P5314" t="n">
        <v>1</v>
      </c>
      <c r="Q5314" t="n">
        <v>0.2</v>
      </c>
      <c r="R5314" t="n">
        <v>1</v>
      </c>
      <c r="S5314" t="n">
        <v>4586.400000000001</v>
      </c>
      <c r="T5314" t="n">
        <v>8</v>
      </c>
      <c r="U5314" t="n">
        <v>9</v>
      </c>
      <c r="V5314" t="n">
        <v>30</v>
      </c>
      <c r="W5314" t="n">
        <v>4</v>
      </c>
      <c r="X5314" t="n">
        <v>64.1025641025641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13364</v>
      </c>
      <c r="AG5314" t="n">
        <v>3495</v>
      </c>
      <c r="AH5314" t="inlineStr">
        <is>
          <t>PT. YAFINDO MITRA PERMATA (PDG)</t>
        </is>
      </c>
      <c r="AI5314" t="n">
        <v>1017</v>
      </c>
      <c r="AJ5314" t="inlineStr">
        <is>
          <t>SKINTIFIC</t>
        </is>
      </c>
      <c r="AK5314" t="n">
        <v>21</v>
      </c>
      <c r="AL5314" t="inlineStr">
        <is>
          <t>Miss Glam Damar</t>
        </is>
      </c>
      <c r="AM5314" t="n">
        <v>1</v>
      </c>
      <c r="AN5314" t="n">
        <v>500000</v>
      </c>
      <c r="AO5314" t="n">
        <v>0</v>
      </c>
      <c r="AP5314" t="inlineStr"/>
      <c r="AQ5314" t="inlineStr"/>
    </row>
    <row r="5315">
      <c r="A5315" t="inlineStr">
        <is>
          <t>SKINTIFIC</t>
        </is>
      </c>
      <c r="B5315" s="2">
        <f>"810114870396"</f>
        <v/>
      </c>
      <c r="C5315" t="inlineStr">
        <is>
          <t>SKINTIFIC MSH Niacinamide Brightening Moisture Gel 80gr</t>
        </is>
      </c>
      <c r="D5315" t="inlineStr">
        <is>
          <t>Miss Glam Damar</t>
        </is>
      </c>
      <c r="E5315" t="n">
        <v>1</v>
      </c>
      <c r="F5315" t="n">
        <v>0.1365</v>
      </c>
      <c r="G5315" t="n">
        <v>1.82</v>
      </c>
      <c r="H5315" t="n">
        <v>2</v>
      </c>
      <c r="I5315" t="n">
        <v>9</v>
      </c>
      <c r="J5315" t="n">
        <v>3</v>
      </c>
      <c r="K5315" t="n">
        <v>0</v>
      </c>
      <c r="L5315" t="n">
        <v>255555</v>
      </c>
      <c r="M5315" t="n">
        <v>320000</v>
      </c>
      <c r="N5315" t="n">
        <v>91</v>
      </c>
      <c r="O5315" t="n">
        <v>0.91</v>
      </c>
      <c r="P5315" t="n">
        <v>1</v>
      </c>
      <c r="Q5315" t="n">
        <v>0.19</v>
      </c>
      <c r="R5315" t="n">
        <v>2</v>
      </c>
      <c r="S5315" t="n">
        <v>43680</v>
      </c>
      <c r="T5315" t="n">
        <v>17</v>
      </c>
      <c r="U5315" t="n">
        <v>18</v>
      </c>
      <c r="V5315" t="n">
        <v>30</v>
      </c>
      <c r="W5315" t="n">
        <v>5</v>
      </c>
      <c r="X5315" t="n">
        <v>7.326007326007326</v>
      </c>
      <c r="Y5315" t="n">
        <v>1</v>
      </c>
      <c r="Z5315" t="n">
        <v>4</v>
      </c>
      <c r="AA5315" t="n">
        <v>1</v>
      </c>
      <c r="AB5315" t="n">
        <v>3</v>
      </c>
      <c r="AC5315" t="n">
        <v>3</v>
      </c>
      <c r="AD5315" t="n">
        <v>255555</v>
      </c>
      <c r="AE5315" t="n">
        <v>766665</v>
      </c>
      <c r="AF5315" t="n">
        <v>13364</v>
      </c>
      <c r="AG5315" t="n">
        <v>3495</v>
      </c>
      <c r="AH5315" t="inlineStr">
        <is>
          <t>PT. YAFINDO MITRA PERMATA (PDG)</t>
        </is>
      </c>
      <c r="AI5315" t="n">
        <v>1017</v>
      </c>
      <c r="AJ5315" t="inlineStr">
        <is>
          <t>SKINTIFIC</t>
        </is>
      </c>
      <c r="AK5315" t="n">
        <v>21</v>
      </c>
      <c r="AL5315" t="inlineStr">
        <is>
          <t>Miss Glam Damar</t>
        </is>
      </c>
      <c r="AM5315" t="n">
        <v>1</v>
      </c>
      <c r="AN5315" t="n">
        <v>500000</v>
      </c>
      <c r="AO5315" t="n">
        <v>0</v>
      </c>
      <c r="AP5315" t="inlineStr"/>
      <c r="AQ5315" t="inlineStr"/>
    </row>
    <row r="5316">
      <c r="A5316" t="inlineStr">
        <is>
          <t>SKINTIFIC</t>
        </is>
      </c>
      <c r="B5316" s="2">
        <f>"6974388210044"</f>
        <v/>
      </c>
      <c r="C5316" t="inlineStr">
        <is>
          <t>SKINTIFIC Mugwort Anti Pores &amp; Acne Clay Mask 55gr</t>
        </is>
      </c>
      <c r="D5316" t="inlineStr">
        <is>
          <t>Miss Glam Damar</t>
        </is>
      </c>
      <c r="E5316" t="n">
        <v>5</v>
      </c>
      <c r="F5316" t="n">
        <v>0.1</v>
      </c>
      <c r="G5316" t="n">
        <v>2</v>
      </c>
      <c r="H5316" t="n">
        <v>2</v>
      </c>
      <c r="I5316" t="n">
        <v>9</v>
      </c>
      <c r="J5316" t="n">
        <v>3</v>
      </c>
      <c r="K5316" t="n">
        <v>0</v>
      </c>
      <c r="L5316" t="n">
        <v>76077</v>
      </c>
      <c r="M5316" t="n">
        <v>104000</v>
      </c>
      <c r="N5316" t="n">
        <v>91</v>
      </c>
      <c r="O5316" t="n">
        <v>0.91</v>
      </c>
      <c r="P5316" t="n">
        <v>0</v>
      </c>
      <c r="Q5316" t="n">
        <v>0.1</v>
      </c>
      <c r="R5316" t="n">
        <v>2</v>
      </c>
      <c r="S5316" t="n">
        <v>10400</v>
      </c>
      <c r="T5316" t="n">
        <v>18</v>
      </c>
      <c r="U5316" t="n">
        <v>19</v>
      </c>
      <c r="V5316" t="n">
        <v>30</v>
      </c>
      <c r="W5316" t="n">
        <v>3</v>
      </c>
      <c r="X5316" t="n">
        <v>50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13364</v>
      </c>
      <c r="AG5316" t="n">
        <v>3495</v>
      </c>
      <c r="AH5316" t="inlineStr">
        <is>
          <t>PT. YAFINDO MITRA PERMATA (PDG)</t>
        </is>
      </c>
      <c r="AI5316" t="n">
        <v>1017</v>
      </c>
      <c r="AJ5316" t="inlineStr">
        <is>
          <t>SKINTIFIC</t>
        </is>
      </c>
      <c r="AK5316" t="n">
        <v>21</v>
      </c>
      <c r="AL5316" t="inlineStr">
        <is>
          <t>Miss Glam Damar</t>
        </is>
      </c>
      <c r="AM5316" t="n">
        <v>1</v>
      </c>
      <c r="AN5316" t="n">
        <v>500000</v>
      </c>
      <c r="AO5316" t="n">
        <v>0</v>
      </c>
      <c r="AP5316" t="inlineStr"/>
      <c r="AQ5316" t="inlineStr"/>
    </row>
    <row r="5317">
      <c r="A5317" t="inlineStr">
        <is>
          <t>SKINTIFIC</t>
        </is>
      </c>
      <c r="B5317" s="2">
        <f>"810114870341"</f>
        <v/>
      </c>
      <c r="C5317" t="inlineStr">
        <is>
          <t>SKINTIFIC Mugwort Anti Pores &amp; Acne Clay Stick 40gr</t>
        </is>
      </c>
      <c r="D5317" t="inlineStr">
        <is>
          <t>Miss Glam Damar</t>
        </is>
      </c>
      <c r="E5317" t="n">
        <v>11</v>
      </c>
      <c r="F5317" t="n">
        <v>1.0374</v>
      </c>
      <c r="G5317" t="n">
        <v>4.55</v>
      </c>
      <c r="H5317" t="n">
        <v>2</v>
      </c>
      <c r="I5317" t="n">
        <v>9</v>
      </c>
      <c r="J5317" t="n">
        <v>3</v>
      </c>
      <c r="K5317" t="n">
        <v>0</v>
      </c>
      <c r="L5317" t="n">
        <v>70015</v>
      </c>
      <c r="M5317" t="n">
        <v>98800</v>
      </c>
      <c r="N5317" t="n">
        <v>91</v>
      </c>
      <c r="O5317" t="n">
        <v>0.91</v>
      </c>
      <c r="P5317" t="n">
        <v>1</v>
      </c>
      <c r="Q5317" t="n">
        <v>0.76</v>
      </c>
      <c r="R5317" t="n">
        <v>3</v>
      </c>
      <c r="S5317" t="n">
        <v>102495.12</v>
      </c>
      <c r="T5317" t="n">
        <v>39</v>
      </c>
      <c r="U5317" t="n">
        <v>42</v>
      </c>
      <c r="V5317" t="n">
        <v>30</v>
      </c>
      <c r="W5317" t="n">
        <v>32</v>
      </c>
      <c r="X5317" t="n">
        <v>10.60343165606324</v>
      </c>
      <c r="Y5317" t="n">
        <v>1</v>
      </c>
      <c r="Z5317" t="n">
        <v>21</v>
      </c>
      <c r="AA5317" t="n">
        <v>0</v>
      </c>
      <c r="AB5317" t="n">
        <v>21</v>
      </c>
      <c r="AC5317" t="n">
        <v>21</v>
      </c>
      <c r="AD5317" t="n">
        <v>0</v>
      </c>
      <c r="AE5317" t="n">
        <v>1470315</v>
      </c>
      <c r="AF5317" t="n">
        <v>13364</v>
      </c>
      <c r="AG5317" t="n">
        <v>3495</v>
      </c>
      <c r="AH5317" t="inlineStr">
        <is>
          <t>PT. YAFINDO MITRA PERMATA (PDG)</t>
        </is>
      </c>
      <c r="AI5317" t="n">
        <v>1017</v>
      </c>
      <c r="AJ5317" t="inlineStr">
        <is>
          <t>SKINTIFIC</t>
        </is>
      </c>
      <c r="AK5317" t="n">
        <v>21</v>
      </c>
      <c r="AL5317" t="inlineStr">
        <is>
          <t>Miss Glam Damar</t>
        </is>
      </c>
      <c r="AM5317" t="n">
        <v>1</v>
      </c>
      <c r="AN5317" t="n">
        <v>500000</v>
      </c>
      <c r="AO5317" t="n">
        <v>0</v>
      </c>
      <c r="AP5317" t="inlineStr"/>
      <c r="AQ5317" t="inlineStr"/>
    </row>
    <row r="5318">
      <c r="A5318" t="inlineStr">
        <is>
          <t>SKINTIFIC</t>
        </is>
      </c>
      <c r="B5318" s="2">
        <f>"810114870938"</f>
        <v/>
      </c>
      <c r="C5318" t="inlineStr">
        <is>
          <t>SKINTIFIC Mugwort Purifying Micellar Water 300ml</t>
        </is>
      </c>
      <c r="D5318" t="inlineStr">
        <is>
          <t>Miss Glam Damar</t>
        </is>
      </c>
      <c r="E5318" t="n">
        <v>14</v>
      </c>
      <c r="F5318" t="n">
        <v>0.3549</v>
      </c>
      <c r="G5318" t="n">
        <v>2.73</v>
      </c>
      <c r="H5318" t="n">
        <v>2</v>
      </c>
      <c r="I5318" t="n">
        <v>9</v>
      </c>
      <c r="J5318" t="n">
        <v>3</v>
      </c>
      <c r="K5318" t="n">
        <v>0</v>
      </c>
      <c r="L5318" t="n">
        <v>77334</v>
      </c>
      <c r="M5318" t="n">
        <v>109900</v>
      </c>
      <c r="N5318" t="n">
        <v>91</v>
      </c>
      <c r="O5318" t="n">
        <v>0.91</v>
      </c>
      <c r="P5318" t="n">
        <v>1</v>
      </c>
      <c r="Q5318" t="n">
        <v>0.5600000000000001</v>
      </c>
      <c r="R5318" t="n">
        <v>4</v>
      </c>
      <c r="S5318" t="n">
        <v>39003.51</v>
      </c>
      <c r="T5318" t="n">
        <v>24</v>
      </c>
      <c r="U5318" t="n">
        <v>25</v>
      </c>
      <c r="V5318" t="n">
        <v>30</v>
      </c>
      <c r="W5318" t="n">
        <v>11</v>
      </c>
      <c r="X5318" t="n">
        <v>39.44773175542406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13364</v>
      </c>
      <c r="AG5318" t="n">
        <v>3495</v>
      </c>
      <c r="AH5318" t="inlineStr">
        <is>
          <t>PT. YAFINDO MITRA PERMATA (PDG)</t>
        </is>
      </c>
      <c r="AI5318" t="n">
        <v>1017</v>
      </c>
      <c r="AJ5318" t="inlineStr">
        <is>
          <t>SKINTIFIC</t>
        </is>
      </c>
      <c r="AK5318" t="n">
        <v>21</v>
      </c>
      <c r="AL5318" t="inlineStr">
        <is>
          <t>Miss Glam Damar</t>
        </is>
      </c>
      <c r="AM5318" t="n">
        <v>1</v>
      </c>
      <c r="AN5318" t="n">
        <v>500000</v>
      </c>
      <c r="AO5318" t="n">
        <v>0</v>
      </c>
      <c r="AP5318" t="inlineStr"/>
      <c r="AQ5318" t="inlineStr"/>
    </row>
    <row r="5319">
      <c r="A5319" t="inlineStr">
        <is>
          <t>SKINTIFIC</t>
        </is>
      </c>
      <c r="B5319" s="2">
        <f>"810114871423"</f>
        <v/>
      </c>
      <c r="C5319" t="inlineStr">
        <is>
          <t>SKINTIFIC Niacinamaide Bright Boost Clay Stick 40gr</t>
        </is>
      </c>
      <c r="D5319" t="inlineStr">
        <is>
          <t>Miss Glam Damar</t>
        </is>
      </c>
      <c r="E5319" t="n">
        <v>15</v>
      </c>
      <c r="F5319" t="n">
        <v>0.6916</v>
      </c>
      <c r="G5319" t="n">
        <v>2.73</v>
      </c>
      <c r="H5319" t="n">
        <v>2</v>
      </c>
      <c r="I5319" t="n">
        <v>9</v>
      </c>
      <c r="J5319" t="n">
        <v>3</v>
      </c>
      <c r="K5319" t="n">
        <v>0</v>
      </c>
      <c r="L5319" t="n">
        <v>70905</v>
      </c>
      <c r="M5319" t="n">
        <v>109900</v>
      </c>
      <c r="N5319" t="n">
        <v>91</v>
      </c>
      <c r="O5319" t="n">
        <v>0.91</v>
      </c>
      <c r="P5319" t="n">
        <v>1</v>
      </c>
      <c r="Q5319" t="n">
        <v>0.68</v>
      </c>
      <c r="R5319" t="n">
        <v>3</v>
      </c>
      <c r="S5319" t="n">
        <v>76006.84</v>
      </c>
      <c r="T5319" t="n">
        <v>24</v>
      </c>
      <c r="U5319" t="n">
        <v>26</v>
      </c>
      <c r="V5319" t="n">
        <v>30</v>
      </c>
      <c r="W5319" t="n">
        <v>21</v>
      </c>
      <c r="X5319" t="n">
        <v>21.68883747831116</v>
      </c>
      <c r="Y5319" t="n">
        <v>1</v>
      </c>
      <c r="Z5319" t="n">
        <v>6</v>
      </c>
      <c r="AA5319" t="n">
        <v>0</v>
      </c>
      <c r="AB5319" t="n">
        <v>6</v>
      </c>
      <c r="AC5319" t="n">
        <v>6</v>
      </c>
      <c r="AD5319" t="n">
        <v>0</v>
      </c>
      <c r="AE5319" t="n">
        <v>425430</v>
      </c>
      <c r="AF5319" t="n">
        <v>13364</v>
      </c>
      <c r="AG5319" t="n">
        <v>3495</v>
      </c>
      <c r="AH5319" t="inlineStr">
        <is>
          <t>PT. YAFINDO MITRA PERMATA (PDG)</t>
        </is>
      </c>
      <c r="AI5319" t="n">
        <v>1017</v>
      </c>
      <c r="AJ5319" t="inlineStr">
        <is>
          <t>SKINTIFIC</t>
        </is>
      </c>
      <c r="AK5319" t="n">
        <v>21</v>
      </c>
      <c r="AL5319" t="inlineStr">
        <is>
          <t>Miss Glam Damar</t>
        </is>
      </c>
      <c r="AM5319" t="n">
        <v>1</v>
      </c>
      <c r="AN5319" t="n">
        <v>500000</v>
      </c>
      <c r="AO5319" t="n">
        <v>0</v>
      </c>
      <c r="AP5319" t="inlineStr"/>
      <c r="AQ5319" t="inlineStr"/>
    </row>
    <row r="5320">
      <c r="A5320" t="inlineStr">
        <is>
          <t>SKINTIFIC</t>
        </is>
      </c>
      <c r="B5320" s="2">
        <f>"810114870389"</f>
        <v/>
      </c>
      <c r="C5320" t="inlineStr">
        <is>
          <t>SKINTIFIC Niacinamide Brightening Cleanser 80ml</t>
        </is>
      </c>
      <c r="D5320" t="inlineStr">
        <is>
          <t>Miss Glam Damar</t>
        </is>
      </c>
      <c r="E5320" t="n">
        <v>5</v>
      </c>
      <c r="F5320" t="n">
        <v>1.2922</v>
      </c>
      <c r="G5320" t="n">
        <v>3.64</v>
      </c>
      <c r="H5320" t="n">
        <v>2</v>
      </c>
      <c r="I5320" t="n">
        <v>9</v>
      </c>
      <c r="J5320" t="n">
        <v>3</v>
      </c>
      <c r="K5320" t="n">
        <v>0</v>
      </c>
      <c r="L5320" t="n">
        <v>77053</v>
      </c>
      <c r="M5320" t="n">
        <v>109900</v>
      </c>
      <c r="N5320" t="n">
        <v>91</v>
      </c>
      <c r="O5320" t="n">
        <v>0.91</v>
      </c>
      <c r="P5320" t="n">
        <v>1</v>
      </c>
      <c r="Q5320" t="n">
        <v>1.14</v>
      </c>
      <c r="R5320" t="n">
        <v>5</v>
      </c>
      <c r="S5320" t="n">
        <v>142012.78</v>
      </c>
      <c r="T5320" t="n">
        <v>31</v>
      </c>
      <c r="U5320" t="n">
        <v>34</v>
      </c>
      <c r="V5320" t="n">
        <v>30</v>
      </c>
      <c r="W5320" t="n">
        <v>39</v>
      </c>
      <c r="X5320" t="n">
        <v>3.869370066553165</v>
      </c>
      <c r="Y5320" t="n">
        <v>1</v>
      </c>
      <c r="Z5320" t="n">
        <v>34</v>
      </c>
      <c r="AA5320" t="n">
        <v>7</v>
      </c>
      <c r="AB5320" t="n">
        <v>27</v>
      </c>
      <c r="AC5320" t="n">
        <v>27</v>
      </c>
      <c r="AD5320" t="n">
        <v>539371</v>
      </c>
      <c r="AE5320" t="n">
        <v>2080431</v>
      </c>
      <c r="AF5320" t="n">
        <v>13364</v>
      </c>
      <c r="AG5320" t="n">
        <v>3495</v>
      </c>
      <c r="AH5320" t="inlineStr">
        <is>
          <t>PT. YAFINDO MITRA PERMATA (PDG)</t>
        </is>
      </c>
      <c r="AI5320" t="n">
        <v>1017</v>
      </c>
      <c r="AJ5320" t="inlineStr">
        <is>
          <t>SKINTIFIC</t>
        </is>
      </c>
      <c r="AK5320" t="n">
        <v>21</v>
      </c>
      <c r="AL5320" t="inlineStr">
        <is>
          <t>Miss Glam Damar</t>
        </is>
      </c>
      <c r="AM5320" t="n">
        <v>1</v>
      </c>
      <c r="AN5320" t="n">
        <v>500000</v>
      </c>
      <c r="AO5320" t="n">
        <v>0</v>
      </c>
      <c r="AP5320" t="inlineStr"/>
      <c r="AQ5320" t="inlineStr"/>
    </row>
    <row r="5321">
      <c r="A5321" t="inlineStr">
        <is>
          <t>SKINTIFIC</t>
        </is>
      </c>
      <c r="B5321" s="2">
        <f>"810114870143"</f>
        <v/>
      </c>
      <c r="C5321" t="inlineStr">
        <is>
          <t>SKINTIFIC Niacinamide Brightening Essence Toner 80ml</t>
        </is>
      </c>
      <c r="D5321" t="inlineStr">
        <is>
          <t>Miss Glam Damar</t>
        </is>
      </c>
      <c r="E5321" t="n">
        <v>10</v>
      </c>
      <c r="F5321" t="n">
        <v>0.6006</v>
      </c>
      <c r="G5321" t="n">
        <v>1.82</v>
      </c>
      <c r="H5321" t="n">
        <v>2</v>
      </c>
      <c r="I5321" t="n">
        <v>9</v>
      </c>
      <c r="J5321" t="n">
        <v>3</v>
      </c>
      <c r="K5321" t="n">
        <v>0</v>
      </c>
      <c r="L5321" t="n">
        <v>89348</v>
      </c>
      <c r="M5321" t="n">
        <v>124000</v>
      </c>
      <c r="N5321" t="n">
        <v>91</v>
      </c>
      <c r="O5321" t="n">
        <v>0.91</v>
      </c>
      <c r="P5321" t="n">
        <v>1</v>
      </c>
      <c r="Q5321" t="n">
        <v>0.41</v>
      </c>
      <c r="R5321" t="n">
        <v>3</v>
      </c>
      <c r="S5321" t="n">
        <v>74474.40000000001</v>
      </c>
      <c r="T5321" t="n">
        <v>16</v>
      </c>
      <c r="U5321" t="n">
        <v>18</v>
      </c>
      <c r="V5321" t="n">
        <v>30</v>
      </c>
      <c r="W5321" t="n">
        <v>19</v>
      </c>
      <c r="X5321" t="n">
        <v>16.65001665001665</v>
      </c>
      <c r="Y5321" t="n">
        <v>1</v>
      </c>
      <c r="Z5321" t="n">
        <v>9</v>
      </c>
      <c r="AA5321" t="n">
        <v>0</v>
      </c>
      <c r="AB5321" t="n">
        <v>9</v>
      </c>
      <c r="AC5321" t="n">
        <v>9</v>
      </c>
      <c r="AD5321" t="n">
        <v>0</v>
      </c>
      <c r="AE5321" t="n">
        <v>804132</v>
      </c>
      <c r="AF5321" t="n">
        <v>13364</v>
      </c>
      <c r="AG5321" t="n">
        <v>3495</v>
      </c>
      <c r="AH5321" t="inlineStr">
        <is>
          <t>PT. YAFINDO MITRA PERMATA (PDG)</t>
        </is>
      </c>
      <c r="AI5321" t="n">
        <v>1017</v>
      </c>
      <c r="AJ5321" t="inlineStr">
        <is>
          <t>SKINTIFIC</t>
        </is>
      </c>
      <c r="AK5321" t="n">
        <v>21</v>
      </c>
      <c r="AL5321" t="inlineStr">
        <is>
          <t>Miss Glam Damar</t>
        </is>
      </c>
      <c r="AM5321" t="n">
        <v>1</v>
      </c>
      <c r="AN5321" t="n">
        <v>500000</v>
      </c>
      <c r="AO5321" t="n">
        <v>0</v>
      </c>
      <c r="AP5321" t="inlineStr"/>
      <c r="AQ5321" t="inlineStr"/>
    </row>
    <row r="5322">
      <c r="A5322" t="inlineStr">
        <is>
          <t>SKINTIFIC</t>
        </is>
      </c>
      <c r="B5322" s="2">
        <f>"810114870327"</f>
        <v/>
      </c>
      <c r="C5322" t="inlineStr">
        <is>
          <t>SKINTIFIC Outdoor Sun Spray SPF50+ PA ++++ 250ml</t>
        </is>
      </c>
      <c r="D5322" t="inlineStr">
        <is>
          <t>Miss Glam Damar</t>
        </is>
      </c>
      <c r="E5322" t="n">
        <v>6</v>
      </c>
      <c r="F5322" t="n">
        <v>0.09100000000000001</v>
      </c>
      <c r="G5322" t="n">
        <v>0.91</v>
      </c>
      <c r="H5322" t="n">
        <v>2</v>
      </c>
      <c r="I5322" t="n">
        <v>9</v>
      </c>
      <c r="J5322" t="n">
        <v>3</v>
      </c>
      <c r="K5322" t="n">
        <v>0</v>
      </c>
      <c r="L5322" t="n">
        <v>115491</v>
      </c>
      <c r="M5322" t="n">
        <v>159500</v>
      </c>
      <c r="N5322" t="n">
        <v>91</v>
      </c>
      <c r="O5322" t="n">
        <v>0.91</v>
      </c>
      <c r="P5322" t="n">
        <v>1</v>
      </c>
      <c r="Q5322" t="n">
        <v>0.24</v>
      </c>
      <c r="R5322" t="n">
        <v>2</v>
      </c>
      <c r="S5322" t="n">
        <v>14514.5</v>
      </c>
      <c r="T5322" t="n">
        <v>9</v>
      </c>
      <c r="U5322" t="n">
        <v>10</v>
      </c>
      <c r="V5322" t="n">
        <v>30</v>
      </c>
      <c r="W5322" t="n">
        <v>3</v>
      </c>
      <c r="X5322" t="n">
        <v>65.93406593406593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13364</v>
      </c>
      <c r="AG5322" t="n">
        <v>3495</v>
      </c>
      <c r="AH5322" t="inlineStr">
        <is>
          <t>PT. YAFINDO MITRA PERMATA (PDG)</t>
        </is>
      </c>
      <c r="AI5322" t="n">
        <v>1017</v>
      </c>
      <c r="AJ5322" t="inlineStr">
        <is>
          <t>SKINTIFIC</t>
        </is>
      </c>
      <c r="AK5322" t="n">
        <v>21</v>
      </c>
      <c r="AL5322" t="inlineStr">
        <is>
          <t>Miss Glam Damar</t>
        </is>
      </c>
      <c r="AM5322" t="n">
        <v>1</v>
      </c>
      <c r="AN5322" t="n">
        <v>500000</v>
      </c>
      <c r="AO5322" t="n">
        <v>0</v>
      </c>
      <c r="AP5322" t="inlineStr"/>
      <c r="AQ5322" t="inlineStr"/>
    </row>
    <row r="5323">
      <c r="A5323" t="inlineStr">
        <is>
          <t>SKINTIFIC</t>
        </is>
      </c>
      <c r="B5323" s="2">
        <f>"810114870723"</f>
        <v/>
      </c>
      <c r="C5323" t="inlineStr">
        <is>
          <t>SKINTIFIC Panthenol Gentle Gel Cleanser 120ml</t>
        </is>
      </c>
      <c r="D5323" t="inlineStr">
        <is>
          <t>Miss Glam Damar</t>
        </is>
      </c>
      <c r="E5323" t="n">
        <v>17</v>
      </c>
      <c r="F5323" t="n">
        <v>1.2831</v>
      </c>
      <c r="G5323" t="n">
        <v>3.64</v>
      </c>
      <c r="H5323" t="n">
        <v>2</v>
      </c>
      <c r="I5323" t="n">
        <v>9</v>
      </c>
      <c r="J5323" t="n">
        <v>3</v>
      </c>
      <c r="K5323" t="n">
        <v>0</v>
      </c>
      <c r="L5323" t="n">
        <v>76769</v>
      </c>
      <c r="M5323" t="n">
        <v>109900</v>
      </c>
      <c r="N5323" t="n">
        <v>91</v>
      </c>
      <c r="O5323" t="n">
        <v>0.91</v>
      </c>
      <c r="P5323" t="n">
        <v>1</v>
      </c>
      <c r="Q5323" t="n">
        <v>1.36</v>
      </c>
      <c r="R5323" t="n">
        <v>7</v>
      </c>
      <c r="S5323" t="n">
        <v>141012.69</v>
      </c>
      <c r="T5323" t="n">
        <v>31</v>
      </c>
      <c r="U5323" t="n">
        <v>34</v>
      </c>
      <c r="V5323" t="n">
        <v>30</v>
      </c>
      <c r="W5323" t="n">
        <v>39</v>
      </c>
      <c r="X5323" t="n">
        <v>13.2491621853324</v>
      </c>
      <c r="Y5323" t="n">
        <v>1</v>
      </c>
      <c r="Z5323" t="n">
        <v>22</v>
      </c>
      <c r="AA5323" t="n">
        <v>0</v>
      </c>
      <c r="AB5323" t="n">
        <v>22</v>
      </c>
      <c r="AC5323" t="n">
        <v>22</v>
      </c>
      <c r="AD5323" t="n">
        <v>0</v>
      </c>
      <c r="AE5323" t="n">
        <v>1688918</v>
      </c>
      <c r="AF5323" t="n">
        <v>13364</v>
      </c>
      <c r="AG5323" t="n">
        <v>3495</v>
      </c>
      <c r="AH5323" t="inlineStr">
        <is>
          <t>PT. YAFINDO MITRA PERMATA (PDG)</t>
        </is>
      </c>
      <c r="AI5323" t="n">
        <v>1017</v>
      </c>
      <c r="AJ5323" t="inlineStr">
        <is>
          <t>SKINTIFIC</t>
        </is>
      </c>
      <c r="AK5323" t="n">
        <v>21</v>
      </c>
      <c r="AL5323" t="inlineStr">
        <is>
          <t>Miss Glam Damar</t>
        </is>
      </c>
      <c r="AM5323" t="n">
        <v>1</v>
      </c>
      <c r="AN5323" t="n">
        <v>500000</v>
      </c>
      <c r="AO5323" t="n">
        <v>0</v>
      </c>
      <c r="AP5323" t="inlineStr"/>
      <c r="AQ5323" t="inlineStr"/>
    </row>
    <row r="5324">
      <c r="A5324" t="inlineStr">
        <is>
          <t>SKINTIFIC</t>
        </is>
      </c>
      <c r="B5324" s="2">
        <f>"810114871515"</f>
        <v/>
      </c>
      <c r="C5324" t="inlineStr">
        <is>
          <t>SKINTIFIC Peptide Nourishing Lip Serum 6.5ml</t>
        </is>
      </c>
      <c r="D5324" t="inlineStr">
        <is>
          <t>Miss Glam Damar</t>
        </is>
      </c>
      <c r="E5324" t="n">
        <v>9</v>
      </c>
      <c r="F5324" t="n">
        <v>0.9737000000000001</v>
      </c>
      <c r="G5324" t="n">
        <v>2.73</v>
      </c>
      <c r="H5324" t="n">
        <v>2</v>
      </c>
      <c r="I5324" t="n">
        <v>9</v>
      </c>
      <c r="J5324" t="n">
        <v>3</v>
      </c>
      <c r="K5324" t="n">
        <v>0</v>
      </c>
      <c r="L5324" t="n">
        <v>84615</v>
      </c>
      <c r="M5324" t="n">
        <v>105000</v>
      </c>
      <c r="N5324" t="n">
        <v>91</v>
      </c>
      <c r="O5324" t="n">
        <v>0.91</v>
      </c>
      <c r="P5324" t="n">
        <v>1</v>
      </c>
      <c r="Q5324" t="n">
        <v>1.02</v>
      </c>
      <c r="R5324" t="n">
        <v>4</v>
      </c>
      <c r="S5324" t="n">
        <v>102238.5</v>
      </c>
      <c r="T5324" t="n">
        <v>23</v>
      </c>
      <c r="U5324" t="n">
        <v>25</v>
      </c>
      <c r="V5324" t="n">
        <v>30</v>
      </c>
      <c r="W5324" t="n">
        <v>30</v>
      </c>
      <c r="X5324" t="n">
        <v>9.243093355242888</v>
      </c>
      <c r="Y5324" t="n">
        <v>1</v>
      </c>
      <c r="Z5324" t="n">
        <v>21</v>
      </c>
      <c r="AA5324" t="n">
        <v>0</v>
      </c>
      <c r="AB5324" t="n">
        <v>21</v>
      </c>
      <c r="AC5324" t="n">
        <v>21</v>
      </c>
      <c r="AD5324" t="n">
        <v>0</v>
      </c>
      <c r="AE5324" t="n">
        <v>1776915</v>
      </c>
      <c r="AF5324" t="n">
        <v>13364</v>
      </c>
      <c r="AG5324" t="n">
        <v>3495</v>
      </c>
      <c r="AH5324" t="inlineStr">
        <is>
          <t>PT. YAFINDO MITRA PERMATA (PDG)</t>
        </is>
      </c>
      <c r="AI5324" t="n">
        <v>1017</v>
      </c>
      <c r="AJ5324" t="inlineStr">
        <is>
          <t>SKINTIFIC</t>
        </is>
      </c>
      <c r="AK5324" t="n">
        <v>21</v>
      </c>
      <c r="AL5324" t="inlineStr">
        <is>
          <t>Miss Glam Damar</t>
        </is>
      </c>
      <c r="AM5324" t="n">
        <v>1</v>
      </c>
      <c r="AN5324" t="n">
        <v>500000</v>
      </c>
      <c r="AO5324" t="n">
        <v>0</v>
      </c>
      <c r="AP5324" t="inlineStr"/>
      <c r="AQ5324" t="inlineStr"/>
    </row>
    <row r="5325">
      <c r="A5325" t="inlineStr">
        <is>
          <t>SKINTIFIC</t>
        </is>
      </c>
      <c r="B5325" s="2">
        <f>"20100326835"</f>
        <v/>
      </c>
      <c r="C5325" t="inlineStr">
        <is>
          <t>SKINTIFIC Perfect Serum Concealer 00 Porcelain 5ml</t>
        </is>
      </c>
      <c r="D5325" t="inlineStr">
        <is>
          <t>Miss Glam Damar</t>
        </is>
      </c>
      <c r="E5325" t="n">
        <v>9</v>
      </c>
      <c r="F5325" t="n">
        <v>0.05</v>
      </c>
      <c r="G5325" t="n">
        <v>1</v>
      </c>
      <c r="H5325" t="n">
        <v>2</v>
      </c>
      <c r="I5325" t="n">
        <v>9</v>
      </c>
      <c r="J5325" t="n">
        <v>3</v>
      </c>
      <c r="K5325" t="n">
        <v>0</v>
      </c>
      <c r="L5325" t="n">
        <v>84615</v>
      </c>
      <c r="M5325" t="n">
        <v>106000</v>
      </c>
      <c r="N5325" t="n">
        <v>91</v>
      </c>
      <c r="O5325" t="n">
        <v>0.91</v>
      </c>
      <c r="P5325" t="n">
        <v>0</v>
      </c>
      <c r="Q5325" t="n">
        <v>0.05</v>
      </c>
      <c r="R5325" t="n">
        <v>1</v>
      </c>
      <c r="S5325" t="n">
        <v>5300</v>
      </c>
      <c r="T5325" t="n">
        <v>9</v>
      </c>
      <c r="U5325" t="n">
        <v>10</v>
      </c>
      <c r="V5325" t="n">
        <v>30</v>
      </c>
      <c r="W5325" t="n">
        <v>2</v>
      </c>
      <c r="X5325" t="n">
        <v>180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13364</v>
      </c>
      <c r="AG5325" t="n">
        <v>3495</v>
      </c>
      <c r="AH5325" t="inlineStr">
        <is>
          <t>PT. YAFINDO MITRA PERMATA (PDG)</t>
        </is>
      </c>
      <c r="AI5325" t="n">
        <v>1017</v>
      </c>
      <c r="AJ5325" t="inlineStr">
        <is>
          <t>SKINTIFIC</t>
        </is>
      </c>
      <c r="AK5325" t="n">
        <v>21</v>
      </c>
      <c r="AL5325" t="inlineStr">
        <is>
          <t>Miss Glam Damar</t>
        </is>
      </c>
      <c r="AM5325" t="n">
        <v>1</v>
      </c>
      <c r="AN5325" t="n">
        <v>500000</v>
      </c>
      <c r="AO5325" t="n">
        <v>0</v>
      </c>
      <c r="AP5325" t="inlineStr"/>
      <c r="AQ5325" t="inlineStr"/>
    </row>
    <row r="5326">
      <c r="A5326" t="inlineStr">
        <is>
          <t>SKINTIFIC</t>
        </is>
      </c>
      <c r="B5326" s="2">
        <f>"20100326918"</f>
        <v/>
      </c>
      <c r="C5326" t="inlineStr">
        <is>
          <t>SKINTIFIC Perfect Serum Concealer 01 Vanilla 5ml</t>
        </is>
      </c>
      <c r="D5326" t="inlineStr">
        <is>
          <t>Miss Glam Damar</t>
        </is>
      </c>
      <c r="E5326" t="n">
        <v>3</v>
      </c>
      <c r="F5326" t="n">
        <v>0.06370000000000001</v>
      </c>
      <c r="G5326" t="n">
        <v>0.91</v>
      </c>
      <c r="H5326" t="n">
        <v>2</v>
      </c>
      <c r="I5326" t="n">
        <v>9</v>
      </c>
      <c r="J5326" t="n">
        <v>3</v>
      </c>
      <c r="K5326" t="n">
        <v>0</v>
      </c>
      <c r="L5326" t="n">
        <v>61003</v>
      </c>
      <c r="M5326" t="n">
        <v>106000</v>
      </c>
      <c r="N5326" t="n">
        <v>91</v>
      </c>
      <c r="O5326" t="n">
        <v>0.91</v>
      </c>
      <c r="P5326" t="n">
        <v>1</v>
      </c>
      <c r="Q5326" t="n">
        <v>0.08</v>
      </c>
      <c r="R5326" t="n">
        <v>1</v>
      </c>
      <c r="S5326" t="n">
        <v>6752.200000000001</v>
      </c>
      <c r="T5326" t="n">
        <v>9</v>
      </c>
      <c r="U5326" t="n">
        <v>10</v>
      </c>
      <c r="V5326" t="n">
        <v>30</v>
      </c>
      <c r="W5326" t="n">
        <v>2</v>
      </c>
      <c r="X5326" t="n">
        <v>47.09576138147566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13364</v>
      </c>
      <c r="AG5326" t="n">
        <v>3495</v>
      </c>
      <c r="AH5326" t="inlineStr">
        <is>
          <t>PT. YAFINDO MITRA PERMATA (PDG)</t>
        </is>
      </c>
      <c r="AI5326" t="n">
        <v>1017</v>
      </c>
      <c r="AJ5326" t="inlineStr">
        <is>
          <t>SKINTIFIC</t>
        </is>
      </c>
      <c r="AK5326" t="n">
        <v>21</v>
      </c>
      <c r="AL5326" t="inlineStr">
        <is>
          <t>Miss Glam Damar</t>
        </is>
      </c>
      <c r="AM5326" t="n">
        <v>1</v>
      </c>
      <c r="AN5326" t="n">
        <v>500000</v>
      </c>
      <c r="AO5326" t="n">
        <v>0</v>
      </c>
      <c r="AP5326" t="inlineStr"/>
      <c r="AQ5326" t="inlineStr"/>
    </row>
    <row r="5327">
      <c r="A5327" t="inlineStr">
        <is>
          <t>SKINTIFIC</t>
        </is>
      </c>
      <c r="B5327" s="2">
        <f>"20100327056"</f>
        <v/>
      </c>
      <c r="C5327" t="inlineStr">
        <is>
          <t>SKINTIFIC Perfect Serum Concealer 02 Ivory 5ml</t>
        </is>
      </c>
      <c r="D5327" t="inlineStr">
        <is>
          <t>Miss Glam Damar</t>
        </is>
      </c>
      <c r="E5327" t="n">
        <v>2</v>
      </c>
      <c r="F5327" t="n">
        <v>0.0182</v>
      </c>
      <c r="G5327" t="n">
        <v>0.91</v>
      </c>
      <c r="H5327" t="n">
        <v>2</v>
      </c>
      <c r="I5327" t="n">
        <v>9</v>
      </c>
      <c r="J5327" t="n">
        <v>3</v>
      </c>
      <c r="K5327" t="n">
        <v>0</v>
      </c>
      <c r="L5327" t="n">
        <v>84615</v>
      </c>
      <c r="M5327" t="n">
        <v>106000</v>
      </c>
      <c r="N5327" t="n">
        <v>91</v>
      </c>
      <c r="O5327" t="n">
        <v>0.91</v>
      </c>
      <c r="P5327" t="n">
        <v>1</v>
      </c>
      <c r="Q5327" t="n">
        <v>0.07000000000000001</v>
      </c>
      <c r="R5327" t="n">
        <v>1</v>
      </c>
      <c r="S5327" t="n">
        <v>1929.2</v>
      </c>
      <c r="T5327" t="n">
        <v>9</v>
      </c>
      <c r="U5327" t="n">
        <v>10</v>
      </c>
      <c r="V5327" t="n">
        <v>30</v>
      </c>
      <c r="W5327" t="n">
        <v>1</v>
      </c>
      <c r="X5327" t="n">
        <v>109.8901098901099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13364</v>
      </c>
      <c r="AG5327" t="n">
        <v>3495</v>
      </c>
      <c r="AH5327" t="inlineStr">
        <is>
          <t>PT. YAFINDO MITRA PERMATA (PDG)</t>
        </is>
      </c>
      <c r="AI5327" t="n">
        <v>1017</v>
      </c>
      <c r="AJ5327" t="inlineStr">
        <is>
          <t>SKINTIFIC</t>
        </is>
      </c>
      <c r="AK5327" t="n">
        <v>21</v>
      </c>
      <c r="AL5327" t="inlineStr">
        <is>
          <t>Miss Glam Damar</t>
        </is>
      </c>
      <c r="AM5327" t="n">
        <v>1</v>
      </c>
      <c r="AN5327" t="n">
        <v>500000</v>
      </c>
      <c r="AO5327" t="n">
        <v>0</v>
      </c>
      <c r="AP5327" t="inlineStr"/>
      <c r="AQ5327" t="inlineStr"/>
    </row>
    <row r="5328">
      <c r="A5328" t="inlineStr">
        <is>
          <t>SKINTIFIC</t>
        </is>
      </c>
      <c r="B5328" s="2">
        <f>"20100327106"</f>
        <v/>
      </c>
      <c r="C5328" t="inlineStr">
        <is>
          <t>SKINTIFIC Perfect Serum Concealer 03 Petal 5ml</t>
        </is>
      </c>
      <c r="D5328" t="inlineStr">
        <is>
          <t>Miss Glam Damar</t>
        </is>
      </c>
      <c r="E5328" t="n">
        <v>2</v>
      </c>
      <c r="F5328" t="n">
        <v>0.0182</v>
      </c>
      <c r="G5328" t="n">
        <v>0.91</v>
      </c>
      <c r="H5328" t="n">
        <v>2</v>
      </c>
      <c r="I5328" t="n">
        <v>9</v>
      </c>
      <c r="J5328" t="n">
        <v>3</v>
      </c>
      <c r="K5328" t="n">
        <v>0</v>
      </c>
      <c r="L5328" t="n">
        <v>84615</v>
      </c>
      <c r="M5328" t="n">
        <v>106000</v>
      </c>
      <c r="N5328" t="n">
        <v>91</v>
      </c>
      <c r="O5328" t="n">
        <v>0.91</v>
      </c>
      <c r="P5328" t="n">
        <v>1</v>
      </c>
      <c r="Q5328" t="n">
        <v>0.05</v>
      </c>
      <c r="R5328" t="n">
        <v>1</v>
      </c>
      <c r="S5328" t="n">
        <v>1929.2</v>
      </c>
      <c r="T5328" t="n">
        <v>9</v>
      </c>
      <c r="U5328" t="n">
        <v>10</v>
      </c>
      <c r="V5328" t="n">
        <v>30</v>
      </c>
      <c r="W5328" t="n">
        <v>1</v>
      </c>
      <c r="X5328" t="n">
        <v>109.8901098901099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13364</v>
      </c>
      <c r="AG5328" t="n">
        <v>3495</v>
      </c>
      <c r="AH5328" t="inlineStr">
        <is>
          <t>PT. YAFINDO MITRA PERMATA (PDG)</t>
        </is>
      </c>
      <c r="AI5328" t="n">
        <v>1017</v>
      </c>
      <c r="AJ5328" t="inlineStr">
        <is>
          <t>SKINTIFIC</t>
        </is>
      </c>
      <c r="AK5328" t="n">
        <v>21</v>
      </c>
      <c r="AL5328" t="inlineStr">
        <is>
          <t>Miss Glam Damar</t>
        </is>
      </c>
      <c r="AM5328" t="n">
        <v>1</v>
      </c>
      <c r="AN5328" t="n">
        <v>500000</v>
      </c>
      <c r="AO5328" t="n">
        <v>0</v>
      </c>
      <c r="AP5328" t="inlineStr"/>
      <c r="AQ5328" t="inlineStr"/>
    </row>
    <row r="5329">
      <c r="A5329" t="inlineStr">
        <is>
          <t>SKINTIFIC</t>
        </is>
      </c>
      <c r="B5329" s="2">
        <f>"20100327241"</f>
        <v/>
      </c>
      <c r="C5329" t="inlineStr">
        <is>
          <t>SKINTIFIC Perfect Serum Concealer 03W Warm Almond 5ml</t>
        </is>
      </c>
      <c r="D5329" t="inlineStr">
        <is>
          <t>Miss Glam Damar</t>
        </is>
      </c>
      <c r="E5329" t="n">
        <v>4</v>
      </c>
      <c r="F5329" t="n">
        <v>0.03</v>
      </c>
      <c r="G5329" t="n">
        <v>1</v>
      </c>
      <c r="H5329" t="n">
        <v>2</v>
      </c>
      <c r="I5329" t="n">
        <v>9</v>
      </c>
      <c r="J5329" t="n">
        <v>3</v>
      </c>
      <c r="K5329" t="n">
        <v>0</v>
      </c>
      <c r="L5329" t="n">
        <v>84615</v>
      </c>
      <c r="M5329" t="n">
        <v>106000</v>
      </c>
      <c r="N5329" t="n">
        <v>91</v>
      </c>
      <c r="O5329" t="n">
        <v>0.91</v>
      </c>
      <c r="P5329" t="n">
        <v>0</v>
      </c>
      <c r="Q5329" t="n">
        <v>0.03</v>
      </c>
      <c r="R5329" t="n">
        <v>1</v>
      </c>
      <c r="S5329" t="n">
        <v>3180</v>
      </c>
      <c r="T5329" t="n">
        <v>9</v>
      </c>
      <c r="U5329" t="n">
        <v>10</v>
      </c>
      <c r="V5329" t="n">
        <v>30</v>
      </c>
      <c r="W5329" t="n">
        <v>1</v>
      </c>
      <c r="X5329" t="n">
        <v>133.3333333333333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13364</v>
      </c>
      <c r="AG5329" t="n">
        <v>3495</v>
      </c>
      <c r="AH5329" t="inlineStr">
        <is>
          <t>PT. YAFINDO MITRA PERMATA (PDG)</t>
        </is>
      </c>
      <c r="AI5329" t="n">
        <v>1017</v>
      </c>
      <c r="AJ5329" t="inlineStr">
        <is>
          <t>SKINTIFIC</t>
        </is>
      </c>
      <c r="AK5329" t="n">
        <v>21</v>
      </c>
      <c r="AL5329" t="inlineStr">
        <is>
          <t>Miss Glam Damar</t>
        </is>
      </c>
      <c r="AM5329" t="n">
        <v>1</v>
      </c>
      <c r="AN5329" t="n">
        <v>500000</v>
      </c>
      <c r="AO5329" t="n">
        <v>0</v>
      </c>
      <c r="AP5329" t="inlineStr"/>
      <c r="AQ5329" t="inlineStr"/>
    </row>
    <row r="5330">
      <c r="A5330" t="inlineStr">
        <is>
          <t>SKINTIFIC</t>
        </is>
      </c>
      <c r="B5330" s="2">
        <f>"810114871249"</f>
        <v/>
      </c>
      <c r="C5330" t="inlineStr">
        <is>
          <t>SKINTIFIC Perfect Stay Velvet Matte Cushion 01 Vanilla 11gr</t>
        </is>
      </c>
      <c r="D5330" t="inlineStr">
        <is>
          <t>Miss Glam Damar</t>
        </is>
      </c>
      <c r="E5330" t="n">
        <v>4</v>
      </c>
      <c r="F5330" t="n">
        <v>0.2639</v>
      </c>
      <c r="G5330" t="n">
        <v>1.82</v>
      </c>
      <c r="H5330" t="n">
        <v>2</v>
      </c>
      <c r="I5330" t="n">
        <v>9</v>
      </c>
      <c r="J5330" t="n">
        <v>3</v>
      </c>
      <c r="K5330" t="n">
        <v>0</v>
      </c>
      <c r="L5330" t="n">
        <v>143669</v>
      </c>
      <c r="M5330" t="n">
        <v>185000</v>
      </c>
      <c r="N5330" t="n">
        <v>91</v>
      </c>
      <c r="O5330" t="n">
        <v>0.91</v>
      </c>
      <c r="P5330" t="n">
        <v>1</v>
      </c>
      <c r="Q5330" t="n">
        <v>0.36</v>
      </c>
      <c r="R5330" t="n">
        <v>2</v>
      </c>
      <c r="S5330" t="n">
        <v>48821.49999999999</v>
      </c>
      <c r="T5330" t="n">
        <v>16</v>
      </c>
      <c r="U5330" t="n">
        <v>17</v>
      </c>
      <c r="V5330" t="n">
        <v>30</v>
      </c>
      <c r="W5330" t="n">
        <v>8</v>
      </c>
      <c r="X5330" t="n">
        <v>15.15725653656688</v>
      </c>
      <c r="Y5330" t="n">
        <v>1</v>
      </c>
      <c r="Z5330" t="n">
        <v>4</v>
      </c>
      <c r="AA5330" t="n">
        <v>0</v>
      </c>
      <c r="AB5330" t="n">
        <v>4</v>
      </c>
      <c r="AC5330" t="n">
        <v>4</v>
      </c>
      <c r="AD5330" t="n">
        <v>0</v>
      </c>
      <c r="AE5330" t="n">
        <v>574676</v>
      </c>
      <c r="AF5330" t="n">
        <v>13364</v>
      </c>
      <c r="AG5330" t="n">
        <v>3495</v>
      </c>
      <c r="AH5330" t="inlineStr">
        <is>
          <t>PT. YAFINDO MITRA PERMATA (PDG)</t>
        </is>
      </c>
      <c r="AI5330" t="n">
        <v>1017</v>
      </c>
      <c r="AJ5330" t="inlineStr">
        <is>
          <t>SKINTIFIC</t>
        </is>
      </c>
      <c r="AK5330" t="n">
        <v>21</v>
      </c>
      <c r="AL5330" t="inlineStr">
        <is>
          <t>Miss Glam Damar</t>
        </is>
      </c>
      <c r="AM5330" t="n">
        <v>1</v>
      </c>
      <c r="AN5330" t="n">
        <v>500000</v>
      </c>
      <c r="AO5330" t="n">
        <v>0</v>
      </c>
      <c r="AP5330" t="inlineStr"/>
      <c r="AQ5330" t="inlineStr"/>
    </row>
    <row r="5331">
      <c r="A5331" t="inlineStr">
        <is>
          <t>SKINTIFIC</t>
        </is>
      </c>
      <c r="B5331" s="2">
        <f>"810114871256"</f>
        <v/>
      </c>
      <c r="C5331" t="inlineStr">
        <is>
          <t>SKINTIFIC Perfect Stay Velvet Matte Cushion 02 Ivory 11gr</t>
        </is>
      </c>
      <c r="D5331" t="inlineStr">
        <is>
          <t>Miss Glam Damar</t>
        </is>
      </c>
      <c r="E5331" t="n">
        <v>10</v>
      </c>
      <c r="F5331" t="n">
        <v>0.5369</v>
      </c>
      <c r="G5331" t="n">
        <v>1.82</v>
      </c>
      <c r="H5331" t="n">
        <v>2</v>
      </c>
      <c r="I5331" t="n">
        <v>9</v>
      </c>
      <c r="J5331" t="n">
        <v>3</v>
      </c>
      <c r="K5331" t="n">
        <v>0</v>
      </c>
      <c r="L5331" t="n">
        <v>136957</v>
      </c>
      <c r="M5331" t="n">
        <v>185000</v>
      </c>
      <c r="N5331" t="n">
        <v>91</v>
      </c>
      <c r="O5331" t="n">
        <v>0.91</v>
      </c>
      <c r="P5331" t="n">
        <v>1</v>
      </c>
      <c r="Q5331" t="n">
        <v>0.42</v>
      </c>
      <c r="R5331" t="n">
        <v>3</v>
      </c>
      <c r="S5331" t="n">
        <v>99326.50000000001</v>
      </c>
      <c r="T5331" t="n">
        <v>16</v>
      </c>
      <c r="U5331" t="n">
        <v>18</v>
      </c>
      <c r="V5331" t="n">
        <v>30</v>
      </c>
      <c r="W5331" t="n">
        <v>17</v>
      </c>
      <c r="X5331" t="n">
        <v>18.62544235425591</v>
      </c>
      <c r="Y5331" t="n">
        <v>1</v>
      </c>
      <c r="Z5331" t="n">
        <v>7</v>
      </c>
      <c r="AA5331" t="n">
        <v>0</v>
      </c>
      <c r="AB5331" t="n">
        <v>7</v>
      </c>
      <c r="AC5331" t="n">
        <v>7</v>
      </c>
      <c r="AD5331" t="n">
        <v>0</v>
      </c>
      <c r="AE5331" t="n">
        <v>958699</v>
      </c>
      <c r="AF5331" t="n">
        <v>13364</v>
      </c>
      <c r="AG5331" t="n">
        <v>3495</v>
      </c>
      <c r="AH5331" t="inlineStr">
        <is>
          <t>PT. YAFINDO MITRA PERMATA (PDG)</t>
        </is>
      </c>
      <c r="AI5331" t="n">
        <v>1017</v>
      </c>
      <c r="AJ5331" t="inlineStr">
        <is>
          <t>SKINTIFIC</t>
        </is>
      </c>
      <c r="AK5331" t="n">
        <v>21</v>
      </c>
      <c r="AL5331" t="inlineStr">
        <is>
          <t>Miss Glam Damar</t>
        </is>
      </c>
      <c r="AM5331" t="n">
        <v>1</v>
      </c>
      <c r="AN5331" t="n">
        <v>500000</v>
      </c>
      <c r="AO5331" t="n">
        <v>0</v>
      </c>
      <c r="AP5331" t="inlineStr"/>
      <c r="AQ5331" t="inlineStr"/>
    </row>
    <row r="5332">
      <c r="A5332" t="inlineStr">
        <is>
          <t>SKINTIFIC</t>
        </is>
      </c>
      <c r="B5332" s="2">
        <f>"810114871263"</f>
        <v/>
      </c>
      <c r="C5332" t="inlineStr">
        <is>
          <t>SKINTIFIC Perfect Stay Velvet Matte Cushion 03 Petal 11gr</t>
        </is>
      </c>
      <c r="D5332" t="inlineStr">
        <is>
          <t>Miss Glam Damar</t>
        </is>
      </c>
      <c r="E5332" t="n">
        <v>5</v>
      </c>
      <c r="F5332" t="n">
        <v>0.5824</v>
      </c>
      <c r="G5332" t="n">
        <v>3.64</v>
      </c>
      <c r="H5332" t="n">
        <v>2</v>
      </c>
      <c r="I5332" t="n">
        <v>9</v>
      </c>
      <c r="J5332" t="n">
        <v>3</v>
      </c>
      <c r="K5332" t="n">
        <v>0</v>
      </c>
      <c r="L5332" t="n">
        <v>138158</v>
      </c>
      <c r="M5332" t="n">
        <v>185000</v>
      </c>
      <c r="N5332" t="n">
        <v>91</v>
      </c>
      <c r="O5332" t="n">
        <v>0.91</v>
      </c>
      <c r="P5332" t="n">
        <v>1</v>
      </c>
      <c r="Q5332" t="n">
        <v>0.42</v>
      </c>
      <c r="R5332" t="n">
        <v>5</v>
      </c>
      <c r="S5332" t="n">
        <v>107744</v>
      </c>
      <c r="T5332" t="n">
        <v>32</v>
      </c>
      <c r="U5332" t="n">
        <v>34</v>
      </c>
      <c r="V5332" t="n">
        <v>30</v>
      </c>
      <c r="W5332" t="n">
        <v>18</v>
      </c>
      <c r="X5332" t="n">
        <v>8.585164835164834</v>
      </c>
      <c r="Y5332" t="n">
        <v>1</v>
      </c>
      <c r="Z5332" t="n">
        <v>13</v>
      </c>
      <c r="AA5332" t="n">
        <v>1</v>
      </c>
      <c r="AB5332" t="n">
        <v>12</v>
      </c>
      <c r="AC5332" t="n">
        <v>12</v>
      </c>
      <c r="AD5332" t="n">
        <v>138158</v>
      </c>
      <c r="AE5332" t="n">
        <v>1657896</v>
      </c>
      <c r="AF5332" t="n">
        <v>13364</v>
      </c>
      <c r="AG5332" t="n">
        <v>3495</v>
      </c>
      <c r="AH5332" t="inlineStr">
        <is>
          <t>PT. YAFINDO MITRA PERMATA (PDG)</t>
        </is>
      </c>
      <c r="AI5332" t="n">
        <v>1017</v>
      </c>
      <c r="AJ5332" t="inlineStr">
        <is>
          <t>SKINTIFIC</t>
        </is>
      </c>
      <c r="AK5332" t="n">
        <v>21</v>
      </c>
      <c r="AL5332" t="inlineStr">
        <is>
          <t>Miss Glam Damar</t>
        </is>
      </c>
      <c r="AM5332" t="n">
        <v>1</v>
      </c>
      <c r="AN5332" t="n">
        <v>500000</v>
      </c>
      <c r="AO5332" t="n">
        <v>0</v>
      </c>
      <c r="AP5332" t="inlineStr"/>
      <c r="AQ5332" t="inlineStr"/>
    </row>
    <row r="5333">
      <c r="A5333" t="inlineStr">
        <is>
          <t>SKINTIFIC</t>
        </is>
      </c>
      <c r="B5333" s="2">
        <f>"810114871270"</f>
        <v/>
      </c>
      <c r="C5333" t="inlineStr">
        <is>
          <t>SKINTIFIC Perfect Stay Velvet Matte Cushion 03A Almond 11gr</t>
        </is>
      </c>
      <c r="D5333" t="inlineStr">
        <is>
          <t>Miss Glam Damar</t>
        </is>
      </c>
      <c r="E5333" t="n">
        <v>5</v>
      </c>
      <c r="F5333" t="n">
        <v>0.1729</v>
      </c>
      <c r="G5333" t="n">
        <v>1.82</v>
      </c>
      <c r="H5333" t="n">
        <v>2</v>
      </c>
      <c r="I5333" t="n">
        <v>9</v>
      </c>
      <c r="J5333" t="n">
        <v>3</v>
      </c>
      <c r="K5333" t="n">
        <v>0</v>
      </c>
      <c r="L5333" t="n">
        <v>131567</v>
      </c>
      <c r="M5333" t="n">
        <v>185000</v>
      </c>
      <c r="N5333" t="n">
        <v>91</v>
      </c>
      <c r="O5333" t="n">
        <v>0.91</v>
      </c>
      <c r="P5333" t="n">
        <v>1</v>
      </c>
      <c r="Q5333" t="n">
        <v>0.2</v>
      </c>
      <c r="R5333" t="n">
        <v>2</v>
      </c>
      <c r="S5333" t="n">
        <v>31986.5</v>
      </c>
      <c r="T5333" t="n">
        <v>17</v>
      </c>
      <c r="U5333" t="n">
        <v>18</v>
      </c>
      <c r="V5333" t="n">
        <v>30</v>
      </c>
      <c r="W5333" t="n">
        <v>6</v>
      </c>
      <c r="X5333" t="n">
        <v>28.91844997108155</v>
      </c>
      <c r="Y5333" t="n">
        <v>1</v>
      </c>
      <c r="Z5333" t="n">
        <v>1</v>
      </c>
      <c r="AA5333" t="n">
        <v>0</v>
      </c>
      <c r="AB5333" t="n">
        <v>1</v>
      </c>
      <c r="AC5333" t="n">
        <v>3</v>
      </c>
      <c r="AD5333" t="n">
        <v>0</v>
      </c>
      <c r="AE5333" t="n">
        <v>394701</v>
      </c>
      <c r="AF5333" t="n">
        <v>13364</v>
      </c>
      <c r="AG5333" t="n">
        <v>3495</v>
      </c>
      <c r="AH5333" t="inlineStr">
        <is>
          <t>PT. YAFINDO MITRA PERMATA (PDG)</t>
        </is>
      </c>
      <c r="AI5333" t="n">
        <v>1017</v>
      </c>
      <c r="AJ5333" t="inlineStr">
        <is>
          <t>SKINTIFIC</t>
        </is>
      </c>
      <c r="AK5333" t="n">
        <v>21</v>
      </c>
      <c r="AL5333" t="inlineStr">
        <is>
          <t>Miss Glam Damar</t>
        </is>
      </c>
      <c r="AM5333" t="n">
        <v>1</v>
      </c>
      <c r="AN5333" t="n">
        <v>500000</v>
      </c>
      <c r="AO5333" t="n">
        <v>0</v>
      </c>
      <c r="AP5333" t="inlineStr"/>
      <c r="AQ5333" t="inlineStr"/>
    </row>
    <row r="5334">
      <c r="A5334" t="inlineStr">
        <is>
          <t>SKINTIFIC</t>
        </is>
      </c>
      <c r="B5334" s="2">
        <f>"810114871331"</f>
        <v/>
      </c>
      <c r="C5334" t="inlineStr">
        <is>
          <t>SKINTIFIC Perfect Velvet Matte Cushion Refill 01 Vanila 11gr</t>
        </is>
      </c>
      <c r="D5334" t="inlineStr">
        <is>
          <t>Miss Glam Damar</t>
        </is>
      </c>
      <c r="E5334" t="n">
        <v>4</v>
      </c>
      <c r="F5334" t="n">
        <v>0.3822</v>
      </c>
      <c r="G5334" t="n">
        <v>2.73</v>
      </c>
      <c r="H5334" t="n">
        <v>2</v>
      </c>
      <c r="I5334" t="n">
        <v>9</v>
      </c>
      <c r="J5334" t="n">
        <v>3</v>
      </c>
      <c r="K5334" t="n">
        <v>0</v>
      </c>
      <c r="L5334" t="n">
        <v>93077</v>
      </c>
      <c r="M5334" t="n">
        <v>129000</v>
      </c>
      <c r="N5334" t="n">
        <v>91</v>
      </c>
      <c r="O5334" t="n">
        <v>0.91</v>
      </c>
      <c r="P5334" t="n">
        <v>1</v>
      </c>
      <c r="Q5334" t="n">
        <v>0.37</v>
      </c>
      <c r="R5334" t="n">
        <v>3</v>
      </c>
      <c r="S5334" t="n">
        <v>49303.8</v>
      </c>
      <c r="T5334" t="n">
        <v>24</v>
      </c>
      <c r="U5334" t="n">
        <v>25</v>
      </c>
      <c r="V5334" t="n">
        <v>30</v>
      </c>
      <c r="W5334" t="n">
        <v>12</v>
      </c>
      <c r="X5334" t="n">
        <v>10.46572475143904</v>
      </c>
      <c r="Y5334" t="n">
        <v>1</v>
      </c>
      <c r="Z5334" t="n">
        <v>8</v>
      </c>
      <c r="AA5334" t="n">
        <v>0</v>
      </c>
      <c r="AB5334" t="n">
        <v>8</v>
      </c>
      <c r="AC5334" t="n">
        <v>8</v>
      </c>
      <c r="AD5334" t="n">
        <v>0</v>
      </c>
      <c r="AE5334" t="n">
        <v>744616</v>
      </c>
      <c r="AF5334" t="n">
        <v>13364</v>
      </c>
      <c r="AG5334" t="n">
        <v>3495</v>
      </c>
      <c r="AH5334" t="inlineStr">
        <is>
          <t>PT. YAFINDO MITRA PERMATA (PDG)</t>
        </is>
      </c>
      <c r="AI5334" t="n">
        <v>1017</v>
      </c>
      <c r="AJ5334" t="inlineStr">
        <is>
          <t>SKINTIFIC</t>
        </is>
      </c>
      <c r="AK5334" t="n">
        <v>21</v>
      </c>
      <c r="AL5334" t="inlineStr">
        <is>
          <t>Miss Glam Damar</t>
        </is>
      </c>
      <c r="AM5334" t="n">
        <v>1</v>
      </c>
      <c r="AN5334" t="n">
        <v>500000</v>
      </c>
      <c r="AO5334" t="n">
        <v>0</v>
      </c>
      <c r="AP5334" t="inlineStr"/>
      <c r="AQ5334" t="inlineStr"/>
    </row>
    <row r="5335">
      <c r="A5335" t="inlineStr">
        <is>
          <t>SKINTIFIC</t>
        </is>
      </c>
      <c r="B5335" s="2">
        <f>"810114871348"</f>
        <v/>
      </c>
      <c r="C5335" t="inlineStr">
        <is>
          <t>SKINTIFIC Perfect Velvet Matte Cushion Refill 02 Ivory 11gr</t>
        </is>
      </c>
      <c r="D5335" t="inlineStr">
        <is>
          <t>Miss Glam Damar</t>
        </is>
      </c>
      <c r="E5335" t="n">
        <v>9</v>
      </c>
      <c r="F5335" t="n">
        <v>0.7098000000000001</v>
      </c>
      <c r="G5335" t="n">
        <v>2.73</v>
      </c>
      <c r="H5335" t="n">
        <v>2</v>
      </c>
      <c r="I5335" t="n">
        <v>9</v>
      </c>
      <c r="J5335" t="n">
        <v>3</v>
      </c>
      <c r="K5335" t="n">
        <v>0</v>
      </c>
      <c r="L5335" t="n">
        <v>93585</v>
      </c>
      <c r="M5335" t="n">
        <v>129000</v>
      </c>
      <c r="N5335" t="n">
        <v>91</v>
      </c>
      <c r="O5335" t="n">
        <v>0.91</v>
      </c>
      <c r="P5335" t="n">
        <v>1</v>
      </c>
      <c r="Q5335" t="n">
        <v>1</v>
      </c>
      <c r="R5335" t="n">
        <v>4</v>
      </c>
      <c r="S5335" t="n">
        <v>91564.20000000001</v>
      </c>
      <c r="T5335" t="n">
        <v>24</v>
      </c>
      <c r="U5335" t="n">
        <v>26</v>
      </c>
      <c r="V5335" t="n">
        <v>30</v>
      </c>
      <c r="W5335" t="n">
        <v>22</v>
      </c>
      <c r="X5335" t="n">
        <v>12.67962806424345</v>
      </c>
      <c r="Y5335" t="n">
        <v>1</v>
      </c>
      <c r="Z5335" t="n">
        <v>13</v>
      </c>
      <c r="AA5335" t="n">
        <v>0</v>
      </c>
      <c r="AB5335" t="n">
        <v>13</v>
      </c>
      <c r="AC5335" t="n">
        <v>13</v>
      </c>
      <c r="AD5335" t="n">
        <v>0</v>
      </c>
      <c r="AE5335" t="n">
        <v>1216605</v>
      </c>
      <c r="AF5335" t="n">
        <v>13364</v>
      </c>
      <c r="AG5335" t="n">
        <v>3495</v>
      </c>
      <c r="AH5335" t="inlineStr">
        <is>
          <t>PT. YAFINDO MITRA PERMATA (PDG)</t>
        </is>
      </c>
      <c r="AI5335" t="n">
        <v>1017</v>
      </c>
      <c r="AJ5335" t="inlineStr">
        <is>
          <t>SKINTIFIC</t>
        </is>
      </c>
      <c r="AK5335" t="n">
        <v>21</v>
      </c>
      <c r="AL5335" t="inlineStr">
        <is>
          <t>Miss Glam Damar</t>
        </is>
      </c>
      <c r="AM5335" t="n">
        <v>1</v>
      </c>
      <c r="AN5335" t="n">
        <v>500000</v>
      </c>
      <c r="AO5335" t="n">
        <v>0</v>
      </c>
      <c r="AP5335" t="inlineStr"/>
      <c r="AQ5335" t="inlineStr"/>
    </row>
    <row r="5336">
      <c r="A5336" t="inlineStr">
        <is>
          <t>SKINTIFIC</t>
        </is>
      </c>
      <c r="B5336" s="2">
        <f>"810114871355"</f>
        <v/>
      </c>
      <c r="C5336" t="inlineStr">
        <is>
          <t>SKINTIFIC Perfect Velvet Matte Cushion Refill 03 Petal 11gr</t>
        </is>
      </c>
      <c r="D5336" t="inlineStr">
        <is>
          <t>Miss Glam Damar</t>
        </is>
      </c>
      <c r="E5336" t="n">
        <v>17</v>
      </c>
      <c r="F5336" t="n">
        <v>0.9555000000000001</v>
      </c>
      <c r="G5336" t="n">
        <v>4.55</v>
      </c>
      <c r="H5336" t="n">
        <v>2</v>
      </c>
      <c r="I5336" t="n">
        <v>9</v>
      </c>
      <c r="J5336" t="n">
        <v>3</v>
      </c>
      <c r="K5336" t="n">
        <v>0</v>
      </c>
      <c r="L5336" t="n">
        <v>93077</v>
      </c>
      <c r="M5336" t="n">
        <v>129000</v>
      </c>
      <c r="N5336" t="n">
        <v>91</v>
      </c>
      <c r="O5336" t="n">
        <v>0.91</v>
      </c>
      <c r="P5336" t="n">
        <v>1</v>
      </c>
      <c r="Q5336" t="n">
        <v>0.85</v>
      </c>
      <c r="R5336" t="n">
        <v>3</v>
      </c>
      <c r="S5336" t="n">
        <v>123259.5</v>
      </c>
      <c r="T5336" t="n">
        <v>40</v>
      </c>
      <c r="U5336" t="n">
        <v>42</v>
      </c>
      <c r="V5336" t="n">
        <v>30</v>
      </c>
      <c r="W5336" t="n">
        <v>29</v>
      </c>
      <c r="X5336" t="n">
        <v>17.79173207744636</v>
      </c>
      <c r="Y5336" t="n">
        <v>1</v>
      </c>
      <c r="Z5336" t="n">
        <v>12</v>
      </c>
      <c r="AA5336" t="n">
        <v>0</v>
      </c>
      <c r="AB5336" t="n">
        <v>12</v>
      </c>
      <c r="AC5336" t="n">
        <v>12</v>
      </c>
      <c r="AD5336" t="n">
        <v>0</v>
      </c>
      <c r="AE5336" t="n">
        <v>1116924</v>
      </c>
      <c r="AF5336" t="n">
        <v>13364</v>
      </c>
      <c r="AG5336" t="n">
        <v>3495</v>
      </c>
      <c r="AH5336" t="inlineStr">
        <is>
          <t>PT. YAFINDO MITRA PERMATA (PDG)</t>
        </is>
      </c>
      <c r="AI5336" t="n">
        <v>1017</v>
      </c>
      <c r="AJ5336" t="inlineStr">
        <is>
          <t>SKINTIFIC</t>
        </is>
      </c>
      <c r="AK5336" t="n">
        <v>21</v>
      </c>
      <c r="AL5336" t="inlineStr">
        <is>
          <t>Miss Glam Damar</t>
        </is>
      </c>
      <c r="AM5336" t="n">
        <v>1</v>
      </c>
      <c r="AN5336" t="n">
        <v>500000</v>
      </c>
      <c r="AO5336" t="n">
        <v>0</v>
      </c>
      <c r="AP5336" t="inlineStr"/>
      <c r="AQ5336" t="inlineStr"/>
    </row>
    <row r="5337">
      <c r="A5337" t="inlineStr">
        <is>
          <t>SKINTIFIC</t>
        </is>
      </c>
      <c r="B5337" s="2">
        <f>"810114871362"</f>
        <v/>
      </c>
      <c r="C5337" t="inlineStr">
        <is>
          <t>SKINTIFIC Perfect Velvet Matte Cushion Refill 03A  Almond 11gr</t>
        </is>
      </c>
      <c r="D5337" t="inlineStr">
        <is>
          <t>Miss Glam Damar</t>
        </is>
      </c>
      <c r="E5337" t="n">
        <v>5</v>
      </c>
      <c r="F5337" t="n">
        <v>0.4641</v>
      </c>
      <c r="G5337" t="n">
        <v>2.73</v>
      </c>
      <c r="H5337" t="n">
        <v>2</v>
      </c>
      <c r="I5337" t="n">
        <v>9</v>
      </c>
      <c r="J5337" t="n">
        <v>3</v>
      </c>
      <c r="K5337" t="n">
        <v>0</v>
      </c>
      <c r="L5337" t="n">
        <v>94517</v>
      </c>
      <c r="M5337" t="n">
        <v>129000</v>
      </c>
      <c r="N5337" t="n">
        <v>91</v>
      </c>
      <c r="O5337" t="n">
        <v>0.91</v>
      </c>
      <c r="P5337" t="n">
        <v>1</v>
      </c>
      <c r="Q5337" t="n">
        <v>0.24</v>
      </c>
      <c r="R5337" t="n">
        <v>2</v>
      </c>
      <c r="S5337" t="n">
        <v>59868.9</v>
      </c>
      <c r="T5337" t="n">
        <v>24</v>
      </c>
      <c r="U5337" t="n">
        <v>25</v>
      </c>
      <c r="V5337" t="n">
        <v>30</v>
      </c>
      <c r="W5337" t="n">
        <v>14</v>
      </c>
      <c r="X5337" t="n">
        <v>10.77354018530489</v>
      </c>
      <c r="Y5337" t="n">
        <v>1</v>
      </c>
      <c r="Z5337" t="n">
        <v>9</v>
      </c>
      <c r="AA5337" t="n">
        <v>0</v>
      </c>
      <c r="AB5337" t="n">
        <v>9</v>
      </c>
      <c r="AC5337" t="n">
        <v>9</v>
      </c>
      <c r="AD5337" t="n">
        <v>0</v>
      </c>
      <c r="AE5337" t="n">
        <v>850653</v>
      </c>
      <c r="AF5337" t="n">
        <v>13364</v>
      </c>
      <c r="AG5337" t="n">
        <v>3495</v>
      </c>
      <c r="AH5337" t="inlineStr">
        <is>
          <t>PT. YAFINDO MITRA PERMATA (PDG)</t>
        </is>
      </c>
      <c r="AI5337" t="n">
        <v>1017</v>
      </c>
      <c r="AJ5337" t="inlineStr">
        <is>
          <t>SKINTIFIC</t>
        </is>
      </c>
      <c r="AK5337" t="n">
        <v>21</v>
      </c>
      <c r="AL5337" t="inlineStr">
        <is>
          <t>Miss Glam Damar</t>
        </is>
      </c>
      <c r="AM5337" t="n">
        <v>1</v>
      </c>
      <c r="AN5337" t="n">
        <v>500000</v>
      </c>
      <c r="AO5337" t="n">
        <v>0</v>
      </c>
      <c r="AP5337" t="inlineStr"/>
      <c r="AQ5337" t="inlineStr"/>
    </row>
    <row r="5338">
      <c r="A5338" t="inlineStr">
        <is>
          <t>SKINTIFIC</t>
        </is>
      </c>
      <c r="B5338" s="2">
        <f>"810114871379"</f>
        <v/>
      </c>
      <c r="C5338" t="inlineStr">
        <is>
          <t>SKINTIFIC Perfect Velvet Matte Cushion Refill 04 Beige 11gr</t>
        </is>
      </c>
      <c r="D5338" t="inlineStr">
        <is>
          <t>Miss Glam Damar</t>
        </is>
      </c>
      <c r="E5338" t="n">
        <v>9</v>
      </c>
      <c r="F5338" t="n">
        <v>0.2275</v>
      </c>
      <c r="G5338" t="n">
        <v>1.82</v>
      </c>
      <c r="H5338" t="n">
        <v>2</v>
      </c>
      <c r="I5338" t="n">
        <v>9</v>
      </c>
      <c r="J5338" t="n">
        <v>3</v>
      </c>
      <c r="K5338" t="n">
        <v>0</v>
      </c>
      <c r="L5338" t="n">
        <v>93877</v>
      </c>
      <c r="M5338" t="n">
        <v>129000</v>
      </c>
      <c r="N5338" t="n">
        <v>91</v>
      </c>
      <c r="O5338" t="n">
        <v>0.91</v>
      </c>
      <c r="P5338" t="n">
        <v>1</v>
      </c>
      <c r="Q5338" t="n">
        <v>0.36</v>
      </c>
      <c r="R5338" t="n">
        <v>2</v>
      </c>
      <c r="S5338" t="n">
        <v>29347.5</v>
      </c>
      <c r="T5338" t="n">
        <v>16</v>
      </c>
      <c r="U5338" t="n">
        <v>17</v>
      </c>
      <c r="V5338" t="n">
        <v>30</v>
      </c>
      <c r="W5338" t="n">
        <v>7</v>
      </c>
      <c r="X5338" t="n">
        <v>39.56043956043956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13364</v>
      </c>
      <c r="AG5338" t="n">
        <v>3495</v>
      </c>
      <c r="AH5338" t="inlineStr">
        <is>
          <t>PT. YAFINDO MITRA PERMATA (PDG)</t>
        </is>
      </c>
      <c r="AI5338" t="n">
        <v>1017</v>
      </c>
      <c r="AJ5338" t="inlineStr">
        <is>
          <t>SKINTIFIC</t>
        </is>
      </c>
      <c r="AK5338" t="n">
        <v>21</v>
      </c>
      <c r="AL5338" t="inlineStr">
        <is>
          <t>Miss Glam Damar</t>
        </is>
      </c>
      <c r="AM5338" t="n">
        <v>1</v>
      </c>
      <c r="AN5338" t="n">
        <v>500000</v>
      </c>
      <c r="AO5338" t="n">
        <v>0</v>
      </c>
      <c r="AP5338" t="inlineStr"/>
      <c r="AQ5338" t="inlineStr"/>
    </row>
    <row r="5339">
      <c r="A5339" t="inlineStr">
        <is>
          <t>SKINTIFIC</t>
        </is>
      </c>
      <c r="B5339" s="2">
        <f>"810114870686"</f>
        <v/>
      </c>
      <c r="C5339" t="inlineStr">
        <is>
          <t>SKINTIFIC Pure Centella Acne Calming Toner 80ml</t>
        </is>
      </c>
      <c r="D5339" t="inlineStr">
        <is>
          <t>Miss Glam Damar</t>
        </is>
      </c>
      <c r="E5339" t="n">
        <v>6</v>
      </c>
      <c r="F5339" t="n">
        <v>0.1729</v>
      </c>
      <c r="G5339" t="n">
        <v>2.73</v>
      </c>
      <c r="H5339" t="n">
        <v>2</v>
      </c>
      <c r="I5339" t="n">
        <v>9</v>
      </c>
      <c r="J5339" t="n">
        <v>3</v>
      </c>
      <c r="K5339" t="n">
        <v>0</v>
      </c>
      <c r="L5339" t="n">
        <v>99176</v>
      </c>
      <c r="M5339" t="n">
        <v>128800</v>
      </c>
      <c r="N5339" t="n">
        <v>91</v>
      </c>
      <c r="O5339" t="n">
        <v>0.91</v>
      </c>
      <c r="P5339" t="n">
        <v>1</v>
      </c>
      <c r="Q5339" t="n">
        <v>0.07000000000000001</v>
      </c>
      <c r="R5339" t="n">
        <v>1</v>
      </c>
      <c r="S5339" t="n">
        <v>22269.52</v>
      </c>
      <c r="T5339" t="n">
        <v>25</v>
      </c>
      <c r="U5339" t="n">
        <v>26</v>
      </c>
      <c r="V5339" t="n">
        <v>30</v>
      </c>
      <c r="W5339" t="n">
        <v>6</v>
      </c>
      <c r="X5339" t="n">
        <v>34.70213996529786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13364</v>
      </c>
      <c r="AG5339" t="n">
        <v>3495</v>
      </c>
      <c r="AH5339" t="inlineStr">
        <is>
          <t>PT. YAFINDO MITRA PERMATA (PDG)</t>
        </is>
      </c>
      <c r="AI5339" t="n">
        <v>1017</v>
      </c>
      <c r="AJ5339" t="inlineStr">
        <is>
          <t>SKINTIFIC</t>
        </is>
      </c>
      <c r="AK5339" t="n">
        <v>21</v>
      </c>
      <c r="AL5339" t="inlineStr">
        <is>
          <t>Miss Glam Damar</t>
        </is>
      </c>
      <c r="AM5339" t="n">
        <v>1</v>
      </c>
      <c r="AN5339" t="n">
        <v>500000</v>
      </c>
      <c r="AO5339" t="n">
        <v>0</v>
      </c>
      <c r="AP5339" t="inlineStr"/>
      <c r="AQ5339" t="inlineStr"/>
    </row>
    <row r="5340">
      <c r="A5340" t="inlineStr">
        <is>
          <t>SKINTIFIC</t>
        </is>
      </c>
      <c r="B5340" s="2">
        <f>"20101208205"</f>
        <v/>
      </c>
      <c r="C5340" t="inlineStr">
        <is>
          <t>SKINTIFIC Radiance Booster Serum Spray 100ml</t>
        </is>
      </c>
      <c r="D5340" t="inlineStr">
        <is>
          <t>Miss Glam Damar</t>
        </is>
      </c>
      <c r="E5340" t="n">
        <v>5</v>
      </c>
      <c r="F5340" t="n">
        <v>1.7108</v>
      </c>
      <c r="G5340" t="n">
        <v>5.46</v>
      </c>
      <c r="H5340" t="n">
        <v>2</v>
      </c>
      <c r="I5340" t="n">
        <v>9</v>
      </c>
      <c r="J5340" t="n">
        <v>1</v>
      </c>
      <c r="K5340" t="n">
        <v>0</v>
      </c>
      <c r="L5340" t="n">
        <v>99337</v>
      </c>
      <c r="M5340" t="n">
        <v>134000</v>
      </c>
      <c r="N5340" t="n">
        <v>91</v>
      </c>
      <c r="O5340" t="n">
        <v>0.91</v>
      </c>
      <c r="P5340" t="n">
        <v>1</v>
      </c>
      <c r="Q5340" t="n">
        <v>1.53</v>
      </c>
      <c r="R5340" t="n">
        <v>6</v>
      </c>
      <c r="S5340" t="n">
        <v>229247.2</v>
      </c>
      <c r="T5340" t="n">
        <v>46</v>
      </c>
      <c r="U5340" t="n">
        <v>50</v>
      </c>
      <c r="V5340" t="n">
        <v>30</v>
      </c>
      <c r="W5340" t="n">
        <v>52</v>
      </c>
      <c r="X5340" t="n">
        <v>2.922609305588029</v>
      </c>
      <c r="Y5340" t="n">
        <v>1</v>
      </c>
      <c r="Z5340" t="n">
        <v>47</v>
      </c>
      <c r="AA5340" t="n">
        <v>11</v>
      </c>
      <c r="AB5340" t="n">
        <v>36</v>
      </c>
      <c r="AC5340" t="n">
        <v>36</v>
      </c>
      <c r="AD5340" t="n">
        <v>1092707</v>
      </c>
      <c r="AE5340" t="n">
        <v>3576132</v>
      </c>
      <c r="AF5340" t="n">
        <v>13364</v>
      </c>
      <c r="AG5340" t="n">
        <v>3495</v>
      </c>
      <c r="AH5340" t="inlineStr">
        <is>
          <t>PT. YAFINDO MITRA PERMATA (PDG)</t>
        </is>
      </c>
      <c r="AI5340" t="n">
        <v>1017</v>
      </c>
      <c r="AJ5340" t="inlineStr">
        <is>
          <t>SKINTIFIC</t>
        </is>
      </c>
      <c r="AK5340" t="n">
        <v>21</v>
      </c>
      <c r="AL5340" t="inlineStr">
        <is>
          <t>Miss Glam Damar</t>
        </is>
      </c>
      <c r="AM5340" t="n">
        <v>1</v>
      </c>
      <c r="AN5340" t="n">
        <v>500000</v>
      </c>
      <c r="AO5340" t="n">
        <v>0</v>
      </c>
      <c r="AP5340" t="inlineStr"/>
      <c r="AQ5340" t="inlineStr"/>
    </row>
    <row r="5341">
      <c r="A5341" t="inlineStr">
        <is>
          <t>SKINTIFIC</t>
        </is>
      </c>
      <c r="B5341" s="2">
        <f>"810114871409"</f>
        <v/>
      </c>
      <c r="C5341" t="inlineStr">
        <is>
          <t>SKINTIFIC Retinol SKin Renewal Moisturizer 30gr</t>
        </is>
      </c>
      <c r="D5341" t="inlineStr">
        <is>
          <t>Miss Glam Damar</t>
        </is>
      </c>
      <c r="E5341" t="n">
        <v>0</v>
      </c>
      <c r="F5341" t="n">
        <v>0.09100000000000001</v>
      </c>
      <c r="G5341" t="n">
        <v>0.91</v>
      </c>
      <c r="H5341" t="n">
        <v>2</v>
      </c>
      <c r="I5341" t="n">
        <v>9</v>
      </c>
      <c r="J5341" t="n">
        <v>3</v>
      </c>
      <c r="K5341" t="n">
        <v>0</v>
      </c>
      <c r="L5341" t="n">
        <v>114701</v>
      </c>
      <c r="M5341" t="n">
        <v>154200</v>
      </c>
      <c r="N5341" t="n">
        <v>91</v>
      </c>
      <c r="O5341" t="n">
        <v>0.91</v>
      </c>
      <c r="P5341" t="n">
        <v>1</v>
      </c>
      <c r="Q5341" t="n">
        <v>0.2</v>
      </c>
      <c r="R5341" t="n">
        <v>3</v>
      </c>
      <c r="S5341" t="n">
        <v>14032.2</v>
      </c>
      <c r="T5341" t="n">
        <v>9</v>
      </c>
      <c r="U5341" t="n">
        <v>10</v>
      </c>
      <c r="V5341" t="n">
        <v>30</v>
      </c>
      <c r="W5341" t="n">
        <v>3</v>
      </c>
      <c r="X5341" t="n">
        <v>0</v>
      </c>
      <c r="Y5341" t="n">
        <v>1</v>
      </c>
      <c r="Z5341" t="n">
        <v>3</v>
      </c>
      <c r="AA5341" t="n">
        <v>1</v>
      </c>
      <c r="AB5341" t="n">
        <v>2</v>
      </c>
      <c r="AC5341" t="n">
        <v>3</v>
      </c>
      <c r="AD5341" t="n">
        <v>114701</v>
      </c>
      <c r="AE5341" t="n">
        <v>344103</v>
      </c>
      <c r="AF5341" t="n">
        <v>13364</v>
      </c>
      <c r="AG5341" t="n">
        <v>3495</v>
      </c>
      <c r="AH5341" t="inlineStr">
        <is>
          <t>PT. YAFINDO MITRA PERMATA (PDG)</t>
        </is>
      </c>
      <c r="AI5341" t="n">
        <v>1017</v>
      </c>
      <c r="AJ5341" t="inlineStr">
        <is>
          <t>SKINTIFIC</t>
        </is>
      </c>
      <c r="AK5341" t="n">
        <v>21</v>
      </c>
      <c r="AL5341" t="inlineStr">
        <is>
          <t>Miss Glam Damar</t>
        </is>
      </c>
      <c r="AM5341" t="n">
        <v>1</v>
      </c>
      <c r="AN5341" t="n">
        <v>500000</v>
      </c>
      <c r="AO5341" t="n">
        <v>0</v>
      </c>
      <c r="AP5341" t="inlineStr"/>
      <c r="AQ5341" t="inlineStr"/>
    </row>
    <row r="5342">
      <c r="A5342" t="inlineStr">
        <is>
          <t>SKINTIFIC</t>
        </is>
      </c>
      <c r="B5342" s="2">
        <f>"810114871201"</f>
        <v/>
      </c>
      <c r="C5342" t="inlineStr">
        <is>
          <t>SKINTIFIC Retinol Skin Renewal Serum 20ml</t>
        </is>
      </c>
      <c r="D5342" t="inlineStr">
        <is>
          <t>Miss Glam Damar</t>
        </is>
      </c>
      <c r="E5342" t="n">
        <v>8</v>
      </c>
      <c r="F5342" t="n">
        <v>0.6461</v>
      </c>
      <c r="G5342" t="n">
        <v>3.64</v>
      </c>
      <c r="H5342" t="n">
        <v>2</v>
      </c>
      <c r="I5342" t="n">
        <v>9</v>
      </c>
      <c r="J5342" t="n">
        <v>3</v>
      </c>
      <c r="K5342" t="n">
        <v>0</v>
      </c>
      <c r="L5342" t="n">
        <v>107456</v>
      </c>
      <c r="M5342" t="n">
        <v>148500</v>
      </c>
      <c r="N5342" t="n">
        <v>91</v>
      </c>
      <c r="O5342" t="n">
        <v>0.91</v>
      </c>
      <c r="P5342" t="n">
        <v>1</v>
      </c>
      <c r="Q5342" t="n">
        <v>0.85</v>
      </c>
      <c r="R5342" t="n">
        <v>5</v>
      </c>
      <c r="S5342" t="n">
        <v>95945.85000000001</v>
      </c>
      <c r="T5342" t="n">
        <v>32</v>
      </c>
      <c r="U5342" t="n">
        <v>34</v>
      </c>
      <c r="V5342" t="n">
        <v>30</v>
      </c>
      <c r="W5342" t="n">
        <v>20</v>
      </c>
      <c r="X5342" t="n">
        <v>12.38198421297013</v>
      </c>
      <c r="Y5342" t="n">
        <v>1</v>
      </c>
      <c r="Z5342" t="n">
        <v>12</v>
      </c>
      <c r="AA5342" t="n">
        <v>0</v>
      </c>
      <c r="AB5342" t="n">
        <v>12</v>
      </c>
      <c r="AC5342" t="n">
        <v>12</v>
      </c>
      <c r="AD5342" t="n">
        <v>0</v>
      </c>
      <c r="AE5342" t="n">
        <v>1289472</v>
      </c>
      <c r="AF5342" t="n">
        <v>13364</v>
      </c>
      <c r="AG5342" t="n">
        <v>3495</v>
      </c>
      <c r="AH5342" t="inlineStr">
        <is>
          <t>PT. YAFINDO MITRA PERMATA (PDG)</t>
        </is>
      </c>
      <c r="AI5342" t="n">
        <v>1017</v>
      </c>
      <c r="AJ5342" t="inlineStr">
        <is>
          <t>SKINTIFIC</t>
        </is>
      </c>
      <c r="AK5342" t="n">
        <v>21</v>
      </c>
      <c r="AL5342" t="inlineStr">
        <is>
          <t>Miss Glam Damar</t>
        </is>
      </c>
      <c r="AM5342" t="n">
        <v>1</v>
      </c>
      <c r="AN5342" t="n">
        <v>500000</v>
      </c>
      <c r="AO5342" t="n">
        <v>0</v>
      </c>
      <c r="AP5342" t="inlineStr"/>
      <c r="AQ5342" t="inlineStr"/>
    </row>
    <row r="5343">
      <c r="A5343" t="inlineStr">
        <is>
          <t>SKINTIFIC</t>
        </is>
      </c>
      <c r="B5343" s="2">
        <f>"10300722716"</f>
        <v/>
      </c>
      <c r="C5343" t="inlineStr">
        <is>
          <t>SKINTIFIC Sensitive Moisture Gel 40ml</t>
        </is>
      </c>
      <c r="D5343" t="inlineStr">
        <is>
          <t>Miss Glam Damar</t>
        </is>
      </c>
      <c r="E5343" t="n">
        <v>4</v>
      </c>
      <c r="F5343" t="n">
        <v>0.1365</v>
      </c>
      <c r="G5343" t="n">
        <v>1.82</v>
      </c>
      <c r="H5343" t="n">
        <v>2</v>
      </c>
      <c r="I5343" t="n">
        <v>9</v>
      </c>
      <c r="J5343" t="n">
        <v>1</v>
      </c>
      <c r="K5343" t="n">
        <v>0</v>
      </c>
      <c r="L5343" t="n">
        <v>127350</v>
      </c>
      <c r="M5343" t="n">
        <v>159500</v>
      </c>
      <c r="N5343" t="n">
        <v>91</v>
      </c>
      <c r="O5343" t="n">
        <v>0.91</v>
      </c>
      <c r="P5343" t="n">
        <v>1</v>
      </c>
      <c r="Q5343" t="n">
        <v>0.08</v>
      </c>
      <c r="R5343" t="n">
        <v>1</v>
      </c>
      <c r="S5343" t="n">
        <v>21771.75</v>
      </c>
      <c r="T5343" t="n">
        <v>17</v>
      </c>
      <c r="U5343" t="n">
        <v>18</v>
      </c>
      <c r="V5343" t="n">
        <v>30</v>
      </c>
      <c r="W5343" t="n">
        <v>5</v>
      </c>
      <c r="X5343" t="n">
        <v>29.3040293040293</v>
      </c>
      <c r="Y5343" t="n">
        <v>1</v>
      </c>
      <c r="Z5343" t="n">
        <v>1</v>
      </c>
      <c r="AA5343" t="n">
        <v>0</v>
      </c>
      <c r="AB5343" t="n">
        <v>1</v>
      </c>
      <c r="AC5343" t="n">
        <v>1</v>
      </c>
      <c r="AD5343" t="n">
        <v>0</v>
      </c>
      <c r="AE5343" t="n">
        <v>127350</v>
      </c>
      <c r="AF5343" t="n">
        <v>13364</v>
      </c>
      <c r="AG5343" t="n">
        <v>3495</v>
      </c>
      <c r="AH5343" t="inlineStr">
        <is>
          <t>PT. YAFINDO MITRA PERMATA (PDG)</t>
        </is>
      </c>
      <c r="AI5343" t="n">
        <v>1017</v>
      </c>
      <c r="AJ5343" t="inlineStr">
        <is>
          <t>SKINTIFIC</t>
        </is>
      </c>
      <c r="AK5343" t="n">
        <v>21</v>
      </c>
      <c r="AL5343" t="inlineStr">
        <is>
          <t>Miss Glam Damar</t>
        </is>
      </c>
      <c r="AM5343" t="n">
        <v>1</v>
      </c>
      <c r="AN5343" t="n">
        <v>500000</v>
      </c>
      <c r="AO5343" t="n">
        <v>0</v>
      </c>
      <c r="AP5343" t="inlineStr"/>
      <c r="AQ5343" t="inlineStr"/>
    </row>
    <row r="5344">
      <c r="A5344" t="inlineStr">
        <is>
          <t>SKINTIFIC</t>
        </is>
      </c>
      <c r="B5344" s="2">
        <f>"7554411569524"</f>
        <v/>
      </c>
      <c r="C5344" t="inlineStr">
        <is>
          <t>SKINTIFIC SymWhite 377 Dark Spot Eraser Serum 20ml</t>
        </is>
      </c>
      <c r="D5344" t="inlineStr">
        <is>
          <t>Miss Glam Damar</t>
        </is>
      </c>
      <c r="E5344" t="n">
        <v>19</v>
      </c>
      <c r="F5344" t="n">
        <v>1.1557</v>
      </c>
      <c r="G5344" t="n">
        <v>3.64</v>
      </c>
      <c r="H5344" t="n">
        <v>2</v>
      </c>
      <c r="I5344" t="n">
        <v>9</v>
      </c>
      <c r="J5344" t="n">
        <v>3</v>
      </c>
      <c r="K5344" t="n">
        <v>0</v>
      </c>
      <c r="L5344" t="n">
        <v>114909</v>
      </c>
      <c r="M5344" t="n">
        <v>154200</v>
      </c>
      <c r="N5344" t="n">
        <v>91</v>
      </c>
      <c r="O5344" t="n">
        <v>0.91</v>
      </c>
      <c r="P5344" t="n">
        <v>1</v>
      </c>
      <c r="Q5344" t="n">
        <v>1.32</v>
      </c>
      <c r="R5344" t="n">
        <v>4</v>
      </c>
      <c r="S5344" t="n">
        <v>178208.94</v>
      </c>
      <c r="T5344" t="n">
        <v>31</v>
      </c>
      <c r="U5344" t="n">
        <v>34</v>
      </c>
      <c r="V5344" t="n">
        <v>30</v>
      </c>
      <c r="W5344" t="n">
        <v>35</v>
      </c>
      <c r="X5344" t="n">
        <v>16.4402526607251</v>
      </c>
      <c r="Y5344" t="n">
        <v>1</v>
      </c>
      <c r="Z5344" t="n">
        <v>16</v>
      </c>
      <c r="AA5344" t="n">
        <v>0</v>
      </c>
      <c r="AB5344" t="n">
        <v>16</v>
      </c>
      <c r="AC5344" t="n">
        <v>16</v>
      </c>
      <c r="AD5344" t="n">
        <v>0</v>
      </c>
      <c r="AE5344" t="n">
        <v>1838544</v>
      </c>
      <c r="AF5344" t="n">
        <v>13364</v>
      </c>
      <c r="AG5344" t="n">
        <v>3495</v>
      </c>
      <c r="AH5344" t="inlineStr">
        <is>
          <t>PT. YAFINDO MITRA PERMATA (PDG)</t>
        </is>
      </c>
      <c r="AI5344" t="n">
        <v>1017</v>
      </c>
      <c r="AJ5344" t="inlineStr">
        <is>
          <t>SKINTIFIC</t>
        </is>
      </c>
      <c r="AK5344" t="n">
        <v>21</v>
      </c>
      <c r="AL5344" t="inlineStr">
        <is>
          <t>Miss Glam Damar</t>
        </is>
      </c>
      <c r="AM5344" t="n">
        <v>1</v>
      </c>
      <c r="AN5344" t="n">
        <v>500000</v>
      </c>
      <c r="AO5344" t="n">
        <v>0</v>
      </c>
      <c r="AP5344" t="inlineStr"/>
      <c r="AQ5344" t="inlineStr"/>
    </row>
    <row r="5345">
      <c r="A5345" t="inlineStr">
        <is>
          <t>SKINTIFIC</t>
        </is>
      </c>
      <c r="B5345" s="2">
        <f>"810114870716"</f>
        <v/>
      </c>
      <c r="C5345" t="inlineStr">
        <is>
          <t>SKINTIFIC Symwhite 377 Dark Spot Moisture Gel 30gr</t>
        </is>
      </c>
      <c r="D5345" t="inlineStr">
        <is>
          <t>Miss Glam Damar</t>
        </is>
      </c>
      <c r="E5345" t="n">
        <v>38</v>
      </c>
      <c r="F5345" t="n">
        <v>2.1112</v>
      </c>
      <c r="G5345" t="n">
        <v>9.1</v>
      </c>
      <c r="H5345" t="n">
        <v>2</v>
      </c>
      <c r="I5345" t="n">
        <v>9</v>
      </c>
      <c r="J5345" t="n">
        <v>3</v>
      </c>
      <c r="K5345" t="n">
        <v>0</v>
      </c>
      <c r="L5345" t="n">
        <v>115119</v>
      </c>
      <c r="M5345" t="n">
        <v>154200</v>
      </c>
      <c r="N5345" t="n">
        <v>91</v>
      </c>
      <c r="O5345" t="n">
        <v>0.91</v>
      </c>
      <c r="P5345" t="n">
        <v>1</v>
      </c>
      <c r="Q5345" t="n">
        <v>1.83</v>
      </c>
      <c r="R5345" t="n">
        <v>7</v>
      </c>
      <c r="S5345" t="n">
        <v>325547.04</v>
      </c>
      <c r="T5345" t="n">
        <v>78</v>
      </c>
      <c r="U5345" t="n">
        <v>83</v>
      </c>
      <c r="V5345" t="n">
        <v>30</v>
      </c>
      <c r="W5345" t="n">
        <v>64</v>
      </c>
      <c r="X5345" t="n">
        <v>17.99924213717317</v>
      </c>
      <c r="Y5345" t="n">
        <v>1</v>
      </c>
      <c r="Z5345" t="n">
        <v>26</v>
      </c>
      <c r="AA5345" t="n">
        <v>0</v>
      </c>
      <c r="AB5345" t="n">
        <v>26</v>
      </c>
      <c r="AC5345" t="n">
        <v>26</v>
      </c>
      <c r="AD5345" t="n">
        <v>0</v>
      </c>
      <c r="AE5345" t="n">
        <v>2993094</v>
      </c>
      <c r="AF5345" t="n">
        <v>13364</v>
      </c>
      <c r="AG5345" t="n">
        <v>3495</v>
      </c>
      <c r="AH5345" t="inlineStr">
        <is>
          <t>PT. YAFINDO MITRA PERMATA (PDG)</t>
        </is>
      </c>
      <c r="AI5345" t="n">
        <v>1017</v>
      </c>
      <c r="AJ5345" t="inlineStr">
        <is>
          <t>SKINTIFIC</t>
        </is>
      </c>
      <c r="AK5345" t="n">
        <v>21</v>
      </c>
      <c r="AL5345" t="inlineStr">
        <is>
          <t>Miss Glam Damar</t>
        </is>
      </c>
      <c r="AM5345" t="n">
        <v>1</v>
      </c>
      <c r="AN5345" t="n">
        <v>500000</v>
      </c>
      <c r="AO5345" t="n">
        <v>0</v>
      </c>
      <c r="AP5345" t="inlineStr"/>
      <c r="AQ5345" t="inlineStr"/>
    </row>
    <row r="5346">
      <c r="A5346" t="inlineStr">
        <is>
          <t>SKINTIFIC</t>
        </is>
      </c>
      <c r="B5346" s="2">
        <f>"810114870464"</f>
        <v/>
      </c>
      <c r="C5346" t="inlineStr">
        <is>
          <t>SKINTIFIC Truffle Biome Skin Cream Gel Moisturizer 30gr</t>
        </is>
      </c>
      <c r="D5346" t="inlineStr">
        <is>
          <t>Miss Glam Damar</t>
        </is>
      </c>
      <c r="E5346" t="n">
        <v>7</v>
      </c>
      <c r="F5346" t="n">
        <v>0.182</v>
      </c>
      <c r="G5346" t="n">
        <v>1.82</v>
      </c>
      <c r="H5346" t="n">
        <v>2</v>
      </c>
      <c r="I5346" t="n">
        <v>9</v>
      </c>
      <c r="J5346" t="n">
        <v>3</v>
      </c>
      <c r="K5346" t="n">
        <v>0</v>
      </c>
      <c r="L5346" t="n">
        <v>121929</v>
      </c>
      <c r="M5346" t="n">
        <v>165400</v>
      </c>
      <c r="N5346" t="n">
        <v>91</v>
      </c>
      <c r="O5346" t="n">
        <v>0.91</v>
      </c>
      <c r="P5346" t="n">
        <v>1</v>
      </c>
      <c r="Q5346" t="n">
        <v>0.29</v>
      </c>
      <c r="R5346" t="n">
        <v>3</v>
      </c>
      <c r="S5346" t="n">
        <v>30102.8</v>
      </c>
      <c r="T5346" t="n">
        <v>17</v>
      </c>
      <c r="U5346" t="n">
        <v>18</v>
      </c>
      <c r="V5346" t="n">
        <v>30</v>
      </c>
      <c r="W5346" t="n">
        <v>6</v>
      </c>
      <c r="X5346" t="n">
        <v>38.46153846153846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13364</v>
      </c>
      <c r="AG5346" t="n">
        <v>3495</v>
      </c>
      <c r="AH5346" t="inlineStr">
        <is>
          <t>PT. YAFINDO MITRA PERMATA (PDG)</t>
        </is>
      </c>
      <c r="AI5346" t="n">
        <v>1017</v>
      </c>
      <c r="AJ5346" t="inlineStr">
        <is>
          <t>SKINTIFIC</t>
        </is>
      </c>
      <c r="AK5346" t="n">
        <v>21</v>
      </c>
      <c r="AL5346" t="inlineStr">
        <is>
          <t>Miss Glam Damar</t>
        </is>
      </c>
      <c r="AM5346" t="n">
        <v>1</v>
      </c>
      <c r="AN5346" t="n">
        <v>500000</v>
      </c>
      <c r="AO5346" t="n">
        <v>0</v>
      </c>
      <c r="AP5346" t="inlineStr"/>
      <c r="AQ5346" t="inlineStr"/>
    </row>
    <row r="5347">
      <c r="A5347" t="inlineStr">
        <is>
          <t>SKINTIFIC</t>
        </is>
      </c>
      <c r="B5347" s="2">
        <f>"810114872451"</f>
        <v/>
      </c>
      <c r="C5347" t="inlineStr">
        <is>
          <t>SKINTIFIC Ultra Cover Powder Foundation 01 Vanilla 9gr</t>
        </is>
      </c>
      <c r="D5347" t="inlineStr">
        <is>
          <t>Miss Glam Damar</t>
        </is>
      </c>
      <c r="E5347" t="n">
        <v>10</v>
      </c>
      <c r="F5347" t="n">
        <v>0.2184</v>
      </c>
      <c r="G5347" t="n">
        <v>1.82</v>
      </c>
      <c r="H5347" t="n">
        <v>2</v>
      </c>
      <c r="I5347" t="n">
        <v>9</v>
      </c>
      <c r="J5347" t="n">
        <v>3</v>
      </c>
      <c r="K5347" t="n">
        <v>0</v>
      </c>
      <c r="L5347" t="n">
        <v>117086</v>
      </c>
      <c r="M5347" t="n">
        <v>159500</v>
      </c>
      <c r="N5347" t="n">
        <v>91</v>
      </c>
      <c r="O5347" t="n">
        <v>0.91</v>
      </c>
      <c r="P5347" t="n">
        <v>1</v>
      </c>
      <c r="Q5347" t="n">
        <v>0.34</v>
      </c>
      <c r="R5347" t="n">
        <v>3</v>
      </c>
      <c r="S5347" t="n">
        <v>34834.8</v>
      </c>
      <c r="T5347" t="n">
        <v>16</v>
      </c>
      <c r="U5347" t="n">
        <v>17</v>
      </c>
      <c r="V5347" t="n">
        <v>30</v>
      </c>
      <c r="W5347" t="n">
        <v>7</v>
      </c>
      <c r="X5347" t="n">
        <v>45.78754578754579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13364</v>
      </c>
      <c r="AG5347" t="n">
        <v>3495</v>
      </c>
      <c r="AH5347" t="inlineStr">
        <is>
          <t>PT. YAFINDO MITRA PERMATA (PDG)</t>
        </is>
      </c>
      <c r="AI5347" t="n">
        <v>1017</v>
      </c>
      <c r="AJ5347" t="inlineStr">
        <is>
          <t>SKINTIFIC</t>
        </is>
      </c>
      <c r="AK5347" t="n">
        <v>21</v>
      </c>
      <c r="AL5347" t="inlineStr">
        <is>
          <t>Miss Glam Damar</t>
        </is>
      </c>
      <c r="AM5347" t="n">
        <v>1</v>
      </c>
      <c r="AN5347" t="n">
        <v>500000</v>
      </c>
      <c r="AO5347" t="n">
        <v>0</v>
      </c>
      <c r="AP5347" t="inlineStr"/>
      <c r="AQ5347" t="inlineStr"/>
    </row>
    <row r="5348">
      <c r="A5348" t="inlineStr">
        <is>
          <t>SKINTIFIC</t>
        </is>
      </c>
      <c r="B5348" s="2">
        <f>"810114872468"</f>
        <v/>
      </c>
      <c r="C5348" t="inlineStr">
        <is>
          <t>SKINTIFIC Ultra Cover Powder Foundation 02 Ivory 9gr</t>
        </is>
      </c>
      <c r="D5348" t="inlineStr">
        <is>
          <t>Miss Glam Damar</t>
        </is>
      </c>
      <c r="E5348" t="n">
        <v>7</v>
      </c>
      <c r="F5348" t="n">
        <v>0.5096000000000001</v>
      </c>
      <c r="G5348" t="n">
        <v>3.64</v>
      </c>
      <c r="H5348" t="n">
        <v>2</v>
      </c>
      <c r="I5348" t="n">
        <v>9</v>
      </c>
      <c r="J5348" t="n">
        <v>3</v>
      </c>
      <c r="K5348" t="n">
        <v>0</v>
      </c>
      <c r="L5348" t="n">
        <v>114701</v>
      </c>
      <c r="M5348" t="n">
        <v>159500</v>
      </c>
      <c r="N5348" t="n">
        <v>91</v>
      </c>
      <c r="O5348" t="n">
        <v>0.91</v>
      </c>
      <c r="P5348" t="n">
        <v>1</v>
      </c>
      <c r="Q5348" t="n">
        <v>0.71</v>
      </c>
      <c r="R5348" t="n">
        <v>4</v>
      </c>
      <c r="S5348" t="n">
        <v>81281.20000000001</v>
      </c>
      <c r="T5348" t="n">
        <v>32</v>
      </c>
      <c r="U5348" t="n">
        <v>34</v>
      </c>
      <c r="V5348" t="n">
        <v>30</v>
      </c>
      <c r="W5348" t="n">
        <v>16</v>
      </c>
      <c r="X5348" t="n">
        <v>13.73626373626374</v>
      </c>
      <c r="Y5348" t="n">
        <v>1</v>
      </c>
      <c r="Z5348" t="n">
        <v>9</v>
      </c>
      <c r="AA5348" t="n">
        <v>0</v>
      </c>
      <c r="AB5348" t="n">
        <v>9</v>
      </c>
      <c r="AC5348" t="n">
        <v>9</v>
      </c>
      <c r="AD5348" t="n">
        <v>0</v>
      </c>
      <c r="AE5348" t="n">
        <v>1032309</v>
      </c>
      <c r="AF5348" t="n">
        <v>13364</v>
      </c>
      <c r="AG5348" t="n">
        <v>3495</v>
      </c>
      <c r="AH5348" t="inlineStr">
        <is>
          <t>PT. YAFINDO MITRA PERMATA (PDG)</t>
        </is>
      </c>
      <c r="AI5348" t="n">
        <v>1017</v>
      </c>
      <c r="AJ5348" t="inlineStr">
        <is>
          <t>SKINTIFIC</t>
        </is>
      </c>
      <c r="AK5348" t="n">
        <v>21</v>
      </c>
      <c r="AL5348" t="inlineStr">
        <is>
          <t>Miss Glam Damar</t>
        </is>
      </c>
      <c r="AM5348" t="n">
        <v>1</v>
      </c>
      <c r="AN5348" t="n">
        <v>500000</v>
      </c>
      <c r="AO5348" t="n">
        <v>0</v>
      </c>
      <c r="AP5348" t="inlineStr"/>
      <c r="AQ5348" t="inlineStr"/>
    </row>
    <row r="5349">
      <c r="A5349" t="inlineStr">
        <is>
          <t>SKINTIFIC</t>
        </is>
      </c>
      <c r="B5349" s="2">
        <f>"810114872475"</f>
        <v/>
      </c>
      <c r="C5349" t="inlineStr">
        <is>
          <t>SKINTIFIC Ultra Cover Powder Foundation 03 Petal 9gr</t>
        </is>
      </c>
      <c r="D5349" t="inlineStr">
        <is>
          <t>Miss Glam Damar</t>
        </is>
      </c>
      <c r="E5349" t="n">
        <v>2</v>
      </c>
      <c r="F5349" t="n">
        <v>0.9919000000000001</v>
      </c>
      <c r="G5349" t="n">
        <v>3.64</v>
      </c>
      <c r="H5349" t="n">
        <v>2</v>
      </c>
      <c r="I5349" t="n">
        <v>9</v>
      </c>
      <c r="J5349" t="n">
        <v>3</v>
      </c>
      <c r="K5349" t="n">
        <v>0</v>
      </c>
      <c r="L5349" t="n">
        <v>118322</v>
      </c>
      <c r="M5349" t="n">
        <v>159500</v>
      </c>
      <c r="N5349" t="n">
        <v>91</v>
      </c>
      <c r="O5349" t="n">
        <v>0.91</v>
      </c>
      <c r="P5349" t="n">
        <v>1</v>
      </c>
      <c r="Q5349" t="n">
        <v>0.78</v>
      </c>
      <c r="R5349" t="n">
        <v>4</v>
      </c>
      <c r="S5349" t="n">
        <v>158208.05</v>
      </c>
      <c r="T5349" t="n">
        <v>31</v>
      </c>
      <c r="U5349" t="n">
        <v>33</v>
      </c>
      <c r="V5349" t="n">
        <v>30</v>
      </c>
      <c r="W5349" t="n">
        <v>30</v>
      </c>
      <c r="X5349" t="n">
        <v>2.016332291561649</v>
      </c>
      <c r="Y5349" t="n">
        <v>1</v>
      </c>
      <c r="Z5349" t="n">
        <v>28</v>
      </c>
      <c r="AA5349" t="n">
        <v>7</v>
      </c>
      <c r="AB5349" t="n">
        <v>21</v>
      </c>
      <c r="AC5349" t="n">
        <v>21</v>
      </c>
      <c r="AD5349" t="n">
        <v>828254</v>
      </c>
      <c r="AE5349" t="n">
        <v>2484762</v>
      </c>
      <c r="AF5349" t="n">
        <v>13364</v>
      </c>
      <c r="AG5349" t="n">
        <v>3495</v>
      </c>
      <c r="AH5349" t="inlineStr">
        <is>
          <t>PT. YAFINDO MITRA PERMATA (PDG)</t>
        </is>
      </c>
      <c r="AI5349" t="n">
        <v>1017</v>
      </c>
      <c r="AJ5349" t="inlineStr">
        <is>
          <t>SKINTIFIC</t>
        </is>
      </c>
      <c r="AK5349" t="n">
        <v>21</v>
      </c>
      <c r="AL5349" t="inlineStr">
        <is>
          <t>Miss Glam Damar</t>
        </is>
      </c>
      <c r="AM5349" t="n">
        <v>1</v>
      </c>
      <c r="AN5349" t="n">
        <v>500000</v>
      </c>
      <c r="AO5349" t="n">
        <v>0</v>
      </c>
      <c r="AP5349" t="inlineStr"/>
      <c r="AQ5349" t="inlineStr"/>
    </row>
    <row r="5350">
      <c r="A5350" t="inlineStr">
        <is>
          <t>SKINTIFIC</t>
        </is>
      </c>
      <c r="B5350" s="2">
        <f>"810114872482"</f>
        <v/>
      </c>
      <c r="C5350" t="inlineStr">
        <is>
          <t>SKINTIFIC Ultra Cover Powder Foundation 03A Almond 9gr</t>
        </is>
      </c>
      <c r="D5350" t="inlineStr">
        <is>
          <t>Miss Glam Damar</t>
        </is>
      </c>
      <c r="E5350" t="n">
        <v>7</v>
      </c>
      <c r="F5350" t="n">
        <v>0.3094</v>
      </c>
      <c r="G5350" t="n">
        <v>1.82</v>
      </c>
      <c r="H5350" t="n">
        <v>2</v>
      </c>
      <c r="I5350" t="n">
        <v>9</v>
      </c>
      <c r="J5350" t="n">
        <v>3</v>
      </c>
      <c r="K5350" t="n">
        <v>0</v>
      </c>
      <c r="L5350" t="n">
        <v>120749</v>
      </c>
      <c r="M5350" t="n">
        <v>159500</v>
      </c>
      <c r="N5350" t="n">
        <v>91</v>
      </c>
      <c r="O5350" t="n">
        <v>0.91</v>
      </c>
      <c r="P5350" t="n">
        <v>1</v>
      </c>
      <c r="Q5350" t="n">
        <v>0.29</v>
      </c>
      <c r="R5350" t="n">
        <v>2</v>
      </c>
      <c r="S5350" t="n">
        <v>49349.3</v>
      </c>
      <c r="T5350" t="n">
        <v>16</v>
      </c>
      <c r="U5350" t="n">
        <v>17</v>
      </c>
      <c r="V5350" t="n">
        <v>30</v>
      </c>
      <c r="W5350" t="n">
        <v>10</v>
      </c>
      <c r="X5350" t="n">
        <v>22.62443438914027</v>
      </c>
      <c r="Y5350" t="n">
        <v>1</v>
      </c>
      <c r="Z5350" t="n">
        <v>3</v>
      </c>
      <c r="AA5350" t="n">
        <v>0</v>
      </c>
      <c r="AB5350" t="n">
        <v>3</v>
      </c>
      <c r="AC5350" t="n">
        <v>3</v>
      </c>
      <c r="AD5350" t="n">
        <v>0</v>
      </c>
      <c r="AE5350" t="n">
        <v>362247</v>
      </c>
      <c r="AF5350" t="n">
        <v>13364</v>
      </c>
      <c r="AG5350" t="n">
        <v>3495</v>
      </c>
      <c r="AH5350" t="inlineStr">
        <is>
          <t>PT. YAFINDO MITRA PERMATA (PDG)</t>
        </is>
      </c>
      <c r="AI5350" t="n">
        <v>1017</v>
      </c>
      <c r="AJ5350" t="inlineStr">
        <is>
          <t>SKINTIFIC</t>
        </is>
      </c>
      <c r="AK5350" t="n">
        <v>21</v>
      </c>
      <c r="AL5350" t="inlineStr">
        <is>
          <t>Miss Glam Damar</t>
        </is>
      </c>
      <c r="AM5350" t="n">
        <v>1</v>
      </c>
      <c r="AN5350" t="n">
        <v>500000</v>
      </c>
      <c r="AO5350" t="n">
        <v>0</v>
      </c>
      <c r="AP5350" t="inlineStr"/>
      <c r="AQ5350" t="inlineStr"/>
    </row>
    <row r="5351">
      <c r="A5351" t="inlineStr">
        <is>
          <t>SKINTIFIC</t>
        </is>
      </c>
      <c r="B5351" s="2">
        <f>"7554411572876"</f>
        <v/>
      </c>
      <c r="C5351" t="inlineStr">
        <is>
          <t>SKINTIFIC White Truffle Cleansing Essence 80ml</t>
        </is>
      </c>
      <c r="D5351" t="inlineStr">
        <is>
          <t>Miss Glam Damar</t>
        </is>
      </c>
      <c r="E5351" t="n">
        <v>11</v>
      </c>
      <c r="F5351" t="n">
        <v>0.4459</v>
      </c>
      <c r="G5351" t="n">
        <v>1.82</v>
      </c>
      <c r="H5351" t="n">
        <v>2</v>
      </c>
      <c r="I5351" t="n">
        <v>9</v>
      </c>
      <c r="J5351" t="n">
        <v>3</v>
      </c>
      <c r="K5351" t="n">
        <v>0</v>
      </c>
      <c r="L5351" t="n">
        <v>77848</v>
      </c>
      <c r="M5351" t="n">
        <v>109900</v>
      </c>
      <c r="N5351" t="n">
        <v>91</v>
      </c>
      <c r="O5351" t="n">
        <v>0.91</v>
      </c>
      <c r="P5351" t="n">
        <v>1</v>
      </c>
      <c r="Q5351" t="n">
        <v>0.54</v>
      </c>
      <c r="R5351" t="n">
        <v>3</v>
      </c>
      <c r="S5351" t="n">
        <v>49004.41</v>
      </c>
      <c r="T5351" t="n">
        <v>16</v>
      </c>
      <c r="U5351" t="n">
        <v>17</v>
      </c>
      <c r="V5351" t="n">
        <v>30</v>
      </c>
      <c r="W5351" t="n">
        <v>14</v>
      </c>
      <c r="X5351" t="n">
        <v>24.66920834267773</v>
      </c>
      <c r="Y5351" t="n">
        <v>1</v>
      </c>
      <c r="Z5351" t="n">
        <v>3</v>
      </c>
      <c r="AA5351" t="n">
        <v>0</v>
      </c>
      <c r="AB5351" t="n">
        <v>3</v>
      </c>
      <c r="AC5351" t="n">
        <v>3</v>
      </c>
      <c r="AD5351" t="n">
        <v>0</v>
      </c>
      <c r="AE5351" t="n">
        <v>233544</v>
      </c>
      <c r="AF5351" t="n">
        <v>13364</v>
      </c>
      <c r="AG5351" t="n">
        <v>3495</v>
      </c>
      <c r="AH5351" t="inlineStr">
        <is>
          <t>PT. YAFINDO MITRA PERMATA (PDG)</t>
        </is>
      </c>
      <c r="AI5351" t="n">
        <v>1017</v>
      </c>
      <c r="AJ5351" t="inlineStr">
        <is>
          <t>SKINTIFIC</t>
        </is>
      </c>
      <c r="AK5351" t="n">
        <v>21</v>
      </c>
      <c r="AL5351" t="inlineStr">
        <is>
          <t>Miss Glam Damar</t>
        </is>
      </c>
      <c r="AM5351" t="n">
        <v>1</v>
      </c>
      <c r="AN5351" t="n">
        <v>500000</v>
      </c>
      <c r="AO5351" t="n">
        <v>0</v>
      </c>
      <c r="AP5351" t="inlineStr"/>
      <c r="AQ5351" t="inlineStr"/>
    </row>
    <row r="5352">
      <c r="A5352" t="inlineStr">
        <is>
          <t>SKINTIFIC</t>
        </is>
      </c>
      <c r="B5352" s="2">
        <f>"101001109824"</f>
        <v/>
      </c>
      <c r="C5352" t="inlineStr">
        <is>
          <t>SKINTIFlC Sensitive Soothe Cleanser 120ml</t>
        </is>
      </c>
      <c r="D5352" t="inlineStr">
        <is>
          <t>Miss Glam Damar</t>
        </is>
      </c>
      <c r="E5352" t="n">
        <v>5</v>
      </c>
      <c r="F5352" t="n">
        <v>0.0273</v>
      </c>
      <c r="G5352" t="n">
        <v>0.91</v>
      </c>
      <c r="H5352" t="n">
        <v>2</v>
      </c>
      <c r="I5352" t="n">
        <v>9</v>
      </c>
      <c r="J5352" t="n">
        <v>1</v>
      </c>
      <c r="K5352" t="n">
        <v>0</v>
      </c>
      <c r="L5352" t="n">
        <v>84615</v>
      </c>
      <c r="M5352" t="n">
        <v>99000</v>
      </c>
      <c r="N5352" t="n">
        <v>91</v>
      </c>
      <c r="O5352" t="n">
        <v>0.91</v>
      </c>
      <c r="P5352" t="n">
        <v>1</v>
      </c>
      <c r="Q5352" t="n">
        <v>0.12</v>
      </c>
      <c r="R5352" t="n">
        <v>2</v>
      </c>
      <c r="S5352" t="n">
        <v>2702.7</v>
      </c>
      <c r="T5352" t="n">
        <v>9</v>
      </c>
      <c r="U5352" t="n">
        <v>10</v>
      </c>
      <c r="V5352" t="n">
        <v>30</v>
      </c>
      <c r="W5352" t="n">
        <v>1</v>
      </c>
      <c r="X5352" t="n">
        <v>183.1501831501832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13364</v>
      </c>
      <c r="AG5352" t="n">
        <v>3495</v>
      </c>
      <c r="AH5352" t="inlineStr">
        <is>
          <t>PT. YAFINDO MITRA PERMATA (PDG)</t>
        </is>
      </c>
      <c r="AI5352" t="n">
        <v>1017</v>
      </c>
      <c r="AJ5352" t="inlineStr">
        <is>
          <t>SKINTIFIC</t>
        </is>
      </c>
      <c r="AK5352" t="n">
        <v>21</v>
      </c>
      <c r="AL5352" t="inlineStr">
        <is>
          <t>Miss Glam Damar</t>
        </is>
      </c>
      <c r="AM5352" t="n">
        <v>1</v>
      </c>
      <c r="AN5352" t="n">
        <v>500000</v>
      </c>
      <c r="AO5352" t="n">
        <v>0</v>
      </c>
      <c r="AP5352" t="inlineStr"/>
      <c r="AQ5352" t="inlineStr"/>
    </row>
    <row r="5353">
      <c r="A5353" t="inlineStr">
        <is>
          <t>SKINVU</t>
        </is>
      </c>
      <c r="B5353" s="2">
        <f>"30100241744"</f>
        <v/>
      </c>
      <c r="C5353" t="inlineStr">
        <is>
          <t>SKINVU Whitening Body Scrub 100ml</t>
        </is>
      </c>
      <c r="D5353" t="inlineStr">
        <is>
          <t>Miss Glam Damar</t>
        </is>
      </c>
      <c r="E5353" t="n">
        <v>52</v>
      </c>
      <c r="F5353" t="n">
        <v>0.2275</v>
      </c>
      <c r="G5353" t="n">
        <v>1.82</v>
      </c>
      <c r="H5353" t="n">
        <v>4</v>
      </c>
      <c r="I5353" t="n">
        <v>21</v>
      </c>
      <c r="J5353" t="n">
        <v>3</v>
      </c>
      <c r="K5353" t="n">
        <v>0</v>
      </c>
      <c r="L5353" t="n">
        <v>62830</v>
      </c>
      <c r="M5353" t="n">
        <v>99000</v>
      </c>
      <c r="N5353" t="n">
        <v>91</v>
      </c>
      <c r="O5353" t="n">
        <v>0.91</v>
      </c>
      <c r="P5353" t="n">
        <v>1</v>
      </c>
      <c r="Q5353" t="n">
        <v>0.08</v>
      </c>
      <c r="R5353" t="n">
        <v>2</v>
      </c>
      <c r="S5353" t="n">
        <v>22522.5</v>
      </c>
      <c r="T5353" t="n">
        <v>38</v>
      </c>
      <c r="U5353" t="n">
        <v>39</v>
      </c>
      <c r="V5353" t="n">
        <v>30</v>
      </c>
      <c r="W5353" t="n">
        <v>7</v>
      </c>
      <c r="X5353" t="n">
        <v>228.5714285714286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8651</v>
      </c>
      <c r="AG5353" t="n">
        <v>1</v>
      </c>
      <c r="AH5353" t="inlineStr">
        <is>
          <t>PT. BERSAMA DISTRIVERSA INDONESIA (DC CIPUTAT)</t>
        </is>
      </c>
      <c r="AI5353" t="n">
        <v>2223</v>
      </c>
      <c r="AJ5353" t="inlineStr">
        <is>
          <t>SKINVU</t>
        </is>
      </c>
      <c r="AK5353" t="n">
        <v>21</v>
      </c>
      <c r="AL5353" t="inlineStr">
        <is>
          <t>Miss Glam Damar</t>
        </is>
      </c>
      <c r="AM5353" t="n">
        <v>3</v>
      </c>
      <c r="AN5353" t="n">
        <v>500000</v>
      </c>
      <c r="AO5353" t="n">
        <v>0</v>
      </c>
      <c r="AP5353" t="inlineStr"/>
      <c r="AQ5353" t="inlineStr"/>
    </row>
    <row r="5354">
      <c r="A5354" t="inlineStr">
        <is>
          <t>SKINVU</t>
        </is>
      </c>
      <c r="B5354" s="2">
        <f>"30200186137"</f>
        <v/>
      </c>
      <c r="C5354" t="inlineStr">
        <is>
          <t>SKINVU Whitening Glowing Body Lotion 100ml</t>
        </is>
      </c>
      <c r="D5354" t="inlineStr">
        <is>
          <t>Miss Glam Damar</t>
        </is>
      </c>
      <c r="E5354" t="n">
        <v>26</v>
      </c>
      <c r="F5354" t="n">
        <v>0.6188</v>
      </c>
      <c r="G5354" t="n">
        <v>5.46</v>
      </c>
      <c r="H5354" t="n">
        <v>4</v>
      </c>
      <c r="I5354" t="n">
        <v>21</v>
      </c>
      <c r="J5354" t="n">
        <v>3</v>
      </c>
      <c r="K5354" t="n">
        <v>0</v>
      </c>
      <c r="L5354" t="n">
        <v>69525</v>
      </c>
      <c r="M5354" t="n">
        <v>99000</v>
      </c>
      <c r="N5354" t="n">
        <v>91</v>
      </c>
      <c r="O5354" t="n">
        <v>0.91</v>
      </c>
      <c r="P5354" t="n">
        <v>1</v>
      </c>
      <c r="Q5354" t="n">
        <v>0.75</v>
      </c>
      <c r="R5354" t="n">
        <v>5</v>
      </c>
      <c r="S5354" t="n">
        <v>61261.2</v>
      </c>
      <c r="T5354" t="n">
        <v>113</v>
      </c>
      <c r="U5354" t="n">
        <v>116</v>
      </c>
      <c r="V5354" t="n">
        <v>30</v>
      </c>
      <c r="W5354" t="n">
        <v>19</v>
      </c>
      <c r="X5354" t="n">
        <v>42.01680672268908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8651</v>
      </c>
      <c r="AG5354" t="n">
        <v>1</v>
      </c>
      <c r="AH5354" t="inlineStr">
        <is>
          <t>PT. BERSAMA DISTRIVERSA INDONESIA (DC CIPUTAT)</t>
        </is>
      </c>
      <c r="AI5354" t="n">
        <v>2223</v>
      </c>
      <c r="AJ5354" t="inlineStr">
        <is>
          <t>SKINVU</t>
        </is>
      </c>
      <c r="AK5354" t="n">
        <v>21</v>
      </c>
      <c r="AL5354" t="inlineStr">
        <is>
          <t>Miss Glam Damar</t>
        </is>
      </c>
      <c r="AM5354" t="n">
        <v>3</v>
      </c>
      <c r="AN5354" t="n">
        <v>500000</v>
      </c>
      <c r="AO5354" t="n">
        <v>0</v>
      </c>
      <c r="AP5354" t="inlineStr"/>
      <c r="AQ5354" t="inlineStr"/>
    </row>
    <row r="5355">
      <c r="A5355" t="inlineStr">
        <is>
          <t>SLAVINA</t>
        </is>
      </c>
      <c r="B5355" s="2">
        <f>"30400256149"</f>
        <v/>
      </c>
      <c r="C5355" t="inlineStr">
        <is>
          <t>SLAVINA Body Mist Crush On You 300ml</t>
        </is>
      </c>
      <c r="D5355" t="inlineStr">
        <is>
          <t>Miss Glam Damar</t>
        </is>
      </c>
      <c r="E5355" t="n">
        <v>13</v>
      </c>
      <c r="F5355" t="n">
        <v>0.06370000000000001</v>
      </c>
      <c r="G5355" t="n">
        <v>1.82</v>
      </c>
      <c r="H5355" t="n">
        <v>1</v>
      </c>
      <c r="I5355" t="n">
        <v>5</v>
      </c>
      <c r="J5355" t="n">
        <v>1</v>
      </c>
      <c r="K5355" t="n">
        <v>0</v>
      </c>
      <c r="L5355" t="n">
        <v>72589</v>
      </c>
      <c r="M5355" t="n">
        <v>89000</v>
      </c>
      <c r="N5355" t="n">
        <v>91</v>
      </c>
      <c r="O5355" t="n">
        <v>0.91</v>
      </c>
      <c r="P5355" t="n">
        <v>1</v>
      </c>
      <c r="Q5355" t="n">
        <v>0.2</v>
      </c>
      <c r="R5355" t="n">
        <v>2</v>
      </c>
      <c r="S5355" t="n">
        <v>5669.3</v>
      </c>
      <c r="T5355" t="n">
        <v>10</v>
      </c>
      <c r="U5355" t="n">
        <v>11</v>
      </c>
      <c r="V5355" t="n">
        <v>30</v>
      </c>
      <c r="W5355" t="n">
        <v>2</v>
      </c>
      <c r="X5355" t="n">
        <v>204.0816326530612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10704</v>
      </c>
      <c r="AG5355" t="n">
        <v>2378</v>
      </c>
      <c r="AH5355" t="inlineStr">
        <is>
          <t>PT. KURNIA MAJU PERKASA - PPN (PDG)</t>
        </is>
      </c>
      <c r="AI5355" t="n">
        <v>1720</v>
      </c>
      <c r="AJ5355" t="inlineStr">
        <is>
          <t>SLAVINA</t>
        </is>
      </c>
      <c r="AK5355" t="n">
        <v>21</v>
      </c>
      <c r="AL5355" t="inlineStr">
        <is>
          <t>Miss Glam Damar</t>
        </is>
      </c>
      <c r="AM5355" t="n">
        <v>4</v>
      </c>
      <c r="AN5355" t="n">
        <v>500000</v>
      </c>
      <c r="AO5355" t="n">
        <v>0</v>
      </c>
      <c r="AP5355" t="inlineStr"/>
      <c r="AQ5355" t="inlineStr"/>
    </row>
    <row r="5356">
      <c r="A5356" t="inlineStr">
        <is>
          <t>SLAVINA</t>
        </is>
      </c>
      <c r="B5356" s="2">
        <f>"30400256227"</f>
        <v/>
      </c>
      <c r="C5356" t="inlineStr">
        <is>
          <t>SLAVINA Body Mist Endless Blossom 300ml</t>
        </is>
      </c>
      <c r="D5356" t="inlineStr">
        <is>
          <t>Miss Glam Damar</t>
        </is>
      </c>
      <c r="E5356" t="n">
        <v>7</v>
      </c>
      <c r="F5356" t="n">
        <v>0.0182</v>
      </c>
      <c r="G5356" t="n">
        <v>0.91</v>
      </c>
      <c r="H5356" t="n">
        <v>1</v>
      </c>
      <c r="I5356" t="n">
        <v>5</v>
      </c>
      <c r="J5356" t="n">
        <v>1</v>
      </c>
      <c r="K5356" t="n">
        <v>0</v>
      </c>
      <c r="L5356" t="n">
        <v>72416</v>
      </c>
      <c r="M5356" t="n">
        <v>89000</v>
      </c>
      <c r="N5356" t="n">
        <v>91</v>
      </c>
      <c r="O5356" t="n">
        <v>0.91</v>
      </c>
      <c r="P5356" t="n">
        <v>1</v>
      </c>
      <c r="Q5356" t="n">
        <v>0.05</v>
      </c>
      <c r="R5356" t="n">
        <v>1</v>
      </c>
      <c r="S5356" t="n">
        <v>1619.8</v>
      </c>
      <c r="T5356" t="n">
        <v>5</v>
      </c>
      <c r="U5356" t="n">
        <v>6</v>
      </c>
      <c r="V5356" t="n">
        <v>30</v>
      </c>
      <c r="W5356" t="n">
        <v>1</v>
      </c>
      <c r="X5356" t="n">
        <v>384.6153846153846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10704</v>
      </c>
      <c r="AG5356" t="n">
        <v>2378</v>
      </c>
      <c r="AH5356" t="inlineStr">
        <is>
          <t>PT. KURNIA MAJU PERKASA - PPN (PDG)</t>
        </is>
      </c>
      <c r="AI5356" t="n">
        <v>1720</v>
      </c>
      <c r="AJ5356" t="inlineStr">
        <is>
          <t>SLAVINA</t>
        </is>
      </c>
      <c r="AK5356" t="n">
        <v>21</v>
      </c>
      <c r="AL5356" t="inlineStr">
        <is>
          <t>Miss Glam Damar</t>
        </is>
      </c>
      <c r="AM5356" t="n">
        <v>4</v>
      </c>
      <c r="AN5356" t="n">
        <v>500000</v>
      </c>
      <c r="AO5356" t="n">
        <v>0</v>
      </c>
      <c r="AP5356" t="inlineStr"/>
      <c r="AQ5356" t="inlineStr"/>
    </row>
    <row r="5357">
      <c r="A5357" t="inlineStr">
        <is>
          <t>SLAVINA</t>
        </is>
      </c>
      <c r="B5357" s="2">
        <f>"30400256351"</f>
        <v/>
      </c>
      <c r="C5357" t="inlineStr">
        <is>
          <t>SLAVINA Body Mist First Kiss 300ml</t>
        </is>
      </c>
      <c r="D5357" t="inlineStr">
        <is>
          <t>Miss Glam Damar</t>
        </is>
      </c>
      <c r="E5357" t="n">
        <v>11</v>
      </c>
      <c r="F5357" t="n">
        <v>0.3822</v>
      </c>
      <c r="G5357" t="n">
        <v>1.82</v>
      </c>
      <c r="H5357" t="n">
        <v>1</v>
      </c>
      <c r="I5357" t="n">
        <v>5</v>
      </c>
      <c r="J5357" t="n">
        <v>1</v>
      </c>
      <c r="K5357" t="n">
        <v>0</v>
      </c>
      <c r="L5357" t="n">
        <v>73103</v>
      </c>
      <c r="M5357" t="n">
        <v>89000</v>
      </c>
      <c r="N5357" t="n">
        <v>91</v>
      </c>
      <c r="O5357" t="n">
        <v>0.91</v>
      </c>
      <c r="P5357" t="n">
        <v>1</v>
      </c>
      <c r="Q5357" t="n">
        <v>0.29</v>
      </c>
      <c r="R5357" t="n">
        <v>2</v>
      </c>
      <c r="S5357" t="n">
        <v>34015.8</v>
      </c>
      <c r="T5357" t="n">
        <v>9</v>
      </c>
      <c r="U5357" t="n">
        <v>10</v>
      </c>
      <c r="V5357" t="n">
        <v>30</v>
      </c>
      <c r="W5357" t="n">
        <v>12</v>
      </c>
      <c r="X5357" t="n">
        <v>28.78074306645735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10704</v>
      </c>
      <c r="AG5357" t="n">
        <v>2378</v>
      </c>
      <c r="AH5357" t="inlineStr">
        <is>
          <t>PT. KURNIA MAJU PERKASA - PPN (PDG)</t>
        </is>
      </c>
      <c r="AI5357" t="n">
        <v>1720</v>
      </c>
      <c r="AJ5357" t="inlineStr">
        <is>
          <t>SLAVINA</t>
        </is>
      </c>
      <c r="AK5357" t="n">
        <v>21</v>
      </c>
      <c r="AL5357" t="inlineStr">
        <is>
          <t>Miss Glam Damar</t>
        </is>
      </c>
      <c r="AM5357" t="n">
        <v>4</v>
      </c>
      <c r="AN5357" t="n">
        <v>500000</v>
      </c>
      <c r="AO5357" t="n">
        <v>0</v>
      </c>
      <c r="AP5357" t="inlineStr"/>
      <c r="AQ5357" t="inlineStr"/>
    </row>
    <row r="5358">
      <c r="A5358" t="inlineStr">
        <is>
          <t>SLAVINA</t>
        </is>
      </c>
      <c r="B5358" s="2">
        <f>"30400256416"</f>
        <v/>
      </c>
      <c r="C5358" t="inlineStr">
        <is>
          <t>SLAVINA Body Mist Love Journey 300ML</t>
        </is>
      </c>
      <c r="D5358" t="inlineStr">
        <is>
          <t>Miss Glam Damar</t>
        </is>
      </c>
      <c r="E5358" t="n">
        <v>6</v>
      </c>
      <c r="F5358" t="n">
        <v>0.09100000000000001</v>
      </c>
      <c r="G5358" t="n">
        <v>1.82</v>
      </c>
      <c r="H5358" t="n">
        <v>1</v>
      </c>
      <c r="I5358" t="n">
        <v>5</v>
      </c>
      <c r="J5358" t="n">
        <v>1</v>
      </c>
      <c r="K5358" t="n">
        <v>0</v>
      </c>
      <c r="L5358" t="n">
        <v>72183</v>
      </c>
      <c r="M5358" t="n">
        <v>89000</v>
      </c>
      <c r="N5358" t="n">
        <v>91</v>
      </c>
      <c r="O5358" t="n">
        <v>0.91</v>
      </c>
      <c r="P5358" t="n">
        <v>1</v>
      </c>
      <c r="Q5358" t="n">
        <v>0.12</v>
      </c>
      <c r="R5358" t="n">
        <v>1</v>
      </c>
      <c r="S5358" t="n">
        <v>8099.000000000001</v>
      </c>
      <c r="T5358" t="n">
        <v>10</v>
      </c>
      <c r="U5358" t="n">
        <v>11</v>
      </c>
      <c r="V5358" t="n">
        <v>30</v>
      </c>
      <c r="W5358" t="n">
        <v>3</v>
      </c>
      <c r="X5358" t="n">
        <v>65.93406593406593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10704</v>
      </c>
      <c r="AG5358" t="n">
        <v>2378</v>
      </c>
      <c r="AH5358" t="inlineStr">
        <is>
          <t>PT. KURNIA MAJU PERKASA - PPN (PDG)</t>
        </is>
      </c>
      <c r="AI5358" t="n">
        <v>1720</v>
      </c>
      <c r="AJ5358" t="inlineStr">
        <is>
          <t>SLAVINA</t>
        </is>
      </c>
      <c r="AK5358" t="n">
        <v>21</v>
      </c>
      <c r="AL5358" t="inlineStr">
        <is>
          <t>Miss Glam Damar</t>
        </is>
      </c>
      <c r="AM5358" t="n">
        <v>4</v>
      </c>
      <c r="AN5358" t="n">
        <v>500000</v>
      </c>
      <c r="AO5358" t="n">
        <v>0</v>
      </c>
      <c r="AP5358" t="inlineStr"/>
      <c r="AQ5358" t="inlineStr"/>
    </row>
    <row r="5359">
      <c r="A5359" t="inlineStr">
        <is>
          <t>SLAVINA</t>
        </is>
      </c>
      <c r="B5359" s="2">
        <f>"30400256506"</f>
        <v/>
      </c>
      <c r="C5359" t="inlineStr">
        <is>
          <t>SLAVINA Body Mist Red Opium 300ML</t>
        </is>
      </c>
      <c r="D5359" t="inlineStr">
        <is>
          <t>Miss Glam Damar</t>
        </is>
      </c>
      <c r="E5359" t="n">
        <v>13</v>
      </c>
      <c r="F5359" t="n">
        <v>0.182</v>
      </c>
      <c r="G5359" t="n">
        <v>1.82</v>
      </c>
      <c r="H5359" t="n">
        <v>1</v>
      </c>
      <c r="I5359" t="n">
        <v>5</v>
      </c>
      <c r="J5359" t="n">
        <v>1</v>
      </c>
      <c r="K5359" t="n">
        <v>0</v>
      </c>
      <c r="L5359" t="n">
        <v>72220</v>
      </c>
      <c r="M5359" t="n">
        <v>89000</v>
      </c>
      <c r="N5359" t="n">
        <v>91</v>
      </c>
      <c r="O5359" t="n">
        <v>0.91</v>
      </c>
      <c r="P5359" t="n">
        <v>1</v>
      </c>
      <c r="Q5359" t="n">
        <v>0.47</v>
      </c>
      <c r="R5359" t="n">
        <v>2</v>
      </c>
      <c r="S5359" t="n">
        <v>16198</v>
      </c>
      <c r="T5359" t="n">
        <v>9</v>
      </c>
      <c r="U5359" t="n">
        <v>10</v>
      </c>
      <c r="V5359" t="n">
        <v>30</v>
      </c>
      <c r="W5359" t="n">
        <v>6</v>
      </c>
      <c r="X5359" t="n">
        <v>71.42857142857142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10704</v>
      </c>
      <c r="AG5359" t="n">
        <v>2378</v>
      </c>
      <c r="AH5359" t="inlineStr">
        <is>
          <t>PT. KURNIA MAJU PERKASA - PPN (PDG)</t>
        </is>
      </c>
      <c r="AI5359" t="n">
        <v>1720</v>
      </c>
      <c r="AJ5359" t="inlineStr">
        <is>
          <t>SLAVINA</t>
        </is>
      </c>
      <c r="AK5359" t="n">
        <v>21</v>
      </c>
      <c r="AL5359" t="inlineStr">
        <is>
          <t>Miss Glam Damar</t>
        </is>
      </c>
      <c r="AM5359" t="n">
        <v>4</v>
      </c>
      <c r="AN5359" t="n">
        <v>500000</v>
      </c>
      <c r="AO5359" t="n">
        <v>0</v>
      </c>
      <c r="AP5359" t="inlineStr"/>
      <c r="AQ5359" t="inlineStr"/>
    </row>
    <row r="5360">
      <c r="A5360" t="inlineStr">
        <is>
          <t>SLAVINA</t>
        </is>
      </c>
      <c r="B5360" s="2">
        <f>"30400256651"</f>
        <v/>
      </c>
      <c r="C5360" t="inlineStr">
        <is>
          <t>SLAVINA Body Mist Shooting Star 300ML</t>
        </is>
      </c>
      <c r="D5360" t="inlineStr">
        <is>
          <t>Miss Glam Damar</t>
        </is>
      </c>
      <c r="E5360" t="n">
        <v>12</v>
      </c>
      <c r="F5360" t="n">
        <v>0.182</v>
      </c>
      <c r="G5360" t="n">
        <v>2.73</v>
      </c>
      <c r="H5360" t="n">
        <v>1</v>
      </c>
      <c r="I5360" t="n">
        <v>5</v>
      </c>
      <c r="J5360" t="n">
        <v>1</v>
      </c>
      <c r="K5360" t="n">
        <v>0</v>
      </c>
      <c r="L5360" t="n">
        <v>72210</v>
      </c>
      <c r="M5360" t="n">
        <v>99000</v>
      </c>
      <c r="N5360" t="n">
        <v>91</v>
      </c>
      <c r="O5360" t="n">
        <v>0.91</v>
      </c>
      <c r="P5360" t="n">
        <v>1</v>
      </c>
      <c r="Q5360" t="n">
        <v>0.34</v>
      </c>
      <c r="R5360" t="n">
        <v>2</v>
      </c>
      <c r="S5360" t="n">
        <v>18018</v>
      </c>
      <c r="T5360" t="n">
        <v>14</v>
      </c>
      <c r="U5360" t="n">
        <v>15</v>
      </c>
      <c r="V5360" t="n">
        <v>30</v>
      </c>
      <c r="W5360" t="n">
        <v>6</v>
      </c>
      <c r="X5360" t="n">
        <v>65.93406593406593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10704</v>
      </c>
      <c r="AG5360" t="n">
        <v>2378</v>
      </c>
      <c r="AH5360" t="inlineStr">
        <is>
          <t>PT. KURNIA MAJU PERKASA - PPN (PDG)</t>
        </is>
      </c>
      <c r="AI5360" t="n">
        <v>1720</v>
      </c>
      <c r="AJ5360" t="inlineStr">
        <is>
          <t>SLAVINA</t>
        </is>
      </c>
      <c r="AK5360" t="n">
        <v>21</v>
      </c>
      <c r="AL5360" t="inlineStr">
        <is>
          <t>Miss Glam Damar</t>
        </is>
      </c>
      <c r="AM5360" t="n">
        <v>4</v>
      </c>
      <c r="AN5360" t="n">
        <v>500000</v>
      </c>
      <c r="AO5360" t="n">
        <v>0</v>
      </c>
      <c r="AP5360" t="inlineStr"/>
      <c r="AQ5360" t="inlineStr"/>
    </row>
    <row r="5361">
      <c r="A5361" t="inlineStr">
        <is>
          <t>SLAVINA</t>
        </is>
      </c>
      <c r="B5361" s="2">
        <f>"30400256710"</f>
        <v/>
      </c>
      <c r="C5361" t="inlineStr">
        <is>
          <t>SLAVINA Body Mist Spill The Night 300ML</t>
        </is>
      </c>
      <c r="D5361" t="inlineStr">
        <is>
          <t>Miss Glam Damar</t>
        </is>
      </c>
      <c r="E5361" t="n">
        <v>10</v>
      </c>
      <c r="F5361" t="n">
        <v>0.1092</v>
      </c>
      <c r="G5361" t="n">
        <v>1.82</v>
      </c>
      <c r="H5361" t="n">
        <v>1</v>
      </c>
      <c r="I5361" t="n">
        <v>5</v>
      </c>
      <c r="J5361" t="n">
        <v>1</v>
      </c>
      <c r="K5361" t="n">
        <v>0</v>
      </c>
      <c r="L5361" t="n">
        <v>72189</v>
      </c>
      <c r="M5361" t="n">
        <v>89000</v>
      </c>
      <c r="N5361" t="n">
        <v>91</v>
      </c>
      <c r="O5361" t="n">
        <v>0.91</v>
      </c>
      <c r="P5361" t="n">
        <v>1</v>
      </c>
      <c r="Q5361" t="n">
        <v>0.19</v>
      </c>
      <c r="R5361" t="n">
        <v>2</v>
      </c>
      <c r="S5361" t="n">
        <v>9718.800000000001</v>
      </c>
      <c r="T5361" t="n">
        <v>9</v>
      </c>
      <c r="U5361" t="n">
        <v>10</v>
      </c>
      <c r="V5361" t="n">
        <v>30</v>
      </c>
      <c r="W5361" t="n">
        <v>4</v>
      </c>
      <c r="X5361" t="n">
        <v>91.57509157509158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10704</v>
      </c>
      <c r="AG5361" t="n">
        <v>2378</v>
      </c>
      <c r="AH5361" t="inlineStr">
        <is>
          <t>PT. KURNIA MAJU PERKASA - PPN (PDG)</t>
        </is>
      </c>
      <c r="AI5361" t="n">
        <v>1720</v>
      </c>
      <c r="AJ5361" t="inlineStr">
        <is>
          <t>SLAVINA</t>
        </is>
      </c>
      <c r="AK5361" t="n">
        <v>21</v>
      </c>
      <c r="AL5361" t="inlineStr">
        <is>
          <t>Miss Glam Damar</t>
        </is>
      </c>
      <c r="AM5361" t="n">
        <v>4</v>
      </c>
      <c r="AN5361" t="n">
        <v>500000</v>
      </c>
      <c r="AO5361" t="n">
        <v>0</v>
      </c>
      <c r="AP5361" t="inlineStr"/>
      <c r="AQ5361" t="inlineStr"/>
    </row>
    <row r="5362">
      <c r="A5362" t="inlineStr">
        <is>
          <t>SLAVINA</t>
        </is>
      </c>
      <c r="B5362" s="2">
        <f>"30100241252"</f>
        <v/>
      </c>
      <c r="C5362" t="inlineStr">
        <is>
          <t>SLAVINA Body Scrub Crush On You 300ml</t>
        </is>
      </c>
      <c r="D5362" t="inlineStr">
        <is>
          <t>Miss Glam Damar</t>
        </is>
      </c>
      <c r="E5362" t="n">
        <v>5</v>
      </c>
      <c r="F5362" t="n">
        <v>0.06370000000000001</v>
      </c>
      <c r="G5362" t="n">
        <v>0.91</v>
      </c>
      <c r="H5362" t="n">
        <v>1</v>
      </c>
      <c r="I5362" t="n">
        <v>5</v>
      </c>
      <c r="J5362" t="n">
        <v>1</v>
      </c>
      <c r="K5362" t="n">
        <v>0</v>
      </c>
      <c r="L5362" t="n">
        <v>61616</v>
      </c>
      <c r="M5362" t="n">
        <v>79000</v>
      </c>
      <c r="N5362" t="n">
        <v>91</v>
      </c>
      <c r="O5362" t="n">
        <v>0.91</v>
      </c>
      <c r="P5362" t="n">
        <v>1</v>
      </c>
      <c r="Q5362" t="n">
        <v>0.1</v>
      </c>
      <c r="R5362" t="n">
        <v>1</v>
      </c>
      <c r="S5362" t="n">
        <v>5032.3</v>
      </c>
      <c r="T5362" t="n">
        <v>5</v>
      </c>
      <c r="U5362" t="n">
        <v>6</v>
      </c>
      <c r="V5362" t="n">
        <v>30</v>
      </c>
      <c r="W5362" t="n">
        <v>2</v>
      </c>
      <c r="X5362" t="n">
        <v>78.49293563579278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10704</v>
      </c>
      <c r="AG5362" t="n">
        <v>2378</v>
      </c>
      <c r="AH5362" t="inlineStr">
        <is>
          <t>PT. KURNIA MAJU PERKASA - PPN (PDG)</t>
        </is>
      </c>
      <c r="AI5362" t="n">
        <v>1720</v>
      </c>
      <c r="AJ5362" t="inlineStr">
        <is>
          <t>SLAVINA</t>
        </is>
      </c>
      <c r="AK5362" t="n">
        <v>21</v>
      </c>
      <c r="AL5362" t="inlineStr">
        <is>
          <t>Miss Glam Damar</t>
        </is>
      </c>
      <c r="AM5362" t="n">
        <v>4</v>
      </c>
      <c r="AN5362" t="n">
        <v>500000</v>
      </c>
      <c r="AO5362" t="n">
        <v>0</v>
      </c>
      <c r="AP5362" t="inlineStr"/>
      <c r="AQ5362" t="inlineStr"/>
    </row>
    <row r="5363">
      <c r="A5363" t="inlineStr">
        <is>
          <t>SLAVINA</t>
        </is>
      </c>
      <c r="B5363" s="2">
        <f>"30100241451"</f>
        <v/>
      </c>
      <c r="C5363" t="inlineStr">
        <is>
          <t>SLAVINA Body Scrub Endless Blossom 300ml</t>
        </is>
      </c>
      <c r="D5363" t="inlineStr">
        <is>
          <t>Miss Glam Damar</t>
        </is>
      </c>
      <c r="E5363" t="n">
        <v>15</v>
      </c>
      <c r="F5363" t="n">
        <v>0.04550000000000001</v>
      </c>
      <c r="G5363" t="n">
        <v>0.91</v>
      </c>
      <c r="H5363" t="n">
        <v>1</v>
      </c>
      <c r="I5363" t="n">
        <v>5</v>
      </c>
      <c r="J5363" t="n">
        <v>1</v>
      </c>
      <c r="K5363" t="n">
        <v>0</v>
      </c>
      <c r="L5363" t="n">
        <v>59926</v>
      </c>
      <c r="M5363" t="n">
        <v>79000</v>
      </c>
      <c r="N5363" t="n">
        <v>91</v>
      </c>
      <c r="O5363" t="n">
        <v>0.91</v>
      </c>
      <c r="P5363" t="n">
        <v>1</v>
      </c>
      <c r="Q5363" t="n">
        <v>0.19</v>
      </c>
      <c r="R5363" t="n">
        <v>2</v>
      </c>
      <c r="S5363" t="n">
        <v>3594.5</v>
      </c>
      <c r="T5363" t="n">
        <v>5</v>
      </c>
      <c r="U5363" t="n">
        <v>6</v>
      </c>
      <c r="V5363" t="n">
        <v>30</v>
      </c>
      <c r="W5363" t="n">
        <v>2</v>
      </c>
      <c r="X5363" t="n">
        <v>329.6703296703296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10704</v>
      </c>
      <c r="AG5363" t="n">
        <v>2378</v>
      </c>
      <c r="AH5363" t="inlineStr">
        <is>
          <t>PT. KURNIA MAJU PERKASA - PPN (PDG)</t>
        </is>
      </c>
      <c r="AI5363" t="n">
        <v>1720</v>
      </c>
      <c r="AJ5363" t="inlineStr">
        <is>
          <t>SLAVINA</t>
        </is>
      </c>
      <c r="AK5363" t="n">
        <v>21</v>
      </c>
      <c r="AL5363" t="inlineStr">
        <is>
          <t>Miss Glam Damar</t>
        </is>
      </c>
      <c r="AM5363" t="n">
        <v>4</v>
      </c>
      <c r="AN5363" t="n">
        <v>500000</v>
      </c>
      <c r="AO5363" t="n">
        <v>0</v>
      </c>
      <c r="AP5363" t="inlineStr"/>
      <c r="AQ5363" t="inlineStr"/>
    </row>
    <row r="5364">
      <c r="A5364" t="inlineStr">
        <is>
          <t>SLAVINA</t>
        </is>
      </c>
      <c r="B5364" s="2">
        <f>"30100241525"</f>
        <v/>
      </c>
      <c r="C5364" t="inlineStr">
        <is>
          <t>SLAVINA Body Scrub First Kiss 300ml</t>
        </is>
      </c>
      <c r="D5364" t="inlineStr">
        <is>
          <t>Miss Glam Damar</t>
        </is>
      </c>
      <c r="E5364" t="n">
        <v>9</v>
      </c>
      <c r="F5364" t="n">
        <v>0.2639</v>
      </c>
      <c r="G5364" t="n">
        <v>1.82</v>
      </c>
      <c r="H5364" t="n">
        <v>1</v>
      </c>
      <c r="I5364" t="n">
        <v>5</v>
      </c>
      <c r="J5364" t="n">
        <v>1</v>
      </c>
      <c r="K5364" t="n">
        <v>0</v>
      </c>
      <c r="L5364" t="n">
        <v>61541</v>
      </c>
      <c r="M5364" t="n">
        <v>79000</v>
      </c>
      <c r="N5364" t="n">
        <v>91</v>
      </c>
      <c r="O5364" t="n">
        <v>0.91</v>
      </c>
      <c r="P5364" t="n">
        <v>1</v>
      </c>
      <c r="Q5364" t="n">
        <v>0.22</v>
      </c>
      <c r="R5364" t="n">
        <v>3</v>
      </c>
      <c r="S5364" t="n">
        <v>20848.1</v>
      </c>
      <c r="T5364" t="n">
        <v>9</v>
      </c>
      <c r="U5364" t="n">
        <v>10</v>
      </c>
      <c r="V5364" t="n">
        <v>30</v>
      </c>
      <c r="W5364" t="n">
        <v>8</v>
      </c>
      <c r="X5364" t="n">
        <v>34.10382720727549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10704</v>
      </c>
      <c r="AG5364" t="n">
        <v>2378</v>
      </c>
      <c r="AH5364" t="inlineStr">
        <is>
          <t>PT. KURNIA MAJU PERKASA - PPN (PDG)</t>
        </is>
      </c>
      <c r="AI5364" t="n">
        <v>1720</v>
      </c>
      <c r="AJ5364" t="inlineStr">
        <is>
          <t>SLAVINA</t>
        </is>
      </c>
      <c r="AK5364" t="n">
        <v>21</v>
      </c>
      <c r="AL5364" t="inlineStr">
        <is>
          <t>Miss Glam Damar</t>
        </is>
      </c>
      <c r="AM5364" t="n">
        <v>4</v>
      </c>
      <c r="AN5364" t="n">
        <v>500000</v>
      </c>
      <c r="AO5364" t="n">
        <v>0</v>
      </c>
      <c r="AP5364" t="inlineStr"/>
      <c r="AQ5364" t="inlineStr"/>
    </row>
    <row r="5365">
      <c r="A5365" t="inlineStr">
        <is>
          <t>SLAVINA</t>
        </is>
      </c>
      <c r="B5365" s="2">
        <f>"30100241325"</f>
        <v/>
      </c>
      <c r="C5365" t="inlineStr">
        <is>
          <t>SLAVINA Body Scrub Love Journey 300ml</t>
        </is>
      </c>
      <c r="D5365" t="inlineStr">
        <is>
          <t>Miss Glam Damar</t>
        </is>
      </c>
      <c r="E5365" t="n">
        <v>5</v>
      </c>
      <c r="F5365" t="n">
        <v>0.0273</v>
      </c>
      <c r="G5365" t="n">
        <v>0.91</v>
      </c>
      <c r="H5365" t="n">
        <v>1</v>
      </c>
      <c r="I5365" t="n">
        <v>5</v>
      </c>
      <c r="J5365" t="n">
        <v>1</v>
      </c>
      <c r="K5365" t="n">
        <v>0</v>
      </c>
      <c r="L5365" t="n">
        <v>61121</v>
      </c>
      <c r="M5365" t="n">
        <v>79000</v>
      </c>
      <c r="N5365" t="n">
        <v>91</v>
      </c>
      <c r="O5365" t="n">
        <v>0.91</v>
      </c>
      <c r="P5365" t="n">
        <v>1</v>
      </c>
      <c r="Q5365" t="n">
        <v>0.02</v>
      </c>
      <c r="R5365" t="n">
        <v>1</v>
      </c>
      <c r="S5365" t="n">
        <v>2156.7</v>
      </c>
      <c r="T5365" t="n">
        <v>5</v>
      </c>
      <c r="U5365" t="n">
        <v>6</v>
      </c>
      <c r="V5365" t="n">
        <v>30</v>
      </c>
      <c r="W5365" t="n">
        <v>1</v>
      </c>
      <c r="X5365" t="n">
        <v>183.1501831501832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10704</v>
      </c>
      <c r="AG5365" t="n">
        <v>2378</v>
      </c>
      <c r="AH5365" t="inlineStr">
        <is>
          <t>PT. KURNIA MAJU PERKASA - PPN (PDG)</t>
        </is>
      </c>
      <c r="AI5365" t="n">
        <v>1720</v>
      </c>
      <c r="AJ5365" t="inlineStr">
        <is>
          <t>SLAVINA</t>
        </is>
      </c>
      <c r="AK5365" t="n">
        <v>21</v>
      </c>
      <c r="AL5365" t="inlineStr">
        <is>
          <t>Miss Glam Damar</t>
        </is>
      </c>
      <c r="AM5365" t="n">
        <v>4</v>
      </c>
      <c r="AN5365" t="n">
        <v>500000</v>
      </c>
      <c r="AO5365" t="n">
        <v>0</v>
      </c>
      <c r="AP5365" t="inlineStr"/>
      <c r="AQ5365" t="inlineStr"/>
    </row>
    <row r="5366">
      <c r="A5366" t="inlineStr">
        <is>
          <t>SLAVINA</t>
        </is>
      </c>
      <c r="B5366" s="2">
        <f>"30100241654"</f>
        <v/>
      </c>
      <c r="C5366" t="inlineStr">
        <is>
          <t>SLAVINA Body Scrub Ocean Dream 300ml</t>
        </is>
      </c>
      <c r="D5366" t="inlineStr">
        <is>
          <t>Miss Glam Damar</t>
        </is>
      </c>
      <c r="E5366" t="n">
        <v>4</v>
      </c>
      <c r="F5366" t="n">
        <v>0.0182</v>
      </c>
      <c r="G5366" t="n">
        <v>0.91</v>
      </c>
      <c r="H5366" t="n">
        <v>1</v>
      </c>
      <c r="I5366" t="n">
        <v>5</v>
      </c>
      <c r="J5366" t="n">
        <v>1</v>
      </c>
      <c r="K5366" t="n">
        <v>0</v>
      </c>
      <c r="L5366" t="n">
        <v>61121</v>
      </c>
      <c r="M5366" t="n">
        <v>79000</v>
      </c>
      <c r="N5366" t="n">
        <v>91</v>
      </c>
      <c r="O5366" t="n">
        <v>0.91</v>
      </c>
      <c r="P5366" t="n">
        <v>1</v>
      </c>
      <c r="Q5366" t="n">
        <v>0.02</v>
      </c>
      <c r="R5366" t="n">
        <v>1</v>
      </c>
      <c r="S5366" t="n">
        <v>1437.8</v>
      </c>
      <c r="T5366" t="n">
        <v>5</v>
      </c>
      <c r="U5366" t="n">
        <v>6</v>
      </c>
      <c r="V5366" t="n">
        <v>30</v>
      </c>
      <c r="W5366" t="n">
        <v>1</v>
      </c>
      <c r="X5366" t="n">
        <v>219.7802197802198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10704</v>
      </c>
      <c r="AG5366" t="n">
        <v>2378</v>
      </c>
      <c r="AH5366" t="inlineStr">
        <is>
          <t>PT. KURNIA MAJU PERKASA - PPN (PDG)</t>
        </is>
      </c>
      <c r="AI5366" t="n">
        <v>1720</v>
      </c>
      <c r="AJ5366" t="inlineStr">
        <is>
          <t>SLAVINA</t>
        </is>
      </c>
      <c r="AK5366" t="n">
        <v>21</v>
      </c>
      <c r="AL5366" t="inlineStr">
        <is>
          <t>Miss Glam Damar</t>
        </is>
      </c>
      <c r="AM5366" t="n">
        <v>4</v>
      </c>
      <c r="AN5366" t="n">
        <v>500000</v>
      </c>
      <c r="AO5366" t="n">
        <v>0</v>
      </c>
      <c r="AP5366" t="inlineStr"/>
      <c r="AQ5366" t="inlineStr"/>
    </row>
    <row r="5367">
      <c r="A5367" t="inlineStr">
        <is>
          <t>SLAVINA</t>
        </is>
      </c>
      <c r="B5367" s="2">
        <f>"30100241723"</f>
        <v/>
      </c>
      <c r="C5367" t="inlineStr">
        <is>
          <t>SLAVINA Body Scrub Red Opium 300ml</t>
        </is>
      </c>
      <c r="D5367" t="inlineStr">
        <is>
          <t>Miss Glam Damar</t>
        </is>
      </c>
      <c r="E5367" t="n">
        <v>8</v>
      </c>
      <c r="F5367" t="n">
        <v>0.1365</v>
      </c>
      <c r="G5367" t="n">
        <v>0.91</v>
      </c>
      <c r="H5367" t="n">
        <v>1</v>
      </c>
      <c r="I5367" t="n">
        <v>5</v>
      </c>
      <c r="J5367" t="n">
        <v>1</v>
      </c>
      <c r="K5367" t="n">
        <v>0</v>
      </c>
      <c r="L5367" t="n">
        <v>59931</v>
      </c>
      <c r="M5367" t="n">
        <v>79000</v>
      </c>
      <c r="N5367" t="n">
        <v>91</v>
      </c>
      <c r="O5367" t="n">
        <v>0.91</v>
      </c>
      <c r="P5367" t="n">
        <v>1</v>
      </c>
      <c r="Q5367" t="n">
        <v>0.17</v>
      </c>
      <c r="R5367" t="n">
        <v>2</v>
      </c>
      <c r="S5367" t="n">
        <v>10783.5</v>
      </c>
      <c r="T5367" t="n">
        <v>5</v>
      </c>
      <c r="U5367" t="n">
        <v>6</v>
      </c>
      <c r="V5367" t="n">
        <v>30</v>
      </c>
      <c r="W5367" t="n">
        <v>5</v>
      </c>
      <c r="X5367" t="n">
        <v>58.60805860805861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10704</v>
      </c>
      <c r="AG5367" t="n">
        <v>2378</v>
      </c>
      <c r="AH5367" t="inlineStr">
        <is>
          <t>PT. KURNIA MAJU PERKASA - PPN (PDG)</t>
        </is>
      </c>
      <c r="AI5367" t="n">
        <v>1720</v>
      </c>
      <c r="AJ5367" t="inlineStr">
        <is>
          <t>SLAVINA</t>
        </is>
      </c>
      <c r="AK5367" t="n">
        <v>21</v>
      </c>
      <c r="AL5367" t="inlineStr">
        <is>
          <t>Miss Glam Damar</t>
        </is>
      </c>
      <c r="AM5367" t="n">
        <v>4</v>
      </c>
      <c r="AN5367" t="n">
        <v>500000</v>
      </c>
      <c r="AO5367" t="n">
        <v>0</v>
      </c>
      <c r="AP5367" t="inlineStr"/>
      <c r="AQ5367" t="inlineStr"/>
    </row>
    <row r="5368">
      <c r="A5368" t="inlineStr">
        <is>
          <t>SLAVINA</t>
        </is>
      </c>
      <c r="B5368" s="2">
        <f>"30100241852"</f>
        <v/>
      </c>
      <c r="C5368" t="inlineStr">
        <is>
          <t>SLAVINA Body Scrub Shooting Stars 300ml</t>
        </is>
      </c>
      <c r="D5368" t="inlineStr">
        <is>
          <t>Miss Glam Damar</t>
        </is>
      </c>
      <c r="E5368" t="n">
        <v>5</v>
      </c>
      <c r="F5368" t="n">
        <v>0.0728</v>
      </c>
      <c r="G5368" t="n">
        <v>0.91</v>
      </c>
      <c r="H5368" t="n">
        <v>1</v>
      </c>
      <c r="I5368" t="n">
        <v>5</v>
      </c>
      <c r="J5368" t="n">
        <v>1</v>
      </c>
      <c r="K5368" t="n">
        <v>0</v>
      </c>
      <c r="L5368" t="n">
        <v>59987</v>
      </c>
      <c r="M5368" t="n">
        <v>79000</v>
      </c>
      <c r="N5368" t="n">
        <v>91</v>
      </c>
      <c r="O5368" t="n">
        <v>0.91</v>
      </c>
      <c r="P5368" t="n">
        <v>1</v>
      </c>
      <c r="Q5368" t="n">
        <v>0.05</v>
      </c>
      <c r="R5368" t="n">
        <v>1</v>
      </c>
      <c r="S5368" t="n">
        <v>5751.200000000001</v>
      </c>
      <c r="T5368" t="n">
        <v>5</v>
      </c>
      <c r="U5368" t="n">
        <v>6</v>
      </c>
      <c r="V5368" t="n">
        <v>30</v>
      </c>
      <c r="W5368" t="n">
        <v>3</v>
      </c>
      <c r="X5368" t="n">
        <v>68.68131868131867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10704</v>
      </c>
      <c r="AG5368" t="n">
        <v>2378</v>
      </c>
      <c r="AH5368" t="inlineStr">
        <is>
          <t>PT. KURNIA MAJU PERKASA - PPN (PDG)</t>
        </is>
      </c>
      <c r="AI5368" t="n">
        <v>1720</v>
      </c>
      <c r="AJ5368" t="inlineStr">
        <is>
          <t>SLAVINA</t>
        </is>
      </c>
      <c r="AK5368" t="n">
        <v>21</v>
      </c>
      <c r="AL5368" t="inlineStr">
        <is>
          <t>Miss Glam Damar</t>
        </is>
      </c>
      <c r="AM5368" t="n">
        <v>4</v>
      </c>
      <c r="AN5368" t="n">
        <v>500000</v>
      </c>
      <c r="AO5368" t="n">
        <v>0</v>
      </c>
      <c r="AP5368" t="inlineStr"/>
      <c r="AQ5368" t="inlineStr"/>
    </row>
    <row r="5369">
      <c r="A5369" t="inlineStr">
        <is>
          <t>SLAVINA</t>
        </is>
      </c>
      <c r="B5369" s="2">
        <f>"30100241920"</f>
        <v/>
      </c>
      <c r="C5369" t="inlineStr">
        <is>
          <t>SLAVINA Body Scrub Spill The Night 300ml</t>
        </is>
      </c>
      <c r="D5369" t="inlineStr">
        <is>
          <t>Miss Glam Damar</t>
        </is>
      </c>
      <c r="E5369" t="n">
        <v>9</v>
      </c>
      <c r="F5369" t="n">
        <v>0.1729</v>
      </c>
      <c r="G5369" t="n">
        <v>1.82</v>
      </c>
      <c r="H5369" t="n">
        <v>1</v>
      </c>
      <c r="I5369" t="n">
        <v>5</v>
      </c>
      <c r="J5369" t="n">
        <v>1</v>
      </c>
      <c r="K5369" t="n">
        <v>0</v>
      </c>
      <c r="L5369" t="n">
        <v>61026</v>
      </c>
      <c r="M5369" t="n">
        <v>79000</v>
      </c>
      <c r="N5369" t="n">
        <v>91</v>
      </c>
      <c r="O5369" t="n">
        <v>0.91</v>
      </c>
      <c r="P5369" t="n">
        <v>1</v>
      </c>
      <c r="Q5369" t="n">
        <v>0.2</v>
      </c>
      <c r="R5369" t="n">
        <v>2</v>
      </c>
      <c r="S5369" t="n">
        <v>13659.1</v>
      </c>
      <c r="T5369" t="n">
        <v>9</v>
      </c>
      <c r="U5369" t="n">
        <v>10</v>
      </c>
      <c r="V5369" t="n">
        <v>30</v>
      </c>
      <c r="W5369" t="n">
        <v>6</v>
      </c>
      <c r="X5369" t="n">
        <v>52.05320994794679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10704</v>
      </c>
      <c r="AG5369" t="n">
        <v>2378</v>
      </c>
      <c r="AH5369" t="inlineStr">
        <is>
          <t>PT. KURNIA MAJU PERKASA - PPN (PDG)</t>
        </is>
      </c>
      <c r="AI5369" t="n">
        <v>1720</v>
      </c>
      <c r="AJ5369" t="inlineStr">
        <is>
          <t>SLAVINA</t>
        </is>
      </c>
      <c r="AK5369" t="n">
        <v>21</v>
      </c>
      <c r="AL5369" t="inlineStr">
        <is>
          <t>Miss Glam Damar</t>
        </is>
      </c>
      <c r="AM5369" t="n">
        <v>4</v>
      </c>
      <c r="AN5369" t="n">
        <v>500000</v>
      </c>
      <c r="AO5369" t="n">
        <v>0</v>
      </c>
      <c r="AP5369" t="inlineStr"/>
      <c r="AQ5369" t="inlineStr"/>
    </row>
    <row r="5370">
      <c r="A5370" t="inlineStr">
        <is>
          <t>SLAVINA</t>
        </is>
      </c>
      <c r="B5370" s="2">
        <f>"8994452870132"</f>
        <v/>
      </c>
      <c r="C5370" t="inlineStr">
        <is>
          <t>SLAVINA Crush On You Body Lotion 350ml</t>
        </is>
      </c>
      <c r="D5370" t="inlineStr">
        <is>
          <t>Miss Glam Damar</t>
        </is>
      </c>
      <c r="E5370" t="n">
        <v>11</v>
      </c>
      <c r="F5370" t="n">
        <v>0.2912</v>
      </c>
      <c r="G5370" t="n">
        <v>1.82</v>
      </c>
      <c r="H5370" t="n">
        <v>1</v>
      </c>
      <c r="I5370" t="n">
        <v>5</v>
      </c>
      <c r="J5370" t="n">
        <v>3</v>
      </c>
      <c r="K5370" t="n">
        <v>0</v>
      </c>
      <c r="L5370" t="n">
        <v>62580</v>
      </c>
      <c r="M5370" t="n">
        <v>77000</v>
      </c>
      <c r="N5370" t="n">
        <v>91</v>
      </c>
      <c r="O5370" t="n">
        <v>0.91</v>
      </c>
      <c r="P5370" t="n">
        <v>1</v>
      </c>
      <c r="Q5370" t="n">
        <v>0.2</v>
      </c>
      <c r="R5370" t="n">
        <v>1</v>
      </c>
      <c r="S5370" t="n">
        <v>22422.4</v>
      </c>
      <c r="T5370" t="n">
        <v>9</v>
      </c>
      <c r="U5370" t="n">
        <v>10</v>
      </c>
      <c r="V5370" t="n">
        <v>30</v>
      </c>
      <c r="W5370" t="n">
        <v>9</v>
      </c>
      <c r="X5370" t="n">
        <v>37.77472527472527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10704</v>
      </c>
      <c r="AG5370" t="n">
        <v>2378</v>
      </c>
      <c r="AH5370" t="inlineStr">
        <is>
          <t>PT. KURNIA MAJU PERKASA - PPN (PDG)</t>
        </is>
      </c>
      <c r="AI5370" t="n">
        <v>1720</v>
      </c>
      <c r="AJ5370" t="inlineStr">
        <is>
          <t>SLAVINA</t>
        </is>
      </c>
      <c r="AK5370" t="n">
        <v>21</v>
      </c>
      <c r="AL5370" t="inlineStr">
        <is>
          <t>Miss Glam Damar</t>
        </is>
      </c>
      <c r="AM5370" t="n">
        <v>4</v>
      </c>
      <c r="AN5370" t="n">
        <v>500000</v>
      </c>
      <c r="AO5370" t="n">
        <v>0</v>
      </c>
      <c r="AP5370" t="inlineStr"/>
      <c r="AQ5370" t="inlineStr"/>
    </row>
    <row r="5371">
      <c r="A5371" t="inlineStr">
        <is>
          <t>SLAVINA</t>
        </is>
      </c>
      <c r="B5371" s="2">
        <f>"8994452870125"</f>
        <v/>
      </c>
      <c r="C5371" t="inlineStr">
        <is>
          <t>SLAVINA Crush On You Body Wash 350ml</t>
        </is>
      </c>
      <c r="D5371" t="inlineStr">
        <is>
          <t>Miss Glam Damar</t>
        </is>
      </c>
      <c r="E5371" t="n">
        <v>5</v>
      </c>
      <c r="F5371" t="n">
        <v>0.0182</v>
      </c>
      <c r="G5371" t="n">
        <v>0.91</v>
      </c>
      <c r="H5371" t="n">
        <v>1</v>
      </c>
      <c r="I5371" t="n">
        <v>5</v>
      </c>
      <c r="J5371" t="n">
        <v>3</v>
      </c>
      <c r="K5371" t="n">
        <v>0</v>
      </c>
      <c r="L5371" t="n">
        <v>59862</v>
      </c>
      <c r="M5371" t="n">
        <v>79000</v>
      </c>
      <c r="N5371" t="n">
        <v>91</v>
      </c>
      <c r="O5371" t="n">
        <v>0.91</v>
      </c>
      <c r="P5371" t="n">
        <v>1</v>
      </c>
      <c r="Q5371" t="n">
        <v>0.14</v>
      </c>
      <c r="R5371" t="n">
        <v>1</v>
      </c>
      <c r="S5371" t="n">
        <v>1437.8</v>
      </c>
      <c r="T5371" t="n">
        <v>5</v>
      </c>
      <c r="U5371" t="n">
        <v>6</v>
      </c>
      <c r="V5371" t="n">
        <v>30</v>
      </c>
      <c r="W5371" t="n">
        <v>1</v>
      </c>
      <c r="X5371" t="n">
        <v>274.7252747252747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10704</v>
      </c>
      <c r="AG5371" t="n">
        <v>2378</v>
      </c>
      <c r="AH5371" t="inlineStr">
        <is>
          <t>PT. KURNIA MAJU PERKASA - PPN (PDG)</t>
        </is>
      </c>
      <c r="AI5371" t="n">
        <v>1720</v>
      </c>
      <c r="AJ5371" t="inlineStr">
        <is>
          <t>SLAVINA</t>
        </is>
      </c>
      <c r="AK5371" t="n">
        <v>21</v>
      </c>
      <c r="AL5371" t="inlineStr">
        <is>
          <t>Miss Glam Damar</t>
        </is>
      </c>
      <c r="AM5371" t="n">
        <v>4</v>
      </c>
      <c r="AN5371" t="n">
        <v>500000</v>
      </c>
      <c r="AO5371" t="n">
        <v>0</v>
      </c>
      <c r="AP5371" t="inlineStr"/>
      <c r="AQ5371" t="inlineStr"/>
    </row>
    <row r="5372">
      <c r="A5372" t="inlineStr">
        <is>
          <t>SLAVINA</t>
        </is>
      </c>
      <c r="B5372" s="2">
        <f>"8994452870057"</f>
        <v/>
      </c>
      <c r="C5372" t="inlineStr">
        <is>
          <t>SLAVINA Endless Blossom Body Lotion 350ml</t>
        </is>
      </c>
      <c r="D5372" t="inlineStr">
        <is>
          <t>Miss Glam Damar</t>
        </is>
      </c>
      <c r="E5372" t="n">
        <v>10</v>
      </c>
      <c r="F5372" t="n">
        <v>0.5824</v>
      </c>
      <c r="G5372" t="n">
        <v>2.73</v>
      </c>
      <c r="H5372" t="n">
        <v>1</v>
      </c>
      <c r="I5372" t="n">
        <v>5</v>
      </c>
      <c r="J5372" t="n">
        <v>3</v>
      </c>
      <c r="K5372" t="n">
        <v>0</v>
      </c>
      <c r="L5372" t="n">
        <v>61018</v>
      </c>
      <c r="M5372" t="n">
        <v>77000</v>
      </c>
      <c r="N5372" t="n">
        <v>91</v>
      </c>
      <c r="O5372" t="n">
        <v>0.91</v>
      </c>
      <c r="P5372" t="n">
        <v>1</v>
      </c>
      <c r="Q5372" t="n">
        <v>0.42</v>
      </c>
      <c r="R5372" t="n">
        <v>3</v>
      </c>
      <c r="S5372" t="n">
        <v>44844.8</v>
      </c>
      <c r="T5372" t="n">
        <v>14</v>
      </c>
      <c r="U5372" t="n">
        <v>15</v>
      </c>
      <c r="V5372" t="n">
        <v>30</v>
      </c>
      <c r="W5372" t="n">
        <v>18</v>
      </c>
      <c r="X5372" t="n">
        <v>17.17032967032967</v>
      </c>
      <c r="Y5372" t="n">
        <v>1</v>
      </c>
      <c r="Z5372" t="n">
        <v>8</v>
      </c>
      <c r="AA5372" t="n">
        <v>0</v>
      </c>
      <c r="AB5372" t="n">
        <v>8</v>
      </c>
      <c r="AC5372" t="n">
        <v>8</v>
      </c>
      <c r="AD5372" t="n">
        <v>0</v>
      </c>
      <c r="AE5372" t="n">
        <v>488144</v>
      </c>
      <c r="AF5372" t="n">
        <v>10704</v>
      </c>
      <c r="AG5372" t="n">
        <v>2378</v>
      </c>
      <c r="AH5372" t="inlineStr">
        <is>
          <t>PT. KURNIA MAJU PERKASA - PPN (PDG)</t>
        </is>
      </c>
      <c r="AI5372" t="n">
        <v>1720</v>
      </c>
      <c r="AJ5372" t="inlineStr">
        <is>
          <t>SLAVINA</t>
        </is>
      </c>
      <c r="AK5372" t="n">
        <v>21</v>
      </c>
      <c r="AL5372" t="inlineStr">
        <is>
          <t>Miss Glam Damar</t>
        </is>
      </c>
      <c r="AM5372" t="n">
        <v>4</v>
      </c>
      <c r="AN5372" t="n">
        <v>500000</v>
      </c>
      <c r="AO5372" t="n">
        <v>0</v>
      </c>
      <c r="AP5372" t="inlineStr"/>
      <c r="AQ5372" t="inlineStr"/>
    </row>
    <row r="5373">
      <c r="A5373" t="inlineStr">
        <is>
          <t>SLAVINA</t>
        </is>
      </c>
      <c r="B5373" s="2">
        <f>"8994452870040"</f>
        <v/>
      </c>
      <c r="C5373" t="inlineStr">
        <is>
          <t>SLAVINA Endless Blossom Body Wash 350ml</t>
        </is>
      </c>
      <c r="D5373" t="inlineStr">
        <is>
          <t>Miss Glam Damar</t>
        </is>
      </c>
      <c r="E5373" t="n">
        <v>9</v>
      </c>
      <c r="F5373" t="n">
        <v>0.09100000000000001</v>
      </c>
      <c r="G5373" t="n">
        <v>0.91</v>
      </c>
      <c r="H5373" t="n">
        <v>1</v>
      </c>
      <c r="I5373" t="n">
        <v>5</v>
      </c>
      <c r="J5373" t="n">
        <v>3</v>
      </c>
      <c r="K5373" t="n">
        <v>0</v>
      </c>
      <c r="L5373" t="n">
        <v>62004</v>
      </c>
      <c r="M5373" t="n">
        <v>79000</v>
      </c>
      <c r="N5373" t="n">
        <v>91</v>
      </c>
      <c r="O5373" t="n">
        <v>0.91</v>
      </c>
      <c r="P5373" t="n">
        <v>1</v>
      </c>
      <c r="Q5373" t="n">
        <v>0.24</v>
      </c>
      <c r="R5373" t="n">
        <v>2</v>
      </c>
      <c r="S5373" t="n">
        <v>7189.000000000001</v>
      </c>
      <c r="T5373" t="n">
        <v>5</v>
      </c>
      <c r="U5373" t="n">
        <v>6</v>
      </c>
      <c r="V5373" t="n">
        <v>30</v>
      </c>
      <c r="W5373" t="n">
        <v>3</v>
      </c>
      <c r="X5373" t="n">
        <v>98.90109890109889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10704</v>
      </c>
      <c r="AG5373" t="n">
        <v>2378</v>
      </c>
      <c r="AH5373" t="inlineStr">
        <is>
          <t>PT. KURNIA MAJU PERKASA - PPN (PDG)</t>
        </is>
      </c>
      <c r="AI5373" t="n">
        <v>1720</v>
      </c>
      <c r="AJ5373" t="inlineStr">
        <is>
          <t>SLAVINA</t>
        </is>
      </c>
      <c r="AK5373" t="n">
        <v>21</v>
      </c>
      <c r="AL5373" t="inlineStr">
        <is>
          <t>Miss Glam Damar</t>
        </is>
      </c>
      <c r="AM5373" t="n">
        <v>4</v>
      </c>
      <c r="AN5373" t="n">
        <v>500000</v>
      </c>
      <c r="AO5373" t="n">
        <v>0</v>
      </c>
      <c r="AP5373" t="inlineStr"/>
      <c r="AQ5373" t="inlineStr"/>
    </row>
    <row r="5374">
      <c r="A5374" t="inlineStr">
        <is>
          <t>SLAVINA</t>
        </is>
      </c>
      <c r="B5374" s="2">
        <f>"8994452870071"</f>
        <v/>
      </c>
      <c r="C5374" t="inlineStr">
        <is>
          <t>SLAVINA First Kiss Body Lotion 350ml</t>
        </is>
      </c>
      <c r="D5374" t="inlineStr">
        <is>
          <t>Miss Glam Damar</t>
        </is>
      </c>
      <c r="E5374" t="n">
        <v>33</v>
      </c>
      <c r="F5374" t="n">
        <v>1.2831</v>
      </c>
      <c r="G5374" t="n">
        <v>4.55</v>
      </c>
      <c r="H5374" t="n">
        <v>1</v>
      </c>
      <c r="I5374" t="n">
        <v>5</v>
      </c>
      <c r="J5374" t="n">
        <v>3</v>
      </c>
      <c r="K5374" t="n">
        <v>0</v>
      </c>
      <c r="L5374" t="n">
        <v>59884</v>
      </c>
      <c r="M5374" t="n">
        <v>77000</v>
      </c>
      <c r="N5374" t="n">
        <v>91</v>
      </c>
      <c r="O5374" t="n">
        <v>0.91</v>
      </c>
      <c r="P5374" t="n">
        <v>1</v>
      </c>
      <c r="Q5374" t="n">
        <v>1.66</v>
      </c>
      <c r="R5374" t="n">
        <v>5</v>
      </c>
      <c r="S5374" t="n">
        <v>98798.7</v>
      </c>
      <c r="T5374" t="n">
        <v>22</v>
      </c>
      <c r="U5374" t="n">
        <v>24</v>
      </c>
      <c r="V5374" t="n">
        <v>30</v>
      </c>
      <c r="W5374" t="n">
        <v>39</v>
      </c>
      <c r="X5374" t="n">
        <v>25.71896188917466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10704</v>
      </c>
      <c r="AG5374" t="n">
        <v>2378</v>
      </c>
      <c r="AH5374" t="inlineStr">
        <is>
          <t>PT. KURNIA MAJU PERKASA - PPN (PDG)</t>
        </is>
      </c>
      <c r="AI5374" t="n">
        <v>1720</v>
      </c>
      <c r="AJ5374" t="inlineStr">
        <is>
          <t>SLAVINA</t>
        </is>
      </c>
      <c r="AK5374" t="n">
        <v>21</v>
      </c>
      <c r="AL5374" t="inlineStr">
        <is>
          <t>Miss Glam Damar</t>
        </is>
      </c>
      <c r="AM5374" t="n">
        <v>4</v>
      </c>
      <c r="AN5374" t="n">
        <v>500000</v>
      </c>
      <c r="AO5374" t="n">
        <v>0</v>
      </c>
      <c r="AP5374" t="inlineStr"/>
      <c r="AQ5374" t="inlineStr"/>
    </row>
    <row r="5375">
      <c r="A5375" t="inlineStr">
        <is>
          <t>SLAVINA</t>
        </is>
      </c>
      <c r="B5375" s="2">
        <f>"8994452870064"</f>
        <v/>
      </c>
      <c r="C5375" t="inlineStr">
        <is>
          <t>SLAVINA First Kiss Body Wash 350ml</t>
        </is>
      </c>
      <c r="D5375" t="inlineStr">
        <is>
          <t>Miss Glam Damar</t>
        </is>
      </c>
      <c r="E5375" t="n">
        <v>16</v>
      </c>
      <c r="F5375" t="n">
        <v>0.2912</v>
      </c>
      <c r="G5375" t="n">
        <v>2.73</v>
      </c>
      <c r="H5375" t="n">
        <v>1</v>
      </c>
      <c r="I5375" t="n">
        <v>5</v>
      </c>
      <c r="J5375" t="n">
        <v>3</v>
      </c>
      <c r="K5375" t="n">
        <v>0</v>
      </c>
      <c r="L5375" t="n">
        <v>62064</v>
      </c>
      <c r="M5375" t="n">
        <v>79000</v>
      </c>
      <c r="N5375" t="n">
        <v>91</v>
      </c>
      <c r="O5375" t="n">
        <v>0.91</v>
      </c>
      <c r="P5375" t="n">
        <v>1</v>
      </c>
      <c r="Q5375" t="n">
        <v>0.36</v>
      </c>
      <c r="R5375" t="n">
        <v>3</v>
      </c>
      <c r="S5375" t="n">
        <v>23004.8</v>
      </c>
      <c r="T5375" t="n">
        <v>14</v>
      </c>
      <c r="U5375" t="n">
        <v>15</v>
      </c>
      <c r="V5375" t="n">
        <v>30</v>
      </c>
      <c r="W5375" t="n">
        <v>9</v>
      </c>
      <c r="X5375" t="n">
        <v>54.94505494505494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10704</v>
      </c>
      <c r="AG5375" t="n">
        <v>2378</v>
      </c>
      <c r="AH5375" t="inlineStr">
        <is>
          <t>PT. KURNIA MAJU PERKASA - PPN (PDG)</t>
        </is>
      </c>
      <c r="AI5375" t="n">
        <v>1720</v>
      </c>
      <c r="AJ5375" t="inlineStr">
        <is>
          <t>SLAVINA</t>
        </is>
      </c>
      <c r="AK5375" t="n">
        <v>21</v>
      </c>
      <c r="AL5375" t="inlineStr">
        <is>
          <t>Miss Glam Damar</t>
        </is>
      </c>
      <c r="AM5375" t="n">
        <v>4</v>
      </c>
      <c r="AN5375" t="n">
        <v>500000</v>
      </c>
      <c r="AO5375" t="n">
        <v>0</v>
      </c>
      <c r="AP5375" t="inlineStr"/>
      <c r="AQ5375" t="inlineStr"/>
    </row>
    <row r="5376">
      <c r="A5376" t="inlineStr">
        <is>
          <t>SLAVINA</t>
        </is>
      </c>
      <c r="B5376" s="2">
        <f>"8994452870095"</f>
        <v/>
      </c>
      <c r="C5376" t="inlineStr">
        <is>
          <t>SLAVINA Love Journey  Body Lotion 350ml</t>
        </is>
      </c>
      <c r="D5376" t="inlineStr">
        <is>
          <t>Miss Glam Damar</t>
        </is>
      </c>
      <c r="E5376" t="n">
        <v>3</v>
      </c>
      <c r="F5376" t="n">
        <v>0.06370000000000001</v>
      </c>
      <c r="G5376" t="n">
        <v>0.91</v>
      </c>
      <c r="H5376" t="n">
        <v>1</v>
      </c>
      <c r="I5376" t="n">
        <v>5</v>
      </c>
      <c r="J5376" t="n">
        <v>3</v>
      </c>
      <c r="K5376" t="n">
        <v>0</v>
      </c>
      <c r="L5376" t="n">
        <v>60491</v>
      </c>
      <c r="M5376" t="n">
        <v>79000</v>
      </c>
      <c r="N5376" t="n">
        <v>91</v>
      </c>
      <c r="O5376" t="n">
        <v>0.91</v>
      </c>
      <c r="P5376" t="n">
        <v>1</v>
      </c>
      <c r="Q5376" t="n">
        <v>0.03</v>
      </c>
      <c r="R5376" t="n">
        <v>1</v>
      </c>
      <c r="S5376" t="n">
        <v>5032.3</v>
      </c>
      <c r="T5376" t="n">
        <v>5</v>
      </c>
      <c r="U5376" t="n">
        <v>6</v>
      </c>
      <c r="V5376" t="n">
        <v>30</v>
      </c>
      <c r="W5376" t="n">
        <v>2</v>
      </c>
      <c r="X5376" t="n">
        <v>47.09576138147566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10704</v>
      </c>
      <c r="AG5376" t="n">
        <v>2378</v>
      </c>
      <c r="AH5376" t="inlineStr">
        <is>
          <t>PT. KURNIA MAJU PERKASA - PPN (PDG)</t>
        </is>
      </c>
      <c r="AI5376" t="n">
        <v>1720</v>
      </c>
      <c r="AJ5376" t="inlineStr">
        <is>
          <t>SLAVINA</t>
        </is>
      </c>
      <c r="AK5376" t="n">
        <v>21</v>
      </c>
      <c r="AL5376" t="inlineStr">
        <is>
          <t>Miss Glam Damar</t>
        </is>
      </c>
      <c r="AM5376" t="n">
        <v>4</v>
      </c>
      <c r="AN5376" t="n">
        <v>500000</v>
      </c>
      <c r="AO5376" t="n">
        <v>0</v>
      </c>
      <c r="AP5376" t="inlineStr"/>
      <c r="AQ5376" t="inlineStr"/>
    </row>
    <row r="5377">
      <c r="A5377" t="inlineStr">
        <is>
          <t>SLAVINA</t>
        </is>
      </c>
      <c r="B5377" s="2">
        <f>"8994452870088"</f>
        <v/>
      </c>
      <c r="C5377" t="inlineStr">
        <is>
          <t>SLAVINA Love Journey  Body Wash 350ml</t>
        </is>
      </c>
      <c r="D5377" t="inlineStr">
        <is>
          <t>Miss Glam Damar</t>
        </is>
      </c>
      <c r="E5377" t="n">
        <v>6</v>
      </c>
      <c r="F5377" t="n">
        <v>0.03</v>
      </c>
      <c r="G5377" t="n">
        <v>1</v>
      </c>
      <c r="H5377" t="n">
        <v>1</v>
      </c>
      <c r="I5377" t="n">
        <v>5</v>
      </c>
      <c r="J5377" t="n">
        <v>3</v>
      </c>
      <c r="K5377" t="n">
        <v>0</v>
      </c>
      <c r="L5377" t="n">
        <v>63012</v>
      </c>
      <c r="M5377" t="n">
        <v>79000</v>
      </c>
      <c r="N5377" t="n">
        <v>91</v>
      </c>
      <c r="O5377" t="n">
        <v>0.91</v>
      </c>
      <c r="P5377" t="n">
        <v>0</v>
      </c>
      <c r="Q5377" t="n">
        <v>0.03</v>
      </c>
      <c r="R5377" t="n">
        <v>1</v>
      </c>
      <c r="S5377" t="n">
        <v>2370</v>
      </c>
      <c r="T5377" t="n">
        <v>5</v>
      </c>
      <c r="U5377" t="n">
        <v>6</v>
      </c>
      <c r="V5377" t="n">
        <v>30</v>
      </c>
      <c r="W5377" t="n">
        <v>1</v>
      </c>
      <c r="X5377" t="n">
        <v>200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10704</v>
      </c>
      <c r="AG5377" t="n">
        <v>2378</v>
      </c>
      <c r="AH5377" t="inlineStr">
        <is>
          <t>PT. KURNIA MAJU PERKASA - PPN (PDG)</t>
        </is>
      </c>
      <c r="AI5377" t="n">
        <v>1720</v>
      </c>
      <c r="AJ5377" t="inlineStr">
        <is>
          <t>SLAVINA</t>
        </is>
      </c>
      <c r="AK5377" t="n">
        <v>21</v>
      </c>
      <c r="AL5377" t="inlineStr">
        <is>
          <t>Miss Glam Damar</t>
        </is>
      </c>
      <c r="AM5377" t="n">
        <v>4</v>
      </c>
      <c r="AN5377" t="n">
        <v>500000</v>
      </c>
      <c r="AO5377" t="n">
        <v>0</v>
      </c>
      <c r="AP5377" t="inlineStr"/>
      <c r="AQ5377" t="inlineStr"/>
    </row>
    <row r="5378">
      <c r="A5378" t="inlineStr">
        <is>
          <t>SLAVINA</t>
        </is>
      </c>
      <c r="B5378" s="2">
        <f>"8994452870118"</f>
        <v/>
      </c>
      <c r="C5378" t="inlineStr">
        <is>
          <t>SLAVINA Ocean Dream Body Lotion 350ml</t>
        </is>
      </c>
      <c r="D5378" t="inlineStr">
        <is>
          <t>Miss Glam Damar</t>
        </is>
      </c>
      <c r="E5378" t="n">
        <v>8</v>
      </c>
      <c r="F5378" t="n">
        <v>0.1274</v>
      </c>
      <c r="G5378" t="n">
        <v>1.82</v>
      </c>
      <c r="H5378" t="n">
        <v>1</v>
      </c>
      <c r="I5378" t="n">
        <v>5</v>
      </c>
      <c r="J5378" t="n">
        <v>3</v>
      </c>
      <c r="K5378" t="n">
        <v>0</v>
      </c>
      <c r="L5378" t="n">
        <v>60009</v>
      </c>
      <c r="M5378" t="n">
        <v>79000</v>
      </c>
      <c r="N5378" t="n">
        <v>91</v>
      </c>
      <c r="O5378" t="n">
        <v>0.91</v>
      </c>
      <c r="P5378" t="n">
        <v>1</v>
      </c>
      <c r="Q5378" t="n">
        <v>0.19</v>
      </c>
      <c r="R5378" t="n">
        <v>2</v>
      </c>
      <c r="S5378" t="n">
        <v>10064.6</v>
      </c>
      <c r="T5378" t="n">
        <v>9</v>
      </c>
      <c r="U5378" t="n">
        <v>10</v>
      </c>
      <c r="V5378" t="n">
        <v>30</v>
      </c>
      <c r="W5378" t="n">
        <v>4</v>
      </c>
      <c r="X5378" t="n">
        <v>62.79434850863422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10704</v>
      </c>
      <c r="AG5378" t="n">
        <v>2378</v>
      </c>
      <c r="AH5378" t="inlineStr">
        <is>
          <t>PT. KURNIA MAJU PERKASA - PPN (PDG)</t>
        </is>
      </c>
      <c r="AI5378" t="n">
        <v>1720</v>
      </c>
      <c r="AJ5378" t="inlineStr">
        <is>
          <t>SLAVINA</t>
        </is>
      </c>
      <c r="AK5378" t="n">
        <v>21</v>
      </c>
      <c r="AL5378" t="inlineStr">
        <is>
          <t>Miss Glam Damar</t>
        </is>
      </c>
      <c r="AM5378" t="n">
        <v>4</v>
      </c>
      <c r="AN5378" t="n">
        <v>500000</v>
      </c>
      <c r="AO5378" t="n">
        <v>0</v>
      </c>
      <c r="AP5378" t="inlineStr"/>
      <c r="AQ5378" t="inlineStr"/>
    </row>
    <row r="5379">
      <c r="A5379" t="inlineStr">
        <is>
          <t>SLAVINA</t>
        </is>
      </c>
      <c r="B5379" s="2">
        <f>"8994452870101"</f>
        <v/>
      </c>
      <c r="C5379" t="inlineStr">
        <is>
          <t>SLAVINA Ocean Dream Body Wash 350ml</t>
        </is>
      </c>
      <c r="D5379" t="inlineStr">
        <is>
          <t>Miss Glam Damar</t>
        </is>
      </c>
      <c r="E5379" t="n">
        <v>7</v>
      </c>
      <c r="F5379" t="n">
        <v>0.0728</v>
      </c>
      <c r="G5379" t="n">
        <v>0.91</v>
      </c>
      <c r="H5379" t="n">
        <v>1</v>
      </c>
      <c r="I5379" t="n">
        <v>5</v>
      </c>
      <c r="J5379" t="n">
        <v>3</v>
      </c>
      <c r="K5379" t="n">
        <v>0</v>
      </c>
      <c r="L5379" t="n">
        <v>61931</v>
      </c>
      <c r="M5379" t="n">
        <v>79000</v>
      </c>
      <c r="N5379" t="n">
        <v>91</v>
      </c>
      <c r="O5379" t="n">
        <v>0.91</v>
      </c>
      <c r="P5379" t="n">
        <v>1</v>
      </c>
      <c r="Q5379" t="n">
        <v>0.07000000000000001</v>
      </c>
      <c r="R5379" t="n">
        <v>1</v>
      </c>
      <c r="S5379" t="n">
        <v>5751.200000000001</v>
      </c>
      <c r="T5379" t="n">
        <v>5</v>
      </c>
      <c r="U5379" t="n">
        <v>6</v>
      </c>
      <c r="V5379" t="n">
        <v>30</v>
      </c>
      <c r="W5379" t="n">
        <v>3</v>
      </c>
      <c r="X5379" t="n">
        <v>96.15384615384615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10704</v>
      </c>
      <c r="AG5379" t="n">
        <v>2378</v>
      </c>
      <c r="AH5379" t="inlineStr">
        <is>
          <t>PT. KURNIA MAJU PERKASA - PPN (PDG)</t>
        </is>
      </c>
      <c r="AI5379" t="n">
        <v>1720</v>
      </c>
      <c r="AJ5379" t="inlineStr">
        <is>
          <t>SLAVINA</t>
        </is>
      </c>
      <c r="AK5379" t="n">
        <v>21</v>
      </c>
      <c r="AL5379" t="inlineStr">
        <is>
          <t>Miss Glam Damar</t>
        </is>
      </c>
      <c r="AM5379" t="n">
        <v>4</v>
      </c>
      <c r="AN5379" t="n">
        <v>500000</v>
      </c>
      <c r="AO5379" t="n">
        <v>0</v>
      </c>
      <c r="AP5379" t="inlineStr"/>
      <c r="AQ5379" t="inlineStr"/>
    </row>
    <row r="5380">
      <c r="A5380" t="inlineStr">
        <is>
          <t>SLAVINA</t>
        </is>
      </c>
      <c r="B5380" s="2">
        <f>"8994452870149"</f>
        <v/>
      </c>
      <c r="C5380" t="inlineStr">
        <is>
          <t>SLAVINA Red Opium Body Lotion 350ml</t>
        </is>
      </c>
      <c r="D5380" t="inlineStr">
        <is>
          <t>Miss Glam Damar</t>
        </is>
      </c>
      <c r="E5380" t="n">
        <v>55</v>
      </c>
      <c r="F5380" t="n">
        <v>1.2831</v>
      </c>
      <c r="G5380" t="n">
        <v>4.55</v>
      </c>
      <c r="H5380" t="n">
        <v>1</v>
      </c>
      <c r="I5380" t="n">
        <v>5</v>
      </c>
      <c r="J5380" t="n">
        <v>3</v>
      </c>
      <c r="K5380" t="n">
        <v>0</v>
      </c>
      <c r="L5380" t="n">
        <v>59930</v>
      </c>
      <c r="M5380" t="n">
        <v>77000</v>
      </c>
      <c r="N5380" t="n">
        <v>91</v>
      </c>
      <c r="O5380" t="n">
        <v>0.91</v>
      </c>
      <c r="P5380" t="n">
        <v>1</v>
      </c>
      <c r="Q5380" t="n">
        <v>1.58</v>
      </c>
      <c r="R5380" t="n">
        <v>5</v>
      </c>
      <c r="S5380" t="n">
        <v>98798.7</v>
      </c>
      <c r="T5380" t="n">
        <v>22</v>
      </c>
      <c r="U5380" t="n">
        <v>24</v>
      </c>
      <c r="V5380" t="n">
        <v>30</v>
      </c>
      <c r="W5380" t="n">
        <v>39</v>
      </c>
      <c r="X5380" t="n">
        <v>42.86493648195776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10704</v>
      </c>
      <c r="AG5380" t="n">
        <v>2378</v>
      </c>
      <c r="AH5380" t="inlineStr">
        <is>
          <t>PT. KURNIA MAJU PERKASA - PPN (PDG)</t>
        </is>
      </c>
      <c r="AI5380" t="n">
        <v>1720</v>
      </c>
      <c r="AJ5380" t="inlineStr">
        <is>
          <t>SLAVINA</t>
        </is>
      </c>
      <c r="AK5380" t="n">
        <v>21</v>
      </c>
      <c r="AL5380" t="inlineStr">
        <is>
          <t>Miss Glam Damar</t>
        </is>
      </c>
      <c r="AM5380" t="n">
        <v>4</v>
      </c>
      <c r="AN5380" t="n">
        <v>500000</v>
      </c>
      <c r="AO5380" t="n">
        <v>0</v>
      </c>
      <c r="AP5380" t="inlineStr"/>
      <c r="AQ5380" t="inlineStr"/>
    </row>
    <row r="5381">
      <c r="A5381" t="inlineStr">
        <is>
          <t>SLAVINA</t>
        </is>
      </c>
      <c r="B5381" s="2">
        <f>"8994452870156"</f>
        <v/>
      </c>
      <c r="C5381" t="inlineStr">
        <is>
          <t>SLAVINA Red Opium Body Wash 350ml</t>
        </is>
      </c>
      <c r="D5381" t="inlineStr">
        <is>
          <t>Miss Glam Damar</t>
        </is>
      </c>
      <c r="E5381" t="n">
        <v>13</v>
      </c>
      <c r="F5381" t="n">
        <v>0.1547</v>
      </c>
      <c r="G5381" t="n">
        <v>1.82</v>
      </c>
      <c r="H5381" t="n">
        <v>1</v>
      </c>
      <c r="I5381" t="n">
        <v>5</v>
      </c>
      <c r="J5381" t="n">
        <v>3</v>
      </c>
      <c r="K5381" t="n">
        <v>0</v>
      </c>
      <c r="L5381" t="n">
        <v>62183</v>
      </c>
      <c r="M5381" t="n">
        <v>79000</v>
      </c>
      <c r="N5381" t="n">
        <v>91</v>
      </c>
      <c r="O5381" t="n">
        <v>0.91</v>
      </c>
      <c r="P5381" t="n">
        <v>1</v>
      </c>
      <c r="Q5381" t="n">
        <v>0.32</v>
      </c>
      <c r="R5381" t="n">
        <v>2</v>
      </c>
      <c r="S5381" t="n">
        <v>12221.3</v>
      </c>
      <c r="T5381" t="n">
        <v>9</v>
      </c>
      <c r="U5381" t="n">
        <v>10</v>
      </c>
      <c r="V5381" t="n">
        <v>30</v>
      </c>
      <c r="W5381" t="n">
        <v>5</v>
      </c>
      <c r="X5381" t="n">
        <v>84.03361344537815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10704</v>
      </c>
      <c r="AG5381" t="n">
        <v>2378</v>
      </c>
      <c r="AH5381" t="inlineStr">
        <is>
          <t>PT. KURNIA MAJU PERKASA - PPN (PDG)</t>
        </is>
      </c>
      <c r="AI5381" t="n">
        <v>1720</v>
      </c>
      <c r="AJ5381" t="inlineStr">
        <is>
          <t>SLAVINA</t>
        </is>
      </c>
      <c r="AK5381" t="n">
        <v>21</v>
      </c>
      <c r="AL5381" t="inlineStr">
        <is>
          <t>Miss Glam Damar</t>
        </is>
      </c>
      <c r="AM5381" t="n">
        <v>4</v>
      </c>
      <c r="AN5381" t="n">
        <v>500000</v>
      </c>
      <c r="AO5381" t="n">
        <v>0</v>
      </c>
      <c r="AP5381" t="inlineStr"/>
      <c r="AQ5381" t="inlineStr"/>
    </row>
    <row r="5382">
      <c r="A5382" t="inlineStr">
        <is>
          <t>SLAVINA</t>
        </is>
      </c>
      <c r="B5382" s="2">
        <f>"8994452870019"</f>
        <v/>
      </c>
      <c r="C5382" t="inlineStr">
        <is>
          <t>SLAVINA Shooting Star Body Lotion 350ml</t>
        </is>
      </c>
      <c r="D5382" t="inlineStr">
        <is>
          <t>Miss Glam Damar</t>
        </is>
      </c>
      <c r="E5382" t="n">
        <v>12</v>
      </c>
      <c r="F5382" t="n">
        <v>0.3367</v>
      </c>
      <c r="G5382" t="n">
        <v>2.73</v>
      </c>
      <c r="H5382" t="n">
        <v>1</v>
      </c>
      <c r="I5382" t="n">
        <v>5</v>
      </c>
      <c r="J5382" t="n">
        <v>3</v>
      </c>
      <c r="K5382" t="n">
        <v>0</v>
      </c>
      <c r="L5382" t="n">
        <v>61916</v>
      </c>
      <c r="M5382" t="n">
        <v>77000</v>
      </c>
      <c r="N5382" t="n">
        <v>91</v>
      </c>
      <c r="O5382" t="n">
        <v>0.91</v>
      </c>
      <c r="P5382" t="n">
        <v>1</v>
      </c>
      <c r="Q5382" t="n">
        <v>0.39</v>
      </c>
      <c r="R5382" t="n">
        <v>2</v>
      </c>
      <c r="S5382" t="n">
        <v>25925.9</v>
      </c>
      <c r="T5382" t="n">
        <v>14</v>
      </c>
      <c r="U5382" t="n">
        <v>15</v>
      </c>
      <c r="V5382" t="n">
        <v>30</v>
      </c>
      <c r="W5382" t="n">
        <v>11</v>
      </c>
      <c r="X5382" t="n">
        <v>35.64003564003564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10704</v>
      </c>
      <c r="AG5382" t="n">
        <v>2378</v>
      </c>
      <c r="AH5382" t="inlineStr">
        <is>
          <t>PT. KURNIA MAJU PERKASA - PPN (PDG)</t>
        </is>
      </c>
      <c r="AI5382" t="n">
        <v>1720</v>
      </c>
      <c r="AJ5382" t="inlineStr">
        <is>
          <t>SLAVINA</t>
        </is>
      </c>
      <c r="AK5382" t="n">
        <v>21</v>
      </c>
      <c r="AL5382" t="inlineStr">
        <is>
          <t>Miss Glam Damar</t>
        </is>
      </c>
      <c r="AM5382" t="n">
        <v>4</v>
      </c>
      <c r="AN5382" t="n">
        <v>500000</v>
      </c>
      <c r="AO5382" t="n">
        <v>0</v>
      </c>
      <c r="AP5382" t="inlineStr"/>
      <c r="AQ5382" t="inlineStr"/>
    </row>
    <row r="5383">
      <c r="A5383" t="inlineStr">
        <is>
          <t>SLAVINA</t>
        </is>
      </c>
      <c r="B5383" s="2">
        <f>"8994452870002"</f>
        <v/>
      </c>
      <c r="C5383" t="inlineStr">
        <is>
          <t>SLAVINA Shooting Star Body Wash 350ml</t>
        </is>
      </c>
      <c r="D5383" t="inlineStr">
        <is>
          <t>Miss Glam Damar</t>
        </is>
      </c>
      <c r="E5383" t="n">
        <v>9</v>
      </c>
      <c r="F5383" t="n">
        <v>0.04550000000000001</v>
      </c>
      <c r="G5383" t="n">
        <v>0.91</v>
      </c>
      <c r="H5383" t="n">
        <v>1</v>
      </c>
      <c r="I5383" t="n">
        <v>5</v>
      </c>
      <c r="J5383" t="n">
        <v>3</v>
      </c>
      <c r="K5383" t="n">
        <v>0</v>
      </c>
      <c r="L5383" t="n">
        <v>60208</v>
      </c>
      <c r="M5383" t="n">
        <v>79000</v>
      </c>
      <c r="N5383" t="n">
        <v>91</v>
      </c>
      <c r="O5383" t="n">
        <v>0.91</v>
      </c>
      <c r="P5383" t="n">
        <v>1</v>
      </c>
      <c r="Q5383" t="n">
        <v>0.08</v>
      </c>
      <c r="R5383" t="n">
        <v>1</v>
      </c>
      <c r="S5383" t="n">
        <v>3594.5</v>
      </c>
      <c r="T5383" t="n">
        <v>5</v>
      </c>
      <c r="U5383" t="n">
        <v>6</v>
      </c>
      <c r="V5383" t="n">
        <v>30</v>
      </c>
      <c r="W5383" t="n">
        <v>2</v>
      </c>
      <c r="X5383" t="n">
        <v>197.8021978021978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10704</v>
      </c>
      <c r="AG5383" t="n">
        <v>2378</v>
      </c>
      <c r="AH5383" t="inlineStr">
        <is>
          <t>PT. KURNIA MAJU PERKASA - PPN (PDG)</t>
        </is>
      </c>
      <c r="AI5383" t="n">
        <v>1720</v>
      </c>
      <c r="AJ5383" t="inlineStr">
        <is>
          <t>SLAVINA</t>
        </is>
      </c>
      <c r="AK5383" t="n">
        <v>21</v>
      </c>
      <c r="AL5383" t="inlineStr">
        <is>
          <t>Miss Glam Damar</t>
        </is>
      </c>
      <c r="AM5383" t="n">
        <v>4</v>
      </c>
      <c r="AN5383" t="n">
        <v>500000</v>
      </c>
      <c r="AO5383" t="n">
        <v>0</v>
      </c>
      <c r="AP5383" t="inlineStr"/>
      <c r="AQ5383" t="inlineStr"/>
    </row>
    <row r="5384">
      <c r="A5384" t="inlineStr">
        <is>
          <t>SLAVINA</t>
        </is>
      </c>
      <c r="B5384" s="2">
        <f>"8994452870033"</f>
        <v/>
      </c>
      <c r="C5384" t="inlineStr">
        <is>
          <t>SLAVINA Spill The Night Body Lotion 350ml</t>
        </is>
      </c>
      <c r="D5384" t="inlineStr">
        <is>
          <t>Miss Glam Damar</t>
        </is>
      </c>
      <c r="E5384" t="n">
        <v>21</v>
      </c>
      <c r="F5384" t="n">
        <v>0.6006</v>
      </c>
      <c r="G5384" t="n">
        <v>2.73</v>
      </c>
      <c r="H5384" t="n">
        <v>1</v>
      </c>
      <c r="I5384" t="n">
        <v>5</v>
      </c>
      <c r="J5384" t="n">
        <v>3</v>
      </c>
      <c r="K5384" t="n">
        <v>0</v>
      </c>
      <c r="L5384" t="n">
        <v>59885</v>
      </c>
      <c r="M5384" t="n">
        <v>77000</v>
      </c>
      <c r="N5384" t="n">
        <v>91</v>
      </c>
      <c r="O5384" t="n">
        <v>0.91</v>
      </c>
      <c r="P5384" t="n">
        <v>1</v>
      </c>
      <c r="Q5384" t="n">
        <v>0.68</v>
      </c>
      <c r="R5384" t="n">
        <v>4</v>
      </c>
      <c r="S5384" t="n">
        <v>46246.2</v>
      </c>
      <c r="T5384" t="n">
        <v>14</v>
      </c>
      <c r="U5384" t="n">
        <v>15</v>
      </c>
      <c r="V5384" t="n">
        <v>30</v>
      </c>
      <c r="W5384" t="n">
        <v>19</v>
      </c>
      <c r="X5384" t="n">
        <v>34.96503496503497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10704</v>
      </c>
      <c r="AG5384" t="n">
        <v>2378</v>
      </c>
      <c r="AH5384" t="inlineStr">
        <is>
          <t>PT. KURNIA MAJU PERKASA - PPN (PDG)</t>
        </is>
      </c>
      <c r="AI5384" t="n">
        <v>1720</v>
      </c>
      <c r="AJ5384" t="inlineStr">
        <is>
          <t>SLAVINA</t>
        </is>
      </c>
      <c r="AK5384" t="n">
        <v>21</v>
      </c>
      <c r="AL5384" t="inlineStr">
        <is>
          <t>Miss Glam Damar</t>
        </is>
      </c>
      <c r="AM5384" t="n">
        <v>4</v>
      </c>
      <c r="AN5384" t="n">
        <v>500000</v>
      </c>
      <c r="AO5384" t="n">
        <v>0</v>
      </c>
      <c r="AP5384" t="inlineStr"/>
      <c r="AQ5384" t="inlineStr"/>
    </row>
    <row r="5385">
      <c r="A5385" t="inlineStr">
        <is>
          <t>SLAVINA</t>
        </is>
      </c>
      <c r="B5385" s="2">
        <f>"8994452870026"</f>
        <v/>
      </c>
      <c r="C5385" t="inlineStr">
        <is>
          <t>SLAVINA Spill The Night Body Wash 350ml</t>
        </is>
      </c>
      <c r="D5385" t="inlineStr">
        <is>
          <t>Miss Glam Damar</t>
        </is>
      </c>
      <c r="E5385" t="n">
        <v>8</v>
      </c>
      <c r="F5385" t="n">
        <v>0.1274</v>
      </c>
      <c r="G5385" t="n">
        <v>1.82</v>
      </c>
      <c r="H5385" t="n">
        <v>1</v>
      </c>
      <c r="I5385" t="n">
        <v>5</v>
      </c>
      <c r="J5385" t="n">
        <v>3</v>
      </c>
      <c r="K5385" t="n">
        <v>0</v>
      </c>
      <c r="L5385" t="n">
        <v>60128</v>
      </c>
      <c r="M5385" t="n">
        <v>79000</v>
      </c>
      <c r="N5385" t="n">
        <v>91</v>
      </c>
      <c r="O5385" t="n">
        <v>0.91</v>
      </c>
      <c r="P5385" t="n">
        <v>1</v>
      </c>
      <c r="Q5385" t="n">
        <v>0.22</v>
      </c>
      <c r="R5385" t="n">
        <v>2</v>
      </c>
      <c r="S5385" t="n">
        <v>10064.6</v>
      </c>
      <c r="T5385" t="n">
        <v>9</v>
      </c>
      <c r="U5385" t="n">
        <v>10</v>
      </c>
      <c r="V5385" t="n">
        <v>30</v>
      </c>
      <c r="W5385" t="n">
        <v>4</v>
      </c>
      <c r="X5385" t="n">
        <v>62.79434850863422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10704</v>
      </c>
      <c r="AG5385" t="n">
        <v>2378</v>
      </c>
      <c r="AH5385" t="inlineStr">
        <is>
          <t>PT. KURNIA MAJU PERKASA - PPN (PDG)</t>
        </is>
      </c>
      <c r="AI5385" t="n">
        <v>1720</v>
      </c>
      <c r="AJ5385" t="inlineStr">
        <is>
          <t>SLAVINA</t>
        </is>
      </c>
      <c r="AK5385" t="n">
        <v>21</v>
      </c>
      <c r="AL5385" t="inlineStr">
        <is>
          <t>Miss Glam Damar</t>
        </is>
      </c>
      <c r="AM5385" t="n">
        <v>4</v>
      </c>
      <c r="AN5385" t="n">
        <v>500000</v>
      </c>
      <c r="AO5385" t="n">
        <v>0</v>
      </c>
      <c r="AP5385" t="inlineStr"/>
      <c r="AQ5385" t="inlineStr"/>
    </row>
    <row r="5386">
      <c r="A5386" t="inlineStr">
        <is>
          <t>SOFTEX</t>
        </is>
      </c>
      <c r="B5386" s="2">
        <f>"8992959971246"</f>
        <v/>
      </c>
      <c r="C5386" t="inlineStr">
        <is>
          <t>SOFTEX Comfort Night 29cm 20pcs</t>
        </is>
      </c>
      <c r="D5386" t="inlineStr">
        <is>
          <t>Miss Glam Damar</t>
        </is>
      </c>
      <c r="E5386" t="n">
        <v>15</v>
      </c>
      <c r="F5386" t="n">
        <v>0.364</v>
      </c>
      <c r="G5386" t="n">
        <v>1.82</v>
      </c>
      <c r="H5386" t="n">
        <v>7</v>
      </c>
      <c r="I5386" t="n">
        <v>11</v>
      </c>
      <c r="J5386" t="n">
        <v>3</v>
      </c>
      <c r="K5386" t="n">
        <v>0</v>
      </c>
      <c r="L5386" t="n">
        <v>16288</v>
      </c>
      <c r="M5386" t="n">
        <v>20500</v>
      </c>
      <c r="N5386" t="n">
        <v>91</v>
      </c>
      <c r="O5386" t="n">
        <v>0.91</v>
      </c>
      <c r="P5386" t="n">
        <v>1</v>
      </c>
      <c r="Q5386" t="n">
        <v>0.29</v>
      </c>
      <c r="R5386" t="n">
        <v>3</v>
      </c>
      <c r="S5386" t="n">
        <v>7462.000000000001</v>
      </c>
      <c r="T5386" t="n">
        <v>18</v>
      </c>
      <c r="U5386" t="n">
        <v>21</v>
      </c>
      <c r="V5386" t="n">
        <v>30</v>
      </c>
      <c r="W5386" t="n">
        <v>11</v>
      </c>
      <c r="X5386" t="n">
        <v>41.2087912087912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12703</v>
      </c>
      <c r="AG5386" t="n">
        <v>2828</v>
      </c>
      <c r="AH5386" t="inlineStr">
        <is>
          <t>PT. SAMUDRA DISTRA PRIMA - PPN (PDG)</t>
        </is>
      </c>
      <c r="AI5386" t="n">
        <v>1599</v>
      </c>
      <c r="AJ5386" t="inlineStr">
        <is>
          <t>SOFTEX</t>
        </is>
      </c>
      <c r="AK5386" t="n">
        <v>21</v>
      </c>
      <c r="AL5386" t="inlineStr">
        <is>
          <t>Miss Glam Damar</t>
        </is>
      </c>
      <c r="AM5386" t="n">
        <v>3</v>
      </c>
      <c r="AN5386" t="n">
        <v>500000</v>
      </c>
      <c r="AO5386" t="n">
        <v>0</v>
      </c>
      <c r="AP5386" t="inlineStr"/>
      <c r="AQ5386" t="inlineStr"/>
    </row>
    <row r="5387">
      <c r="A5387" t="inlineStr">
        <is>
          <t>SOFTEX</t>
        </is>
      </c>
      <c r="B5387" s="2">
        <f>"8992959971253"</f>
        <v/>
      </c>
      <c r="C5387" t="inlineStr">
        <is>
          <t>SOFTEX Comfort Night 36cm 12pcs</t>
        </is>
      </c>
      <c r="D5387" t="inlineStr">
        <is>
          <t>Miss Glam Damar</t>
        </is>
      </c>
      <c r="E5387" t="n">
        <v>14</v>
      </c>
      <c r="F5387" t="n">
        <v>0.8281000000000001</v>
      </c>
      <c r="G5387" t="n">
        <v>3.64</v>
      </c>
      <c r="H5387" t="n">
        <v>7</v>
      </c>
      <c r="I5387" t="n">
        <v>11</v>
      </c>
      <c r="J5387" t="n">
        <v>3</v>
      </c>
      <c r="K5387" t="n">
        <v>0</v>
      </c>
      <c r="L5387" t="n">
        <v>14819</v>
      </c>
      <c r="M5387" t="n">
        <v>19000</v>
      </c>
      <c r="N5387" t="n">
        <v>91</v>
      </c>
      <c r="O5387" t="n">
        <v>0.91</v>
      </c>
      <c r="P5387" t="n">
        <v>1</v>
      </c>
      <c r="Q5387" t="n">
        <v>0.41</v>
      </c>
      <c r="R5387" t="n">
        <v>3</v>
      </c>
      <c r="S5387" t="n">
        <v>15733.9</v>
      </c>
      <c r="T5387" t="n">
        <v>35</v>
      </c>
      <c r="U5387" t="n">
        <v>41</v>
      </c>
      <c r="V5387" t="n">
        <v>30</v>
      </c>
      <c r="W5387" t="n">
        <v>25</v>
      </c>
      <c r="X5387" t="n">
        <v>16.9061707523246</v>
      </c>
      <c r="Y5387" t="n">
        <v>1</v>
      </c>
      <c r="Z5387" t="n">
        <v>11</v>
      </c>
      <c r="AA5387" t="n">
        <v>0</v>
      </c>
      <c r="AB5387" t="n">
        <v>11</v>
      </c>
      <c r="AC5387" t="n">
        <v>11</v>
      </c>
      <c r="AD5387" t="n">
        <v>0</v>
      </c>
      <c r="AE5387" t="n">
        <v>163009</v>
      </c>
      <c r="AF5387" t="n">
        <v>12703</v>
      </c>
      <c r="AG5387" t="n">
        <v>2828</v>
      </c>
      <c r="AH5387" t="inlineStr">
        <is>
          <t>PT. SAMUDRA DISTRA PRIMA - PPN (PDG)</t>
        </is>
      </c>
      <c r="AI5387" t="n">
        <v>1599</v>
      </c>
      <c r="AJ5387" t="inlineStr">
        <is>
          <t>SOFTEX</t>
        </is>
      </c>
      <c r="AK5387" t="n">
        <v>21</v>
      </c>
      <c r="AL5387" t="inlineStr">
        <is>
          <t>Miss Glam Damar</t>
        </is>
      </c>
      <c r="AM5387" t="n">
        <v>3</v>
      </c>
      <c r="AN5387" t="n">
        <v>500000</v>
      </c>
      <c r="AO5387" t="n">
        <v>0</v>
      </c>
      <c r="AP5387" t="inlineStr"/>
      <c r="AQ5387" t="inlineStr"/>
    </row>
    <row r="5388">
      <c r="A5388" t="inlineStr">
        <is>
          <t>SOFTEX</t>
        </is>
      </c>
      <c r="B5388" s="2">
        <f>"8992959974001"</f>
        <v/>
      </c>
      <c r="C5388" t="inlineStr">
        <is>
          <t>SOFTEX Daun Sirih 36cm 6pcs</t>
        </is>
      </c>
      <c r="D5388" t="inlineStr">
        <is>
          <t>Miss Glam Damar</t>
        </is>
      </c>
      <c r="E5388" t="n">
        <v>0</v>
      </c>
      <c r="F5388" t="n">
        <v>0.8008000000000001</v>
      </c>
      <c r="G5388" t="n">
        <v>3.64</v>
      </c>
      <c r="H5388" t="n">
        <v>7</v>
      </c>
      <c r="I5388" t="n">
        <v>11</v>
      </c>
      <c r="J5388" t="n">
        <v>3</v>
      </c>
      <c r="K5388" t="n">
        <v>12</v>
      </c>
      <c r="L5388" t="n">
        <v>9056</v>
      </c>
      <c r="M5388" t="n">
        <v>11500</v>
      </c>
      <c r="N5388" t="n">
        <v>91</v>
      </c>
      <c r="O5388" t="n">
        <v>0.91</v>
      </c>
      <c r="P5388" t="n">
        <v>1</v>
      </c>
      <c r="Q5388" t="n">
        <v>0.4</v>
      </c>
      <c r="R5388" t="n">
        <v>2</v>
      </c>
      <c r="S5388" t="n">
        <v>9209.200000000001</v>
      </c>
      <c r="T5388" t="n">
        <v>35</v>
      </c>
      <c r="U5388" t="n">
        <v>41</v>
      </c>
      <c r="V5388" t="n">
        <v>30</v>
      </c>
      <c r="W5388" t="n">
        <v>25</v>
      </c>
      <c r="X5388" t="n">
        <v>0</v>
      </c>
      <c r="Y5388" t="n">
        <v>1</v>
      </c>
      <c r="Z5388" t="n">
        <v>13</v>
      </c>
      <c r="AA5388" t="n">
        <v>8</v>
      </c>
      <c r="AB5388" t="n">
        <v>5</v>
      </c>
      <c r="AC5388" t="n">
        <v>5</v>
      </c>
      <c r="AD5388" t="n">
        <v>72448</v>
      </c>
      <c r="AE5388" t="n">
        <v>45280</v>
      </c>
      <c r="AF5388" t="n">
        <v>12703</v>
      </c>
      <c r="AG5388" t="n">
        <v>2828</v>
      </c>
      <c r="AH5388" t="inlineStr">
        <is>
          <t>PT. SAMUDRA DISTRA PRIMA - PPN (PDG)</t>
        </is>
      </c>
      <c r="AI5388" t="n">
        <v>1599</v>
      </c>
      <c r="AJ5388" t="inlineStr">
        <is>
          <t>SOFTEX</t>
        </is>
      </c>
      <c r="AK5388" t="n">
        <v>21</v>
      </c>
      <c r="AL5388" t="inlineStr">
        <is>
          <t>Miss Glam Damar</t>
        </is>
      </c>
      <c r="AM5388" t="n">
        <v>3</v>
      </c>
      <c r="AN5388" t="n">
        <v>500000</v>
      </c>
      <c r="AO5388" t="n">
        <v>0</v>
      </c>
      <c r="AP5388" t="inlineStr"/>
      <c r="AQ5388" t="inlineStr"/>
    </row>
    <row r="5389">
      <c r="A5389" t="inlineStr">
        <is>
          <t>SOFTEX</t>
        </is>
      </c>
      <c r="B5389" s="2">
        <f>"8992959117576"</f>
        <v/>
      </c>
      <c r="C5389" t="inlineStr">
        <is>
          <t>SOFTEX Daun Sirih Reguler Non Wing 23cm 20pcs</t>
        </is>
      </c>
      <c r="D5389" t="inlineStr">
        <is>
          <t>Miss Glam Damar</t>
        </is>
      </c>
      <c r="E5389" t="n">
        <v>11</v>
      </c>
      <c r="F5389" t="n">
        <v>0.2184</v>
      </c>
      <c r="G5389" t="n">
        <v>2.73</v>
      </c>
      <c r="H5389" t="n">
        <v>7</v>
      </c>
      <c r="I5389" t="n">
        <v>11</v>
      </c>
      <c r="J5389" t="n">
        <v>3</v>
      </c>
      <c r="K5389" t="n">
        <v>0</v>
      </c>
      <c r="L5389" t="n">
        <v>11839</v>
      </c>
      <c r="M5389" t="n">
        <v>14500</v>
      </c>
      <c r="N5389" t="n">
        <v>91</v>
      </c>
      <c r="O5389" t="n">
        <v>0.91</v>
      </c>
      <c r="P5389" t="n">
        <v>1</v>
      </c>
      <c r="Q5389" t="n">
        <v>0.24</v>
      </c>
      <c r="R5389" t="n">
        <v>2</v>
      </c>
      <c r="S5389" t="n">
        <v>3166.8</v>
      </c>
      <c r="T5389" t="n">
        <v>29</v>
      </c>
      <c r="U5389" t="n">
        <v>31</v>
      </c>
      <c r="V5389" t="n">
        <v>30</v>
      </c>
      <c r="W5389" t="n">
        <v>7</v>
      </c>
      <c r="X5389" t="n">
        <v>50.36630036630036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12703</v>
      </c>
      <c r="AG5389" t="n">
        <v>2828</v>
      </c>
      <c r="AH5389" t="inlineStr">
        <is>
          <t>PT. SAMUDRA DISTRA PRIMA - PPN (PDG)</t>
        </is>
      </c>
      <c r="AI5389" t="n">
        <v>1599</v>
      </c>
      <c r="AJ5389" t="inlineStr">
        <is>
          <t>SOFTEX</t>
        </is>
      </c>
      <c r="AK5389" t="n">
        <v>21</v>
      </c>
      <c r="AL5389" t="inlineStr">
        <is>
          <t>Miss Glam Damar</t>
        </is>
      </c>
      <c r="AM5389" t="n">
        <v>3</v>
      </c>
      <c r="AN5389" t="n">
        <v>500000</v>
      </c>
      <c r="AO5389" t="n">
        <v>0</v>
      </c>
      <c r="AP5389" t="inlineStr"/>
      <c r="AQ5389" t="inlineStr"/>
    </row>
    <row r="5390">
      <c r="A5390" t="inlineStr">
        <is>
          <t>SOFTEX</t>
        </is>
      </c>
      <c r="B5390" s="2">
        <f>"8992959974018"</f>
        <v/>
      </c>
      <c r="C5390" t="inlineStr">
        <is>
          <t>SOFTEX Daun Sirih Slim Extra Heavy Flow 36cm 12pads</t>
        </is>
      </c>
      <c r="D5390" t="inlineStr">
        <is>
          <t>Miss Glam Damar</t>
        </is>
      </c>
      <c r="E5390" t="n">
        <v>18</v>
      </c>
      <c r="F5390" t="n">
        <v>1.001</v>
      </c>
      <c r="G5390" t="n">
        <v>3.64</v>
      </c>
      <c r="H5390" t="n">
        <v>7</v>
      </c>
      <c r="I5390" t="n">
        <v>11</v>
      </c>
      <c r="J5390" t="n">
        <v>3</v>
      </c>
      <c r="K5390" t="n">
        <v>0</v>
      </c>
      <c r="L5390" t="n">
        <v>18224</v>
      </c>
      <c r="M5390" t="n">
        <v>22500</v>
      </c>
      <c r="N5390" t="n">
        <v>91</v>
      </c>
      <c r="O5390" t="n">
        <v>0.91</v>
      </c>
      <c r="P5390" t="n">
        <v>1</v>
      </c>
      <c r="Q5390" t="n">
        <v>0.31</v>
      </c>
      <c r="R5390" t="n">
        <v>2</v>
      </c>
      <c r="S5390" t="n">
        <v>22522.5</v>
      </c>
      <c r="T5390" t="n">
        <v>34</v>
      </c>
      <c r="U5390" t="n">
        <v>42</v>
      </c>
      <c r="V5390" t="n">
        <v>30</v>
      </c>
      <c r="W5390" t="n">
        <v>31</v>
      </c>
      <c r="X5390" t="n">
        <v>17.98201798201798</v>
      </c>
      <c r="Y5390" t="n">
        <v>1</v>
      </c>
      <c r="Z5390" t="n">
        <v>13</v>
      </c>
      <c r="AA5390" t="n">
        <v>0</v>
      </c>
      <c r="AB5390" t="n">
        <v>13</v>
      </c>
      <c r="AC5390" t="n">
        <v>13</v>
      </c>
      <c r="AD5390" t="n">
        <v>0</v>
      </c>
      <c r="AE5390" t="n">
        <v>236912</v>
      </c>
      <c r="AF5390" t="n">
        <v>12703</v>
      </c>
      <c r="AG5390" t="n">
        <v>2828</v>
      </c>
      <c r="AH5390" t="inlineStr">
        <is>
          <t>PT. SAMUDRA DISTRA PRIMA - PPN (PDG)</t>
        </is>
      </c>
      <c r="AI5390" t="n">
        <v>1599</v>
      </c>
      <c r="AJ5390" t="inlineStr">
        <is>
          <t>SOFTEX</t>
        </is>
      </c>
      <c r="AK5390" t="n">
        <v>21</v>
      </c>
      <c r="AL5390" t="inlineStr">
        <is>
          <t>Miss Glam Damar</t>
        </is>
      </c>
      <c r="AM5390" t="n">
        <v>3</v>
      </c>
      <c r="AN5390" t="n">
        <v>500000</v>
      </c>
      <c r="AO5390" t="n">
        <v>0</v>
      </c>
      <c r="AP5390" t="inlineStr"/>
      <c r="AQ5390" t="inlineStr"/>
    </row>
    <row r="5391">
      <c r="A5391" t="inlineStr">
        <is>
          <t>SOFTEX</t>
        </is>
      </c>
      <c r="B5391" s="2">
        <f>"8992959974391"</f>
        <v/>
      </c>
      <c r="C5391" t="inlineStr">
        <is>
          <t>SOFTEX Daun Sirih Slim Extra Heavy Flow 36cm 18pads</t>
        </is>
      </c>
      <c r="D5391" t="inlineStr">
        <is>
          <t>Miss Glam Damar</t>
        </is>
      </c>
      <c r="E5391" t="n">
        <v>15</v>
      </c>
      <c r="F5391" t="n">
        <v>0.3549</v>
      </c>
      <c r="G5391" t="n">
        <v>2.73</v>
      </c>
      <c r="H5391" t="n">
        <v>7</v>
      </c>
      <c r="I5391" t="n">
        <v>11</v>
      </c>
      <c r="J5391" t="n">
        <v>3</v>
      </c>
      <c r="K5391" t="n">
        <v>0</v>
      </c>
      <c r="L5391" t="n">
        <v>23797</v>
      </c>
      <c r="M5391" t="n">
        <v>30000</v>
      </c>
      <c r="N5391" t="n">
        <v>91</v>
      </c>
      <c r="O5391" t="n">
        <v>0.91</v>
      </c>
      <c r="P5391" t="n">
        <v>1</v>
      </c>
      <c r="Q5391" t="n">
        <v>0.2</v>
      </c>
      <c r="R5391" t="n">
        <v>2</v>
      </c>
      <c r="S5391" t="n">
        <v>10647</v>
      </c>
      <c r="T5391" t="n">
        <v>28</v>
      </c>
      <c r="U5391" t="n">
        <v>31</v>
      </c>
      <c r="V5391" t="n">
        <v>30</v>
      </c>
      <c r="W5391" t="n">
        <v>11</v>
      </c>
      <c r="X5391" t="n">
        <v>42.26542688081149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12703</v>
      </c>
      <c r="AG5391" t="n">
        <v>2828</v>
      </c>
      <c r="AH5391" t="inlineStr">
        <is>
          <t>PT. SAMUDRA DISTRA PRIMA - PPN (PDG)</t>
        </is>
      </c>
      <c r="AI5391" t="n">
        <v>1599</v>
      </c>
      <c r="AJ5391" t="inlineStr">
        <is>
          <t>SOFTEX</t>
        </is>
      </c>
      <c r="AK5391" t="n">
        <v>21</v>
      </c>
      <c r="AL5391" t="inlineStr">
        <is>
          <t>Miss Glam Damar</t>
        </is>
      </c>
      <c r="AM5391" t="n">
        <v>3</v>
      </c>
      <c r="AN5391" t="n">
        <v>500000</v>
      </c>
      <c r="AO5391" t="n">
        <v>0</v>
      </c>
      <c r="AP5391" t="inlineStr"/>
      <c r="AQ5391" t="inlineStr"/>
    </row>
    <row r="5392">
      <c r="A5392" t="inlineStr">
        <is>
          <t>SOFTEX</t>
        </is>
      </c>
      <c r="B5392" s="2">
        <f>"8992959089088"</f>
        <v/>
      </c>
      <c r="C5392" t="inlineStr">
        <is>
          <t>SOFTEX Daun Sirih Slim Wing 29cm 8pcs</t>
        </is>
      </c>
      <c r="D5392" t="inlineStr">
        <is>
          <t>Miss Glam Damar</t>
        </is>
      </c>
      <c r="E5392" t="n">
        <v>2</v>
      </c>
      <c r="F5392" t="n">
        <v>0.61</v>
      </c>
      <c r="G5392" t="n">
        <v>3</v>
      </c>
      <c r="H5392" t="n">
        <v>7</v>
      </c>
      <c r="I5392" t="n">
        <v>11</v>
      </c>
      <c r="J5392" t="n">
        <v>3</v>
      </c>
      <c r="K5392" t="n">
        <v>24</v>
      </c>
      <c r="L5392" t="n">
        <v>8550</v>
      </c>
      <c r="M5392" t="n">
        <v>11000</v>
      </c>
      <c r="N5392" t="n">
        <v>91</v>
      </c>
      <c r="O5392" t="n">
        <v>0.91</v>
      </c>
      <c r="P5392" t="n">
        <v>0</v>
      </c>
      <c r="Q5392" t="n">
        <v>0.61</v>
      </c>
      <c r="R5392" t="n">
        <v>3</v>
      </c>
      <c r="S5392" t="n">
        <v>6710</v>
      </c>
      <c r="T5392" t="n">
        <v>29</v>
      </c>
      <c r="U5392" t="n">
        <v>34</v>
      </c>
      <c r="V5392" t="n">
        <v>30</v>
      </c>
      <c r="W5392" t="n">
        <v>19</v>
      </c>
      <c r="X5392" t="n">
        <v>3.278688524590164</v>
      </c>
      <c r="Y5392" t="n">
        <v>1</v>
      </c>
      <c r="Z5392" t="n">
        <v>0</v>
      </c>
      <c r="AA5392" t="n">
        <v>4</v>
      </c>
      <c r="AB5392" t="n">
        <v>0</v>
      </c>
      <c r="AC5392" t="n">
        <v>0</v>
      </c>
      <c r="AD5392" t="n">
        <v>34200</v>
      </c>
      <c r="AE5392" t="n">
        <v>0</v>
      </c>
      <c r="AF5392" t="n">
        <v>12703</v>
      </c>
      <c r="AG5392" t="n">
        <v>2828</v>
      </c>
      <c r="AH5392" t="inlineStr">
        <is>
          <t>PT. SAMUDRA DISTRA PRIMA - PPN (PDG)</t>
        </is>
      </c>
      <c r="AI5392" t="n">
        <v>1599</v>
      </c>
      <c r="AJ5392" t="inlineStr">
        <is>
          <t>SOFTEX</t>
        </is>
      </c>
      <c r="AK5392" t="n">
        <v>21</v>
      </c>
      <c r="AL5392" t="inlineStr">
        <is>
          <t>Miss Glam Damar</t>
        </is>
      </c>
      <c r="AM5392" t="n">
        <v>3</v>
      </c>
      <c r="AN5392" t="n">
        <v>500000</v>
      </c>
      <c r="AO5392" t="n">
        <v>0</v>
      </c>
      <c r="AP5392" t="inlineStr"/>
      <c r="AQ5392" t="inlineStr"/>
    </row>
    <row r="5393">
      <c r="A5393" t="inlineStr">
        <is>
          <t>SOFTEX</t>
        </is>
      </c>
      <c r="B5393" s="2">
        <f>"8992959117590"</f>
        <v/>
      </c>
      <c r="C5393" t="inlineStr">
        <is>
          <t>SOFTEX Daun Sirih Wing 23cm 20pcs</t>
        </is>
      </c>
      <c r="D5393" t="inlineStr">
        <is>
          <t>Miss Glam Damar</t>
        </is>
      </c>
      <c r="E5393" t="n">
        <v>11</v>
      </c>
      <c r="F5393" t="n">
        <v>0.4186</v>
      </c>
      <c r="G5393" t="n">
        <v>3.64</v>
      </c>
      <c r="H5393" t="n">
        <v>7</v>
      </c>
      <c r="I5393" t="n">
        <v>11</v>
      </c>
      <c r="J5393" t="n">
        <v>3</v>
      </c>
      <c r="K5393" t="n">
        <v>0</v>
      </c>
      <c r="L5393" t="n">
        <v>14587</v>
      </c>
      <c r="M5393" t="n">
        <v>18500</v>
      </c>
      <c r="N5393" t="n">
        <v>91</v>
      </c>
      <c r="O5393" t="n">
        <v>0.91</v>
      </c>
      <c r="P5393" t="n">
        <v>1</v>
      </c>
      <c r="Q5393" t="n">
        <v>0.22</v>
      </c>
      <c r="R5393" t="n">
        <v>2</v>
      </c>
      <c r="S5393" t="n">
        <v>7744.1</v>
      </c>
      <c r="T5393" t="n">
        <v>38</v>
      </c>
      <c r="U5393" t="n">
        <v>41</v>
      </c>
      <c r="V5393" t="n">
        <v>30</v>
      </c>
      <c r="W5393" t="n">
        <v>13</v>
      </c>
      <c r="X5393" t="n">
        <v>26.27806975633062</v>
      </c>
      <c r="Y5393" t="n">
        <v>1</v>
      </c>
      <c r="Z5393" t="n">
        <v>2</v>
      </c>
      <c r="AA5393" t="n">
        <v>0</v>
      </c>
      <c r="AB5393" t="n">
        <v>2</v>
      </c>
      <c r="AC5393" t="n">
        <v>3</v>
      </c>
      <c r="AD5393" t="n">
        <v>0</v>
      </c>
      <c r="AE5393" t="n">
        <v>43761</v>
      </c>
      <c r="AF5393" t="n">
        <v>12703</v>
      </c>
      <c r="AG5393" t="n">
        <v>2828</v>
      </c>
      <c r="AH5393" t="inlineStr">
        <is>
          <t>PT. SAMUDRA DISTRA PRIMA - PPN (PDG)</t>
        </is>
      </c>
      <c r="AI5393" t="n">
        <v>1599</v>
      </c>
      <c r="AJ5393" t="inlineStr">
        <is>
          <t>SOFTEX</t>
        </is>
      </c>
      <c r="AK5393" t="n">
        <v>21</v>
      </c>
      <c r="AL5393" t="inlineStr">
        <is>
          <t>Miss Glam Damar</t>
        </is>
      </c>
      <c r="AM5393" t="n">
        <v>3</v>
      </c>
      <c r="AN5393" t="n">
        <v>500000</v>
      </c>
      <c r="AO5393" t="n">
        <v>0</v>
      </c>
      <c r="AP5393" t="inlineStr"/>
      <c r="AQ5393" t="inlineStr"/>
    </row>
    <row r="5394">
      <c r="A5394" t="inlineStr">
        <is>
          <t>SOFTEX</t>
        </is>
      </c>
      <c r="B5394" s="2">
        <f>"8992959977088"</f>
        <v/>
      </c>
      <c r="C5394" t="inlineStr">
        <is>
          <t>SOFTEX Natural Cool Daun Mint + Sirih 36cm 8pcs</t>
        </is>
      </c>
      <c r="D5394" t="inlineStr">
        <is>
          <t>Miss Glam Damar</t>
        </is>
      </c>
      <c r="E5394" t="n">
        <v>6</v>
      </c>
      <c r="F5394" t="n">
        <v>0.27</v>
      </c>
      <c r="G5394" t="n">
        <v>4</v>
      </c>
      <c r="H5394" t="n">
        <v>7</v>
      </c>
      <c r="I5394" t="n">
        <v>11</v>
      </c>
      <c r="J5394" t="n">
        <v>3</v>
      </c>
      <c r="K5394" t="n">
        <v>12</v>
      </c>
      <c r="L5394" t="n">
        <v>13758</v>
      </c>
      <c r="M5394" t="n">
        <v>16500</v>
      </c>
      <c r="N5394" t="n">
        <v>91</v>
      </c>
      <c r="O5394" t="n">
        <v>0.91</v>
      </c>
      <c r="P5394" t="n">
        <v>0</v>
      </c>
      <c r="Q5394" t="n">
        <v>0.27</v>
      </c>
      <c r="R5394" t="n">
        <v>4</v>
      </c>
      <c r="S5394" t="n">
        <v>4455</v>
      </c>
      <c r="T5394" t="n">
        <v>43</v>
      </c>
      <c r="U5394" t="n">
        <v>45</v>
      </c>
      <c r="V5394" t="n">
        <v>30</v>
      </c>
      <c r="W5394" t="n">
        <v>9</v>
      </c>
      <c r="X5394" t="n">
        <v>22.22222222222222</v>
      </c>
      <c r="Y5394" t="n">
        <v>1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12703</v>
      </c>
      <c r="AG5394" t="n">
        <v>2828</v>
      </c>
      <c r="AH5394" t="inlineStr">
        <is>
          <t>PT. SAMUDRA DISTRA PRIMA - PPN (PDG)</t>
        </is>
      </c>
      <c r="AI5394" t="n">
        <v>1599</v>
      </c>
      <c r="AJ5394" t="inlineStr">
        <is>
          <t>SOFTEX</t>
        </is>
      </c>
      <c r="AK5394" t="n">
        <v>21</v>
      </c>
      <c r="AL5394" t="inlineStr">
        <is>
          <t>Miss Glam Damar</t>
        </is>
      </c>
      <c r="AM5394" t="n">
        <v>3</v>
      </c>
      <c r="AN5394" t="n">
        <v>500000</v>
      </c>
      <c r="AO5394" t="n">
        <v>0</v>
      </c>
      <c r="AP5394" t="inlineStr"/>
      <c r="AQ5394" t="inlineStr"/>
    </row>
    <row r="5395">
      <c r="A5395" t="inlineStr">
        <is>
          <t>SOFTEX</t>
        </is>
      </c>
      <c r="B5395" s="2">
        <f>"8992959974049"</f>
        <v/>
      </c>
      <c r="C5395" t="inlineStr">
        <is>
          <t>SOFTEX Pantyliner Daun Sirih Longer &amp; Wider 30pcs</t>
        </is>
      </c>
      <c r="D5395" t="inlineStr">
        <is>
          <t>Miss Glam Damar</t>
        </is>
      </c>
      <c r="E5395" t="n">
        <v>0</v>
      </c>
      <c r="F5395" t="n">
        <v>0.46</v>
      </c>
      <c r="G5395" t="n">
        <v>3</v>
      </c>
      <c r="H5395" t="n">
        <v>7</v>
      </c>
      <c r="I5395" t="n">
        <v>11</v>
      </c>
      <c r="J5395" t="n">
        <v>3</v>
      </c>
      <c r="K5395" t="n">
        <v>12</v>
      </c>
      <c r="L5395" t="n">
        <v>11362</v>
      </c>
      <c r="M5395" t="n">
        <v>13500</v>
      </c>
      <c r="N5395" t="n">
        <v>91</v>
      </c>
      <c r="O5395" t="n">
        <v>0.91</v>
      </c>
      <c r="P5395" t="n">
        <v>0</v>
      </c>
      <c r="Q5395" t="n">
        <v>0.46</v>
      </c>
      <c r="R5395" t="n">
        <v>3</v>
      </c>
      <c r="S5395" t="n">
        <v>6210</v>
      </c>
      <c r="T5395" t="n">
        <v>30</v>
      </c>
      <c r="U5395" t="n">
        <v>34</v>
      </c>
      <c r="V5395" t="n">
        <v>30</v>
      </c>
      <c r="W5395" t="n">
        <v>14</v>
      </c>
      <c r="X5395" t="n">
        <v>0</v>
      </c>
      <c r="Y5395" t="n">
        <v>1</v>
      </c>
      <c r="Z5395" t="n">
        <v>2</v>
      </c>
      <c r="AA5395" t="n">
        <v>5</v>
      </c>
      <c r="AB5395" t="n">
        <v>0</v>
      </c>
      <c r="AC5395" t="n">
        <v>0</v>
      </c>
      <c r="AD5395" t="n">
        <v>56810</v>
      </c>
      <c r="AE5395" t="n">
        <v>0</v>
      </c>
      <c r="AF5395" t="n">
        <v>12703</v>
      </c>
      <c r="AG5395" t="n">
        <v>2828</v>
      </c>
      <c r="AH5395" t="inlineStr">
        <is>
          <t>PT. SAMUDRA DISTRA PRIMA - PPN (PDG)</t>
        </is>
      </c>
      <c r="AI5395" t="n">
        <v>1599</v>
      </c>
      <c r="AJ5395" t="inlineStr">
        <is>
          <t>SOFTEX</t>
        </is>
      </c>
      <c r="AK5395" t="n">
        <v>21</v>
      </c>
      <c r="AL5395" t="inlineStr">
        <is>
          <t>Miss Glam Damar</t>
        </is>
      </c>
      <c r="AM5395" t="n">
        <v>3</v>
      </c>
      <c r="AN5395" t="n">
        <v>500000</v>
      </c>
      <c r="AO5395" t="n">
        <v>0</v>
      </c>
      <c r="AP5395" t="inlineStr"/>
      <c r="AQ5395" t="inlineStr"/>
    </row>
    <row r="5396">
      <c r="A5396" t="inlineStr">
        <is>
          <t>SOMETHINC</t>
        </is>
      </c>
      <c r="B5396" s="2">
        <f>"8997209271282"</f>
        <v/>
      </c>
      <c r="C5396" t="inlineStr">
        <is>
          <t>SOMETHINC A.S.A.P  Eyelash &amp; Brow Treatment Serum 3.5ml</t>
        </is>
      </c>
      <c r="D5396" t="inlineStr">
        <is>
          <t>Miss Glam Damar</t>
        </is>
      </c>
      <c r="E5396" t="n">
        <v>4</v>
      </c>
      <c r="F5396" t="n">
        <v>0.0273</v>
      </c>
      <c r="G5396" t="n">
        <v>0.91</v>
      </c>
      <c r="H5396" t="n">
        <v>1</v>
      </c>
      <c r="I5396" t="n">
        <v>7</v>
      </c>
      <c r="J5396" t="n">
        <v>3</v>
      </c>
      <c r="K5396" t="n">
        <v>0</v>
      </c>
      <c r="L5396" t="n">
        <v>63750</v>
      </c>
      <c r="M5396" t="n">
        <v>85000</v>
      </c>
      <c r="N5396" t="n">
        <v>91</v>
      </c>
      <c r="O5396" t="n">
        <v>0.91</v>
      </c>
      <c r="P5396" t="n">
        <v>1</v>
      </c>
      <c r="Q5396" t="n">
        <v>0.08</v>
      </c>
      <c r="R5396" t="n">
        <v>1</v>
      </c>
      <c r="S5396" t="n">
        <v>2320.5</v>
      </c>
      <c r="T5396" t="n">
        <v>7</v>
      </c>
      <c r="U5396" t="n">
        <v>8</v>
      </c>
      <c r="V5396" t="n">
        <v>30</v>
      </c>
      <c r="W5396" t="n">
        <v>1</v>
      </c>
      <c r="X5396" t="n">
        <v>146.5201465201465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11196</v>
      </c>
      <c r="AG5396" t="n">
        <v>54</v>
      </c>
      <c r="AH5396" t="inlineStr">
        <is>
          <t>PT. MIRANTI ADILLHA - PPN (PDG)</t>
        </is>
      </c>
      <c r="AI5396" t="n">
        <v>54</v>
      </c>
      <c r="AJ5396" t="inlineStr">
        <is>
          <t>SOMETHINC</t>
        </is>
      </c>
      <c r="AK5396" t="n">
        <v>21</v>
      </c>
      <c r="AL5396" t="inlineStr">
        <is>
          <t>Miss Glam Damar</t>
        </is>
      </c>
      <c r="AM5396" t="n">
        <v>2</v>
      </c>
      <c r="AN5396" t="n">
        <v>500000</v>
      </c>
      <c r="AO5396" t="n">
        <v>0</v>
      </c>
      <c r="AP5396" t="inlineStr"/>
      <c r="AQ5396" t="inlineStr"/>
    </row>
    <row r="5397">
      <c r="A5397" t="inlineStr">
        <is>
          <t>SOMETHINC</t>
        </is>
      </c>
      <c r="B5397" s="2">
        <f>"8991752000771"</f>
        <v/>
      </c>
      <c r="C5397" t="inlineStr">
        <is>
          <t>SOMETHINC Acnedot Low PH Jelly  Cleanser 100 ml</t>
        </is>
      </c>
      <c r="D5397" t="inlineStr">
        <is>
          <t>Miss Glam Damar</t>
        </is>
      </c>
      <c r="E5397" t="n">
        <v>3</v>
      </c>
      <c r="F5397" t="n">
        <v>0.1547</v>
      </c>
      <c r="G5397" t="n">
        <v>1.82</v>
      </c>
      <c r="H5397" t="n">
        <v>1</v>
      </c>
      <c r="I5397" t="n">
        <v>7</v>
      </c>
      <c r="J5397" t="n">
        <v>3</v>
      </c>
      <c r="K5397" t="n">
        <v>0</v>
      </c>
      <c r="L5397" t="n">
        <v>76500</v>
      </c>
      <c r="M5397" t="n">
        <v>102000</v>
      </c>
      <c r="N5397" t="n">
        <v>91</v>
      </c>
      <c r="O5397" t="n">
        <v>0.91</v>
      </c>
      <c r="P5397" t="n">
        <v>1</v>
      </c>
      <c r="Q5397" t="n">
        <v>0.08</v>
      </c>
      <c r="R5397" t="n">
        <v>1</v>
      </c>
      <c r="S5397" t="n">
        <v>15779.4</v>
      </c>
      <c r="T5397" t="n">
        <v>13</v>
      </c>
      <c r="U5397" t="n">
        <v>14</v>
      </c>
      <c r="V5397" t="n">
        <v>30</v>
      </c>
      <c r="W5397" t="n">
        <v>5</v>
      </c>
      <c r="X5397" t="n">
        <v>19.3923723335488</v>
      </c>
      <c r="Y5397" t="n">
        <v>1</v>
      </c>
      <c r="Z5397" t="n">
        <v>2</v>
      </c>
      <c r="AA5397" t="n">
        <v>0</v>
      </c>
      <c r="AB5397" t="n">
        <v>2</v>
      </c>
      <c r="AC5397" t="n">
        <v>3</v>
      </c>
      <c r="AD5397" t="n">
        <v>0</v>
      </c>
      <c r="AE5397" t="n">
        <v>229500</v>
      </c>
      <c r="AF5397" t="n">
        <v>11196</v>
      </c>
      <c r="AG5397" t="n">
        <v>54</v>
      </c>
      <c r="AH5397" t="inlineStr">
        <is>
          <t>PT. MIRANTI ADILLHA - PPN (PDG)</t>
        </is>
      </c>
      <c r="AI5397" t="n">
        <v>54</v>
      </c>
      <c r="AJ5397" t="inlineStr">
        <is>
          <t>SOMETHINC</t>
        </is>
      </c>
      <c r="AK5397" t="n">
        <v>21</v>
      </c>
      <c r="AL5397" t="inlineStr">
        <is>
          <t>Miss Glam Damar</t>
        </is>
      </c>
      <c r="AM5397" t="n">
        <v>2</v>
      </c>
      <c r="AN5397" t="n">
        <v>500000</v>
      </c>
      <c r="AO5397" t="n">
        <v>0</v>
      </c>
      <c r="AP5397" t="inlineStr"/>
      <c r="AQ5397" t="inlineStr"/>
    </row>
    <row r="5398">
      <c r="A5398" t="inlineStr">
        <is>
          <t>SOMETHINC</t>
        </is>
      </c>
      <c r="B5398" s="2">
        <f>"11200315115"</f>
        <v/>
      </c>
      <c r="C5398" t="inlineStr">
        <is>
          <t>SOMETHINC Advanced Peeling 20% AHA BHA PHA LHA Serum - 20ml</t>
        </is>
      </c>
      <c r="D5398" t="inlineStr">
        <is>
          <t>Miss Glam Damar</t>
        </is>
      </c>
      <c r="E5398" t="n">
        <v>4</v>
      </c>
      <c r="F5398" t="n">
        <v>0.1365</v>
      </c>
      <c r="G5398" t="n">
        <v>0.91</v>
      </c>
      <c r="H5398" t="n">
        <v>1</v>
      </c>
      <c r="I5398" t="n">
        <v>7</v>
      </c>
      <c r="J5398" t="n">
        <v>1</v>
      </c>
      <c r="K5398" t="n">
        <v>0</v>
      </c>
      <c r="L5398" t="n">
        <v>104250</v>
      </c>
      <c r="M5398" t="n">
        <v>139000</v>
      </c>
      <c r="N5398" t="n">
        <v>91</v>
      </c>
      <c r="O5398" t="n">
        <v>0.91</v>
      </c>
      <c r="P5398" t="n">
        <v>1</v>
      </c>
      <c r="Q5398" t="n">
        <v>0.08</v>
      </c>
      <c r="R5398" t="n">
        <v>1</v>
      </c>
      <c r="S5398" t="n">
        <v>18973.5</v>
      </c>
      <c r="T5398" t="n">
        <v>7</v>
      </c>
      <c r="U5398" t="n">
        <v>8</v>
      </c>
      <c r="V5398" t="n">
        <v>30</v>
      </c>
      <c r="W5398" t="n">
        <v>5</v>
      </c>
      <c r="X5398" t="n">
        <v>29.3040293040293</v>
      </c>
      <c r="Y5398" t="n">
        <v>1</v>
      </c>
      <c r="Z5398" t="n">
        <v>1</v>
      </c>
      <c r="AA5398" t="n">
        <v>0</v>
      </c>
      <c r="AB5398" t="n">
        <v>1</v>
      </c>
      <c r="AC5398" t="n">
        <v>1</v>
      </c>
      <c r="AD5398" t="n">
        <v>0</v>
      </c>
      <c r="AE5398" t="n">
        <v>104250</v>
      </c>
      <c r="AF5398" t="n">
        <v>11196</v>
      </c>
      <c r="AG5398" t="n">
        <v>54</v>
      </c>
      <c r="AH5398" t="inlineStr">
        <is>
          <t>PT. MIRANTI ADILLHA - PPN (PDG)</t>
        </is>
      </c>
      <c r="AI5398" t="n">
        <v>54</v>
      </c>
      <c r="AJ5398" t="inlineStr">
        <is>
          <t>SOMETHINC</t>
        </is>
      </c>
      <c r="AK5398" t="n">
        <v>21</v>
      </c>
      <c r="AL5398" t="inlineStr">
        <is>
          <t>Miss Glam Damar</t>
        </is>
      </c>
      <c r="AM5398" t="n">
        <v>2</v>
      </c>
      <c r="AN5398" t="n">
        <v>500000</v>
      </c>
      <c r="AO5398" t="n">
        <v>0</v>
      </c>
      <c r="AP5398" t="inlineStr"/>
      <c r="AQ5398" t="inlineStr"/>
    </row>
    <row r="5399">
      <c r="A5399" t="inlineStr">
        <is>
          <t>SOMETHINC</t>
        </is>
      </c>
      <c r="B5399" s="2">
        <f>"8997209271299"</f>
        <v/>
      </c>
      <c r="C5399" t="inlineStr">
        <is>
          <t>SOMETHINC Alpha Aqualaneoxidant Deep Cleansing oil 100ml</t>
        </is>
      </c>
      <c r="D5399" t="inlineStr">
        <is>
          <t>Miss Glam Damar</t>
        </is>
      </c>
      <c r="E5399" t="n">
        <v>1</v>
      </c>
      <c r="F5399" t="n">
        <v>0.0273</v>
      </c>
      <c r="G5399" t="n">
        <v>0.91</v>
      </c>
      <c r="H5399" t="n">
        <v>1</v>
      </c>
      <c r="I5399" t="n">
        <v>7</v>
      </c>
      <c r="J5399" t="n">
        <v>3</v>
      </c>
      <c r="K5399" t="n">
        <v>0</v>
      </c>
      <c r="L5399" t="n">
        <v>108000</v>
      </c>
      <c r="M5399" t="n">
        <v>144000</v>
      </c>
      <c r="N5399" t="n">
        <v>91</v>
      </c>
      <c r="O5399" t="n">
        <v>0.91</v>
      </c>
      <c r="P5399" t="n">
        <v>1</v>
      </c>
      <c r="Q5399" t="n">
        <v>0.03</v>
      </c>
      <c r="R5399" t="n">
        <v>1</v>
      </c>
      <c r="S5399" t="n">
        <v>3931.2</v>
      </c>
      <c r="T5399" t="n">
        <v>7</v>
      </c>
      <c r="U5399" t="n">
        <v>8</v>
      </c>
      <c r="V5399" t="n">
        <v>30</v>
      </c>
      <c r="W5399" t="n">
        <v>1</v>
      </c>
      <c r="X5399" t="n">
        <v>36.63003663003663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11196</v>
      </c>
      <c r="AG5399" t="n">
        <v>54</v>
      </c>
      <c r="AH5399" t="inlineStr">
        <is>
          <t>PT. MIRANTI ADILLHA - PPN (PDG)</t>
        </is>
      </c>
      <c r="AI5399" t="n">
        <v>54</v>
      </c>
      <c r="AJ5399" t="inlineStr">
        <is>
          <t>SOMETHINC</t>
        </is>
      </c>
      <c r="AK5399" t="n">
        <v>21</v>
      </c>
      <c r="AL5399" t="inlineStr">
        <is>
          <t>Miss Glam Damar</t>
        </is>
      </c>
      <c r="AM5399" t="n">
        <v>2</v>
      </c>
      <c r="AN5399" t="n">
        <v>500000</v>
      </c>
      <c r="AO5399" t="n">
        <v>0</v>
      </c>
      <c r="AP5399" t="inlineStr"/>
      <c r="AQ5399" t="inlineStr"/>
    </row>
    <row r="5400">
      <c r="A5400" t="inlineStr">
        <is>
          <t>SOMETHINC</t>
        </is>
      </c>
      <c r="B5400" s="2">
        <f>"8997209278632"</f>
        <v/>
      </c>
      <c r="C5400" t="inlineStr">
        <is>
          <t>SOMETHINC Bacne 1% Biosalicylic Spray 50ml</t>
        </is>
      </c>
      <c r="D5400" t="inlineStr">
        <is>
          <t>Miss Glam Damar</t>
        </is>
      </c>
      <c r="E5400" t="n">
        <v>5</v>
      </c>
      <c r="F5400" t="n">
        <v>0.07000000000000001</v>
      </c>
      <c r="G5400" t="n">
        <v>3</v>
      </c>
      <c r="H5400" t="n">
        <v>1</v>
      </c>
      <c r="I5400" t="n">
        <v>7</v>
      </c>
      <c r="J5400" t="n">
        <v>3</v>
      </c>
      <c r="K5400" t="n">
        <v>0</v>
      </c>
      <c r="L5400" t="n">
        <v>56250</v>
      </c>
      <c r="M5400" t="n">
        <v>75000</v>
      </c>
      <c r="N5400" t="n">
        <v>91</v>
      </c>
      <c r="O5400" t="n">
        <v>0.91</v>
      </c>
      <c r="P5400" t="n">
        <v>0</v>
      </c>
      <c r="Q5400" t="n">
        <v>0.07000000000000001</v>
      </c>
      <c r="R5400" t="n">
        <v>3</v>
      </c>
      <c r="S5400" t="n">
        <v>5250.000000000001</v>
      </c>
      <c r="T5400" t="n">
        <v>21</v>
      </c>
      <c r="U5400" t="n">
        <v>22</v>
      </c>
      <c r="V5400" t="n">
        <v>30</v>
      </c>
      <c r="W5400" t="n">
        <v>3</v>
      </c>
      <c r="X5400" t="n">
        <v>71.42857142857142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11196</v>
      </c>
      <c r="AG5400" t="n">
        <v>54</v>
      </c>
      <c r="AH5400" t="inlineStr">
        <is>
          <t>PT. MIRANTI ADILLHA - PPN (PDG)</t>
        </is>
      </c>
      <c r="AI5400" t="n">
        <v>54</v>
      </c>
      <c r="AJ5400" t="inlineStr">
        <is>
          <t>SOMETHINC</t>
        </is>
      </c>
      <c r="AK5400" t="n">
        <v>21</v>
      </c>
      <c r="AL5400" t="inlineStr">
        <is>
          <t>Miss Glam Damar</t>
        </is>
      </c>
      <c r="AM5400" t="n">
        <v>2</v>
      </c>
      <c r="AN5400" t="n">
        <v>500000</v>
      </c>
      <c r="AO5400" t="n">
        <v>0</v>
      </c>
      <c r="AP5400" t="inlineStr"/>
      <c r="AQ5400" t="inlineStr"/>
    </row>
    <row r="5401">
      <c r="A5401" t="inlineStr">
        <is>
          <t>SOMETHINC</t>
        </is>
      </c>
      <c r="B5401" s="2">
        <f>"20200469941"</f>
        <v/>
      </c>
      <c r="C5401" t="inlineStr">
        <is>
          <t>SOMETHINC Brow Filler Slim Retractable Eyebrow Chocolate</t>
        </is>
      </c>
      <c r="D5401" t="inlineStr">
        <is>
          <t>Miss Glam Damar</t>
        </is>
      </c>
      <c r="E5401" t="n">
        <v>2</v>
      </c>
      <c r="F5401" t="n">
        <v>0.05</v>
      </c>
      <c r="G5401" t="n">
        <v>1</v>
      </c>
      <c r="H5401" t="n">
        <v>1</v>
      </c>
      <c r="I5401" t="n">
        <v>7</v>
      </c>
      <c r="J5401" t="n">
        <v>1</v>
      </c>
      <c r="K5401" t="n">
        <v>0</v>
      </c>
      <c r="L5401" t="n">
        <v>51750</v>
      </c>
      <c r="M5401" t="n">
        <v>69000</v>
      </c>
      <c r="N5401" t="n">
        <v>91</v>
      </c>
      <c r="O5401" t="n">
        <v>0.91</v>
      </c>
      <c r="P5401" t="n">
        <v>0</v>
      </c>
      <c r="Q5401" t="n">
        <v>0.05</v>
      </c>
      <c r="R5401" t="n">
        <v>1</v>
      </c>
      <c r="S5401" t="n">
        <v>3450</v>
      </c>
      <c r="T5401" t="n">
        <v>7</v>
      </c>
      <c r="U5401" t="n">
        <v>8</v>
      </c>
      <c r="V5401" t="n">
        <v>30</v>
      </c>
      <c r="W5401" t="n">
        <v>2</v>
      </c>
      <c r="X5401" t="n">
        <v>40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11196</v>
      </c>
      <c r="AG5401" t="n">
        <v>54</v>
      </c>
      <c r="AH5401" t="inlineStr">
        <is>
          <t>PT. MIRANTI ADILLHA - PPN (PDG)</t>
        </is>
      </c>
      <c r="AI5401" t="n">
        <v>54</v>
      </c>
      <c r="AJ5401" t="inlineStr">
        <is>
          <t>SOMETHINC</t>
        </is>
      </c>
      <c r="AK5401" t="n">
        <v>21</v>
      </c>
      <c r="AL5401" t="inlineStr">
        <is>
          <t>Miss Glam Damar</t>
        </is>
      </c>
      <c r="AM5401" t="n">
        <v>2</v>
      </c>
      <c r="AN5401" t="n">
        <v>500000</v>
      </c>
      <c r="AO5401" t="n">
        <v>0</v>
      </c>
      <c r="AP5401" t="inlineStr"/>
      <c r="AQ5401" t="inlineStr"/>
    </row>
    <row r="5402">
      <c r="A5402" t="inlineStr">
        <is>
          <t>SOMETHINC</t>
        </is>
      </c>
      <c r="B5402" s="2">
        <f>"20200470134"</f>
        <v/>
      </c>
      <c r="C5402" t="inlineStr">
        <is>
          <t>SOMETHINC Brow Filler Slim Retractable Eyebrow Dark Brown</t>
        </is>
      </c>
      <c r="D5402" t="inlineStr">
        <is>
          <t>Miss Glam Damar</t>
        </is>
      </c>
      <c r="E5402" t="n">
        <v>5</v>
      </c>
      <c r="F5402" t="n">
        <v>0.0273</v>
      </c>
      <c r="G5402" t="n">
        <v>0.91</v>
      </c>
      <c r="H5402" t="n">
        <v>1</v>
      </c>
      <c r="I5402" t="n">
        <v>7</v>
      </c>
      <c r="J5402" t="n">
        <v>1</v>
      </c>
      <c r="K5402" t="n">
        <v>0</v>
      </c>
      <c r="L5402" t="n">
        <v>51750</v>
      </c>
      <c r="M5402" t="n">
        <v>69000</v>
      </c>
      <c r="N5402" t="n">
        <v>91</v>
      </c>
      <c r="O5402" t="n">
        <v>0.91</v>
      </c>
      <c r="P5402" t="n">
        <v>1</v>
      </c>
      <c r="Q5402" t="n">
        <v>0.12</v>
      </c>
      <c r="R5402" t="n">
        <v>1</v>
      </c>
      <c r="S5402" t="n">
        <v>1883.7</v>
      </c>
      <c r="T5402" t="n">
        <v>7</v>
      </c>
      <c r="U5402" t="n">
        <v>8</v>
      </c>
      <c r="V5402" t="n">
        <v>30</v>
      </c>
      <c r="W5402" t="n">
        <v>1</v>
      </c>
      <c r="X5402" t="n">
        <v>183.1501831501832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11196</v>
      </c>
      <c r="AG5402" t="n">
        <v>54</v>
      </c>
      <c r="AH5402" t="inlineStr">
        <is>
          <t>PT. MIRANTI ADILLHA - PPN (PDG)</t>
        </is>
      </c>
      <c r="AI5402" t="n">
        <v>54</v>
      </c>
      <c r="AJ5402" t="inlineStr">
        <is>
          <t>SOMETHINC</t>
        </is>
      </c>
      <c r="AK5402" t="n">
        <v>21</v>
      </c>
      <c r="AL5402" t="inlineStr">
        <is>
          <t>Miss Glam Damar</t>
        </is>
      </c>
      <c r="AM5402" t="n">
        <v>2</v>
      </c>
      <c r="AN5402" t="n">
        <v>500000</v>
      </c>
      <c r="AO5402" t="n">
        <v>0</v>
      </c>
      <c r="AP5402" t="inlineStr"/>
      <c r="AQ5402" t="inlineStr"/>
    </row>
    <row r="5403">
      <c r="A5403" t="inlineStr">
        <is>
          <t>SOMETHINC</t>
        </is>
      </c>
      <c r="B5403" s="2">
        <f>"20200470041"</f>
        <v/>
      </c>
      <c r="C5403" t="inlineStr">
        <is>
          <t>SOMETHINC Brow Filler Slim Retractable Eyebrow Grey Brown</t>
        </is>
      </c>
      <c r="D5403" t="inlineStr">
        <is>
          <t>Miss Glam Damar</t>
        </is>
      </c>
      <c r="E5403" t="n">
        <v>9</v>
      </c>
      <c r="F5403" t="n">
        <v>0.0728</v>
      </c>
      <c r="G5403" t="n">
        <v>0.91</v>
      </c>
      <c r="H5403" t="n">
        <v>1</v>
      </c>
      <c r="I5403" t="n">
        <v>7</v>
      </c>
      <c r="J5403" t="n">
        <v>1</v>
      </c>
      <c r="K5403" t="n">
        <v>0</v>
      </c>
      <c r="L5403" t="n">
        <v>51750</v>
      </c>
      <c r="M5403" t="n">
        <v>69000</v>
      </c>
      <c r="N5403" t="n">
        <v>91</v>
      </c>
      <c r="O5403" t="n">
        <v>0.91</v>
      </c>
      <c r="P5403" t="n">
        <v>1</v>
      </c>
      <c r="Q5403" t="n">
        <v>0.07000000000000001</v>
      </c>
      <c r="R5403" t="n">
        <v>1</v>
      </c>
      <c r="S5403" t="n">
        <v>5023.2</v>
      </c>
      <c r="T5403" t="n">
        <v>7</v>
      </c>
      <c r="U5403" t="n">
        <v>8</v>
      </c>
      <c r="V5403" t="n">
        <v>30</v>
      </c>
      <c r="W5403" t="n">
        <v>3</v>
      </c>
      <c r="X5403" t="n">
        <v>123.6263736263736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11196</v>
      </c>
      <c r="AG5403" t="n">
        <v>54</v>
      </c>
      <c r="AH5403" t="inlineStr">
        <is>
          <t>PT. MIRANTI ADILLHA - PPN (PDG)</t>
        </is>
      </c>
      <c r="AI5403" t="n">
        <v>54</v>
      </c>
      <c r="AJ5403" t="inlineStr">
        <is>
          <t>SOMETHINC</t>
        </is>
      </c>
      <c r="AK5403" t="n">
        <v>21</v>
      </c>
      <c r="AL5403" t="inlineStr">
        <is>
          <t>Miss Glam Damar</t>
        </is>
      </c>
      <c r="AM5403" t="n">
        <v>2</v>
      </c>
      <c r="AN5403" t="n">
        <v>500000</v>
      </c>
      <c r="AO5403" t="n">
        <v>0</v>
      </c>
      <c r="AP5403" t="inlineStr"/>
      <c r="AQ5403" t="inlineStr"/>
    </row>
    <row r="5404">
      <c r="A5404" t="inlineStr">
        <is>
          <t>SOMETHINC</t>
        </is>
      </c>
      <c r="B5404" s="2">
        <f>"8997209270421"</f>
        <v/>
      </c>
      <c r="C5404" t="inlineStr">
        <is>
          <t>SOMETHINC Brow Wiz Dark Brown</t>
        </is>
      </c>
      <c r="D5404" t="inlineStr">
        <is>
          <t>Miss Glam Damar</t>
        </is>
      </c>
      <c r="E5404" t="n">
        <v>1</v>
      </c>
      <c r="F5404" t="n">
        <v>0.182</v>
      </c>
      <c r="G5404" t="n">
        <v>1.82</v>
      </c>
      <c r="H5404" t="n">
        <v>1</v>
      </c>
      <c r="I5404" t="n">
        <v>7</v>
      </c>
      <c r="J5404" t="n">
        <v>3</v>
      </c>
      <c r="K5404" t="n">
        <v>0</v>
      </c>
      <c r="L5404" t="n">
        <v>51750</v>
      </c>
      <c r="M5404" t="n">
        <v>69000</v>
      </c>
      <c r="N5404" t="n">
        <v>91</v>
      </c>
      <c r="O5404" t="n">
        <v>0.91</v>
      </c>
      <c r="P5404" t="n">
        <v>1</v>
      </c>
      <c r="Q5404" t="n">
        <v>0.2</v>
      </c>
      <c r="R5404" t="n">
        <v>2</v>
      </c>
      <c r="S5404" t="n">
        <v>12558</v>
      </c>
      <c r="T5404" t="n">
        <v>13</v>
      </c>
      <c r="U5404" t="n">
        <v>14</v>
      </c>
      <c r="V5404" t="n">
        <v>30</v>
      </c>
      <c r="W5404" t="n">
        <v>6</v>
      </c>
      <c r="X5404" t="n">
        <v>5.494505494505494</v>
      </c>
      <c r="Y5404" t="n">
        <v>1</v>
      </c>
      <c r="Z5404" t="n">
        <v>5</v>
      </c>
      <c r="AA5404" t="n">
        <v>1</v>
      </c>
      <c r="AB5404" t="n">
        <v>4</v>
      </c>
      <c r="AC5404" t="n">
        <v>4</v>
      </c>
      <c r="AD5404" t="n">
        <v>51750</v>
      </c>
      <c r="AE5404" t="n">
        <v>207000</v>
      </c>
      <c r="AF5404" t="n">
        <v>11196</v>
      </c>
      <c r="AG5404" t="n">
        <v>54</v>
      </c>
      <c r="AH5404" t="inlineStr">
        <is>
          <t>PT. MIRANTI ADILLHA - PPN (PDG)</t>
        </is>
      </c>
      <c r="AI5404" t="n">
        <v>54</v>
      </c>
      <c r="AJ5404" t="inlineStr">
        <is>
          <t>SOMETHINC</t>
        </is>
      </c>
      <c r="AK5404" t="n">
        <v>21</v>
      </c>
      <c r="AL5404" t="inlineStr">
        <is>
          <t>Miss Glam Damar</t>
        </is>
      </c>
      <c r="AM5404" t="n">
        <v>2</v>
      </c>
      <c r="AN5404" t="n">
        <v>500000</v>
      </c>
      <c r="AO5404" t="n">
        <v>0</v>
      </c>
      <c r="AP5404" t="inlineStr"/>
      <c r="AQ5404" t="inlineStr"/>
    </row>
    <row r="5405">
      <c r="A5405" t="inlineStr">
        <is>
          <t>SOMETHINC</t>
        </is>
      </c>
      <c r="B5405" s="2">
        <f>"8997209270445"</f>
        <v/>
      </c>
      <c r="C5405" t="inlineStr">
        <is>
          <t>SOMETHINC Brow Wiz Gray Brown</t>
        </is>
      </c>
      <c r="D5405" t="inlineStr">
        <is>
          <t>Miss Glam Damar</t>
        </is>
      </c>
      <c r="E5405" t="n">
        <v>1</v>
      </c>
      <c r="F5405" t="n">
        <v>0.09100000000000001</v>
      </c>
      <c r="G5405" t="n">
        <v>0.91</v>
      </c>
      <c r="H5405" t="n">
        <v>1</v>
      </c>
      <c r="I5405" t="n">
        <v>7</v>
      </c>
      <c r="J5405" t="n">
        <v>3</v>
      </c>
      <c r="K5405" t="n">
        <v>0</v>
      </c>
      <c r="L5405" t="n">
        <v>51750</v>
      </c>
      <c r="M5405" t="n">
        <v>69000</v>
      </c>
      <c r="N5405" t="n">
        <v>91</v>
      </c>
      <c r="O5405" t="n">
        <v>0.91</v>
      </c>
      <c r="P5405" t="n">
        <v>1</v>
      </c>
      <c r="Q5405" t="n">
        <v>0.17</v>
      </c>
      <c r="R5405" t="n">
        <v>2</v>
      </c>
      <c r="S5405" t="n">
        <v>6279.000000000001</v>
      </c>
      <c r="T5405" t="n">
        <v>7</v>
      </c>
      <c r="U5405" t="n">
        <v>8</v>
      </c>
      <c r="V5405" t="n">
        <v>30</v>
      </c>
      <c r="W5405" t="n">
        <v>3</v>
      </c>
      <c r="X5405" t="n">
        <v>10.98901098901099</v>
      </c>
      <c r="Y5405" t="n">
        <v>1</v>
      </c>
      <c r="Z5405" t="n">
        <v>2</v>
      </c>
      <c r="AA5405" t="n">
        <v>0</v>
      </c>
      <c r="AB5405" t="n">
        <v>2</v>
      </c>
      <c r="AC5405" t="n">
        <v>3</v>
      </c>
      <c r="AD5405" t="n">
        <v>0</v>
      </c>
      <c r="AE5405" t="n">
        <v>155250</v>
      </c>
      <c r="AF5405" t="n">
        <v>11196</v>
      </c>
      <c r="AG5405" t="n">
        <v>54</v>
      </c>
      <c r="AH5405" t="inlineStr">
        <is>
          <t>PT. MIRANTI ADILLHA - PPN (PDG)</t>
        </is>
      </c>
      <c r="AI5405" t="n">
        <v>54</v>
      </c>
      <c r="AJ5405" t="inlineStr">
        <is>
          <t>SOMETHINC</t>
        </is>
      </c>
      <c r="AK5405" t="n">
        <v>21</v>
      </c>
      <c r="AL5405" t="inlineStr">
        <is>
          <t>Miss Glam Damar</t>
        </is>
      </c>
      <c r="AM5405" t="n">
        <v>2</v>
      </c>
      <c r="AN5405" t="n">
        <v>500000</v>
      </c>
      <c r="AO5405" t="n">
        <v>0</v>
      </c>
      <c r="AP5405" t="inlineStr"/>
      <c r="AQ5405" t="inlineStr"/>
    </row>
    <row r="5406">
      <c r="A5406" t="inlineStr">
        <is>
          <t>SOMETHINC</t>
        </is>
      </c>
      <c r="B5406" s="2">
        <f>"20200469820"</f>
        <v/>
      </c>
      <c r="C5406" t="inlineStr">
        <is>
          <t>SOMETHINC Browcara 24 Hold Waterproof Brow Gel Clear 3ml</t>
        </is>
      </c>
      <c r="D5406" t="inlineStr">
        <is>
          <t>Miss Glam Damar</t>
        </is>
      </c>
      <c r="E5406" t="n">
        <v>8</v>
      </c>
      <c r="F5406" t="n">
        <v>0.0819</v>
      </c>
      <c r="G5406" t="n">
        <v>0.91</v>
      </c>
      <c r="H5406" t="n">
        <v>1</v>
      </c>
      <c r="I5406" t="n">
        <v>7</v>
      </c>
      <c r="J5406" t="n">
        <v>1</v>
      </c>
      <c r="K5406" t="n">
        <v>0</v>
      </c>
      <c r="L5406" t="n">
        <v>66750</v>
      </c>
      <c r="M5406" t="n">
        <v>89000</v>
      </c>
      <c r="N5406" t="n">
        <v>91</v>
      </c>
      <c r="O5406" t="n">
        <v>0.91</v>
      </c>
      <c r="P5406" t="n">
        <v>1</v>
      </c>
      <c r="Q5406" t="n">
        <v>0.08</v>
      </c>
      <c r="R5406" t="n">
        <v>1</v>
      </c>
      <c r="S5406" t="n">
        <v>7289.1</v>
      </c>
      <c r="T5406" t="n">
        <v>7</v>
      </c>
      <c r="U5406" t="n">
        <v>8</v>
      </c>
      <c r="V5406" t="n">
        <v>30</v>
      </c>
      <c r="W5406" t="n">
        <v>3</v>
      </c>
      <c r="X5406" t="n">
        <v>97.68009768009767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11196</v>
      </c>
      <c r="AG5406" t="n">
        <v>54</v>
      </c>
      <c r="AH5406" t="inlineStr">
        <is>
          <t>PT. MIRANTI ADILLHA - PPN (PDG)</t>
        </is>
      </c>
      <c r="AI5406" t="n">
        <v>54</v>
      </c>
      <c r="AJ5406" t="inlineStr">
        <is>
          <t>SOMETHINC</t>
        </is>
      </c>
      <c r="AK5406" t="n">
        <v>21</v>
      </c>
      <c r="AL5406" t="inlineStr">
        <is>
          <t>Miss Glam Damar</t>
        </is>
      </c>
      <c r="AM5406" t="n">
        <v>2</v>
      </c>
      <c r="AN5406" t="n">
        <v>500000</v>
      </c>
      <c r="AO5406" t="n">
        <v>0</v>
      </c>
      <c r="AP5406" t="inlineStr"/>
      <c r="AQ5406" t="inlineStr"/>
    </row>
    <row r="5407">
      <c r="A5407" t="inlineStr">
        <is>
          <t>SOMETHINC</t>
        </is>
      </c>
      <c r="B5407" s="2">
        <f>"20200469727"</f>
        <v/>
      </c>
      <c r="C5407" t="inlineStr">
        <is>
          <t>SOMETHINC Browcara 24 Hold Waterproof Brow Gel Dark Brown 3ml</t>
        </is>
      </c>
      <c r="D5407" t="inlineStr">
        <is>
          <t>Miss Glam Damar</t>
        </is>
      </c>
      <c r="E5407" t="n">
        <v>4</v>
      </c>
      <c r="F5407" t="n">
        <v>0.2457</v>
      </c>
      <c r="G5407" t="n">
        <v>1.82</v>
      </c>
      <c r="H5407" t="n">
        <v>1</v>
      </c>
      <c r="I5407" t="n">
        <v>7</v>
      </c>
      <c r="J5407" t="n">
        <v>1</v>
      </c>
      <c r="K5407" t="n">
        <v>0</v>
      </c>
      <c r="L5407" t="n">
        <v>66750</v>
      </c>
      <c r="M5407" t="n">
        <v>89000</v>
      </c>
      <c r="N5407" t="n">
        <v>91</v>
      </c>
      <c r="O5407" t="n">
        <v>0.91</v>
      </c>
      <c r="P5407" t="n">
        <v>1</v>
      </c>
      <c r="Q5407" t="n">
        <v>0.22</v>
      </c>
      <c r="R5407" t="n">
        <v>2</v>
      </c>
      <c r="S5407" t="n">
        <v>21867.3</v>
      </c>
      <c r="T5407" t="n">
        <v>13</v>
      </c>
      <c r="U5407" t="n">
        <v>14</v>
      </c>
      <c r="V5407" t="n">
        <v>30</v>
      </c>
      <c r="W5407" t="n">
        <v>8</v>
      </c>
      <c r="X5407" t="n">
        <v>16.28001628001628</v>
      </c>
      <c r="Y5407" t="n">
        <v>1</v>
      </c>
      <c r="Z5407" t="n">
        <v>4</v>
      </c>
      <c r="AA5407" t="n">
        <v>0</v>
      </c>
      <c r="AB5407" t="n">
        <v>4</v>
      </c>
      <c r="AC5407" t="n">
        <v>4</v>
      </c>
      <c r="AD5407" t="n">
        <v>0</v>
      </c>
      <c r="AE5407" t="n">
        <v>267000</v>
      </c>
      <c r="AF5407" t="n">
        <v>11196</v>
      </c>
      <c r="AG5407" t="n">
        <v>54</v>
      </c>
      <c r="AH5407" t="inlineStr">
        <is>
          <t>PT. MIRANTI ADILLHA - PPN (PDG)</t>
        </is>
      </c>
      <c r="AI5407" t="n">
        <v>54</v>
      </c>
      <c r="AJ5407" t="inlineStr">
        <is>
          <t>SOMETHINC</t>
        </is>
      </c>
      <c r="AK5407" t="n">
        <v>21</v>
      </c>
      <c r="AL5407" t="inlineStr">
        <is>
          <t>Miss Glam Damar</t>
        </is>
      </c>
      <c r="AM5407" t="n">
        <v>2</v>
      </c>
      <c r="AN5407" t="n">
        <v>500000</v>
      </c>
      <c r="AO5407" t="n">
        <v>0</v>
      </c>
      <c r="AP5407" t="inlineStr"/>
      <c r="AQ5407" t="inlineStr"/>
    </row>
    <row r="5408">
      <c r="A5408" t="inlineStr">
        <is>
          <t>SOMETHINC</t>
        </is>
      </c>
      <c r="B5408" s="2">
        <f>"20200469638"</f>
        <v/>
      </c>
      <c r="C5408" t="inlineStr">
        <is>
          <t>SOMETHINC Browcara 24 Hold Waterproof Brow Gel Medium Brown 3ml</t>
        </is>
      </c>
      <c r="D5408" t="inlineStr">
        <is>
          <t>Miss Glam Damar</t>
        </is>
      </c>
      <c r="E5408" t="n">
        <v>2</v>
      </c>
      <c r="F5408" t="n">
        <v>0.0364</v>
      </c>
      <c r="G5408" t="n">
        <v>0.91</v>
      </c>
      <c r="H5408" t="n">
        <v>1</v>
      </c>
      <c r="I5408" t="n">
        <v>7</v>
      </c>
      <c r="J5408" t="n">
        <v>1</v>
      </c>
      <c r="K5408" t="n">
        <v>0</v>
      </c>
      <c r="L5408" t="n">
        <v>66750</v>
      </c>
      <c r="M5408" t="n">
        <v>89000</v>
      </c>
      <c r="N5408" t="n">
        <v>91</v>
      </c>
      <c r="O5408" t="n">
        <v>0.91</v>
      </c>
      <c r="P5408" t="n">
        <v>1</v>
      </c>
      <c r="Q5408" t="n">
        <v>0.1</v>
      </c>
      <c r="R5408" t="n">
        <v>1</v>
      </c>
      <c r="S5408" t="n">
        <v>3239.6</v>
      </c>
      <c r="T5408" t="n">
        <v>7</v>
      </c>
      <c r="U5408" t="n">
        <v>8</v>
      </c>
      <c r="V5408" t="n">
        <v>30</v>
      </c>
      <c r="W5408" t="n">
        <v>2</v>
      </c>
      <c r="X5408" t="n">
        <v>54.94505494505494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11196</v>
      </c>
      <c r="AG5408" t="n">
        <v>54</v>
      </c>
      <c r="AH5408" t="inlineStr">
        <is>
          <t>PT. MIRANTI ADILLHA - PPN (PDG)</t>
        </is>
      </c>
      <c r="AI5408" t="n">
        <v>54</v>
      </c>
      <c r="AJ5408" t="inlineStr">
        <is>
          <t>SOMETHINC</t>
        </is>
      </c>
      <c r="AK5408" t="n">
        <v>21</v>
      </c>
      <c r="AL5408" t="inlineStr">
        <is>
          <t>Miss Glam Damar</t>
        </is>
      </c>
      <c r="AM5408" t="n">
        <v>2</v>
      </c>
      <c r="AN5408" t="n">
        <v>500000</v>
      </c>
      <c r="AO5408" t="n">
        <v>0</v>
      </c>
      <c r="AP5408" t="inlineStr"/>
      <c r="AQ5408" t="inlineStr"/>
    </row>
    <row r="5409">
      <c r="A5409" t="inlineStr">
        <is>
          <t>SOMETHINC</t>
        </is>
      </c>
      <c r="B5409" s="2">
        <f>"10100720948"</f>
        <v/>
      </c>
      <c r="C5409" t="inlineStr">
        <is>
          <t>SOMETHINC Calm Down Gentel Micellar Water 100ml</t>
        </is>
      </c>
      <c r="D5409" t="inlineStr">
        <is>
          <t>Miss Glam Damar</t>
        </is>
      </c>
      <c r="E5409" t="n">
        <v>9</v>
      </c>
      <c r="F5409" t="n">
        <v>0.09100000000000001</v>
      </c>
      <c r="G5409" t="n">
        <v>0.91</v>
      </c>
      <c r="H5409" t="n">
        <v>1</v>
      </c>
      <c r="I5409" t="n">
        <v>7</v>
      </c>
      <c r="J5409" t="n">
        <v>3</v>
      </c>
      <c r="K5409" t="n">
        <v>0</v>
      </c>
      <c r="L5409" t="n">
        <v>29925</v>
      </c>
      <c r="M5409" t="n">
        <v>40000</v>
      </c>
      <c r="N5409" t="n">
        <v>91</v>
      </c>
      <c r="O5409" t="n">
        <v>0.91</v>
      </c>
      <c r="P5409" t="n">
        <v>1</v>
      </c>
      <c r="Q5409" t="n">
        <v>0.1</v>
      </c>
      <c r="R5409" t="n">
        <v>1</v>
      </c>
      <c r="S5409" t="n">
        <v>3640</v>
      </c>
      <c r="T5409" t="n">
        <v>7</v>
      </c>
      <c r="U5409" t="n">
        <v>8</v>
      </c>
      <c r="V5409" t="n">
        <v>30</v>
      </c>
      <c r="W5409" t="n">
        <v>3</v>
      </c>
      <c r="X5409" t="n">
        <v>98.90109890109889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11196</v>
      </c>
      <c r="AG5409" t="n">
        <v>54</v>
      </c>
      <c r="AH5409" t="inlineStr">
        <is>
          <t>PT. MIRANTI ADILLHA - PPN (PDG)</t>
        </is>
      </c>
      <c r="AI5409" t="n">
        <v>54</v>
      </c>
      <c r="AJ5409" t="inlineStr">
        <is>
          <t>SOMETHINC</t>
        </is>
      </c>
      <c r="AK5409" t="n">
        <v>21</v>
      </c>
      <c r="AL5409" t="inlineStr">
        <is>
          <t>Miss Glam Damar</t>
        </is>
      </c>
      <c r="AM5409" t="n">
        <v>2</v>
      </c>
      <c r="AN5409" t="n">
        <v>500000</v>
      </c>
      <c r="AO5409" t="n">
        <v>0</v>
      </c>
      <c r="AP5409" t="inlineStr"/>
      <c r="AQ5409" t="inlineStr"/>
    </row>
    <row r="5410">
      <c r="A5410" t="inlineStr">
        <is>
          <t>SOMETHINC</t>
        </is>
      </c>
      <c r="B5410" s="2">
        <f>"10100720819"</f>
        <v/>
      </c>
      <c r="C5410" t="inlineStr">
        <is>
          <t>SOMETHINC Calm Down Gentel Micellar Water 400ml</t>
        </is>
      </c>
      <c r="D5410" t="inlineStr">
        <is>
          <t>Miss Glam Damar</t>
        </is>
      </c>
      <c r="E5410" t="n">
        <v>6</v>
      </c>
      <c r="F5410" t="n">
        <v>0.1274</v>
      </c>
      <c r="G5410" t="n">
        <v>0.91</v>
      </c>
      <c r="H5410" t="n">
        <v>1</v>
      </c>
      <c r="I5410" t="n">
        <v>7</v>
      </c>
      <c r="J5410" t="n">
        <v>3</v>
      </c>
      <c r="K5410" t="n">
        <v>0</v>
      </c>
      <c r="L5410" t="n">
        <v>74925</v>
      </c>
      <c r="M5410" t="n">
        <v>99900</v>
      </c>
      <c r="N5410" t="n">
        <v>91</v>
      </c>
      <c r="O5410" t="n">
        <v>0.91</v>
      </c>
      <c r="P5410" t="n">
        <v>1</v>
      </c>
      <c r="Q5410" t="n">
        <v>0.05</v>
      </c>
      <c r="R5410" t="n">
        <v>1</v>
      </c>
      <c r="S5410" t="n">
        <v>12727.26</v>
      </c>
      <c r="T5410" t="n">
        <v>7</v>
      </c>
      <c r="U5410" t="n">
        <v>8</v>
      </c>
      <c r="V5410" t="n">
        <v>30</v>
      </c>
      <c r="W5410" t="n">
        <v>4</v>
      </c>
      <c r="X5410" t="n">
        <v>47.09576138147566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11196</v>
      </c>
      <c r="AG5410" t="n">
        <v>54</v>
      </c>
      <c r="AH5410" t="inlineStr">
        <is>
          <t>PT. MIRANTI ADILLHA - PPN (PDG)</t>
        </is>
      </c>
      <c r="AI5410" t="n">
        <v>54</v>
      </c>
      <c r="AJ5410" t="inlineStr">
        <is>
          <t>SOMETHINC</t>
        </is>
      </c>
      <c r="AK5410" t="n">
        <v>21</v>
      </c>
      <c r="AL5410" t="inlineStr">
        <is>
          <t>Miss Glam Damar</t>
        </is>
      </c>
      <c r="AM5410" t="n">
        <v>2</v>
      </c>
      <c r="AN5410" t="n">
        <v>500000</v>
      </c>
      <c r="AO5410" t="n">
        <v>0</v>
      </c>
      <c r="AP5410" t="inlineStr"/>
      <c r="AQ5410" t="inlineStr"/>
    </row>
    <row r="5411">
      <c r="A5411" t="inlineStr">
        <is>
          <t>SOMETHINC</t>
        </is>
      </c>
      <c r="B5411" s="2">
        <f>"8991752004687"</f>
        <v/>
      </c>
      <c r="C5411" t="inlineStr">
        <is>
          <t>SOMETHINC Calm Down Skinpair Bubble Cleanser 120ml</t>
        </is>
      </c>
      <c r="D5411" t="inlineStr">
        <is>
          <t>Miss Glam Damar</t>
        </is>
      </c>
      <c r="E5411" t="n">
        <v>5</v>
      </c>
      <c r="F5411" t="n">
        <v>0.1092</v>
      </c>
      <c r="G5411" t="n">
        <v>0.91</v>
      </c>
      <c r="H5411" t="n">
        <v>1</v>
      </c>
      <c r="I5411" t="n">
        <v>7</v>
      </c>
      <c r="J5411" t="n">
        <v>3</v>
      </c>
      <c r="K5411" t="n">
        <v>0</v>
      </c>
      <c r="L5411" t="n">
        <v>76500</v>
      </c>
      <c r="M5411" t="n">
        <v>102000</v>
      </c>
      <c r="N5411" t="n">
        <v>91</v>
      </c>
      <c r="O5411" t="n">
        <v>0.91</v>
      </c>
      <c r="P5411" t="n">
        <v>1</v>
      </c>
      <c r="Q5411" t="n">
        <v>0.15</v>
      </c>
      <c r="R5411" t="n">
        <v>1</v>
      </c>
      <c r="S5411" t="n">
        <v>11138.4</v>
      </c>
      <c r="T5411" t="n">
        <v>7</v>
      </c>
      <c r="U5411" t="n">
        <v>8</v>
      </c>
      <c r="V5411" t="n">
        <v>30</v>
      </c>
      <c r="W5411" t="n">
        <v>4</v>
      </c>
      <c r="X5411" t="n">
        <v>45.78754578754579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11196</v>
      </c>
      <c r="AG5411" t="n">
        <v>54</v>
      </c>
      <c r="AH5411" t="inlineStr">
        <is>
          <t>PT. MIRANTI ADILLHA - PPN (PDG)</t>
        </is>
      </c>
      <c r="AI5411" t="n">
        <v>54</v>
      </c>
      <c r="AJ5411" t="inlineStr">
        <is>
          <t>SOMETHINC</t>
        </is>
      </c>
      <c r="AK5411" t="n">
        <v>21</v>
      </c>
      <c r="AL5411" t="inlineStr">
        <is>
          <t>Miss Glam Damar</t>
        </is>
      </c>
      <c r="AM5411" t="n">
        <v>2</v>
      </c>
      <c r="AN5411" t="n">
        <v>500000</v>
      </c>
      <c r="AO5411" t="n">
        <v>0</v>
      </c>
      <c r="AP5411" t="inlineStr"/>
      <c r="AQ5411" t="inlineStr"/>
    </row>
    <row r="5412">
      <c r="A5412" t="inlineStr">
        <is>
          <t>SOMETHINC</t>
        </is>
      </c>
      <c r="B5412" s="2">
        <f>"8991752004724"</f>
        <v/>
      </c>
      <c r="C5412" t="inlineStr">
        <is>
          <t>SOMETHINC Calm Down Skinpair R-Cover Cream 30gr</t>
        </is>
      </c>
      <c r="D5412" t="inlineStr">
        <is>
          <t>Miss Glam Damar</t>
        </is>
      </c>
      <c r="E5412" t="n">
        <v>9</v>
      </c>
      <c r="F5412" t="n">
        <v>1.2649</v>
      </c>
      <c r="G5412" t="n">
        <v>5.46</v>
      </c>
      <c r="H5412" t="n">
        <v>1</v>
      </c>
      <c r="I5412" t="n">
        <v>7</v>
      </c>
      <c r="J5412" t="n">
        <v>3</v>
      </c>
      <c r="K5412" t="n">
        <v>0</v>
      </c>
      <c r="L5412" t="n">
        <v>96750</v>
      </c>
      <c r="M5412" t="n">
        <v>129000</v>
      </c>
      <c r="N5412" t="n">
        <v>91</v>
      </c>
      <c r="O5412" t="n">
        <v>0.91</v>
      </c>
      <c r="P5412" t="n">
        <v>1</v>
      </c>
      <c r="Q5412" t="n">
        <v>1.03</v>
      </c>
      <c r="R5412" t="n">
        <v>3</v>
      </c>
      <c r="S5412" t="n">
        <v>163172.1</v>
      </c>
      <c r="T5412" t="n">
        <v>37</v>
      </c>
      <c r="U5412" t="n">
        <v>39</v>
      </c>
      <c r="V5412" t="n">
        <v>30</v>
      </c>
      <c r="W5412" t="n">
        <v>38</v>
      </c>
      <c r="X5412" t="n">
        <v>7.11518697130208</v>
      </c>
      <c r="Y5412" t="n">
        <v>1</v>
      </c>
      <c r="Z5412" t="n">
        <v>29</v>
      </c>
      <c r="AA5412" t="n">
        <v>0</v>
      </c>
      <c r="AB5412" t="n">
        <v>29</v>
      </c>
      <c r="AC5412" t="n">
        <v>29</v>
      </c>
      <c r="AD5412" t="n">
        <v>0</v>
      </c>
      <c r="AE5412" t="n">
        <v>2805750</v>
      </c>
      <c r="AF5412" t="n">
        <v>11196</v>
      </c>
      <c r="AG5412" t="n">
        <v>54</v>
      </c>
      <c r="AH5412" t="inlineStr">
        <is>
          <t>PT. MIRANTI ADILLHA - PPN (PDG)</t>
        </is>
      </c>
      <c r="AI5412" t="n">
        <v>54</v>
      </c>
      <c r="AJ5412" t="inlineStr">
        <is>
          <t>SOMETHINC</t>
        </is>
      </c>
      <c r="AK5412" t="n">
        <v>21</v>
      </c>
      <c r="AL5412" t="inlineStr">
        <is>
          <t>Miss Glam Damar</t>
        </is>
      </c>
      <c r="AM5412" t="n">
        <v>2</v>
      </c>
      <c r="AN5412" t="n">
        <v>500000</v>
      </c>
      <c r="AO5412" t="n">
        <v>0</v>
      </c>
      <c r="AP5412" t="inlineStr"/>
      <c r="AQ5412" t="inlineStr"/>
    </row>
    <row r="5413">
      <c r="A5413" t="inlineStr">
        <is>
          <t>SOMETHINC</t>
        </is>
      </c>
      <c r="B5413" s="2">
        <f>"8991752005134"</f>
        <v/>
      </c>
      <c r="C5413" t="inlineStr">
        <is>
          <t>SOMETHINC Calm Down Skinpair R-Cover Cream 50ml</t>
        </is>
      </c>
      <c r="D5413" t="inlineStr">
        <is>
          <t>Miss Glam Damar</t>
        </is>
      </c>
      <c r="E5413" t="n">
        <v>1</v>
      </c>
      <c r="F5413" t="n">
        <v>0.06370000000000001</v>
      </c>
      <c r="G5413" t="n">
        <v>0.91</v>
      </c>
      <c r="H5413" t="n">
        <v>1</v>
      </c>
      <c r="I5413" t="n">
        <v>7</v>
      </c>
      <c r="J5413" t="n">
        <v>3</v>
      </c>
      <c r="K5413" t="n">
        <v>0</v>
      </c>
      <c r="L5413" t="n">
        <v>149250</v>
      </c>
      <c r="M5413" t="n">
        <v>199000</v>
      </c>
      <c r="N5413" t="n">
        <v>91</v>
      </c>
      <c r="O5413" t="n">
        <v>0.91</v>
      </c>
      <c r="P5413" t="n">
        <v>1</v>
      </c>
      <c r="Q5413" t="n">
        <v>0.2</v>
      </c>
      <c r="R5413" t="n">
        <v>1</v>
      </c>
      <c r="S5413" t="n">
        <v>12676.3</v>
      </c>
      <c r="T5413" t="n">
        <v>7</v>
      </c>
      <c r="U5413" t="n">
        <v>8</v>
      </c>
      <c r="V5413" t="n">
        <v>30</v>
      </c>
      <c r="W5413" t="n">
        <v>2</v>
      </c>
      <c r="X5413" t="n">
        <v>15.69858712715855</v>
      </c>
      <c r="Y5413" t="n">
        <v>1</v>
      </c>
      <c r="Z5413" t="n">
        <v>1</v>
      </c>
      <c r="AA5413" t="n">
        <v>0</v>
      </c>
      <c r="AB5413" t="n">
        <v>1</v>
      </c>
      <c r="AC5413" t="n">
        <v>3</v>
      </c>
      <c r="AD5413" t="n">
        <v>0</v>
      </c>
      <c r="AE5413" t="n">
        <v>447750</v>
      </c>
      <c r="AF5413" t="n">
        <v>11196</v>
      </c>
      <c r="AG5413" t="n">
        <v>54</v>
      </c>
      <c r="AH5413" t="inlineStr">
        <is>
          <t>PT. MIRANTI ADILLHA - PPN (PDG)</t>
        </is>
      </c>
      <c r="AI5413" t="n">
        <v>54</v>
      </c>
      <c r="AJ5413" t="inlineStr">
        <is>
          <t>SOMETHINC</t>
        </is>
      </c>
      <c r="AK5413" t="n">
        <v>21</v>
      </c>
      <c r="AL5413" t="inlineStr">
        <is>
          <t>Miss Glam Damar</t>
        </is>
      </c>
      <c r="AM5413" t="n">
        <v>2</v>
      </c>
      <c r="AN5413" t="n">
        <v>500000</v>
      </c>
      <c r="AO5413" t="n">
        <v>0</v>
      </c>
      <c r="AP5413" t="inlineStr"/>
      <c r="AQ5413" t="inlineStr"/>
    </row>
    <row r="5414">
      <c r="A5414" t="inlineStr">
        <is>
          <t>SOMETHINC</t>
        </is>
      </c>
      <c r="B5414" s="2">
        <f>"8991752005141"</f>
        <v/>
      </c>
      <c r="C5414" t="inlineStr">
        <is>
          <t>SOMETHINC Calm Down Skinpair R-Cover Cream 50ml Refill</t>
        </is>
      </c>
      <c r="D5414" t="inlineStr">
        <is>
          <t>Miss Glam Damar</t>
        </is>
      </c>
      <c r="E5414" t="n">
        <v>25</v>
      </c>
      <c r="F5414" t="n">
        <v>0.5096000000000001</v>
      </c>
      <c r="G5414" t="n">
        <v>3.64</v>
      </c>
      <c r="H5414" t="n">
        <v>1</v>
      </c>
      <c r="I5414" t="n">
        <v>7</v>
      </c>
      <c r="J5414" t="n">
        <v>3</v>
      </c>
      <c r="K5414" t="n">
        <v>0</v>
      </c>
      <c r="L5414" t="n">
        <v>134250</v>
      </c>
      <c r="M5414" t="n">
        <v>179000</v>
      </c>
      <c r="N5414" t="n">
        <v>91</v>
      </c>
      <c r="O5414" t="n">
        <v>0.91</v>
      </c>
      <c r="P5414" t="n">
        <v>1</v>
      </c>
      <c r="Q5414" t="n">
        <v>0.58</v>
      </c>
      <c r="R5414" t="n">
        <v>3</v>
      </c>
      <c r="S5414" t="n">
        <v>91218.40000000001</v>
      </c>
      <c r="T5414" t="n">
        <v>25</v>
      </c>
      <c r="U5414" t="n">
        <v>26</v>
      </c>
      <c r="V5414" t="n">
        <v>30</v>
      </c>
      <c r="W5414" t="n">
        <v>16</v>
      </c>
      <c r="X5414" t="n">
        <v>49.05808477237048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11196</v>
      </c>
      <c r="AG5414" t="n">
        <v>54</v>
      </c>
      <c r="AH5414" t="inlineStr">
        <is>
          <t>PT. MIRANTI ADILLHA - PPN (PDG)</t>
        </is>
      </c>
      <c r="AI5414" t="n">
        <v>54</v>
      </c>
      <c r="AJ5414" t="inlineStr">
        <is>
          <t>SOMETHINC</t>
        </is>
      </c>
      <c r="AK5414" t="n">
        <v>21</v>
      </c>
      <c r="AL5414" t="inlineStr">
        <is>
          <t>Miss Glam Damar</t>
        </is>
      </c>
      <c r="AM5414" t="n">
        <v>2</v>
      </c>
      <c r="AN5414" t="n">
        <v>500000</v>
      </c>
      <c r="AO5414" t="n">
        <v>0</v>
      </c>
      <c r="AP5414" t="inlineStr"/>
      <c r="AQ5414" t="inlineStr"/>
    </row>
    <row r="5415">
      <c r="A5415" t="inlineStr">
        <is>
          <t>SOMETHINC</t>
        </is>
      </c>
      <c r="B5415" s="2">
        <f>"11200219215"</f>
        <v/>
      </c>
      <c r="C5415" t="inlineStr">
        <is>
          <t>SOMETHINC Calm Down! Skinpair Barrier Serum - 20ml (V2)</t>
        </is>
      </c>
      <c r="D5415" t="inlineStr">
        <is>
          <t>Miss Glam Damar</t>
        </is>
      </c>
      <c r="E5415" t="n">
        <v>4</v>
      </c>
      <c r="F5415" t="n">
        <v>0.06370000000000001</v>
      </c>
      <c r="G5415" t="n">
        <v>1.82</v>
      </c>
      <c r="H5415" t="n">
        <v>1</v>
      </c>
      <c r="I5415" t="n">
        <v>7</v>
      </c>
      <c r="J5415" t="n">
        <v>1</v>
      </c>
      <c r="K5415" t="n">
        <v>0</v>
      </c>
      <c r="L5415" t="n">
        <v>96750</v>
      </c>
      <c r="M5415" t="n">
        <v>129000</v>
      </c>
      <c r="N5415" t="n">
        <v>91</v>
      </c>
      <c r="O5415" t="n">
        <v>0.91</v>
      </c>
      <c r="P5415" t="n">
        <v>1</v>
      </c>
      <c r="Q5415" t="n">
        <v>0.07000000000000001</v>
      </c>
      <c r="R5415" t="n">
        <v>1</v>
      </c>
      <c r="S5415" t="n">
        <v>8217.300000000001</v>
      </c>
      <c r="T5415" t="n">
        <v>13</v>
      </c>
      <c r="U5415" t="n">
        <v>14</v>
      </c>
      <c r="V5415" t="n">
        <v>30</v>
      </c>
      <c r="W5415" t="n">
        <v>2</v>
      </c>
      <c r="X5415" t="n">
        <v>62.79434850863422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11196</v>
      </c>
      <c r="AG5415" t="n">
        <v>54</v>
      </c>
      <c r="AH5415" t="inlineStr">
        <is>
          <t>PT. MIRANTI ADILLHA - PPN (PDG)</t>
        </is>
      </c>
      <c r="AI5415" t="n">
        <v>54</v>
      </c>
      <c r="AJ5415" t="inlineStr">
        <is>
          <t>SOMETHINC</t>
        </is>
      </c>
      <c r="AK5415" t="n">
        <v>21</v>
      </c>
      <c r="AL5415" t="inlineStr">
        <is>
          <t>Miss Glam Damar</t>
        </is>
      </c>
      <c r="AM5415" t="n">
        <v>2</v>
      </c>
      <c r="AN5415" t="n">
        <v>500000</v>
      </c>
      <c r="AO5415" t="n">
        <v>0</v>
      </c>
      <c r="AP5415" t="inlineStr"/>
      <c r="AQ5415" t="inlineStr"/>
    </row>
    <row r="5416">
      <c r="A5416" t="inlineStr">
        <is>
          <t>SOMETHINC</t>
        </is>
      </c>
      <c r="B5416" s="2">
        <f>"8991752003758"</f>
        <v/>
      </c>
      <c r="C5416" t="inlineStr">
        <is>
          <t>SOMETHINC Ceramic Skin Saviour Moisturizer Gel 50ml (Reformulated #3)</t>
        </is>
      </c>
      <c r="D5416" t="inlineStr">
        <is>
          <t>Miss Glam Damar</t>
        </is>
      </c>
      <c r="E5416" t="n">
        <v>5</v>
      </c>
      <c r="F5416" t="n">
        <v>0.0182</v>
      </c>
      <c r="G5416" t="n">
        <v>0.91</v>
      </c>
      <c r="H5416" t="n">
        <v>1</v>
      </c>
      <c r="I5416" t="n">
        <v>7</v>
      </c>
      <c r="J5416" t="n">
        <v>3</v>
      </c>
      <c r="K5416" t="n">
        <v>0</v>
      </c>
      <c r="L5416" t="n">
        <v>224250</v>
      </c>
      <c r="M5416" t="n">
        <v>299000</v>
      </c>
      <c r="N5416" t="n">
        <v>91</v>
      </c>
      <c r="O5416" t="n">
        <v>0.91</v>
      </c>
      <c r="P5416" t="n">
        <v>1</v>
      </c>
      <c r="Q5416" t="n">
        <v>0.07000000000000001</v>
      </c>
      <c r="R5416" t="n">
        <v>2</v>
      </c>
      <c r="S5416" t="n">
        <v>5441.8</v>
      </c>
      <c r="T5416" t="n">
        <v>7</v>
      </c>
      <c r="U5416" t="n">
        <v>8</v>
      </c>
      <c r="V5416" t="n">
        <v>30</v>
      </c>
      <c r="W5416" t="n">
        <v>1</v>
      </c>
      <c r="X5416" t="n">
        <v>274.7252747252747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11196</v>
      </c>
      <c r="AG5416" t="n">
        <v>54</v>
      </c>
      <c r="AH5416" t="inlineStr">
        <is>
          <t>PT. MIRANTI ADILLHA - PPN (PDG)</t>
        </is>
      </c>
      <c r="AI5416" t="n">
        <v>54</v>
      </c>
      <c r="AJ5416" t="inlineStr">
        <is>
          <t>SOMETHINC</t>
        </is>
      </c>
      <c r="AK5416" t="n">
        <v>21</v>
      </c>
      <c r="AL5416" t="inlineStr">
        <is>
          <t>Miss Glam Damar</t>
        </is>
      </c>
      <c r="AM5416" t="n">
        <v>2</v>
      </c>
      <c r="AN5416" t="n">
        <v>500000</v>
      </c>
      <c r="AO5416" t="n">
        <v>0</v>
      </c>
      <c r="AP5416" t="inlineStr"/>
      <c r="AQ5416" t="inlineStr"/>
    </row>
    <row r="5417">
      <c r="A5417" t="inlineStr">
        <is>
          <t>SOMETHINC</t>
        </is>
      </c>
      <c r="B5417" s="2">
        <f>"8991752006193"</f>
        <v/>
      </c>
      <c r="C5417" t="inlineStr">
        <is>
          <t>SOMETHINC Ceraplump Tinted Lip Balm 04 Lace 2gr</t>
        </is>
      </c>
      <c r="D5417" t="inlineStr">
        <is>
          <t>Miss Glam Damar</t>
        </is>
      </c>
      <c r="E5417" t="n">
        <v>4</v>
      </c>
      <c r="F5417" t="n">
        <v>0.0182</v>
      </c>
      <c r="G5417" t="n">
        <v>0.91</v>
      </c>
      <c r="H5417" t="n">
        <v>1</v>
      </c>
      <c r="I5417" t="n">
        <v>7</v>
      </c>
      <c r="J5417" t="n">
        <v>3</v>
      </c>
      <c r="K5417" t="n">
        <v>0</v>
      </c>
      <c r="L5417" t="n">
        <v>66750</v>
      </c>
      <c r="M5417" t="n">
        <v>89000</v>
      </c>
      <c r="N5417" t="n">
        <v>91</v>
      </c>
      <c r="O5417" t="n">
        <v>0.91</v>
      </c>
      <c r="P5417" t="n">
        <v>1</v>
      </c>
      <c r="Q5417" t="n">
        <v>0.05</v>
      </c>
      <c r="R5417" t="n">
        <v>1</v>
      </c>
      <c r="S5417" t="n">
        <v>1619.8</v>
      </c>
      <c r="T5417" t="n">
        <v>7</v>
      </c>
      <c r="U5417" t="n">
        <v>8</v>
      </c>
      <c r="V5417" t="n">
        <v>30</v>
      </c>
      <c r="W5417" t="n">
        <v>1</v>
      </c>
      <c r="X5417" t="n">
        <v>219.7802197802198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11196</v>
      </c>
      <c r="AG5417" t="n">
        <v>54</v>
      </c>
      <c r="AH5417" t="inlineStr">
        <is>
          <t>PT. MIRANTI ADILLHA - PPN (PDG)</t>
        </is>
      </c>
      <c r="AI5417" t="n">
        <v>54</v>
      </c>
      <c r="AJ5417" t="inlineStr">
        <is>
          <t>SOMETHINC</t>
        </is>
      </c>
      <c r="AK5417" t="n">
        <v>21</v>
      </c>
      <c r="AL5417" t="inlineStr">
        <is>
          <t>Miss Glam Damar</t>
        </is>
      </c>
      <c r="AM5417" t="n">
        <v>2</v>
      </c>
      <c r="AN5417" t="n">
        <v>500000</v>
      </c>
      <c r="AO5417" t="n">
        <v>0</v>
      </c>
      <c r="AP5417" t="inlineStr"/>
      <c r="AQ5417" t="inlineStr"/>
    </row>
    <row r="5418">
      <c r="A5418" t="inlineStr">
        <is>
          <t>SOMETHINC</t>
        </is>
      </c>
      <c r="B5418" s="2">
        <f>"8991752006209"</f>
        <v/>
      </c>
      <c r="C5418" t="inlineStr">
        <is>
          <t>SOMETHINC Ceraplump Tinted Lip Balm 05 Sangria 2gr</t>
        </is>
      </c>
      <c r="D5418" t="inlineStr">
        <is>
          <t>Miss Glam Damar</t>
        </is>
      </c>
      <c r="E5418" t="n">
        <v>8</v>
      </c>
      <c r="F5418" t="n">
        <v>0.0182</v>
      </c>
      <c r="G5418" t="n">
        <v>0.91</v>
      </c>
      <c r="H5418" t="n">
        <v>1</v>
      </c>
      <c r="I5418" t="n">
        <v>7</v>
      </c>
      <c r="J5418" t="n">
        <v>3</v>
      </c>
      <c r="K5418" t="n">
        <v>0</v>
      </c>
      <c r="L5418" t="n">
        <v>66750</v>
      </c>
      <c r="M5418" t="n">
        <v>89000</v>
      </c>
      <c r="N5418" t="n">
        <v>91</v>
      </c>
      <c r="O5418" t="n">
        <v>0.91</v>
      </c>
      <c r="P5418" t="n">
        <v>1</v>
      </c>
      <c r="Q5418" t="n">
        <v>0.17</v>
      </c>
      <c r="R5418" t="n">
        <v>2</v>
      </c>
      <c r="S5418" t="n">
        <v>1619.8</v>
      </c>
      <c r="T5418" t="n">
        <v>7</v>
      </c>
      <c r="U5418" t="n">
        <v>8</v>
      </c>
      <c r="V5418" t="n">
        <v>30</v>
      </c>
      <c r="W5418" t="n">
        <v>1</v>
      </c>
      <c r="X5418" t="n">
        <v>439.5604395604395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11196</v>
      </c>
      <c r="AG5418" t="n">
        <v>54</v>
      </c>
      <c r="AH5418" t="inlineStr">
        <is>
          <t>PT. MIRANTI ADILLHA - PPN (PDG)</t>
        </is>
      </c>
      <c r="AI5418" t="n">
        <v>54</v>
      </c>
      <c r="AJ5418" t="inlineStr">
        <is>
          <t>SOMETHINC</t>
        </is>
      </c>
      <c r="AK5418" t="n">
        <v>21</v>
      </c>
      <c r="AL5418" t="inlineStr">
        <is>
          <t>Miss Glam Damar</t>
        </is>
      </c>
      <c r="AM5418" t="n">
        <v>2</v>
      </c>
      <c r="AN5418" t="n">
        <v>500000</v>
      </c>
      <c r="AO5418" t="n">
        <v>0</v>
      </c>
      <c r="AP5418" t="inlineStr"/>
      <c r="AQ5418" t="inlineStr"/>
    </row>
    <row r="5419">
      <c r="A5419" t="inlineStr">
        <is>
          <t>SOMETHINC</t>
        </is>
      </c>
      <c r="B5419" s="2">
        <f>"8991752006216"</f>
        <v/>
      </c>
      <c r="C5419" t="inlineStr">
        <is>
          <t>SOMETHINC Ceraplump Tinted Lip Balm 06 Valentine 2gr</t>
        </is>
      </c>
      <c r="D5419" t="inlineStr">
        <is>
          <t>Miss Glam Damar</t>
        </is>
      </c>
      <c r="E5419" t="n">
        <v>7</v>
      </c>
      <c r="F5419" t="n">
        <v>0.0182</v>
      </c>
      <c r="G5419" t="n">
        <v>0.91</v>
      </c>
      <c r="H5419" t="n">
        <v>1</v>
      </c>
      <c r="I5419" t="n">
        <v>7</v>
      </c>
      <c r="J5419" t="n">
        <v>3</v>
      </c>
      <c r="K5419" t="n">
        <v>0</v>
      </c>
      <c r="L5419" t="n">
        <v>66750</v>
      </c>
      <c r="M5419" t="n">
        <v>89000</v>
      </c>
      <c r="N5419" t="n">
        <v>91</v>
      </c>
      <c r="O5419" t="n">
        <v>0.91</v>
      </c>
      <c r="P5419" t="n">
        <v>1</v>
      </c>
      <c r="Q5419" t="n">
        <v>0.17</v>
      </c>
      <c r="R5419" t="n">
        <v>2</v>
      </c>
      <c r="S5419" t="n">
        <v>1619.8</v>
      </c>
      <c r="T5419" t="n">
        <v>7</v>
      </c>
      <c r="U5419" t="n">
        <v>8</v>
      </c>
      <c r="V5419" t="n">
        <v>30</v>
      </c>
      <c r="W5419" t="n">
        <v>1</v>
      </c>
      <c r="X5419" t="n">
        <v>384.6153846153846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11196</v>
      </c>
      <c r="AG5419" t="n">
        <v>54</v>
      </c>
      <c r="AH5419" t="inlineStr">
        <is>
          <t>PT. MIRANTI ADILLHA - PPN (PDG)</t>
        </is>
      </c>
      <c r="AI5419" t="n">
        <v>54</v>
      </c>
      <c r="AJ5419" t="inlineStr">
        <is>
          <t>SOMETHINC</t>
        </is>
      </c>
      <c r="AK5419" t="n">
        <v>21</v>
      </c>
      <c r="AL5419" t="inlineStr">
        <is>
          <t>Miss Glam Damar</t>
        </is>
      </c>
      <c r="AM5419" t="n">
        <v>2</v>
      </c>
      <c r="AN5419" t="n">
        <v>500000</v>
      </c>
      <c r="AO5419" t="n">
        <v>0</v>
      </c>
      <c r="AP5419" t="inlineStr"/>
      <c r="AQ5419" t="inlineStr"/>
    </row>
    <row r="5420">
      <c r="A5420" t="inlineStr">
        <is>
          <t>SOMETHINC</t>
        </is>
      </c>
      <c r="B5420" s="2">
        <f>"8991752006650"</f>
        <v/>
      </c>
      <c r="C5420" t="inlineStr">
        <is>
          <t>SOMETHINC Ceraplump Tinted Lip Balm 08 Ribbon 2gr</t>
        </is>
      </c>
      <c r="D5420" t="inlineStr">
        <is>
          <t>Miss Glam Damar</t>
        </is>
      </c>
      <c r="E5420" t="n">
        <v>15</v>
      </c>
      <c r="F5420" t="n">
        <v>0.09100000000000001</v>
      </c>
      <c r="G5420" t="n">
        <v>0.91</v>
      </c>
      <c r="H5420" t="n">
        <v>1</v>
      </c>
      <c r="I5420" t="n">
        <v>7</v>
      </c>
      <c r="J5420" t="n">
        <v>3</v>
      </c>
      <c r="K5420" t="n">
        <v>0</v>
      </c>
      <c r="L5420" t="n">
        <v>66750</v>
      </c>
      <c r="M5420" t="n">
        <v>89000</v>
      </c>
      <c r="N5420" t="n">
        <v>91</v>
      </c>
      <c r="O5420" t="n">
        <v>0.91</v>
      </c>
      <c r="P5420" t="n">
        <v>1</v>
      </c>
      <c r="Q5420" t="n">
        <v>0.31</v>
      </c>
      <c r="R5420" t="n">
        <v>2</v>
      </c>
      <c r="S5420" t="n">
        <v>8099.000000000001</v>
      </c>
      <c r="T5420" t="n">
        <v>7</v>
      </c>
      <c r="U5420" t="n">
        <v>8</v>
      </c>
      <c r="V5420" t="n">
        <v>30</v>
      </c>
      <c r="W5420" t="n">
        <v>3</v>
      </c>
      <c r="X5420" t="n">
        <v>164.8351648351648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11196</v>
      </c>
      <c r="AG5420" t="n">
        <v>54</v>
      </c>
      <c r="AH5420" t="inlineStr">
        <is>
          <t>PT. MIRANTI ADILLHA - PPN (PDG)</t>
        </is>
      </c>
      <c r="AI5420" t="n">
        <v>54</v>
      </c>
      <c r="AJ5420" t="inlineStr">
        <is>
          <t>SOMETHINC</t>
        </is>
      </c>
      <c r="AK5420" t="n">
        <v>21</v>
      </c>
      <c r="AL5420" t="inlineStr">
        <is>
          <t>Miss Glam Damar</t>
        </is>
      </c>
      <c r="AM5420" t="n">
        <v>2</v>
      </c>
      <c r="AN5420" t="n">
        <v>500000</v>
      </c>
      <c r="AO5420" t="n">
        <v>0</v>
      </c>
      <c r="AP5420" t="inlineStr"/>
      <c r="AQ5420" t="inlineStr"/>
    </row>
    <row r="5421">
      <c r="A5421" t="inlineStr">
        <is>
          <t>SOMETHINC</t>
        </is>
      </c>
      <c r="B5421" s="2">
        <f>"8991752006681"</f>
        <v/>
      </c>
      <c r="C5421" t="inlineStr">
        <is>
          <t>SOMETHINC Ceraplump Tinted Lip Balm 11 Raisin 2gr</t>
        </is>
      </c>
      <c r="D5421" t="inlineStr">
        <is>
          <t>Miss Glam Damar</t>
        </is>
      </c>
      <c r="E5421" t="n">
        <v>2</v>
      </c>
      <c r="F5421" t="n">
        <v>0.03</v>
      </c>
      <c r="G5421" t="n">
        <v>1</v>
      </c>
      <c r="H5421" t="n">
        <v>1</v>
      </c>
      <c r="I5421" t="n">
        <v>7</v>
      </c>
      <c r="J5421" t="n">
        <v>3</v>
      </c>
      <c r="K5421" t="n">
        <v>0</v>
      </c>
      <c r="L5421" t="n">
        <v>66750</v>
      </c>
      <c r="M5421" t="n">
        <v>89000</v>
      </c>
      <c r="N5421" t="n">
        <v>91</v>
      </c>
      <c r="O5421" t="n">
        <v>0.91</v>
      </c>
      <c r="P5421" t="n">
        <v>0</v>
      </c>
      <c r="Q5421" t="n">
        <v>0.03</v>
      </c>
      <c r="R5421" t="n">
        <v>1</v>
      </c>
      <c r="S5421" t="n">
        <v>2670</v>
      </c>
      <c r="T5421" t="n">
        <v>7</v>
      </c>
      <c r="U5421" t="n">
        <v>8</v>
      </c>
      <c r="V5421" t="n">
        <v>30</v>
      </c>
      <c r="W5421" t="n">
        <v>1</v>
      </c>
      <c r="X5421" t="n">
        <v>66.66666666666667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11196</v>
      </c>
      <c r="AG5421" t="n">
        <v>54</v>
      </c>
      <c r="AH5421" t="inlineStr">
        <is>
          <t>PT. MIRANTI ADILLHA - PPN (PDG)</t>
        </is>
      </c>
      <c r="AI5421" t="n">
        <v>54</v>
      </c>
      <c r="AJ5421" t="inlineStr">
        <is>
          <t>SOMETHINC</t>
        </is>
      </c>
      <c r="AK5421" t="n">
        <v>21</v>
      </c>
      <c r="AL5421" t="inlineStr">
        <is>
          <t>Miss Glam Damar</t>
        </is>
      </c>
      <c r="AM5421" t="n">
        <v>2</v>
      </c>
      <c r="AN5421" t="n">
        <v>500000</v>
      </c>
      <c r="AO5421" t="n">
        <v>0</v>
      </c>
      <c r="AP5421" t="inlineStr"/>
      <c r="AQ5421" t="inlineStr"/>
    </row>
    <row r="5422">
      <c r="A5422" t="inlineStr">
        <is>
          <t>SOMETHINC</t>
        </is>
      </c>
      <c r="B5422" s="2">
        <f>"8991752006698"</f>
        <v/>
      </c>
      <c r="C5422" t="inlineStr">
        <is>
          <t>SOMETHINC Ceraplump Tinted Lip Balm Spf25  12 Couquette 2gr</t>
        </is>
      </c>
      <c r="D5422" t="inlineStr">
        <is>
          <t>Miss Glam Damar</t>
        </is>
      </c>
      <c r="E5422" t="n">
        <v>7</v>
      </c>
      <c r="F5422" t="n">
        <v>0.0728</v>
      </c>
      <c r="G5422" t="n">
        <v>0.91</v>
      </c>
      <c r="H5422" t="n">
        <v>1</v>
      </c>
      <c r="I5422" t="n">
        <v>7</v>
      </c>
      <c r="J5422" t="n">
        <v>3</v>
      </c>
      <c r="K5422" t="n">
        <v>0</v>
      </c>
      <c r="L5422" t="n">
        <v>66750</v>
      </c>
      <c r="M5422" t="n">
        <v>89000</v>
      </c>
      <c r="N5422" t="n">
        <v>91</v>
      </c>
      <c r="O5422" t="n">
        <v>0.91</v>
      </c>
      <c r="P5422" t="n">
        <v>1</v>
      </c>
      <c r="Q5422" t="n">
        <v>0.14</v>
      </c>
      <c r="R5422" t="n">
        <v>2</v>
      </c>
      <c r="S5422" t="n">
        <v>6479.200000000001</v>
      </c>
      <c r="T5422" t="n">
        <v>7</v>
      </c>
      <c r="U5422" t="n">
        <v>8</v>
      </c>
      <c r="V5422" t="n">
        <v>30</v>
      </c>
      <c r="W5422" t="n">
        <v>3</v>
      </c>
      <c r="X5422" t="n">
        <v>96.15384615384615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11196</v>
      </c>
      <c r="AG5422" t="n">
        <v>54</v>
      </c>
      <c r="AH5422" t="inlineStr">
        <is>
          <t>PT. MIRANTI ADILLHA - PPN (PDG)</t>
        </is>
      </c>
      <c r="AI5422" t="n">
        <v>54</v>
      </c>
      <c r="AJ5422" t="inlineStr">
        <is>
          <t>SOMETHINC</t>
        </is>
      </c>
      <c r="AK5422" t="n">
        <v>21</v>
      </c>
      <c r="AL5422" t="inlineStr">
        <is>
          <t>Miss Glam Damar</t>
        </is>
      </c>
      <c r="AM5422" t="n">
        <v>2</v>
      </c>
      <c r="AN5422" t="n">
        <v>500000</v>
      </c>
      <c r="AO5422" t="n">
        <v>0</v>
      </c>
      <c r="AP5422" t="inlineStr"/>
      <c r="AQ5422" t="inlineStr"/>
    </row>
    <row r="5423">
      <c r="A5423" t="inlineStr">
        <is>
          <t>SOMETHINC</t>
        </is>
      </c>
      <c r="B5423" s="2">
        <f>"8991752006162"</f>
        <v/>
      </c>
      <c r="C5423" t="inlineStr">
        <is>
          <t>SOMETHINC Ceraplump Tinted Lip Balm Spf25 01 Rabbit 2gr</t>
        </is>
      </c>
      <c r="D5423" t="inlineStr">
        <is>
          <t>Miss Glam Damar</t>
        </is>
      </c>
      <c r="E5423" t="n">
        <v>3</v>
      </c>
      <c r="F5423" t="n">
        <v>0.1092</v>
      </c>
      <c r="G5423" t="n">
        <v>0.91</v>
      </c>
      <c r="H5423" t="n">
        <v>1</v>
      </c>
      <c r="I5423" t="n">
        <v>7</v>
      </c>
      <c r="J5423" t="n">
        <v>3</v>
      </c>
      <c r="K5423" t="n">
        <v>0</v>
      </c>
      <c r="L5423" t="n">
        <v>66750</v>
      </c>
      <c r="M5423" t="n">
        <v>89000</v>
      </c>
      <c r="N5423" t="n">
        <v>91</v>
      </c>
      <c r="O5423" t="n">
        <v>0.91</v>
      </c>
      <c r="P5423" t="n">
        <v>1</v>
      </c>
      <c r="Q5423" t="n">
        <v>0.19</v>
      </c>
      <c r="R5423" t="n">
        <v>2</v>
      </c>
      <c r="S5423" t="n">
        <v>9718.800000000001</v>
      </c>
      <c r="T5423" t="n">
        <v>7</v>
      </c>
      <c r="U5423" t="n">
        <v>8</v>
      </c>
      <c r="V5423" t="n">
        <v>30</v>
      </c>
      <c r="W5423" t="n">
        <v>4</v>
      </c>
      <c r="X5423" t="n">
        <v>27.47252747252747</v>
      </c>
      <c r="Y5423" t="n">
        <v>1</v>
      </c>
      <c r="Z5423" t="n">
        <v>1</v>
      </c>
      <c r="AA5423" t="n">
        <v>0</v>
      </c>
      <c r="AB5423" t="n">
        <v>1</v>
      </c>
      <c r="AC5423" t="n">
        <v>3</v>
      </c>
      <c r="AD5423" t="n">
        <v>0</v>
      </c>
      <c r="AE5423" t="n">
        <v>200250</v>
      </c>
      <c r="AF5423" t="n">
        <v>11196</v>
      </c>
      <c r="AG5423" t="n">
        <v>54</v>
      </c>
      <c r="AH5423" t="inlineStr">
        <is>
          <t>PT. MIRANTI ADILLHA - PPN (PDG)</t>
        </is>
      </c>
      <c r="AI5423" t="n">
        <v>54</v>
      </c>
      <c r="AJ5423" t="inlineStr">
        <is>
          <t>SOMETHINC</t>
        </is>
      </c>
      <c r="AK5423" t="n">
        <v>21</v>
      </c>
      <c r="AL5423" t="inlineStr">
        <is>
          <t>Miss Glam Damar</t>
        </is>
      </c>
      <c r="AM5423" t="n">
        <v>2</v>
      </c>
      <c r="AN5423" t="n">
        <v>500000</v>
      </c>
      <c r="AO5423" t="n">
        <v>0</v>
      </c>
      <c r="AP5423" t="inlineStr"/>
      <c r="AQ5423" t="inlineStr"/>
    </row>
    <row r="5424">
      <c r="A5424" t="inlineStr">
        <is>
          <t>SOMETHINC</t>
        </is>
      </c>
      <c r="B5424" s="2">
        <f>"8991752006667"</f>
        <v/>
      </c>
      <c r="C5424" t="inlineStr">
        <is>
          <t>SOMETHINC Ceraplump Tinted Lip Balm Spf25 09 Sakura 2gr</t>
        </is>
      </c>
      <c r="D5424" t="inlineStr">
        <is>
          <t>Miss Glam Damar</t>
        </is>
      </c>
      <c r="E5424" t="n">
        <v>7</v>
      </c>
      <c r="F5424" t="n">
        <v>0.06370000000000001</v>
      </c>
      <c r="G5424" t="n">
        <v>0.91</v>
      </c>
      <c r="H5424" t="n">
        <v>1</v>
      </c>
      <c r="I5424" t="n">
        <v>7</v>
      </c>
      <c r="J5424" t="n">
        <v>3</v>
      </c>
      <c r="K5424" t="n">
        <v>0</v>
      </c>
      <c r="L5424" t="n">
        <v>66750</v>
      </c>
      <c r="M5424" t="n">
        <v>89000</v>
      </c>
      <c r="N5424" t="n">
        <v>91</v>
      </c>
      <c r="O5424" t="n">
        <v>0.91</v>
      </c>
      <c r="P5424" t="n">
        <v>1</v>
      </c>
      <c r="Q5424" t="n">
        <v>0.14</v>
      </c>
      <c r="R5424" t="n">
        <v>2</v>
      </c>
      <c r="S5424" t="n">
        <v>5669.3</v>
      </c>
      <c r="T5424" t="n">
        <v>7</v>
      </c>
      <c r="U5424" t="n">
        <v>8</v>
      </c>
      <c r="V5424" t="n">
        <v>30</v>
      </c>
      <c r="W5424" t="n">
        <v>2</v>
      </c>
      <c r="X5424" t="n">
        <v>109.8901098901099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11196</v>
      </c>
      <c r="AG5424" t="n">
        <v>54</v>
      </c>
      <c r="AH5424" t="inlineStr">
        <is>
          <t>PT. MIRANTI ADILLHA - PPN (PDG)</t>
        </is>
      </c>
      <c r="AI5424" t="n">
        <v>54</v>
      </c>
      <c r="AJ5424" t="inlineStr">
        <is>
          <t>SOMETHINC</t>
        </is>
      </c>
      <c r="AK5424" t="n">
        <v>21</v>
      </c>
      <c r="AL5424" t="inlineStr">
        <is>
          <t>Miss Glam Damar</t>
        </is>
      </c>
      <c r="AM5424" t="n">
        <v>2</v>
      </c>
      <c r="AN5424" t="n">
        <v>500000</v>
      </c>
      <c r="AO5424" t="n">
        <v>0</v>
      </c>
      <c r="AP5424" t="inlineStr"/>
      <c r="AQ5424" t="inlineStr"/>
    </row>
    <row r="5425">
      <c r="A5425" t="inlineStr">
        <is>
          <t>SOMETHINC</t>
        </is>
      </c>
      <c r="B5425" s="2">
        <f>"8991752006674"</f>
        <v/>
      </c>
      <c r="C5425" t="inlineStr">
        <is>
          <t>SOMETHINC Ceraplump Tinted Lip Balm Spf25 10 Walnut 2gr</t>
        </is>
      </c>
      <c r="D5425" t="inlineStr">
        <is>
          <t>Miss Glam Damar</t>
        </is>
      </c>
      <c r="E5425" t="n">
        <v>3</v>
      </c>
      <c r="F5425" t="n">
        <v>0.03</v>
      </c>
      <c r="G5425" t="n">
        <v>1</v>
      </c>
      <c r="H5425" t="n">
        <v>1</v>
      </c>
      <c r="I5425" t="n">
        <v>7</v>
      </c>
      <c r="J5425" t="n">
        <v>3</v>
      </c>
      <c r="K5425" t="n">
        <v>0</v>
      </c>
      <c r="L5425" t="n">
        <v>66750</v>
      </c>
      <c r="M5425" t="n">
        <v>89000</v>
      </c>
      <c r="N5425" t="n">
        <v>91</v>
      </c>
      <c r="O5425" t="n">
        <v>0.91</v>
      </c>
      <c r="P5425" t="n">
        <v>0</v>
      </c>
      <c r="Q5425" t="n">
        <v>0.03</v>
      </c>
      <c r="R5425" t="n">
        <v>1</v>
      </c>
      <c r="S5425" t="n">
        <v>2670</v>
      </c>
      <c r="T5425" t="n">
        <v>7</v>
      </c>
      <c r="U5425" t="n">
        <v>8</v>
      </c>
      <c r="V5425" t="n">
        <v>30</v>
      </c>
      <c r="W5425" t="n">
        <v>1</v>
      </c>
      <c r="X5425" t="n">
        <v>100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11196</v>
      </c>
      <c r="AG5425" t="n">
        <v>54</v>
      </c>
      <c r="AH5425" t="inlineStr">
        <is>
          <t>PT. MIRANTI ADILLHA - PPN (PDG)</t>
        </is>
      </c>
      <c r="AI5425" t="n">
        <v>54</v>
      </c>
      <c r="AJ5425" t="inlineStr">
        <is>
          <t>SOMETHINC</t>
        </is>
      </c>
      <c r="AK5425" t="n">
        <v>21</v>
      </c>
      <c r="AL5425" t="inlineStr">
        <is>
          <t>Miss Glam Damar</t>
        </is>
      </c>
      <c r="AM5425" t="n">
        <v>2</v>
      </c>
      <c r="AN5425" t="n">
        <v>500000</v>
      </c>
      <c r="AO5425" t="n">
        <v>0</v>
      </c>
      <c r="AP5425" t="inlineStr"/>
      <c r="AQ5425" t="inlineStr"/>
    </row>
    <row r="5426">
      <c r="A5426" t="inlineStr">
        <is>
          <t>SOMETHINC</t>
        </is>
      </c>
      <c r="B5426" s="2">
        <f>"8991752004861"</f>
        <v/>
      </c>
      <c r="C5426" t="inlineStr">
        <is>
          <t>SOMETHINC Checkmate Transferproof Lipstick 01 Bishop 3.8gr</t>
        </is>
      </c>
      <c r="D5426" t="inlineStr">
        <is>
          <t>Miss Glam Damar</t>
        </is>
      </c>
      <c r="E5426" t="n">
        <v>3</v>
      </c>
      <c r="F5426" t="n">
        <v>0.0182</v>
      </c>
      <c r="G5426" t="n">
        <v>0.91</v>
      </c>
      <c r="H5426" t="n">
        <v>1</v>
      </c>
      <c r="I5426" t="n">
        <v>7</v>
      </c>
      <c r="J5426" t="n">
        <v>3</v>
      </c>
      <c r="K5426" t="n">
        <v>0</v>
      </c>
      <c r="L5426" t="n">
        <v>74250</v>
      </c>
      <c r="M5426" t="n">
        <v>99000</v>
      </c>
      <c r="N5426" t="n">
        <v>91</v>
      </c>
      <c r="O5426" t="n">
        <v>0.91</v>
      </c>
      <c r="P5426" t="n">
        <v>1</v>
      </c>
      <c r="Q5426" t="n">
        <v>0.02</v>
      </c>
      <c r="R5426" t="n">
        <v>1</v>
      </c>
      <c r="S5426" t="n">
        <v>1801.8</v>
      </c>
      <c r="T5426" t="n">
        <v>7</v>
      </c>
      <c r="U5426" t="n">
        <v>8</v>
      </c>
      <c r="V5426" t="n">
        <v>30</v>
      </c>
      <c r="W5426" t="n">
        <v>1</v>
      </c>
      <c r="X5426" t="n">
        <v>164.8351648351648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11196</v>
      </c>
      <c r="AG5426" t="n">
        <v>54</v>
      </c>
      <c r="AH5426" t="inlineStr">
        <is>
          <t>PT. MIRANTI ADILLHA - PPN (PDG)</t>
        </is>
      </c>
      <c r="AI5426" t="n">
        <v>54</v>
      </c>
      <c r="AJ5426" t="inlineStr">
        <is>
          <t>SOMETHINC</t>
        </is>
      </c>
      <c r="AK5426" t="n">
        <v>21</v>
      </c>
      <c r="AL5426" t="inlineStr">
        <is>
          <t>Miss Glam Damar</t>
        </is>
      </c>
      <c r="AM5426" t="n">
        <v>2</v>
      </c>
      <c r="AN5426" t="n">
        <v>500000</v>
      </c>
      <c r="AO5426" t="n">
        <v>0</v>
      </c>
      <c r="AP5426" t="inlineStr"/>
      <c r="AQ5426" t="inlineStr"/>
    </row>
    <row r="5427">
      <c r="A5427" t="inlineStr">
        <is>
          <t>SOMETHINC</t>
        </is>
      </c>
      <c r="B5427" s="2">
        <f>"8991752004915"</f>
        <v/>
      </c>
      <c r="C5427" t="inlineStr">
        <is>
          <t>SOMETHINC Checkmate Transferproof Lipstick 06 Mage 3.8gr</t>
        </is>
      </c>
      <c r="D5427" t="inlineStr">
        <is>
          <t>Miss Glam Damar</t>
        </is>
      </c>
      <c r="E5427" t="n">
        <v>5</v>
      </c>
      <c r="F5427" t="n">
        <v>0.0273</v>
      </c>
      <c r="G5427" t="n">
        <v>0.91</v>
      </c>
      <c r="H5427" t="n">
        <v>1</v>
      </c>
      <c r="I5427" t="n">
        <v>7</v>
      </c>
      <c r="J5427" t="n">
        <v>3</v>
      </c>
      <c r="K5427" t="n">
        <v>0</v>
      </c>
      <c r="L5427" t="n">
        <v>74250</v>
      </c>
      <c r="M5427" t="n">
        <v>99000</v>
      </c>
      <c r="N5427" t="n">
        <v>91</v>
      </c>
      <c r="O5427" t="n">
        <v>0.91</v>
      </c>
      <c r="P5427" t="n">
        <v>1</v>
      </c>
      <c r="Q5427" t="n">
        <v>0.07000000000000001</v>
      </c>
      <c r="R5427" t="n">
        <v>2</v>
      </c>
      <c r="S5427" t="n">
        <v>2702.7</v>
      </c>
      <c r="T5427" t="n">
        <v>7</v>
      </c>
      <c r="U5427" t="n">
        <v>8</v>
      </c>
      <c r="V5427" t="n">
        <v>30</v>
      </c>
      <c r="W5427" t="n">
        <v>1</v>
      </c>
      <c r="X5427" t="n">
        <v>183.1501831501832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11196</v>
      </c>
      <c r="AG5427" t="n">
        <v>54</v>
      </c>
      <c r="AH5427" t="inlineStr">
        <is>
          <t>PT. MIRANTI ADILLHA - PPN (PDG)</t>
        </is>
      </c>
      <c r="AI5427" t="n">
        <v>54</v>
      </c>
      <c r="AJ5427" t="inlineStr">
        <is>
          <t>SOMETHINC</t>
        </is>
      </c>
      <c r="AK5427" t="n">
        <v>21</v>
      </c>
      <c r="AL5427" t="inlineStr">
        <is>
          <t>Miss Glam Damar</t>
        </is>
      </c>
      <c r="AM5427" t="n">
        <v>2</v>
      </c>
      <c r="AN5427" t="n">
        <v>500000</v>
      </c>
      <c r="AO5427" t="n">
        <v>0</v>
      </c>
      <c r="AP5427" t="inlineStr"/>
      <c r="AQ5427" t="inlineStr"/>
    </row>
    <row r="5428">
      <c r="A5428" t="inlineStr">
        <is>
          <t>SOMETHINC</t>
        </is>
      </c>
      <c r="B5428" s="2">
        <f>"8991752004977"</f>
        <v/>
      </c>
      <c r="C5428" t="inlineStr">
        <is>
          <t>SOMETHINC Checkmate Transferproof Lipstick 12 Queen 3.8gr</t>
        </is>
      </c>
      <c r="D5428" t="inlineStr">
        <is>
          <t>Miss Glam Damar</t>
        </is>
      </c>
      <c r="E5428" t="n">
        <v>2</v>
      </c>
      <c r="F5428" t="n">
        <v>0.0273</v>
      </c>
      <c r="G5428" t="n">
        <v>0.91</v>
      </c>
      <c r="H5428" t="n">
        <v>1</v>
      </c>
      <c r="I5428" t="n">
        <v>7</v>
      </c>
      <c r="J5428" t="n">
        <v>3</v>
      </c>
      <c r="K5428" t="n">
        <v>0</v>
      </c>
      <c r="L5428" t="n">
        <v>74250</v>
      </c>
      <c r="M5428" t="n">
        <v>99000</v>
      </c>
      <c r="N5428" t="n">
        <v>91</v>
      </c>
      <c r="O5428" t="n">
        <v>0.91</v>
      </c>
      <c r="P5428" t="n">
        <v>1</v>
      </c>
      <c r="Q5428" t="n">
        <v>0.08</v>
      </c>
      <c r="R5428" t="n">
        <v>1</v>
      </c>
      <c r="S5428" t="n">
        <v>2702.7</v>
      </c>
      <c r="T5428" t="n">
        <v>7</v>
      </c>
      <c r="U5428" t="n">
        <v>8</v>
      </c>
      <c r="V5428" t="n">
        <v>30</v>
      </c>
      <c r="W5428" t="n">
        <v>1</v>
      </c>
      <c r="X5428" t="n">
        <v>73.26007326007326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11196</v>
      </c>
      <c r="AG5428" t="n">
        <v>54</v>
      </c>
      <c r="AH5428" t="inlineStr">
        <is>
          <t>PT. MIRANTI ADILLHA - PPN (PDG)</t>
        </is>
      </c>
      <c r="AI5428" t="n">
        <v>54</v>
      </c>
      <c r="AJ5428" t="inlineStr">
        <is>
          <t>SOMETHINC</t>
        </is>
      </c>
      <c r="AK5428" t="n">
        <v>21</v>
      </c>
      <c r="AL5428" t="inlineStr">
        <is>
          <t>Miss Glam Damar</t>
        </is>
      </c>
      <c r="AM5428" t="n">
        <v>2</v>
      </c>
      <c r="AN5428" t="n">
        <v>500000</v>
      </c>
      <c r="AO5428" t="n">
        <v>0</v>
      </c>
      <c r="AP5428" t="inlineStr"/>
      <c r="AQ5428" t="inlineStr"/>
    </row>
    <row r="5429">
      <c r="A5429" t="inlineStr">
        <is>
          <t>SOMETHINC</t>
        </is>
      </c>
      <c r="B5429" s="2">
        <f>"8991752004892"</f>
        <v/>
      </c>
      <c r="C5429" t="inlineStr">
        <is>
          <t>SOMETHINC Checkmatte Transferproof Lipstick 04 Grandmaster 3,8gr</t>
        </is>
      </c>
      <c r="D5429" t="inlineStr">
        <is>
          <t>Miss Glam Damar</t>
        </is>
      </c>
      <c r="E5429" t="n">
        <v>4</v>
      </c>
      <c r="F5429" t="n">
        <v>0.0273</v>
      </c>
      <c r="G5429" t="n">
        <v>0.91</v>
      </c>
      <c r="H5429" t="n">
        <v>1</v>
      </c>
      <c r="I5429" t="n">
        <v>7</v>
      </c>
      <c r="J5429" t="n">
        <v>3</v>
      </c>
      <c r="K5429" t="n">
        <v>0</v>
      </c>
      <c r="L5429" t="n">
        <v>74250</v>
      </c>
      <c r="M5429" t="n">
        <v>99000</v>
      </c>
      <c r="N5429" t="n">
        <v>91</v>
      </c>
      <c r="O5429" t="n">
        <v>0.91</v>
      </c>
      <c r="P5429" t="n">
        <v>1</v>
      </c>
      <c r="Q5429" t="n">
        <v>0.03</v>
      </c>
      <c r="R5429" t="n">
        <v>1</v>
      </c>
      <c r="S5429" t="n">
        <v>2702.7</v>
      </c>
      <c r="T5429" t="n">
        <v>7</v>
      </c>
      <c r="U5429" t="n">
        <v>8</v>
      </c>
      <c r="V5429" t="n">
        <v>30</v>
      </c>
      <c r="W5429" t="n">
        <v>1</v>
      </c>
      <c r="X5429" t="n">
        <v>146.5201465201465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11196</v>
      </c>
      <c r="AG5429" t="n">
        <v>54</v>
      </c>
      <c r="AH5429" t="inlineStr">
        <is>
          <t>PT. MIRANTI ADILLHA - PPN (PDG)</t>
        </is>
      </c>
      <c r="AI5429" t="n">
        <v>54</v>
      </c>
      <c r="AJ5429" t="inlineStr">
        <is>
          <t>SOMETHINC</t>
        </is>
      </c>
      <c r="AK5429" t="n">
        <v>21</v>
      </c>
      <c r="AL5429" t="inlineStr">
        <is>
          <t>Miss Glam Damar</t>
        </is>
      </c>
      <c r="AM5429" t="n">
        <v>2</v>
      </c>
      <c r="AN5429" t="n">
        <v>500000</v>
      </c>
      <c r="AO5429" t="n">
        <v>0</v>
      </c>
      <c r="AP5429" t="inlineStr"/>
      <c r="AQ5429" t="inlineStr"/>
    </row>
    <row r="5430">
      <c r="A5430" t="inlineStr">
        <is>
          <t>SOMETHINC</t>
        </is>
      </c>
      <c r="B5430" s="2">
        <f>"8991752004922"</f>
        <v/>
      </c>
      <c r="C5430" t="inlineStr">
        <is>
          <t>SOMETHINC Checkmatte Transferproof Lipstick 07 Cold 3,8gr</t>
        </is>
      </c>
      <c r="D5430" t="inlineStr">
        <is>
          <t>Miss Glam Damar</t>
        </is>
      </c>
      <c r="E5430" t="n">
        <v>5</v>
      </c>
      <c r="F5430" t="n">
        <v>0.04550000000000001</v>
      </c>
      <c r="G5430" t="n">
        <v>0.91</v>
      </c>
      <c r="H5430" t="n">
        <v>1</v>
      </c>
      <c r="I5430" t="n">
        <v>7</v>
      </c>
      <c r="J5430" t="n">
        <v>3</v>
      </c>
      <c r="K5430" t="n">
        <v>0</v>
      </c>
      <c r="L5430" t="n">
        <v>74250</v>
      </c>
      <c r="M5430" t="n">
        <v>99000</v>
      </c>
      <c r="N5430" t="n">
        <v>91</v>
      </c>
      <c r="O5430" t="n">
        <v>0.91</v>
      </c>
      <c r="P5430" t="n">
        <v>1</v>
      </c>
      <c r="Q5430" t="n">
        <v>0.08</v>
      </c>
      <c r="R5430" t="n">
        <v>1</v>
      </c>
      <c r="S5430" t="n">
        <v>4504.500000000001</v>
      </c>
      <c r="T5430" t="n">
        <v>7</v>
      </c>
      <c r="U5430" t="n">
        <v>8</v>
      </c>
      <c r="V5430" t="n">
        <v>30</v>
      </c>
      <c r="W5430" t="n">
        <v>2</v>
      </c>
      <c r="X5430" t="n">
        <v>109.8901098901099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11196</v>
      </c>
      <c r="AG5430" t="n">
        <v>54</v>
      </c>
      <c r="AH5430" t="inlineStr">
        <is>
          <t>PT. MIRANTI ADILLHA - PPN (PDG)</t>
        </is>
      </c>
      <c r="AI5430" t="n">
        <v>54</v>
      </c>
      <c r="AJ5430" t="inlineStr">
        <is>
          <t>SOMETHINC</t>
        </is>
      </c>
      <c r="AK5430" t="n">
        <v>21</v>
      </c>
      <c r="AL5430" t="inlineStr">
        <is>
          <t>Miss Glam Damar</t>
        </is>
      </c>
      <c r="AM5430" t="n">
        <v>2</v>
      </c>
      <c r="AN5430" t="n">
        <v>500000</v>
      </c>
      <c r="AO5430" t="n">
        <v>0</v>
      </c>
      <c r="AP5430" t="inlineStr"/>
      <c r="AQ5430" t="inlineStr"/>
    </row>
    <row r="5431">
      <c r="A5431" t="inlineStr">
        <is>
          <t>SOMETHINC</t>
        </is>
      </c>
      <c r="B5431" s="2">
        <f>"8991752006292"</f>
        <v/>
      </c>
      <c r="C5431" t="inlineStr">
        <is>
          <t>SOMETHINC Checkmatte Transferproof Lipstick 08 Priest 3,8gr</t>
        </is>
      </c>
      <c r="D5431" t="inlineStr">
        <is>
          <t>Miss Glam Damar</t>
        </is>
      </c>
      <c r="E5431" t="n">
        <v>7</v>
      </c>
      <c r="F5431" t="n">
        <v>0.0273</v>
      </c>
      <c r="G5431" t="n">
        <v>0.91</v>
      </c>
      <c r="H5431" t="n">
        <v>1</v>
      </c>
      <c r="I5431" t="n">
        <v>7</v>
      </c>
      <c r="J5431" t="n">
        <v>3</v>
      </c>
      <c r="K5431" t="n">
        <v>0</v>
      </c>
      <c r="L5431" t="n">
        <v>74250</v>
      </c>
      <c r="M5431" t="n">
        <v>99000</v>
      </c>
      <c r="N5431" t="n">
        <v>91</v>
      </c>
      <c r="O5431" t="n">
        <v>0.91</v>
      </c>
      <c r="P5431" t="n">
        <v>1</v>
      </c>
      <c r="Q5431" t="n">
        <v>0.08</v>
      </c>
      <c r="R5431" t="n">
        <v>1</v>
      </c>
      <c r="S5431" t="n">
        <v>2702.7</v>
      </c>
      <c r="T5431" t="n">
        <v>7</v>
      </c>
      <c r="U5431" t="n">
        <v>8</v>
      </c>
      <c r="V5431" t="n">
        <v>30</v>
      </c>
      <c r="W5431" t="n">
        <v>1</v>
      </c>
      <c r="X5431" t="n">
        <v>256.4102564102564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11196</v>
      </c>
      <c r="AG5431" t="n">
        <v>54</v>
      </c>
      <c r="AH5431" t="inlineStr">
        <is>
          <t>PT. MIRANTI ADILLHA - PPN (PDG)</t>
        </is>
      </c>
      <c r="AI5431" t="n">
        <v>54</v>
      </c>
      <c r="AJ5431" t="inlineStr">
        <is>
          <t>SOMETHINC</t>
        </is>
      </c>
      <c r="AK5431" t="n">
        <v>21</v>
      </c>
      <c r="AL5431" t="inlineStr">
        <is>
          <t>Miss Glam Damar</t>
        </is>
      </c>
      <c r="AM5431" t="n">
        <v>2</v>
      </c>
      <c r="AN5431" t="n">
        <v>500000</v>
      </c>
      <c r="AO5431" t="n">
        <v>0</v>
      </c>
      <c r="AP5431" t="inlineStr"/>
      <c r="AQ5431" t="inlineStr"/>
    </row>
    <row r="5432">
      <c r="A5432" t="inlineStr">
        <is>
          <t>SOMETHINC</t>
        </is>
      </c>
      <c r="B5432" s="2">
        <f>"8991752004946"</f>
        <v/>
      </c>
      <c r="C5432" t="inlineStr">
        <is>
          <t>SOMETHINC Checkmatte Transferproof Lipstick 09 Soleyn 3,8gr</t>
        </is>
      </c>
      <c r="D5432" t="inlineStr">
        <is>
          <t>Miss Glam Damar</t>
        </is>
      </c>
      <c r="E5432" t="n">
        <v>5</v>
      </c>
      <c r="F5432" t="n">
        <v>0.1</v>
      </c>
      <c r="G5432" t="n">
        <v>1</v>
      </c>
      <c r="H5432" t="n">
        <v>1</v>
      </c>
      <c r="I5432" t="n">
        <v>7</v>
      </c>
      <c r="J5432" t="n">
        <v>3</v>
      </c>
      <c r="K5432" t="n">
        <v>0</v>
      </c>
      <c r="L5432" t="n">
        <v>74250</v>
      </c>
      <c r="M5432" t="n">
        <v>99000</v>
      </c>
      <c r="N5432" t="n">
        <v>91</v>
      </c>
      <c r="O5432" t="n">
        <v>0.91</v>
      </c>
      <c r="P5432" t="n">
        <v>0</v>
      </c>
      <c r="Q5432" t="n">
        <v>0.1</v>
      </c>
      <c r="R5432" t="n">
        <v>1</v>
      </c>
      <c r="S5432" t="n">
        <v>9900</v>
      </c>
      <c r="T5432" t="n">
        <v>7</v>
      </c>
      <c r="U5432" t="n">
        <v>8</v>
      </c>
      <c r="V5432" t="n">
        <v>30</v>
      </c>
      <c r="W5432" t="n">
        <v>3</v>
      </c>
      <c r="X5432" t="n">
        <v>50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11196</v>
      </c>
      <c r="AG5432" t="n">
        <v>54</v>
      </c>
      <c r="AH5432" t="inlineStr">
        <is>
          <t>PT. MIRANTI ADILLHA - PPN (PDG)</t>
        </is>
      </c>
      <c r="AI5432" t="n">
        <v>54</v>
      </c>
      <c r="AJ5432" t="inlineStr">
        <is>
          <t>SOMETHINC</t>
        </is>
      </c>
      <c r="AK5432" t="n">
        <v>21</v>
      </c>
      <c r="AL5432" t="inlineStr">
        <is>
          <t>Miss Glam Damar</t>
        </is>
      </c>
      <c r="AM5432" t="n">
        <v>2</v>
      </c>
      <c r="AN5432" t="n">
        <v>500000</v>
      </c>
      <c r="AO5432" t="n">
        <v>0</v>
      </c>
      <c r="AP5432" t="inlineStr"/>
      <c r="AQ5432" t="inlineStr"/>
    </row>
    <row r="5433">
      <c r="A5433" t="inlineStr">
        <is>
          <t>SOMETHINC</t>
        </is>
      </c>
      <c r="B5433" s="2">
        <f>"8991752004991"</f>
        <v/>
      </c>
      <c r="C5433" t="inlineStr">
        <is>
          <t>SOMETHINC Checkmatte Transferproof Lipstick 14 Witty 3,8gr</t>
        </is>
      </c>
      <c r="D5433" t="inlineStr">
        <is>
          <t>Miss Glam Damar</t>
        </is>
      </c>
      <c r="E5433" t="n">
        <v>4</v>
      </c>
      <c r="F5433" t="n">
        <v>0.04550000000000001</v>
      </c>
      <c r="G5433" t="n">
        <v>0.91</v>
      </c>
      <c r="H5433" t="n">
        <v>1</v>
      </c>
      <c r="I5433" t="n">
        <v>7</v>
      </c>
      <c r="J5433" t="n">
        <v>3</v>
      </c>
      <c r="K5433" t="n">
        <v>0</v>
      </c>
      <c r="L5433" t="n">
        <v>74250</v>
      </c>
      <c r="M5433" t="n">
        <v>99000</v>
      </c>
      <c r="N5433" t="n">
        <v>91</v>
      </c>
      <c r="O5433" t="n">
        <v>0.91</v>
      </c>
      <c r="P5433" t="n">
        <v>1</v>
      </c>
      <c r="Q5433" t="n">
        <v>0.02</v>
      </c>
      <c r="R5433" t="n">
        <v>1</v>
      </c>
      <c r="S5433" t="n">
        <v>4504.500000000001</v>
      </c>
      <c r="T5433" t="n">
        <v>7</v>
      </c>
      <c r="U5433" t="n">
        <v>8</v>
      </c>
      <c r="V5433" t="n">
        <v>30</v>
      </c>
      <c r="W5433" t="n">
        <v>2</v>
      </c>
      <c r="X5433" t="n">
        <v>87.9120879120879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11196</v>
      </c>
      <c r="AG5433" t="n">
        <v>54</v>
      </c>
      <c r="AH5433" t="inlineStr">
        <is>
          <t>PT. MIRANTI ADILLHA - PPN (PDG)</t>
        </is>
      </c>
      <c r="AI5433" t="n">
        <v>54</v>
      </c>
      <c r="AJ5433" t="inlineStr">
        <is>
          <t>SOMETHINC</t>
        </is>
      </c>
      <c r="AK5433" t="n">
        <v>21</v>
      </c>
      <c r="AL5433" t="inlineStr">
        <is>
          <t>Miss Glam Damar</t>
        </is>
      </c>
      <c r="AM5433" t="n">
        <v>2</v>
      </c>
      <c r="AN5433" t="n">
        <v>500000</v>
      </c>
      <c r="AO5433" t="n">
        <v>0</v>
      </c>
      <c r="AP5433" t="inlineStr"/>
      <c r="AQ5433" t="inlineStr"/>
    </row>
    <row r="5434">
      <c r="A5434" t="inlineStr">
        <is>
          <t>SOMETHINC</t>
        </is>
      </c>
      <c r="B5434" s="2">
        <f>"8991752006285"</f>
        <v/>
      </c>
      <c r="C5434" t="inlineStr">
        <is>
          <t>SOMETHINC Checkmatte Transferproof Lipstick 15 Capture 3,8gr</t>
        </is>
      </c>
      <c r="D5434" t="inlineStr">
        <is>
          <t>Miss Glam Damar</t>
        </is>
      </c>
      <c r="E5434" t="n">
        <v>3</v>
      </c>
      <c r="F5434" t="n">
        <v>0.0273</v>
      </c>
      <c r="G5434" t="n">
        <v>0.91</v>
      </c>
      <c r="H5434" t="n">
        <v>1</v>
      </c>
      <c r="I5434" t="n">
        <v>7</v>
      </c>
      <c r="J5434" t="n">
        <v>3</v>
      </c>
      <c r="K5434" t="n">
        <v>0</v>
      </c>
      <c r="L5434" t="n">
        <v>74250</v>
      </c>
      <c r="M5434" t="n">
        <v>99000</v>
      </c>
      <c r="N5434" t="n">
        <v>91</v>
      </c>
      <c r="O5434" t="n">
        <v>0.91</v>
      </c>
      <c r="P5434" t="n">
        <v>1</v>
      </c>
      <c r="Q5434" t="n">
        <v>0.08</v>
      </c>
      <c r="R5434" t="n">
        <v>1</v>
      </c>
      <c r="S5434" t="n">
        <v>2702.7</v>
      </c>
      <c r="T5434" t="n">
        <v>7</v>
      </c>
      <c r="U5434" t="n">
        <v>8</v>
      </c>
      <c r="V5434" t="n">
        <v>30</v>
      </c>
      <c r="W5434" t="n">
        <v>1</v>
      </c>
      <c r="X5434" t="n">
        <v>109.8901098901099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11196</v>
      </c>
      <c r="AG5434" t="n">
        <v>54</v>
      </c>
      <c r="AH5434" t="inlineStr">
        <is>
          <t>PT. MIRANTI ADILLHA - PPN (PDG)</t>
        </is>
      </c>
      <c r="AI5434" t="n">
        <v>54</v>
      </c>
      <c r="AJ5434" t="inlineStr">
        <is>
          <t>SOMETHINC</t>
        </is>
      </c>
      <c r="AK5434" t="n">
        <v>21</v>
      </c>
      <c r="AL5434" t="inlineStr">
        <is>
          <t>Miss Glam Damar</t>
        </is>
      </c>
      <c r="AM5434" t="n">
        <v>2</v>
      </c>
      <c r="AN5434" t="n">
        <v>500000</v>
      </c>
      <c r="AO5434" t="n">
        <v>0</v>
      </c>
      <c r="AP5434" t="inlineStr"/>
      <c r="AQ5434" t="inlineStr"/>
    </row>
    <row r="5435">
      <c r="A5435" t="inlineStr">
        <is>
          <t>SOMETHINC</t>
        </is>
      </c>
      <c r="B5435" s="2">
        <f>"8991752005011"</f>
        <v/>
      </c>
      <c r="C5435" t="inlineStr">
        <is>
          <t>SOMETHINC Checkmatte Transferproof Lipstick 16 Paladin 3,8gr</t>
        </is>
      </c>
      <c r="D5435" t="inlineStr">
        <is>
          <t>Miss Glam Damar</t>
        </is>
      </c>
      <c r="E5435" t="n">
        <v>9</v>
      </c>
      <c r="F5435" t="n">
        <v>0.02</v>
      </c>
      <c r="G5435" t="n">
        <v>1</v>
      </c>
      <c r="H5435" t="n">
        <v>1</v>
      </c>
      <c r="I5435" t="n">
        <v>7</v>
      </c>
      <c r="J5435" t="n">
        <v>3</v>
      </c>
      <c r="K5435" t="n">
        <v>0</v>
      </c>
      <c r="L5435" t="n">
        <v>74251</v>
      </c>
      <c r="M5435" t="n">
        <v>99000</v>
      </c>
      <c r="N5435" t="n">
        <v>91</v>
      </c>
      <c r="O5435" t="n">
        <v>0.91</v>
      </c>
      <c r="P5435" t="n">
        <v>0</v>
      </c>
      <c r="Q5435" t="n">
        <v>0.02</v>
      </c>
      <c r="R5435" t="n">
        <v>1</v>
      </c>
      <c r="S5435" t="n">
        <v>1980</v>
      </c>
      <c r="T5435" t="n">
        <v>7</v>
      </c>
      <c r="U5435" t="n">
        <v>8</v>
      </c>
      <c r="V5435" t="n">
        <v>30</v>
      </c>
      <c r="W5435" t="n">
        <v>1</v>
      </c>
      <c r="X5435" t="n">
        <v>450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11196</v>
      </c>
      <c r="AG5435" t="n">
        <v>54</v>
      </c>
      <c r="AH5435" t="inlineStr">
        <is>
          <t>PT. MIRANTI ADILLHA - PPN (PDG)</t>
        </is>
      </c>
      <c r="AI5435" t="n">
        <v>54</v>
      </c>
      <c r="AJ5435" t="inlineStr">
        <is>
          <t>SOMETHINC</t>
        </is>
      </c>
      <c r="AK5435" t="n">
        <v>21</v>
      </c>
      <c r="AL5435" t="inlineStr">
        <is>
          <t>Miss Glam Damar</t>
        </is>
      </c>
      <c r="AM5435" t="n">
        <v>2</v>
      </c>
      <c r="AN5435" t="n">
        <v>500000</v>
      </c>
      <c r="AO5435" t="n">
        <v>0</v>
      </c>
      <c r="AP5435" t="inlineStr"/>
      <c r="AQ5435" t="inlineStr"/>
    </row>
    <row r="5436">
      <c r="A5436" t="inlineStr">
        <is>
          <t>SOMETHINC</t>
        </is>
      </c>
      <c r="B5436" s="2">
        <f>"8991752006278"</f>
        <v/>
      </c>
      <c r="C5436" t="inlineStr">
        <is>
          <t>SOMETHINC Checkmatte Transferproof Lipstick 17 Castle 3,8gr</t>
        </is>
      </c>
      <c r="D5436" t="inlineStr">
        <is>
          <t>Miss Glam Damar</t>
        </is>
      </c>
      <c r="E5436" t="n">
        <v>7</v>
      </c>
      <c r="F5436" t="n">
        <v>0.0273</v>
      </c>
      <c r="G5436" t="n">
        <v>0.91</v>
      </c>
      <c r="H5436" t="n">
        <v>1</v>
      </c>
      <c r="I5436" t="n">
        <v>7</v>
      </c>
      <c r="J5436" t="n">
        <v>3</v>
      </c>
      <c r="K5436" t="n">
        <v>0</v>
      </c>
      <c r="L5436" t="n">
        <v>74250</v>
      </c>
      <c r="M5436" t="n">
        <v>99000</v>
      </c>
      <c r="N5436" t="n">
        <v>91</v>
      </c>
      <c r="O5436" t="n">
        <v>0.91</v>
      </c>
      <c r="P5436" t="n">
        <v>1</v>
      </c>
      <c r="Q5436" t="n">
        <v>0.05</v>
      </c>
      <c r="R5436" t="n">
        <v>1</v>
      </c>
      <c r="S5436" t="n">
        <v>2702.7</v>
      </c>
      <c r="T5436" t="n">
        <v>7</v>
      </c>
      <c r="U5436" t="n">
        <v>8</v>
      </c>
      <c r="V5436" t="n">
        <v>30</v>
      </c>
      <c r="W5436" t="n">
        <v>1</v>
      </c>
      <c r="X5436" t="n">
        <v>256.4102564102564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11196</v>
      </c>
      <c r="AG5436" t="n">
        <v>54</v>
      </c>
      <c r="AH5436" t="inlineStr">
        <is>
          <t>PT. MIRANTI ADILLHA - PPN (PDG)</t>
        </is>
      </c>
      <c r="AI5436" t="n">
        <v>54</v>
      </c>
      <c r="AJ5436" t="inlineStr">
        <is>
          <t>SOMETHINC</t>
        </is>
      </c>
      <c r="AK5436" t="n">
        <v>21</v>
      </c>
      <c r="AL5436" t="inlineStr">
        <is>
          <t>Miss Glam Damar</t>
        </is>
      </c>
      <c r="AM5436" t="n">
        <v>2</v>
      </c>
      <c r="AN5436" t="n">
        <v>500000</v>
      </c>
      <c r="AO5436" t="n">
        <v>0</v>
      </c>
      <c r="AP5436" t="inlineStr"/>
      <c r="AQ5436" t="inlineStr"/>
    </row>
    <row r="5437">
      <c r="A5437" t="inlineStr">
        <is>
          <t>SOMETHINC</t>
        </is>
      </c>
      <c r="B5437" s="2">
        <f>"8991752006261"</f>
        <v/>
      </c>
      <c r="C5437" t="inlineStr">
        <is>
          <t>SOMETHINC Checkmatte Transferproof Lipstick 19 Endgame 3.8gr</t>
        </is>
      </c>
      <c r="D5437" t="inlineStr">
        <is>
          <t>Miss Glam Damar</t>
        </is>
      </c>
      <c r="E5437" t="n">
        <v>4</v>
      </c>
      <c r="F5437" t="n">
        <v>0.02</v>
      </c>
      <c r="G5437" t="n">
        <v>1</v>
      </c>
      <c r="H5437" t="n">
        <v>1</v>
      </c>
      <c r="I5437" t="n">
        <v>7</v>
      </c>
      <c r="J5437" t="n">
        <v>3</v>
      </c>
      <c r="K5437" t="n">
        <v>0</v>
      </c>
      <c r="L5437" t="n">
        <v>74250</v>
      </c>
      <c r="M5437" t="n">
        <v>99000</v>
      </c>
      <c r="N5437" t="n">
        <v>91</v>
      </c>
      <c r="O5437" t="n">
        <v>0.91</v>
      </c>
      <c r="P5437" t="n">
        <v>0</v>
      </c>
      <c r="Q5437" t="n">
        <v>0.02</v>
      </c>
      <c r="R5437" t="n">
        <v>1</v>
      </c>
      <c r="S5437" t="n">
        <v>1980</v>
      </c>
      <c r="T5437" t="n">
        <v>7</v>
      </c>
      <c r="U5437" t="n">
        <v>8</v>
      </c>
      <c r="V5437" t="n">
        <v>30</v>
      </c>
      <c r="W5437" t="n">
        <v>1</v>
      </c>
      <c r="X5437" t="n">
        <v>200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11196</v>
      </c>
      <c r="AG5437" t="n">
        <v>54</v>
      </c>
      <c r="AH5437" t="inlineStr">
        <is>
          <t>PT. MIRANTI ADILLHA - PPN (PDG)</t>
        </is>
      </c>
      <c r="AI5437" t="n">
        <v>54</v>
      </c>
      <c r="AJ5437" t="inlineStr">
        <is>
          <t>SOMETHINC</t>
        </is>
      </c>
      <c r="AK5437" t="n">
        <v>21</v>
      </c>
      <c r="AL5437" t="inlineStr">
        <is>
          <t>Miss Glam Damar</t>
        </is>
      </c>
      <c r="AM5437" t="n">
        <v>2</v>
      </c>
      <c r="AN5437" t="n">
        <v>500000</v>
      </c>
      <c r="AO5437" t="n">
        <v>0</v>
      </c>
      <c r="AP5437" t="inlineStr"/>
      <c r="AQ5437" t="inlineStr"/>
    </row>
    <row r="5438">
      <c r="A5438" t="inlineStr">
        <is>
          <t>SOMETHINC</t>
        </is>
      </c>
      <c r="B5438" s="2">
        <f>"8991752006247"</f>
        <v/>
      </c>
      <c r="C5438" t="inlineStr">
        <is>
          <t>SOMETHINC Checkmatte Transferproof Lipstick 21 Clover 3.8gr</t>
        </is>
      </c>
      <c r="D5438" t="inlineStr">
        <is>
          <t>Miss Glam Damar</t>
        </is>
      </c>
      <c r="E5438" t="n">
        <v>5</v>
      </c>
      <c r="F5438" t="n">
        <v>0.0273</v>
      </c>
      <c r="G5438" t="n">
        <v>0.91</v>
      </c>
      <c r="H5438" t="n">
        <v>1</v>
      </c>
      <c r="I5438" t="n">
        <v>7</v>
      </c>
      <c r="J5438" t="n">
        <v>3</v>
      </c>
      <c r="K5438" t="n">
        <v>0</v>
      </c>
      <c r="L5438" t="n">
        <v>74250</v>
      </c>
      <c r="M5438" t="n">
        <v>99000</v>
      </c>
      <c r="N5438" t="n">
        <v>91</v>
      </c>
      <c r="O5438" t="n">
        <v>0.91</v>
      </c>
      <c r="P5438" t="n">
        <v>1</v>
      </c>
      <c r="Q5438" t="n">
        <v>0.12</v>
      </c>
      <c r="R5438" t="n">
        <v>1</v>
      </c>
      <c r="S5438" t="n">
        <v>2702.7</v>
      </c>
      <c r="T5438" t="n">
        <v>7</v>
      </c>
      <c r="U5438" t="n">
        <v>8</v>
      </c>
      <c r="V5438" t="n">
        <v>30</v>
      </c>
      <c r="W5438" t="n">
        <v>1</v>
      </c>
      <c r="X5438" t="n">
        <v>183.1501831501832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11196</v>
      </c>
      <c r="AG5438" t="n">
        <v>54</v>
      </c>
      <c r="AH5438" t="inlineStr">
        <is>
          <t>PT. MIRANTI ADILLHA - PPN (PDG)</t>
        </is>
      </c>
      <c r="AI5438" t="n">
        <v>54</v>
      </c>
      <c r="AJ5438" t="inlineStr">
        <is>
          <t>SOMETHINC</t>
        </is>
      </c>
      <c r="AK5438" t="n">
        <v>21</v>
      </c>
      <c r="AL5438" t="inlineStr">
        <is>
          <t>Miss Glam Damar</t>
        </is>
      </c>
      <c r="AM5438" t="n">
        <v>2</v>
      </c>
      <c r="AN5438" t="n">
        <v>500000</v>
      </c>
      <c r="AO5438" t="n">
        <v>0</v>
      </c>
      <c r="AP5438" t="inlineStr"/>
      <c r="AQ5438" t="inlineStr"/>
    </row>
    <row r="5439">
      <c r="A5439" t="inlineStr">
        <is>
          <t>SOMETHINC</t>
        </is>
      </c>
      <c r="B5439" s="2">
        <f>"8991752006575"</f>
        <v/>
      </c>
      <c r="C5439" t="inlineStr">
        <is>
          <t>SOMETHINC Copy Paste Breathable Cushion - Cotton 15gr</t>
        </is>
      </c>
      <c r="D5439" t="inlineStr">
        <is>
          <t>Miss Glam Damar</t>
        </is>
      </c>
      <c r="E5439" t="n">
        <v>2</v>
      </c>
      <c r="F5439" t="n">
        <v>0.03</v>
      </c>
      <c r="G5439" t="n">
        <v>1</v>
      </c>
      <c r="H5439" t="n">
        <v>1</v>
      </c>
      <c r="I5439" t="n">
        <v>7</v>
      </c>
      <c r="J5439" t="n">
        <v>3</v>
      </c>
      <c r="K5439" t="n">
        <v>0</v>
      </c>
      <c r="L5439" t="n">
        <v>141750</v>
      </c>
      <c r="M5439" t="n">
        <v>189000</v>
      </c>
      <c r="N5439" t="n">
        <v>91</v>
      </c>
      <c r="O5439" t="n">
        <v>0.91</v>
      </c>
      <c r="P5439" t="n">
        <v>0</v>
      </c>
      <c r="Q5439" t="n">
        <v>0.03</v>
      </c>
      <c r="R5439" t="n">
        <v>1</v>
      </c>
      <c r="S5439" t="n">
        <v>5670</v>
      </c>
      <c r="T5439" t="n">
        <v>7</v>
      </c>
      <c r="U5439" t="n">
        <v>8</v>
      </c>
      <c r="V5439" t="n">
        <v>30</v>
      </c>
      <c r="W5439" t="n">
        <v>1</v>
      </c>
      <c r="X5439" t="n">
        <v>66.66666666666667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11196</v>
      </c>
      <c r="AG5439" t="n">
        <v>54</v>
      </c>
      <c r="AH5439" t="inlineStr">
        <is>
          <t>PT. MIRANTI ADILLHA - PPN (PDG)</t>
        </is>
      </c>
      <c r="AI5439" t="n">
        <v>54</v>
      </c>
      <c r="AJ5439" t="inlineStr">
        <is>
          <t>SOMETHINC</t>
        </is>
      </c>
      <c r="AK5439" t="n">
        <v>21</v>
      </c>
      <c r="AL5439" t="inlineStr">
        <is>
          <t>Miss Glam Damar</t>
        </is>
      </c>
      <c r="AM5439" t="n">
        <v>2</v>
      </c>
      <c r="AN5439" t="n">
        <v>500000</v>
      </c>
      <c r="AO5439" t="n">
        <v>0</v>
      </c>
      <c r="AP5439" t="inlineStr"/>
      <c r="AQ5439" t="inlineStr"/>
    </row>
    <row r="5440">
      <c r="A5440" t="inlineStr">
        <is>
          <t>SOMETHINC</t>
        </is>
      </c>
      <c r="B5440" s="2">
        <f>"8991752002973"</f>
        <v/>
      </c>
      <c r="C5440" t="inlineStr">
        <is>
          <t>SOMETHINC Copy Paste Breathable Cushion N02.5 Linen</t>
        </is>
      </c>
      <c r="D5440" t="inlineStr">
        <is>
          <t>Miss Glam Damar</t>
        </is>
      </c>
      <c r="E5440" t="n">
        <v>3</v>
      </c>
      <c r="F5440" t="n">
        <v>0.0182</v>
      </c>
      <c r="G5440" t="n">
        <v>0.91</v>
      </c>
      <c r="H5440" t="n">
        <v>1</v>
      </c>
      <c r="I5440" t="n">
        <v>7</v>
      </c>
      <c r="J5440" t="n">
        <v>3</v>
      </c>
      <c r="K5440" t="n">
        <v>0</v>
      </c>
      <c r="L5440" t="n">
        <v>141750</v>
      </c>
      <c r="M5440" t="n">
        <v>189000</v>
      </c>
      <c r="N5440" t="n">
        <v>91</v>
      </c>
      <c r="O5440" t="n">
        <v>0.91</v>
      </c>
      <c r="P5440" t="n">
        <v>1</v>
      </c>
      <c r="Q5440" t="n">
        <v>0.02</v>
      </c>
      <c r="R5440" t="n">
        <v>1</v>
      </c>
      <c r="S5440" t="n">
        <v>3439.8</v>
      </c>
      <c r="T5440" t="n">
        <v>7</v>
      </c>
      <c r="U5440" t="n">
        <v>8</v>
      </c>
      <c r="V5440" t="n">
        <v>30</v>
      </c>
      <c r="W5440" t="n">
        <v>1</v>
      </c>
      <c r="X5440" t="n">
        <v>164.8351648351648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11196</v>
      </c>
      <c r="AG5440" t="n">
        <v>54</v>
      </c>
      <c r="AH5440" t="inlineStr">
        <is>
          <t>PT. MIRANTI ADILLHA - PPN (PDG)</t>
        </is>
      </c>
      <c r="AI5440" t="n">
        <v>54</v>
      </c>
      <c r="AJ5440" t="inlineStr">
        <is>
          <t>SOMETHINC</t>
        </is>
      </c>
      <c r="AK5440" t="n">
        <v>21</v>
      </c>
      <c r="AL5440" t="inlineStr">
        <is>
          <t>Miss Glam Damar</t>
        </is>
      </c>
      <c r="AM5440" t="n">
        <v>2</v>
      </c>
      <c r="AN5440" t="n">
        <v>500000</v>
      </c>
      <c r="AO5440" t="n">
        <v>0</v>
      </c>
      <c r="AP5440" t="inlineStr"/>
      <c r="AQ5440" t="inlineStr"/>
    </row>
    <row r="5441">
      <c r="A5441" t="inlineStr">
        <is>
          <t>SOMETHINC</t>
        </is>
      </c>
      <c r="B5441" s="2">
        <f>"8991752002966"</f>
        <v/>
      </c>
      <c r="C5441" t="inlineStr">
        <is>
          <t>SOMETHINC Copy Paste Breathable Cushion Refill C01.5 Butter 15gr</t>
        </is>
      </c>
      <c r="D5441" t="inlineStr">
        <is>
          <t>Miss Glam Damar</t>
        </is>
      </c>
      <c r="E5441" t="n">
        <v>6</v>
      </c>
      <c r="F5441" t="n">
        <v>0.1729</v>
      </c>
      <c r="G5441" t="n">
        <v>0.91</v>
      </c>
      <c r="H5441" t="n">
        <v>1</v>
      </c>
      <c r="I5441" t="n">
        <v>7</v>
      </c>
      <c r="J5441" t="n">
        <v>3</v>
      </c>
      <c r="K5441" t="n">
        <v>0</v>
      </c>
      <c r="L5441" t="n">
        <v>101252</v>
      </c>
      <c r="M5441" t="n">
        <v>129000</v>
      </c>
      <c r="N5441" t="n">
        <v>91</v>
      </c>
      <c r="O5441" t="n">
        <v>0.91</v>
      </c>
      <c r="P5441" t="n">
        <v>1</v>
      </c>
      <c r="Q5441" t="n">
        <v>0.12</v>
      </c>
      <c r="R5441" t="n">
        <v>1</v>
      </c>
      <c r="S5441" t="n">
        <v>22304.1</v>
      </c>
      <c r="T5441" t="n">
        <v>7</v>
      </c>
      <c r="U5441" t="n">
        <v>8</v>
      </c>
      <c r="V5441" t="n">
        <v>30</v>
      </c>
      <c r="W5441" t="n">
        <v>6</v>
      </c>
      <c r="X5441" t="n">
        <v>34.70213996529786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11196</v>
      </c>
      <c r="AG5441" t="n">
        <v>54</v>
      </c>
      <c r="AH5441" t="inlineStr">
        <is>
          <t>PT. MIRANTI ADILLHA - PPN (PDG)</t>
        </is>
      </c>
      <c r="AI5441" t="n">
        <v>54</v>
      </c>
      <c r="AJ5441" t="inlineStr">
        <is>
          <t>SOMETHINC</t>
        </is>
      </c>
      <c r="AK5441" t="n">
        <v>21</v>
      </c>
      <c r="AL5441" t="inlineStr">
        <is>
          <t>Miss Glam Damar</t>
        </is>
      </c>
      <c r="AM5441" t="n">
        <v>2</v>
      </c>
      <c r="AN5441" t="n">
        <v>500000</v>
      </c>
      <c r="AO5441" t="n">
        <v>0</v>
      </c>
      <c r="AP5441" t="inlineStr"/>
      <c r="AQ5441" t="inlineStr"/>
    </row>
    <row r="5442">
      <c r="A5442" t="inlineStr">
        <is>
          <t>SOMETHINC</t>
        </is>
      </c>
      <c r="B5442" s="2">
        <f>"8997209270230"</f>
        <v/>
      </c>
      <c r="C5442" t="inlineStr">
        <is>
          <t>SOMETHINC Copy Paste Breathable Cushion SPF 33 PA++  Refill Coco 15g</t>
        </is>
      </c>
      <c r="D5442" t="inlineStr">
        <is>
          <t>Miss Glam Damar</t>
        </is>
      </c>
      <c r="E5442" t="n">
        <v>2</v>
      </c>
      <c r="F5442" t="n">
        <v>0.04550000000000001</v>
      </c>
      <c r="G5442" t="n">
        <v>0.91</v>
      </c>
      <c r="H5442" t="n">
        <v>1</v>
      </c>
      <c r="I5442" t="n">
        <v>7</v>
      </c>
      <c r="J5442" t="n">
        <v>3</v>
      </c>
      <c r="K5442" t="n">
        <v>0</v>
      </c>
      <c r="L5442" t="n">
        <v>101251</v>
      </c>
      <c r="M5442" t="n">
        <v>135000</v>
      </c>
      <c r="N5442" t="n">
        <v>91</v>
      </c>
      <c r="O5442" t="n">
        <v>0.91</v>
      </c>
      <c r="P5442" t="n">
        <v>1</v>
      </c>
      <c r="Q5442" t="n">
        <v>0.02</v>
      </c>
      <c r="R5442" t="n">
        <v>1</v>
      </c>
      <c r="S5442" t="n">
        <v>6142.500000000001</v>
      </c>
      <c r="T5442" t="n">
        <v>7</v>
      </c>
      <c r="U5442" t="n">
        <v>8</v>
      </c>
      <c r="V5442" t="n">
        <v>30</v>
      </c>
      <c r="W5442" t="n">
        <v>2</v>
      </c>
      <c r="X5442" t="n">
        <v>43.95604395604395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11196</v>
      </c>
      <c r="AG5442" t="n">
        <v>54</v>
      </c>
      <c r="AH5442" t="inlineStr">
        <is>
          <t>PT. MIRANTI ADILLHA - PPN (PDG)</t>
        </is>
      </c>
      <c r="AI5442" t="n">
        <v>54</v>
      </c>
      <c r="AJ5442" t="inlineStr">
        <is>
          <t>SOMETHINC</t>
        </is>
      </c>
      <c r="AK5442" t="n">
        <v>21</v>
      </c>
      <c r="AL5442" t="inlineStr">
        <is>
          <t>Miss Glam Damar</t>
        </is>
      </c>
      <c r="AM5442" t="n">
        <v>2</v>
      </c>
      <c r="AN5442" t="n">
        <v>500000</v>
      </c>
      <c r="AO5442" t="n">
        <v>0</v>
      </c>
      <c r="AP5442" t="inlineStr"/>
      <c r="AQ5442" t="inlineStr"/>
    </row>
    <row r="5443">
      <c r="A5443" t="inlineStr">
        <is>
          <t>SOMETHINC</t>
        </is>
      </c>
      <c r="B5443" s="2">
        <f>"8997209270278"</f>
        <v/>
      </c>
      <c r="C5443" t="inlineStr">
        <is>
          <t>SOMETHINC Copy Paste Breathable Cushion SPF 33 PA++  Refill Perle 15g</t>
        </is>
      </c>
      <c r="D5443" t="inlineStr">
        <is>
          <t>Miss Glam Damar</t>
        </is>
      </c>
      <c r="E5443" t="n">
        <v>6</v>
      </c>
      <c r="F5443" t="n">
        <v>0.1365</v>
      </c>
      <c r="G5443" t="n">
        <v>1.82</v>
      </c>
      <c r="H5443" t="n">
        <v>1</v>
      </c>
      <c r="I5443" t="n">
        <v>7</v>
      </c>
      <c r="J5443" t="n">
        <v>3</v>
      </c>
      <c r="K5443" t="n">
        <v>0</v>
      </c>
      <c r="L5443" t="n">
        <v>101250</v>
      </c>
      <c r="M5443" t="n">
        <v>135000</v>
      </c>
      <c r="N5443" t="n">
        <v>91</v>
      </c>
      <c r="O5443" t="n">
        <v>0.91</v>
      </c>
      <c r="P5443" t="n">
        <v>1</v>
      </c>
      <c r="Q5443" t="n">
        <v>0.14</v>
      </c>
      <c r="R5443" t="n">
        <v>2</v>
      </c>
      <c r="S5443" t="n">
        <v>18427.5</v>
      </c>
      <c r="T5443" t="n">
        <v>13</v>
      </c>
      <c r="U5443" t="n">
        <v>14</v>
      </c>
      <c r="V5443" t="n">
        <v>30</v>
      </c>
      <c r="W5443" t="n">
        <v>5</v>
      </c>
      <c r="X5443" t="n">
        <v>43.95604395604396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11196</v>
      </c>
      <c r="AG5443" t="n">
        <v>54</v>
      </c>
      <c r="AH5443" t="inlineStr">
        <is>
          <t>PT. MIRANTI ADILLHA - PPN (PDG)</t>
        </is>
      </c>
      <c r="AI5443" t="n">
        <v>54</v>
      </c>
      <c r="AJ5443" t="inlineStr">
        <is>
          <t>SOMETHINC</t>
        </is>
      </c>
      <c r="AK5443" t="n">
        <v>21</v>
      </c>
      <c r="AL5443" t="inlineStr">
        <is>
          <t>Miss Glam Damar</t>
        </is>
      </c>
      <c r="AM5443" t="n">
        <v>2</v>
      </c>
      <c r="AN5443" t="n">
        <v>500000</v>
      </c>
      <c r="AO5443" t="n">
        <v>0</v>
      </c>
      <c r="AP5443" t="inlineStr"/>
      <c r="AQ5443" t="inlineStr"/>
    </row>
    <row r="5444">
      <c r="A5444" t="inlineStr">
        <is>
          <t>SOMETHINC</t>
        </is>
      </c>
      <c r="B5444" s="2">
        <f>"8997209270209"</f>
        <v/>
      </c>
      <c r="C5444" t="inlineStr">
        <is>
          <t>SOMETHINC Copy Paste Breathable Cushion SPF 33 PA++ Bijoux 15gr</t>
        </is>
      </c>
      <c r="D5444" t="inlineStr">
        <is>
          <t>Miss Glam Damar</t>
        </is>
      </c>
      <c r="E5444" t="n">
        <v>5</v>
      </c>
      <c r="F5444" t="n">
        <v>0.04550000000000001</v>
      </c>
      <c r="G5444" t="n">
        <v>1.82</v>
      </c>
      <c r="H5444" t="n">
        <v>1</v>
      </c>
      <c r="I5444" t="n">
        <v>7</v>
      </c>
      <c r="J5444" t="n">
        <v>3</v>
      </c>
      <c r="K5444" t="n">
        <v>0</v>
      </c>
      <c r="L5444" t="n">
        <v>141750</v>
      </c>
      <c r="M5444" t="n">
        <v>189000</v>
      </c>
      <c r="N5444" t="n">
        <v>91</v>
      </c>
      <c r="O5444" t="n">
        <v>0.91</v>
      </c>
      <c r="P5444" t="n">
        <v>1</v>
      </c>
      <c r="Q5444" t="n">
        <v>0.05</v>
      </c>
      <c r="R5444" t="n">
        <v>1</v>
      </c>
      <c r="S5444" t="n">
        <v>8599.500000000002</v>
      </c>
      <c r="T5444" t="n">
        <v>13</v>
      </c>
      <c r="U5444" t="n">
        <v>14</v>
      </c>
      <c r="V5444" t="n">
        <v>30</v>
      </c>
      <c r="W5444" t="n">
        <v>2</v>
      </c>
      <c r="X5444" t="n">
        <v>109.8901098901099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11196</v>
      </c>
      <c r="AG5444" t="n">
        <v>54</v>
      </c>
      <c r="AH5444" t="inlineStr">
        <is>
          <t>PT. MIRANTI ADILLHA - PPN (PDG)</t>
        </is>
      </c>
      <c r="AI5444" t="n">
        <v>54</v>
      </c>
      <c r="AJ5444" t="inlineStr">
        <is>
          <t>SOMETHINC</t>
        </is>
      </c>
      <c r="AK5444" t="n">
        <v>21</v>
      </c>
      <c r="AL5444" t="inlineStr">
        <is>
          <t>Miss Glam Damar</t>
        </is>
      </c>
      <c r="AM5444" t="n">
        <v>2</v>
      </c>
      <c r="AN5444" t="n">
        <v>500000</v>
      </c>
      <c r="AO5444" t="n">
        <v>0</v>
      </c>
      <c r="AP5444" t="inlineStr"/>
      <c r="AQ5444" t="inlineStr"/>
    </row>
    <row r="5445">
      <c r="A5445" t="inlineStr">
        <is>
          <t>SOMETHINC</t>
        </is>
      </c>
      <c r="B5445" s="2">
        <f>"8997209270094"</f>
        <v/>
      </c>
      <c r="C5445" t="inlineStr">
        <is>
          <t>SOMETHINC Copy Paste Breathable Cushion SPF 33 PA++ Charlotte 15g</t>
        </is>
      </c>
      <c r="D5445" t="inlineStr">
        <is>
          <t>Miss Glam Damar</t>
        </is>
      </c>
      <c r="E5445" t="n">
        <v>1</v>
      </c>
      <c r="F5445" t="n">
        <v>0.0182</v>
      </c>
      <c r="G5445" t="n">
        <v>0.91</v>
      </c>
      <c r="H5445" t="n">
        <v>1</v>
      </c>
      <c r="I5445" t="n">
        <v>7</v>
      </c>
      <c r="J5445" t="n">
        <v>3</v>
      </c>
      <c r="K5445" t="n">
        <v>0</v>
      </c>
      <c r="L5445" t="n">
        <v>141750</v>
      </c>
      <c r="M5445" t="n">
        <v>189000</v>
      </c>
      <c r="N5445" t="n">
        <v>91</v>
      </c>
      <c r="O5445" t="n">
        <v>0.91</v>
      </c>
      <c r="P5445" t="n">
        <v>1</v>
      </c>
      <c r="Q5445" t="n">
        <v>0.02</v>
      </c>
      <c r="R5445" t="n">
        <v>1</v>
      </c>
      <c r="S5445" t="n">
        <v>3439.8</v>
      </c>
      <c r="T5445" t="n">
        <v>7</v>
      </c>
      <c r="U5445" t="n">
        <v>8</v>
      </c>
      <c r="V5445" t="n">
        <v>30</v>
      </c>
      <c r="W5445" t="n">
        <v>1</v>
      </c>
      <c r="X5445" t="n">
        <v>54.94505494505494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11196</v>
      </c>
      <c r="AG5445" t="n">
        <v>54</v>
      </c>
      <c r="AH5445" t="inlineStr">
        <is>
          <t>PT. MIRANTI ADILLHA - PPN (PDG)</t>
        </is>
      </c>
      <c r="AI5445" t="n">
        <v>54</v>
      </c>
      <c r="AJ5445" t="inlineStr">
        <is>
          <t>SOMETHINC</t>
        </is>
      </c>
      <c r="AK5445" t="n">
        <v>21</v>
      </c>
      <c r="AL5445" t="inlineStr">
        <is>
          <t>Miss Glam Damar</t>
        </is>
      </c>
      <c r="AM5445" t="n">
        <v>2</v>
      </c>
      <c r="AN5445" t="n">
        <v>500000</v>
      </c>
      <c r="AO5445" t="n">
        <v>0</v>
      </c>
      <c r="AP5445" t="inlineStr"/>
      <c r="AQ5445" t="inlineStr"/>
    </row>
    <row r="5446">
      <c r="A5446" t="inlineStr">
        <is>
          <t>SOMETHINC</t>
        </is>
      </c>
      <c r="B5446" s="2">
        <f>"8997209270193"</f>
        <v/>
      </c>
      <c r="C5446" t="inlineStr">
        <is>
          <t>SOMETHINC Copy Paste Breathable Cushion SPF 33 PA++ Eclair 15g</t>
        </is>
      </c>
      <c r="D5446" t="inlineStr">
        <is>
          <t>Miss Glam Damar</t>
        </is>
      </c>
      <c r="E5446" t="n">
        <v>3</v>
      </c>
      <c r="F5446" t="n">
        <v>0.02</v>
      </c>
      <c r="G5446" t="n">
        <v>1</v>
      </c>
      <c r="H5446" t="n">
        <v>1</v>
      </c>
      <c r="I5446" t="n">
        <v>7</v>
      </c>
      <c r="J5446" t="n">
        <v>3</v>
      </c>
      <c r="K5446" t="n">
        <v>0</v>
      </c>
      <c r="L5446" t="n">
        <v>141750</v>
      </c>
      <c r="M5446" t="n">
        <v>189000</v>
      </c>
      <c r="N5446" t="n">
        <v>91</v>
      </c>
      <c r="O5446" t="n">
        <v>0.91</v>
      </c>
      <c r="P5446" t="n">
        <v>0</v>
      </c>
      <c r="Q5446" t="n">
        <v>0.02</v>
      </c>
      <c r="R5446" t="n">
        <v>1</v>
      </c>
      <c r="S5446" t="n">
        <v>3780</v>
      </c>
      <c r="T5446" t="n">
        <v>7</v>
      </c>
      <c r="U5446" t="n">
        <v>8</v>
      </c>
      <c r="V5446" t="n">
        <v>30</v>
      </c>
      <c r="W5446" t="n">
        <v>1</v>
      </c>
      <c r="X5446" t="n">
        <v>150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11196</v>
      </c>
      <c r="AG5446" t="n">
        <v>54</v>
      </c>
      <c r="AH5446" t="inlineStr">
        <is>
          <t>PT. MIRANTI ADILLHA - PPN (PDG)</t>
        </is>
      </c>
      <c r="AI5446" t="n">
        <v>54</v>
      </c>
      <c r="AJ5446" t="inlineStr">
        <is>
          <t>SOMETHINC</t>
        </is>
      </c>
      <c r="AK5446" t="n">
        <v>21</v>
      </c>
      <c r="AL5446" t="inlineStr">
        <is>
          <t>Miss Glam Damar</t>
        </is>
      </c>
      <c r="AM5446" t="n">
        <v>2</v>
      </c>
      <c r="AN5446" t="n">
        <v>500000</v>
      </c>
      <c r="AO5446" t="n">
        <v>0</v>
      </c>
      <c r="AP5446" t="inlineStr"/>
      <c r="AQ5446" t="inlineStr"/>
    </row>
    <row r="5447">
      <c r="A5447" t="inlineStr">
        <is>
          <t>SOMETHINC</t>
        </is>
      </c>
      <c r="B5447" s="2">
        <f>"8997209270179"</f>
        <v/>
      </c>
      <c r="C5447" t="inlineStr">
        <is>
          <t>SOMETHINC Copy Paste Breathable Cushion SPF 33 PA++ Nina 15g</t>
        </is>
      </c>
      <c r="D5447" t="inlineStr">
        <is>
          <t>Miss Glam Damar</t>
        </is>
      </c>
      <c r="E5447" t="n">
        <v>6</v>
      </c>
      <c r="F5447" t="n">
        <v>0.06370000000000001</v>
      </c>
      <c r="G5447" t="n">
        <v>0.91</v>
      </c>
      <c r="H5447" t="n">
        <v>1</v>
      </c>
      <c r="I5447" t="n">
        <v>7</v>
      </c>
      <c r="J5447" t="n">
        <v>3</v>
      </c>
      <c r="K5447" t="n">
        <v>0</v>
      </c>
      <c r="L5447" t="n">
        <v>141750</v>
      </c>
      <c r="M5447" t="n">
        <v>189000</v>
      </c>
      <c r="N5447" t="n">
        <v>91</v>
      </c>
      <c r="O5447" t="n">
        <v>0.91</v>
      </c>
      <c r="P5447" t="n">
        <v>1</v>
      </c>
      <c r="Q5447" t="n">
        <v>0.12</v>
      </c>
      <c r="R5447" t="n">
        <v>2</v>
      </c>
      <c r="S5447" t="n">
        <v>12039.3</v>
      </c>
      <c r="T5447" t="n">
        <v>7</v>
      </c>
      <c r="U5447" t="n">
        <v>8</v>
      </c>
      <c r="V5447" t="n">
        <v>30</v>
      </c>
      <c r="W5447" t="n">
        <v>2</v>
      </c>
      <c r="X5447" t="n">
        <v>94.19152276295132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11196</v>
      </c>
      <c r="AG5447" t="n">
        <v>54</v>
      </c>
      <c r="AH5447" t="inlineStr">
        <is>
          <t>PT. MIRANTI ADILLHA - PPN (PDG)</t>
        </is>
      </c>
      <c r="AI5447" t="n">
        <v>54</v>
      </c>
      <c r="AJ5447" t="inlineStr">
        <is>
          <t>SOMETHINC</t>
        </is>
      </c>
      <c r="AK5447" t="n">
        <v>21</v>
      </c>
      <c r="AL5447" t="inlineStr">
        <is>
          <t>Miss Glam Damar</t>
        </is>
      </c>
      <c r="AM5447" t="n">
        <v>2</v>
      </c>
      <c r="AN5447" t="n">
        <v>500000</v>
      </c>
      <c r="AO5447" t="n">
        <v>0</v>
      </c>
      <c r="AP5447" t="inlineStr"/>
      <c r="AQ5447" t="inlineStr"/>
    </row>
    <row r="5448">
      <c r="A5448" t="inlineStr">
        <is>
          <t>SOMETHINC</t>
        </is>
      </c>
      <c r="B5448" s="2">
        <f>"8997209270223"</f>
        <v/>
      </c>
      <c r="C5448" t="inlineStr">
        <is>
          <t>SOMETHINC Copy Paste Breathable Cushion SPF 33 PA++ Refill Charlotte 15g</t>
        </is>
      </c>
      <c r="D5448" t="inlineStr">
        <is>
          <t>Miss Glam Damar</t>
        </is>
      </c>
      <c r="E5448" t="n">
        <v>6</v>
      </c>
      <c r="F5448" t="n">
        <v>0.1274</v>
      </c>
      <c r="G5448" t="n">
        <v>0.91</v>
      </c>
      <c r="H5448" t="n">
        <v>1</v>
      </c>
      <c r="I5448" t="n">
        <v>7</v>
      </c>
      <c r="J5448" t="n">
        <v>3</v>
      </c>
      <c r="K5448" t="n">
        <v>0</v>
      </c>
      <c r="L5448" t="n">
        <v>101251</v>
      </c>
      <c r="M5448" t="n">
        <v>135000</v>
      </c>
      <c r="N5448" t="n">
        <v>91</v>
      </c>
      <c r="O5448" t="n">
        <v>0.91</v>
      </c>
      <c r="P5448" t="n">
        <v>1</v>
      </c>
      <c r="Q5448" t="n">
        <v>0.14</v>
      </c>
      <c r="R5448" t="n">
        <v>1</v>
      </c>
      <c r="S5448" t="n">
        <v>17199</v>
      </c>
      <c r="T5448" t="n">
        <v>7</v>
      </c>
      <c r="U5448" t="n">
        <v>8</v>
      </c>
      <c r="V5448" t="n">
        <v>30</v>
      </c>
      <c r="W5448" t="n">
        <v>4</v>
      </c>
      <c r="X5448" t="n">
        <v>47.09576138147566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11196</v>
      </c>
      <c r="AG5448" t="n">
        <v>54</v>
      </c>
      <c r="AH5448" t="inlineStr">
        <is>
          <t>PT. MIRANTI ADILLHA - PPN (PDG)</t>
        </is>
      </c>
      <c r="AI5448" t="n">
        <v>54</v>
      </c>
      <c r="AJ5448" t="inlineStr">
        <is>
          <t>SOMETHINC</t>
        </is>
      </c>
      <c r="AK5448" t="n">
        <v>21</v>
      </c>
      <c r="AL5448" t="inlineStr">
        <is>
          <t>Miss Glam Damar</t>
        </is>
      </c>
      <c r="AM5448" t="n">
        <v>2</v>
      </c>
      <c r="AN5448" t="n">
        <v>500000</v>
      </c>
      <c r="AO5448" t="n">
        <v>0</v>
      </c>
      <c r="AP5448" t="inlineStr"/>
      <c r="AQ5448" t="inlineStr"/>
    </row>
    <row r="5449">
      <c r="A5449" t="inlineStr">
        <is>
          <t>SOMETHINC</t>
        </is>
      </c>
      <c r="B5449" s="2">
        <f>"8997209270285"</f>
        <v/>
      </c>
      <c r="C5449" t="inlineStr">
        <is>
          <t>SOMETHINC Copy Paste Breathable Cushion SPF 33 PA++ Refill Eclair 15g</t>
        </is>
      </c>
      <c r="D5449" t="inlineStr">
        <is>
          <t>Miss Glam Damar</t>
        </is>
      </c>
      <c r="E5449" t="n">
        <v>3</v>
      </c>
      <c r="F5449" t="n">
        <v>0.0273</v>
      </c>
      <c r="G5449" t="n">
        <v>0.91</v>
      </c>
      <c r="H5449" t="n">
        <v>1</v>
      </c>
      <c r="I5449" t="n">
        <v>7</v>
      </c>
      <c r="J5449" t="n">
        <v>3</v>
      </c>
      <c r="K5449" t="n">
        <v>0</v>
      </c>
      <c r="L5449" t="n">
        <v>101250</v>
      </c>
      <c r="M5449" t="n">
        <v>135000</v>
      </c>
      <c r="N5449" t="n">
        <v>91</v>
      </c>
      <c r="O5449" t="n">
        <v>0.91</v>
      </c>
      <c r="P5449" t="n">
        <v>1</v>
      </c>
      <c r="Q5449" t="n">
        <v>0.02</v>
      </c>
      <c r="R5449" t="n">
        <v>1</v>
      </c>
      <c r="S5449" t="n">
        <v>3685.5</v>
      </c>
      <c r="T5449" t="n">
        <v>7</v>
      </c>
      <c r="U5449" t="n">
        <v>8</v>
      </c>
      <c r="V5449" t="n">
        <v>30</v>
      </c>
      <c r="W5449" t="n">
        <v>1</v>
      </c>
      <c r="X5449" t="n">
        <v>109.8901098901099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11196</v>
      </c>
      <c r="AG5449" t="n">
        <v>54</v>
      </c>
      <c r="AH5449" t="inlineStr">
        <is>
          <t>PT. MIRANTI ADILLHA - PPN (PDG)</t>
        </is>
      </c>
      <c r="AI5449" t="n">
        <v>54</v>
      </c>
      <c r="AJ5449" t="inlineStr">
        <is>
          <t>SOMETHINC</t>
        </is>
      </c>
      <c r="AK5449" t="n">
        <v>21</v>
      </c>
      <c r="AL5449" t="inlineStr">
        <is>
          <t>Miss Glam Damar</t>
        </is>
      </c>
      <c r="AM5449" t="n">
        <v>2</v>
      </c>
      <c r="AN5449" t="n">
        <v>500000</v>
      </c>
      <c r="AO5449" t="n">
        <v>0</v>
      </c>
      <c r="AP5449" t="inlineStr"/>
      <c r="AQ5449" t="inlineStr"/>
    </row>
    <row r="5450">
      <c r="A5450" t="inlineStr">
        <is>
          <t>SOMETHINC</t>
        </is>
      </c>
      <c r="B5450" s="2">
        <f>"8997209270292"</f>
        <v/>
      </c>
      <c r="C5450" t="inlineStr">
        <is>
          <t>SOMETHINC Copy Paste Breathable Cushion SPF 3E PA++ Refill Bijoux 15g</t>
        </is>
      </c>
      <c r="D5450" t="inlineStr">
        <is>
          <t>Miss Glam Damar</t>
        </is>
      </c>
      <c r="E5450" t="n">
        <v>7</v>
      </c>
      <c r="F5450" t="n">
        <v>0.1547</v>
      </c>
      <c r="G5450" t="n">
        <v>1.82</v>
      </c>
      <c r="H5450" t="n">
        <v>1</v>
      </c>
      <c r="I5450" t="n">
        <v>7</v>
      </c>
      <c r="J5450" t="n">
        <v>3</v>
      </c>
      <c r="K5450" t="n">
        <v>0</v>
      </c>
      <c r="L5450" t="n">
        <v>101250</v>
      </c>
      <c r="M5450" t="n">
        <v>135000</v>
      </c>
      <c r="N5450" t="n">
        <v>91</v>
      </c>
      <c r="O5450" t="n">
        <v>0.91</v>
      </c>
      <c r="P5450" t="n">
        <v>1</v>
      </c>
      <c r="Q5450" t="n">
        <v>0.17</v>
      </c>
      <c r="R5450" t="n">
        <v>2</v>
      </c>
      <c r="S5450" t="n">
        <v>20884.5</v>
      </c>
      <c r="T5450" t="n">
        <v>13</v>
      </c>
      <c r="U5450" t="n">
        <v>14</v>
      </c>
      <c r="V5450" t="n">
        <v>30</v>
      </c>
      <c r="W5450" t="n">
        <v>5</v>
      </c>
      <c r="X5450" t="n">
        <v>45.24886877828054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11196</v>
      </c>
      <c r="AG5450" t="n">
        <v>54</v>
      </c>
      <c r="AH5450" t="inlineStr">
        <is>
          <t>PT. MIRANTI ADILLHA - PPN (PDG)</t>
        </is>
      </c>
      <c r="AI5450" t="n">
        <v>54</v>
      </c>
      <c r="AJ5450" t="inlineStr">
        <is>
          <t>SOMETHINC</t>
        </is>
      </c>
      <c r="AK5450" t="n">
        <v>21</v>
      </c>
      <c r="AL5450" t="inlineStr">
        <is>
          <t>Miss Glam Damar</t>
        </is>
      </c>
      <c r="AM5450" t="n">
        <v>2</v>
      </c>
      <c r="AN5450" t="n">
        <v>500000</v>
      </c>
      <c r="AO5450" t="n">
        <v>0</v>
      </c>
      <c r="AP5450" t="inlineStr"/>
      <c r="AQ5450" t="inlineStr"/>
    </row>
    <row r="5451">
      <c r="A5451" t="inlineStr">
        <is>
          <t>SOMETHINC</t>
        </is>
      </c>
      <c r="B5451" s="2">
        <f>"8997209270261"</f>
        <v/>
      </c>
      <c r="C5451" t="inlineStr">
        <is>
          <t>SOMETHINC Copy Paste Breathable Cushion SPF 3E PA++ Refill Nina 15g</t>
        </is>
      </c>
      <c r="D5451" t="inlineStr">
        <is>
          <t>Miss Glam Damar</t>
        </is>
      </c>
      <c r="E5451" t="n">
        <v>7</v>
      </c>
      <c r="F5451" t="n">
        <v>0.182</v>
      </c>
      <c r="G5451" t="n">
        <v>1.82</v>
      </c>
      <c r="H5451" t="n">
        <v>1</v>
      </c>
      <c r="I5451" t="n">
        <v>7</v>
      </c>
      <c r="J5451" t="n">
        <v>3</v>
      </c>
      <c r="K5451" t="n">
        <v>0</v>
      </c>
      <c r="L5451" t="n">
        <v>101250</v>
      </c>
      <c r="M5451" t="n">
        <v>135000</v>
      </c>
      <c r="N5451" t="n">
        <v>91</v>
      </c>
      <c r="O5451" t="n">
        <v>0.91</v>
      </c>
      <c r="P5451" t="n">
        <v>1</v>
      </c>
      <c r="Q5451" t="n">
        <v>0.39</v>
      </c>
      <c r="R5451" t="n">
        <v>2</v>
      </c>
      <c r="S5451" t="n">
        <v>24570</v>
      </c>
      <c r="T5451" t="n">
        <v>13</v>
      </c>
      <c r="U5451" t="n">
        <v>14</v>
      </c>
      <c r="V5451" t="n">
        <v>30</v>
      </c>
      <c r="W5451" t="n">
        <v>6</v>
      </c>
      <c r="X5451" t="n">
        <v>38.46153846153846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11196</v>
      </c>
      <c r="AG5451" t="n">
        <v>54</v>
      </c>
      <c r="AH5451" t="inlineStr">
        <is>
          <t>PT. MIRANTI ADILLHA - PPN (PDG)</t>
        </is>
      </c>
      <c r="AI5451" t="n">
        <v>54</v>
      </c>
      <c r="AJ5451" t="inlineStr">
        <is>
          <t>SOMETHINC</t>
        </is>
      </c>
      <c r="AK5451" t="n">
        <v>21</v>
      </c>
      <c r="AL5451" t="inlineStr">
        <is>
          <t>Miss Glam Damar</t>
        </is>
      </c>
      <c r="AM5451" t="n">
        <v>2</v>
      </c>
      <c r="AN5451" t="n">
        <v>500000</v>
      </c>
      <c r="AO5451" t="n">
        <v>0</v>
      </c>
      <c r="AP5451" t="inlineStr"/>
      <c r="AQ5451" t="inlineStr"/>
    </row>
    <row r="5452">
      <c r="A5452" t="inlineStr">
        <is>
          <t>SOMETHINC</t>
        </is>
      </c>
      <c r="B5452" s="2">
        <f>"8991752007084"</f>
        <v/>
      </c>
      <c r="C5452" t="inlineStr">
        <is>
          <t>SOMETHINC Copy Paste Tinted Sunscreen SPF 40 PA++++ 10ml - C00 Cotton</t>
        </is>
      </c>
      <c r="D5452" t="inlineStr">
        <is>
          <t>Miss Glam Damar</t>
        </is>
      </c>
      <c r="E5452" t="n">
        <v>3</v>
      </c>
      <c r="F5452" t="n">
        <v>0.09100000000000001</v>
      </c>
      <c r="G5452" t="n">
        <v>0.91</v>
      </c>
      <c r="H5452" t="n">
        <v>1</v>
      </c>
      <c r="I5452" t="n">
        <v>7</v>
      </c>
      <c r="J5452" t="n">
        <v>3</v>
      </c>
      <c r="K5452" t="n">
        <v>0</v>
      </c>
      <c r="L5452" t="n">
        <v>39750</v>
      </c>
      <c r="M5452" t="n">
        <v>53000</v>
      </c>
      <c r="N5452" t="n">
        <v>91</v>
      </c>
      <c r="O5452" t="n">
        <v>0.91</v>
      </c>
      <c r="P5452" t="n">
        <v>1</v>
      </c>
      <c r="Q5452" t="n">
        <v>0.07000000000000001</v>
      </c>
      <c r="R5452" t="n">
        <v>1</v>
      </c>
      <c r="S5452" t="n">
        <v>4823.000000000001</v>
      </c>
      <c r="T5452" t="n">
        <v>7</v>
      </c>
      <c r="U5452" t="n">
        <v>8</v>
      </c>
      <c r="V5452" t="n">
        <v>30</v>
      </c>
      <c r="W5452" t="n">
        <v>3</v>
      </c>
      <c r="X5452" t="n">
        <v>32.96703296703296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11196</v>
      </c>
      <c r="AG5452" t="n">
        <v>54</v>
      </c>
      <c r="AH5452" t="inlineStr">
        <is>
          <t>PT. MIRANTI ADILLHA - PPN (PDG)</t>
        </is>
      </c>
      <c r="AI5452" t="n">
        <v>54</v>
      </c>
      <c r="AJ5452" t="inlineStr">
        <is>
          <t>SOMETHINC</t>
        </is>
      </c>
      <c r="AK5452" t="n">
        <v>21</v>
      </c>
      <c r="AL5452" t="inlineStr">
        <is>
          <t>Miss Glam Damar</t>
        </is>
      </c>
      <c r="AM5452" t="n">
        <v>2</v>
      </c>
      <c r="AN5452" t="n">
        <v>500000</v>
      </c>
      <c r="AO5452" t="n">
        <v>0</v>
      </c>
      <c r="AP5452" t="inlineStr"/>
      <c r="AQ5452" t="inlineStr"/>
    </row>
    <row r="5453">
      <c r="A5453" t="inlineStr">
        <is>
          <t>SOMETHINC</t>
        </is>
      </c>
      <c r="B5453" s="2">
        <f>"8991752007107"</f>
        <v/>
      </c>
      <c r="C5453" t="inlineStr">
        <is>
          <t>SOMETHINC Copy Paste Tinted Sunscreen SPF 40 PA++++ 10ml - W01.5 Cashew</t>
        </is>
      </c>
      <c r="D5453" t="inlineStr">
        <is>
          <t>Miss Glam Damar</t>
        </is>
      </c>
      <c r="E5453" t="n">
        <v>7</v>
      </c>
      <c r="F5453" t="n">
        <v>0.1365</v>
      </c>
      <c r="G5453" t="n">
        <v>0.91</v>
      </c>
      <c r="H5453" t="n">
        <v>1</v>
      </c>
      <c r="I5453" t="n">
        <v>7</v>
      </c>
      <c r="J5453" t="n">
        <v>3</v>
      </c>
      <c r="K5453" t="n">
        <v>0</v>
      </c>
      <c r="L5453" t="n">
        <v>39735</v>
      </c>
      <c r="M5453" t="n">
        <v>53000</v>
      </c>
      <c r="N5453" t="n">
        <v>91</v>
      </c>
      <c r="O5453" t="n">
        <v>0.91</v>
      </c>
      <c r="P5453" t="n">
        <v>1</v>
      </c>
      <c r="Q5453" t="n">
        <v>0.14</v>
      </c>
      <c r="R5453" t="n">
        <v>1</v>
      </c>
      <c r="S5453" t="n">
        <v>7234.500000000001</v>
      </c>
      <c r="T5453" t="n">
        <v>7</v>
      </c>
      <c r="U5453" t="n">
        <v>8</v>
      </c>
      <c r="V5453" t="n">
        <v>30</v>
      </c>
      <c r="W5453" t="n">
        <v>5</v>
      </c>
      <c r="X5453" t="n">
        <v>51.28205128205128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11196</v>
      </c>
      <c r="AG5453" t="n">
        <v>54</v>
      </c>
      <c r="AH5453" t="inlineStr">
        <is>
          <t>PT. MIRANTI ADILLHA - PPN (PDG)</t>
        </is>
      </c>
      <c r="AI5453" t="n">
        <v>54</v>
      </c>
      <c r="AJ5453" t="inlineStr">
        <is>
          <t>SOMETHINC</t>
        </is>
      </c>
      <c r="AK5453" t="n">
        <v>21</v>
      </c>
      <c r="AL5453" t="inlineStr">
        <is>
          <t>Miss Glam Damar</t>
        </is>
      </c>
      <c r="AM5453" t="n">
        <v>2</v>
      </c>
      <c r="AN5453" t="n">
        <v>500000</v>
      </c>
      <c r="AO5453" t="n">
        <v>0</v>
      </c>
      <c r="AP5453" t="inlineStr"/>
      <c r="AQ5453" t="inlineStr"/>
    </row>
    <row r="5454">
      <c r="A5454" t="inlineStr">
        <is>
          <t>SOMETHINC</t>
        </is>
      </c>
      <c r="B5454" s="2">
        <f>"8991752007077"</f>
        <v/>
      </c>
      <c r="C5454" t="inlineStr">
        <is>
          <t>SOMETHINC Copy Paste Tinted Sunscreen SPF 40 PA++++ 50ml - C00 Cotton</t>
        </is>
      </c>
      <c r="D5454" t="inlineStr">
        <is>
          <t>Miss Glam Damar</t>
        </is>
      </c>
      <c r="E5454" t="n">
        <v>3</v>
      </c>
      <c r="F5454" t="n">
        <v>0.0182</v>
      </c>
      <c r="G5454" t="n">
        <v>0.91</v>
      </c>
      <c r="H5454" t="n">
        <v>1</v>
      </c>
      <c r="I5454" t="n">
        <v>7</v>
      </c>
      <c r="J5454" t="n">
        <v>3</v>
      </c>
      <c r="K5454" t="n">
        <v>0</v>
      </c>
      <c r="L5454" t="n">
        <v>126750</v>
      </c>
      <c r="M5454" t="n">
        <v>169000</v>
      </c>
      <c r="N5454" t="n">
        <v>91</v>
      </c>
      <c r="O5454" t="n">
        <v>0.91</v>
      </c>
      <c r="P5454" t="n">
        <v>1</v>
      </c>
      <c r="Q5454" t="n">
        <v>0.03</v>
      </c>
      <c r="R5454" t="n">
        <v>1</v>
      </c>
      <c r="S5454" t="n">
        <v>3075.8</v>
      </c>
      <c r="T5454" t="n">
        <v>7</v>
      </c>
      <c r="U5454" t="n">
        <v>8</v>
      </c>
      <c r="V5454" t="n">
        <v>30</v>
      </c>
      <c r="W5454" t="n">
        <v>1</v>
      </c>
      <c r="X5454" t="n">
        <v>164.8351648351648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11196</v>
      </c>
      <c r="AG5454" t="n">
        <v>54</v>
      </c>
      <c r="AH5454" t="inlineStr">
        <is>
          <t>PT. MIRANTI ADILLHA - PPN (PDG)</t>
        </is>
      </c>
      <c r="AI5454" t="n">
        <v>54</v>
      </c>
      <c r="AJ5454" t="inlineStr">
        <is>
          <t>SOMETHINC</t>
        </is>
      </c>
      <c r="AK5454" t="n">
        <v>21</v>
      </c>
      <c r="AL5454" t="inlineStr">
        <is>
          <t>Miss Glam Damar</t>
        </is>
      </c>
      <c r="AM5454" t="n">
        <v>2</v>
      </c>
      <c r="AN5454" t="n">
        <v>500000</v>
      </c>
      <c r="AO5454" t="n">
        <v>0</v>
      </c>
      <c r="AP5454" t="inlineStr"/>
      <c r="AQ5454" t="inlineStr"/>
    </row>
    <row r="5455">
      <c r="A5455" t="inlineStr">
        <is>
          <t>SOMETHINC</t>
        </is>
      </c>
      <c r="B5455" s="2">
        <f>"8991752007091"</f>
        <v/>
      </c>
      <c r="C5455" t="inlineStr">
        <is>
          <t>SOMETHINC Copy Paste Tinted Sunscreen SPF 40 PA++++ 50ml - C01 Cashew</t>
        </is>
      </c>
      <c r="D5455" t="inlineStr">
        <is>
          <t>Miss Glam Damar</t>
        </is>
      </c>
      <c r="E5455" t="n">
        <v>3</v>
      </c>
      <c r="F5455" t="n">
        <v>0.0182</v>
      </c>
      <c r="G5455" t="n">
        <v>0.91</v>
      </c>
      <c r="H5455" t="n">
        <v>1</v>
      </c>
      <c r="I5455" t="n">
        <v>7</v>
      </c>
      <c r="J5455" t="n">
        <v>3</v>
      </c>
      <c r="K5455" t="n">
        <v>0</v>
      </c>
      <c r="L5455" t="n">
        <v>123000</v>
      </c>
      <c r="M5455" t="n">
        <v>169000</v>
      </c>
      <c r="N5455" t="n">
        <v>91</v>
      </c>
      <c r="O5455" t="n">
        <v>0.91</v>
      </c>
      <c r="P5455" t="n">
        <v>1</v>
      </c>
      <c r="Q5455" t="n">
        <v>0.08</v>
      </c>
      <c r="R5455" t="n">
        <v>1</v>
      </c>
      <c r="S5455" t="n">
        <v>3075.8</v>
      </c>
      <c r="T5455" t="n">
        <v>7</v>
      </c>
      <c r="U5455" t="n">
        <v>8</v>
      </c>
      <c r="V5455" t="n">
        <v>30</v>
      </c>
      <c r="W5455" t="n">
        <v>1</v>
      </c>
      <c r="X5455" t="n">
        <v>164.8351648351648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11196</v>
      </c>
      <c r="AG5455" t="n">
        <v>54</v>
      </c>
      <c r="AH5455" t="inlineStr">
        <is>
          <t>PT. MIRANTI ADILLHA - PPN (PDG)</t>
        </is>
      </c>
      <c r="AI5455" t="n">
        <v>54</v>
      </c>
      <c r="AJ5455" t="inlineStr">
        <is>
          <t>SOMETHINC</t>
        </is>
      </c>
      <c r="AK5455" t="n">
        <v>21</v>
      </c>
      <c r="AL5455" t="inlineStr">
        <is>
          <t>Miss Glam Damar</t>
        </is>
      </c>
      <c r="AM5455" t="n">
        <v>2</v>
      </c>
      <c r="AN5455" t="n">
        <v>500000</v>
      </c>
      <c r="AO5455" t="n">
        <v>0</v>
      </c>
      <c r="AP5455" t="inlineStr"/>
      <c r="AQ5455" t="inlineStr"/>
    </row>
    <row r="5456">
      <c r="A5456" t="inlineStr">
        <is>
          <t>SOMETHINC</t>
        </is>
      </c>
      <c r="B5456" s="2">
        <f>"8991752005523"</f>
        <v/>
      </c>
      <c r="C5456" t="inlineStr">
        <is>
          <t>SOMETHINC Copy Paste Tinted Sunscreen SPF 40 PA++++ 50ml C01 Perle</t>
        </is>
      </c>
      <c r="D5456" t="inlineStr">
        <is>
          <t>Miss Glam Damar</t>
        </is>
      </c>
      <c r="E5456" t="n">
        <v>1</v>
      </c>
      <c r="F5456" t="n">
        <v>0.03</v>
      </c>
      <c r="G5456" t="n">
        <v>1</v>
      </c>
      <c r="H5456" t="n">
        <v>1</v>
      </c>
      <c r="I5456" t="n">
        <v>7</v>
      </c>
      <c r="J5456" t="n">
        <v>3</v>
      </c>
      <c r="K5456" t="n">
        <v>0</v>
      </c>
      <c r="L5456" t="n">
        <v>125812</v>
      </c>
      <c r="M5456" t="n">
        <v>169000</v>
      </c>
      <c r="N5456" t="n">
        <v>91</v>
      </c>
      <c r="O5456" t="n">
        <v>0.91</v>
      </c>
      <c r="P5456" t="n">
        <v>0</v>
      </c>
      <c r="Q5456" t="n">
        <v>0.03</v>
      </c>
      <c r="R5456" t="n">
        <v>1</v>
      </c>
      <c r="S5456" t="n">
        <v>5070</v>
      </c>
      <c r="T5456" t="n">
        <v>7</v>
      </c>
      <c r="U5456" t="n">
        <v>8</v>
      </c>
      <c r="V5456" t="n">
        <v>30</v>
      </c>
      <c r="W5456" t="n">
        <v>1</v>
      </c>
      <c r="X5456" t="n">
        <v>33.33333333333334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11196</v>
      </c>
      <c r="AG5456" t="n">
        <v>54</v>
      </c>
      <c r="AH5456" t="inlineStr">
        <is>
          <t>PT. MIRANTI ADILLHA - PPN (PDG)</t>
        </is>
      </c>
      <c r="AI5456" t="n">
        <v>54</v>
      </c>
      <c r="AJ5456" t="inlineStr">
        <is>
          <t>SOMETHINC</t>
        </is>
      </c>
      <c r="AK5456" t="n">
        <v>21</v>
      </c>
      <c r="AL5456" t="inlineStr">
        <is>
          <t>Miss Glam Damar</t>
        </is>
      </c>
      <c r="AM5456" t="n">
        <v>2</v>
      </c>
      <c r="AN5456" t="n">
        <v>500000</v>
      </c>
      <c r="AO5456" t="n">
        <v>0</v>
      </c>
      <c r="AP5456" t="inlineStr"/>
      <c r="AQ5456" t="inlineStr"/>
    </row>
    <row r="5457">
      <c r="A5457" t="inlineStr">
        <is>
          <t>SOMETHINC</t>
        </is>
      </c>
      <c r="B5457" s="2">
        <f>"8991752005547"</f>
        <v/>
      </c>
      <c r="C5457" t="inlineStr">
        <is>
          <t>SOMETHINC Copy Paste Tinted Sunscreen SPF 40 PA++++ 50ml C03 Eclair</t>
        </is>
      </c>
      <c r="D5457" t="inlineStr">
        <is>
          <t>Miss Glam Damar</t>
        </is>
      </c>
      <c r="E5457" t="n">
        <v>3</v>
      </c>
      <c r="F5457" t="n">
        <v>0.06370000000000001</v>
      </c>
      <c r="G5457" t="n">
        <v>0.91</v>
      </c>
      <c r="H5457" t="n">
        <v>1</v>
      </c>
      <c r="I5457" t="n">
        <v>7</v>
      </c>
      <c r="J5457" t="n">
        <v>3</v>
      </c>
      <c r="K5457" t="n">
        <v>0</v>
      </c>
      <c r="L5457" t="n">
        <v>126750</v>
      </c>
      <c r="M5457" t="n">
        <v>169000</v>
      </c>
      <c r="N5457" t="n">
        <v>91</v>
      </c>
      <c r="O5457" t="n">
        <v>0.91</v>
      </c>
      <c r="P5457" t="n">
        <v>1</v>
      </c>
      <c r="Q5457" t="n">
        <v>0.02</v>
      </c>
      <c r="R5457" t="n">
        <v>1</v>
      </c>
      <c r="S5457" t="n">
        <v>10765.3</v>
      </c>
      <c r="T5457" t="n">
        <v>7</v>
      </c>
      <c r="U5457" t="n">
        <v>8</v>
      </c>
      <c r="V5457" t="n">
        <v>30</v>
      </c>
      <c r="W5457" t="n">
        <v>2</v>
      </c>
      <c r="X5457" t="n">
        <v>47.09576138147566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11196</v>
      </c>
      <c r="AG5457" t="n">
        <v>54</v>
      </c>
      <c r="AH5457" t="inlineStr">
        <is>
          <t>PT. MIRANTI ADILLHA - PPN (PDG)</t>
        </is>
      </c>
      <c r="AI5457" t="n">
        <v>54</v>
      </c>
      <c r="AJ5457" t="inlineStr">
        <is>
          <t>SOMETHINC</t>
        </is>
      </c>
      <c r="AK5457" t="n">
        <v>21</v>
      </c>
      <c r="AL5457" t="inlineStr">
        <is>
          <t>Miss Glam Damar</t>
        </is>
      </c>
      <c r="AM5457" t="n">
        <v>2</v>
      </c>
      <c r="AN5457" t="n">
        <v>500000</v>
      </c>
      <c r="AO5457" t="n">
        <v>0</v>
      </c>
      <c r="AP5457" t="inlineStr"/>
      <c r="AQ5457" t="inlineStr"/>
    </row>
    <row r="5458">
      <c r="A5458" t="inlineStr">
        <is>
          <t>SOMETHINC</t>
        </is>
      </c>
      <c r="B5458" s="2">
        <f>"8991752005554"</f>
        <v/>
      </c>
      <c r="C5458" t="inlineStr">
        <is>
          <t>SOMETHINC Copy Paste Tinted Sunscreen SPF 40 PA++++ 50ml N01 Nina</t>
        </is>
      </c>
      <c r="D5458" t="inlineStr">
        <is>
          <t>Miss Glam Damar</t>
        </is>
      </c>
      <c r="E5458" t="n">
        <v>7</v>
      </c>
      <c r="F5458" t="n">
        <v>0.1274</v>
      </c>
      <c r="G5458" t="n">
        <v>2.73</v>
      </c>
      <c r="H5458" t="n">
        <v>1</v>
      </c>
      <c r="I5458" t="n">
        <v>7</v>
      </c>
      <c r="J5458" t="n">
        <v>3</v>
      </c>
      <c r="K5458" t="n">
        <v>0</v>
      </c>
      <c r="L5458" t="n">
        <v>126750</v>
      </c>
      <c r="M5458" t="n">
        <v>169000</v>
      </c>
      <c r="N5458" t="n">
        <v>91</v>
      </c>
      <c r="O5458" t="n">
        <v>0.91</v>
      </c>
      <c r="P5458" t="n">
        <v>1</v>
      </c>
      <c r="Q5458" t="n">
        <v>0.15</v>
      </c>
      <c r="R5458" t="n">
        <v>2</v>
      </c>
      <c r="S5458" t="n">
        <v>21530.6</v>
      </c>
      <c r="T5458" t="n">
        <v>19</v>
      </c>
      <c r="U5458" t="n">
        <v>20</v>
      </c>
      <c r="V5458" t="n">
        <v>30</v>
      </c>
      <c r="W5458" t="n">
        <v>4</v>
      </c>
      <c r="X5458" t="n">
        <v>54.94505494505494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11196</v>
      </c>
      <c r="AG5458" t="n">
        <v>54</v>
      </c>
      <c r="AH5458" t="inlineStr">
        <is>
          <t>PT. MIRANTI ADILLHA - PPN (PDG)</t>
        </is>
      </c>
      <c r="AI5458" t="n">
        <v>54</v>
      </c>
      <c r="AJ5458" t="inlineStr">
        <is>
          <t>SOMETHINC</t>
        </is>
      </c>
      <c r="AK5458" t="n">
        <v>21</v>
      </c>
      <c r="AL5458" t="inlineStr">
        <is>
          <t>Miss Glam Damar</t>
        </is>
      </c>
      <c r="AM5458" t="n">
        <v>2</v>
      </c>
      <c r="AN5458" t="n">
        <v>500000</v>
      </c>
      <c r="AO5458" t="n">
        <v>0</v>
      </c>
      <c r="AP5458" t="inlineStr"/>
      <c r="AQ5458" t="inlineStr"/>
    </row>
    <row r="5459">
      <c r="A5459" t="inlineStr">
        <is>
          <t>SOMETHINC</t>
        </is>
      </c>
      <c r="B5459" s="2">
        <f>"8991752005561"</f>
        <v/>
      </c>
      <c r="C5459" t="inlineStr">
        <is>
          <t>SOMETHINC Copy Paste Tinted Sunscreen SPF 40 PA++++ 50ml N02 Charlotte</t>
        </is>
      </c>
      <c r="D5459" t="inlineStr">
        <is>
          <t>Miss Glam Damar</t>
        </is>
      </c>
      <c r="E5459" t="n">
        <v>2</v>
      </c>
      <c r="F5459" t="n">
        <v>0.0182</v>
      </c>
      <c r="G5459" t="n">
        <v>0.91</v>
      </c>
      <c r="H5459" t="n">
        <v>1</v>
      </c>
      <c r="I5459" t="n">
        <v>7</v>
      </c>
      <c r="J5459" t="n">
        <v>3</v>
      </c>
      <c r="K5459" t="n">
        <v>0</v>
      </c>
      <c r="L5459" t="n">
        <v>126750</v>
      </c>
      <c r="M5459" t="n">
        <v>159000</v>
      </c>
      <c r="N5459" t="n">
        <v>91</v>
      </c>
      <c r="O5459" t="n">
        <v>0.91</v>
      </c>
      <c r="P5459" t="n">
        <v>1</v>
      </c>
      <c r="Q5459" t="n">
        <v>0.03</v>
      </c>
      <c r="R5459" t="n">
        <v>1</v>
      </c>
      <c r="S5459" t="n">
        <v>2893.8</v>
      </c>
      <c r="T5459" t="n">
        <v>7</v>
      </c>
      <c r="U5459" t="n">
        <v>8</v>
      </c>
      <c r="V5459" t="n">
        <v>30</v>
      </c>
      <c r="W5459" t="n">
        <v>1</v>
      </c>
      <c r="X5459" t="n">
        <v>109.8901098901099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11196</v>
      </c>
      <c r="AG5459" t="n">
        <v>54</v>
      </c>
      <c r="AH5459" t="inlineStr">
        <is>
          <t>PT. MIRANTI ADILLHA - PPN (PDG)</t>
        </is>
      </c>
      <c r="AI5459" t="n">
        <v>54</v>
      </c>
      <c r="AJ5459" t="inlineStr">
        <is>
          <t>SOMETHINC</t>
        </is>
      </c>
      <c r="AK5459" t="n">
        <v>21</v>
      </c>
      <c r="AL5459" t="inlineStr">
        <is>
          <t>Miss Glam Damar</t>
        </is>
      </c>
      <c r="AM5459" t="n">
        <v>2</v>
      </c>
      <c r="AN5459" t="n">
        <v>500000</v>
      </c>
      <c r="AO5459" t="n">
        <v>0</v>
      </c>
      <c r="AP5459" t="inlineStr"/>
      <c r="AQ5459" t="inlineStr"/>
    </row>
    <row r="5460">
      <c r="A5460" t="inlineStr">
        <is>
          <t>SOMETHINC</t>
        </is>
      </c>
      <c r="B5460" s="2">
        <f>"8991752005585"</f>
        <v/>
      </c>
      <c r="C5460" t="inlineStr">
        <is>
          <t>SOMETHINC Copy Paste Tinted Sunscreen SPF 40 PA++++ 50ml W01 Bijoux</t>
        </is>
      </c>
      <c r="D5460" t="inlineStr">
        <is>
          <t>Miss Glam Damar</t>
        </is>
      </c>
      <c r="E5460" t="n">
        <v>5</v>
      </c>
      <c r="F5460" t="n">
        <v>0.06370000000000001</v>
      </c>
      <c r="G5460" t="n">
        <v>0.91</v>
      </c>
      <c r="H5460" t="n">
        <v>1</v>
      </c>
      <c r="I5460" t="n">
        <v>7</v>
      </c>
      <c r="J5460" t="n">
        <v>3</v>
      </c>
      <c r="K5460" t="n">
        <v>0</v>
      </c>
      <c r="L5460" t="n">
        <v>126321</v>
      </c>
      <c r="M5460" t="n">
        <v>169000</v>
      </c>
      <c r="N5460" t="n">
        <v>91</v>
      </c>
      <c r="O5460" t="n">
        <v>0.91</v>
      </c>
      <c r="P5460" t="n">
        <v>1</v>
      </c>
      <c r="Q5460" t="n">
        <v>0.07000000000000001</v>
      </c>
      <c r="R5460" t="n">
        <v>1</v>
      </c>
      <c r="S5460" t="n">
        <v>10765.3</v>
      </c>
      <c r="T5460" t="n">
        <v>7</v>
      </c>
      <c r="U5460" t="n">
        <v>8</v>
      </c>
      <c r="V5460" t="n">
        <v>30</v>
      </c>
      <c r="W5460" t="n">
        <v>2</v>
      </c>
      <c r="X5460" t="n">
        <v>78.49293563579278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11196</v>
      </c>
      <c r="AG5460" t="n">
        <v>54</v>
      </c>
      <c r="AH5460" t="inlineStr">
        <is>
          <t>PT. MIRANTI ADILLHA - PPN (PDG)</t>
        </is>
      </c>
      <c r="AI5460" t="n">
        <v>54</v>
      </c>
      <c r="AJ5460" t="inlineStr">
        <is>
          <t>SOMETHINC</t>
        </is>
      </c>
      <c r="AK5460" t="n">
        <v>21</v>
      </c>
      <c r="AL5460" t="inlineStr">
        <is>
          <t>Miss Glam Damar</t>
        </is>
      </c>
      <c r="AM5460" t="n">
        <v>2</v>
      </c>
      <c r="AN5460" t="n">
        <v>500000</v>
      </c>
      <c r="AO5460" t="n">
        <v>0</v>
      </c>
      <c r="AP5460" t="inlineStr"/>
      <c r="AQ5460" t="inlineStr"/>
    </row>
    <row r="5461">
      <c r="A5461" t="inlineStr">
        <is>
          <t>SOMETHINC</t>
        </is>
      </c>
      <c r="B5461" s="2">
        <f>"8991752005684"</f>
        <v/>
      </c>
      <c r="C5461" t="inlineStr">
        <is>
          <t>SOMETHINC Copy Paste Tinted Sunscreen SPF 40 PA++++ Bijoux 10ml</t>
        </is>
      </c>
      <c r="D5461" t="inlineStr">
        <is>
          <t>Miss Glam Damar</t>
        </is>
      </c>
      <c r="E5461" t="n">
        <v>7</v>
      </c>
      <c r="F5461" t="n">
        <v>0.1365</v>
      </c>
      <c r="G5461" t="n">
        <v>1.82</v>
      </c>
      <c r="H5461" t="n">
        <v>1</v>
      </c>
      <c r="I5461" t="n">
        <v>7</v>
      </c>
      <c r="J5461" t="n">
        <v>3</v>
      </c>
      <c r="K5461" t="n">
        <v>0</v>
      </c>
      <c r="L5461" t="n">
        <v>39713</v>
      </c>
      <c r="M5461" t="n">
        <v>53000</v>
      </c>
      <c r="N5461" t="n">
        <v>91</v>
      </c>
      <c r="O5461" t="n">
        <v>0.91</v>
      </c>
      <c r="P5461" t="n">
        <v>1</v>
      </c>
      <c r="Q5461" t="n">
        <v>0.15</v>
      </c>
      <c r="R5461" t="n">
        <v>1</v>
      </c>
      <c r="S5461" t="n">
        <v>7234.500000000001</v>
      </c>
      <c r="T5461" t="n">
        <v>13</v>
      </c>
      <c r="U5461" t="n">
        <v>14</v>
      </c>
      <c r="V5461" t="n">
        <v>30</v>
      </c>
      <c r="W5461" t="n">
        <v>5</v>
      </c>
      <c r="X5461" t="n">
        <v>51.28205128205128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11196</v>
      </c>
      <c r="AG5461" t="n">
        <v>54</v>
      </c>
      <c r="AH5461" t="inlineStr">
        <is>
          <t>PT. MIRANTI ADILLHA - PPN (PDG)</t>
        </is>
      </c>
      <c r="AI5461" t="n">
        <v>54</v>
      </c>
      <c r="AJ5461" t="inlineStr">
        <is>
          <t>SOMETHINC</t>
        </is>
      </c>
      <c r="AK5461" t="n">
        <v>21</v>
      </c>
      <c r="AL5461" t="inlineStr">
        <is>
          <t>Miss Glam Damar</t>
        </is>
      </c>
      <c r="AM5461" t="n">
        <v>2</v>
      </c>
      <c r="AN5461" t="n">
        <v>500000</v>
      </c>
      <c r="AO5461" t="n">
        <v>0</v>
      </c>
      <c r="AP5461" t="inlineStr"/>
      <c r="AQ5461" t="inlineStr"/>
    </row>
    <row r="5462">
      <c r="A5462" t="inlineStr">
        <is>
          <t>SOMETHINC</t>
        </is>
      </c>
      <c r="B5462" s="2">
        <f>"8991752005905"</f>
        <v/>
      </c>
      <c r="C5462" t="inlineStr">
        <is>
          <t>SOMETHINC Copy Paste Tinted Sunscreen SPF 40 PA++++ Butter 10ml</t>
        </is>
      </c>
      <c r="D5462" t="inlineStr">
        <is>
          <t>Miss Glam Damar</t>
        </is>
      </c>
      <c r="E5462" t="n">
        <v>7</v>
      </c>
      <c r="F5462" t="n">
        <v>0.4277</v>
      </c>
      <c r="G5462" t="n">
        <v>2.73</v>
      </c>
      <c r="H5462" t="n">
        <v>1</v>
      </c>
      <c r="I5462" t="n">
        <v>7</v>
      </c>
      <c r="J5462" t="n">
        <v>3</v>
      </c>
      <c r="K5462" t="n">
        <v>0</v>
      </c>
      <c r="L5462" t="n">
        <v>39750</v>
      </c>
      <c r="M5462" t="n">
        <v>53000</v>
      </c>
      <c r="N5462" t="n">
        <v>91</v>
      </c>
      <c r="O5462" t="n">
        <v>0.91</v>
      </c>
      <c r="P5462" t="n">
        <v>1</v>
      </c>
      <c r="Q5462" t="n">
        <v>0.2</v>
      </c>
      <c r="R5462" t="n">
        <v>2</v>
      </c>
      <c r="S5462" t="n">
        <v>22668.1</v>
      </c>
      <c r="T5462" t="n">
        <v>19</v>
      </c>
      <c r="U5462" t="n">
        <v>20</v>
      </c>
      <c r="V5462" t="n">
        <v>30</v>
      </c>
      <c r="W5462" t="n">
        <v>13</v>
      </c>
      <c r="X5462" t="n">
        <v>16.36661211129296</v>
      </c>
      <c r="Y5462" t="n">
        <v>1</v>
      </c>
      <c r="Z5462" t="n">
        <v>6</v>
      </c>
      <c r="AA5462" t="n">
        <v>0</v>
      </c>
      <c r="AB5462" t="n">
        <v>6</v>
      </c>
      <c r="AC5462" t="n">
        <v>6</v>
      </c>
      <c r="AD5462" t="n">
        <v>0</v>
      </c>
      <c r="AE5462" t="n">
        <v>238500</v>
      </c>
      <c r="AF5462" t="n">
        <v>11196</v>
      </c>
      <c r="AG5462" t="n">
        <v>54</v>
      </c>
      <c r="AH5462" t="inlineStr">
        <is>
          <t>PT. MIRANTI ADILLHA - PPN (PDG)</t>
        </is>
      </c>
      <c r="AI5462" t="n">
        <v>54</v>
      </c>
      <c r="AJ5462" t="inlineStr">
        <is>
          <t>SOMETHINC</t>
        </is>
      </c>
      <c r="AK5462" t="n">
        <v>21</v>
      </c>
      <c r="AL5462" t="inlineStr">
        <is>
          <t>Miss Glam Damar</t>
        </is>
      </c>
      <c r="AM5462" t="n">
        <v>2</v>
      </c>
      <c r="AN5462" t="n">
        <v>500000</v>
      </c>
      <c r="AO5462" t="n">
        <v>0</v>
      </c>
      <c r="AP5462" t="inlineStr"/>
      <c r="AQ5462" t="inlineStr"/>
    </row>
    <row r="5463">
      <c r="A5463" t="inlineStr">
        <is>
          <t>SOMETHINC</t>
        </is>
      </c>
      <c r="B5463" s="2">
        <f>"8991752005660"</f>
        <v/>
      </c>
      <c r="C5463" t="inlineStr">
        <is>
          <t>SOMETHINC Copy Paste Tinted Sunscreen SPF 40 PA++++ Charlotte10ml</t>
        </is>
      </c>
      <c r="D5463" t="inlineStr">
        <is>
          <t>Miss Glam Damar</t>
        </is>
      </c>
      <c r="E5463" t="n">
        <v>9</v>
      </c>
      <c r="F5463" t="n">
        <v>0.2912</v>
      </c>
      <c r="G5463" t="n">
        <v>1.82</v>
      </c>
      <c r="H5463" t="n">
        <v>1</v>
      </c>
      <c r="I5463" t="n">
        <v>7</v>
      </c>
      <c r="J5463" t="n">
        <v>3</v>
      </c>
      <c r="K5463" t="n">
        <v>0</v>
      </c>
      <c r="L5463" t="n">
        <v>39750</v>
      </c>
      <c r="M5463" t="n">
        <v>53000</v>
      </c>
      <c r="N5463" t="n">
        <v>91</v>
      </c>
      <c r="O5463" t="n">
        <v>0.91</v>
      </c>
      <c r="P5463" t="n">
        <v>1</v>
      </c>
      <c r="Q5463" t="n">
        <v>0.14</v>
      </c>
      <c r="R5463" t="n">
        <v>1</v>
      </c>
      <c r="S5463" t="n">
        <v>15433.6</v>
      </c>
      <c r="T5463" t="n">
        <v>13</v>
      </c>
      <c r="U5463" t="n">
        <v>14</v>
      </c>
      <c r="V5463" t="n">
        <v>30</v>
      </c>
      <c r="W5463" t="n">
        <v>9</v>
      </c>
      <c r="X5463" t="n">
        <v>30.90659340659341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11196</v>
      </c>
      <c r="AG5463" t="n">
        <v>54</v>
      </c>
      <c r="AH5463" t="inlineStr">
        <is>
          <t>PT. MIRANTI ADILLHA - PPN (PDG)</t>
        </is>
      </c>
      <c r="AI5463" t="n">
        <v>54</v>
      </c>
      <c r="AJ5463" t="inlineStr">
        <is>
          <t>SOMETHINC</t>
        </is>
      </c>
      <c r="AK5463" t="n">
        <v>21</v>
      </c>
      <c r="AL5463" t="inlineStr">
        <is>
          <t>Miss Glam Damar</t>
        </is>
      </c>
      <c r="AM5463" t="n">
        <v>2</v>
      </c>
      <c r="AN5463" t="n">
        <v>500000</v>
      </c>
      <c r="AO5463" t="n">
        <v>0</v>
      </c>
      <c r="AP5463" t="inlineStr"/>
      <c r="AQ5463" t="inlineStr"/>
    </row>
    <row r="5464">
      <c r="A5464" t="inlineStr">
        <is>
          <t>SOMETHINC</t>
        </is>
      </c>
      <c r="B5464" s="2">
        <f>"8991752005912"</f>
        <v/>
      </c>
      <c r="C5464" t="inlineStr">
        <is>
          <t>SOMETHINC Copy Paste Tinted Sunscreen SPF 40 PA++++ Linen 10ml</t>
        </is>
      </c>
      <c r="D5464" t="inlineStr">
        <is>
          <t>Miss Glam Damar</t>
        </is>
      </c>
      <c r="E5464" t="n">
        <v>7</v>
      </c>
      <c r="F5464" t="n">
        <v>0.1092</v>
      </c>
      <c r="G5464" t="n">
        <v>0.91</v>
      </c>
      <c r="H5464" t="n">
        <v>1</v>
      </c>
      <c r="I5464" t="n">
        <v>7</v>
      </c>
      <c r="J5464" t="n">
        <v>3</v>
      </c>
      <c r="K5464" t="n">
        <v>0</v>
      </c>
      <c r="L5464" t="n">
        <v>39750</v>
      </c>
      <c r="M5464" t="n">
        <v>53000</v>
      </c>
      <c r="N5464" t="n">
        <v>91</v>
      </c>
      <c r="O5464" t="n">
        <v>0.91</v>
      </c>
      <c r="P5464" t="n">
        <v>1</v>
      </c>
      <c r="Q5464" t="n">
        <v>0.12</v>
      </c>
      <c r="R5464" t="n">
        <v>1</v>
      </c>
      <c r="S5464" t="n">
        <v>5787.6</v>
      </c>
      <c r="T5464" t="n">
        <v>7</v>
      </c>
      <c r="U5464" t="n">
        <v>8</v>
      </c>
      <c r="V5464" t="n">
        <v>30</v>
      </c>
      <c r="W5464" t="n">
        <v>4</v>
      </c>
      <c r="X5464" t="n">
        <v>64.1025641025641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11196</v>
      </c>
      <c r="AG5464" t="n">
        <v>54</v>
      </c>
      <c r="AH5464" t="inlineStr">
        <is>
          <t>PT. MIRANTI ADILLHA - PPN (PDG)</t>
        </is>
      </c>
      <c r="AI5464" t="n">
        <v>54</v>
      </c>
      <c r="AJ5464" t="inlineStr">
        <is>
          <t>SOMETHINC</t>
        </is>
      </c>
      <c r="AK5464" t="n">
        <v>21</v>
      </c>
      <c r="AL5464" t="inlineStr">
        <is>
          <t>Miss Glam Damar</t>
        </is>
      </c>
      <c r="AM5464" t="n">
        <v>2</v>
      </c>
      <c r="AN5464" t="n">
        <v>500000</v>
      </c>
      <c r="AO5464" t="n">
        <v>0</v>
      </c>
      <c r="AP5464" t="inlineStr"/>
      <c r="AQ5464" t="inlineStr"/>
    </row>
    <row r="5465">
      <c r="A5465" t="inlineStr">
        <is>
          <t>SOMETHINC</t>
        </is>
      </c>
      <c r="B5465" s="2">
        <f>"8991752005653"</f>
        <v/>
      </c>
      <c r="C5465" t="inlineStr">
        <is>
          <t>SOMETHINC Copy Paste Tinted Sunscreen SPF 40 PA++++ Nina 10ml</t>
        </is>
      </c>
      <c r="D5465" t="inlineStr">
        <is>
          <t>Miss Glam Damar</t>
        </is>
      </c>
      <c r="E5465" t="n">
        <v>19</v>
      </c>
      <c r="F5465" t="n">
        <v>0.8008000000000001</v>
      </c>
      <c r="G5465" t="n">
        <v>2.73</v>
      </c>
      <c r="H5465" t="n">
        <v>1</v>
      </c>
      <c r="I5465" t="n">
        <v>7</v>
      </c>
      <c r="J5465" t="n">
        <v>3</v>
      </c>
      <c r="K5465" t="n">
        <v>0</v>
      </c>
      <c r="L5465" t="n">
        <v>39750</v>
      </c>
      <c r="M5465" t="n">
        <v>53000</v>
      </c>
      <c r="N5465" t="n">
        <v>91</v>
      </c>
      <c r="O5465" t="n">
        <v>0.91</v>
      </c>
      <c r="P5465" t="n">
        <v>1</v>
      </c>
      <c r="Q5465" t="n">
        <v>0.54</v>
      </c>
      <c r="R5465" t="n">
        <v>3</v>
      </c>
      <c r="S5465" t="n">
        <v>42442.4</v>
      </c>
      <c r="T5465" t="n">
        <v>19</v>
      </c>
      <c r="U5465" t="n">
        <v>20</v>
      </c>
      <c r="V5465" t="n">
        <v>30</v>
      </c>
      <c r="W5465" t="n">
        <v>25</v>
      </c>
      <c r="X5465" t="n">
        <v>23.72627372627372</v>
      </c>
      <c r="Y5465" t="n">
        <v>1</v>
      </c>
      <c r="Z5465" t="n">
        <v>6</v>
      </c>
      <c r="AA5465" t="n">
        <v>0</v>
      </c>
      <c r="AB5465" t="n">
        <v>6</v>
      </c>
      <c r="AC5465" t="n">
        <v>6</v>
      </c>
      <c r="AD5465" t="n">
        <v>0</v>
      </c>
      <c r="AE5465" t="n">
        <v>238500</v>
      </c>
      <c r="AF5465" t="n">
        <v>11196</v>
      </c>
      <c r="AG5465" t="n">
        <v>54</v>
      </c>
      <c r="AH5465" t="inlineStr">
        <is>
          <t>PT. MIRANTI ADILLHA - PPN (PDG)</t>
        </is>
      </c>
      <c r="AI5465" t="n">
        <v>54</v>
      </c>
      <c r="AJ5465" t="inlineStr">
        <is>
          <t>SOMETHINC</t>
        </is>
      </c>
      <c r="AK5465" t="n">
        <v>21</v>
      </c>
      <c r="AL5465" t="inlineStr">
        <is>
          <t>Miss Glam Damar</t>
        </is>
      </c>
      <c r="AM5465" t="n">
        <v>2</v>
      </c>
      <c r="AN5465" t="n">
        <v>500000</v>
      </c>
      <c r="AO5465" t="n">
        <v>0</v>
      </c>
      <c r="AP5465" t="inlineStr"/>
      <c r="AQ5465" t="inlineStr"/>
    </row>
    <row r="5466">
      <c r="A5466" t="inlineStr">
        <is>
          <t>SOMETHINC</t>
        </is>
      </c>
      <c r="B5466" s="2">
        <f>"8991752005622"</f>
        <v/>
      </c>
      <c r="C5466" t="inlineStr">
        <is>
          <t>SOMETHINC Copy Paste Tinted Sunscreen SPF 40 PA++++ Perle 10ml</t>
        </is>
      </c>
      <c r="D5466" t="inlineStr">
        <is>
          <t>Miss Glam Damar</t>
        </is>
      </c>
      <c r="E5466" t="n">
        <v>6</v>
      </c>
      <c r="F5466" t="n">
        <v>0.2002</v>
      </c>
      <c r="G5466" t="n">
        <v>1.82</v>
      </c>
      <c r="H5466" t="n">
        <v>1</v>
      </c>
      <c r="I5466" t="n">
        <v>7</v>
      </c>
      <c r="J5466" t="n">
        <v>3</v>
      </c>
      <c r="K5466" t="n">
        <v>0</v>
      </c>
      <c r="L5466" t="n">
        <v>39750</v>
      </c>
      <c r="M5466" t="n">
        <v>53000</v>
      </c>
      <c r="N5466" t="n">
        <v>91</v>
      </c>
      <c r="O5466" t="n">
        <v>0.91</v>
      </c>
      <c r="P5466" t="n">
        <v>1</v>
      </c>
      <c r="Q5466" t="n">
        <v>0.19</v>
      </c>
      <c r="R5466" t="n">
        <v>1</v>
      </c>
      <c r="S5466" t="n">
        <v>10610.6</v>
      </c>
      <c r="T5466" t="n">
        <v>13</v>
      </c>
      <c r="U5466" t="n">
        <v>14</v>
      </c>
      <c r="V5466" t="n">
        <v>30</v>
      </c>
      <c r="W5466" t="n">
        <v>7</v>
      </c>
      <c r="X5466" t="n">
        <v>29.97002997002997</v>
      </c>
      <c r="Y5466" t="n">
        <v>1</v>
      </c>
      <c r="Z5466" t="n">
        <v>1</v>
      </c>
      <c r="AA5466" t="n">
        <v>0</v>
      </c>
      <c r="AB5466" t="n">
        <v>1</v>
      </c>
      <c r="AC5466" t="n">
        <v>3</v>
      </c>
      <c r="AD5466" t="n">
        <v>0</v>
      </c>
      <c r="AE5466" t="n">
        <v>119250</v>
      </c>
      <c r="AF5466" t="n">
        <v>11196</v>
      </c>
      <c r="AG5466" t="n">
        <v>54</v>
      </c>
      <c r="AH5466" t="inlineStr">
        <is>
          <t>PT. MIRANTI ADILLHA - PPN (PDG)</t>
        </is>
      </c>
      <c r="AI5466" t="n">
        <v>54</v>
      </c>
      <c r="AJ5466" t="inlineStr">
        <is>
          <t>SOMETHINC</t>
        </is>
      </c>
      <c r="AK5466" t="n">
        <v>21</v>
      </c>
      <c r="AL5466" t="inlineStr">
        <is>
          <t>Miss Glam Damar</t>
        </is>
      </c>
      <c r="AM5466" t="n">
        <v>2</v>
      </c>
      <c r="AN5466" t="n">
        <v>500000</v>
      </c>
      <c r="AO5466" t="n">
        <v>0</v>
      </c>
      <c r="AP5466" t="inlineStr"/>
      <c r="AQ5466" t="inlineStr"/>
    </row>
    <row r="5467">
      <c r="A5467" t="inlineStr">
        <is>
          <t>SOMETHINC</t>
        </is>
      </c>
      <c r="B5467" s="2">
        <f>"8991752006407"</f>
        <v/>
      </c>
      <c r="C5467" t="inlineStr">
        <is>
          <t>SOMETHINC Cover Blur Copy Paste Foundation C01 Perle 12gr</t>
        </is>
      </c>
      <c r="D5467" t="inlineStr">
        <is>
          <t>Miss Glam Damar</t>
        </is>
      </c>
      <c r="E5467" t="n">
        <v>1</v>
      </c>
      <c r="F5467" t="n">
        <v>0.04550000000000001</v>
      </c>
      <c r="G5467" t="n">
        <v>0.91</v>
      </c>
      <c r="H5467" t="n">
        <v>1</v>
      </c>
      <c r="I5467" t="n">
        <v>7</v>
      </c>
      <c r="J5467" t="n">
        <v>3</v>
      </c>
      <c r="K5467" t="n">
        <v>0</v>
      </c>
      <c r="L5467" t="n">
        <v>119250</v>
      </c>
      <c r="M5467" t="n">
        <v>169000</v>
      </c>
      <c r="N5467" t="n">
        <v>91</v>
      </c>
      <c r="O5467" t="n">
        <v>0.91</v>
      </c>
      <c r="P5467" t="n">
        <v>1</v>
      </c>
      <c r="Q5467" t="n">
        <v>0.03</v>
      </c>
      <c r="R5467" t="n">
        <v>1</v>
      </c>
      <c r="S5467" t="n">
        <v>7689.500000000001</v>
      </c>
      <c r="T5467" t="n">
        <v>7</v>
      </c>
      <c r="U5467" t="n">
        <v>8</v>
      </c>
      <c r="V5467" t="n">
        <v>30</v>
      </c>
      <c r="W5467" t="n">
        <v>2</v>
      </c>
      <c r="X5467" t="n">
        <v>21.97802197802197</v>
      </c>
      <c r="Y5467" t="n">
        <v>1</v>
      </c>
      <c r="Z5467" t="n">
        <v>1</v>
      </c>
      <c r="AA5467" t="n">
        <v>0</v>
      </c>
      <c r="AB5467" t="n">
        <v>1</v>
      </c>
      <c r="AC5467" t="n">
        <v>3</v>
      </c>
      <c r="AD5467" t="n">
        <v>0</v>
      </c>
      <c r="AE5467" t="n">
        <v>357750</v>
      </c>
      <c r="AF5467" t="n">
        <v>11196</v>
      </c>
      <c r="AG5467" t="n">
        <v>54</v>
      </c>
      <c r="AH5467" t="inlineStr">
        <is>
          <t>PT. MIRANTI ADILLHA - PPN (PDG)</t>
        </is>
      </c>
      <c r="AI5467" t="n">
        <v>54</v>
      </c>
      <c r="AJ5467" t="inlineStr">
        <is>
          <t>SOMETHINC</t>
        </is>
      </c>
      <c r="AK5467" t="n">
        <v>21</v>
      </c>
      <c r="AL5467" t="inlineStr">
        <is>
          <t>Miss Glam Damar</t>
        </is>
      </c>
      <c r="AM5467" t="n">
        <v>2</v>
      </c>
      <c r="AN5467" t="n">
        <v>500000</v>
      </c>
      <c r="AO5467" t="n">
        <v>0</v>
      </c>
      <c r="AP5467" t="inlineStr"/>
      <c r="AQ5467" t="inlineStr"/>
    </row>
    <row r="5468">
      <c r="A5468" t="inlineStr">
        <is>
          <t>SOMETHINC</t>
        </is>
      </c>
      <c r="B5468" s="2">
        <f>"8991752006353"</f>
        <v/>
      </c>
      <c r="C5468" t="inlineStr">
        <is>
          <t>SOMETHINC Cover Blur Copy Paste Foundation C01.5 Butter 12gr</t>
        </is>
      </c>
      <c r="D5468" t="inlineStr">
        <is>
          <t>Miss Glam Damar</t>
        </is>
      </c>
      <c r="E5468" t="n">
        <v>4</v>
      </c>
      <c r="F5468" t="n">
        <v>0.05</v>
      </c>
      <c r="G5468" t="n">
        <v>1</v>
      </c>
      <c r="H5468" t="n">
        <v>1</v>
      </c>
      <c r="I5468" t="n">
        <v>7</v>
      </c>
      <c r="J5468" t="n">
        <v>3</v>
      </c>
      <c r="K5468" t="n">
        <v>0</v>
      </c>
      <c r="L5468" t="n">
        <v>126750</v>
      </c>
      <c r="M5468" t="n">
        <v>169000</v>
      </c>
      <c r="N5468" t="n">
        <v>91</v>
      </c>
      <c r="O5468" t="n">
        <v>0.91</v>
      </c>
      <c r="P5468" t="n">
        <v>0</v>
      </c>
      <c r="Q5468" t="n">
        <v>0.05</v>
      </c>
      <c r="R5468" t="n">
        <v>1</v>
      </c>
      <c r="S5468" t="n">
        <v>8450</v>
      </c>
      <c r="T5468" t="n">
        <v>7</v>
      </c>
      <c r="U5468" t="n">
        <v>8</v>
      </c>
      <c r="V5468" t="n">
        <v>30</v>
      </c>
      <c r="W5468" t="n">
        <v>2</v>
      </c>
      <c r="X5468" t="n">
        <v>80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11196</v>
      </c>
      <c r="AG5468" t="n">
        <v>54</v>
      </c>
      <c r="AH5468" t="inlineStr">
        <is>
          <t>PT. MIRANTI ADILLHA - PPN (PDG)</t>
        </is>
      </c>
      <c r="AI5468" t="n">
        <v>54</v>
      </c>
      <c r="AJ5468" t="inlineStr">
        <is>
          <t>SOMETHINC</t>
        </is>
      </c>
      <c r="AK5468" t="n">
        <v>21</v>
      </c>
      <c r="AL5468" t="inlineStr">
        <is>
          <t>Miss Glam Damar</t>
        </is>
      </c>
      <c r="AM5468" t="n">
        <v>2</v>
      </c>
      <c r="AN5468" t="n">
        <v>500000</v>
      </c>
      <c r="AO5468" t="n">
        <v>0</v>
      </c>
      <c r="AP5468" t="inlineStr"/>
      <c r="AQ5468" t="inlineStr"/>
    </row>
    <row r="5469">
      <c r="A5469" t="inlineStr">
        <is>
          <t>SOMETHINC</t>
        </is>
      </c>
      <c r="B5469" s="2">
        <f>"8991752006377"</f>
        <v/>
      </c>
      <c r="C5469" t="inlineStr">
        <is>
          <t>SOMETHINC Cover Blur Copy Paste Foundation C03 Éclair 12gr</t>
        </is>
      </c>
      <c r="D5469" t="inlineStr">
        <is>
          <t>Miss Glam Damar</t>
        </is>
      </c>
      <c r="E5469" t="n">
        <v>6</v>
      </c>
      <c r="F5469" t="n">
        <v>0.02</v>
      </c>
      <c r="G5469" t="n">
        <v>1</v>
      </c>
      <c r="H5469" t="n">
        <v>1</v>
      </c>
      <c r="I5469" t="n">
        <v>7</v>
      </c>
      <c r="J5469" t="n">
        <v>3</v>
      </c>
      <c r="K5469" t="n">
        <v>0</v>
      </c>
      <c r="L5469" t="n">
        <v>123750</v>
      </c>
      <c r="M5469" t="n">
        <v>169000</v>
      </c>
      <c r="N5469" t="n">
        <v>91</v>
      </c>
      <c r="O5469" t="n">
        <v>0.91</v>
      </c>
      <c r="P5469" t="n">
        <v>0</v>
      </c>
      <c r="Q5469" t="n">
        <v>0.02</v>
      </c>
      <c r="R5469" t="n">
        <v>1</v>
      </c>
      <c r="S5469" t="n">
        <v>3380</v>
      </c>
      <c r="T5469" t="n">
        <v>7</v>
      </c>
      <c r="U5469" t="n">
        <v>8</v>
      </c>
      <c r="V5469" t="n">
        <v>30</v>
      </c>
      <c r="W5469" t="n">
        <v>1</v>
      </c>
      <c r="X5469" t="n">
        <v>300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11196</v>
      </c>
      <c r="AG5469" t="n">
        <v>54</v>
      </c>
      <c r="AH5469" t="inlineStr">
        <is>
          <t>PT. MIRANTI ADILLHA - PPN (PDG)</t>
        </is>
      </c>
      <c r="AI5469" t="n">
        <v>54</v>
      </c>
      <c r="AJ5469" t="inlineStr">
        <is>
          <t>SOMETHINC</t>
        </is>
      </c>
      <c r="AK5469" t="n">
        <v>21</v>
      </c>
      <c r="AL5469" t="inlineStr">
        <is>
          <t>Miss Glam Damar</t>
        </is>
      </c>
      <c r="AM5469" t="n">
        <v>2</v>
      </c>
      <c r="AN5469" t="n">
        <v>500000</v>
      </c>
      <c r="AO5469" t="n">
        <v>0</v>
      </c>
      <c r="AP5469" t="inlineStr"/>
      <c r="AQ5469" t="inlineStr"/>
    </row>
    <row r="5470">
      <c r="A5470" t="inlineStr">
        <is>
          <t>SOMETHINC</t>
        </is>
      </c>
      <c r="B5470" s="2">
        <f>"8991752006391"</f>
        <v/>
      </c>
      <c r="C5470" t="inlineStr">
        <is>
          <t>SOMETHINC Cover Blur Copy Paste Foundation N01 Nina 12gr</t>
        </is>
      </c>
      <c r="D5470" t="inlineStr">
        <is>
          <t>Miss Glam Damar</t>
        </is>
      </c>
      <c r="E5470" t="n">
        <v>7</v>
      </c>
      <c r="F5470" t="n">
        <v>0.2639</v>
      </c>
      <c r="G5470" t="n">
        <v>1.82</v>
      </c>
      <c r="H5470" t="n">
        <v>1</v>
      </c>
      <c r="I5470" t="n">
        <v>7</v>
      </c>
      <c r="J5470" t="n">
        <v>3</v>
      </c>
      <c r="K5470" t="n">
        <v>0</v>
      </c>
      <c r="L5470" t="n">
        <v>126750</v>
      </c>
      <c r="M5470" t="n">
        <v>169000</v>
      </c>
      <c r="N5470" t="n">
        <v>91</v>
      </c>
      <c r="O5470" t="n">
        <v>0.91</v>
      </c>
      <c r="P5470" t="n">
        <v>1</v>
      </c>
      <c r="Q5470" t="n">
        <v>0.24</v>
      </c>
      <c r="R5470" t="n">
        <v>2</v>
      </c>
      <c r="S5470" t="n">
        <v>44599.09999999999</v>
      </c>
      <c r="T5470" t="n">
        <v>13</v>
      </c>
      <c r="U5470" t="n">
        <v>14</v>
      </c>
      <c r="V5470" t="n">
        <v>30</v>
      </c>
      <c r="W5470" t="n">
        <v>8</v>
      </c>
      <c r="X5470" t="n">
        <v>26.52519893899204</v>
      </c>
      <c r="Y5470" t="n">
        <v>1</v>
      </c>
      <c r="Z5470" t="n">
        <v>1</v>
      </c>
      <c r="AA5470" t="n">
        <v>0</v>
      </c>
      <c r="AB5470" t="n">
        <v>1</v>
      </c>
      <c r="AC5470" t="n">
        <v>3</v>
      </c>
      <c r="AD5470" t="n">
        <v>0</v>
      </c>
      <c r="AE5470" t="n">
        <v>380250</v>
      </c>
      <c r="AF5470" t="n">
        <v>11196</v>
      </c>
      <c r="AG5470" t="n">
        <v>54</v>
      </c>
      <c r="AH5470" t="inlineStr">
        <is>
          <t>PT. MIRANTI ADILLHA - PPN (PDG)</t>
        </is>
      </c>
      <c r="AI5470" t="n">
        <v>54</v>
      </c>
      <c r="AJ5470" t="inlineStr">
        <is>
          <t>SOMETHINC</t>
        </is>
      </c>
      <c r="AK5470" t="n">
        <v>21</v>
      </c>
      <c r="AL5470" t="inlineStr">
        <is>
          <t>Miss Glam Damar</t>
        </is>
      </c>
      <c r="AM5470" t="n">
        <v>2</v>
      </c>
      <c r="AN5470" t="n">
        <v>500000</v>
      </c>
      <c r="AO5470" t="n">
        <v>0</v>
      </c>
      <c r="AP5470" t="inlineStr"/>
      <c r="AQ5470" t="inlineStr"/>
    </row>
    <row r="5471">
      <c r="A5471" t="inlineStr">
        <is>
          <t>SOMETHINC</t>
        </is>
      </c>
      <c r="B5471" s="2">
        <f>"8991752006384"</f>
        <v/>
      </c>
      <c r="C5471" t="inlineStr">
        <is>
          <t>SOMETHINC Cover Blur Copy Paste Foundation N02 Charlotte 12gr</t>
        </is>
      </c>
      <c r="D5471" t="inlineStr">
        <is>
          <t>Miss Glam Damar</t>
        </is>
      </c>
      <c r="E5471" t="n">
        <v>4</v>
      </c>
      <c r="F5471" t="n">
        <v>0.0273</v>
      </c>
      <c r="G5471" t="n">
        <v>0.91</v>
      </c>
      <c r="H5471" t="n">
        <v>1</v>
      </c>
      <c r="I5471" t="n">
        <v>7</v>
      </c>
      <c r="J5471" t="n">
        <v>3</v>
      </c>
      <c r="K5471" t="n">
        <v>0</v>
      </c>
      <c r="L5471" t="n">
        <v>126750</v>
      </c>
      <c r="M5471" t="n">
        <v>169000</v>
      </c>
      <c r="N5471" t="n">
        <v>91</v>
      </c>
      <c r="O5471" t="n">
        <v>0.91</v>
      </c>
      <c r="P5471" t="n">
        <v>1</v>
      </c>
      <c r="Q5471" t="n">
        <v>0.03</v>
      </c>
      <c r="R5471" t="n">
        <v>1</v>
      </c>
      <c r="S5471" t="n">
        <v>4613.7</v>
      </c>
      <c r="T5471" t="n">
        <v>7</v>
      </c>
      <c r="U5471" t="n">
        <v>8</v>
      </c>
      <c r="V5471" t="n">
        <v>30</v>
      </c>
      <c r="W5471" t="n">
        <v>1</v>
      </c>
      <c r="X5471" t="n">
        <v>146.5201465201465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11196</v>
      </c>
      <c r="AG5471" t="n">
        <v>54</v>
      </c>
      <c r="AH5471" t="inlineStr">
        <is>
          <t>PT. MIRANTI ADILLHA - PPN (PDG)</t>
        </is>
      </c>
      <c r="AI5471" t="n">
        <v>54</v>
      </c>
      <c r="AJ5471" t="inlineStr">
        <is>
          <t>SOMETHINC</t>
        </is>
      </c>
      <c r="AK5471" t="n">
        <v>21</v>
      </c>
      <c r="AL5471" t="inlineStr">
        <is>
          <t>Miss Glam Damar</t>
        </is>
      </c>
      <c r="AM5471" t="n">
        <v>2</v>
      </c>
      <c r="AN5471" t="n">
        <v>500000</v>
      </c>
      <c r="AO5471" t="n">
        <v>0</v>
      </c>
      <c r="AP5471" t="inlineStr"/>
      <c r="AQ5471" t="inlineStr"/>
    </row>
    <row r="5472">
      <c r="A5472" t="inlineStr">
        <is>
          <t>SOMETHINC</t>
        </is>
      </c>
      <c r="B5472" s="2">
        <f>"8991752006414"</f>
        <v/>
      </c>
      <c r="C5472" t="inlineStr">
        <is>
          <t>SOMETHINC Cover Blur Copy Paste Foundation W01 Bijoux 12gr</t>
        </is>
      </c>
      <c r="D5472" t="inlineStr">
        <is>
          <t>Miss Glam Damar</t>
        </is>
      </c>
      <c r="E5472" t="n">
        <v>4</v>
      </c>
      <c r="F5472" t="n">
        <v>0.0273</v>
      </c>
      <c r="G5472" t="n">
        <v>0.91</v>
      </c>
      <c r="H5472" t="n">
        <v>1</v>
      </c>
      <c r="I5472" t="n">
        <v>7</v>
      </c>
      <c r="J5472" t="n">
        <v>3</v>
      </c>
      <c r="K5472" t="n">
        <v>0</v>
      </c>
      <c r="L5472" t="n">
        <v>126750</v>
      </c>
      <c r="M5472" t="n">
        <v>169000</v>
      </c>
      <c r="N5472" t="n">
        <v>91</v>
      </c>
      <c r="O5472" t="n">
        <v>0.91</v>
      </c>
      <c r="P5472" t="n">
        <v>1</v>
      </c>
      <c r="Q5472" t="n">
        <v>0.05</v>
      </c>
      <c r="R5472" t="n">
        <v>1</v>
      </c>
      <c r="S5472" t="n">
        <v>4613.7</v>
      </c>
      <c r="T5472" t="n">
        <v>7</v>
      </c>
      <c r="U5472" t="n">
        <v>8</v>
      </c>
      <c r="V5472" t="n">
        <v>30</v>
      </c>
      <c r="W5472" t="n">
        <v>1</v>
      </c>
      <c r="X5472" t="n">
        <v>146.5201465201465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11196</v>
      </c>
      <c r="AG5472" t="n">
        <v>54</v>
      </c>
      <c r="AH5472" t="inlineStr">
        <is>
          <t>PT. MIRANTI ADILLHA - PPN (PDG)</t>
        </is>
      </c>
      <c r="AI5472" t="n">
        <v>54</v>
      </c>
      <c r="AJ5472" t="inlineStr">
        <is>
          <t>SOMETHINC</t>
        </is>
      </c>
      <c r="AK5472" t="n">
        <v>21</v>
      </c>
      <c r="AL5472" t="inlineStr">
        <is>
          <t>Miss Glam Damar</t>
        </is>
      </c>
      <c r="AM5472" t="n">
        <v>2</v>
      </c>
      <c r="AN5472" t="n">
        <v>500000</v>
      </c>
      <c r="AO5472" t="n">
        <v>0</v>
      </c>
      <c r="AP5472" t="inlineStr"/>
      <c r="AQ5472" t="inlineStr"/>
    </row>
    <row r="5473">
      <c r="A5473" t="inlineStr">
        <is>
          <t>SOMETHINC</t>
        </is>
      </c>
      <c r="B5473" s="2">
        <f>"8991752006919"</f>
        <v/>
      </c>
      <c r="C5473" t="inlineStr">
        <is>
          <t>SOMETHINC Cover Blur Copy Paste Foundation W01.5 Cashew 12gr</t>
        </is>
      </c>
      <c r="D5473" t="inlineStr">
        <is>
          <t>Miss Glam Damar</t>
        </is>
      </c>
      <c r="E5473" t="n">
        <v>4</v>
      </c>
      <c r="F5473" t="n">
        <v>0.0728</v>
      </c>
      <c r="G5473" t="n">
        <v>0.91</v>
      </c>
      <c r="H5473" t="n">
        <v>1</v>
      </c>
      <c r="I5473" t="n">
        <v>7</v>
      </c>
      <c r="J5473" t="n">
        <v>3</v>
      </c>
      <c r="K5473" t="n">
        <v>0</v>
      </c>
      <c r="L5473" t="n">
        <v>123750</v>
      </c>
      <c r="M5473" t="n">
        <v>169000</v>
      </c>
      <c r="N5473" t="n">
        <v>91</v>
      </c>
      <c r="O5473" t="n">
        <v>0.91</v>
      </c>
      <c r="P5473" t="n">
        <v>1</v>
      </c>
      <c r="Q5473" t="n">
        <v>0.02</v>
      </c>
      <c r="R5473" t="n">
        <v>0</v>
      </c>
      <c r="S5473" t="n">
        <v>12303.2</v>
      </c>
      <c r="T5473" t="n">
        <v>7</v>
      </c>
      <c r="U5473" t="n">
        <v>8</v>
      </c>
      <c r="V5473" t="n">
        <v>30</v>
      </c>
      <c r="W5473" t="n">
        <v>3</v>
      </c>
      <c r="X5473" t="n">
        <v>54.94505494505494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11196</v>
      </c>
      <c r="AG5473" t="n">
        <v>54</v>
      </c>
      <c r="AH5473" t="inlineStr">
        <is>
          <t>PT. MIRANTI ADILLHA - PPN (PDG)</t>
        </is>
      </c>
      <c r="AI5473" t="n">
        <v>54</v>
      </c>
      <c r="AJ5473" t="inlineStr">
        <is>
          <t>SOMETHINC</t>
        </is>
      </c>
      <c r="AK5473" t="n">
        <v>21</v>
      </c>
      <c r="AL5473" t="inlineStr">
        <is>
          <t>Miss Glam Damar</t>
        </is>
      </c>
      <c r="AM5473" t="n">
        <v>2</v>
      </c>
      <c r="AN5473" t="n">
        <v>500000</v>
      </c>
      <c r="AO5473" t="n">
        <v>0</v>
      </c>
      <c r="AP5473" t="inlineStr"/>
      <c r="AQ5473" t="inlineStr"/>
    </row>
    <row r="5474">
      <c r="A5474" t="inlineStr">
        <is>
          <t>SOMETHINC</t>
        </is>
      </c>
      <c r="B5474" s="2">
        <f>"20100176339"</f>
        <v/>
      </c>
      <c r="C5474" t="inlineStr">
        <is>
          <t>SOMETHINC CoverBlur Cushion Refill C01.5 Butter 12gr</t>
        </is>
      </c>
      <c r="D5474" t="inlineStr">
        <is>
          <t>Miss Glam Damar</t>
        </is>
      </c>
      <c r="E5474" t="n">
        <v>4</v>
      </c>
      <c r="F5474" t="n">
        <v>0.03</v>
      </c>
      <c r="G5474" t="n">
        <v>1</v>
      </c>
      <c r="H5474" t="n">
        <v>1</v>
      </c>
      <c r="I5474" t="n">
        <v>7</v>
      </c>
      <c r="J5474" t="n">
        <v>1</v>
      </c>
      <c r="K5474" t="n">
        <v>0</v>
      </c>
      <c r="L5474" t="n">
        <v>101250</v>
      </c>
      <c r="M5474" t="n">
        <v>135000</v>
      </c>
      <c r="N5474" t="n">
        <v>91</v>
      </c>
      <c r="O5474" t="n">
        <v>0.91</v>
      </c>
      <c r="P5474" t="n">
        <v>0</v>
      </c>
      <c r="Q5474" t="n">
        <v>0.03</v>
      </c>
      <c r="R5474" t="n">
        <v>1</v>
      </c>
      <c r="S5474" t="n">
        <v>4050</v>
      </c>
      <c r="T5474" t="n">
        <v>7</v>
      </c>
      <c r="U5474" t="n">
        <v>8</v>
      </c>
      <c r="V5474" t="n">
        <v>30</v>
      </c>
      <c r="W5474" t="n">
        <v>1</v>
      </c>
      <c r="X5474" t="n">
        <v>133.3333333333333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11196</v>
      </c>
      <c r="AG5474" t="n">
        <v>54</v>
      </c>
      <c r="AH5474" t="inlineStr">
        <is>
          <t>PT. MIRANTI ADILLHA - PPN (PDG)</t>
        </is>
      </c>
      <c r="AI5474" t="n">
        <v>54</v>
      </c>
      <c r="AJ5474" t="inlineStr">
        <is>
          <t>SOMETHINC</t>
        </is>
      </c>
      <c r="AK5474" t="n">
        <v>21</v>
      </c>
      <c r="AL5474" t="inlineStr">
        <is>
          <t>Miss Glam Damar</t>
        </is>
      </c>
      <c r="AM5474" t="n">
        <v>2</v>
      </c>
      <c r="AN5474" t="n">
        <v>500000</v>
      </c>
      <c r="AO5474" t="n">
        <v>0</v>
      </c>
      <c r="AP5474" t="inlineStr"/>
      <c r="AQ5474" t="inlineStr"/>
    </row>
    <row r="5475">
      <c r="A5475" t="inlineStr">
        <is>
          <t>SOMETHINC</t>
        </is>
      </c>
      <c r="B5475" s="2">
        <f>"20100176808"</f>
        <v/>
      </c>
      <c r="C5475" t="inlineStr">
        <is>
          <t>SOMETHINC CoverBlur Cushion Refill C02 Serene 12gr</t>
        </is>
      </c>
      <c r="D5475" t="inlineStr">
        <is>
          <t>Miss Glam Damar</t>
        </is>
      </c>
      <c r="E5475" t="n">
        <v>4</v>
      </c>
      <c r="F5475" t="n">
        <v>0.0182</v>
      </c>
      <c r="G5475" t="n">
        <v>0.91</v>
      </c>
      <c r="H5475" t="n">
        <v>1</v>
      </c>
      <c r="I5475" t="n">
        <v>7</v>
      </c>
      <c r="J5475" t="n">
        <v>1</v>
      </c>
      <c r="K5475" t="n">
        <v>0</v>
      </c>
      <c r="L5475" t="n">
        <v>101250</v>
      </c>
      <c r="M5475" t="n">
        <v>135000</v>
      </c>
      <c r="N5475" t="n">
        <v>91</v>
      </c>
      <c r="O5475" t="n">
        <v>0.91</v>
      </c>
      <c r="P5475" t="n">
        <v>1</v>
      </c>
      <c r="Q5475" t="n">
        <v>0.02</v>
      </c>
      <c r="R5475" t="n">
        <v>1</v>
      </c>
      <c r="S5475" t="n">
        <v>2457</v>
      </c>
      <c r="T5475" t="n">
        <v>7</v>
      </c>
      <c r="U5475" t="n">
        <v>8</v>
      </c>
      <c r="V5475" t="n">
        <v>30</v>
      </c>
      <c r="W5475" t="n">
        <v>1</v>
      </c>
      <c r="X5475" t="n">
        <v>219.7802197802198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11196</v>
      </c>
      <c r="AG5475" t="n">
        <v>54</v>
      </c>
      <c r="AH5475" t="inlineStr">
        <is>
          <t>PT. MIRANTI ADILLHA - PPN (PDG)</t>
        </is>
      </c>
      <c r="AI5475" t="n">
        <v>54</v>
      </c>
      <c r="AJ5475" t="inlineStr">
        <is>
          <t>SOMETHINC</t>
        </is>
      </c>
      <c r="AK5475" t="n">
        <v>21</v>
      </c>
      <c r="AL5475" t="inlineStr">
        <is>
          <t>Miss Glam Damar</t>
        </is>
      </c>
      <c r="AM5475" t="n">
        <v>2</v>
      </c>
      <c r="AN5475" t="n">
        <v>500000</v>
      </c>
      <c r="AO5475" t="n">
        <v>0</v>
      </c>
      <c r="AP5475" t="inlineStr"/>
      <c r="AQ5475" t="inlineStr"/>
    </row>
    <row r="5476">
      <c r="A5476" t="inlineStr">
        <is>
          <t>SOMETHINC</t>
        </is>
      </c>
      <c r="B5476" s="2">
        <f>"20100176558"</f>
        <v/>
      </c>
      <c r="C5476" t="inlineStr">
        <is>
          <t>SOMETHINC CoverBlur Cushion Refill N01 Nina 12gr</t>
        </is>
      </c>
      <c r="D5476" t="inlineStr">
        <is>
          <t>Miss Glam Damar</t>
        </is>
      </c>
      <c r="E5476" t="n">
        <v>10</v>
      </c>
      <c r="F5476" t="n">
        <v>0.0273</v>
      </c>
      <c r="G5476" t="n">
        <v>0.91</v>
      </c>
      <c r="H5476" t="n">
        <v>1</v>
      </c>
      <c r="I5476" t="n">
        <v>7</v>
      </c>
      <c r="J5476" t="n">
        <v>1</v>
      </c>
      <c r="K5476" t="n">
        <v>0</v>
      </c>
      <c r="L5476" t="n">
        <v>101250</v>
      </c>
      <c r="M5476" t="n">
        <v>135000</v>
      </c>
      <c r="N5476" t="n">
        <v>91</v>
      </c>
      <c r="O5476" t="n">
        <v>0.91</v>
      </c>
      <c r="P5476" t="n">
        <v>1</v>
      </c>
      <c r="Q5476" t="n">
        <v>0.1</v>
      </c>
      <c r="R5476" t="n">
        <v>2</v>
      </c>
      <c r="S5476" t="n">
        <v>3685.5</v>
      </c>
      <c r="T5476" t="n">
        <v>7</v>
      </c>
      <c r="U5476" t="n">
        <v>8</v>
      </c>
      <c r="V5476" t="n">
        <v>30</v>
      </c>
      <c r="W5476" t="n">
        <v>1</v>
      </c>
      <c r="X5476" t="n">
        <v>366.3003663003663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11196</v>
      </c>
      <c r="AG5476" t="n">
        <v>54</v>
      </c>
      <c r="AH5476" t="inlineStr">
        <is>
          <t>PT. MIRANTI ADILLHA - PPN (PDG)</t>
        </is>
      </c>
      <c r="AI5476" t="n">
        <v>54</v>
      </c>
      <c r="AJ5476" t="inlineStr">
        <is>
          <t>SOMETHINC</t>
        </is>
      </c>
      <c r="AK5476" t="n">
        <v>21</v>
      </c>
      <c r="AL5476" t="inlineStr">
        <is>
          <t>Miss Glam Damar</t>
        </is>
      </c>
      <c r="AM5476" t="n">
        <v>2</v>
      </c>
      <c r="AN5476" t="n">
        <v>500000</v>
      </c>
      <c r="AO5476" t="n">
        <v>0</v>
      </c>
      <c r="AP5476" t="inlineStr"/>
      <c r="AQ5476" t="inlineStr"/>
    </row>
    <row r="5477">
      <c r="A5477" t="inlineStr">
        <is>
          <t>SOMETHINC</t>
        </is>
      </c>
      <c r="B5477" s="2">
        <f>"20100176442"</f>
        <v/>
      </c>
      <c r="C5477" t="inlineStr">
        <is>
          <t>SOMETHINC CoverBlur Cushion Refill N02 Charlotte 12gr</t>
        </is>
      </c>
      <c r="D5477" t="inlineStr">
        <is>
          <t>Miss Glam Damar</t>
        </is>
      </c>
      <c r="E5477" t="n">
        <v>3</v>
      </c>
      <c r="F5477" t="n">
        <v>0.02</v>
      </c>
      <c r="G5477" t="n">
        <v>1</v>
      </c>
      <c r="H5477" t="n">
        <v>1</v>
      </c>
      <c r="I5477" t="n">
        <v>7</v>
      </c>
      <c r="J5477" t="n">
        <v>1</v>
      </c>
      <c r="K5477" t="n">
        <v>0</v>
      </c>
      <c r="L5477" t="n">
        <v>101250</v>
      </c>
      <c r="M5477" t="n">
        <v>135000</v>
      </c>
      <c r="N5477" t="n">
        <v>91</v>
      </c>
      <c r="O5477" t="n">
        <v>0.91</v>
      </c>
      <c r="P5477" t="n">
        <v>0</v>
      </c>
      <c r="Q5477" t="n">
        <v>0.02</v>
      </c>
      <c r="R5477" t="n">
        <v>1</v>
      </c>
      <c r="S5477" t="n">
        <v>2700</v>
      </c>
      <c r="T5477" t="n">
        <v>7</v>
      </c>
      <c r="U5477" t="n">
        <v>8</v>
      </c>
      <c r="V5477" t="n">
        <v>30</v>
      </c>
      <c r="W5477" t="n">
        <v>1</v>
      </c>
      <c r="X5477" t="n">
        <v>150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11196</v>
      </c>
      <c r="AG5477" t="n">
        <v>54</v>
      </c>
      <c r="AH5477" t="inlineStr">
        <is>
          <t>PT. MIRANTI ADILLHA - PPN (PDG)</t>
        </is>
      </c>
      <c r="AI5477" t="n">
        <v>54</v>
      </c>
      <c r="AJ5477" t="inlineStr">
        <is>
          <t>SOMETHINC</t>
        </is>
      </c>
      <c r="AK5477" t="n">
        <v>21</v>
      </c>
      <c r="AL5477" t="inlineStr">
        <is>
          <t>Miss Glam Damar</t>
        </is>
      </c>
      <c r="AM5477" t="n">
        <v>2</v>
      </c>
      <c r="AN5477" t="n">
        <v>500000</v>
      </c>
      <c r="AO5477" t="n">
        <v>0</v>
      </c>
      <c r="AP5477" t="inlineStr"/>
      <c r="AQ5477" t="inlineStr"/>
    </row>
    <row r="5478">
      <c r="A5478" t="inlineStr">
        <is>
          <t>SOMETHINC</t>
        </is>
      </c>
      <c r="B5478" s="2">
        <f>"20100176752"</f>
        <v/>
      </c>
      <c r="C5478" t="inlineStr">
        <is>
          <t>SOMETHINC CoverBlur Cushion Refill N02.5 Linen 12gr</t>
        </is>
      </c>
      <c r="D5478" t="inlineStr">
        <is>
          <t>Miss Glam Damar</t>
        </is>
      </c>
      <c r="E5478" t="n">
        <v>4</v>
      </c>
      <c r="F5478" t="n">
        <v>0.02</v>
      </c>
      <c r="G5478" t="n">
        <v>1</v>
      </c>
      <c r="H5478" t="n">
        <v>1</v>
      </c>
      <c r="I5478" t="n">
        <v>7</v>
      </c>
      <c r="J5478" t="n">
        <v>1</v>
      </c>
      <c r="K5478" t="n">
        <v>0</v>
      </c>
      <c r="L5478" t="n">
        <v>101250</v>
      </c>
      <c r="M5478" t="n">
        <v>135000</v>
      </c>
      <c r="N5478" t="n">
        <v>91</v>
      </c>
      <c r="O5478" t="n">
        <v>0.91</v>
      </c>
      <c r="P5478" t="n">
        <v>0</v>
      </c>
      <c r="Q5478" t="n">
        <v>0.02</v>
      </c>
      <c r="R5478" t="n">
        <v>1</v>
      </c>
      <c r="S5478" t="n">
        <v>2700</v>
      </c>
      <c r="T5478" t="n">
        <v>7</v>
      </c>
      <c r="U5478" t="n">
        <v>8</v>
      </c>
      <c r="V5478" t="n">
        <v>30</v>
      </c>
      <c r="W5478" t="n">
        <v>1</v>
      </c>
      <c r="X5478" t="n">
        <v>200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11196</v>
      </c>
      <c r="AG5478" t="n">
        <v>54</v>
      </c>
      <c r="AH5478" t="inlineStr">
        <is>
          <t>PT. MIRANTI ADILLHA - PPN (PDG)</t>
        </is>
      </c>
      <c r="AI5478" t="n">
        <v>54</v>
      </c>
      <c r="AJ5478" t="inlineStr">
        <is>
          <t>SOMETHINC</t>
        </is>
      </c>
      <c r="AK5478" t="n">
        <v>21</v>
      </c>
      <c r="AL5478" t="inlineStr">
        <is>
          <t>Miss Glam Damar</t>
        </is>
      </c>
      <c r="AM5478" t="n">
        <v>2</v>
      </c>
      <c r="AN5478" t="n">
        <v>500000</v>
      </c>
      <c r="AO5478" t="n">
        <v>0</v>
      </c>
      <c r="AP5478" t="inlineStr"/>
      <c r="AQ5478" t="inlineStr"/>
    </row>
    <row r="5479">
      <c r="A5479" t="inlineStr">
        <is>
          <t>SOMETHINC</t>
        </is>
      </c>
      <c r="B5479" s="2">
        <f>"20100176610"</f>
        <v/>
      </c>
      <c r="C5479" t="inlineStr">
        <is>
          <t>SOMETHINC CoverBlur Cushion Refill W01 Bijoux 12gr</t>
        </is>
      </c>
      <c r="D5479" t="inlineStr">
        <is>
          <t>Miss Glam Damar</t>
        </is>
      </c>
      <c r="E5479" t="n">
        <v>1</v>
      </c>
      <c r="F5479" t="n">
        <v>0.0182</v>
      </c>
      <c r="G5479" t="n">
        <v>0.91</v>
      </c>
      <c r="H5479" t="n">
        <v>1</v>
      </c>
      <c r="I5479" t="n">
        <v>7</v>
      </c>
      <c r="J5479" t="n">
        <v>1</v>
      </c>
      <c r="K5479" t="n">
        <v>0</v>
      </c>
      <c r="L5479" t="n">
        <v>101250</v>
      </c>
      <c r="M5479" t="n">
        <v>135000</v>
      </c>
      <c r="N5479" t="n">
        <v>91</v>
      </c>
      <c r="O5479" t="n">
        <v>0.91</v>
      </c>
      <c r="P5479" t="n">
        <v>1</v>
      </c>
      <c r="Q5479" t="n">
        <v>0.02</v>
      </c>
      <c r="R5479" t="n">
        <v>1</v>
      </c>
      <c r="S5479" t="n">
        <v>2457</v>
      </c>
      <c r="T5479" t="n">
        <v>7</v>
      </c>
      <c r="U5479" t="n">
        <v>8</v>
      </c>
      <c r="V5479" t="n">
        <v>30</v>
      </c>
      <c r="W5479" t="n">
        <v>1</v>
      </c>
      <c r="X5479" t="n">
        <v>54.94505494505494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11196</v>
      </c>
      <c r="AG5479" t="n">
        <v>54</v>
      </c>
      <c r="AH5479" t="inlineStr">
        <is>
          <t>PT. MIRANTI ADILLHA - PPN (PDG)</t>
        </is>
      </c>
      <c r="AI5479" t="n">
        <v>54</v>
      </c>
      <c r="AJ5479" t="inlineStr">
        <is>
          <t>SOMETHINC</t>
        </is>
      </c>
      <c r="AK5479" t="n">
        <v>21</v>
      </c>
      <c r="AL5479" t="inlineStr">
        <is>
          <t>Miss Glam Damar</t>
        </is>
      </c>
      <c r="AM5479" t="n">
        <v>2</v>
      </c>
      <c r="AN5479" t="n">
        <v>500000</v>
      </c>
      <c r="AO5479" t="n">
        <v>0</v>
      </c>
      <c r="AP5479" t="inlineStr"/>
      <c r="AQ5479" t="inlineStr"/>
    </row>
    <row r="5480">
      <c r="A5480" t="inlineStr">
        <is>
          <t>SOMETHINC</t>
        </is>
      </c>
      <c r="B5480" s="2">
        <f>"20100477142"</f>
        <v/>
      </c>
      <c r="C5480" t="inlineStr">
        <is>
          <t>SOMETHINC CoverBlur Pro Filter Breathable Cushion SPF 40 PA++++ - C01 Perle 12gr</t>
        </is>
      </c>
      <c r="D5480" t="inlineStr">
        <is>
          <t>Miss Glam Damar</t>
        </is>
      </c>
      <c r="E5480" t="n">
        <v>3</v>
      </c>
      <c r="F5480" t="n">
        <v>0.0273</v>
      </c>
      <c r="G5480" t="n">
        <v>0.91</v>
      </c>
      <c r="H5480" t="n">
        <v>1</v>
      </c>
      <c r="I5480" t="n">
        <v>7</v>
      </c>
      <c r="J5480" t="n">
        <v>1</v>
      </c>
      <c r="K5480" t="n">
        <v>0</v>
      </c>
      <c r="L5480" t="n">
        <v>141750</v>
      </c>
      <c r="M5480" t="n">
        <v>189000</v>
      </c>
      <c r="N5480" t="n">
        <v>91</v>
      </c>
      <c r="O5480" t="n">
        <v>0.91</v>
      </c>
      <c r="P5480" t="n">
        <v>1</v>
      </c>
      <c r="Q5480" t="n">
        <v>0.03</v>
      </c>
      <c r="R5480" t="n">
        <v>1</v>
      </c>
      <c r="S5480" t="n">
        <v>5159.7</v>
      </c>
      <c r="T5480" t="n">
        <v>7</v>
      </c>
      <c r="U5480" t="n">
        <v>8</v>
      </c>
      <c r="V5480" t="n">
        <v>30</v>
      </c>
      <c r="W5480" t="n">
        <v>1</v>
      </c>
      <c r="X5480" t="n">
        <v>109.8901098901099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11196</v>
      </c>
      <c r="AG5480" t="n">
        <v>54</v>
      </c>
      <c r="AH5480" t="inlineStr">
        <is>
          <t>PT. MIRANTI ADILLHA - PPN (PDG)</t>
        </is>
      </c>
      <c r="AI5480" t="n">
        <v>54</v>
      </c>
      <c r="AJ5480" t="inlineStr">
        <is>
          <t>SOMETHINC</t>
        </is>
      </c>
      <c r="AK5480" t="n">
        <v>21</v>
      </c>
      <c r="AL5480" t="inlineStr">
        <is>
          <t>Miss Glam Damar</t>
        </is>
      </c>
      <c r="AM5480" t="n">
        <v>2</v>
      </c>
      <c r="AN5480" t="n">
        <v>500000</v>
      </c>
      <c r="AO5480" t="n">
        <v>0</v>
      </c>
      <c r="AP5480" t="inlineStr"/>
      <c r="AQ5480" t="inlineStr"/>
    </row>
    <row r="5481">
      <c r="A5481" t="inlineStr">
        <is>
          <t>SOMETHINC</t>
        </is>
      </c>
      <c r="B5481" s="2">
        <f>"20100477254"</f>
        <v/>
      </c>
      <c r="C5481" t="inlineStr">
        <is>
          <t>SOMETHINC CoverBlur Pro Filter Breathable Cushion SPF 40 PA++++ - C01.5 Butter 12gr</t>
        </is>
      </c>
      <c r="D5481" t="inlineStr">
        <is>
          <t>Miss Glam Damar</t>
        </is>
      </c>
      <c r="E5481" t="n">
        <v>5</v>
      </c>
      <c r="F5481" t="n">
        <v>0.0182</v>
      </c>
      <c r="G5481" t="n">
        <v>0.91</v>
      </c>
      <c r="H5481" t="n">
        <v>1</v>
      </c>
      <c r="I5481" t="n">
        <v>7</v>
      </c>
      <c r="J5481" t="n">
        <v>1</v>
      </c>
      <c r="K5481" t="n">
        <v>0</v>
      </c>
      <c r="L5481" t="n">
        <v>141750</v>
      </c>
      <c r="M5481" t="n">
        <v>189000</v>
      </c>
      <c r="N5481" t="n">
        <v>91</v>
      </c>
      <c r="O5481" t="n">
        <v>0.91</v>
      </c>
      <c r="P5481" t="n">
        <v>1</v>
      </c>
      <c r="Q5481" t="n">
        <v>0.05</v>
      </c>
      <c r="R5481" t="n">
        <v>1</v>
      </c>
      <c r="S5481" t="n">
        <v>3439.8</v>
      </c>
      <c r="T5481" t="n">
        <v>7</v>
      </c>
      <c r="U5481" t="n">
        <v>8</v>
      </c>
      <c r="V5481" t="n">
        <v>30</v>
      </c>
      <c r="W5481" t="n">
        <v>1</v>
      </c>
      <c r="X5481" t="n">
        <v>274.7252747252747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11196</v>
      </c>
      <c r="AG5481" t="n">
        <v>54</v>
      </c>
      <c r="AH5481" t="inlineStr">
        <is>
          <t>PT. MIRANTI ADILLHA - PPN (PDG)</t>
        </is>
      </c>
      <c r="AI5481" t="n">
        <v>54</v>
      </c>
      <c r="AJ5481" t="inlineStr">
        <is>
          <t>SOMETHINC</t>
        </is>
      </c>
      <c r="AK5481" t="n">
        <v>21</v>
      </c>
      <c r="AL5481" t="inlineStr">
        <is>
          <t>Miss Glam Damar</t>
        </is>
      </c>
      <c r="AM5481" t="n">
        <v>2</v>
      </c>
      <c r="AN5481" t="n">
        <v>500000</v>
      </c>
      <c r="AO5481" t="n">
        <v>0</v>
      </c>
      <c r="AP5481" t="inlineStr"/>
      <c r="AQ5481" t="inlineStr"/>
    </row>
    <row r="5482">
      <c r="A5482" t="inlineStr">
        <is>
          <t>SOMETHINC</t>
        </is>
      </c>
      <c r="B5482" s="2">
        <f>"20100477324"</f>
        <v/>
      </c>
      <c r="C5482" t="inlineStr">
        <is>
          <t>SOMETHINC CoverBlur Pro Filter Breathable Cushion SPF 40 PA++++ - N01 Nina 12gr</t>
        </is>
      </c>
      <c r="D5482" t="inlineStr">
        <is>
          <t>Miss Glam Damar</t>
        </is>
      </c>
      <c r="E5482" t="n">
        <v>3</v>
      </c>
      <c r="F5482" t="n">
        <v>0.04550000000000001</v>
      </c>
      <c r="G5482" t="n">
        <v>0.91</v>
      </c>
      <c r="H5482" t="n">
        <v>1</v>
      </c>
      <c r="I5482" t="n">
        <v>7</v>
      </c>
      <c r="J5482" t="n">
        <v>1</v>
      </c>
      <c r="K5482" t="n">
        <v>0</v>
      </c>
      <c r="L5482" t="n">
        <v>141750</v>
      </c>
      <c r="M5482" t="n">
        <v>189000</v>
      </c>
      <c r="N5482" t="n">
        <v>91</v>
      </c>
      <c r="O5482" t="n">
        <v>0.91</v>
      </c>
      <c r="P5482" t="n">
        <v>1</v>
      </c>
      <c r="Q5482" t="n">
        <v>0.07000000000000001</v>
      </c>
      <c r="R5482" t="n">
        <v>2</v>
      </c>
      <c r="S5482" t="n">
        <v>8599.500000000002</v>
      </c>
      <c r="T5482" t="n">
        <v>7</v>
      </c>
      <c r="U5482" t="n">
        <v>8</v>
      </c>
      <c r="V5482" t="n">
        <v>30</v>
      </c>
      <c r="W5482" t="n">
        <v>2</v>
      </c>
      <c r="X5482" t="n">
        <v>65.93406593406593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11196</v>
      </c>
      <c r="AG5482" t="n">
        <v>54</v>
      </c>
      <c r="AH5482" t="inlineStr">
        <is>
          <t>PT. MIRANTI ADILLHA - PPN (PDG)</t>
        </is>
      </c>
      <c r="AI5482" t="n">
        <v>54</v>
      </c>
      <c r="AJ5482" t="inlineStr">
        <is>
          <t>SOMETHINC</t>
        </is>
      </c>
      <c r="AK5482" t="n">
        <v>21</v>
      </c>
      <c r="AL5482" t="inlineStr">
        <is>
          <t>Miss Glam Damar</t>
        </is>
      </c>
      <c r="AM5482" t="n">
        <v>2</v>
      </c>
      <c r="AN5482" t="n">
        <v>500000</v>
      </c>
      <c r="AO5482" t="n">
        <v>0</v>
      </c>
      <c r="AP5482" t="inlineStr"/>
      <c r="AQ5482" t="inlineStr"/>
    </row>
    <row r="5483">
      <c r="A5483" t="inlineStr">
        <is>
          <t>SOMETHINC</t>
        </is>
      </c>
      <c r="B5483" s="2">
        <f>"20100477523"</f>
        <v/>
      </c>
      <c r="C5483" t="inlineStr">
        <is>
          <t>SOMETHINC CoverBlur Pro Filter Breathable Cushion SPF 40 PA++++ - N02 Charlotte 12gr</t>
        </is>
      </c>
      <c r="D5483" t="inlineStr">
        <is>
          <t>Miss Glam Damar</t>
        </is>
      </c>
      <c r="E5483" t="n">
        <v>10</v>
      </c>
      <c r="F5483" t="n">
        <v>0.0273</v>
      </c>
      <c r="G5483" t="n">
        <v>0.91</v>
      </c>
      <c r="H5483" t="n">
        <v>1</v>
      </c>
      <c r="I5483" t="n">
        <v>7</v>
      </c>
      <c r="J5483" t="n">
        <v>1</v>
      </c>
      <c r="K5483" t="n">
        <v>0</v>
      </c>
      <c r="L5483" t="n">
        <v>141750</v>
      </c>
      <c r="M5483" t="n">
        <v>189000</v>
      </c>
      <c r="N5483" t="n">
        <v>91</v>
      </c>
      <c r="O5483" t="n">
        <v>0.91</v>
      </c>
      <c r="P5483" t="n">
        <v>1</v>
      </c>
      <c r="Q5483" t="n">
        <v>0.02</v>
      </c>
      <c r="R5483" t="n">
        <v>1</v>
      </c>
      <c r="S5483" t="n">
        <v>5159.7</v>
      </c>
      <c r="T5483" t="n">
        <v>7</v>
      </c>
      <c r="U5483" t="n">
        <v>8</v>
      </c>
      <c r="V5483" t="n">
        <v>30</v>
      </c>
      <c r="W5483" t="n">
        <v>1</v>
      </c>
      <c r="X5483" t="n">
        <v>366.3003663003663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11196</v>
      </c>
      <c r="AG5483" t="n">
        <v>54</v>
      </c>
      <c r="AH5483" t="inlineStr">
        <is>
          <t>PT. MIRANTI ADILLHA - PPN (PDG)</t>
        </is>
      </c>
      <c r="AI5483" t="n">
        <v>54</v>
      </c>
      <c r="AJ5483" t="inlineStr">
        <is>
          <t>SOMETHINC</t>
        </is>
      </c>
      <c r="AK5483" t="n">
        <v>21</v>
      </c>
      <c r="AL5483" t="inlineStr">
        <is>
          <t>Miss Glam Damar</t>
        </is>
      </c>
      <c r="AM5483" t="n">
        <v>2</v>
      </c>
      <c r="AN5483" t="n">
        <v>500000</v>
      </c>
      <c r="AO5483" t="n">
        <v>0</v>
      </c>
      <c r="AP5483" t="inlineStr"/>
      <c r="AQ5483" t="inlineStr"/>
    </row>
    <row r="5484">
      <c r="A5484" t="inlineStr">
        <is>
          <t>SOMETHINC</t>
        </is>
      </c>
      <c r="B5484" s="2">
        <f>"11200150639"</f>
        <v/>
      </c>
      <c r="C5484" t="inlineStr">
        <is>
          <t>SOMETHINC Diamond Glow PhytoCell Serum - 20ml</t>
        </is>
      </c>
      <c r="D5484" t="inlineStr">
        <is>
          <t>Miss Glam Damar</t>
        </is>
      </c>
      <c r="E5484" t="n">
        <v>4</v>
      </c>
      <c r="F5484" t="n">
        <v>0.09100000000000001</v>
      </c>
      <c r="G5484" t="n">
        <v>1.82</v>
      </c>
      <c r="H5484" t="n">
        <v>1</v>
      </c>
      <c r="I5484" t="n">
        <v>7</v>
      </c>
      <c r="J5484" t="n">
        <v>1</v>
      </c>
      <c r="K5484" t="n">
        <v>0</v>
      </c>
      <c r="L5484" t="n">
        <v>126750</v>
      </c>
      <c r="M5484" t="n">
        <v>169000</v>
      </c>
      <c r="N5484" t="n">
        <v>91</v>
      </c>
      <c r="O5484" t="n">
        <v>0.91</v>
      </c>
      <c r="P5484" t="n">
        <v>1</v>
      </c>
      <c r="Q5484" t="n">
        <v>0.02</v>
      </c>
      <c r="R5484" t="n">
        <v>1</v>
      </c>
      <c r="S5484" t="n">
        <v>15379</v>
      </c>
      <c r="T5484" t="n">
        <v>13</v>
      </c>
      <c r="U5484" t="n">
        <v>14</v>
      </c>
      <c r="V5484" t="n">
        <v>30</v>
      </c>
      <c r="W5484" t="n">
        <v>3</v>
      </c>
      <c r="X5484" t="n">
        <v>43.95604395604395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11196</v>
      </c>
      <c r="AG5484" t="n">
        <v>54</v>
      </c>
      <c r="AH5484" t="inlineStr">
        <is>
          <t>PT. MIRANTI ADILLHA - PPN (PDG)</t>
        </is>
      </c>
      <c r="AI5484" t="n">
        <v>54</v>
      </c>
      <c r="AJ5484" t="inlineStr">
        <is>
          <t>SOMETHINC</t>
        </is>
      </c>
      <c r="AK5484" t="n">
        <v>21</v>
      </c>
      <c r="AL5484" t="inlineStr">
        <is>
          <t>Miss Glam Damar</t>
        </is>
      </c>
      <c r="AM5484" t="n">
        <v>2</v>
      </c>
      <c r="AN5484" t="n">
        <v>500000</v>
      </c>
      <c r="AO5484" t="n">
        <v>0</v>
      </c>
      <c r="AP5484" t="inlineStr"/>
      <c r="AQ5484" t="inlineStr"/>
    </row>
    <row r="5485">
      <c r="A5485" t="inlineStr">
        <is>
          <t>SOMETHINC</t>
        </is>
      </c>
      <c r="B5485" s="2">
        <f>"20300443815"</f>
        <v/>
      </c>
      <c r="C5485" t="inlineStr">
        <is>
          <t>SOMETHINC Forever Stay Comfort Lip Glaze 01 Uno 3gr</t>
        </is>
      </c>
      <c r="D5485" t="inlineStr">
        <is>
          <t>Miss Glam Damar</t>
        </is>
      </c>
      <c r="E5485" t="n">
        <v>3</v>
      </c>
      <c r="F5485" t="n">
        <v>0.0182</v>
      </c>
      <c r="G5485" t="n">
        <v>0.91</v>
      </c>
      <c r="H5485" t="n">
        <v>1</v>
      </c>
      <c r="I5485" t="n">
        <v>7</v>
      </c>
      <c r="J5485" t="n">
        <v>1</v>
      </c>
      <c r="K5485" t="n">
        <v>0</v>
      </c>
      <c r="L5485" t="n">
        <v>74250</v>
      </c>
      <c r="M5485" t="n">
        <v>99000</v>
      </c>
      <c r="N5485" t="n">
        <v>91</v>
      </c>
      <c r="O5485" t="n">
        <v>0.91</v>
      </c>
      <c r="P5485" t="n">
        <v>1</v>
      </c>
      <c r="Q5485" t="n">
        <v>0.1</v>
      </c>
      <c r="R5485" t="n">
        <v>1</v>
      </c>
      <c r="S5485" t="n">
        <v>1801.8</v>
      </c>
      <c r="T5485" t="n">
        <v>7</v>
      </c>
      <c r="U5485" t="n">
        <v>8</v>
      </c>
      <c r="V5485" t="n">
        <v>30</v>
      </c>
      <c r="W5485" t="n">
        <v>1</v>
      </c>
      <c r="X5485" t="n">
        <v>164.8351648351648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11196</v>
      </c>
      <c r="AG5485" t="n">
        <v>54</v>
      </c>
      <c r="AH5485" t="inlineStr">
        <is>
          <t>PT. MIRANTI ADILLHA - PPN (PDG)</t>
        </is>
      </c>
      <c r="AI5485" t="n">
        <v>54</v>
      </c>
      <c r="AJ5485" t="inlineStr">
        <is>
          <t>SOMETHINC</t>
        </is>
      </c>
      <c r="AK5485" t="n">
        <v>21</v>
      </c>
      <c r="AL5485" t="inlineStr">
        <is>
          <t>Miss Glam Damar</t>
        </is>
      </c>
      <c r="AM5485" t="n">
        <v>2</v>
      </c>
      <c r="AN5485" t="n">
        <v>500000</v>
      </c>
      <c r="AO5485" t="n">
        <v>0</v>
      </c>
      <c r="AP5485" t="inlineStr"/>
      <c r="AQ5485" t="inlineStr"/>
    </row>
    <row r="5486">
      <c r="A5486" t="inlineStr">
        <is>
          <t>SOMETHINC</t>
        </is>
      </c>
      <c r="B5486" s="2">
        <f>"20300443954"</f>
        <v/>
      </c>
      <c r="C5486" t="inlineStr">
        <is>
          <t>SOMETHINC Forever Stay Comfort Lip Glaze 02 Hustle 3gr</t>
        </is>
      </c>
      <c r="D5486" t="inlineStr">
        <is>
          <t>Miss Glam Damar</t>
        </is>
      </c>
      <c r="E5486" t="n">
        <v>5</v>
      </c>
      <c r="F5486" t="n">
        <v>0.04550000000000001</v>
      </c>
      <c r="G5486" t="n">
        <v>0.91</v>
      </c>
      <c r="H5486" t="n">
        <v>1</v>
      </c>
      <c r="I5486" t="n">
        <v>7</v>
      </c>
      <c r="J5486" t="n">
        <v>1</v>
      </c>
      <c r="K5486" t="n">
        <v>0</v>
      </c>
      <c r="L5486" t="n">
        <v>74250</v>
      </c>
      <c r="M5486" t="n">
        <v>99000</v>
      </c>
      <c r="N5486" t="n">
        <v>91</v>
      </c>
      <c r="O5486" t="n">
        <v>0.91</v>
      </c>
      <c r="P5486" t="n">
        <v>1</v>
      </c>
      <c r="Q5486" t="n">
        <v>0.08</v>
      </c>
      <c r="R5486" t="n">
        <v>1</v>
      </c>
      <c r="S5486" t="n">
        <v>4504.500000000001</v>
      </c>
      <c r="T5486" t="n">
        <v>7</v>
      </c>
      <c r="U5486" t="n">
        <v>8</v>
      </c>
      <c r="V5486" t="n">
        <v>30</v>
      </c>
      <c r="W5486" t="n">
        <v>2</v>
      </c>
      <c r="X5486" t="n">
        <v>109.8901098901099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11196</v>
      </c>
      <c r="AG5486" t="n">
        <v>54</v>
      </c>
      <c r="AH5486" t="inlineStr">
        <is>
          <t>PT. MIRANTI ADILLHA - PPN (PDG)</t>
        </is>
      </c>
      <c r="AI5486" t="n">
        <v>54</v>
      </c>
      <c r="AJ5486" t="inlineStr">
        <is>
          <t>SOMETHINC</t>
        </is>
      </c>
      <c r="AK5486" t="n">
        <v>21</v>
      </c>
      <c r="AL5486" t="inlineStr">
        <is>
          <t>Miss Glam Damar</t>
        </is>
      </c>
      <c r="AM5486" t="n">
        <v>2</v>
      </c>
      <c r="AN5486" t="n">
        <v>500000</v>
      </c>
      <c r="AO5486" t="n">
        <v>0</v>
      </c>
      <c r="AP5486" t="inlineStr"/>
      <c r="AQ5486" t="inlineStr"/>
    </row>
    <row r="5487">
      <c r="A5487" t="inlineStr">
        <is>
          <t>SOMETHINC</t>
        </is>
      </c>
      <c r="B5487" s="2">
        <f>"20300444049"</f>
        <v/>
      </c>
      <c r="C5487" t="inlineStr">
        <is>
          <t>SOMETHINC Forever Stay Comfort Lip Glaze 03 Treschic 3gr</t>
        </is>
      </c>
      <c r="D5487" t="inlineStr">
        <is>
          <t>Miss Glam Damar</t>
        </is>
      </c>
      <c r="E5487" t="n">
        <v>4</v>
      </c>
      <c r="F5487" t="n">
        <v>0.1274</v>
      </c>
      <c r="G5487" t="n">
        <v>1.82</v>
      </c>
      <c r="H5487" t="n">
        <v>1</v>
      </c>
      <c r="I5487" t="n">
        <v>7</v>
      </c>
      <c r="J5487" t="n">
        <v>1</v>
      </c>
      <c r="K5487" t="n">
        <v>0</v>
      </c>
      <c r="L5487" t="n">
        <v>74250</v>
      </c>
      <c r="M5487" t="n">
        <v>99000</v>
      </c>
      <c r="N5487" t="n">
        <v>91</v>
      </c>
      <c r="O5487" t="n">
        <v>0.91</v>
      </c>
      <c r="P5487" t="n">
        <v>1</v>
      </c>
      <c r="Q5487" t="n">
        <v>0.19</v>
      </c>
      <c r="R5487" t="n">
        <v>2</v>
      </c>
      <c r="S5487" t="n">
        <v>12612.6</v>
      </c>
      <c r="T5487" t="n">
        <v>13</v>
      </c>
      <c r="U5487" t="n">
        <v>14</v>
      </c>
      <c r="V5487" t="n">
        <v>30</v>
      </c>
      <c r="W5487" t="n">
        <v>4</v>
      </c>
      <c r="X5487" t="n">
        <v>31.39717425431711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11196</v>
      </c>
      <c r="AG5487" t="n">
        <v>54</v>
      </c>
      <c r="AH5487" t="inlineStr">
        <is>
          <t>PT. MIRANTI ADILLHA - PPN (PDG)</t>
        </is>
      </c>
      <c r="AI5487" t="n">
        <v>54</v>
      </c>
      <c r="AJ5487" t="inlineStr">
        <is>
          <t>SOMETHINC</t>
        </is>
      </c>
      <c r="AK5487" t="n">
        <v>21</v>
      </c>
      <c r="AL5487" t="inlineStr">
        <is>
          <t>Miss Glam Damar</t>
        </is>
      </c>
      <c r="AM5487" t="n">
        <v>2</v>
      </c>
      <c r="AN5487" t="n">
        <v>500000</v>
      </c>
      <c r="AO5487" t="n">
        <v>0</v>
      </c>
      <c r="AP5487" t="inlineStr"/>
      <c r="AQ5487" t="inlineStr"/>
    </row>
    <row r="5488">
      <c r="A5488" t="inlineStr">
        <is>
          <t>SOMETHINC</t>
        </is>
      </c>
      <c r="B5488" s="2">
        <f>"20300444222"</f>
        <v/>
      </c>
      <c r="C5488" t="inlineStr">
        <is>
          <t>SOMETHINC Forever Stay Comfort Lip Glaze 04 Pwr 3gr</t>
        </is>
      </c>
      <c r="D5488" t="inlineStr">
        <is>
          <t>Miss Glam Damar</t>
        </is>
      </c>
      <c r="E5488" t="n">
        <v>7</v>
      </c>
      <c r="F5488" t="n">
        <v>0.2002</v>
      </c>
      <c r="G5488" t="n">
        <v>2.73</v>
      </c>
      <c r="H5488" t="n">
        <v>1</v>
      </c>
      <c r="I5488" t="n">
        <v>7</v>
      </c>
      <c r="J5488" t="n">
        <v>1</v>
      </c>
      <c r="K5488" t="n">
        <v>0</v>
      </c>
      <c r="L5488" t="n">
        <v>74250</v>
      </c>
      <c r="M5488" t="n">
        <v>99000</v>
      </c>
      <c r="N5488" t="n">
        <v>91</v>
      </c>
      <c r="O5488" t="n">
        <v>0.91</v>
      </c>
      <c r="P5488" t="n">
        <v>1</v>
      </c>
      <c r="Q5488" t="n">
        <v>0.2</v>
      </c>
      <c r="R5488" t="n">
        <v>2</v>
      </c>
      <c r="S5488" t="n">
        <v>19819.8</v>
      </c>
      <c r="T5488" t="n">
        <v>19</v>
      </c>
      <c r="U5488" t="n">
        <v>20</v>
      </c>
      <c r="V5488" t="n">
        <v>30</v>
      </c>
      <c r="W5488" t="n">
        <v>7</v>
      </c>
      <c r="X5488" t="n">
        <v>34.96503496503496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11196</v>
      </c>
      <c r="AG5488" t="n">
        <v>54</v>
      </c>
      <c r="AH5488" t="inlineStr">
        <is>
          <t>PT. MIRANTI ADILLHA - PPN (PDG)</t>
        </is>
      </c>
      <c r="AI5488" t="n">
        <v>54</v>
      </c>
      <c r="AJ5488" t="inlineStr">
        <is>
          <t>SOMETHINC</t>
        </is>
      </c>
      <c r="AK5488" t="n">
        <v>21</v>
      </c>
      <c r="AL5488" t="inlineStr">
        <is>
          <t>Miss Glam Damar</t>
        </is>
      </c>
      <c r="AM5488" t="n">
        <v>2</v>
      </c>
      <c r="AN5488" t="n">
        <v>500000</v>
      </c>
      <c r="AO5488" t="n">
        <v>0</v>
      </c>
      <c r="AP5488" t="inlineStr"/>
      <c r="AQ5488" t="inlineStr"/>
    </row>
    <row r="5489">
      <c r="A5489" t="inlineStr">
        <is>
          <t>SOMETHINC</t>
        </is>
      </c>
      <c r="B5489" s="2">
        <f>"20300446553"</f>
        <v/>
      </c>
      <c r="C5489" t="inlineStr">
        <is>
          <t>SOMETHINC Forever Stay Comfort Lip Glaze 05 Unreal 3gr</t>
        </is>
      </c>
      <c r="D5489" t="inlineStr">
        <is>
          <t>Miss Glam Damar</t>
        </is>
      </c>
      <c r="E5489" t="n">
        <v>5</v>
      </c>
      <c r="F5489" t="n">
        <v>0.04550000000000001</v>
      </c>
      <c r="G5489" t="n">
        <v>0.91</v>
      </c>
      <c r="H5489" t="n">
        <v>1</v>
      </c>
      <c r="I5489" t="n">
        <v>7</v>
      </c>
      <c r="J5489" t="n">
        <v>1</v>
      </c>
      <c r="K5489" t="n">
        <v>0</v>
      </c>
      <c r="L5489" t="n">
        <v>74250</v>
      </c>
      <c r="M5489" t="n">
        <v>99000</v>
      </c>
      <c r="N5489" t="n">
        <v>91</v>
      </c>
      <c r="O5489" t="n">
        <v>0.91</v>
      </c>
      <c r="P5489" t="n">
        <v>1</v>
      </c>
      <c r="Q5489" t="n">
        <v>0.24</v>
      </c>
      <c r="R5489" t="n">
        <v>2</v>
      </c>
      <c r="S5489" t="n">
        <v>4504.500000000001</v>
      </c>
      <c r="T5489" t="n">
        <v>7</v>
      </c>
      <c r="U5489" t="n">
        <v>8</v>
      </c>
      <c r="V5489" t="n">
        <v>30</v>
      </c>
      <c r="W5489" t="n">
        <v>2</v>
      </c>
      <c r="X5489" t="n">
        <v>109.8901098901099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11196</v>
      </c>
      <c r="AG5489" t="n">
        <v>54</v>
      </c>
      <c r="AH5489" t="inlineStr">
        <is>
          <t>PT. MIRANTI ADILLHA - PPN (PDG)</t>
        </is>
      </c>
      <c r="AI5489" t="n">
        <v>54</v>
      </c>
      <c r="AJ5489" t="inlineStr">
        <is>
          <t>SOMETHINC</t>
        </is>
      </c>
      <c r="AK5489" t="n">
        <v>21</v>
      </c>
      <c r="AL5489" t="inlineStr">
        <is>
          <t>Miss Glam Damar</t>
        </is>
      </c>
      <c r="AM5489" t="n">
        <v>2</v>
      </c>
      <c r="AN5489" t="n">
        <v>500000</v>
      </c>
      <c r="AO5489" t="n">
        <v>0</v>
      </c>
      <c r="AP5489" t="inlineStr"/>
      <c r="AQ5489" t="inlineStr"/>
    </row>
    <row r="5490">
      <c r="A5490" t="inlineStr">
        <is>
          <t>SOMETHINC</t>
        </is>
      </c>
      <c r="B5490" s="2">
        <f>"20300444112"</f>
        <v/>
      </c>
      <c r="C5490" t="inlineStr">
        <is>
          <t>SOMETHINC Forever Stay Comfort Lip Glaze 06 Mantra 3gr</t>
        </is>
      </c>
      <c r="D5490" t="inlineStr">
        <is>
          <t>Miss Glam Damar</t>
        </is>
      </c>
      <c r="E5490" t="n">
        <v>3</v>
      </c>
      <c r="F5490" t="n">
        <v>0.1547</v>
      </c>
      <c r="G5490" t="n">
        <v>1.82</v>
      </c>
      <c r="H5490" t="n">
        <v>1</v>
      </c>
      <c r="I5490" t="n">
        <v>7</v>
      </c>
      <c r="J5490" t="n">
        <v>1</v>
      </c>
      <c r="K5490" t="n">
        <v>0</v>
      </c>
      <c r="L5490" t="n">
        <v>74250</v>
      </c>
      <c r="M5490" t="n">
        <v>99000</v>
      </c>
      <c r="N5490" t="n">
        <v>91</v>
      </c>
      <c r="O5490" t="n">
        <v>0.91</v>
      </c>
      <c r="P5490" t="n">
        <v>1</v>
      </c>
      <c r="Q5490" t="n">
        <v>0.03</v>
      </c>
      <c r="R5490" t="n">
        <v>1</v>
      </c>
      <c r="S5490" t="n">
        <v>15315.3</v>
      </c>
      <c r="T5490" t="n">
        <v>13</v>
      </c>
      <c r="U5490" t="n">
        <v>14</v>
      </c>
      <c r="V5490" t="n">
        <v>30</v>
      </c>
      <c r="W5490" t="n">
        <v>5</v>
      </c>
      <c r="X5490" t="n">
        <v>19.3923723335488</v>
      </c>
      <c r="Y5490" t="n">
        <v>1</v>
      </c>
      <c r="Z5490" t="n">
        <v>2</v>
      </c>
      <c r="AA5490" t="n">
        <v>0</v>
      </c>
      <c r="AB5490" t="n">
        <v>2</v>
      </c>
      <c r="AC5490" t="n">
        <v>2</v>
      </c>
      <c r="AD5490" t="n">
        <v>0</v>
      </c>
      <c r="AE5490" t="n">
        <v>148500</v>
      </c>
      <c r="AF5490" t="n">
        <v>11196</v>
      </c>
      <c r="AG5490" t="n">
        <v>54</v>
      </c>
      <c r="AH5490" t="inlineStr">
        <is>
          <t>PT. MIRANTI ADILLHA - PPN (PDG)</t>
        </is>
      </c>
      <c r="AI5490" t="n">
        <v>54</v>
      </c>
      <c r="AJ5490" t="inlineStr">
        <is>
          <t>SOMETHINC</t>
        </is>
      </c>
      <c r="AK5490" t="n">
        <v>21</v>
      </c>
      <c r="AL5490" t="inlineStr">
        <is>
          <t>Miss Glam Damar</t>
        </is>
      </c>
      <c r="AM5490" t="n">
        <v>2</v>
      </c>
      <c r="AN5490" t="n">
        <v>500000</v>
      </c>
      <c r="AO5490" t="n">
        <v>0</v>
      </c>
      <c r="AP5490" t="inlineStr"/>
      <c r="AQ5490" t="inlineStr"/>
    </row>
    <row r="5491">
      <c r="A5491" t="inlineStr">
        <is>
          <t>SOMETHINC</t>
        </is>
      </c>
      <c r="B5491" s="2">
        <f>"20300444315"</f>
        <v/>
      </c>
      <c r="C5491" t="inlineStr">
        <is>
          <t>SOMETHINC Forever Stay Comfort Lip Glaze 07 Sassy 3gr</t>
        </is>
      </c>
      <c r="D5491" t="inlineStr">
        <is>
          <t>Miss Glam Damar</t>
        </is>
      </c>
      <c r="E5491" t="n">
        <v>11</v>
      </c>
      <c r="F5491" t="n">
        <v>0.3276</v>
      </c>
      <c r="G5491" t="n">
        <v>2.73</v>
      </c>
      <c r="H5491" t="n">
        <v>1</v>
      </c>
      <c r="I5491" t="n">
        <v>7</v>
      </c>
      <c r="J5491" t="n">
        <v>1</v>
      </c>
      <c r="K5491" t="n">
        <v>0</v>
      </c>
      <c r="L5491" t="n">
        <v>74250</v>
      </c>
      <c r="M5491" t="n">
        <v>99000</v>
      </c>
      <c r="N5491" t="n">
        <v>91</v>
      </c>
      <c r="O5491" t="n">
        <v>0.91</v>
      </c>
      <c r="P5491" t="n">
        <v>1</v>
      </c>
      <c r="Q5491" t="n">
        <v>0.22</v>
      </c>
      <c r="R5491" t="n">
        <v>2</v>
      </c>
      <c r="S5491" t="n">
        <v>32432.4</v>
      </c>
      <c r="T5491" t="n">
        <v>19</v>
      </c>
      <c r="U5491" t="n">
        <v>20</v>
      </c>
      <c r="V5491" t="n">
        <v>30</v>
      </c>
      <c r="W5491" t="n">
        <v>10</v>
      </c>
      <c r="X5491" t="n">
        <v>33.57753357753358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11196</v>
      </c>
      <c r="AG5491" t="n">
        <v>54</v>
      </c>
      <c r="AH5491" t="inlineStr">
        <is>
          <t>PT. MIRANTI ADILLHA - PPN (PDG)</t>
        </is>
      </c>
      <c r="AI5491" t="n">
        <v>54</v>
      </c>
      <c r="AJ5491" t="inlineStr">
        <is>
          <t>SOMETHINC</t>
        </is>
      </c>
      <c r="AK5491" t="n">
        <v>21</v>
      </c>
      <c r="AL5491" t="inlineStr">
        <is>
          <t>Miss Glam Damar</t>
        </is>
      </c>
      <c r="AM5491" t="n">
        <v>2</v>
      </c>
      <c r="AN5491" t="n">
        <v>500000</v>
      </c>
      <c r="AO5491" t="n">
        <v>0</v>
      </c>
      <c r="AP5491" t="inlineStr"/>
      <c r="AQ5491" t="inlineStr"/>
    </row>
    <row r="5492">
      <c r="A5492" t="inlineStr">
        <is>
          <t>SOMETHINC</t>
        </is>
      </c>
      <c r="B5492" s="2">
        <f>"20300444439"</f>
        <v/>
      </c>
      <c r="C5492" t="inlineStr">
        <is>
          <t>SOMETHINC Forever Stay Comfort Lip Glaze 08 Notty 3gr</t>
        </is>
      </c>
      <c r="D5492" t="inlineStr">
        <is>
          <t>Miss Glam Damar</t>
        </is>
      </c>
      <c r="E5492" t="n">
        <v>4</v>
      </c>
      <c r="F5492" t="n">
        <v>0.0728</v>
      </c>
      <c r="G5492" t="n">
        <v>0.91</v>
      </c>
      <c r="H5492" t="n">
        <v>1</v>
      </c>
      <c r="I5492" t="n">
        <v>7</v>
      </c>
      <c r="J5492" t="n">
        <v>1</v>
      </c>
      <c r="K5492" t="n">
        <v>0</v>
      </c>
      <c r="L5492" t="n">
        <v>74250</v>
      </c>
      <c r="M5492" t="n">
        <v>99000</v>
      </c>
      <c r="N5492" t="n">
        <v>91</v>
      </c>
      <c r="O5492" t="n">
        <v>0.91</v>
      </c>
      <c r="P5492" t="n">
        <v>1</v>
      </c>
      <c r="Q5492" t="n">
        <v>0.1</v>
      </c>
      <c r="R5492" t="n">
        <v>1</v>
      </c>
      <c r="S5492" t="n">
        <v>7207.200000000001</v>
      </c>
      <c r="T5492" t="n">
        <v>7</v>
      </c>
      <c r="U5492" t="n">
        <v>8</v>
      </c>
      <c r="V5492" t="n">
        <v>30</v>
      </c>
      <c r="W5492" t="n">
        <v>3</v>
      </c>
      <c r="X5492" t="n">
        <v>54.94505494505494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11196</v>
      </c>
      <c r="AG5492" t="n">
        <v>54</v>
      </c>
      <c r="AH5492" t="inlineStr">
        <is>
          <t>PT. MIRANTI ADILLHA - PPN (PDG)</t>
        </is>
      </c>
      <c r="AI5492" t="n">
        <v>54</v>
      </c>
      <c r="AJ5492" t="inlineStr">
        <is>
          <t>SOMETHINC</t>
        </is>
      </c>
      <c r="AK5492" t="n">
        <v>21</v>
      </c>
      <c r="AL5492" t="inlineStr">
        <is>
          <t>Miss Glam Damar</t>
        </is>
      </c>
      <c r="AM5492" t="n">
        <v>2</v>
      </c>
      <c r="AN5492" t="n">
        <v>500000</v>
      </c>
      <c r="AO5492" t="n">
        <v>0</v>
      </c>
      <c r="AP5492" t="inlineStr"/>
      <c r="AQ5492" t="inlineStr"/>
    </row>
    <row r="5493">
      <c r="A5493" t="inlineStr">
        <is>
          <t>SOMETHINC</t>
        </is>
      </c>
      <c r="B5493" s="2">
        <f>"20300444502"</f>
        <v/>
      </c>
      <c r="C5493" t="inlineStr">
        <is>
          <t>SOMETHINC Forever Stay Comfort Lip Glaze 09 Selfmade 3gr</t>
        </is>
      </c>
      <c r="D5493" t="inlineStr">
        <is>
          <t>Miss Glam Damar</t>
        </is>
      </c>
      <c r="E5493" t="n">
        <v>8</v>
      </c>
      <c r="F5493" t="n">
        <v>0.08</v>
      </c>
      <c r="G5493" t="n">
        <v>2</v>
      </c>
      <c r="H5493" t="n">
        <v>1</v>
      </c>
      <c r="I5493" t="n">
        <v>7</v>
      </c>
      <c r="J5493" t="n">
        <v>1</v>
      </c>
      <c r="K5493" t="n">
        <v>0</v>
      </c>
      <c r="L5493" t="n">
        <v>74250</v>
      </c>
      <c r="M5493" t="n">
        <v>99000</v>
      </c>
      <c r="N5493" t="n">
        <v>91</v>
      </c>
      <c r="O5493" t="n">
        <v>0.91</v>
      </c>
      <c r="P5493" t="n">
        <v>0</v>
      </c>
      <c r="Q5493" t="n">
        <v>0.08</v>
      </c>
      <c r="R5493" t="n">
        <v>2</v>
      </c>
      <c r="S5493" t="n">
        <v>7920</v>
      </c>
      <c r="T5493" t="n">
        <v>14</v>
      </c>
      <c r="U5493" t="n">
        <v>15</v>
      </c>
      <c r="V5493" t="n">
        <v>30</v>
      </c>
      <c r="W5493" t="n">
        <v>3</v>
      </c>
      <c r="X5493" t="n">
        <v>100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11196</v>
      </c>
      <c r="AG5493" t="n">
        <v>54</v>
      </c>
      <c r="AH5493" t="inlineStr">
        <is>
          <t>PT. MIRANTI ADILLHA - PPN (PDG)</t>
        </is>
      </c>
      <c r="AI5493" t="n">
        <v>54</v>
      </c>
      <c r="AJ5493" t="inlineStr">
        <is>
          <t>SOMETHINC</t>
        </is>
      </c>
      <c r="AK5493" t="n">
        <v>21</v>
      </c>
      <c r="AL5493" t="inlineStr">
        <is>
          <t>Miss Glam Damar</t>
        </is>
      </c>
      <c r="AM5493" t="n">
        <v>2</v>
      </c>
      <c r="AN5493" t="n">
        <v>500000</v>
      </c>
      <c r="AO5493" t="n">
        <v>0</v>
      </c>
      <c r="AP5493" t="inlineStr"/>
      <c r="AQ5493" t="inlineStr"/>
    </row>
    <row r="5494">
      <c r="A5494" t="inlineStr">
        <is>
          <t>SOMETHINC</t>
        </is>
      </c>
      <c r="B5494" s="2">
        <f>"8997209270414"</f>
        <v/>
      </c>
      <c r="C5494" t="inlineStr">
        <is>
          <t>SOMETHINC Forever Stay Eyeliner 0.5ml</t>
        </is>
      </c>
      <c r="D5494" t="inlineStr">
        <is>
          <t>Miss Glam Damar</t>
        </is>
      </c>
      <c r="E5494" t="n">
        <v>5</v>
      </c>
      <c r="F5494" t="n">
        <v>0.1274</v>
      </c>
      <c r="G5494" t="n">
        <v>1.82</v>
      </c>
      <c r="H5494" t="n">
        <v>1</v>
      </c>
      <c r="I5494" t="n">
        <v>7</v>
      </c>
      <c r="J5494" t="n">
        <v>3</v>
      </c>
      <c r="K5494" t="n">
        <v>0</v>
      </c>
      <c r="L5494" t="n">
        <v>59250</v>
      </c>
      <c r="M5494" t="n">
        <v>79000</v>
      </c>
      <c r="N5494" t="n">
        <v>91</v>
      </c>
      <c r="O5494" t="n">
        <v>0.91</v>
      </c>
      <c r="P5494" t="n">
        <v>1</v>
      </c>
      <c r="Q5494" t="n">
        <v>0.19</v>
      </c>
      <c r="R5494" t="n">
        <v>1</v>
      </c>
      <c r="S5494" t="n">
        <v>10064.6</v>
      </c>
      <c r="T5494" t="n">
        <v>13</v>
      </c>
      <c r="U5494" t="n">
        <v>14</v>
      </c>
      <c r="V5494" t="n">
        <v>30</v>
      </c>
      <c r="W5494" t="n">
        <v>4</v>
      </c>
      <c r="X5494" t="n">
        <v>39.24646781789639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11196</v>
      </c>
      <c r="AG5494" t="n">
        <v>54</v>
      </c>
      <c r="AH5494" t="inlineStr">
        <is>
          <t>PT. MIRANTI ADILLHA - PPN (PDG)</t>
        </is>
      </c>
      <c r="AI5494" t="n">
        <v>54</v>
      </c>
      <c r="AJ5494" t="inlineStr">
        <is>
          <t>SOMETHINC</t>
        </is>
      </c>
      <c r="AK5494" t="n">
        <v>21</v>
      </c>
      <c r="AL5494" t="inlineStr">
        <is>
          <t>Miss Glam Damar</t>
        </is>
      </c>
      <c r="AM5494" t="n">
        <v>2</v>
      </c>
      <c r="AN5494" t="n">
        <v>500000</v>
      </c>
      <c r="AO5494" t="n">
        <v>0</v>
      </c>
      <c r="AP5494" t="inlineStr"/>
      <c r="AQ5494" t="inlineStr"/>
    </row>
    <row r="5495">
      <c r="A5495" t="inlineStr">
        <is>
          <t>SOMETHINC</t>
        </is>
      </c>
      <c r="B5495" s="2">
        <f>"11200150851"</f>
        <v/>
      </c>
      <c r="C5495" t="inlineStr">
        <is>
          <t>SOMETHINC Gentle Bright Niacinamide + Alpha Arbutin Serum - 20ml</t>
        </is>
      </c>
      <c r="D5495" t="inlineStr">
        <is>
          <t>Miss Glam Damar</t>
        </is>
      </c>
      <c r="E5495" t="n">
        <v>10</v>
      </c>
      <c r="F5495" t="n">
        <v>0.2912</v>
      </c>
      <c r="G5495" t="n">
        <v>2.73</v>
      </c>
      <c r="H5495" t="n">
        <v>1</v>
      </c>
      <c r="I5495" t="n">
        <v>7</v>
      </c>
      <c r="J5495" t="n">
        <v>1</v>
      </c>
      <c r="K5495" t="n">
        <v>0</v>
      </c>
      <c r="L5495" t="n">
        <v>104251</v>
      </c>
      <c r="M5495" t="n">
        <v>139000</v>
      </c>
      <c r="N5495" t="n">
        <v>91</v>
      </c>
      <c r="O5495" t="n">
        <v>0.91</v>
      </c>
      <c r="P5495" t="n">
        <v>1</v>
      </c>
      <c r="Q5495" t="n">
        <v>0.37</v>
      </c>
      <c r="R5495" t="n">
        <v>2</v>
      </c>
      <c r="S5495" t="n">
        <v>40476.8</v>
      </c>
      <c r="T5495" t="n">
        <v>19</v>
      </c>
      <c r="U5495" t="n">
        <v>20</v>
      </c>
      <c r="V5495" t="n">
        <v>30</v>
      </c>
      <c r="W5495" t="n">
        <v>9</v>
      </c>
      <c r="X5495" t="n">
        <v>34.34065934065934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11196</v>
      </c>
      <c r="AG5495" t="n">
        <v>54</v>
      </c>
      <c r="AH5495" t="inlineStr">
        <is>
          <t>PT. MIRANTI ADILLHA - PPN (PDG)</t>
        </is>
      </c>
      <c r="AI5495" t="n">
        <v>54</v>
      </c>
      <c r="AJ5495" t="inlineStr">
        <is>
          <t>SOMETHINC</t>
        </is>
      </c>
      <c r="AK5495" t="n">
        <v>21</v>
      </c>
      <c r="AL5495" t="inlineStr">
        <is>
          <t>Miss Glam Damar</t>
        </is>
      </c>
      <c r="AM5495" t="n">
        <v>2</v>
      </c>
      <c r="AN5495" t="n">
        <v>500000</v>
      </c>
      <c r="AO5495" t="n">
        <v>0</v>
      </c>
      <c r="AP5495" t="inlineStr"/>
      <c r="AQ5495" t="inlineStr"/>
    </row>
    <row r="5496">
      <c r="A5496" t="inlineStr">
        <is>
          <t>SOMETHINC</t>
        </is>
      </c>
      <c r="B5496" s="2">
        <f>"11200150726"</f>
        <v/>
      </c>
      <c r="C5496" t="inlineStr">
        <is>
          <t>SOMETHINC Glass-C 12% Vitamin C + GlutaBright + Ferulic Serum - 20ml</t>
        </is>
      </c>
      <c r="D5496" t="inlineStr">
        <is>
          <t>Miss Glam Damar</t>
        </is>
      </c>
      <c r="E5496" t="n">
        <v>3</v>
      </c>
      <c r="F5496" t="n">
        <v>0.1274</v>
      </c>
      <c r="G5496" t="n">
        <v>0.91</v>
      </c>
      <c r="H5496" t="n">
        <v>1</v>
      </c>
      <c r="I5496" t="n">
        <v>7</v>
      </c>
      <c r="J5496" t="n">
        <v>1</v>
      </c>
      <c r="K5496" t="n">
        <v>0</v>
      </c>
      <c r="L5496" t="n">
        <v>149250</v>
      </c>
      <c r="M5496" t="n">
        <v>199000</v>
      </c>
      <c r="N5496" t="n">
        <v>91</v>
      </c>
      <c r="O5496" t="n">
        <v>0.91</v>
      </c>
      <c r="P5496" t="n">
        <v>1</v>
      </c>
      <c r="Q5496" t="n">
        <v>0.07000000000000001</v>
      </c>
      <c r="R5496" t="n">
        <v>2</v>
      </c>
      <c r="S5496" t="n">
        <v>25352.6</v>
      </c>
      <c r="T5496" t="n">
        <v>7</v>
      </c>
      <c r="U5496" t="n">
        <v>8</v>
      </c>
      <c r="V5496" t="n">
        <v>30</v>
      </c>
      <c r="W5496" t="n">
        <v>4</v>
      </c>
      <c r="X5496" t="n">
        <v>23.54788069073783</v>
      </c>
      <c r="Y5496" t="n">
        <v>1</v>
      </c>
      <c r="Z5496" t="n">
        <v>1</v>
      </c>
      <c r="AA5496" t="n">
        <v>0</v>
      </c>
      <c r="AB5496" t="n">
        <v>1</v>
      </c>
      <c r="AC5496" t="n">
        <v>1</v>
      </c>
      <c r="AD5496" t="n">
        <v>0</v>
      </c>
      <c r="AE5496" t="n">
        <v>149250</v>
      </c>
      <c r="AF5496" t="n">
        <v>11196</v>
      </c>
      <c r="AG5496" t="n">
        <v>54</v>
      </c>
      <c r="AH5496" t="inlineStr">
        <is>
          <t>PT. MIRANTI ADILLHA - PPN (PDG)</t>
        </is>
      </c>
      <c r="AI5496" t="n">
        <v>54</v>
      </c>
      <c r="AJ5496" t="inlineStr">
        <is>
          <t>SOMETHINC</t>
        </is>
      </c>
      <c r="AK5496" t="n">
        <v>21</v>
      </c>
      <c r="AL5496" t="inlineStr">
        <is>
          <t>Miss Glam Damar</t>
        </is>
      </c>
      <c r="AM5496" t="n">
        <v>2</v>
      </c>
      <c r="AN5496" t="n">
        <v>500000</v>
      </c>
      <c r="AO5496" t="n">
        <v>0</v>
      </c>
      <c r="AP5496" t="inlineStr"/>
      <c r="AQ5496" t="inlineStr"/>
    </row>
    <row r="5497">
      <c r="A5497" t="inlineStr">
        <is>
          <t>SOMETHINC</t>
        </is>
      </c>
      <c r="B5497" s="2">
        <f>"8997209278502"</f>
        <v/>
      </c>
      <c r="C5497" t="inlineStr">
        <is>
          <t>SOMETHINC Hangover Voluminous Fiber Lash Smudgeproof Mascara 7g</t>
        </is>
      </c>
      <c r="D5497" t="inlineStr">
        <is>
          <t>Miss Glam Damar</t>
        </is>
      </c>
      <c r="E5497" t="n">
        <v>14</v>
      </c>
      <c r="F5497" t="n">
        <v>0.2639</v>
      </c>
      <c r="G5497" t="n">
        <v>2.73</v>
      </c>
      <c r="H5497" t="n">
        <v>1</v>
      </c>
      <c r="I5497" t="n">
        <v>7</v>
      </c>
      <c r="J5497" t="n">
        <v>3</v>
      </c>
      <c r="K5497" t="n">
        <v>0</v>
      </c>
      <c r="L5497" t="n">
        <v>63750</v>
      </c>
      <c r="M5497" t="n">
        <v>85000</v>
      </c>
      <c r="N5497" t="n">
        <v>91</v>
      </c>
      <c r="O5497" t="n">
        <v>0.91</v>
      </c>
      <c r="P5497" t="n">
        <v>1</v>
      </c>
      <c r="Q5497" t="n">
        <v>0.27</v>
      </c>
      <c r="R5497" t="n">
        <v>2</v>
      </c>
      <c r="S5497" t="n">
        <v>22431.5</v>
      </c>
      <c r="T5497" t="n">
        <v>19</v>
      </c>
      <c r="U5497" t="n">
        <v>20</v>
      </c>
      <c r="V5497" t="n">
        <v>30</v>
      </c>
      <c r="W5497" t="n">
        <v>8</v>
      </c>
      <c r="X5497" t="n">
        <v>53.05039787798409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11196</v>
      </c>
      <c r="AG5497" t="n">
        <v>54</v>
      </c>
      <c r="AH5497" t="inlineStr">
        <is>
          <t>PT. MIRANTI ADILLHA - PPN (PDG)</t>
        </is>
      </c>
      <c r="AI5497" t="n">
        <v>54</v>
      </c>
      <c r="AJ5497" t="inlineStr">
        <is>
          <t>SOMETHINC</t>
        </is>
      </c>
      <c r="AK5497" t="n">
        <v>21</v>
      </c>
      <c r="AL5497" t="inlineStr">
        <is>
          <t>Miss Glam Damar</t>
        </is>
      </c>
      <c r="AM5497" t="n">
        <v>2</v>
      </c>
      <c r="AN5497" t="n">
        <v>500000</v>
      </c>
      <c r="AO5497" t="n">
        <v>0</v>
      </c>
      <c r="AP5497" t="inlineStr"/>
      <c r="AQ5497" t="inlineStr"/>
    </row>
    <row r="5498">
      <c r="A5498" t="inlineStr">
        <is>
          <t>SOMETHINC</t>
        </is>
      </c>
      <c r="B5498" s="2">
        <f>"8991752001105"</f>
        <v/>
      </c>
      <c r="C5498" t="inlineStr">
        <is>
          <t>SOMETHINC Holyshield Sunscreen Shake Mist SPF 46Pa++ 50ml</t>
        </is>
      </c>
      <c r="D5498" t="inlineStr">
        <is>
          <t>Miss Glam Damar</t>
        </is>
      </c>
      <c r="E5498" t="n">
        <v>6</v>
      </c>
      <c r="F5498" t="n">
        <v>0.02</v>
      </c>
      <c r="G5498" t="n">
        <v>1</v>
      </c>
      <c r="H5498" t="n">
        <v>1</v>
      </c>
      <c r="I5498" t="n">
        <v>7</v>
      </c>
      <c r="J5498" t="n">
        <v>3</v>
      </c>
      <c r="K5498" t="n">
        <v>0</v>
      </c>
      <c r="L5498" t="n">
        <v>81750</v>
      </c>
      <c r="M5498" t="n">
        <v>109000</v>
      </c>
      <c r="N5498" t="n">
        <v>91</v>
      </c>
      <c r="O5498" t="n">
        <v>0.91</v>
      </c>
      <c r="P5498" t="n">
        <v>0</v>
      </c>
      <c r="Q5498" t="n">
        <v>0.02</v>
      </c>
      <c r="R5498" t="n">
        <v>1</v>
      </c>
      <c r="S5498" t="n">
        <v>2180</v>
      </c>
      <c r="T5498" t="n">
        <v>7</v>
      </c>
      <c r="U5498" t="n">
        <v>8</v>
      </c>
      <c r="V5498" t="n">
        <v>30</v>
      </c>
      <c r="W5498" t="n">
        <v>1</v>
      </c>
      <c r="X5498" t="n">
        <v>300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11196</v>
      </c>
      <c r="AG5498" t="n">
        <v>54</v>
      </c>
      <c r="AH5498" t="inlineStr">
        <is>
          <t>PT. MIRANTI ADILLHA - PPN (PDG)</t>
        </is>
      </c>
      <c r="AI5498" t="n">
        <v>54</v>
      </c>
      <c r="AJ5498" t="inlineStr">
        <is>
          <t>SOMETHINC</t>
        </is>
      </c>
      <c r="AK5498" t="n">
        <v>21</v>
      </c>
      <c r="AL5498" t="inlineStr">
        <is>
          <t>Miss Glam Damar</t>
        </is>
      </c>
      <c r="AM5498" t="n">
        <v>2</v>
      </c>
      <c r="AN5498" t="n">
        <v>500000</v>
      </c>
      <c r="AO5498" t="n">
        <v>0</v>
      </c>
      <c r="AP5498" t="inlineStr"/>
      <c r="AQ5498" t="inlineStr"/>
    </row>
    <row r="5499">
      <c r="A5499" t="inlineStr">
        <is>
          <t>SOMETHINC</t>
        </is>
      </c>
      <c r="B5499" s="2">
        <f>"8991752001839"</f>
        <v/>
      </c>
      <c r="C5499" t="inlineStr">
        <is>
          <t>SOMETHINC Holyshield UV Water Sunscreen Gel Spf 50+ PA++++ 15gr</t>
        </is>
      </c>
      <c r="D5499" t="inlineStr">
        <is>
          <t>Miss Glam Damar</t>
        </is>
      </c>
      <c r="E5499" t="n">
        <v>1</v>
      </c>
      <c r="F5499" t="n">
        <v>0.2184</v>
      </c>
      <c r="G5499" t="n">
        <v>2.73</v>
      </c>
      <c r="H5499" t="n">
        <v>1</v>
      </c>
      <c r="I5499" t="n">
        <v>7</v>
      </c>
      <c r="J5499" t="n">
        <v>3</v>
      </c>
      <c r="K5499" t="n">
        <v>0</v>
      </c>
      <c r="L5499" t="n">
        <v>36750</v>
      </c>
      <c r="M5499" t="n">
        <v>49000</v>
      </c>
      <c r="N5499" t="n">
        <v>91</v>
      </c>
      <c r="O5499" t="n">
        <v>0.91</v>
      </c>
      <c r="P5499" t="n">
        <v>1</v>
      </c>
      <c r="Q5499" t="n">
        <v>0.05</v>
      </c>
      <c r="R5499" t="n">
        <v>1</v>
      </c>
      <c r="S5499" t="n">
        <v>10701.6</v>
      </c>
      <c r="T5499" t="n">
        <v>19</v>
      </c>
      <c r="U5499" t="n">
        <v>20</v>
      </c>
      <c r="V5499" t="n">
        <v>30</v>
      </c>
      <c r="W5499" t="n">
        <v>7</v>
      </c>
      <c r="X5499" t="n">
        <v>4.578754578754578</v>
      </c>
      <c r="Y5499" t="n">
        <v>1</v>
      </c>
      <c r="Z5499" t="n">
        <v>6</v>
      </c>
      <c r="AA5499" t="n">
        <v>1</v>
      </c>
      <c r="AB5499" t="n">
        <v>5</v>
      </c>
      <c r="AC5499" t="n">
        <v>5</v>
      </c>
      <c r="AD5499" t="n">
        <v>36750</v>
      </c>
      <c r="AE5499" t="n">
        <v>183750</v>
      </c>
      <c r="AF5499" t="n">
        <v>11196</v>
      </c>
      <c r="AG5499" t="n">
        <v>54</v>
      </c>
      <c r="AH5499" t="inlineStr">
        <is>
          <t>PT. MIRANTI ADILLHA - PPN (PDG)</t>
        </is>
      </c>
      <c r="AI5499" t="n">
        <v>54</v>
      </c>
      <c r="AJ5499" t="inlineStr">
        <is>
          <t>SOMETHINC</t>
        </is>
      </c>
      <c r="AK5499" t="n">
        <v>21</v>
      </c>
      <c r="AL5499" t="inlineStr">
        <is>
          <t>Miss Glam Damar</t>
        </is>
      </c>
      <c r="AM5499" t="n">
        <v>2</v>
      </c>
      <c r="AN5499" t="n">
        <v>500000</v>
      </c>
      <c r="AO5499" t="n">
        <v>0</v>
      </c>
      <c r="AP5499" t="inlineStr"/>
      <c r="AQ5499" t="inlineStr"/>
    </row>
    <row r="5500">
      <c r="A5500" t="inlineStr">
        <is>
          <t>SOMETHINC</t>
        </is>
      </c>
      <c r="B5500" s="2">
        <f>"8991752001846"</f>
        <v/>
      </c>
      <c r="C5500" t="inlineStr">
        <is>
          <t>SOMETHINC Holyshield UV Water Sunscreen Gel Spf 50+ PA++++ 50gr</t>
        </is>
      </c>
      <c r="D5500" t="inlineStr">
        <is>
          <t>Miss Glam Damar</t>
        </is>
      </c>
      <c r="E5500" t="n">
        <v>7</v>
      </c>
      <c r="F5500" t="n">
        <v>0.2275</v>
      </c>
      <c r="G5500" t="n">
        <v>1.82</v>
      </c>
      <c r="H5500" t="n">
        <v>1</v>
      </c>
      <c r="I5500" t="n">
        <v>7</v>
      </c>
      <c r="J5500" t="n">
        <v>3</v>
      </c>
      <c r="K5500" t="n">
        <v>0</v>
      </c>
      <c r="L5500" t="n">
        <v>93750</v>
      </c>
      <c r="M5500" t="n">
        <v>125000</v>
      </c>
      <c r="N5500" t="n">
        <v>91</v>
      </c>
      <c r="O5500" t="n">
        <v>0.91</v>
      </c>
      <c r="P5500" t="n">
        <v>1</v>
      </c>
      <c r="Q5500" t="n">
        <v>0.36</v>
      </c>
      <c r="R5500" t="n">
        <v>2</v>
      </c>
      <c r="S5500" t="n">
        <v>28437.5</v>
      </c>
      <c r="T5500" t="n">
        <v>13</v>
      </c>
      <c r="U5500" t="n">
        <v>14</v>
      </c>
      <c r="V5500" t="n">
        <v>30</v>
      </c>
      <c r="W5500" t="n">
        <v>7</v>
      </c>
      <c r="X5500" t="n">
        <v>30.76923076923077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11196</v>
      </c>
      <c r="AG5500" t="n">
        <v>54</v>
      </c>
      <c r="AH5500" t="inlineStr">
        <is>
          <t>PT. MIRANTI ADILLHA - PPN (PDG)</t>
        </is>
      </c>
      <c r="AI5500" t="n">
        <v>54</v>
      </c>
      <c r="AJ5500" t="inlineStr">
        <is>
          <t>SOMETHINC</t>
        </is>
      </c>
      <c r="AK5500" t="n">
        <v>21</v>
      </c>
      <c r="AL5500" t="inlineStr">
        <is>
          <t>Miss Glam Damar</t>
        </is>
      </c>
      <c r="AM5500" t="n">
        <v>2</v>
      </c>
      <c r="AN5500" t="n">
        <v>500000</v>
      </c>
      <c r="AO5500" t="n">
        <v>0</v>
      </c>
      <c r="AP5500" t="inlineStr"/>
      <c r="AQ5500" t="inlineStr"/>
    </row>
    <row r="5501">
      <c r="A5501" t="inlineStr">
        <is>
          <t>SOMETHINC</t>
        </is>
      </c>
      <c r="B5501" s="2">
        <f>"8991752002997"</f>
        <v/>
      </c>
      <c r="C5501" t="inlineStr">
        <is>
          <t>SOMETHINC Hooman Breathable UV Cushion Cover Spf 35 PA++++ C01.5 Butter</t>
        </is>
      </c>
      <c r="D5501" t="inlineStr">
        <is>
          <t>Miss Glam Damar</t>
        </is>
      </c>
      <c r="E5501" t="n">
        <v>4</v>
      </c>
      <c r="F5501" t="n">
        <v>0.02</v>
      </c>
      <c r="G5501" t="n">
        <v>1</v>
      </c>
      <c r="H5501" t="n">
        <v>1</v>
      </c>
      <c r="I5501" t="n">
        <v>7</v>
      </c>
      <c r="J5501" t="n">
        <v>3</v>
      </c>
      <c r="K5501" t="n">
        <v>0</v>
      </c>
      <c r="L5501" t="n">
        <v>141750</v>
      </c>
      <c r="M5501" t="n">
        <v>189000</v>
      </c>
      <c r="N5501" t="n">
        <v>91</v>
      </c>
      <c r="O5501" t="n">
        <v>0.91</v>
      </c>
      <c r="P5501" t="n">
        <v>0</v>
      </c>
      <c r="Q5501" t="n">
        <v>0.02</v>
      </c>
      <c r="R5501" t="n">
        <v>1</v>
      </c>
      <c r="S5501" t="n">
        <v>3780</v>
      </c>
      <c r="T5501" t="n">
        <v>7</v>
      </c>
      <c r="U5501" t="n">
        <v>8</v>
      </c>
      <c r="V5501" t="n">
        <v>30</v>
      </c>
      <c r="W5501" t="n">
        <v>1</v>
      </c>
      <c r="X5501" t="n">
        <v>200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11196</v>
      </c>
      <c r="AG5501" t="n">
        <v>54</v>
      </c>
      <c r="AH5501" t="inlineStr">
        <is>
          <t>PT. MIRANTI ADILLHA - PPN (PDG)</t>
        </is>
      </c>
      <c r="AI5501" t="n">
        <v>54</v>
      </c>
      <c r="AJ5501" t="inlineStr">
        <is>
          <t>SOMETHINC</t>
        </is>
      </c>
      <c r="AK5501" t="n">
        <v>21</v>
      </c>
      <c r="AL5501" t="inlineStr">
        <is>
          <t>Miss Glam Damar</t>
        </is>
      </c>
      <c r="AM5501" t="n">
        <v>2</v>
      </c>
      <c r="AN5501" t="n">
        <v>500000</v>
      </c>
      <c r="AO5501" t="n">
        <v>0</v>
      </c>
      <c r="AP5501" t="inlineStr"/>
      <c r="AQ5501" t="inlineStr"/>
    </row>
    <row r="5502">
      <c r="A5502" t="inlineStr">
        <is>
          <t>SOMETHINC</t>
        </is>
      </c>
      <c r="B5502" s="2">
        <f>"8991752000153"</f>
        <v/>
      </c>
      <c r="C5502" t="inlineStr">
        <is>
          <t>SOMETHINC Hooman Breathable UV Cushion Cover SPF 35PA+++ C01 Perle 15g</t>
        </is>
      </c>
      <c r="D5502" t="inlineStr">
        <is>
          <t>Miss Glam Damar</t>
        </is>
      </c>
      <c r="E5502" t="n">
        <v>1</v>
      </c>
      <c r="F5502" t="n">
        <v>0.03</v>
      </c>
      <c r="G5502" t="n">
        <v>1</v>
      </c>
      <c r="H5502" t="n">
        <v>1</v>
      </c>
      <c r="I5502" t="n">
        <v>7</v>
      </c>
      <c r="J5502" t="n">
        <v>3</v>
      </c>
      <c r="K5502" t="n">
        <v>0</v>
      </c>
      <c r="L5502" t="n">
        <v>141750</v>
      </c>
      <c r="M5502" t="n">
        <v>189000</v>
      </c>
      <c r="N5502" t="n">
        <v>91</v>
      </c>
      <c r="O5502" t="n">
        <v>0.91</v>
      </c>
      <c r="P5502" t="n">
        <v>0</v>
      </c>
      <c r="Q5502" t="n">
        <v>0.03</v>
      </c>
      <c r="R5502" t="n">
        <v>1</v>
      </c>
      <c r="S5502" t="n">
        <v>5670</v>
      </c>
      <c r="T5502" t="n">
        <v>7</v>
      </c>
      <c r="U5502" t="n">
        <v>8</v>
      </c>
      <c r="V5502" t="n">
        <v>30</v>
      </c>
      <c r="W5502" t="n">
        <v>1</v>
      </c>
      <c r="X5502" t="n">
        <v>33.33333333333334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11196</v>
      </c>
      <c r="AG5502" t="n">
        <v>54</v>
      </c>
      <c r="AH5502" t="inlineStr">
        <is>
          <t>PT. MIRANTI ADILLHA - PPN (PDG)</t>
        </is>
      </c>
      <c r="AI5502" t="n">
        <v>54</v>
      </c>
      <c r="AJ5502" t="inlineStr">
        <is>
          <t>SOMETHINC</t>
        </is>
      </c>
      <c r="AK5502" t="n">
        <v>21</v>
      </c>
      <c r="AL5502" t="inlineStr">
        <is>
          <t>Miss Glam Damar</t>
        </is>
      </c>
      <c r="AM5502" t="n">
        <v>2</v>
      </c>
      <c r="AN5502" t="n">
        <v>500000</v>
      </c>
      <c r="AO5502" t="n">
        <v>0</v>
      </c>
      <c r="AP5502" t="inlineStr"/>
      <c r="AQ5502" t="inlineStr"/>
    </row>
    <row r="5503">
      <c r="A5503" t="inlineStr">
        <is>
          <t>SOMETHINC</t>
        </is>
      </c>
      <c r="B5503" s="2">
        <f>"8991752000313"</f>
        <v/>
      </c>
      <c r="C5503" t="inlineStr">
        <is>
          <t>SOMETHINC Hooman Breathable UV Cushion Cover SPF 35PA+++ N01 Nina 15g</t>
        </is>
      </c>
      <c r="D5503" t="inlineStr">
        <is>
          <t>Miss Glam Damar</t>
        </is>
      </c>
      <c r="E5503" t="n">
        <v>6</v>
      </c>
      <c r="F5503" t="n">
        <v>0.04550000000000001</v>
      </c>
      <c r="G5503" t="n">
        <v>0.91</v>
      </c>
      <c r="H5503" t="n">
        <v>1</v>
      </c>
      <c r="I5503" t="n">
        <v>7</v>
      </c>
      <c r="J5503" t="n">
        <v>3</v>
      </c>
      <c r="K5503" t="n">
        <v>0</v>
      </c>
      <c r="L5503" t="n">
        <v>141750</v>
      </c>
      <c r="M5503" t="n">
        <v>189000</v>
      </c>
      <c r="N5503" t="n">
        <v>91</v>
      </c>
      <c r="O5503" t="n">
        <v>0.91</v>
      </c>
      <c r="P5503" t="n">
        <v>1</v>
      </c>
      <c r="Q5503" t="n">
        <v>0.07000000000000001</v>
      </c>
      <c r="R5503" t="n">
        <v>1</v>
      </c>
      <c r="S5503" t="n">
        <v>8599.500000000002</v>
      </c>
      <c r="T5503" t="n">
        <v>7</v>
      </c>
      <c r="U5503" t="n">
        <v>8</v>
      </c>
      <c r="V5503" t="n">
        <v>30</v>
      </c>
      <c r="W5503" t="n">
        <v>2</v>
      </c>
      <c r="X5503" t="n">
        <v>131.8681318681319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11196</v>
      </c>
      <c r="AG5503" t="n">
        <v>54</v>
      </c>
      <c r="AH5503" t="inlineStr">
        <is>
          <t>PT. MIRANTI ADILLHA - PPN (PDG)</t>
        </is>
      </c>
      <c r="AI5503" t="n">
        <v>54</v>
      </c>
      <c r="AJ5503" t="inlineStr">
        <is>
          <t>SOMETHINC</t>
        </is>
      </c>
      <c r="AK5503" t="n">
        <v>21</v>
      </c>
      <c r="AL5503" t="inlineStr">
        <is>
          <t>Miss Glam Damar</t>
        </is>
      </c>
      <c r="AM5503" t="n">
        <v>2</v>
      </c>
      <c r="AN5503" t="n">
        <v>500000</v>
      </c>
      <c r="AO5503" t="n">
        <v>0</v>
      </c>
      <c r="AP5503" t="inlineStr"/>
      <c r="AQ5503" t="inlineStr"/>
    </row>
    <row r="5504">
      <c r="A5504" t="inlineStr">
        <is>
          <t>SOMETHINC</t>
        </is>
      </c>
      <c r="B5504" s="2">
        <f>"8991752006872"</f>
        <v/>
      </c>
      <c r="C5504" t="inlineStr">
        <is>
          <t>SOMETHINC Hooman Breathable UV Cushion Cover SPF35++++ - C00 Cotton 15gr</t>
        </is>
      </c>
      <c r="D5504" t="inlineStr">
        <is>
          <t>Miss Glam Damar</t>
        </is>
      </c>
      <c r="E5504" t="n">
        <v>3</v>
      </c>
      <c r="F5504" t="n">
        <v>0.02</v>
      </c>
      <c r="G5504" t="n">
        <v>1</v>
      </c>
      <c r="H5504" t="n">
        <v>1</v>
      </c>
      <c r="I5504" t="n">
        <v>7</v>
      </c>
      <c r="J5504" t="n">
        <v>3</v>
      </c>
      <c r="K5504" t="n">
        <v>0</v>
      </c>
      <c r="L5504" t="n">
        <v>141750</v>
      </c>
      <c r="M5504" t="n">
        <v>189000</v>
      </c>
      <c r="N5504" t="n">
        <v>91</v>
      </c>
      <c r="O5504" t="n">
        <v>0.91</v>
      </c>
      <c r="P5504" t="n">
        <v>0</v>
      </c>
      <c r="Q5504" t="n">
        <v>0.02</v>
      </c>
      <c r="R5504" t="n">
        <v>1</v>
      </c>
      <c r="S5504" t="n">
        <v>3780</v>
      </c>
      <c r="T5504" t="n">
        <v>7</v>
      </c>
      <c r="U5504" t="n">
        <v>8</v>
      </c>
      <c r="V5504" t="n">
        <v>30</v>
      </c>
      <c r="W5504" t="n">
        <v>1</v>
      </c>
      <c r="X5504" t="n">
        <v>150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11196</v>
      </c>
      <c r="AG5504" t="n">
        <v>54</v>
      </c>
      <c r="AH5504" t="inlineStr">
        <is>
          <t>PT. MIRANTI ADILLHA - PPN (PDG)</t>
        </is>
      </c>
      <c r="AI5504" t="n">
        <v>54</v>
      </c>
      <c r="AJ5504" t="inlineStr">
        <is>
          <t>SOMETHINC</t>
        </is>
      </c>
      <c r="AK5504" t="n">
        <v>21</v>
      </c>
      <c r="AL5504" t="inlineStr">
        <is>
          <t>Miss Glam Damar</t>
        </is>
      </c>
      <c r="AM5504" t="n">
        <v>2</v>
      </c>
      <c r="AN5504" t="n">
        <v>500000</v>
      </c>
      <c r="AO5504" t="n">
        <v>0</v>
      </c>
      <c r="AP5504" t="inlineStr"/>
      <c r="AQ5504" t="inlineStr"/>
    </row>
    <row r="5505">
      <c r="A5505" t="inlineStr">
        <is>
          <t>SOMETHINC</t>
        </is>
      </c>
      <c r="B5505" s="2">
        <f>"8991752006902"</f>
        <v/>
      </c>
      <c r="C5505" t="inlineStr">
        <is>
          <t>SOMETHINC Hooman Breathable UV Cushion Cover SPF35++++ - W01.5 Cashew (Refill) 15gr</t>
        </is>
      </c>
      <c r="D5505" t="inlineStr">
        <is>
          <t>Miss Glam Damar</t>
        </is>
      </c>
      <c r="E5505" t="n">
        <v>2</v>
      </c>
      <c r="F5505" t="n">
        <v>0.0182</v>
      </c>
      <c r="G5505" t="n">
        <v>0.91</v>
      </c>
      <c r="H5505" t="n">
        <v>1</v>
      </c>
      <c r="I5505" t="n">
        <v>7</v>
      </c>
      <c r="J5505" t="n">
        <v>3</v>
      </c>
      <c r="K5505" t="n">
        <v>0</v>
      </c>
      <c r="L5505" t="n">
        <v>101251</v>
      </c>
      <c r="M5505" t="n">
        <v>135000</v>
      </c>
      <c r="N5505" t="n">
        <v>91</v>
      </c>
      <c r="O5505" t="n">
        <v>0.91</v>
      </c>
      <c r="P5505" t="n">
        <v>1</v>
      </c>
      <c r="Q5505" t="n">
        <v>0.02</v>
      </c>
      <c r="R5505" t="n">
        <v>1</v>
      </c>
      <c r="S5505" t="n">
        <v>2457</v>
      </c>
      <c r="T5505" t="n">
        <v>7</v>
      </c>
      <c r="U5505" t="n">
        <v>8</v>
      </c>
      <c r="V5505" t="n">
        <v>30</v>
      </c>
      <c r="W5505" t="n">
        <v>1</v>
      </c>
      <c r="X5505" t="n">
        <v>109.8901098901099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11196</v>
      </c>
      <c r="AG5505" t="n">
        <v>54</v>
      </c>
      <c r="AH5505" t="inlineStr">
        <is>
          <t>PT. MIRANTI ADILLHA - PPN (PDG)</t>
        </is>
      </c>
      <c r="AI5505" t="n">
        <v>54</v>
      </c>
      <c r="AJ5505" t="inlineStr">
        <is>
          <t>SOMETHINC</t>
        </is>
      </c>
      <c r="AK5505" t="n">
        <v>21</v>
      </c>
      <c r="AL5505" t="inlineStr">
        <is>
          <t>Miss Glam Damar</t>
        </is>
      </c>
      <c r="AM5505" t="n">
        <v>2</v>
      </c>
      <c r="AN5505" t="n">
        <v>500000</v>
      </c>
      <c r="AO5505" t="n">
        <v>0</v>
      </c>
      <c r="AP5505" t="inlineStr"/>
      <c r="AQ5505" t="inlineStr"/>
    </row>
    <row r="5506">
      <c r="A5506" t="inlineStr">
        <is>
          <t>SOMETHINC</t>
        </is>
      </c>
      <c r="B5506" s="2">
        <f>"8991752003000"</f>
        <v/>
      </c>
      <c r="C5506" t="inlineStr">
        <is>
          <t>SOMETHINC Hooman Breathable UV Cushion Refill C01.5 Butter 15gr</t>
        </is>
      </c>
      <c r="D5506" t="inlineStr">
        <is>
          <t>Miss Glam Damar</t>
        </is>
      </c>
      <c r="E5506" t="n">
        <v>2</v>
      </c>
      <c r="F5506" t="n">
        <v>0.06370000000000001</v>
      </c>
      <c r="G5506" t="n">
        <v>1.82</v>
      </c>
      <c r="H5506" t="n">
        <v>1</v>
      </c>
      <c r="I5506" t="n">
        <v>7</v>
      </c>
      <c r="J5506" t="n">
        <v>3</v>
      </c>
      <c r="K5506" t="n">
        <v>0</v>
      </c>
      <c r="L5506" t="n">
        <v>101250</v>
      </c>
      <c r="M5506" t="n">
        <v>135000</v>
      </c>
      <c r="N5506" t="n">
        <v>91</v>
      </c>
      <c r="O5506" t="n">
        <v>0.91</v>
      </c>
      <c r="P5506" t="n">
        <v>1</v>
      </c>
      <c r="Q5506" t="n">
        <v>0.03</v>
      </c>
      <c r="R5506" t="n">
        <v>1</v>
      </c>
      <c r="S5506" t="n">
        <v>8599.5</v>
      </c>
      <c r="T5506" t="n">
        <v>13</v>
      </c>
      <c r="U5506" t="n">
        <v>14</v>
      </c>
      <c r="V5506" t="n">
        <v>30</v>
      </c>
      <c r="W5506" t="n">
        <v>2</v>
      </c>
      <c r="X5506" t="n">
        <v>31.39717425431711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11196</v>
      </c>
      <c r="AG5506" t="n">
        <v>54</v>
      </c>
      <c r="AH5506" t="inlineStr">
        <is>
          <t>PT. MIRANTI ADILLHA - PPN (PDG)</t>
        </is>
      </c>
      <c r="AI5506" t="n">
        <v>54</v>
      </c>
      <c r="AJ5506" t="inlineStr">
        <is>
          <t>SOMETHINC</t>
        </is>
      </c>
      <c r="AK5506" t="n">
        <v>21</v>
      </c>
      <c r="AL5506" t="inlineStr">
        <is>
          <t>Miss Glam Damar</t>
        </is>
      </c>
      <c r="AM5506" t="n">
        <v>2</v>
      </c>
      <c r="AN5506" t="n">
        <v>500000</v>
      </c>
      <c r="AO5506" t="n">
        <v>0</v>
      </c>
      <c r="AP5506" t="inlineStr"/>
      <c r="AQ5506" t="inlineStr"/>
    </row>
    <row r="5507">
      <c r="A5507" t="inlineStr">
        <is>
          <t>SOMETHINC</t>
        </is>
      </c>
      <c r="B5507" s="2">
        <f>"8991752003024"</f>
        <v/>
      </c>
      <c r="C5507" t="inlineStr">
        <is>
          <t>SOMETHINC Hooman Breathable UV Cushion Refill N02.5 Linen 15gr</t>
        </is>
      </c>
      <c r="D5507" t="inlineStr">
        <is>
          <t>Miss Glam Damar</t>
        </is>
      </c>
      <c r="E5507" t="n">
        <v>2</v>
      </c>
      <c r="F5507" t="n">
        <v>0.0182</v>
      </c>
      <c r="G5507" t="n">
        <v>0.91</v>
      </c>
      <c r="H5507" t="n">
        <v>1</v>
      </c>
      <c r="I5507" t="n">
        <v>7</v>
      </c>
      <c r="J5507" t="n">
        <v>3</v>
      </c>
      <c r="K5507" t="n">
        <v>0</v>
      </c>
      <c r="L5507" t="n">
        <v>101250</v>
      </c>
      <c r="M5507" t="n">
        <v>135000</v>
      </c>
      <c r="N5507" t="n">
        <v>91</v>
      </c>
      <c r="O5507" t="n">
        <v>0.91</v>
      </c>
      <c r="P5507" t="n">
        <v>1</v>
      </c>
      <c r="Q5507" t="n">
        <v>0.02</v>
      </c>
      <c r="R5507" t="n">
        <v>1</v>
      </c>
      <c r="S5507" t="n">
        <v>2457</v>
      </c>
      <c r="T5507" t="n">
        <v>7</v>
      </c>
      <c r="U5507" t="n">
        <v>8</v>
      </c>
      <c r="V5507" t="n">
        <v>30</v>
      </c>
      <c r="W5507" t="n">
        <v>1</v>
      </c>
      <c r="X5507" t="n">
        <v>109.8901098901099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11196</v>
      </c>
      <c r="AG5507" t="n">
        <v>54</v>
      </c>
      <c r="AH5507" t="inlineStr">
        <is>
          <t>PT. MIRANTI ADILLHA - PPN (PDG)</t>
        </is>
      </c>
      <c r="AI5507" t="n">
        <v>54</v>
      </c>
      <c r="AJ5507" t="inlineStr">
        <is>
          <t>SOMETHINC</t>
        </is>
      </c>
      <c r="AK5507" t="n">
        <v>21</v>
      </c>
      <c r="AL5507" t="inlineStr">
        <is>
          <t>Miss Glam Damar</t>
        </is>
      </c>
      <c r="AM5507" t="n">
        <v>2</v>
      </c>
      <c r="AN5507" t="n">
        <v>500000</v>
      </c>
      <c r="AO5507" t="n">
        <v>0</v>
      </c>
      <c r="AP5507" t="inlineStr"/>
      <c r="AQ5507" t="inlineStr"/>
    </row>
    <row r="5508">
      <c r="A5508" t="inlineStr">
        <is>
          <t>SOMETHINC</t>
        </is>
      </c>
      <c r="B5508" s="2">
        <f>"8991752004489"</f>
        <v/>
      </c>
      <c r="C5508" t="inlineStr">
        <is>
          <t>SOMETHINC Hooman Under Control HD Blur Loose Powder Fair Light 13gr</t>
        </is>
      </c>
      <c r="D5508" t="inlineStr">
        <is>
          <t>Miss Glam Damar</t>
        </is>
      </c>
      <c r="E5508" t="n">
        <v>11</v>
      </c>
      <c r="F5508" t="n">
        <v>0.1547</v>
      </c>
      <c r="G5508" t="n">
        <v>1.82</v>
      </c>
      <c r="H5508" t="n">
        <v>1</v>
      </c>
      <c r="I5508" t="n">
        <v>7</v>
      </c>
      <c r="J5508" t="n">
        <v>3</v>
      </c>
      <c r="K5508" t="n">
        <v>0</v>
      </c>
      <c r="L5508" t="n">
        <v>104250</v>
      </c>
      <c r="M5508" t="n">
        <v>139000</v>
      </c>
      <c r="N5508" t="n">
        <v>91</v>
      </c>
      <c r="O5508" t="n">
        <v>0.91</v>
      </c>
      <c r="P5508" t="n">
        <v>1</v>
      </c>
      <c r="Q5508" t="n">
        <v>0.31</v>
      </c>
      <c r="R5508" t="n">
        <v>1</v>
      </c>
      <c r="S5508" t="n">
        <v>21503.3</v>
      </c>
      <c r="T5508" t="n">
        <v>13</v>
      </c>
      <c r="U5508" t="n">
        <v>14</v>
      </c>
      <c r="V5508" t="n">
        <v>30</v>
      </c>
      <c r="W5508" t="n">
        <v>5</v>
      </c>
      <c r="X5508" t="n">
        <v>71.10536522301229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11196</v>
      </c>
      <c r="AG5508" t="n">
        <v>54</v>
      </c>
      <c r="AH5508" t="inlineStr">
        <is>
          <t>PT. MIRANTI ADILLHA - PPN (PDG)</t>
        </is>
      </c>
      <c r="AI5508" t="n">
        <v>54</v>
      </c>
      <c r="AJ5508" t="inlineStr">
        <is>
          <t>SOMETHINC</t>
        </is>
      </c>
      <c r="AK5508" t="n">
        <v>21</v>
      </c>
      <c r="AL5508" t="inlineStr">
        <is>
          <t>Miss Glam Damar</t>
        </is>
      </c>
      <c r="AM5508" t="n">
        <v>2</v>
      </c>
      <c r="AN5508" t="n">
        <v>500000</v>
      </c>
      <c r="AO5508" t="n">
        <v>0</v>
      </c>
      <c r="AP5508" t="inlineStr"/>
      <c r="AQ5508" t="inlineStr"/>
    </row>
    <row r="5509">
      <c r="A5509" t="inlineStr">
        <is>
          <t>SOMETHINC</t>
        </is>
      </c>
      <c r="B5509" s="2">
        <f>"8991752004663"</f>
        <v/>
      </c>
      <c r="C5509" t="inlineStr">
        <is>
          <t>SOMETHINC Hooman Under Control HD Blur Loose Powder Light 13gr</t>
        </is>
      </c>
      <c r="D5509" t="inlineStr">
        <is>
          <t>Miss Glam Damar</t>
        </is>
      </c>
      <c r="E5509" t="n">
        <v>19</v>
      </c>
      <c r="F5509" t="n">
        <v>0.4277</v>
      </c>
      <c r="G5509" t="n">
        <v>2.73</v>
      </c>
      <c r="H5509" t="n">
        <v>1</v>
      </c>
      <c r="I5509" t="n">
        <v>7</v>
      </c>
      <c r="J5509" t="n">
        <v>3</v>
      </c>
      <c r="K5509" t="n">
        <v>0</v>
      </c>
      <c r="L5509" t="n">
        <v>104250</v>
      </c>
      <c r="M5509" t="n">
        <v>139000</v>
      </c>
      <c r="N5509" t="n">
        <v>91</v>
      </c>
      <c r="O5509" t="n">
        <v>0.91</v>
      </c>
      <c r="P5509" t="n">
        <v>1</v>
      </c>
      <c r="Q5509" t="n">
        <v>0.64</v>
      </c>
      <c r="R5509" t="n">
        <v>3</v>
      </c>
      <c r="S5509" t="n">
        <v>59450.3</v>
      </c>
      <c r="T5509" t="n">
        <v>19</v>
      </c>
      <c r="U5509" t="n">
        <v>20</v>
      </c>
      <c r="V5509" t="n">
        <v>30</v>
      </c>
      <c r="W5509" t="n">
        <v>13</v>
      </c>
      <c r="X5509" t="n">
        <v>44.42366144493804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11196</v>
      </c>
      <c r="AG5509" t="n">
        <v>54</v>
      </c>
      <c r="AH5509" t="inlineStr">
        <is>
          <t>PT. MIRANTI ADILLHA - PPN (PDG)</t>
        </is>
      </c>
      <c r="AI5509" t="n">
        <v>54</v>
      </c>
      <c r="AJ5509" t="inlineStr">
        <is>
          <t>SOMETHINC</t>
        </is>
      </c>
      <c r="AK5509" t="n">
        <v>21</v>
      </c>
      <c r="AL5509" t="inlineStr">
        <is>
          <t>Miss Glam Damar</t>
        </is>
      </c>
      <c r="AM5509" t="n">
        <v>2</v>
      </c>
      <c r="AN5509" t="n">
        <v>500000</v>
      </c>
      <c r="AO5509" t="n">
        <v>0</v>
      </c>
      <c r="AP5509" t="inlineStr"/>
      <c r="AQ5509" t="inlineStr"/>
    </row>
    <row r="5510">
      <c r="A5510" t="inlineStr">
        <is>
          <t>SOMETHINC</t>
        </is>
      </c>
      <c r="B5510" s="2">
        <f>"8991752004564"</f>
        <v/>
      </c>
      <c r="C5510" t="inlineStr">
        <is>
          <t>SOMETHINC Hooman Under Control HD Blur Loose Powder Light Medium 13gr</t>
        </is>
      </c>
      <c r="D5510" t="inlineStr">
        <is>
          <t>Miss Glam Damar</t>
        </is>
      </c>
      <c r="E5510" t="n">
        <v>2</v>
      </c>
      <c r="F5510" t="n">
        <v>0.1274</v>
      </c>
      <c r="G5510" t="n">
        <v>0.91</v>
      </c>
      <c r="H5510" t="n">
        <v>1</v>
      </c>
      <c r="I5510" t="n">
        <v>7</v>
      </c>
      <c r="J5510" t="n">
        <v>3</v>
      </c>
      <c r="K5510" t="n">
        <v>0</v>
      </c>
      <c r="L5510" t="n">
        <v>104250</v>
      </c>
      <c r="M5510" t="n">
        <v>139000</v>
      </c>
      <c r="N5510" t="n">
        <v>91</v>
      </c>
      <c r="O5510" t="n">
        <v>0.91</v>
      </c>
      <c r="P5510" t="n">
        <v>1</v>
      </c>
      <c r="Q5510" t="n">
        <v>0.02</v>
      </c>
      <c r="R5510" t="n">
        <v>1</v>
      </c>
      <c r="S5510" t="n">
        <v>17708.6</v>
      </c>
      <c r="T5510" t="n">
        <v>7</v>
      </c>
      <c r="U5510" t="n">
        <v>8</v>
      </c>
      <c r="V5510" t="n">
        <v>30</v>
      </c>
      <c r="W5510" t="n">
        <v>4</v>
      </c>
      <c r="X5510" t="n">
        <v>15.69858712715855</v>
      </c>
      <c r="Y5510" t="n">
        <v>1</v>
      </c>
      <c r="Z5510" t="n">
        <v>2</v>
      </c>
      <c r="AA5510" t="n">
        <v>0</v>
      </c>
      <c r="AB5510" t="n">
        <v>2</v>
      </c>
      <c r="AC5510" t="n">
        <v>3</v>
      </c>
      <c r="AD5510" t="n">
        <v>0</v>
      </c>
      <c r="AE5510" t="n">
        <v>312750</v>
      </c>
      <c r="AF5510" t="n">
        <v>11196</v>
      </c>
      <c r="AG5510" t="n">
        <v>54</v>
      </c>
      <c r="AH5510" t="inlineStr">
        <is>
          <t>PT. MIRANTI ADILLHA - PPN (PDG)</t>
        </is>
      </c>
      <c r="AI5510" t="n">
        <v>54</v>
      </c>
      <c r="AJ5510" t="inlineStr">
        <is>
          <t>SOMETHINC</t>
        </is>
      </c>
      <c r="AK5510" t="n">
        <v>21</v>
      </c>
      <c r="AL5510" t="inlineStr">
        <is>
          <t>Miss Glam Damar</t>
        </is>
      </c>
      <c r="AM5510" t="n">
        <v>2</v>
      </c>
      <c r="AN5510" t="n">
        <v>500000</v>
      </c>
      <c r="AO5510" t="n">
        <v>0</v>
      </c>
      <c r="AP5510" t="inlineStr"/>
      <c r="AQ5510" t="inlineStr"/>
    </row>
    <row r="5511">
      <c r="A5511" t="inlineStr">
        <is>
          <t>SOMETHINC</t>
        </is>
      </c>
      <c r="B5511" s="2">
        <f>"8991752004625"</f>
        <v/>
      </c>
      <c r="C5511" t="inlineStr">
        <is>
          <t>SOMETHINC Hooman Under Control HD Blur Loose Powder Medium 13gr</t>
        </is>
      </c>
      <c r="D5511" t="inlineStr">
        <is>
          <t>Miss Glam Damar</t>
        </is>
      </c>
      <c r="E5511" t="n">
        <v>5</v>
      </c>
      <c r="F5511" t="n">
        <v>0.2639</v>
      </c>
      <c r="G5511" t="n">
        <v>1.82</v>
      </c>
      <c r="H5511" t="n">
        <v>1</v>
      </c>
      <c r="I5511" t="n">
        <v>7</v>
      </c>
      <c r="J5511" t="n">
        <v>3</v>
      </c>
      <c r="K5511" t="n">
        <v>0</v>
      </c>
      <c r="L5511" t="n">
        <v>104250</v>
      </c>
      <c r="M5511" t="n">
        <v>139000</v>
      </c>
      <c r="N5511" t="n">
        <v>91</v>
      </c>
      <c r="O5511" t="n">
        <v>0.91</v>
      </c>
      <c r="P5511" t="n">
        <v>1</v>
      </c>
      <c r="Q5511" t="n">
        <v>0.17</v>
      </c>
      <c r="R5511" t="n">
        <v>1</v>
      </c>
      <c r="S5511" t="n">
        <v>36682.1</v>
      </c>
      <c r="T5511" t="n">
        <v>13</v>
      </c>
      <c r="U5511" t="n">
        <v>14</v>
      </c>
      <c r="V5511" t="n">
        <v>30</v>
      </c>
      <c r="W5511" t="n">
        <v>8</v>
      </c>
      <c r="X5511" t="n">
        <v>18.9465706707086</v>
      </c>
      <c r="Y5511" t="n">
        <v>1</v>
      </c>
      <c r="Z5511" t="n">
        <v>3</v>
      </c>
      <c r="AA5511" t="n">
        <v>0</v>
      </c>
      <c r="AB5511" t="n">
        <v>3</v>
      </c>
      <c r="AC5511" t="n">
        <v>3</v>
      </c>
      <c r="AD5511" t="n">
        <v>0</v>
      </c>
      <c r="AE5511" t="n">
        <v>312750</v>
      </c>
      <c r="AF5511" t="n">
        <v>11196</v>
      </c>
      <c r="AG5511" t="n">
        <v>54</v>
      </c>
      <c r="AH5511" t="inlineStr">
        <is>
          <t>PT. MIRANTI ADILLHA - PPN (PDG)</t>
        </is>
      </c>
      <c r="AI5511" t="n">
        <v>54</v>
      </c>
      <c r="AJ5511" t="inlineStr">
        <is>
          <t>SOMETHINC</t>
        </is>
      </c>
      <c r="AK5511" t="n">
        <v>21</v>
      </c>
      <c r="AL5511" t="inlineStr">
        <is>
          <t>Miss Glam Damar</t>
        </is>
      </c>
      <c r="AM5511" t="n">
        <v>2</v>
      </c>
      <c r="AN5511" t="n">
        <v>500000</v>
      </c>
      <c r="AO5511" t="n">
        <v>0</v>
      </c>
      <c r="AP5511" t="inlineStr"/>
      <c r="AQ5511" t="inlineStr"/>
    </row>
    <row r="5512">
      <c r="A5512" t="inlineStr">
        <is>
          <t>SOMETHINC</t>
        </is>
      </c>
      <c r="B5512" s="2">
        <f>"8991752004526"</f>
        <v/>
      </c>
      <c r="C5512" t="inlineStr">
        <is>
          <t>SOMETHINC Hooman Under Control Hd Blur Loose Powder Medium Sand 13gr</t>
        </is>
      </c>
      <c r="D5512" t="inlineStr">
        <is>
          <t>Miss Glam Damar</t>
        </is>
      </c>
      <c r="E5512" t="n">
        <v>3</v>
      </c>
      <c r="F5512" t="n">
        <v>0.09100000000000001</v>
      </c>
      <c r="G5512" t="n">
        <v>0.91</v>
      </c>
      <c r="H5512" t="n">
        <v>1</v>
      </c>
      <c r="I5512" t="n">
        <v>7</v>
      </c>
      <c r="J5512" t="n">
        <v>3</v>
      </c>
      <c r="K5512" t="n">
        <v>0</v>
      </c>
      <c r="L5512" t="n">
        <v>104250</v>
      </c>
      <c r="M5512" t="n">
        <v>139000</v>
      </c>
      <c r="N5512" t="n">
        <v>91</v>
      </c>
      <c r="O5512" t="n">
        <v>0.91</v>
      </c>
      <c r="P5512" t="n">
        <v>1</v>
      </c>
      <c r="Q5512" t="n">
        <v>0.05</v>
      </c>
      <c r="R5512" t="n">
        <v>1</v>
      </c>
      <c r="S5512" t="n">
        <v>12649</v>
      </c>
      <c r="T5512" t="n">
        <v>7</v>
      </c>
      <c r="U5512" t="n">
        <v>8</v>
      </c>
      <c r="V5512" t="n">
        <v>30</v>
      </c>
      <c r="W5512" t="n">
        <v>3</v>
      </c>
      <c r="X5512" t="n">
        <v>32.96703296703296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11196</v>
      </c>
      <c r="AG5512" t="n">
        <v>54</v>
      </c>
      <c r="AH5512" t="inlineStr">
        <is>
          <t>PT. MIRANTI ADILLHA - PPN (PDG)</t>
        </is>
      </c>
      <c r="AI5512" t="n">
        <v>54</v>
      </c>
      <c r="AJ5512" t="inlineStr">
        <is>
          <t>SOMETHINC</t>
        </is>
      </c>
      <c r="AK5512" t="n">
        <v>21</v>
      </c>
      <c r="AL5512" t="inlineStr">
        <is>
          <t>Miss Glam Damar</t>
        </is>
      </c>
      <c r="AM5512" t="n">
        <v>2</v>
      </c>
      <c r="AN5512" t="n">
        <v>500000</v>
      </c>
      <c r="AO5512" t="n">
        <v>0</v>
      </c>
      <c r="AP5512" t="inlineStr"/>
      <c r="AQ5512" t="inlineStr"/>
    </row>
    <row r="5513">
      <c r="A5513" t="inlineStr">
        <is>
          <t>SOMETHINC</t>
        </is>
      </c>
      <c r="B5513" s="2">
        <f>"8991752004649"</f>
        <v/>
      </c>
      <c r="C5513" t="inlineStr">
        <is>
          <t>SOMETHINC Hooman Under Control HD Blur Loose Powder Neutral 13gr</t>
        </is>
      </c>
      <c r="D5513" t="inlineStr">
        <is>
          <t>Miss Glam Damar</t>
        </is>
      </c>
      <c r="E5513" t="n">
        <v>21</v>
      </c>
      <c r="F5513" t="n">
        <v>0.5733</v>
      </c>
      <c r="G5513" t="n">
        <v>4.55</v>
      </c>
      <c r="H5513" t="n">
        <v>1</v>
      </c>
      <c r="I5513" t="n">
        <v>7</v>
      </c>
      <c r="J5513" t="n">
        <v>3</v>
      </c>
      <c r="K5513" t="n">
        <v>0</v>
      </c>
      <c r="L5513" t="n">
        <v>104250</v>
      </c>
      <c r="M5513" t="n">
        <v>139000</v>
      </c>
      <c r="N5513" t="n">
        <v>91</v>
      </c>
      <c r="O5513" t="n">
        <v>0.91</v>
      </c>
      <c r="P5513" t="n">
        <v>1</v>
      </c>
      <c r="Q5513" t="n">
        <v>0.8</v>
      </c>
      <c r="R5513" t="n">
        <v>3</v>
      </c>
      <c r="S5513" t="n">
        <v>79688.70000000001</v>
      </c>
      <c r="T5513" t="n">
        <v>32</v>
      </c>
      <c r="U5513" t="n">
        <v>33</v>
      </c>
      <c r="V5513" t="n">
        <v>30</v>
      </c>
      <c r="W5513" t="n">
        <v>18</v>
      </c>
      <c r="X5513" t="n">
        <v>36.63003663003663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11196</v>
      </c>
      <c r="AG5513" t="n">
        <v>54</v>
      </c>
      <c r="AH5513" t="inlineStr">
        <is>
          <t>PT. MIRANTI ADILLHA - PPN (PDG)</t>
        </is>
      </c>
      <c r="AI5513" t="n">
        <v>54</v>
      </c>
      <c r="AJ5513" t="inlineStr">
        <is>
          <t>SOMETHINC</t>
        </is>
      </c>
      <c r="AK5513" t="n">
        <v>21</v>
      </c>
      <c r="AL5513" t="inlineStr">
        <is>
          <t>Miss Glam Damar</t>
        </is>
      </c>
      <c r="AM5513" t="n">
        <v>2</v>
      </c>
      <c r="AN5513" t="n">
        <v>500000</v>
      </c>
      <c r="AO5513" t="n">
        <v>0</v>
      </c>
      <c r="AP5513" t="inlineStr"/>
      <c r="AQ5513" t="inlineStr"/>
    </row>
    <row r="5514">
      <c r="A5514" t="inlineStr">
        <is>
          <t>SOMETHINC</t>
        </is>
      </c>
      <c r="B5514" s="2">
        <f>"8991752005110"</f>
        <v/>
      </c>
      <c r="C5514" t="inlineStr">
        <is>
          <t>SOMETHINC Hooman Under Control HD Blur Loose Powder Translucent 13gr</t>
        </is>
      </c>
      <c r="D5514" t="inlineStr">
        <is>
          <t>Miss Glam Damar</t>
        </is>
      </c>
      <c r="E5514" t="n">
        <v>24</v>
      </c>
      <c r="F5514" t="n">
        <v>0.5096000000000001</v>
      </c>
      <c r="G5514" t="n">
        <v>2.73</v>
      </c>
      <c r="H5514" t="n">
        <v>1</v>
      </c>
      <c r="I5514" t="n">
        <v>7</v>
      </c>
      <c r="J5514" t="n">
        <v>3</v>
      </c>
      <c r="K5514" t="n">
        <v>0</v>
      </c>
      <c r="L5514" t="n">
        <v>104250</v>
      </c>
      <c r="M5514" t="n">
        <v>139000</v>
      </c>
      <c r="N5514" t="n">
        <v>91</v>
      </c>
      <c r="O5514" t="n">
        <v>0.91</v>
      </c>
      <c r="P5514" t="n">
        <v>1</v>
      </c>
      <c r="Q5514" t="n">
        <v>0.54</v>
      </c>
      <c r="R5514" t="n">
        <v>3</v>
      </c>
      <c r="S5514" t="n">
        <v>70834.40000000001</v>
      </c>
      <c r="T5514" t="n">
        <v>19</v>
      </c>
      <c r="U5514" t="n">
        <v>20</v>
      </c>
      <c r="V5514" t="n">
        <v>30</v>
      </c>
      <c r="W5514" t="n">
        <v>16</v>
      </c>
      <c r="X5514" t="n">
        <v>47.09576138147566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11196</v>
      </c>
      <c r="AG5514" t="n">
        <v>54</v>
      </c>
      <c r="AH5514" t="inlineStr">
        <is>
          <t>PT. MIRANTI ADILLHA - PPN (PDG)</t>
        </is>
      </c>
      <c r="AI5514" t="n">
        <v>54</v>
      </c>
      <c r="AJ5514" t="inlineStr">
        <is>
          <t>SOMETHINC</t>
        </is>
      </c>
      <c r="AK5514" t="n">
        <v>21</v>
      </c>
      <c r="AL5514" t="inlineStr">
        <is>
          <t>Miss Glam Damar</t>
        </is>
      </c>
      <c r="AM5514" t="n">
        <v>2</v>
      </c>
      <c r="AN5514" t="n">
        <v>500000</v>
      </c>
      <c r="AO5514" t="n">
        <v>0</v>
      </c>
      <c r="AP5514" t="inlineStr"/>
      <c r="AQ5514" t="inlineStr"/>
    </row>
    <row r="5515">
      <c r="A5515" t="inlineStr">
        <is>
          <t>SOMETHINC</t>
        </is>
      </c>
      <c r="B5515" s="2">
        <f>"11200150924"</f>
        <v/>
      </c>
      <c r="C5515" t="inlineStr">
        <is>
          <t>SOMETHINC Hyaluronic9+ Advanced + B5 Serum - 20ml (V2)</t>
        </is>
      </c>
      <c r="D5515" t="inlineStr">
        <is>
          <t>Miss Glam Damar</t>
        </is>
      </c>
      <c r="E5515" t="n">
        <v>6</v>
      </c>
      <c r="F5515" t="n">
        <v>0.0182</v>
      </c>
      <c r="G5515" t="n">
        <v>0.91</v>
      </c>
      <c r="H5515" t="n">
        <v>1</v>
      </c>
      <c r="I5515" t="n">
        <v>7</v>
      </c>
      <c r="J5515" t="n">
        <v>1</v>
      </c>
      <c r="K5515" t="n">
        <v>0</v>
      </c>
      <c r="L5515" t="n">
        <v>104250</v>
      </c>
      <c r="M5515" t="n">
        <v>139000</v>
      </c>
      <c r="N5515" t="n">
        <v>91</v>
      </c>
      <c r="O5515" t="n">
        <v>0.91</v>
      </c>
      <c r="P5515" t="n">
        <v>1</v>
      </c>
      <c r="Q5515" t="n">
        <v>0.03</v>
      </c>
      <c r="R5515" t="n">
        <v>1</v>
      </c>
      <c r="S5515" t="n">
        <v>2529.8</v>
      </c>
      <c r="T5515" t="n">
        <v>7</v>
      </c>
      <c r="U5515" t="n">
        <v>8</v>
      </c>
      <c r="V5515" t="n">
        <v>30</v>
      </c>
      <c r="W5515" t="n">
        <v>1</v>
      </c>
      <c r="X5515" t="n">
        <v>329.6703296703296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11196</v>
      </c>
      <c r="AG5515" t="n">
        <v>54</v>
      </c>
      <c r="AH5515" t="inlineStr">
        <is>
          <t>PT. MIRANTI ADILLHA - PPN (PDG)</t>
        </is>
      </c>
      <c r="AI5515" t="n">
        <v>54</v>
      </c>
      <c r="AJ5515" t="inlineStr">
        <is>
          <t>SOMETHINC</t>
        </is>
      </c>
      <c r="AK5515" t="n">
        <v>21</v>
      </c>
      <c r="AL5515" t="inlineStr">
        <is>
          <t>Miss Glam Damar</t>
        </is>
      </c>
      <c r="AM5515" t="n">
        <v>2</v>
      </c>
      <c r="AN5515" t="n">
        <v>500000</v>
      </c>
      <c r="AO5515" t="n">
        <v>0</v>
      </c>
      <c r="AP5515" t="inlineStr"/>
      <c r="AQ5515" t="inlineStr"/>
    </row>
    <row r="5516">
      <c r="A5516" t="inlineStr">
        <is>
          <t>SOMETHINC</t>
        </is>
      </c>
      <c r="B5516" s="2">
        <f>"11200315212"</f>
        <v/>
      </c>
      <c r="C5516" t="inlineStr">
        <is>
          <t>SOMETHINC Level 1% Encapsulated Retinol Serum- 20ml (V2)</t>
        </is>
      </c>
      <c r="D5516" t="inlineStr">
        <is>
          <t>Miss Glam Damar</t>
        </is>
      </c>
      <c r="E5516" t="n">
        <v>7</v>
      </c>
      <c r="F5516" t="n">
        <v>0.1092</v>
      </c>
      <c r="G5516" t="n">
        <v>0.91</v>
      </c>
      <c r="H5516" t="n">
        <v>1</v>
      </c>
      <c r="I5516" t="n">
        <v>7</v>
      </c>
      <c r="J5516" t="n">
        <v>1</v>
      </c>
      <c r="K5516" t="n">
        <v>0</v>
      </c>
      <c r="L5516" t="n">
        <v>126750</v>
      </c>
      <c r="M5516" t="n">
        <v>169000</v>
      </c>
      <c r="N5516" t="n">
        <v>91</v>
      </c>
      <c r="O5516" t="n">
        <v>0.91</v>
      </c>
      <c r="P5516" t="n">
        <v>1</v>
      </c>
      <c r="Q5516" t="n">
        <v>0.12</v>
      </c>
      <c r="R5516" t="n">
        <v>1</v>
      </c>
      <c r="S5516" t="n">
        <v>18454.8</v>
      </c>
      <c r="T5516" t="n">
        <v>7</v>
      </c>
      <c r="U5516" t="n">
        <v>8</v>
      </c>
      <c r="V5516" t="n">
        <v>30</v>
      </c>
      <c r="W5516" t="n">
        <v>4</v>
      </c>
      <c r="X5516" t="n">
        <v>64.1025641025641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11196</v>
      </c>
      <c r="AG5516" t="n">
        <v>54</v>
      </c>
      <c r="AH5516" t="inlineStr">
        <is>
          <t>PT. MIRANTI ADILLHA - PPN (PDG)</t>
        </is>
      </c>
      <c r="AI5516" t="n">
        <v>54</v>
      </c>
      <c r="AJ5516" t="inlineStr">
        <is>
          <t>SOMETHINC</t>
        </is>
      </c>
      <c r="AK5516" t="n">
        <v>21</v>
      </c>
      <c r="AL5516" t="inlineStr">
        <is>
          <t>Miss Glam Damar</t>
        </is>
      </c>
      <c r="AM5516" t="n">
        <v>2</v>
      </c>
      <c r="AN5516" t="n">
        <v>500000</v>
      </c>
      <c r="AO5516" t="n">
        <v>0</v>
      </c>
      <c r="AP5516" t="inlineStr"/>
      <c r="AQ5516" t="inlineStr"/>
    </row>
    <row r="5517">
      <c r="A5517" t="inlineStr">
        <is>
          <t>SOMETHINC</t>
        </is>
      </c>
      <c r="B5517" s="2">
        <f>"8997209270650"</f>
        <v/>
      </c>
      <c r="C5517" t="inlineStr">
        <is>
          <t>SOMETHINC Low PH Gentle Jelly Cleanser 100ml</t>
        </is>
      </c>
      <c r="D5517" t="inlineStr">
        <is>
          <t>Miss Glam Damar</t>
        </is>
      </c>
      <c r="E5517" t="n">
        <v>16</v>
      </c>
      <c r="F5517" t="n">
        <v>0.4914000000000001</v>
      </c>
      <c r="G5517" t="n">
        <v>2.73</v>
      </c>
      <c r="H5517" t="n">
        <v>1</v>
      </c>
      <c r="I5517" t="n">
        <v>7</v>
      </c>
      <c r="J5517" t="n">
        <v>3</v>
      </c>
      <c r="K5517" t="n">
        <v>0</v>
      </c>
      <c r="L5517" t="n">
        <v>84000</v>
      </c>
      <c r="M5517" t="n">
        <v>112000</v>
      </c>
      <c r="N5517" t="n">
        <v>91</v>
      </c>
      <c r="O5517" t="n">
        <v>0.91</v>
      </c>
      <c r="P5517" t="n">
        <v>1</v>
      </c>
      <c r="Q5517" t="n">
        <v>0.58</v>
      </c>
      <c r="R5517" t="n">
        <v>3</v>
      </c>
      <c r="S5517" t="n">
        <v>55036.80000000001</v>
      </c>
      <c r="T5517" t="n">
        <v>19</v>
      </c>
      <c r="U5517" t="n">
        <v>20</v>
      </c>
      <c r="V5517" t="n">
        <v>30</v>
      </c>
      <c r="W5517" t="n">
        <v>15</v>
      </c>
      <c r="X5517" t="n">
        <v>32.56003256003255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11196</v>
      </c>
      <c r="AG5517" t="n">
        <v>54</v>
      </c>
      <c r="AH5517" t="inlineStr">
        <is>
          <t>PT. MIRANTI ADILLHA - PPN (PDG)</t>
        </is>
      </c>
      <c r="AI5517" t="n">
        <v>54</v>
      </c>
      <c r="AJ5517" t="inlineStr">
        <is>
          <t>SOMETHINC</t>
        </is>
      </c>
      <c r="AK5517" t="n">
        <v>21</v>
      </c>
      <c r="AL5517" t="inlineStr">
        <is>
          <t>Miss Glam Damar</t>
        </is>
      </c>
      <c r="AM5517" t="n">
        <v>2</v>
      </c>
      <c r="AN5517" t="n">
        <v>500000</v>
      </c>
      <c r="AO5517" t="n">
        <v>0</v>
      </c>
      <c r="AP5517" t="inlineStr"/>
      <c r="AQ5517" t="inlineStr"/>
    </row>
    <row r="5518">
      <c r="A5518" t="inlineStr">
        <is>
          <t>SOMETHINC</t>
        </is>
      </c>
      <c r="B5518" s="2">
        <f>"8997209270872"</f>
        <v/>
      </c>
      <c r="C5518" t="inlineStr">
        <is>
          <t>SOMETHINC Low PH Gentle Jelly Cleanser 15ml</t>
        </is>
      </c>
      <c r="D5518" t="inlineStr">
        <is>
          <t>Miss Glam Damar</t>
        </is>
      </c>
      <c r="E5518" t="n">
        <v>8</v>
      </c>
      <c r="F5518" t="n">
        <v>0.0273</v>
      </c>
      <c r="G5518" t="n">
        <v>0.91</v>
      </c>
      <c r="H5518" t="n">
        <v>1</v>
      </c>
      <c r="I5518" t="n">
        <v>7</v>
      </c>
      <c r="J5518" t="n">
        <v>3</v>
      </c>
      <c r="K5518" t="n">
        <v>0</v>
      </c>
      <c r="L5518" t="n">
        <v>29250</v>
      </c>
      <c r="M5518" t="n">
        <v>39000</v>
      </c>
      <c r="N5518" t="n">
        <v>91</v>
      </c>
      <c r="O5518" t="n">
        <v>0.91</v>
      </c>
      <c r="P5518" t="n">
        <v>1</v>
      </c>
      <c r="Q5518" t="n">
        <v>0.08</v>
      </c>
      <c r="R5518" t="n">
        <v>1</v>
      </c>
      <c r="S5518" t="n">
        <v>1064.7</v>
      </c>
      <c r="T5518" t="n">
        <v>7</v>
      </c>
      <c r="U5518" t="n">
        <v>8</v>
      </c>
      <c r="V5518" t="n">
        <v>30</v>
      </c>
      <c r="W5518" t="n">
        <v>1</v>
      </c>
      <c r="X5518" t="n">
        <v>293.040293040293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11196</v>
      </c>
      <c r="AG5518" t="n">
        <v>54</v>
      </c>
      <c r="AH5518" t="inlineStr">
        <is>
          <t>PT. MIRANTI ADILLHA - PPN (PDG)</t>
        </is>
      </c>
      <c r="AI5518" t="n">
        <v>54</v>
      </c>
      <c r="AJ5518" t="inlineStr">
        <is>
          <t>SOMETHINC</t>
        </is>
      </c>
      <c r="AK5518" t="n">
        <v>21</v>
      </c>
      <c r="AL5518" t="inlineStr">
        <is>
          <t>Miss Glam Damar</t>
        </is>
      </c>
      <c r="AM5518" t="n">
        <v>2</v>
      </c>
      <c r="AN5518" t="n">
        <v>500000</v>
      </c>
      <c r="AO5518" t="n">
        <v>0</v>
      </c>
      <c r="AP5518" t="inlineStr"/>
      <c r="AQ5518" t="inlineStr"/>
    </row>
    <row r="5519">
      <c r="A5519" t="inlineStr">
        <is>
          <t>SOMETHINC</t>
        </is>
      </c>
      <c r="B5519" s="2">
        <f>"8991752003116"</f>
        <v/>
      </c>
      <c r="C5519" t="inlineStr">
        <is>
          <t>SOMETHINC Low PH Gentle Jelly Cleanser 350ml</t>
        </is>
      </c>
      <c r="D5519" t="inlineStr">
        <is>
          <t>Miss Glam Damar</t>
        </is>
      </c>
      <c r="E5519" t="n">
        <v>7</v>
      </c>
      <c r="F5519" t="n">
        <v>0.1092</v>
      </c>
      <c r="G5519" t="n">
        <v>0.91</v>
      </c>
      <c r="H5519" t="n">
        <v>1</v>
      </c>
      <c r="I5519" t="n">
        <v>7</v>
      </c>
      <c r="J5519" t="n">
        <v>3</v>
      </c>
      <c r="K5519" t="n">
        <v>0</v>
      </c>
      <c r="L5519" t="n">
        <v>164250</v>
      </c>
      <c r="M5519" t="n">
        <v>219000</v>
      </c>
      <c r="N5519" t="n">
        <v>91</v>
      </c>
      <c r="O5519" t="n">
        <v>0.91</v>
      </c>
      <c r="P5519" t="n">
        <v>1</v>
      </c>
      <c r="Q5519" t="n">
        <v>0.08</v>
      </c>
      <c r="R5519" t="n">
        <v>1</v>
      </c>
      <c r="S5519" t="n">
        <v>23914.8</v>
      </c>
      <c r="T5519" t="n">
        <v>7</v>
      </c>
      <c r="U5519" t="n">
        <v>8</v>
      </c>
      <c r="V5519" t="n">
        <v>30</v>
      </c>
      <c r="W5519" t="n">
        <v>4</v>
      </c>
      <c r="X5519" t="n">
        <v>64.1025641025641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11196</v>
      </c>
      <c r="AG5519" t="n">
        <v>54</v>
      </c>
      <c r="AH5519" t="inlineStr">
        <is>
          <t>PT. MIRANTI ADILLHA - PPN (PDG)</t>
        </is>
      </c>
      <c r="AI5519" t="n">
        <v>54</v>
      </c>
      <c r="AJ5519" t="inlineStr">
        <is>
          <t>SOMETHINC</t>
        </is>
      </c>
      <c r="AK5519" t="n">
        <v>21</v>
      </c>
      <c r="AL5519" t="inlineStr">
        <is>
          <t>Miss Glam Damar</t>
        </is>
      </c>
      <c r="AM5519" t="n">
        <v>2</v>
      </c>
      <c r="AN5519" t="n">
        <v>500000</v>
      </c>
      <c r="AO5519" t="n">
        <v>0</v>
      </c>
      <c r="AP5519" t="inlineStr"/>
      <c r="AQ5519" t="inlineStr"/>
    </row>
    <row r="5520">
      <c r="A5520" t="inlineStr">
        <is>
          <t>SOMETHINC</t>
        </is>
      </c>
      <c r="B5520" s="2">
        <f>"101001118140"</f>
        <v/>
      </c>
      <c r="C5520" t="inlineStr">
        <is>
          <t>SOMETHINC Low PH Gentle Jelly Cleanser 40ml</t>
        </is>
      </c>
      <c r="D5520" t="inlineStr">
        <is>
          <t>Miss Glam Damar</t>
        </is>
      </c>
      <c r="E5520" t="n">
        <v>13</v>
      </c>
      <c r="F5520" t="n">
        <v>0.1547</v>
      </c>
      <c r="G5520" t="n">
        <v>1.82</v>
      </c>
      <c r="H5520" t="n">
        <v>1</v>
      </c>
      <c r="I5520" t="n">
        <v>7</v>
      </c>
      <c r="J5520" t="n">
        <v>1</v>
      </c>
      <c r="K5520" t="n">
        <v>0</v>
      </c>
      <c r="L5520" t="n">
        <v>49000</v>
      </c>
      <c r="M5520" t="n">
        <v>49000</v>
      </c>
      <c r="N5520" t="n">
        <v>91</v>
      </c>
      <c r="O5520" t="n">
        <v>0.91</v>
      </c>
      <c r="P5520" t="n">
        <v>1</v>
      </c>
      <c r="Q5520" t="n">
        <v>0.08</v>
      </c>
      <c r="R5520" t="n">
        <v>3</v>
      </c>
      <c r="S5520" t="n">
        <v>7580.3</v>
      </c>
      <c r="T5520" t="n">
        <v>13</v>
      </c>
      <c r="U5520" t="n">
        <v>14</v>
      </c>
      <c r="V5520" t="n">
        <v>30</v>
      </c>
      <c r="W5520" t="n">
        <v>5</v>
      </c>
      <c r="X5520" t="n">
        <v>84.03361344537815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11196</v>
      </c>
      <c r="AG5520" t="n">
        <v>54</v>
      </c>
      <c r="AH5520" t="inlineStr">
        <is>
          <t>PT. MIRANTI ADILLHA - PPN (PDG)</t>
        </is>
      </c>
      <c r="AI5520" t="n">
        <v>54</v>
      </c>
      <c r="AJ5520" t="inlineStr">
        <is>
          <t>SOMETHINC</t>
        </is>
      </c>
      <c r="AK5520" t="n">
        <v>21</v>
      </c>
      <c r="AL5520" t="inlineStr">
        <is>
          <t>Miss Glam Damar</t>
        </is>
      </c>
      <c r="AM5520" t="n">
        <v>2</v>
      </c>
      <c r="AN5520" t="n">
        <v>500000</v>
      </c>
      <c r="AO5520" t="n">
        <v>0</v>
      </c>
      <c r="AP5520" t="inlineStr"/>
      <c r="AQ5520" t="inlineStr"/>
    </row>
    <row r="5521">
      <c r="A5521" t="inlineStr">
        <is>
          <t>SOMETHINC</t>
        </is>
      </c>
      <c r="B5521" s="2">
        <f>"8991752003307"</f>
        <v/>
      </c>
      <c r="C5521" t="inlineStr">
        <is>
          <t>SOMETHINC Mademoiselle Soft Focus Powder Blush Illusion 1.5gr</t>
        </is>
      </c>
      <c r="D5521" t="inlineStr">
        <is>
          <t>Miss Glam Damar</t>
        </is>
      </c>
      <c r="E5521" t="n">
        <v>4</v>
      </c>
      <c r="F5521" t="n">
        <v>0.08</v>
      </c>
      <c r="G5521" t="n">
        <v>1</v>
      </c>
      <c r="H5521" t="n">
        <v>1</v>
      </c>
      <c r="I5521" t="n">
        <v>7</v>
      </c>
      <c r="J5521" t="n">
        <v>3</v>
      </c>
      <c r="K5521" t="n">
        <v>0</v>
      </c>
      <c r="L5521" t="n">
        <v>54750</v>
      </c>
      <c r="M5521" t="n">
        <v>73000</v>
      </c>
      <c r="N5521" t="n">
        <v>91</v>
      </c>
      <c r="O5521" t="n">
        <v>0.91</v>
      </c>
      <c r="P5521" t="n">
        <v>0</v>
      </c>
      <c r="Q5521" t="n">
        <v>0.08</v>
      </c>
      <c r="R5521" t="n">
        <v>1</v>
      </c>
      <c r="S5521" t="n">
        <v>5840</v>
      </c>
      <c r="T5521" t="n">
        <v>7</v>
      </c>
      <c r="U5521" t="n">
        <v>8</v>
      </c>
      <c r="V5521" t="n">
        <v>30</v>
      </c>
      <c r="W5521" t="n">
        <v>3</v>
      </c>
      <c r="X5521" t="n">
        <v>50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11196</v>
      </c>
      <c r="AG5521" t="n">
        <v>54</v>
      </c>
      <c r="AH5521" t="inlineStr">
        <is>
          <t>PT. MIRANTI ADILLHA - PPN (PDG)</t>
        </is>
      </c>
      <c r="AI5521" t="n">
        <v>54</v>
      </c>
      <c r="AJ5521" t="inlineStr">
        <is>
          <t>SOMETHINC</t>
        </is>
      </c>
      <c r="AK5521" t="n">
        <v>21</v>
      </c>
      <c r="AL5521" t="inlineStr">
        <is>
          <t>Miss Glam Damar</t>
        </is>
      </c>
      <c r="AM5521" t="n">
        <v>2</v>
      </c>
      <c r="AN5521" t="n">
        <v>500000</v>
      </c>
      <c r="AO5521" t="n">
        <v>0</v>
      </c>
      <c r="AP5521" t="inlineStr"/>
      <c r="AQ5521" t="inlineStr"/>
    </row>
    <row r="5522">
      <c r="A5522" t="inlineStr">
        <is>
          <t>SOMETHINC</t>
        </is>
      </c>
      <c r="B5522" s="2">
        <f>"8991752003284"</f>
        <v/>
      </c>
      <c r="C5522" t="inlineStr">
        <is>
          <t>SOMETHINC Mademoiselle Soft Focus Powder Blush Twinkle 1.5gr</t>
        </is>
      </c>
      <c r="D5522" t="inlineStr">
        <is>
          <t>Miss Glam Damar</t>
        </is>
      </c>
      <c r="E5522" t="n">
        <v>1</v>
      </c>
      <c r="F5522" t="n">
        <v>0.02</v>
      </c>
      <c r="G5522" t="n">
        <v>1</v>
      </c>
      <c r="H5522" t="n">
        <v>1</v>
      </c>
      <c r="I5522" t="n">
        <v>7</v>
      </c>
      <c r="J5522" t="n">
        <v>3</v>
      </c>
      <c r="K5522" t="n">
        <v>0</v>
      </c>
      <c r="L5522" t="n">
        <v>54750</v>
      </c>
      <c r="M5522" t="n">
        <v>73000</v>
      </c>
      <c r="N5522" t="n">
        <v>91</v>
      </c>
      <c r="O5522" t="n">
        <v>0.91</v>
      </c>
      <c r="P5522" t="n">
        <v>0</v>
      </c>
      <c r="Q5522" t="n">
        <v>0.02</v>
      </c>
      <c r="R5522" t="n">
        <v>1</v>
      </c>
      <c r="S5522" t="n">
        <v>1460</v>
      </c>
      <c r="T5522" t="n">
        <v>7</v>
      </c>
      <c r="U5522" t="n">
        <v>8</v>
      </c>
      <c r="V5522" t="n">
        <v>30</v>
      </c>
      <c r="W5522" t="n">
        <v>1</v>
      </c>
      <c r="X5522" t="n">
        <v>50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11196</v>
      </c>
      <c r="AG5522" t="n">
        <v>54</v>
      </c>
      <c r="AH5522" t="inlineStr">
        <is>
          <t>PT. MIRANTI ADILLHA - PPN (PDG)</t>
        </is>
      </c>
      <c r="AI5522" t="n">
        <v>54</v>
      </c>
      <c r="AJ5522" t="inlineStr">
        <is>
          <t>SOMETHINC</t>
        </is>
      </c>
      <c r="AK5522" t="n">
        <v>21</v>
      </c>
      <c r="AL5522" t="inlineStr">
        <is>
          <t>Miss Glam Damar</t>
        </is>
      </c>
      <c r="AM5522" t="n">
        <v>2</v>
      </c>
      <c r="AN5522" t="n">
        <v>500000</v>
      </c>
      <c r="AO5522" t="n">
        <v>0</v>
      </c>
      <c r="AP5522" t="inlineStr"/>
      <c r="AQ5522" t="inlineStr"/>
    </row>
    <row r="5523">
      <c r="A5523" t="inlineStr">
        <is>
          <t>SOMETHINC</t>
        </is>
      </c>
      <c r="B5523" s="2">
        <f>"8991752000726"</f>
        <v/>
      </c>
      <c r="C5523" t="inlineStr">
        <is>
          <t>SOMETHINC Manuka Sugar Wax Home Kit 200gr</t>
        </is>
      </c>
      <c r="D5523" t="inlineStr">
        <is>
          <t>Miss Glam Damar</t>
        </is>
      </c>
      <c r="E5523" t="n">
        <v>7</v>
      </c>
      <c r="F5523" t="n">
        <v>0.1092</v>
      </c>
      <c r="G5523" t="n">
        <v>0.91</v>
      </c>
      <c r="H5523" t="n">
        <v>1</v>
      </c>
      <c r="I5523" t="n">
        <v>7</v>
      </c>
      <c r="J5523" t="n">
        <v>3</v>
      </c>
      <c r="K5523" t="n">
        <v>0</v>
      </c>
      <c r="L5523" t="n">
        <v>66750</v>
      </c>
      <c r="M5523" t="n">
        <v>89000</v>
      </c>
      <c r="N5523" t="n">
        <v>91</v>
      </c>
      <c r="O5523" t="n">
        <v>0.91</v>
      </c>
      <c r="P5523" t="n">
        <v>1</v>
      </c>
      <c r="Q5523" t="n">
        <v>0.14</v>
      </c>
      <c r="R5523" t="n">
        <v>1</v>
      </c>
      <c r="S5523" t="n">
        <v>9718.800000000001</v>
      </c>
      <c r="T5523" t="n">
        <v>7</v>
      </c>
      <c r="U5523" t="n">
        <v>8</v>
      </c>
      <c r="V5523" t="n">
        <v>30</v>
      </c>
      <c r="W5523" t="n">
        <v>4</v>
      </c>
      <c r="X5523" t="n">
        <v>64.1025641025641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11196</v>
      </c>
      <c r="AG5523" t="n">
        <v>54</v>
      </c>
      <c r="AH5523" t="inlineStr">
        <is>
          <t>PT. MIRANTI ADILLHA - PPN (PDG)</t>
        </is>
      </c>
      <c r="AI5523" t="n">
        <v>54</v>
      </c>
      <c r="AJ5523" t="inlineStr">
        <is>
          <t>SOMETHINC</t>
        </is>
      </c>
      <c r="AK5523" t="n">
        <v>21</v>
      </c>
      <c r="AL5523" t="inlineStr">
        <is>
          <t>Miss Glam Damar</t>
        </is>
      </c>
      <c r="AM5523" t="n">
        <v>2</v>
      </c>
      <c r="AN5523" t="n">
        <v>500000</v>
      </c>
      <c r="AO5523" t="n">
        <v>0</v>
      </c>
      <c r="AP5523" t="inlineStr"/>
      <c r="AQ5523" t="inlineStr"/>
    </row>
    <row r="5524">
      <c r="A5524" t="inlineStr">
        <is>
          <t>SOMETHINC</t>
        </is>
      </c>
      <c r="B5524" s="2">
        <f>"20200470845"</f>
        <v/>
      </c>
      <c r="C5524" t="inlineStr">
        <is>
          <t>SOMETHINC Microslim 4D Eyebrow Pencil Chocolate 0.08gr</t>
        </is>
      </c>
      <c r="D5524" t="inlineStr">
        <is>
          <t>Miss Glam Damar</t>
        </is>
      </c>
      <c r="E5524" t="n">
        <v>5</v>
      </c>
      <c r="F5524" t="n">
        <v>0.02</v>
      </c>
      <c r="G5524" t="n">
        <v>1</v>
      </c>
      <c r="H5524" t="n">
        <v>1</v>
      </c>
      <c r="I5524" t="n">
        <v>7</v>
      </c>
      <c r="J5524" t="n">
        <v>1</v>
      </c>
      <c r="K5524" t="n">
        <v>0</v>
      </c>
      <c r="L5524" t="n">
        <v>51750</v>
      </c>
      <c r="M5524" t="n">
        <v>69000</v>
      </c>
      <c r="N5524" t="n">
        <v>91</v>
      </c>
      <c r="O5524" t="n">
        <v>0.91</v>
      </c>
      <c r="P5524" t="n">
        <v>0</v>
      </c>
      <c r="Q5524" t="n">
        <v>0.02</v>
      </c>
      <c r="R5524" t="n">
        <v>1</v>
      </c>
      <c r="S5524" t="n">
        <v>1380</v>
      </c>
      <c r="T5524" t="n">
        <v>7</v>
      </c>
      <c r="U5524" t="n">
        <v>8</v>
      </c>
      <c r="V5524" t="n">
        <v>30</v>
      </c>
      <c r="W5524" t="n">
        <v>1</v>
      </c>
      <c r="X5524" t="n">
        <v>250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11196</v>
      </c>
      <c r="AG5524" t="n">
        <v>54</v>
      </c>
      <c r="AH5524" t="inlineStr">
        <is>
          <t>PT. MIRANTI ADILLHA - PPN (PDG)</t>
        </is>
      </c>
      <c r="AI5524" t="n">
        <v>54</v>
      </c>
      <c r="AJ5524" t="inlineStr">
        <is>
          <t>SOMETHINC</t>
        </is>
      </c>
      <c r="AK5524" t="n">
        <v>21</v>
      </c>
      <c r="AL5524" t="inlineStr">
        <is>
          <t>Miss Glam Damar</t>
        </is>
      </c>
      <c r="AM5524" t="n">
        <v>2</v>
      </c>
      <c r="AN5524" t="n">
        <v>500000</v>
      </c>
      <c r="AO5524" t="n">
        <v>0</v>
      </c>
      <c r="AP5524" t="inlineStr"/>
      <c r="AQ5524" t="inlineStr"/>
    </row>
    <row r="5525">
      <c r="A5525" t="inlineStr">
        <is>
          <t>SOMETHINC</t>
        </is>
      </c>
      <c r="B5525" s="2">
        <f>"20200470706"</f>
        <v/>
      </c>
      <c r="C5525" t="inlineStr">
        <is>
          <t>SOMETHINC Microslim 4D Eyebrow Pencil Dark Brown 0.08gr</t>
        </is>
      </c>
      <c r="D5525" t="inlineStr">
        <is>
          <t>Miss Glam Damar</t>
        </is>
      </c>
      <c r="E5525" t="n">
        <v>13</v>
      </c>
      <c r="F5525" t="n">
        <v>0.08</v>
      </c>
      <c r="G5525" t="n">
        <v>2</v>
      </c>
      <c r="H5525" t="n">
        <v>1</v>
      </c>
      <c r="I5525" t="n">
        <v>7</v>
      </c>
      <c r="J5525" t="n">
        <v>1</v>
      </c>
      <c r="K5525" t="n">
        <v>0</v>
      </c>
      <c r="L5525" t="n">
        <v>51750</v>
      </c>
      <c r="M5525" t="n">
        <v>69000</v>
      </c>
      <c r="N5525" t="n">
        <v>91</v>
      </c>
      <c r="O5525" t="n">
        <v>0.91</v>
      </c>
      <c r="P5525" t="n">
        <v>0</v>
      </c>
      <c r="Q5525" t="n">
        <v>0.08</v>
      </c>
      <c r="R5525" t="n">
        <v>2</v>
      </c>
      <c r="S5525" t="n">
        <v>5520</v>
      </c>
      <c r="T5525" t="n">
        <v>14</v>
      </c>
      <c r="U5525" t="n">
        <v>15</v>
      </c>
      <c r="V5525" t="n">
        <v>30</v>
      </c>
      <c r="W5525" t="n">
        <v>3</v>
      </c>
      <c r="X5525" t="n">
        <v>162.5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11196</v>
      </c>
      <c r="AG5525" t="n">
        <v>54</v>
      </c>
      <c r="AH5525" t="inlineStr">
        <is>
          <t>PT. MIRANTI ADILLHA - PPN (PDG)</t>
        </is>
      </c>
      <c r="AI5525" t="n">
        <v>54</v>
      </c>
      <c r="AJ5525" t="inlineStr">
        <is>
          <t>SOMETHINC</t>
        </is>
      </c>
      <c r="AK5525" t="n">
        <v>21</v>
      </c>
      <c r="AL5525" t="inlineStr">
        <is>
          <t>Miss Glam Damar</t>
        </is>
      </c>
      <c r="AM5525" t="n">
        <v>2</v>
      </c>
      <c r="AN5525" t="n">
        <v>500000</v>
      </c>
      <c r="AO5525" t="n">
        <v>0</v>
      </c>
      <c r="AP5525" t="inlineStr"/>
      <c r="AQ5525" t="inlineStr"/>
    </row>
    <row r="5526">
      <c r="A5526" t="inlineStr">
        <is>
          <t>SOMETHINC</t>
        </is>
      </c>
      <c r="B5526" s="2">
        <f>"10100606248"</f>
        <v/>
      </c>
      <c r="C5526" t="inlineStr">
        <is>
          <t>SOMETHINC Omega Butter Deep Cleansing Balm 80gr</t>
        </is>
      </c>
      <c r="D5526" t="inlineStr">
        <is>
          <t>Miss Glam Damar</t>
        </is>
      </c>
      <c r="E5526" t="n">
        <v>2</v>
      </c>
      <c r="F5526" t="n">
        <v>0.04550000000000001</v>
      </c>
      <c r="G5526" t="n">
        <v>0.91</v>
      </c>
      <c r="H5526" t="n">
        <v>1</v>
      </c>
      <c r="I5526" t="n">
        <v>7</v>
      </c>
      <c r="J5526" t="n">
        <v>1</v>
      </c>
      <c r="K5526" t="n">
        <v>0</v>
      </c>
      <c r="L5526" t="n">
        <v>156750</v>
      </c>
      <c r="M5526" t="n">
        <v>209000</v>
      </c>
      <c r="N5526" t="n">
        <v>91</v>
      </c>
      <c r="O5526" t="n">
        <v>0.91</v>
      </c>
      <c r="P5526" t="n">
        <v>1</v>
      </c>
      <c r="Q5526" t="n">
        <v>0.02</v>
      </c>
      <c r="R5526" t="n">
        <v>1</v>
      </c>
      <c r="S5526" t="n">
        <v>9509.500000000002</v>
      </c>
      <c r="T5526" t="n">
        <v>7</v>
      </c>
      <c r="U5526" t="n">
        <v>8</v>
      </c>
      <c r="V5526" t="n">
        <v>30</v>
      </c>
      <c r="W5526" t="n">
        <v>2</v>
      </c>
      <c r="X5526" t="n">
        <v>43.95604395604395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11196</v>
      </c>
      <c r="AG5526" t="n">
        <v>54</v>
      </c>
      <c r="AH5526" t="inlineStr">
        <is>
          <t>PT. MIRANTI ADILLHA - PPN (PDG)</t>
        </is>
      </c>
      <c r="AI5526" t="n">
        <v>54</v>
      </c>
      <c r="AJ5526" t="inlineStr">
        <is>
          <t>SOMETHINC</t>
        </is>
      </c>
      <c r="AK5526" t="n">
        <v>21</v>
      </c>
      <c r="AL5526" t="inlineStr">
        <is>
          <t>Miss Glam Damar</t>
        </is>
      </c>
      <c r="AM5526" t="n">
        <v>2</v>
      </c>
      <c r="AN5526" t="n">
        <v>500000</v>
      </c>
      <c r="AO5526" t="n">
        <v>0</v>
      </c>
      <c r="AP5526" t="inlineStr"/>
      <c r="AQ5526" t="inlineStr"/>
    </row>
    <row r="5527">
      <c r="A5527" t="inlineStr">
        <is>
          <t>SOMETHINC</t>
        </is>
      </c>
      <c r="B5527" s="2">
        <f>"10100606032"</f>
        <v/>
      </c>
      <c r="C5527" t="inlineStr">
        <is>
          <t>SOMETHINC Omega Jelly Deep Cleansing Balm 30ml</t>
        </is>
      </c>
      <c r="D5527" t="inlineStr">
        <is>
          <t>Miss Glam Damar</t>
        </is>
      </c>
      <c r="E5527" t="n">
        <v>5</v>
      </c>
      <c r="F5527" t="n">
        <v>0.0728</v>
      </c>
      <c r="G5527" t="n">
        <v>0.91</v>
      </c>
      <c r="H5527" t="n">
        <v>1</v>
      </c>
      <c r="I5527" t="n">
        <v>7</v>
      </c>
      <c r="J5527" t="n">
        <v>1</v>
      </c>
      <c r="K5527" t="n">
        <v>0</v>
      </c>
      <c r="L5527" t="n">
        <v>44250</v>
      </c>
      <c r="M5527" t="n">
        <v>59000</v>
      </c>
      <c r="N5527" t="n">
        <v>91</v>
      </c>
      <c r="O5527" t="n">
        <v>0.91</v>
      </c>
      <c r="P5527" t="n">
        <v>1</v>
      </c>
      <c r="Q5527" t="n">
        <v>0.1</v>
      </c>
      <c r="R5527" t="n">
        <v>1</v>
      </c>
      <c r="S5527" t="n">
        <v>4295.2</v>
      </c>
      <c r="T5527" t="n">
        <v>7</v>
      </c>
      <c r="U5527" t="n">
        <v>8</v>
      </c>
      <c r="V5527" t="n">
        <v>30</v>
      </c>
      <c r="W5527" t="n">
        <v>3</v>
      </c>
      <c r="X5527" t="n">
        <v>68.68131868131867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11196</v>
      </c>
      <c r="AG5527" t="n">
        <v>54</v>
      </c>
      <c r="AH5527" t="inlineStr">
        <is>
          <t>PT. MIRANTI ADILLHA - PPN (PDG)</t>
        </is>
      </c>
      <c r="AI5527" t="n">
        <v>54</v>
      </c>
      <c r="AJ5527" t="inlineStr">
        <is>
          <t>SOMETHINC</t>
        </is>
      </c>
      <c r="AK5527" t="n">
        <v>21</v>
      </c>
      <c r="AL5527" t="inlineStr">
        <is>
          <t>Miss Glam Damar</t>
        </is>
      </c>
      <c r="AM5527" t="n">
        <v>2</v>
      </c>
      <c r="AN5527" t="n">
        <v>500000</v>
      </c>
      <c r="AO5527" t="n">
        <v>0</v>
      </c>
      <c r="AP5527" t="inlineStr"/>
      <c r="AQ5527" t="inlineStr"/>
    </row>
    <row r="5528">
      <c r="A5528" t="inlineStr">
        <is>
          <t>SOMETHINC</t>
        </is>
      </c>
      <c r="B5528" s="2">
        <f>"8997209270247"</f>
        <v/>
      </c>
      <c r="C5528" t="inlineStr">
        <is>
          <t>SOMETHINC Ref C.Paste Breathable Serene 15gr Refill</t>
        </is>
      </c>
      <c r="D5528" t="inlineStr">
        <is>
          <t>Miss Glam Damar</t>
        </is>
      </c>
      <c r="E5528" t="n">
        <v>3</v>
      </c>
      <c r="F5528" t="n">
        <v>0.06370000000000001</v>
      </c>
      <c r="G5528" t="n">
        <v>0.91</v>
      </c>
      <c r="H5528" t="n">
        <v>1</v>
      </c>
      <c r="I5528" t="n">
        <v>7</v>
      </c>
      <c r="J5528" t="n">
        <v>3</v>
      </c>
      <c r="K5528" t="n">
        <v>0</v>
      </c>
      <c r="L5528" t="n">
        <v>101250</v>
      </c>
      <c r="M5528" t="n">
        <v>129000</v>
      </c>
      <c r="N5528" t="n">
        <v>91</v>
      </c>
      <c r="O5528" t="n">
        <v>0.91</v>
      </c>
      <c r="P5528" t="n">
        <v>1</v>
      </c>
      <c r="Q5528" t="n">
        <v>0.08</v>
      </c>
      <c r="R5528" t="n">
        <v>1</v>
      </c>
      <c r="S5528" t="n">
        <v>8217.300000000001</v>
      </c>
      <c r="T5528" t="n">
        <v>7</v>
      </c>
      <c r="U5528" t="n">
        <v>8</v>
      </c>
      <c r="V5528" t="n">
        <v>30</v>
      </c>
      <c r="W5528" t="n">
        <v>2</v>
      </c>
      <c r="X5528" t="n">
        <v>47.09576138147566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11196</v>
      </c>
      <c r="AG5528" t="n">
        <v>54</v>
      </c>
      <c r="AH5528" t="inlineStr">
        <is>
          <t>PT. MIRANTI ADILLHA - PPN (PDG)</t>
        </is>
      </c>
      <c r="AI5528" t="n">
        <v>54</v>
      </c>
      <c r="AJ5528" t="inlineStr">
        <is>
          <t>SOMETHINC</t>
        </is>
      </c>
      <c r="AK5528" t="n">
        <v>21</v>
      </c>
      <c r="AL5528" t="inlineStr">
        <is>
          <t>Miss Glam Damar</t>
        </is>
      </c>
      <c r="AM5528" t="n">
        <v>2</v>
      </c>
      <c r="AN5528" t="n">
        <v>500000</v>
      </c>
      <c r="AO5528" t="n">
        <v>0</v>
      </c>
      <c r="AP5528" t="inlineStr"/>
      <c r="AQ5528" t="inlineStr"/>
    </row>
    <row r="5529">
      <c r="A5529" t="inlineStr">
        <is>
          <t>SOMETHINC</t>
        </is>
      </c>
      <c r="B5529" s="2">
        <f>"8991752006827"</f>
        <v/>
      </c>
      <c r="C5529" t="inlineStr">
        <is>
          <t>SOMETHINC Refill Copy Paste Breathable Cushion  - Cashew 15gr</t>
        </is>
      </c>
      <c r="D5529" t="inlineStr">
        <is>
          <t>Miss Glam Damar</t>
        </is>
      </c>
      <c r="E5529" t="n">
        <v>7</v>
      </c>
      <c r="F5529" t="n">
        <v>0.0182</v>
      </c>
      <c r="G5529" t="n">
        <v>0</v>
      </c>
      <c r="H5529" t="n">
        <v>1</v>
      </c>
      <c r="I5529" t="n">
        <v>7</v>
      </c>
      <c r="J5529" t="n">
        <v>3</v>
      </c>
      <c r="K5529" t="n">
        <v>0</v>
      </c>
      <c r="L5529" t="n">
        <v>101250</v>
      </c>
      <c r="M5529" t="n">
        <v>135000</v>
      </c>
      <c r="N5529" t="n">
        <v>91</v>
      </c>
      <c r="O5529" t="n">
        <v>0.91</v>
      </c>
      <c r="P5529" t="n">
        <v>1</v>
      </c>
      <c r="Q5529" t="n">
        <v>0.02</v>
      </c>
      <c r="R5529" t="n">
        <v>1</v>
      </c>
      <c r="S5529" t="n">
        <v>2457</v>
      </c>
      <c r="T5529" t="n">
        <v>0</v>
      </c>
      <c r="U5529" t="n">
        <v>1</v>
      </c>
      <c r="V5529" t="n">
        <v>30</v>
      </c>
      <c r="W5529" t="n">
        <v>1</v>
      </c>
      <c r="X5529" t="n">
        <v>384.6153846153846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11196</v>
      </c>
      <c r="AG5529" t="n">
        <v>54</v>
      </c>
      <c r="AH5529" t="inlineStr">
        <is>
          <t>PT. MIRANTI ADILLHA - PPN (PDG)</t>
        </is>
      </c>
      <c r="AI5529" t="n">
        <v>54</v>
      </c>
      <c r="AJ5529" t="inlineStr">
        <is>
          <t>SOMETHINC</t>
        </is>
      </c>
      <c r="AK5529" t="n">
        <v>21</v>
      </c>
      <c r="AL5529" t="inlineStr">
        <is>
          <t>Miss Glam Damar</t>
        </is>
      </c>
      <c r="AM5529" t="n">
        <v>2</v>
      </c>
      <c r="AN5529" t="n">
        <v>500000</v>
      </c>
      <c r="AO5529" t="n">
        <v>0</v>
      </c>
      <c r="AP5529" t="inlineStr"/>
      <c r="AQ5529" t="inlineStr"/>
    </row>
    <row r="5530">
      <c r="A5530" t="inlineStr">
        <is>
          <t>SOMETHINC</t>
        </is>
      </c>
      <c r="B5530" s="2">
        <f>"8991752006582"</f>
        <v/>
      </c>
      <c r="C5530" t="inlineStr">
        <is>
          <t>SOMETHINC Refill Copy Paste Breathable Cushion  - Cotton 15gr</t>
        </is>
      </c>
      <c r="D5530" t="inlineStr">
        <is>
          <t>Miss Glam Damar</t>
        </is>
      </c>
      <c r="E5530" t="n">
        <v>2</v>
      </c>
      <c r="F5530" t="n">
        <v>0.0273</v>
      </c>
      <c r="G5530" t="n">
        <v>0.91</v>
      </c>
      <c r="H5530" t="n">
        <v>1</v>
      </c>
      <c r="I5530" t="n">
        <v>7</v>
      </c>
      <c r="J5530" t="n">
        <v>3</v>
      </c>
      <c r="K5530" t="n">
        <v>0</v>
      </c>
      <c r="L5530" t="n">
        <v>101251</v>
      </c>
      <c r="M5530" t="n">
        <v>135000</v>
      </c>
      <c r="N5530" t="n">
        <v>91</v>
      </c>
      <c r="O5530" t="n">
        <v>0.91</v>
      </c>
      <c r="P5530" t="n">
        <v>1</v>
      </c>
      <c r="Q5530" t="n">
        <v>0.05</v>
      </c>
      <c r="R5530" t="n">
        <v>1</v>
      </c>
      <c r="S5530" t="n">
        <v>3685.5</v>
      </c>
      <c r="T5530" t="n">
        <v>7</v>
      </c>
      <c r="U5530" t="n">
        <v>8</v>
      </c>
      <c r="V5530" t="n">
        <v>30</v>
      </c>
      <c r="W5530" t="n">
        <v>1</v>
      </c>
      <c r="X5530" t="n">
        <v>73.26007326007326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11196</v>
      </c>
      <c r="AG5530" t="n">
        <v>54</v>
      </c>
      <c r="AH5530" t="inlineStr">
        <is>
          <t>PT. MIRANTI ADILLHA - PPN (PDG)</t>
        </is>
      </c>
      <c r="AI5530" t="n">
        <v>54</v>
      </c>
      <c r="AJ5530" t="inlineStr">
        <is>
          <t>SOMETHINC</t>
        </is>
      </c>
      <c r="AK5530" t="n">
        <v>21</v>
      </c>
      <c r="AL5530" t="inlineStr">
        <is>
          <t>Miss Glam Damar</t>
        </is>
      </c>
      <c r="AM5530" t="n">
        <v>2</v>
      </c>
      <c r="AN5530" t="n">
        <v>500000</v>
      </c>
      <c r="AO5530" t="n">
        <v>0</v>
      </c>
      <c r="AP5530" t="inlineStr"/>
      <c r="AQ5530" t="inlineStr"/>
    </row>
    <row r="5531">
      <c r="A5531" t="inlineStr">
        <is>
          <t>SOMETHINC</t>
        </is>
      </c>
      <c r="B5531" s="2">
        <f>"8991752001358"</f>
        <v/>
      </c>
      <c r="C5531" t="inlineStr">
        <is>
          <t>SOMETHINC Refill Hooman Breathable UV Cushion Cover SPF 35 PA++++ - C01 Perle 15g</t>
        </is>
      </c>
      <c r="D5531" t="inlineStr">
        <is>
          <t>Miss Glam Damar</t>
        </is>
      </c>
      <c r="E5531" t="n">
        <v>6</v>
      </c>
      <c r="F5531" t="n">
        <v>0.0182</v>
      </c>
      <c r="G5531" t="n">
        <v>0.91</v>
      </c>
      <c r="H5531" t="n">
        <v>1</v>
      </c>
      <c r="I5531" t="n">
        <v>7</v>
      </c>
      <c r="J5531" t="n">
        <v>3</v>
      </c>
      <c r="K5531" t="n">
        <v>0</v>
      </c>
      <c r="L5531" t="n">
        <v>101250</v>
      </c>
      <c r="M5531" t="n">
        <v>135000</v>
      </c>
      <c r="N5531" t="n">
        <v>91</v>
      </c>
      <c r="O5531" t="n">
        <v>0.91</v>
      </c>
      <c r="P5531" t="n">
        <v>1</v>
      </c>
      <c r="Q5531" t="n">
        <v>0.02</v>
      </c>
      <c r="R5531" t="n">
        <v>1</v>
      </c>
      <c r="S5531" t="n">
        <v>2457</v>
      </c>
      <c r="T5531" t="n">
        <v>7</v>
      </c>
      <c r="U5531" t="n">
        <v>8</v>
      </c>
      <c r="V5531" t="n">
        <v>30</v>
      </c>
      <c r="W5531" t="n">
        <v>1</v>
      </c>
      <c r="X5531" t="n">
        <v>329.6703296703296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11196</v>
      </c>
      <c r="AG5531" t="n">
        <v>54</v>
      </c>
      <c r="AH5531" t="inlineStr">
        <is>
          <t>PT. MIRANTI ADILLHA - PPN (PDG)</t>
        </is>
      </c>
      <c r="AI5531" t="n">
        <v>54</v>
      </c>
      <c r="AJ5531" t="inlineStr">
        <is>
          <t>SOMETHINC</t>
        </is>
      </c>
      <c r="AK5531" t="n">
        <v>21</v>
      </c>
      <c r="AL5531" t="inlineStr">
        <is>
          <t>Miss Glam Damar</t>
        </is>
      </c>
      <c r="AM5531" t="n">
        <v>2</v>
      </c>
      <c r="AN5531" t="n">
        <v>500000</v>
      </c>
      <c r="AO5531" t="n">
        <v>0</v>
      </c>
      <c r="AP5531" t="inlineStr"/>
      <c r="AQ5531" t="inlineStr"/>
    </row>
    <row r="5532">
      <c r="A5532" t="inlineStr">
        <is>
          <t>SOMETHINC</t>
        </is>
      </c>
      <c r="B5532" s="2">
        <f>"8991752001389"</f>
        <v/>
      </c>
      <c r="C5532" t="inlineStr">
        <is>
          <t>SOMETHINC Refill Hooman Breathable UV Cushion Cover SPF 35 PA++++ - C02 Serene 15g</t>
        </is>
      </c>
      <c r="D5532" t="inlineStr">
        <is>
          <t>Miss Glam Damar</t>
        </is>
      </c>
      <c r="E5532" t="n">
        <v>6</v>
      </c>
      <c r="F5532" t="n">
        <v>0.03</v>
      </c>
      <c r="G5532" t="n">
        <v>1</v>
      </c>
      <c r="H5532" t="n">
        <v>1</v>
      </c>
      <c r="I5532" t="n">
        <v>7</v>
      </c>
      <c r="J5532" t="n">
        <v>3</v>
      </c>
      <c r="K5532" t="n">
        <v>0</v>
      </c>
      <c r="L5532" t="n">
        <v>101251</v>
      </c>
      <c r="M5532" t="n">
        <v>135000</v>
      </c>
      <c r="N5532" t="n">
        <v>91</v>
      </c>
      <c r="O5532" t="n">
        <v>0.91</v>
      </c>
      <c r="P5532" t="n">
        <v>0</v>
      </c>
      <c r="Q5532" t="n">
        <v>0.03</v>
      </c>
      <c r="R5532" t="n">
        <v>1</v>
      </c>
      <c r="S5532" t="n">
        <v>4050</v>
      </c>
      <c r="T5532" t="n">
        <v>7</v>
      </c>
      <c r="U5532" t="n">
        <v>8</v>
      </c>
      <c r="V5532" t="n">
        <v>30</v>
      </c>
      <c r="W5532" t="n">
        <v>1</v>
      </c>
      <c r="X5532" t="n">
        <v>200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11196</v>
      </c>
      <c r="AG5532" t="n">
        <v>54</v>
      </c>
      <c r="AH5532" t="inlineStr">
        <is>
          <t>PT. MIRANTI ADILLHA - PPN (PDG)</t>
        </is>
      </c>
      <c r="AI5532" t="n">
        <v>54</v>
      </c>
      <c r="AJ5532" t="inlineStr">
        <is>
          <t>SOMETHINC</t>
        </is>
      </c>
      <c r="AK5532" t="n">
        <v>21</v>
      </c>
      <c r="AL5532" t="inlineStr">
        <is>
          <t>Miss Glam Damar</t>
        </is>
      </c>
      <c r="AM5532" t="n">
        <v>2</v>
      </c>
      <c r="AN5532" t="n">
        <v>500000</v>
      </c>
      <c r="AO5532" t="n">
        <v>0</v>
      </c>
      <c r="AP5532" t="inlineStr"/>
      <c r="AQ5532" t="inlineStr"/>
    </row>
    <row r="5533">
      <c r="A5533" t="inlineStr">
        <is>
          <t>SOMETHINC</t>
        </is>
      </c>
      <c r="B5533" s="2">
        <f>"8991752001402"</f>
        <v/>
      </c>
      <c r="C5533" t="inlineStr">
        <is>
          <t>SOMETHINC Refill Hooman Breathable UV Cushion Cover SPF 35 PA++++ - C03 Éclair 15g</t>
        </is>
      </c>
      <c r="D5533" t="inlineStr">
        <is>
          <t>Miss Glam Damar</t>
        </is>
      </c>
      <c r="E5533" t="n">
        <v>6</v>
      </c>
      <c r="F5533" t="n">
        <v>0.04550000000000001</v>
      </c>
      <c r="G5533" t="n">
        <v>0.91</v>
      </c>
      <c r="H5533" t="n">
        <v>1</v>
      </c>
      <c r="I5533" t="n">
        <v>7</v>
      </c>
      <c r="J5533" t="n">
        <v>3</v>
      </c>
      <c r="K5533" t="n">
        <v>0</v>
      </c>
      <c r="L5533" t="n">
        <v>101250</v>
      </c>
      <c r="M5533" t="n">
        <v>135000</v>
      </c>
      <c r="N5533" t="n">
        <v>91</v>
      </c>
      <c r="O5533" t="n">
        <v>0.91</v>
      </c>
      <c r="P5533" t="n">
        <v>1</v>
      </c>
      <c r="Q5533" t="n">
        <v>0.05</v>
      </c>
      <c r="R5533" t="n">
        <v>1</v>
      </c>
      <c r="S5533" t="n">
        <v>6142.500000000001</v>
      </c>
      <c r="T5533" t="n">
        <v>7</v>
      </c>
      <c r="U5533" t="n">
        <v>8</v>
      </c>
      <c r="V5533" t="n">
        <v>30</v>
      </c>
      <c r="W5533" t="n">
        <v>2</v>
      </c>
      <c r="X5533" t="n">
        <v>131.8681318681319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11196</v>
      </c>
      <c r="AG5533" t="n">
        <v>54</v>
      </c>
      <c r="AH5533" t="inlineStr">
        <is>
          <t>PT. MIRANTI ADILLHA - PPN (PDG)</t>
        </is>
      </c>
      <c r="AI5533" t="n">
        <v>54</v>
      </c>
      <c r="AJ5533" t="inlineStr">
        <is>
          <t>SOMETHINC</t>
        </is>
      </c>
      <c r="AK5533" t="n">
        <v>21</v>
      </c>
      <c r="AL5533" t="inlineStr">
        <is>
          <t>Miss Glam Damar</t>
        </is>
      </c>
      <c r="AM5533" t="n">
        <v>2</v>
      </c>
      <c r="AN5533" t="n">
        <v>500000</v>
      </c>
      <c r="AO5533" t="n">
        <v>0</v>
      </c>
      <c r="AP5533" t="inlineStr"/>
      <c r="AQ5533" t="inlineStr"/>
    </row>
    <row r="5534">
      <c r="A5534" t="inlineStr">
        <is>
          <t>SOMETHINC</t>
        </is>
      </c>
      <c r="B5534" s="2">
        <f>"8991752001372"</f>
        <v/>
      </c>
      <c r="C5534" t="inlineStr">
        <is>
          <t>SOMETHINC Refill Hooman Breathable UV Cushion Cover SPF 35 PA++++ - N01 Nina 15g</t>
        </is>
      </c>
      <c r="D5534" t="inlineStr">
        <is>
          <t>Miss Glam Damar</t>
        </is>
      </c>
      <c r="E5534" t="n">
        <v>11</v>
      </c>
      <c r="F5534" t="n">
        <v>0.1729</v>
      </c>
      <c r="G5534" t="n">
        <v>0.91</v>
      </c>
      <c r="H5534" t="n">
        <v>1</v>
      </c>
      <c r="I5534" t="n">
        <v>7</v>
      </c>
      <c r="J5534" t="n">
        <v>3</v>
      </c>
      <c r="K5534" t="n">
        <v>0</v>
      </c>
      <c r="L5534" t="n">
        <v>101250</v>
      </c>
      <c r="M5534" t="n">
        <v>135000</v>
      </c>
      <c r="N5534" t="n">
        <v>91</v>
      </c>
      <c r="O5534" t="n">
        <v>0.91</v>
      </c>
      <c r="P5534" t="n">
        <v>1</v>
      </c>
      <c r="Q5534" t="n">
        <v>0.29</v>
      </c>
      <c r="R5534" t="n">
        <v>3</v>
      </c>
      <c r="S5534" t="n">
        <v>23341.5</v>
      </c>
      <c r="T5534" t="n">
        <v>7</v>
      </c>
      <c r="U5534" t="n">
        <v>8</v>
      </c>
      <c r="V5534" t="n">
        <v>30</v>
      </c>
      <c r="W5534" t="n">
        <v>6</v>
      </c>
      <c r="X5534" t="n">
        <v>63.62058993637941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11196</v>
      </c>
      <c r="AG5534" t="n">
        <v>54</v>
      </c>
      <c r="AH5534" t="inlineStr">
        <is>
          <t>PT. MIRANTI ADILLHA - PPN (PDG)</t>
        </is>
      </c>
      <c r="AI5534" t="n">
        <v>54</v>
      </c>
      <c r="AJ5534" t="inlineStr">
        <is>
          <t>SOMETHINC</t>
        </is>
      </c>
      <c r="AK5534" t="n">
        <v>21</v>
      </c>
      <c r="AL5534" t="inlineStr">
        <is>
          <t>Miss Glam Damar</t>
        </is>
      </c>
      <c r="AM5534" t="n">
        <v>2</v>
      </c>
      <c r="AN5534" t="n">
        <v>500000</v>
      </c>
      <c r="AO5534" t="n">
        <v>0</v>
      </c>
      <c r="AP5534" t="inlineStr"/>
      <c r="AQ5534" t="inlineStr"/>
    </row>
    <row r="5535">
      <c r="A5535" t="inlineStr">
        <is>
          <t>SOMETHINC</t>
        </is>
      </c>
      <c r="B5535" s="2">
        <f>"8991752001396"</f>
        <v/>
      </c>
      <c r="C5535" t="inlineStr">
        <is>
          <t>SOMETHINC Refill Hooman Breathable UV Cushion Cover SPF 35 PA++++ - N02 Charlotte 15g</t>
        </is>
      </c>
      <c r="D5535" t="inlineStr">
        <is>
          <t>Miss Glam Damar</t>
        </is>
      </c>
      <c r="E5535" t="n">
        <v>3</v>
      </c>
      <c r="F5535" t="n">
        <v>0.06370000000000001</v>
      </c>
      <c r="G5535" t="n">
        <v>0.91</v>
      </c>
      <c r="H5535" t="n">
        <v>1</v>
      </c>
      <c r="I5535" t="n">
        <v>7</v>
      </c>
      <c r="J5535" t="n">
        <v>3</v>
      </c>
      <c r="K5535" t="n">
        <v>0</v>
      </c>
      <c r="L5535" t="n">
        <v>101250</v>
      </c>
      <c r="M5535" t="n">
        <v>135000</v>
      </c>
      <c r="N5535" t="n">
        <v>91</v>
      </c>
      <c r="O5535" t="n">
        <v>0.91</v>
      </c>
      <c r="P5535" t="n">
        <v>1</v>
      </c>
      <c r="Q5535" t="n">
        <v>0.07000000000000001</v>
      </c>
      <c r="R5535" t="n">
        <v>1</v>
      </c>
      <c r="S5535" t="n">
        <v>8599.5</v>
      </c>
      <c r="T5535" t="n">
        <v>7</v>
      </c>
      <c r="U5535" t="n">
        <v>8</v>
      </c>
      <c r="V5535" t="n">
        <v>30</v>
      </c>
      <c r="W5535" t="n">
        <v>2</v>
      </c>
      <c r="X5535" t="n">
        <v>47.09576138147566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11196</v>
      </c>
      <c r="AG5535" t="n">
        <v>54</v>
      </c>
      <c r="AH5535" t="inlineStr">
        <is>
          <t>PT. MIRANTI ADILLHA - PPN (PDG)</t>
        </is>
      </c>
      <c r="AI5535" t="n">
        <v>54</v>
      </c>
      <c r="AJ5535" t="inlineStr">
        <is>
          <t>SOMETHINC</t>
        </is>
      </c>
      <c r="AK5535" t="n">
        <v>21</v>
      </c>
      <c r="AL5535" t="inlineStr">
        <is>
          <t>Miss Glam Damar</t>
        </is>
      </c>
      <c r="AM5535" t="n">
        <v>2</v>
      </c>
      <c r="AN5535" t="n">
        <v>500000</v>
      </c>
      <c r="AO5535" t="n">
        <v>0</v>
      </c>
      <c r="AP5535" t="inlineStr"/>
      <c r="AQ5535" t="inlineStr"/>
    </row>
    <row r="5536">
      <c r="A5536" t="inlineStr">
        <is>
          <t>SOMETHINC</t>
        </is>
      </c>
      <c r="B5536" s="2">
        <f>"8991752001426"</f>
        <v/>
      </c>
      <c r="C5536" t="inlineStr">
        <is>
          <t>SOMETHINC Refill Hooman Breathable UV Cushion Cover SPF 35 PA++++ - N03 Alter 15gr</t>
        </is>
      </c>
      <c r="D5536" t="inlineStr">
        <is>
          <t>Miss Glam Damar</t>
        </is>
      </c>
      <c r="E5536" t="n">
        <v>0</v>
      </c>
      <c r="F5536" t="n">
        <v>0.02</v>
      </c>
      <c r="G5536" t="n">
        <v>1</v>
      </c>
      <c r="H5536" t="n">
        <v>1</v>
      </c>
      <c r="I5536" t="n">
        <v>7</v>
      </c>
      <c r="J5536" t="n">
        <v>3</v>
      </c>
      <c r="K5536" t="n">
        <v>0</v>
      </c>
      <c r="L5536" t="n">
        <v>93750</v>
      </c>
      <c r="M5536" t="n">
        <v>135000</v>
      </c>
      <c r="N5536" t="n">
        <v>91</v>
      </c>
      <c r="O5536" t="n">
        <v>0.91</v>
      </c>
      <c r="P5536" t="n">
        <v>0</v>
      </c>
      <c r="Q5536" t="n">
        <v>0.02</v>
      </c>
      <c r="R5536" t="n">
        <v>1</v>
      </c>
      <c r="S5536" t="n">
        <v>2700</v>
      </c>
      <c r="T5536" t="n">
        <v>7</v>
      </c>
      <c r="U5536" t="n">
        <v>8</v>
      </c>
      <c r="V5536" t="n">
        <v>30</v>
      </c>
      <c r="W5536" t="n">
        <v>1</v>
      </c>
      <c r="X5536" t="n">
        <v>0</v>
      </c>
      <c r="Y5536" t="n">
        <v>1</v>
      </c>
      <c r="Z5536" t="n">
        <v>1</v>
      </c>
      <c r="AA5536" t="n">
        <v>1</v>
      </c>
      <c r="AB5536" t="n">
        <v>0</v>
      </c>
      <c r="AC5536" t="n">
        <v>0</v>
      </c>
      <c r="AD5536" t="n">
        <v>93750</v>
      </c>
      <c r="AE5536" t="n">
        <v>0</v>
      </c>
      <c r="AF5536" t="n">
        <v>11196</v>
      </c>
      <c r="AG5536" t="n">
        <v>54</v>
      </c>
      <c r="AH5536" t="inlineStr">
        <is>
          <t>PT. MIRANTI ADILLHA - PPN (PDG)</t>
        </is>
      </c>
      <c r="AI5536" t="n">
        <v>54</v>
      </c>
      <c r="AJ5536" t="inlineStr">
        <is>
          <t>SOMETHINC</t>
        </is>
      </c>
      <c r="AK5536" t="n">
        <v>21</v>
      </c>
      <c r="AL5536" t="inlineStr">
        <is>
          <t>Miss Glam Damar</t>
        </is>
      </c>
      <c r="AM5536" t="n">
        <v>2</v>
      </c>
      <c r="AN5536" t="n">
        <v>500000</v>
      </c>
      <c r="AO5536" t="n">
        <v>0</v>
      </c>
      <c r="AP5536" t="inlineStr"/>
      <c r="AQ5536" t="inlineStr"/>
    </row>
    <row r="5537">
      <c r="A5537" t="inlineStr">
        <is>
          <t>SOMETHINC</t>
        </is>
      </c>
      <c r="B5537" s="2">
        <f>"8991752001365"</f>
        <v/>
      </c>
      <c r="C5537" t="inlineStr">
        <is>
          <t>SOMETHINC Refill Hooman Breathable UV Cushion Cover SPF 35 PA++++ - W01 Bijoux 15g</t>
        </is>
      </c>
      <c r="D5537" t="inlineStr">
        <is>
          <t>Miss Glam Damar</t>
        </is>
      </c>
      <c r="E5537" t="n">
        <v>6</v>
      </c>
      <c r="F5537" t="n">
        <v>0.0273</v>
      </c>
      <c r="G5537" t="n">
        <v>0.91</v>
      </c>
      <c r="H5537" t="n">
        <v>1</v>
      </c>
      <c r="I5537" t="n">
        <v>7</v>
      </c>
      <c r="J5537" t="n">
        <v>3</v>
      </c>
      <c r="K5537" t="n">
        <v>0</v>
      </c>
      <c r="L5537" t="n">
        <v>101250</v>
      </c>
      <c r="M5537" t="n">
        <v>135000</v>
      </c>
      <c r="N5537" t="n">
        <v>91</v>
      </c>
      <c r="O5537" t="n">
        <v>0.91</v>
      </c>
      <c r="P5537" t="n">
        <v>1</v>
      </c>
      <c r="Q5537" t="n">
        <v>0.05</v>
      </c>
      <c r="R5537" t="n">
        <v>1</v>
      </c>
      <c r="S5537" t="n">
        <v>3685.5</v>
      </c>
      <c r="T5537" t="n">
        <v>7</v>
      </c>
      <c r="U5537" t="n">
        <v>8</v>
      </c>
      <c r="V5537" t="n">
        <v>30</v>
      </c>
      <c r="W5537" t="n">
        <v>1</v>
      </c>
      <c r="X5537" t="n">
        <v>219.7802197802198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11196</v>
      </c>
      <c r="AG5537" t="n">
        <v>54</v>
      </c>
      <c r="AH5537" t="inlineStr">
        <is>
          <t>PT. MIRANTI ADILLHA - PPN (PDG)</t>
        </is>
      </c>
      <c r="AI5537" t="n">
        <v>54</v>
      </c>
      <c r="AJ5537" t="inlineStr">
        <is>
          <t>SOMETHINC</t>
        </is>
      </c>
      <c r="AK5537" t="n">
        <v>21</v>
      </c>
      <c r="AL5537" t="inlineStr">
        <is>
          <t>Miss Glam Damar</t>
        </is>
      </c>
      <c r="AM5537" t="n">
        <v>2</v>
      </c>
      <c r="AN5537" t="n">
        <v>500000</v>
      </c>
      <c r="AO5537" t="n">
        <v>0</v>
      </c>
      <c r="AP5537" t="inlineStr"/>
      <c r="AQ5537" t="inlineStr"/>
    </row>
    <row r="5538">
      <c r="A5538" t="inlineStr">
        <is>
          <t>SOMETHINC</t>
        </is>
      </c>
      <c r="B5538" s="2">
        <f>"8991752003741"</f>
        <v/>
      </c>
      <c r="C5538" t="inlineStr">
        <is>
          <t>SOMETHINC Reformulated #3 Ceramic Skin Saviour Moisturizer Gel - 25ml</t>
        </is>
      </c>
      <c r="D5538" t="inlineStr">
        <is>
          <t>Miss Glam Damar</t>
        </is>
      </c>
      <c r="E5538" t="n">
        <v>7</v>
      </c>
      <c r="F5538" t="n">
        <v>0.0273</v>
      </c>
      <c r="G5538" t="n">
        <v>0.91</v>
      </c>
      <c r="H5538" t="n">
        <v>1</v>
      </c>
      <c r="I5538" t="n">
        <v>7</v>
      </c>
      <c r="J5538" t="n">
        <v>3</v>
      </c>
      <c r="K5538" t="n">
        <v>0</v>
      </c>
      <c r="L5538" t="n">
        <v>126750</v>
      </c>
      <c r="M5538" t="n">
        <v>169000</v>
      </c>
      <c r="N5538" t="n">
        <v>91</v>
      </c>
      <c r="O5538" t="n">
        <v>0.91</v>
      </c>
      <c r="P5538" t="n">
        <v>1</v>
      </c>
      <c r="Q5538" t="n">
        <v>0.15</v>
      </c>
      <c r="R5538" t="n">
        <v>2</v>
      </c>
      <c r="S5538" t="n">
        <v>4613.7</v>
      </c>
      <c r="T5538" t="n">
        <v>7</v>
      </c>
      <c r="U5538" t="n">
        <v>8</v>
      </c>
      <c r="V5538" t="n">
        <v>30</v>
      </c>
      <c r="W5538" t="n">
        <v>1</v>
      </c>
      <c r="X5538" t="n">
        <v>256.4102564102564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11196</v>
      </c>
      <c r="AG5538" t="n">
        <v>54</v>
      </c>
      <c r="AH5538" t="inlineStr">
        <is>
          <t>PT. MIRANTI ADILLHA - PPN (PDG)</t>
        </is>
      </c>
      <c r="AI5538" t="n">
        <v>54</v>
      </c>
      <c r="AJ5538" t="inlineStr">
        <is>
          <t>SOMETHINC</t>
        </is>
      </c>
      <c r="AK5538" t="n">
        <v>21</v>
      </c>
      <c r="AL5538" t="inlineStr">
        <is>
          <t>Miss Glam Damar</t>
        </is>
      </c>
      <c r="AM5538" t="n">
        <v>2</v>
      </c>
      <c r="AN5538" t="n">
        <v>500000</v>
      </c>
      <c r="AO5538" t="n">
        <v>0</v>
      </c>
      <c r="AP5538" t="inlineStr"/>
      <c r="AQ5538" t="inlineStr"/>
    </row>
    <row r="5539">
      <c r="A5539" t="inlineStr">
        <is>
          <t>SOMETHINC</t>
        </is>
      </c>
      <c r="B5539" s="2">
        <f>"8991752000054"</f>
        <v/>
      </c>
      <c r="C5539" t="inlineStr">
        <is>
          <t>SOMETHINC Scandal Waterproof  Retracable Liner Jet Black 0.3g</t>
        </is>
      </c>
      <c r="D5539" t="inlineStr">
        <is>
          <t>Miss Glam Damar</t>
        </is>
      </c>
      <c r="E5539" t="n">
        <v>8</v>
      </c>
      <c r="F5539" t="n">
        <v>0.04550000000000001</v>
      </c>
      <c r="G5539" t="n">
        <v>0.91</v>
      </c>
      <c r="H5539" t="n">
        <v>1</v>
      </c>
      <c r="I5539" t="n">
        <v>7</v>
      </c>
      <c r="J5539" t="n">
        <v>3</v>
      </c>
      <c r="K5539" t="n">
        <v>0</v>
      </c>
      <c r="L5539" t="n">
        <v>54750</v>
      </c>
      <c r="M5539" t="n">
        <v>73000</v>
      </c>
      <c r="N5539" t="n">
        <v>91</v>
      </c>
      <c r="O5539" t="n">
        <v>0.91</v>
      </c>
      <c r="P5539" t="n">
        <v>1</v>
      </c>
      <c r="Q5539" t="n">
        <v>0.15</v>
      </c>
      <c r="R5539" t="n">
        <v>1</v>
      </c>
      <c r="S5539" t="n">
        <v>3321.5</v>
      </c>
      <c r="T5539" t="n">
        <v>7</v>
      </c>
      <c r="U5539" t="n">
        <v>8</v>
      </c>
      <c r="V5539" t="n">
        <v>30</v>
      </c>
      <c r="W5539" t="n">
        <v>2</v>
      </c>
      <c r="X5539" t="n">
        <v>175.8241758241758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11196</v>
      </c>
      <c r="AG5539" t="n">
        <v>54</v>
      </c>
      <c r="AH5539" t="inlineStr">
        <is>
          <t>PT. MIRANTI ADILLHA - PPN (PDG)</t>
        </is>
      </c>
      <c r="AI5539" t="n">
        <v>54</v>
      </c>
      <c r="AJ5539" t="inlineStr">
        <is>
          <t>SOMETHINC</t>
        </is>
      </c>
      <c r="AK5539" t="n">
        <v>21</v>
      </c>
      <c r="AL5539" t="inlineStr">
        <is>
          <t>Miss Glam Damar</t>
        </is>
      </c>
      <c r="AM5539" t="n">
        <v>2</v>
      </c>
      <c r="AN5539" t="n">
        <v>500000</v>
      </c>
      <c r="AO5539" t="n">
        <v>0</v>
      </c>
      <c r="AP5539" t="inlineStr"/>
      <c r="AQ5539" t="inlineStr"/>
    </row>
    <row r="5540">
      <c r="A5540" t="inlineStr">
        <is>
          <t>SOMETHINC</t>
        </is>
      </c>
      <c r="B5540" s="2">
        <f>"8991752000016"</f>
        <v/>
      </c>
      <c r="C5540" t="inlineStr">
        <is>
          <t>SOMETHINC Srsly Balancer Makeup Setting Spray 50ml</t>
        </is>
      </c>
      <c r="D5540" t="inlineStr">
        <is>
          <t>Miss Glam Damar</t>
        </is>
      </c>
      <c r="E5540" t="n">
        <v>5</v>
      </c>
      <c r="F5540" t="n">
        <v>0.1365</v>
      </c>
      <c r="G5540" t="n">
        <v>0.91</v>
      </c>
      <c r="H5540" t="n">
        <v>1</v>
      </c>
      <c r="I5540" t="n">
        <v>7</v>
      </c>
      <c r="J5540" t="n">
        <v>3</v>
      </c>
      <c r="K5540" t="n">
        <v>0</v>
      </c>
      <c r="L5540" t="n">
        <v>55500</v>
      </c>
      <c r="M5540" t="n">
        <v>74000</v>
      </c>
      <c r="N5540" t="n">
        <v>91</v>
      </c>
      <c r="O5540" t="n">
        <v>0.91</v>
      </c>
      <c r="P5540" t="n">
        <v>1</v>
      </c>
      <c r="Q5540" t="n">
        <v>0.1</v>
      </c>
      <c r="R5540" t="n">
        <v>2</v>
      </c>
      <c r="S5540" t="n">
        <v>10101</v>
      </c>
      <c r="T5540" t="n">
        <v>7</v>
      </c>
      <c r="U5540" t="n">
        <v>8</v>
      </c>
      <c r="V5540" t="n">
        <v>30</v>
      </c>
      <c r="W5540" t="n">
        <v>5</v>
      </c>
      <c r="X5540" t="n">
        <v>36.63003663003663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11196</v>
      </c>
      <c r="AG5540" t="n">
        <v>54</v>
      </c>
      <c r="AH5540" t="inlineStr">
        <is>
          <t>PT. MIRANTI ADILLHA - PPN (PDG)</t>
        </is>
      </c>
      <c r="AI5540" t="n">
        <v>54</v>
      </c>
      <c r="AJ5540" t="inlineStr">
        <is>
          <t>SOMETHINC</t>
        </is>
      </c>
      <c r="AK5540" t="n">
        <v>21</v>
      </c>
      <c r="AL5540" t="inlineStr">
        <is>
          <t>Miss Glam Damar</t>
        </is>
      </c>
      <c r="AM5540" t="n">
        <v>2</v>
      </c>
      <c r="AN5540" t="n">
        <v>500000</v>
      </c>
      <c r="AO5540" t="n">
        <v>0</v>
      </c>
      <c r="AP5540" t="inlineStr"/>
      <c r="AQ5540" t="inlineStr"/>
    </row>
    <row r="5541">
      <c r="A5541" t="inlineStr">
        <is>
          <t>SOMETHINC</t>
        </is>
      </c>
      <c r="B5541" s="2">
        <f>"8997209270698"</f>
        <v/>
      </c>
      <c r="C5541" t="inlineStr">
        <is>
          <t>SOMETHINC Supple Power Hyaluronic 9+ Essence Toner 40ml</t>
        </is>
      </c>
      <c r="D5541" t="inlineStr">
        <is>
          <t>Miss Glam Damar</t>
        </is>
      </c>
      <c r="E5541" t="n">
        <v>2</v>
      </c>
      <c r="F5541" t="n">
        <v>0.09100000000000001</v>
      </c>
      <c r="G5541" t="n">
        <v>0.91</v>
      </c>
      <c r="H5541" t="n">
        <v>1</v>
      </c>
      <c r="I5541" t="n">
        <v>7</v>
      </c>
      <c r="J5541" t="n">
        <v>3</v>
      </c>
      <c r="K5541" t="n">
        <v>0</v>
      </c>
      <c r="L5541" t="n">
        <v>69000</v>
      </c>
      <c r="M5541" t="n">
        <v>89000</v>
      </c>
      <c r="N5541" t="n">
        <v>91</v>
      </c>
      <c r="O5541" t="n">
        <v>0.91</v>
      </c>
      <c r="P5541" t="n">
        <v>1</v>
      </c>
      <c r="Q5541" t="n">
        <v>0.02</v>
      </c>
      <c r="R5541" t="n">
        <v>1</v>
      </c>
      <c r="S5541" t="n">
        <v>8099.000000000001</v>
      </c>
      <c r="T5541" t="n">
        <v>7</v>
      </c>
      <c r="U5541" t="n">
        <v>8</v>
      </c>
      <c r="V5541" t="n">
        <v>30</v>
      </c>
      <c r="W5541" t="n">
        <v>3</v>
      </c>
      <c r="X5541" t="n">
        <v>21.97802197802197</v>
      </c>
      <c r="Y5541" t="n">
        <v>1</v>
      </c>
      <c r="Z5541" t="n">
        <v>1</v>
      </c>
      <c r="AA5541" t="n">
        <v>0</v>
      </c>
      <c r="AB5541" t="n">
        <v>1</v>
      </c>
      <c r="AC5541" t="n">
        <v>3</v>
      </c>
      <c r="AD5541" t="n">
        <v>0</v>
      </c>
      <c r="AE5541" t="n">
        <v>207000</v>
      </c>
      <c r="AF5541" t="n">
        <v>11196</v>
      </c>
      <c r="AG5541" t="n">
        <v>54</v>
      </c>
      <c r="AH5541" t="inlineStr">
        <is>
          <t>PT. MIRANTI ADILLHA - PPN (PDG)</t>
        </is>
      </c>
      <c r="AI5541" t="n">
        <v>54</v>
      </c>
      <c r="AJ5541" t="inlineStr">
        <is>
          <t>SOMETHINC</t>
        </is>
      </c>
      <c r="AK5541" t="n">
        <v>21</v>
      </c>
      <c r="AL5541" t="inlineStr">
        <is>
          <t>Miss Glam Damar</t>
        </is>
      </c>
      <c r="AM5541" t="n">
        <v>2</v>
      </c>
      <c r="AN5541" t="n">
        <v>500000</v>
      </c>
      <c r="AO5541" t="n">
        <v>0</v>
      </c>
      <c r="AP5541" t="inlineStr"/>
      <c r="AQ5541" t="inlineStr"/>
    </row>
    <row r="5542">
      <c r="A5542" t="inlineStr">
        <is>
          <t>SOMETHINC</t>
        </is>
      </c>
      <c r="B5542" s="2">
        <f>"8997209270537"</f>
        <v/>
      </c>
      <c r="C5542" t="inlineStr">
        <is>
          <t>SOMETHINC Supple Power Hyaluronic9+ Essence120ml</t>
        </is>
      </c>
      <c r="D5542" t="inlineStr">
        <is>
          <t>Miss Glam Damar</t>
        </is>
      </c>
      <c r="E5542" t="n">
        <v>5</v>
      </c>
      <c r="F5542" t="n">
        <v>0.0273</v>
      </c>
      <c r="G5542" t="n">
        <v>0.91</v>
      </c>
      <c r="H5542" t="n">
        <v>1</v>
      </c>
      <c r="I5542" t="n">
        <v>7</v>
      </c>
      <c r="J5542" t="n">
        <v>3</v>
      </c>
      <c r="K5542" t="n">
        <v>0</v>
      </c>
      <c r="L5542" t="n">
        <v>153750</v>
      </c>
      <c r="M5542" t="n">
        <v>205000</v>
      </c>
      <c r="N5542" t="n">
        <v>91</v>
      </c>
      <c r="O5542" t="n">
        <v>0.91</v>
      </c>
      <c r="P5542" t="n">
        <v>1</v>
      </c>
      <c r="Q5542" t="n">
        <v>0.02</v>
      </c>
      <c r="R5542" t="n">
        <v>1</v>
      </c>
      <c r="S5542" t="n">
        <v>5596.5</v>
      </c>
      <c r="T5542" t="n">
        <v>7</v>
      </c>
      <c r="U5542" t="n">
        <v>8</v>
      </c>
      <c r="V5542" t="n">
        <v>30</v>
      </c>
      <c r="W5542" t="n">
        <v>1</v>
      </c>
      <c r="X5542" t="n">
        <v>183.1501831501832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11196</v>
      </c>
      <c r="AG5542" t="n">
        <v>54</v>
      </c>
      <c r="AH5542" t="inlineStr">
        <is>
          <t>PT. MIRANTI ADILLHA - PPN (PDG)</t>
        </is>
      </c>
      <c r="AI5542" t="n">
        <v>54</v>
      </c>
      <c r="AJ5542" t="inlineStr">
        <is>
          <t>SOMETHINC</t>
        </is>
      </c>
      <c r="AK5542" t="n">
        <v>21</v>
      </c>
      <c r="AL5542" t="inlineStr">
        <is>
          <t>Miss Glam Damar</t>
        </is>
      </c>
      <c r="AM5542" t="n">
        <v>2</v>
      </c>
      <c r="AN5542" t="n">
        <v>500000</v>
      </c>
      <c r="AO5542" t="n">
        <v>0</v>
      </c>
      <c r="AP5542" t="inlineStr"/>
      <c r="AQ5542" t="inlineStr"/>
    </row>
    <row r="5543">
      <c r="A5543" t="inlineStr">
        <is>
          <t>SOMETHINC</t>
        </is>
      </c>
      <c r="B5543" s="2">
        <f>"8991752004205"</f>
        <v/>
      </c>
      <c r="C5543" t="inlineStr">
        <is>
          <t>SOMETHINC The Marionette Eyeshadow Pallete Vol 1</t>
        </is>
      </c>
      <c r="D5543" t="inlineStr">
        <is>
          <t>Miss Glam Damar</t>
        </is>
      </c>
      <c r="E5543" t="n">
        <v>2</v>
      </c>
      <c r="F5543" t="n">
        <v>0.0182</v>
      </c>
      <c r="G5543" t="n">
        <v>0.91</v>
      </c>
      <c r="H5543" t="n">
        <v>1</v>
      </c>
      <c r="I5543" t="n">
        <v>7</v>
      </c>
      <c r="J5543" t="n">
        <v>3</v>
      </c>
      <c r="K5543" t="n">
        <v>0</v>
      </c>
      <c r="L5543" t="n">
        <v>111750</v>
      </c>
      <c r="M5543" t="n">
        <v>149000</v>
      </c>
      <c r="N5543" t="n">
        <v>91</v>
      </c>
      <c r="O5543" t="n">
        <v>0.91</v>
      </c>
      <c r="P5543" t="n">
        <v>1</v>
      </c>
      <c r="Q5543" t="n">
        <v>0.02</v>
      </c>
      <c r="R5543" t="n">
        <v>1</v>
      </c>
      <c r="S5543" t="n">
        <v>2711.8</v>
      </c>
      <c r="T5543" t="n">
        <v>7</v>
      </c>
      <c r="U5543" t="n">
        <v>8</v>
      </c>
      <c r="V5543" t="n">
        <v>30</v>
      </c>
      <c r="W5543" t="n">
        <v>1</v>
      </c>
      <c r="X5543" t="n">
        <v>109.8901098901099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11196</v>
      </c>
      <c r="AG5543" t="n">
        <v>54</v>
      </c>
      <c r="AH5543" t="inlineStr">
        <is>
          <t>PT. MIRANTI ADILLHA - PPN (PDG)</t>
        </is>
      </c>
      <c r="AI5543" t="n">
        <v>54</v>
      </c>
      <c r="AJ5543" t="inlineStr">
        <is>
          <t>SOMETHINC</t>
        </is>
      </c>
      <c r="AK5543" t="n">
        <v>21</v>
      </c>
      <c r="AL5543" t="inlineStr">
        <is>
          <t>Miss Glam Damar</t>
        </is>
      </c>
      <c r="AM5543" t="n">
        <v>2</v>
      </c>
      <c r="AN5543" t="n">
        <v>500000</v>
      </c>
      <c r="AO5543" t="n">
        <v>0</v>
      </c>
      <c r="AP5543" t="inlineStr"/>
      <c r="AQ5543" t="inlineStr"/>
    </row>
    <row r="5544">
      <c r="A5544" t="inlineStr">
        <is>
          <t>SOMETHINC</t>
        </is>
      </c>
      <c r="B5544" s="2">
        <f>"8997209271145"</f>
        <v/>
      </c>
      <c r="C5544" t="inlineStr">
        <is>
          <t>SOMETHINC The Nobles Pro Pocket Eyeshadow Palette  Volume 1</t>
        </is>
      </c>
      <c r="D5544" t="inlineStr">
        <is>
          <t>Miss Glam Damar</t>
        </is>
      </c>
      <c r="E5544" t="n">
        <v>2</v>
      </c>
      <c r="F5544" t="n">
        <v>0.0728</v>
      </c>
      <c r="G5544" t="n">
        <v>1.82</v>
      </c>
      <c r="H5544" t="n">
        <v>1</v>
      </c>
      <c r="I5544" t="n">
        <v>7</v>
      </c>
      <c r="J5544" t="n">
        <v>3</v>
      </c>
      <c r="K5544" t="n">
        <v>0</v>
      </c>
      <c r="L5544" t="n">
        <v>104250</v>
      </c>
      <c r="M5544" t="n">
        <v>139000</v>
      </c>
      <c r="N5544" t="n">
        <v>91</v>
      </c>
      <c r="O5544" t="n">
        <v>0.91</v>
      </c>
      <c r="P5544" t="n">
        <v>1</v>
      </c>
      <c r="Q5544" t="n">
        <v>0.07000000000000001</v>
      </c>
      <c r="R5544" t="n">
        <v>1</v>
      </c>
      <c r="S5544" t="n">
        <v>10119.2</v>
      </c>
      <c r="T5544" t="n">
        <v>13</v>
      </c>
      <c r="U5544" t="n">
        <v>14</v>
      </c>
      <c r="V5544" t="n">
        <v>30</v>
      </c>
      <c r="W5544" t="n">
        <v>3</v>
      </c>
      <c r="X5544" t="n">
        <v>27.47252747252747</v>
      </c>
      <c r="Y5544" t="n">
        <v>1</v>
      </c>
      <c r="Z5544" t="n">
        <v>1</v>
      </c>
      <c r="AA5544" t="n">
        <v>0</v>
      </c>
      <c r="AB5544" t="n">
        <v>1</v>
      </c>
      <c r="AC5544" t="n">
        <v>3</v>
      </c>
      <c r="AD5544" t="n">
        <v>0</v>
      </c>
      <c r="AE5544" t="n">
        <v>312750</v>
      </c>
      <c r="AF5544" t="n">
        <v>11196</v>
      </c>
      <c r="AG5544" t="n">
        <v>54</v>
      </c>
      <c r="AH5544" t="inlineStr">
        <is>
          <t>PT. MIRANTI ADILLHA - PPN (PDG)</t>
        </is>
      </c>
      <c r="AI5544" t="n">
        <v>54</v>
      </c>
      <c r="AJ5544" t="inlineStr">
        <is>
          <t>SOMETHINC</t>
        </is>
      </c>
      <c r="AK5544" t="n">
        <v>21</v>
      </c>
      <c r="AL5544" t="inlineStr">
        <is>
          <t>Miss Glam Damar</t>
        </is>
      </c>
      <c r="AM5544" t="n">
        <v>2</v>
      </c>
      <c r="AN5544" t="n">
        <v>500000</v>
      </c>
      <c r="AO5544" t="n">
        <v>0</v>
      </c>
      <c r="AP5544" t="inlineStr"/>
      <c r="AQ5544" t="inlineStr"/>
    </row>
    <row r="5545">
      <c r="A5545" t="inlineStr">
        <is>
          <t>SOMETHINC</t>
        </is>
      </c>
      <c r="B5545" s="2">
        <f>"8991752006131"</f>
        <v/>
      </c>
      <c r="C5545" t="inlineStr">
        <is>
          <t>SOMETHINC Tipsy Lash Lift Lenghtening Mascara 7gr</t>
        </is>
      </c>
      <c r="D5545" t="inlineStr">
        <is>
          <t>Miss Glam Damar</t>
        </is>
      </c>
      <c r="E5545" t="n">
        <v>15</v>
      </c>
      <c r="F5545" t="n">
        <v>0.7371000000000001</v>
      </c>
      <c r="G5545" t="n">
        <v>4.55</v>
      </c>
      <c r="H5545" t="n">
        <v>1</v>
      </c>
      <c r="I5545" t="n">
        <v>7</v>
      </c>
      <c r="J5545" t="n">
        <v>3</v>
      </c>
      <c r="K5545" t="n">
        <v>0</v>
      </c>
      <c r="L5545" t="n">
        <v>71250</v>
      </c>
      <c r="M5545" t="n">
        <v>95000</v>
      </c>
      <c r="N5545" t="n">
        <v>91</v>
      </c>
      <c r="O5545" t="n">
        <v>0.91</v>
      </c>
      <c r="P5545" t="n">
        <v>1</v>
      </c>
      <c r="Q5545" t="n">
        <v>0.95</v>
      </c>
      <c r="R5545" t="n">
        <v>4</v>
      </c>
      <c r="S5545" t="n">
        <v>70024.50000000001</v>
      </c>
      <c r="T5545" t="n">
        <v>32</v>
      </c>
      <c r="U5545" t="n">
        <v>33</v>
      </c>
      <c r="V5545" t="n">
        <v>30</v>
      </c>
      <c r="W5545" t="n">
        <v>23</v>
      </c>
      <c r="X5545" t="n">
        <v>20.35002035002035</v>
      </c>
      <c r="Y5545" t="n">
        <v>1</v>
      </c>
      <c r="Z5545" t="n">
        <v>8</v>
      </c>
      <c r="AA5545" t="n">
        <v>0</v>
      </c>
      <c r="AB5545" t="n">
        <v>8</v>
      </c>
      <c r="AC5545" t="n">
        <v>8</v>
      </c>
      <c r="AD5545" t="n">
        <v>0</v>
      </c>
      <c r="AE5545" t="n">
        <v>570000</v>
      </c>
      <c r="AF5545" t="n">
        <v>11196</v>
      </c>
      <c r="AG5545" t="n">
        <v>54</v>
      </c>
      <c r="AH5545" t="inlineStr">
        <is>
          <t>PT. MIRANTI ADILLHA - PPN (PDG)</t>
        </is>
      </c>
      <c r="AI5545" t="n">
        <v>54</v>
      </c>
      <c r="AJ5545" t="inlineStr">
        <is>
          <t>SOMETHINC</t>
        </is>
      </c>
      <c r="AK5545" t="n">
        <v>21</v>
      </c>
      <c r="AL5545" t="inlineStr">
        <is>
          <t>Miss Glam Damar</t>
        </is>
      </c>
      <c r="AM5545" t="n">
        <v>2</v>
      </c>
      <c r="AN5545" t="n">
        <v>500000</v>
      </c>
      <c r="AO5545" t="n">
        <v>0</v>
      </c>
      <c r="AP5545" t="inlineStr"/>
      <c r="AQ5545" t="inlineStr"/>
    </row>
    <row r="5546">
      <c r="A5546" t="inlineStr">
        <is>
          <t>SOULYU</t>
        </is>
      </c>
      <c r="B5546" s="2">
        <f>"20300196722"</f>
        <v/>
      </c>
      <c r="C5546" t="inlineStr">
        <is>
          <t>SOULYU Fluffy Haze Lip Velvet - 01 Chestnut 30ml</t>
        </is>
      </c>
      <c r="D5546" t="inlineStr">
        <is>
          <t>Miss Glam Damar</t>
        </is>
      </c>
      <c r="E5546" t="n">
        <v>5</v>
      </c>
      <c r="F5546" t="n">
        <v>0.02</v>
      </c>
      <c r="G5546" t="n">
        <v>1</v>
      </c>
      <c r="H5546" t="n">
        <v>7</v>
      </c>
      <c r="I5546" t="n">
        <v>7</v>
      </c>
      <c r="J5546" t="n">
        <v>3</v>
      </c>
      <c r="K5546" t="n">
        <v>0</v>
      </c>
      <c r="L5546" t="n">
        <v>51750</v>
      </c>
      <c r="M5546" t="n">
        <v>69000</v>
      </c>
      <c r="N5546" t="n">
        <v>91</v>
      </c>
      <c r="O5546" t="n">
        <v>0.91</v>
      </c>
      <c r="P5546" t="n">
        <v>0</v>
      </c>
      <c r="Q5546" t="n">
        <v>0.02</v>
      </c>
      <c r="R5546" t="n">
        <v>1</v>
      </c>
      <c r="S5546" t="n">
        <v>1380</v>
      </c>
      <c r="T5546" t="n">
        <v>7</v>
      </c>
      <c r="U5546" t="n">
        <v>8</v>
      </c>
      <c r="V5546" t="n">
        <v>30</v>
      </c>
      <c r="W5546" t="n">
        <v>1</v>
      </c>
      <c r="X5546" t="n">
        <v>250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2131</v>
      </c>
      <c r="AG5546" t="n">
        <v>3342</v>
      </c>
      <c r="AH5546" t="inlineStr">
        <is>
          <t>PT NUSANTARA SARANA OUTLET (KNS)</t>
        </is>
      </c>
      <c r="AI5546" t="n">
        <v>2187</v>
      </c>
      <c r="AJ5546" t="inlineStr">
        <is>
          <t>SOULYU</t>
        </is>
      </c>
      <c r="AK5546" t="n">
        <v>21</v>
      </c>
      <c r="AL5546" t="inlineStr">
        <is>
          <t>Miss Glam Damar</t>
        </is>
      </c>
      <c r="AM5546" t="n">
        <v>4</v>
      </c>
      <c r="AN5546" t="n">
        <v>500000</v>
      </c>
      <c r="AO5546" t="n">
        <v>0</v>
      </c>
      <c r="AP5546" t="inlineStr"/>
      <c r="AQ5546" t="inlineStr"/>
    </row>
    <row r="5547">
      <c r="A5547" t="inlineStr">
        <is>
          <t>SOULYU</t>
        </is>
      </c>
      <c r="B5547" s="2">
        <f>"20300196810"</f>
        <v/>
      </c>
      <c r="C5547" t="inlineStr">
        <is>
          <t>SOULYU Fluffy Haze Lip Velvet - 02 Almond Rose 30ml</t>
        </is>
      </c>
      <c r="D5547" t="inlineStr">
        <is>
          <t>Miss Glam Damar</t>
        </is>
      </c>
      <c r="E5547" t="n">
        <v>7</v>
      </c>
      <c r="F5547" t="n">
        <v>0.0273</v>
      </c>
      <c r="G5547" t="n">
        <v>1.82</v>
      </c>
      <c r="H5547" t="n">
        <v>7</v>
      </c>
      <c r="I5547" t="n">
        <v>7</v>
      </c>
      <c r="J5547" t="n">
        <v>3</v>
      </c>
      <c r="K5547" t="n">
        <v>0</v>
      </c>
      <c r="L5547" t="n">
        <v>51750</v>
      </c>
      <c r="M5547" t="n">
        <v>69000</v>
      </c>
      <c r="N5547" t="n">
        <v>91</v>
      </c>
      <c r="O5547" t="n">
        <v>0.91</v>
      </c>
      <c r="P5547" t="n">
        <v>1</v>
      </c>
      <c r="Q5547" t="n">
        <v>0.02</v>
      </c>
      <c r="R5547" t="n">
        <v>1</v>
      </c>
      <c r="S5547" t="n">
        <v>1883.7</v>
      </c>
      <c r="T5547" t="n">
        <v>13</v>
      </c>
      <c r="U5547" t="n">
        <v>14</v>
      </c>
      <c r="V5547" t="n">
        <v>30</v>
      </c>
      <c r="W5547" t="n">
        <v>1</v>
      </c>
      <c r="X5547" t="n">
        <v>256.4102564102564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2131</v>
      </c>
      <c r="AG5547" t="n">
        <v>3342</v>
      </c>
      <c r="AH5547" t="inlineStr">
        <is>
          <t>PT NUSANTARA SARANA OUTLET (KNS)</t>
        </is>
      </c>
      <c r="AI5547" t="n">
        <v>2187</v>
      </c>
      <c r="AJ5547" t="inlineStr">
        <is>
          <t>SOULYU</t>
        </is>
      </c>
      <c r="AK5547" t="n">
        <v>21</v>
      </c>
      <c r="AL5547" t="inlineStr">
        <is>
          <t>Miss Glam Damar</t>
        </is>
      </c>
      <c r="AM5547" t="n">
        <v>4</v>
      </c>
      <c r="AN5547" t="n">
        <v>500000</v>
      </c>
      <c r="AO5547" t="n">
        <v>0</v>
      </c>
      <c r="AP5547" t="inlineStr"/>
      <c r="AQ5547" t="inlineStr"/>
    </row>
    <row r="5548">
      <c r="A5548" t="inlineStr">
        <is>
          <t>SOULYU</t>
        </is>
      </c>
      <c r="B5548" s="2">
        <f>"20300197037"</f>
        <v/>
      </c>
      <c r="C5548" t="inlineStr">
        <is>
          <t>SOULYU Fluffy Haze Lip Velvet - 04 Mauve Berry 30ml</t>
        </is>
      </c>
      <c r="D5548" t="inlineStr">
        <is>
          <t>Miss Glam Damar</t>
        </is>
      </c>
      <c r="E5548" t="n">
        <v>9</v>
      </c>
      <c r="F5548" t="n">
        <v>0.0182</v>
      </c>
      <c r="G5548" t="n">
        <v>0.91</v>
      </c>
      <c r="H5548" t="n">
        <v>7</v>
      </c>
      <c r="I5548" t="n">
        <v>7</v>
      </c>
      <c r="J5548" t="n">
        <v>3</v>
      </c>
      <c r="K5548" t="n">
        <v>0</v>
      </c>
      <c r="L5548" t="n">
        <v>51750</v>
      </c>
      <c r="M5548" t="n">
        <v>69000</v>
      </c>
      <c r="N5548" t="n">
        <v>91</v>
      </c>
      <c r="O5548" t="n">
        <v>0.91</v>
      </c>
      <c r="P5548" t="n">
        <v>1</v>
      </c>
      <c r="Q5548" t="n">
        <v>0.02</v>
      </c>
      <c r="R5548" t="n">
        <v>1</v>
      </c>
      <c r="S5548" t="n">
        <v>1255.8</v>
      </c>
      <c r="T5548" t="n">
        <v>7</v>
      </c>
      <c r="U5548" t="n">
        <v>8</v>
      </c>
      <c r="V5548" t="n">
        <v>30</v>
      </c>
      <c r="W5548" t="n">
        <v>1</v>
      </c>
      <c r="X5548" t="n">
        <v>494.5054945054945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2131</v>
      </c>
      <c r="AG5548" t="n">
        <v>3342</v>
      </c>
      <c r="AH5548" t="inlineStr">
        <is>
          <t>PT NUSANTARA SARANA OUTLET (KNS)</t>
        </is>
      </c>
      <c r="AI5548" t="n">
        <v>2187</v>
      </c>
      <c r="AJ5548" t="inlineStr">
        <is>
          <t>SOULYU</t>
        </is>
      </c>
      <c r="AK5548" t="n">
        <v>21</v>
      </c>
      <c r="AL5548" t="inlineStr">
        <is>
          <t>Miss Glam Damar</t>
        </is>
      </c>
      <c r="AM5548" t="n">
        <v>4</v>
      </c>
      <c r="AN5548" t="n">
        <v>500000</v>
      </c>
      <c r="AO5548" t="n">
        <v>0</v>
      </c>
      <c r="AP5548" t="inlineStr"/>
      <c r="AQ5548" t="inlineStr"/>
    </row>
    <row r="5549">
      <c r="A5549" t="inlineStr">
        <is>
          <t>SOULYU</t>
        </is>
      </c>
      <c r="B5549" s="2">
        <f>"20300388753"</f>
        <v/>
      </c>
      <c r="C5549" t="inlineStr">
        <is>
          <t>SOULYU Intense Stay Lip Stain - Exposed 26gr</t>
        </is>
      </c>
      <c r="D5549" t="inlineStr">
        <is>
          <t>Miss Glam Damar</t>
        </is>
      </c>
      <c r="E5549" t="n">
        <v>1</v>
      </c>
      <c r="F5549" t="n">
        <v>0.07000000000000001</v>
      </c>
      <c r="G5549" t="n">
        <v>1</v>
      </c>
      <c r="H5549" t="n">
        <v>7</v>
      </c>
      <c r="I5549" t="n">
        <v>7</v>
      </c>
      <c r="J5549" t="n">
        <v>3</v>
      </c>
      <c r="K5549" t="n">
        <v>0</v>
      </c>
      <c r="L5549" t="n">
        <v>51750</v>
      </c>
      <c r="M5549" t="n">
        <v>69000</v>
      </c>
      <c r="N5549" t="n">
        <v>91</v>
      </c>
      <c r="O5549" t="n">
        <v>0.91</v>
      </c>
      <c r="P5549" t="n">
        <v>0</v>
      </c>
      <c r="Q5549" t="n">
        <v>0.07000000000000001</v>
      </c>
      <c r="R5549" t="n">
        <v>1</v>
      </c>
      <c r="S5549" t="n">
        <v>4830.000000000001</v>
      </c>
      <c r="T5549" t="n">
        <v>7</v>
      </c>
      <c r="U5549" t="n">
        <v>8</v>
      </c>
      <c r="V5549" t="n">
        <v>30</v>
      </c>
      <c r="W5549" t="n">
        <v>3</v>
      </c>
      <c r="X5549" t="n">
        <v>14.28571428571428</v>
      </c>
      <c r="Y5549" t="n">
        <v>1</v>
      </c>
      <c r="Z5549" t="n">
        <v>2</v>
      </c>
      <c r="AA5549" t="n">
        <v>0</v>
      </c>
      <c r="AB5549" t="n">
        <v>2</v>
      </c>
      <c r="AC5549" t="n">
        <v>3</v>
      </c>
      <c r="AD5549" t="n">
        <v>0</v>
      </c>
      <c r="AE5549" t="n">
        <v>155250</v>
      </c>
      <c r="AF5549" t="n">
        <v>2131</v>
      </c>
      <c r="AG5549" t="n">
        <v>3342</v>
      </c>
      <c r="AH5549" t="inlineStr">
        <is>
          <t>PT NUSANTARA SARANA OUTLET (KNS)</t>
        </is>
      </c>
      <c r="AI5549" t="n">
        <v>2187</v>
      </c>
      <c r="AJ5549" t="inlineStr">
        <is>
          <t>SOULYU</t>
        </is>
      </c>
      <c r="AK5549" t="n">
        <v>21</v>
      </c>
      <c r="AL5549" t="inlineStr">
        <is>
          <t>Miss Glam Damar</t>
        </is>
      </c>
      <c r="AM5549" t="n">
        <v>4</v>
      </c>
      <c r="AN5549" t="n">
        <v>500000</v>
      </c>
      <c r="AO5549" t="n">
        <v>0</v>
      </c>
      <c r="AP5549" t="inlineStr"/>
      <c r="AQ5549" t="inlineStr"/>
    </row>
    <row r="5550">
      <c r="A5550" t="inlineStr">
        <is>
          <t>SOULYU</t>
        </is>
      </c>
      <c r="B5550" s="2">
        <f>"20300388923"</f>
        <v/>
      </c>
      <c r="C5550" t="inlineStr">
        <is>
          <t>SOULYU Intense Stay Lip Stain - Revealed 26gr</t>
        </is>
      </c>
      <c r="D5550" t="inlineStr">
        <is>
          <t>Miss Glam Damar</t>
        </is>
      </c>
      <c r="E5550" t="n">
        <v>4</v>
      </c>
      <c r="F5550" t="n">
        <v>0.0364</v>
      </c>
      <c r="G5550" t="n">
        <v>0.91</v>
      </c>
      <c r="H5550" t="n">
        <v>7</v>
      </c>
      <c r="I5550" t="n">
        <v>7</v>
      </c>
      <c r="J5550" t="n">
        <v>3</v>
      </c>
      <c r="K5550" t="n">
        <v>0</v>
      </c>
      <c r="L5550" t="n">
        <v>51750</v>
      </c>
      <c r="M5550" t="n">
        <v>69000</v>
      </c>
      <c r="N5550" t="n">
        <v>91</v>
      </c>
      <c r="O5550" t="n">
        <v>0.91</v>
      </c>
      <c r="P5550" t="n">
        <v>1</v>
      </c>
      <c r="Q5550" t="n">
        <v>0.03</v>
      </c>
      <c r="R5550" t="n">
        <v>1</v>
      </c>
      <c r="S5550" t="n">
        <v>2511.6</v>
      </c>
      <c r="T5550" t="n">
        <v>7</v>
      </c>
      <c r="U5550" t="n">
        <v>8</v>
      </c>
      <c r="V5550" t="n">
        <v>30</v>
      </c>
      <c r="W5550" t="n">
        <v>2</v>
      </c>
      <c r="X5550" t="n">
        <v>109.8901098901099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2131</v>
      </c>
      <c r="AG5550" t="n">
        <v>3342</v>
      </c>
      <c r="AH5550" t="inlineStr">
        <is>
          <t>PT NUSANTARA SARANA OUTLET (KNS)</t>
        </is>
      </c>
      <c r="AI5550" t="n">
        <v>2187</v>
      </c>
      <c r="AJ5550" t="inlineStr">
        <is>
          <t>SOULYU</t>
        </is>
      </c>
      <c r="AK5550" t="n">
        <v>21</v>
      </c>
      <c r="AL5550" t="inlineStr">
        <is>
          <t>Miss Glam Damar</t>
        </is>
      </c>
      <c r="AM5550" t="n">
        <v>4</v>
      </c>
      <c r="AN5550" t="n">
        <v>500000</v>
      </c>
      <c r="AO5550" t="n">
        <v>0</v>
      </c>
      <c r="AP5550" t="inlineStr"/>
      <c r="AQ5550" t="inlineStr"/>
    </row>
    <row r="5551">
      <c r="A5551" t="inlineStr">
        <is>
          <t>SOULYU</t>
        </is>
      </c>
      <c r="B5551" s="2">
        <f>"20300388521"</f>
        <v/>
      </c>
      <c r="C5551" t="inlineStr">
        <is>
          <t>SOULYU Intense Stay Lip Stain - Trust 26gr</t>
        </is>
      </c>
      <c r="D5551" t="inlineStr">
        <is>
          <t>Miss Glam Damar</t>
        </is>
      </c>
      <c r="E5551" t="n">
        <v>0</v>
      </c>
      <c r="F5551" t="n">
        <v>0.0546</v>
      </c>
      <c r="G5551" t="n">
        <v>0.91</v>
      </c>
      <c r="H5551" t="n">
        <v>7</v>
      </c>
      <c r="I5551" t="n">
        <v>7</v>
      </c>
      <c r="J5551" t="n">
        <v>3</v>
      </c>
      <c r="K5551" t="n">
        <v>0</v>
      </c>
      <c r="L5551" t="n">
        <v>51750</v>
      </c>
      <c r="M5551" t="n">
        <v>69000</v>
      </c>
      <c r="N5551" t="n">
        <v>91</v>
      </c>
      <c r="O5551" t="n">
        <v>0.91</v>
      </c>
      <c r="P5551" t="n">
        <v>1</v>
      </c>
      <c r="Q5551" t="n">
        <v>0.07000000000000001</v>
      </c>
      <c r="R5551" t="n">
        <v>1</v>
      </c>
      <c r="S5551" t="n">
        <v>3767.4</v>
      </c>
      <c r="T5551" t="n">
        <v>6</v>
      </c>
      <c r="U5551" t="n">
        <v>7</v>
      </c>
      <c r="V5551" t="n">
        <v>30</v>
      </c>
      <c r="W5551" t="n">
        <v>2</v>
      </c>
      <c r="X5551" t="n">
        <v>0</v>
      </c>
      <c r="Y5551" t="n">
        <v>1</v>
      </c>
      <c r="Z5551" t="n">
        <v>2</v>
      </c>
      <c r="AA5551" t="n">
        <v>1</v>
      </c>
      <c r="AB5551" t="n">
        <v>1</v>
      </c>
      <c r="AC5551" t="n">
        <v>3</v>
      </c>
      <c r="AD5551" t="n">
        <v>51750</v>
      </c>
      <c r="AE5551" t="n">
        <v>155250</v>
      </c>
      <c r="AF5551" t="n">
        <v>2131</v>
      </c>
      <c r="AG5551" t="n">
        <v>3342</v>
      </c>
      <c r="AH5551" t="inlineStr">
        <is>
          <t>PT NUSANTARA SARANA OUTLET (KNS)</t>
        </is>
      </c>
      <c r="AI5551" t="n">
        <v>2187</v>
      </c>
      <c r="AJ5551" t="inlineStr">
        <is>
          <t>SOULYU</t>
        </is>
      </c>
      <c r="AK5551" t="n">
        <v>21</v>
      </c>
      <c r="AL5551" t="inlineStr">
        <is>
          <t>Miss Glam Damar</t>
        </is>
      </c>
      <c r="AM5551" t="n">
        <v>4</v>
      </c>
      <c r="AN5551" t="n">
        <v>500000</v>
      </c>
      <c r="AO5551" t="n">
        <v>0</v>
      </c>
      <c r="AP5551" t="inlineStr"/>
      <c r="AQ5551" t="inlineStr"/>
    </row>
    <row r="5552">
      <c r="A5552" t="inlineStr">
        <is>
          <t>SOULYU</t>
        </is>
      </c>
      <c r="B5552" s="2">
        <f>"20100171316"</f>
        <v/>
      </c>
      <c r="C5552" t="inlineStr">
        <is>
          <t>SOULYU Perfect UV Serum Foundation Satin - Crème 30ml</t>
        </is>
      </c>
      <c r="D5552" t="inlineStr">
        <is>
          <t>Miss Glam Damar</t>
        </is>
      </c>
      <c r="E5552" t="n">
        <v>2</v>
      </c>
      <c r="F5552" t="n">
        <v>0.0182</v>
      </c>
      <c r="G5552" t="n">
        <v>0.91</v>
      </c>
      <c r="H5552" t="n">
        <v>7</v>
      </c>
      <c r="I5552" t="n">
        <v>7</v>
      </c>
      <c r="J5552" t="n">
        <v>3</v>
      </c>
      <c r="K5552" t="n">
        <v>0</v>
      </c>
      <c r="L5552" t="n">
        <v>88000</v>
      </c>
      <c r="M5552" t="n">
        <v>110000</v>
      </c>
      <c r="N5552" t="n">
        <v>91</v>
      </c>
      <c r="O5552" t="n">
        <v>0.91</v>
      </c>
      <c r="P5552" t="n">
        <v>1</v>
      </c>
      <c r="Q5552" t="n">
        <v>0.02</v>
      </c>
      <c r="R5552" t="n">
        <v>1</v>
      </c>
      <c r="S5552" t="n">
        <v>2002</v>
      </c>
      <c r="T5552" t="n">
        <v>7</v>
      </c>
      <c r="U5552" t="n">
        <v>8</v>
      </c>
      <c r="V5552" t="n">
        <v>30</v>
      </c>
      <c r="W5552" t="n">
        <v>1</v>
      </c>
      <c r="X5552" t="n">
        <v>109.8901098901099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2131</v>
      </c>
      <c r="AG5552" t="n">
        <v>3342</v>
      </c>
      <c r="AH5552" t="inlineStr">
        <is>
          <t>PT NUSANTARA SARANA OUTLET (KNS)</t>
        </is>
      </c>
      <c r="AI5552" t="n">
        <v>2187</v>
      </c>
      <c r="AJ5552" t="inlineStr">
        <is>
          <t>SOULYU</t>
        </is>
      </c>
      <c r="AK5552" t="n">
        <v>21</v>
      </c>
      <c r="AL5552" t="inlineStr">
        <is>
          <t>Miss Glam Damar</t>
        </is>
      </c>
      <c r="AM5552" t="n">
        <v>4</v>
      </c>
      <c r="AN5552" t="n">
        <v>500000</v>
      </c>
      <c r="AO5552" t="n">
        <v>0</v>
      </c>
      <c r="AP5552" t="inlineStr"/>
      <c r="AQ5552" t="inlineStr"/>
    </row>
    <row r="5553">
      <c r="A5553" t="inlineStr">
        <is>
          <t>SOULYU</t>
        </is>
      </c>
      <c r="B5553" s="2">
        <f>"20200332402"</f>
        <v/>
      </c>
      <c r="C5553" t="inlineStr">
        <is>
          <t>SOULYU Precision Pro Matte Eyeliner Soft Brown 1ml</t>
        </is>
      </c>
      <c r="D5553" t="inlineStr">
        <is>
          <t>Miss Glam Damar</t>
        </is>
      </c>
      <c r="E5553" t="n">
        <v>3</v>
      </c>
      <c r="F5553" t="n">
        <v>0.02</v>
      </c>
      <c r="G5553" t="n">
        <v>1</v>
      </c>
      <c r="H5553" t="n">
        <v>7</v>
      </c>
      <c r="I5553" t="n">
        <v>7</v>
      </c>
      <c r="J5553" t="n">
        <v>3</v>
      </c>
      <c r="K5553" t="n">
        <v>0</v>
      </c>
      <c r="L5553" t="n">
        <v>63200</v>
      </c>
      <c r="M5553" t="n">
        <v>79000</v>
      </c>
      <c r="N5553" t="n">
        <v>91</v>
      </c>
      <c r="O5553" t="n">
        <v>0.91</v>
      </c>
      <c r="P5553" t="n">
        <v>0</v>
      </c>
      <c r="Q5553" t="n">
        <v>0.02</v>
      </c>
      <c r="R5553" t="n">
        <v>1</v>
      </c>
      <c r="S5553" t="n">
        <v>1580</v>
      </c>
      <c r="T5553" t="n">
        <v>7</v>
      </c>
      <c r="U5553" t="n">
        <v>8</v>
      </c>
      <c r="V5553" t="n">
        <v>30</v>
      </c>
      <c r="W5553" t="n">
        <v>1</v>
      </c>
      <c r="X5553" t="n">
        <v>150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2131</v>
      </c>
      <c r="AG5553" t="n">
        <v>3342</v>
      </c>
      <c r="AH5553" t="inlineStr">
        <is>
          <t>PT NUSANTARA SARANA OUTLET (KNS)</t>
        </is>
      </c>
      <c r="AI5553" t="n">
        <v>2187</v>
      </c>
      <c r="AJ5553" t="inlineStr">
        <is>
          <t>SOULYU</t>
        </is>
      </c>
      <c r="AK5553" t="n">
        <v>21</v>
      </c>
      <c r="AL5553" t="inlineStr">
        <is>
          <t>Miss Glam Damar</t>
        </is>
      </c>
      <c r="AM5553" t="n">
        <v>4</v>
      </c>
      <c r="AN5553" t="n">
        <v>500000</v>
      </c>
      <c r="AO5553" t="n">
        <v>0</v>
      </c>
      <c r="AP5553" t="inlineStr"/>
      <c r="AQ5553" t="inlineStr"/>
    </row>
    <row r="5554">
      <c r="A5554" t="inlineStr">
        <is>
          <t>SOULYU</t>
        </is>
      </c>
      <c r="B5554" s="2">
        <f>"20200218548"</f>
        <v/>
      </c>
      <c r="C5554" t="inlineStr">
        <is>
          <t>SOULYU Soulyu ANTI-DROP Mascara 8.9ml</t>
        </is>
      </c>
      <c r="D5554" t="inlineStr">
        <is>
          <t>Miss Glam Damar</t>
        </is>
      </c>
      <c r="E5554" t="n">
        <v>3</v>
      </c>
      <c r="F5554" t="n">
        <v>0.03</v>
      </c>
      <c r="G5554" t="n">
        <v>1</v>
      </c>
      <c r="H5554" t="n">
        <v>7</v>
      </c>
      <c r="I5554" t="n">
        <v>7</v>
      </c>
      <c r="J5554" t="n">
        <v>3</v>
      </c>
      <c r="K5554" t="n">
        <v>0</v>
      </c>
      <c r="L5554" t="n">
        <v>53250</v>
      </c>
      <c r="M5554" t="n">
        <v>71000</v>
      </c>
      <c r="N5554" t="n">
        <v>91</v>
      </c>
      <c r="O5554" t="n">
        <v>0.91</v>
      </c>
      <c r="P5554" t="n">
        <v>0</v>
      </c>
      <c r="Q5554" t="n">
        <v>0.03</v>
      </c>
      <c r="R5554" t="n">
        <v>1</v>
      </c>
      <c r="S5554" t="n">
        <v>2130</v>
      </c>
      <c r="T5554" t="n">
        <v>7</v>
      </c>
      <c r="U5554" t="n">
        <v>8</v>
      </c>
      <c r="V5554" t="n">
        <v>30</v>
      </c>
      <c r="W5554" t="n">
        <v>1</v>
      </c>
      <c r="X5554" t="n">
        <v>100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2131</v>
      </c>
      <c r="AG5554" t="n">
        <v>3342</v>
      </c>
      <c r="AH5554" t="inlineStr">
        <is>
          <t>PT NUSANTARA SARANA OUTLET (KNS)</t>
        </is>
      </c>
      <c r="AI5554" t="n">
        <v>2187</v>
      </c>
      <c r="AJ5554" t="inlineStr">
        <is>
          <t>SOULYU</t>
        </is>
      </c>
      <c r="AK5554" t="n">
        <v>21</v>
      </c>
      <c r="AL5554" t="inlineStr">
        <is>
          <t>Miss Glam Damar</t>
        </is>
      </c>
      <c r="AM5554" t="n">
        <v>4</v>
      </c>
      <c r="AN5554" t="n">
        <v>500000</v>
      </c>
      <c r="AO5554" t="n">
        <v>0</v>
      </c>
      <c r="AP5554" t="inlineStr"/>
      <c r="AQ5554" t="inlineStr"/>
    </row>
    <row r="5555">
      <c r="A5555" t="inlineStr">
        <is>
          <t>SOWSO</t>
        </is>
      </c>
      <c r="B5555" s="2">
        <f>"30200419133"</f>
        <v/>
      </c>
      <c r="C5555" t="inlineStr">
        <is>
          <t>SOWSO AHASKINBOOSTER Brightening Body Serum 30ml</t>
        </is>
      </c>
      <c r="D5555" t="inlineStr">
        <is>
          <t>Miss Glam Damar</t>
        </is>
      </c>
      <c r="E5555" t="n">
        <v>10</v>
      </c>
      <c r="F5555" t="n">
        <v>0.0273</v>
      </c>
      <c r="G5555" t="n">
        <v>0.91</v>
      </c>
      <c r="H5555" t="n">
        <v>4</v>
      </c>
      <c r="I5555" t="n">
        <v>21</v>
      </c>
      <c r="J5555" t="n">
        <v>3</v>
      </c>
      <c r="K5555" t="n">
        <v>0</v>
      </c>
      <c r="L5555" t="n">
        <v>43101</v>
      </c>
      <c r="M5555" t="n">
        <v>55000</v>
      </c>
      <c r="N5555" t="n">
        <v>91</v>
      </c>
      <c r="O5555" t="n">
        <v>0.91</v>
      </c>
      <c r="P5555" t="n">
        <v>1</v>
      </c>
      <c r="Q5555" t="n">
        <v>0.02</v>
      </c>
      <c r="R5555" t="n">
        <v>1</v>
      </c>
      <c r="S5555" t="n">
        <v>1501.5</v>
      </c>
      <c r="T5555" t="n">
        <v>20</v>
      </c>
      <c r="U5555" t="n">
        <v>21</v>
      </c>
      <c r="V5555" t="n">
        <v>30</v>
      </c>
      <c r="W5555" t="n">
        <v>1</v>
      </c>
      <c r="X5555" t="n">
        <v>366.3003663003663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8684</v>
      </c>
      <c r="AG5555" t="n">
        <v>1</v>
      </c>
      <c r="AH5555" t="inlineStr">
        <is>
          <t>PT. BERSAMA DISTRIVERSA INDONESIA (DC CIPUTAT)</t>
        </is>
      </c>
      <c r="AI5555" t="n">
        <v>1940</v>
      </c>
      <c r="AJ5555" t="inlineStr">
        <is>
          <t>SOWSO</t>
        </is>
      </c>
      <c r="AK5555" t="n">
        <v>21</v>
      </c>
      <c r="AL5555" t="inlineStr">
        <is>
          <t>Miss Glam Damar</t>
        </is>
      </c>
      <c r="AM5555" t="n">
        <v>4</v>
      </c>
      <c r="AN5555" t="n">
        <v>500000</v>
      </c>
      <c r="AO5555" t="n">
        <v>0</v>
      </c>
      <c r="AP5555" t="inlineStr"/>
      <c r="AQ5555" t="inlineStr"/>
    </row>
    <row r="5556">
      <c r="A5556" t="inlineStr">
        <is>
          <t>SOWSO</t>
        </is>
      </c>
      <c r="B5556" s="2">
        <f>"30200901223"</f>
        <v/>
      </c>
      <c r="C5556" t="inlineStr">
        <is>
          <t>SOWSO Butt Butter Cream 30gr</t>
        </is>
      </c>
      <c r="D5556" t="inlineStr">
        <is>
          <t>Miss Glam Damar</t>
        </is>
      </c>
      <c r="E5556" t="n">
        <v>6</v>
      </c>
      <c r="F5556" t="n">
        <v>0.04550000000000001</v>
      </c>
      <c r="G5556" t="n">
        <v>0.91</v>
      </c>
      <c r="H5556" t="n">
        <v>4</v>
      </c>
      <c r="I5556" t="n">
        <v>21</v>
      </c>
      <c r="J5556" t="n">
        <v>3</v>
      </c>
      <c r="K5556" t="n">
        <v>0</v>
      </c>
      <c r="L5556" t="n">
        <v>11330</v>
      </c>
      <c r="M5556" t="n">
        <v>55000</v>
      </c>
      <c r="N5556" t="n">
        <v>91</v>
      </c>
      <c r="O5556" t="n">
        <v>0.91</v>
      </c>
      <c r="P5556" t="n">
        <v>1</v>
      </c>
      <c r="Q5556" t="n">
        <v>0.02</v>
      </c>
      <c r="R5556" t="n">
        <v>1</v>
      </c>
      <c r="S5556" t="n">
        <v>2502.5</v>
      </c>
      <c r="T5556" t="n">
        <v>19</v>
      </c>
      <c r="U5556" t="n">
        <v>20</v>
      </c>
      <c r="V5556" t="n">
        <v>30</v>
      </c>
      <c r="W5556" t="n">
        <v>2</v>
      </c>
      <c r="X5556" t="n">
        <v>131.8681318681319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8684</v>
      </c>
      <c r="AG5556" t="n">
        <v>1</v>
      </c>
      <c r="AH5556" t="inlineStr">
        <is>
          <t>PT. BERSAMA DISTRIVERSA INDONESIA (DC CIPUTAT)</t>
        </is>
      </c>
      <c r="AI5556" t="n">
        <v>1940</v>
      </c>
      <c r="AJ5556" t="inlineStr">
        <is>
          <t>SOWSO</t>
        </is>
      </c>
      <c r="AK5556" t="n">
        <v>21</v>
      </c>
      <c r="AL5556" t="inlineStr">
        <is>
          <t>Miss Glam Damar</t>
        </is>
      </c>
      <c r="AM5556" t="n">
        <v>4</v>
      </c>
      <c r="AN5556" t="n">
        <v>500000</v>
      </c>
      <c r="AO5556" t="n">
        <v>0</v>
      </c>
      <c r="AP5556" t="inlineStr"/>
      <c r="AQ5556" t="inlineStr"/>
    </row>
    <row r="5557">
      <c r="A5557" t="inlineStr">
        <is>
          <t>SPEAKS TO ME</t>
        </is>
      </c>
      <c r="B5557" s="2">
        <f>"304002155748"</f>
        <v/>
      </c>
      <c r="C5557" t="inlineStr">
        <is>
          <t>SPEAKS TO ME Girl Friends Forever 50ml</t>
        </is>
      </c>
      <c r="D5557" t="inlineStr">
        <is>
          <t>Miss Glam Damar</t>
        </is>
      </c>
      <c r="E5557" t="n">
        <v>6</v>
      </c>
      <c r="F5557" t="n">
        <v>0.02</v>
      </c>
      <c r="G5557" t="n">
        <v>1</v>
      </c>
      <c r="H5557" t="n">
        <v>2</v>
      </c>
      <c r="I5557" t="n">
        <v>11</v>
      </c>
      <c r="J5557" t="n">
        <v>3</v>
      </c>
      <c r="K5557" t="n">
        <v>0</v>
      </c>
      <c r="L5557" t="n">
        <v>215280</v>
      </c>
      <c r="M5557" t="n">
        <v>299000</v>
      </c>
      <c r="N5557" t="n">
        <v>91</v>
      </c>
      <c r="O5557" t="n">
        <v>0.91</v>
      </c>
      <c r="P5557" t="n">
        <v>0</v>
      </c>
      <c r="Q5557" t="n">
        <v>0.02</v>
      </c>
      <c r="R5557" t="n">
        <v>1</v>
      </c>
      <c r="S5557" t="n">
        <v>5980</v>
      </c>
      <c r="T5557" t="n">
        <v>11</v>
      </c>
      <c r="U5557" t="n">
        <v>12</v>
      </c>
      <c r="V5557" t="n">
        <v>30</v>
      </c>
      <c r="W5557" t="n">
        <v>1</v>
      </c>
      <c r="X5557" t="n">
        <v>300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12391</v>
      </c>
      <c r="AG5557" t="n">
        <v>92</v>
      </c>
      <c r="AH5557" t="inlineStr">
        <is>
          <t>PT. SAI (PDG)</t>
        </is>
      </c>
      <c r="AI5557" t="n">
        <v>2185</v>
      </c>
      <c r="AJ5557" t="inlineStr">
        <is>
          <t>SPEAKS TO ME</t>
        </is>
      </c>
      <c r="AK5557" t="n">
        <v>21</v>
      </c>
      <c r="AL5557" t="inlineStr">
        <is>
          <t>Miss Glam Damar</t>
        </is>
      </c>
      <c r="AM5557" t="n">
        <v>1</v>
      </c>
      <c r="AN5557" t="n">
        <v>500000</v>
      </c>
      <c r="AO5557" t="n">
        <v>0</v>
      </c>
      <c r="AP5557" t="inlineStr"/>
      <c r="AQ5557" t="inlineStr"/>
    </row>
    <row r="5558">
      <c r="A5558" t="inlineStr">
        <is>
          <t>SR 12</t>
        </is>
      </c>
      <c r="B5558" s="2">
        <f>"10700340942"</f>
        <v/>
      </c>
      <c r="C5558" t="inlineStr">
        <is>
          <t>SR12 Cherry Lip Balm Moisturizer &amp; Lip Colour 4.5gr</t>
        </is>
      </c>
      <c r="D5558" t="inlineStr">
        <is>
          <t>Miss Glam Damar</t>
        </is>
      </c>
      <c r="E5558" t="n">
        <v>15</v>
      </c>
      <c r="F5558" t="n">
        <v>0.3731</v>
      </c>
      <c r="G5558" t="n">
        <v>1.82</v>
      </c>
      <c r="H5558" t="n">
        <v>2</v>
      </c>
      <c r="I5558" t="n">
        <v>4</v>
      </c>
      <c r="J5558" t="n">
        <v>1</v>
      </c>
      <c r="K5558" t="n">
        <v>0</v>
      </c>
      <c r="L5558" t="n">
        <v>30800</v>
      </c>
      <c r="M5558" t="n">
        <v>38500</v>
      </c>
      <c r="N5558" t="n">
        <v>91</v>
      </c>
      <c r="O5558" t="n">
        <v>0.91</v>
      </c>
      <c r="P5558" t="n">
        <v>1</v>
      </c>
      <c r="Q5558" t="n">
        <v>0.15</v>
      </c>
      <c r="R5558" t="n">
        <v>2</v>
      </c>
      <c r="S5558" t="n">
        <v>14364.35</v>
      </c>
      <c r="T5558" t="n">
        <v>7</v>
      </c>
      <c r="U5558" t="n">
        <v>8</v>
      </c>
      <c r="V5558" t="n">
        <v>30</v>
      </c>
      <c r="W5558" t="n">
        <v>12</v>
      </c>
      <c r="X5558" t="n">
        <v>40.20369874028411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13458</v>
      </c>
      <c r="AG5558" t="n">
        <v>2217</v>
      </c>
      <c r="AH5558" t="inlineStr">
        <is>
          <t>SR12 (PST)</t>
        </is>
      </c>
      <c r="AI5558" t="n">
        <v>149</v>
      </c>
      <c r="AJ5558" t="inlineStr">
        <is>
          <t>SR 12</t>
        </is>
      </c>
      <c r="AK5558" t="n">
        <v>21</v>
      </c>
      <c r="AL5558" t="inlineStr">
        <is>
          <t>Miss Glam Damar</t>
        </is>
      </c>
      <c r="AM5558" t="n">
        <v>4</v>
      </c>
      <c r="AN5558" t="n">
        <v>500000</v>
      </c>
      <c r="AO5558" t="n">
        <v>0</v>
      </c>
      <c r="AP5558" t="inlineStr"/>
      <c r="AQ5558" t="inlineStr"/>
    </row>
    <row r="5559">
      <c r="A5559" t="inlineStr">
        <is>
          <t>SR 12</t>
        </is>
      </c>
      <c r="B5559" s="2">
        <f>"30400411305"</f>
        <v/>
      </c>
      <c r="C5559" t="inlineStr">
        <is>
          <t>SR12 Deodorant Spray 60ml</t>
        </is>
      </c>
      <c r="D5559" t="inlineStr">
        <is>
          <t>Miss Glam Damar</t>
        </is>
      </c>
      <c r="E5559" t="n">
        <v>59</v>
      </c>
      <c r="F5559" t="n">
        <v>3.2578</v>
      </c>
      <c r="G5559" t="n">
        <v>8.19</v>
      </c>
      <c r="H5559" t="n">
        <v>2</v>
      </c>
      <c r="I5559" t="n">
        <v>4</v>
      </c>
      <c r="J5559" t="n">
        <v>3</v>
      </c>
      <c r="K5559" t="n">
        <v>0</v>
      </c>
      <c r="L5559" t="n">
        <v>33600</v>
      </c>
      <c r="M5559" t="n">
        <v>42000</v>
      </c>
      <c r="N5559" t="n">
        <v>91</v>
      </c>
      <c r="O5559" t="n">
        <v>0.91</v>
      </c>
      <c r="P5559" t="n">
        <v>1</v>
      </c>
      <c r="Q5559" t="n">
        <v>2.36</v>
      </c>
      <c r="R5559" t="n">
        <v>9</v>
      </c>
      <c r="S5559" t="n">
        <v>136827.6</v>
      </c>
      <c r="T5559" t="n">
        <v>27</v>
      </c>
      <c r="U5559" t="n">
        <v>34</v>
      </c>
      <c r="V5559" t="n">
        <v>30</v>
      </c>
      <c r="W5559" t="n">
        <v>98</v>
      </c>
      <c r="X5559" t="n">
        <v>18.11038123887286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13458</v>
      </c>
      <c r="AG5559" t="n">
        <v>2217</v>
      </c>
      <c r="AH5559" t="inlineStr">
        <is>
          <t>SR12 (PST)</t>
        </is>
      </c>
      <c r="AI5559" t="n">
        <v>149</v>
      </c>
      <c r="AJ5559" t="inlineStr">
        <is>
          <t>SR 12</t>
        </is>
      </c>
      <c r="AK5559" t="n">
        <v>21</v>
      </c>
      <c r="AL5559" t="inlineStr">
        <is>
          <t>Miss Glam Damar</t>
        </is>
      </c>
      <c r="AM5559" t="n">
        <v>4</v>
      </c>
      <c r="AN5559" t="n">
        <v>500000</v>
      </c>
      <c r="AO5559" t="n">
        <v>0</v>
      </c>
      <c r="AP5559" t="inlineStr"/>
      <c r="AQ5559" t="inlineStr"/>
    </row>
    <row r="5560">
      <c r="A5560" t="inlineStr">
        <is>
          <t>SR 12</t>
        </is>
      </c>
      <c r="B5560" s="2">
        <f>"30400425846"</f>
        <v/>
      </c>
      <c r="C5560" t="inlineStr">
        <is>
          <t>SR12 Deodorant Spray Premium 60ml</t>
        </is>
      </c>
      <c r="D5560" t="inlineStr">
        <is>
          <t>Miss Glam Damar</t>
        </is>
      </c>
      <c r="E5560" t="n">
        <v>49</v>
      </c>
      <c r="F5560" t="n">
        <v>1.2649</v>
      </c>
      <c r="G5560" t="n">
        <v>4.55</v>
      </c>
      <c r="H5560" t="n">
        <v>2</v>
      </c>
      <c r="I5560" t="n">
        <v>4</v>
      </c>
      <c r="J5560" t="n">
        <v>3</v>
      </c>
      <c r="K5560" t="n">
        <v>0</v>
      </c>
      <c r="L5560" t="n">
        <v>50400</v>
      </c>
      <c r="M5560" t="n">
        <v>63000</v>
      </c>
      <c r="N5560" t="n">
        <v>91</v>
      </c>
      <c r="O5560" t="n">
        <v>0.91</v>
      </c>
      <c r="P5560" t="n">
        <v>1</v>
      </c>
      <c r="Q5560" t="n">
        <v>1.24</v>
      </c>
      <c r="R5560" t="n">
        <v>8</v>
      </c>
      <c r="S5560" t="n">
        <v>79688.7</v>
      </c>
      <c r="T5560" t="n">
        <v>16</v>
      </c>
      <c r="U5560" t="n">
        <v>19</v>
      </c>
      <c r="V5560" t="n">
        <v>30</v>
      </c>
      <c r="W5560" t="n">
        <v>38</v>
      </c>
      <c r="X5560" t="n">
        <v>38.7382401770891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13458</v>
      </c>
      <c r="AG5560" t="n">
        <v>2217</v>
      </c>
      <c r="AH5560" t="inlineStr">
        <is>
          <t>SR12 (PST)</t>
        </is>
      </c>
      <c r="AI5560" t="n">
        <v>149</v>
      </c>
      <c r="AJ5560" t="inlineStr">
        <is>
          <t>SR 12</t>
        </is>
      </c>
      <c r="AK5560" t="n">
        <v>21</v>
      </c>
      <c r="AL5560" t="inlineStr">
        <is>
          <t>Miss Glam Damar</t>
        </is>
      </c>
      <c r="AM5560" t="n">
        <v>4</v>
      </c>
      <c r="AN5560" t="n">
        <v>500000</v>
      </c>
      <c r="AO5560" t="n">
        <v>0</v>
      </c>
      <c r="AP5560" t="inlineStr"/>
      <c r="AQ5560" t="inlineStr"/>
    </row>
    <row r="5561">
      <c r="A5561" t="inlineStr">
        <is>
          <t>SR 12</t>
        </is>
      </c>
      <c r="B5561" s="2">
        <f>"20300423258"</f>
        <v/>
      </c>
      <c r="C5561" t="inlineStr">
        <is>
          <t>SR12 Lip Care Cherry 5gr</t>
        </is>
      </c>
      <c r="D5561" t="inlineStr">
        <is>
          <t>Miss Glam Damar</t>
        </is>
      </c>
      <c r="E5561" t="n">
        <v>35</v>
      </c>
      <c r="F5561" t="n">
        <v>1.3377</v>
      </c>
      <c r="G5561" t="n">
        <v>5.46</v>
      </c>
      <c r="H5561" t="n">
        <v>2</v>
      </c>
      <c r="I5561" t="n">
        <v>4</v>
      </c>
      <c r="J5561" t="n">
        <v>6</v>
      </c>
      <c r="K5561" t="n">
        <v>0</v>
      </c>
      <c r="L5561" t="n">
        <v>21200</v>
      </c>
      <c r="M5561" t="n">
        <v>26500</v>
      </c>
      <c r="N5561" t="n">
        <v>91</v>
      </c>
      <c r="O5561" t="n">
        <v>0.91</v>
      </c>
      <c r="P5561" t="n">
        <v>1</v>
      </c>
      <c r="Q5561" t="n">
        <v>0.8100000000000001</v>
      </c>
      <c r="R5561" t="n">
        <v>4</v>
      </c>
      <c r="S5561" t="n">
        <v>35449.05</v>
      </c>
      <c r="T5561" t="n">
        <v>20</v>
      </c>
      <c r="U5561" t="n">
        <v>23</v>
      </c>
      <c r="V5561" t="n">
        <v>30</v>
      </c>
      <c r="W5561" t="n">
        <v>41</v>
      </c>
      <c r="X5561" t="n">
        <v>26.16431187859759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13458</v>
      </c>
      <c r="AG5561" t="n">
        <v>2217</v>
      </c>
      <c r="AH5561" t="inlineStr">
        <is>
          <t>SR12 (PST)</t>
        </is>
      </c>
      <c r="AI5561" t="n">
        <v>149</v>
      </c>
      <c r="AJ5561" t="inlineStr">
        <is>
          <t>SR 12</t>
        </is>
      </c>
      <c r="AK5561" t="n">
        <v>21</v>
      </c>
      <c r="AL5561" t="inlineStr">
        <is>
          <t>Miss Glam Damar</t>
        </is>
      </c>
      <c r="AM5561" t="n">
        <v>4</v>
      </c>
      <c r="AN5561" t="n">
        <v>500000</v>
      </c>
      <c r="AO5561" t="n">
        <v>0</v>
      </c>
      <c r="AP5561" t="inlineStr"/>
      <c r="AQ5561" t="inlineStr"/>
    </row>
    <row r="5562">
      <c r="A5562" t="inlineStr">
        <is>
          <t>SR 12</t>
        </is>
      </c>
      <c r="B5562" s="2">
        <f>"20300423218"</f>
        <v/>
      </c>
      <c r="C5562" t="inlineStr">
        <is>
          <t>SR12 Lip Care Natural 5gr</t>
        </is>
      </c>
      <c r="D5562" t="inlineStr">
        <is>
          <t>Miss Glam Damar</t>
        </is>
      </c>
      <c r="E5562" t="n">
        <v>16</v>
      </c>
      <c r="F5562" t="n">
        <v>0.04550000000000001</v>
      </c>
      <c r="G5562" t="n">
        <v>0.91</v>
      </c>
      <c r="H5562" t="n">
        <v>2</v>
      </c>
      <c r="I5562" t="n">
        <v>4</v>
      </c>
      <c r="J5562" t="n">
        <v>3</v>
      </c>
      <c r="K5562" t="n">
        <v>0</v>
      </c>
      <c r="L5562" t="n">
        <v>21200</v>
      </c>
      <c r="M5562" t="n">
        <v>26500</v>
      </c>
      <c r="N5562" t="n">
        <v>91</v>
      </c>
      <c r="O5562" t="n">
        <v>0.91</v>
      </c>
      <c r="P5562" t="n">
        <v>1</v>
      </c>
      <c r="Q5562" t="n">
        <v>0.08</v>
      </c>
      <c r="R5562" t="n">
        <v>1</v>
      </c>
      <c r="S5562" t="n">
        <v>1205.75</v>
      </c>
      <c r="T5562" t="n">
        <v>4</v>
      </c>
      <c r="U5562" t="n">
        <v>5</v>
      </c>
      <c r="V5562" t="n">
        <v>30</v>
      </c>
      <c r="W5562" t="n">
        <v>2</v>
      </c>
      <c r="X5562" t="n">
        <v>351.6483516483516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13458</v>
      </c>
      <c r="AG5562" t="n">
        <v>2217</v>
      </c>
      <c r="AH5562" t="inlineStr">
        <is>
          <t>SR12 (PST)</t>
        </is>
      </c>
      <c r="AI5562" t="n">
        <v>149</v>
      </c>
      <c r="AJ5562" t="inlineStr">
        <is>
          <t>SR 12</t>
        </is>
      </c>
      <c r="AK5562" t="n">
        <v>21</v>
      </c>
      <c r="AL5562" t="inlineStr">
        <is>
          <t>Miss Glam Damar</t>
        </is>
      </c>
      <c r="AM5562" t="n">
        <v>4</v>
      </c>
      <c r="AN5562" t="n">
        <v>500000</v>
      </c>
      <c r="AO5562" t="n">
        <v>0</v>
      </c>
      <c r="AP5562" t="inlineStr"/>
      <c r="AQ5562" t="inlineStr"/>
    </row>
    <row r="5563">
      <c r="A5563" t="inlineStr">
        <is>
          <t>SR 12</t>
        </is>
      </c>
      <c r="B5563" s="2">
        <f>"20300423141"</f>
        <v/>
      </c>
      <c r="C5563" t="inlineStr">
        <is>
          <t>SR12 Lip Glow Magic 2gr</t>
        </is>
      </c>
      <c r="D5563" t="inlineStr">
        <is>
          <t>Miss Glam Damar</t>
        </is>
      </c>
      <c r="E5563" t="n">
        <v>9</v>
      </c>
      <c r="F5563" t="n">
        <v>0.09100000000000001</v>
      </c>
      <c r="G5563" t="n">
        <v>1.82</v>
      </c>
      <c r="H5563" t="n">
        <v>2</v>
      </c>
      <c r="I5563" t="n">
        <v>4</v>
      </c>
      <c r="J5563" t="n">
        <v>3</v>
      </c>
      <c r="K5563" t="n">
        <v>0</v>
      </c>
      <c r="L5563" t="n">
        <v>42000</v>
      </c>
      <c r="M5563" t="n">
        <v>52500</v>
      </c>
      <c r="N5563" t="n">
        <v>91</v>
      </c>
      <c r="O5563" t="n">
        <v>0.91</v>
      </c>
      <c r="P5563" t="n">
        <v>1</v>
      </c>
      <c r="Q5563" t="n">
        <v>0.05</v>
      </c>
      <c r="R5563" t="n">
        <v>1</v>
      </c>
      <c r="S5563" t="n">
        <v>4777.500000000001</v>
      </c>
      <c r="T5563" t="n">
        <v>8</v>
      </c>
      <c r="U5563" t="n">
        <v>9</v>
      </c>
      <c r="V5563" t="n">
        <v>30</v>
      </c>
      <c r="W5563" t="n">
        <v>3</v>
      </c>
      <c r="X5563" t="n">
        <v>98.90109890109889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13458</v>
      </c>
      <c r="AG5563" t="n">
        <v>2217</v>
      </c>
      <c r="AH5563" t="inlineStr">
        <is>
          <t>SR12 (PST)</t>
        </is>
      </c>
      <c r="AI5563" t="n">
        <v>149</v>
      </c>
      <c r="AJ5563" t="inlineStr">
        <is>
          <t>SR 12</t>
        </is>
      </c>
      <c r="AK5563" t="n">
        <v>21</v>
      </c>
      <c r="AL5563" t="inlineStr">
        <is>
          <t>Miss Glam Damar</t>
        </is>
      </c>
      <c r="AM5563" t="n">
        <v>4</v>
      </c>
      <c r="AN5563" t="n">
        <v>500000</v>
      </c>
      <c r="AO5563" t="n">
        <v>0</v>
      </c>
      <c r="AP5563" t="inlineStr"/>
      <c r="AQ5563" t="inlineStr"/>
    </row>
    <row r="5564">
      <c r="A5564" t="inlineStr">
        <is>
          <t>SR 12</t>
        </is>
      </c>
      <c r="B5564" s="2">
        <f>"10700203322"</f>
        <v/>
      </c>
      <c r="C5564" t="inlineStr">
        <is>
          <t>SR12 Lip Scrub Exfoliator &amp; Moisturizer 6gr</t>
        </is>
      </c>
      <c r="D5564" t="inlineStr">
        <is>
          <t>Miss Glam Damar</t>
        </is>
      </c>
      <c r="E5564" t="n">
        <v>17</v>
      </c>
      <c r="F5564" t="n">
        <v>0.3094</v>
      </c>
      <c r="G5564" t="n">
        <v>3.64</v>
      </c>
      <c r="H5564" t="n">
        <v>2</v>
      </c>
      <c r="I5564" t="n">
        <v>4</v>
      </c>
      <c r="J5564" t="n">
        <v>3</v>
      </c>
      <c r="K5564" t="n">
        <v>0</v>
      </c>
      <c r="L5564" t="n">
        <v>31200</v>
      </c>
      <c r="M5564" t="n">
        <v>39000</v>
      </c>
      <c r="N5564" t="n">
        <v>91</v>
      </c>
      <c r="O5564" t="n">
        <v>0.91</v>
      </c>
      <c r="P5564" t="n">
        <v>1</v>
      </c>
      <c r="Q5564" t="n">
        <v>0.44</v>
      </c>
      <c r="R5564" t="n">
        <v>3</v>
      </c>
      <c r="S5564" t="n">
        <v>12066.6</v>
      </c>
      <c r="T5564" t="n">
        <v>14</v>
      </c>
      <c r="U5564" t="n">
        <v>15</v>
      </c>
      <c r="V5564" t="n">
        <v>30</v>
      </c>
      <c r="W5564" t="n">
        <v>10</v>
      </c>
      <c r="X5564" t="n">
        <v>54.94505494505494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13458</v>
      </c>
      <c r="AG5564" t="n">
        <v>2217</v>
      </c>
      <c r="AH5564" t="inlineStr">
        <is>
          <t>SR12 (PST)</t>
        </is>
      </c>
      <c r="AI5564" t="n">
        <v>149</v>
      </c>
      <c r="AJ5564" t="inlineStr">
        <is>
          <t>SR 12</t>
        </is>
      </c>
      <c r="AK5564" t="n">
        <v>21</v>
      </c>
      <c r="AL5564" t="inlineStr">
        <is>
          <t>Miss Glam Damar</t>
        </is>
      </c>
      <c r="AM5564" t="n">
        <v>4</v>
      </c>
      <c r="AN5564" t="n">
        <v>500000</v>
      </c>
      <c r="AO5564" t="n">
        <v>0</v>
      </c>
      <c r="AP5564" t="inlineStr"/>
      <c r="AQ5564" t="inlineStr"/>
    </row>
    <row r="5565">
      <c r="A5565" t="inlineStr">
        <is>
          <t>STRIPER</t>
        </is>
      </c>
      <c r="B5565" s="2">
        <f>"30300405342"</f>
        <v/>
      </c>
      <c r="C5565" t="inlineStr">
        <is>
          <t>STRIPER Wax Strip Paper (Kain Waxing) isi 50 Lembar</t>
        </is>
      </c>
      <c r="D5565" t="inlineStr">
        <is>
          <t>Miss Glam Damar</t>
        </is>
      </c>
      <c r="E5565" t="n">
        <v>0</v>
      </c>
      <c r="F5565" t="n">
        <v>0.2912</v>
      </c>
      <c r="G5565" t="n">
        <v>2.73</v>
      </c>
      <c r="H5565" t="n">
        <v>4</v>
      </c>
      <c r="I5565" t="n">
        <v>21</v>
      </c>
      <c r="J5565" t="n">
        <v>3</v>
      </c>
      <c r="K5565" t="n">
        <v>0</v>
      </c>
      <c r="L5565" t="n">
        <v>10442</v>
      </c>
      <c r="M5565" t="n">
        <v>20000</v>
      </c>
      <c r="N5565" t="n">
        <v>91</v>
      </c>
      <c r="O5565" t="n">
        <v>0.91</v>
      </c>
      <c r="P5565" t="n">
        <v>1</v>
      </c>
      <c r="Q5565" t="n">
        <v>0.17</v>
      </c>
      <c r="R5565" t="n">
        <v>2</v>
      </c>
      <c r="S5565" t="n">
        <v>5824</v>
      </c>
      <c r="T5565" t="n">
        <v>57</v>
      </c>
      <c r="U5565" t="n">
        <v>59</v>
      </c>
      <c r="V5565" t="n">
        <v>30</v>
      </c>
      <c r="W5565" t="n">
        <v>9</v>
      </c>
      <c r="X5565" t="n">
        <v>0</v>
      </c>
      <c r="Y5565" t="n">
        <v>1</v>
      </c>
      <c r="Z5565" t="n">
        <v>9</v>
      </c>
      <c r="AA5565" t="n">
        <v>7</v>
      </c>
      <c r="AB5565" t="n">
        <v>2</v>
      </c>
      <c r="AC5565" t="n">
        <v>3</v>
      </c>
      <c r="AD5565" t="n">
        <v>73094</v>
      </c>
      <c r="AE5565" t="n">
        <v>31326</v>
      </c>
      <c r="AF5565" t="n">
        <v>8717</v>
      </c>
      <c r="AG5565" t="n">
        <v>1</v>
      </c>
      <c r="AH5565" t="inlineStr">
        <is>
          <t>PT. BERSAMA DISTRIVERSA INDONESIA (DC CIPUTAT)</t>
        </is>
      </c>
      <c r="AI5565" t="n">
        <v>1531</v>
      </c>
      <c r="AJ5565" t="inlineStr">
        <is>
          <t>STRIPER</t>
        </is>
      </c>
      <c r="AK5565" t="n">
        <v>21</v>
      </c>
      <c r="AL5565" t="inlineStr">
        <is>
          <t>Miss Glam Damar</t>
        </is>
      </c>
      <c r="AM5565" t="n">
        <v>4</v>
      </c>
      <c r="AN5565" t="n">
        <v>500000</v>
      </c>
      <c r="AO5565" t="n">
        <v>0</v>
      </c>
      <c r="AP5565" t="inlineStr"/>
      <c r="AQ5565" t="inlineStr"/>
    </row>
    <row r="5566">
      <c r="A5566" t="inlineStr">
        <is>
          <t>STUDIO TROPIK</t>
        </is>
      </c>
      <c r="B5566" s="2">
        <f>"8997217750076"</f>
        <v/>
      </c>
      <c r="C5566" t="inlineStr">
        <is>
          <t>STUDIO TROPIK Balance Priming Water 150ml</t>
        </is>
      </c>
      <c r="D5566" t="inlineStr">
        <is>
          <t>Miss Glam Damar</t>
        </is>
      </c>
      <c r="E5566" t="n">
        <v>4</v>
      </c>
      <c r="F5566" t="n">
        <v>0.1365</v>
      </c>
      <c r="G5566" t="n">
        <v>1.82</v>
      </c>
      <c r="H5566" t="n">
        <v>2</v>
      </c>
      <c r="I5566" t="n">
        <v>16</v>
      </c>
      <c r="J5566" t="n">
        <v>3</v>
      </c>
      <c r="K5566" t="n">
        <v>0</v>
      </c>
      <c r="L5566" t="n">
        <v>79200</v>
      </c>
      <c r="M5566" t="n">
        <v>97900</v>
      </c>
      <c r="N5566" t="n">
        <v>91</v>
      </c>
      <c r="O5566" t="n">
        <v>0.91</v>
      </c>
      <c r="P5566" t="n">
        <v>1</v>
      </c>
      <c r="Q5566" t="n">
        <v>0.03</v>
      </c>
      <c r="R5566" t="n">
        <v>1</v>
      </c>
      <c r="S5566" t="n">
        <v>13363.35</v>
      </c>
      <c r="T5566" t="n">
        <v>29</v>
      </c>
      <c r="U5566" t="n">
        <v>30</v>
      </c>
      <c r="V5566" t="n">
        <v>30</v>
      </c>
      <c r="W5566" t="n">
        <v>5</v>
      </c>
      <c r="X5566" t="n">
        <v>29.3040293040293</v>
      </c>
      <c r="Y5566" t="n">
        <v>1</v>
      </c>
      <c r="Z5566" t="n">
        <v>1</v>
      </c>
      <c r="AA5566" t="n">
        <v>0</v>
      </c>
      <c r="AB5566" t="n">
        <v>1</v>
      </c>
      <c r="AC5566" t="n">
        <v>3</v>
      </c>
      <c r="AD5566" t="n">
        <v>0</v>
      </c>
      <c r="AE5566" t="n">
        <v>237600</v>
      </c>
      <c r="AF5566" t="n">
        <v>701</v>
      </c>
      <c r="AG5566" t="n">
        <v>107</v>
      </c>
      <c r="AH5566" t="inlineStr">
        <is>
          <t xml:space="preserve">CV. DAHLIA - PPN (PDG) </t>
        </is>
      </c>
      <c r="AI5566" t="n">
        <v>287</v>
      </c>
      <c r="AJ5566" t="inlineStr">
        <is>
          <t>STUDIO TROPIK</t>
        </is>
      </c>
      <c r="AK5566" t="n">
        <v>21</v>
      </c>
      <c r="AL5566" t="inlineStr">
        <is>
          <t>Miss Glam Damar</t>
        </is>
      </c>
      <c r="AM5566" t="n">
        <v>3</v>
      </c>
      <c r="AN5566" t="n">
        <v>500000</v>
      </c>
      <c r="AO5566" t="n">
        <v>0</v>
      </c>
      <c r="AP5566" t="inlineStr"/>
      <c r="AQ5566" t="inlineStr"/>
    </row>
    <row r="5567">
      <c r="A5567" t="inlineStr">
        <is>
          <t>STUDIO TROPIK</t>
        </is>
      </c>
      <c r="B5567" s="2">
        <f>"8997217750410"</f>
        <v/>
      </c>
      <c r="C5567" t="inlineStr">
        <is>
          <t>STUDIO TROPIK Balance Priming Water 30ml</t>
        </is>
      </c>
      <c r="D5567" t="inlineStr">
        <is>
          <t>Miss Glam Damar</t>
        </is>
      </c>
      <c r="E5567" t="n">
        <v>7</v>
      </c>
      <c r="F5567" t="n">
        <v>0.1274</v>
      </c>
      <c r="G5567" t="n">
        <v>1.82</v>
      </c>
      <c r="H5567" t="n">
        <v>2</v>
      </c>
      <c r="I5567" t="n">
        <v>16</v>
      </c>
      <c r="J5567" t="n">
        <v>3</v>
      </c>
      <c r="K5567" t="n">
        <v>0</v>
      </c>
      <c r="L5567" t="n">
        <v>31200</v>
      </c>
      <c r="M5567" t="n">
        <v>43100</v>
      </c>
      <c r="N5567" t="n">
        <v>91</v>
      </c>
      <c r="O5567" t="n">
        <v>0.91</v>
      </c>
      <c r="P5567" t="n">
        <v>1</v>
      </c>
      <c r="Q5567" t="n">
        <v>0.24</v>
      </c>
      <c r="R5567" t="n">
        <v>2</v>
      </c>
      <c r="S5567" t="n">
        <v>5490.940000000001</v>
      </c>
      <c r="T5567" t="n">
        <v>29</v>
      </c>
      <c r="U5567" t="n">
        <v>30</v>
      </c>
      <c r="V5567" t="n">
        <v>30</v>
      </c>
      <c r="W5567" t="n">
        <v>4</v>
      </c>
      <c r="X5567" t="n">
        <v>54.94505494505494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701</v>
      </c>
      <c r="AG5567" t="n">
        <v>107</v>
      </c>
      <c r="AH5567" t="inlineStr">
        <is>
          <t xml:space="preserve">CV. DAHLIA - PPN (PDG) </t>
        </is>
      </c>
      <c r="AI5567" t="n">
        <v>287</v>
      </c>
      <c r="AJ5567" t="inlineStr">
        <is>
          <t>STUDIO TROPIK</t>
        </is>
      </c>
      <c r="AK5567" t="n">
        <v>21</v>
      </c>
      <c r="AL5567" t="inlineStr">
        <is>
          <t>Miss Glam Damar</t>
        </is>
      </c>
      <c r="AM5567" t="n">
        <v>3</v>
      </c>
      <c r="AN5567" t="n">
        <v>500000</v>
      </c>
      <c r="AO5567" t="n">
        <v>0</v>
      </c>
      <c r="AP5567" t="inlineStr"/>
      <c r="AQ5567" t="inlineStr"/>
    </row>
    <row r="5568">
      <c r="A5568" t="inlineStr">
        <is>
          <t>STUDIO TROPIK</t>
        </is>
      </c>
      <c r="B5568" s="2">
        <f>"8997217750632"</f>
        <v/>
      </c>
      <c r="C5568" t="inlineStr">
        <is>
          <t>STUDIO TROPIK Daily Priming Water With Peptides + Uv Filter 150ml</t>
        </is>
      </c>
      <c r="D5568" t="inlineStr">
        <is>
          <t>Miss Glam Damar</t>
        </is>
      </c>
      <c r="E5568" t="n">
        <v>3</v>
      </c>
      <c r="F5568" t="n">
        <v>0.05</v>
      </c>
      <c r="G5568" t="n">
        <v>1</v>
      </c>
      <c r="H5568" t="n">
        <v>2</v>
      </c>
      <c r="I5568" t="n">
        <v>16</v>
      </c>
      <c r="J5568" t="n">
        <v>3</v>
      </c>
      <c r="K5568" t="n">
        <v>0</v>
      </c>
      <c r="L5568" t="n">
        <v>79200</v>
      </c>
      <c r="M5568" t="n">
        <v>98000</v>
      </c>
      <c r="N5568" t="n">
        <v>91</v>
      </c>
      <c r="O5568" t="n">
        <v>0.91</v>
      </c>
      <c r="P5568" t="n">
        <v>0</v>
      </c>
      <c r="Q5568" t="n">
        <v>0.05</v>
      </c>
      <c r="R5568" t="n">
        <v>1</v>
      </c>
      <c r="S5568" t="n">
        <v>4900</v>
      </c>
      <c r="T5568" t="n">
        <v>16</v>
      </c>
      <c r="U5568" t="n">
        <v>17</v>
      </c>
      <c r="V5568" t="n">
        <v>30</v>
      </c>
      <c r="W5568" t="n">
        <v>2</v>
      </c>
      <c r="X5568" t="n">
        <v>60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701</v>
      </c>
      <c r="AG5568" t="n">
        <v>107</v>
      </c>
      <c r="AH5568" t="inlineStr">
        <is>
          <t xml:space="preserve">CV. DAHLIA - PPN (PDG) </t>
        </is>
      </c>
      <c r="AI5568" t="n">
        <v>287</v>
      </c>
      <c r="AJ5568" t="inlineStr">
        <is>
          <t>STUDIO TROPIK</t>
        </is>
      </c>
      <c r="AK5568" t="n">
        <v>21</v>
      </c>
      <c r="AL5568" t="inlineStr">
        <is>
          <t>Miss Glam Damar</t>
        </is>
      </c>
      <c r="AM5568" t="n">
        <v>3</v>
      </c>
      <c r="AN5568" t="n">
        <v>500000</v>
      </c>
      <c r="AO5568" t="n">
        <v>0</v>
      </c>
      <c r="AP5568" t="inlineStr"/>
      <c r="AQ5568" t="inlineStr"/>
    </row>
    <row r="5569">
      <c r="A5569" t="inlineStr">
        <is>
          <t>STUDIO TROPIK</t>
        </is>
      </c>
      <c r="B5569" s="2">
        <f>"8997217750618"</f>
        <v/>
      </c>
      <c r="C5569" t="inlineStr">
        <is>
          <t>STUDIO TROPIK Dream Setter Satin 130ml</t>
        </is>
      </c>
      <c r="D5569" t="inlineStr">
        <is>
          <t>Miss Glam Damar</t>
        </is>
      </c>
      <c r="E5569" t="n">
        <v>1</v>
      </c>
      <c r="F5569" t="n">
        <v>0.0728</v>
      </c>
      <c r="G5569" t="n">
        <v>0.91</v>
      </c>
      <c r="H5569" t="n">
        <v>2</v>
      </c>
      <c r="I5569" t="n">
        <v>16</v>
      </c>
      <c r="J5569" t="n">
        <v>3</v>
      </c>
      <c r="K5569" t="n">
        <v>0</v>
      </c>
      <c r="L5569" t="n">
        <v>140000</v>
      </c>
      <c r="M5569" t="n">
        <v>174000</v>
      </c>
      <c r="N5569" t="n">
        <v>91</v>
      </c>
      <c r="O5569" t="n">
        <v>0.91</v>
      </c>
      <c r="P5569" t="n">
        <v>1</v>
      </c>
      <c r="Q5569" t="n">
        <v>0.19</v>
      </c>
      <c r="R5569" t="n">
        <v>1</v>
      </c>
      <c r="S5569" t="n">
        <v>12667.2</v>
      </c>
      <c r="T5569" t="n">
        <v>15</v>
      </c>
      <c r="U5569" t="n">
        <v>16</v>
      </c>
      <c r="V5569" t="n">
        <v>30</v>
      </c>
      <c r="W5569" t="n">
        <v>3</v>
      </c>
      <c r="X5569" t="n">
        <v>13.73626373626374</v>
      </c>
      <c r="Y5569" t="n">
        <v>1</v>
      </c>
      <c r="Z5569" t="n">
        <v>2</v>
      </c>
      <c r="AA5569" t="n">
        <v>1</v>
      </c>
      <c r="AB5569" t="n">
        <v>1</v>
      </c>
      <c r="AC5569" t="n">
        <v>3</v>
      </c>
      <c r="AD5569" t="n">
        <v>140000</v>
      </c>
      <c r="AE5569" t="n">
        <v>420000</v>
      </c>
      <c r="AF5569" t="n">
        <v>701</v>
      </c>
      <c r="AG5569" t="n">
        <v>107</v>
      </c>
      <c r="AH5569" t="inlineStr">
        <is>
          <t xml:space="preserve">CV. DAHLIA - PPN (PDG) </t>
        </is>
      </c>
      <c r="AI5569" t="n">
        <v>287</v>
      </c>
      <c r="AJ5569" t="inlineStr">
        <is>
          <t>STUDIO TROPIK</t>
        </is>
      </c>
      <c r="AK5569" t="n">
        <v>21</v>
      </c>
      <c r="AL5569" t="inlineStr">
        <is>
          <t>Miss Glam Damar</t>
        </is>
      </c>
      <c r="AM5569" t="n">
        <v>3</v>
      </c>
      <c r="AN5569" t="n">
        <v>500000</v>
      </c>
      <c r="AO5569" t="n">
        <v>0</v>
      </c>
      <c r="AP5569" t="inlineStr"/>
      <c r="AQ5569" t="inlineStr"/>
    </row>
    <row r="5570">
      <c r="A5570" t="inlineStr">
        <is>
          <t>STUDIO TROPIK</t>
        </is>
      </c>
      <c r="B5570" s="2">
        <f>"8997217750090"</f>
        <v/>
      </c>
      <c r="C5570" t="inlineStr">
        <is>
          <t>STUDIO TROPIK DreamSetter 130ml</t>
        </is>
      </c>
      <c r="D5570" t="inlineStr">
        <is>
          <t>Miss Glam Damar</t>
        </is>
      </c>
      <c r="E5570" t="n">
        <v>2</v>
      </c>
      <c r="F5570" t="n">
        <v>0.06370000000000001</v>
      </c>
      <c r="G5570" t="n">
        <v>0.91</v>
      </c>
      <c r="H5570" t="n">
        <v>2</v>
      </c>
      <c r="I5570" t="n">
        <v>16</v>
      </c>
      <c r="J5570" t="n">
        <v>3</v>
      </c>
      <c r="K5570" t="n">
        <v>0</v>
      </c>
      <c r="L5570" t="n">
        <v>140000</v>
      </c>
      <c r="M5570" t="n">
        <v>175000</v>
      </c>
      <c r="N5570" t="n">
        <v>91</v>
      </c>
      <c r="O5570" t="n">
        <v>0.91</v>
      </c>
      <c r="P5570" t="n">
        <v>1</v>
      </c>
      <c r="Q5570" t="n">
        <v>0.15</v>
      </c>
      <c r="R5570" t="n">
        <v>2</v>
      </c>
      <c r="S5570" t="n">
        <v>11147.5</v>
      </c>
      <c r="T5570" t="n">
        <v>15</v>
      </c>
      <c r="U5570" t="n">
        <v>16</v>
      </c>
      <c r="V5570" t="n">
        <v>30</v>
      </c>
      <c r="W5570" t="n">
        <v>2</v>
      </c>
      <c r="X5570" t="n">
        <v>31.39717425431711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701</v>
      </c>
      <c r="AG5570" t="n">
        <v>107</v>
      </c>
      <c r="AH5570" t="inlineStr">
        <is>
          <t xml:space="preserve">CV. DAHLIA - PPN (PDG) </t>
        </is>
      </c>
      <c r="AI5570" t="n">
        <v>287</v>
      </c>
      <c r="AJ5570" t="inlineStr">
        <is>
          <t>STUDIO TROPIK</t>
        </is>
      </c>
      <c r="AK5570" t="n">
        <v>21</v>
      </c>
      <c r="AL5570" t="inlineStr">
        <is>
          <t>Miss Glam Damar</t>
        </is>
      </c>
      <c r="AM5570" t="n">
        <v>3</v>
      </c>
      <c r="AN5570" t="n">
        <v>500000</v>
      </c>
      <c r="AO5570" t="n">
        <v>0</v>
      </c>
      <c r="AP5570" t="inlineStr"/>
      <c r="AQ5570" t="inlineStr"/>
    </row>
    <row r="5571">
      <c r="A5571" t="inlineStr">
        <is>
          <t>STUDIO TROPIK</t>
        </is>
      </c>
      <c r="B5571" s="2">
        <f>"20100492636"</f>
        <v/>
      </c>
      <c r="C5571" t="inlineStr">
        <is>
          <t>STUDIO TROPIK DreamSetter Airbrush Cover Cushion Soft Matte Filter SPF 50+ PA +++ N01 11gr</t>
        </is>
      </c>
      <c r="D5571" t="inlineStr">
        <is>
          <t>Miss Glam Damar</t>
        </is>
      </c>
      <c r="E5571" t="n">
        <v>3</v>
      </c>
      <c r="F5571" t="n">
        <v>0.0273</v>
      </c>
      <c r="G5571" t="n">
        <v>0.91</v>
      </c>
      <c r="H5571" t="n">
        <v>2</v>
      </c>
      <c r="I5571" t="n">
        <v>16</v>
      </c>
      <c r="J5571" t="n">
        <v>1</v>
      </c>
      <c r="K5571" t="n">
        <v>0</v>
      </c>
      <c r="L5571" t="n">
        <v>130000</v>
      </c>
      <c r="M5571" t="n">
        <v>162500</v>
      </c>
      <c r="N5571" t="n">
        <v>91</v>
      </c>
      <c r="O5571" t="n">
        <v>0.91</v>
      </c>
      <c r="P5571" t="n">
        <v>1</v>
      </c>
      <c r="Q5571" t="n">
        <v>0.03</v>
      </c>
      <c r="R5571" t="n">
        <v>1</v>
      </c>
      <c r="S5571" t="n">
        <v>4436.25</v>
      </c>
      <c r="T5571" t="n">
        <v>15</v>
      </c>
      <c r="U5571" t="n">
        <v>16</v>
      </c>
      <c r="V5571" t="n">
        <v>30</v>
      </c>
      <c r="W5571" t="n">
        <v>1</v>
      </c>
      <c r="X5571" t="n">
        <v>109.8901098901099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701</v>
      </c>
      <c r="AG5571" t="n">
        <v>107</v>
      </c>
      <c r="AH5571" t="inlineStr">
        <is>
          <t xml:space="preserve">CV. DAHLIA - PPN (PDG) </t>
        </is>
      </c>
      <c r="AI5571" t="n">
        <v>287</v>
      </c>
      <c r="AJ5571" t="inlineStr">
        <is>
          <t>STUDIO TROPIK</t>
        </is>
      </c>
      <c r="AK5571" t="n">
        <v>21</v>
      </c>
      <c r="AL5571" t="inlineStr">
        <is>
          <t>Miss Glam Damar</t>
        </is>
      </c>
      <c r="AM5571" t="n">
        <v>3</v>
      </c>
      <c r="AN5571" t="n">
        <v>500000</v>
      </c>
      <c r="AO5571" t="n">
        <v>0</v>
      </c>
      <c r="AP5571" t="inlineStr"/>
      <c r="AQ5571" t="inlineStr"/>
    </row>
    <row r="5572">
      <c r="A5572" t="inlineStr">
        <is>
          <t>STUDIO TROPIK</t>
        </is>
      </c>
      <c r="B5572" s="2">
        <f>"20100492734"</f>
        <v/>
      </c>
      <c r="C5572" t="inlineStr">
        <is>
          <t>STUDIO TROPIK DreamSetter Airbrush Cover Cushion Soft Matte Filter SPF 50+ PA +++ N02 11gr</t>
        </is>
      </c>
      <c r="D5572" t="inlineStr">
        <is>
          <t>Miss Glam Damar</t>
        </is>
      </c>
      <c r="E5572" t="n">
        <v>1</v>
      </c>
      <c r="F5572" t="n">
        <v>0.0273</v>
      </c>
      <c r="G5572" t="n">
        <v>0.91</v>
      </c>
      <c r="H5572" t="n">
        <v>2</v>
      </c>
      <c r="I5572" t="n">
        <v>16</v>
      </c>
      <c r="J5572" t="n">
        <v>1</v>
      </c>
      <c r="K5572" t="n">
        <v>0</v>
      </c>
      <c r="L5572" t="n">
        <v>130000</v>
      </c>
      <c r="M5572" t="n">
        <v>162500</v>
      </c>
      <c r="N5572" t="n">
        <v>91</v>
      </c>
      <c r="O5572" t="n">
        <v>0.91</v>
      </c>
      <c r="P5572" t="n">
        <v>1</v>
      </c>
      <c r="Q5572" t="n">
        <v>0.03</v>
      </c>
      <c r="R5572" t="n">
        <v>1</v>
      </c>
      <c r="S5572" t="n">
        <v>4436.25</v>
      </c>
      <c r="T5572" t="n">
        <v>15</v>
      </c>
      <c r="U5572" t="n">
        <v>16</v>
      </c>
      <c r="V5572" t="n">
        <v>30</v>
      </c>
      <c r="W5572" t="n">
        <v>1</v>
      </c>
      <c r="X5572" t="n">
        <v>36.63003663003663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701</v>
      </c>
      <c r="AG5572" t="n">
        <v>107</v>
      </c>
      <c r="AH5572" t="inlineStr">
        <is>
          <t xml:space="preserve">CV. DAHLIA - PPN (PDG) </t>
        </is>
      </c>
      <c r="AI5572" t="n">
        <v>287</v>
      </c>
      <c r="AJ5572" t="inlineStr">
        <is>
          <t>STUDIO TROPIK</t>
        </is>
      </c>
      <c r="AK5572" t="n">
        <v>21</v>
      </c>
      <c r="AL5572" t="inlineStr">
        <is>
          <t>Miss Glam Damar</t>
        </is>
      </c>
      <c r="AM5572" t="n">
        <v>3</v>
      </c>
      <c r="AN5572" t="n">
        <v>500000</v>
      </c>
      <c r="AO5572" t="n">
        <v>0</v>
      </c>
      <c r="AP5572" t="inlineStr"/>
      <c r="AQ5572" t="inlineStr"/>
    </row>
    <row r="5573">
      <c r="A5573" t="inlineStr">
        <is>
          <t>STUDIO TROPIK</t>
        </is>
      </c>
      <c r="B5573" s="2">
        <f>"8997217750663"</f>
        <v/>
      </c>
      <c r="C5573" t="inlineStr">
        <is>
          <t>STUDIO TROPIK DreamSetter Airbrush Setting Powder - Neutral 9gr</t>
        </is>
      </c>
      <c r="D5573" t="inlineStr">
        <is>
          <t>Miss Glam Damar</t>
        </is>
      </c>
      <c r="E5573" t="n">
        <v>5</v>
      </c>
      <c r="F5573" t="n">
        <v>0.04550000000000001</v>
      </c>
      <c r="G5573" t="n">
        <v>0.91</v>
      </c>
      <c r="H5573" t="n">
        <v>2</v>
      </c>
      <c r="I5573" t="n">
        <v>16</v>
      </c>
      <c r="J5573" t="n">
        <v>3</v>
      </c>
      <c r="K5573" t="n">
        <v>0</v>
      </c>
      <c r="L5573" t="n">
        <v>144000</v>
      </c>
      <c r="M5573" t="n">
        <v>179000</v>
      </c>
      <c r="N5573" t="n">
        <v>91</v>
      </c>
      <c r="O5573" t="n">
        <v>0.91</v>
      </c>
      <c r="P5573" t="n">
        <v>1</v>
      </c>
      <c r="Q5573" t="n">
        <v>0.07000000000000001</v>
      </c>
      <c r="R5573" t="n">
        <v>1</v>
      </c>
      <c r="S5573" t="n">
        <v>8144.500000000001</v>
      </c>
      <c r="T5573" t="n">
        <v>15</v>
      </c>
      <c r="U5573" t="n">
        <v>16</v>
      </c>
      <c r="V5573" t="n">
        <v>30</v>
      </c>
      <c r="W5573" t="n">
        <v>2</v>
      </c>
      <c r="X5573" t="n">
        <v>109.8901098901099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701</v>
      </c>
      <c r="AG5573" t="n">
        <v>107</v>
      </c>
      <c r="AH5573" t="inlineStr">
        <is>
          <t xml:space="preserve">CV. DAHLIA - PPN (PDG) </t>
        </is>
      </c>
      <c r="AI5573" t="n">
        <v>287</v>
      </c>
      <c r="AJ5573" t="inlineStr">
        <is>
          <t>STUDIO TROPIK</t>
        </is>
      </c>
      <c r="AK5573" t="n">
        <v>21</v>
      </c>
      <c r="AL5573" t="inlineStr">
        <is>
          <t>Miss Glam Damar</t>
        </is>
      </c>
      <c r="AM5573" t="n">
        <v>3</v>
      </c>
      <c r="AN5573" t="n">
        <v>500000</v>
      </c>
      <c r="AO5573" t="n">
        <v>0</v>
      </c>
      <c r="AP5573" t="inlineStr"/>
      <c r="AQ5573" t="inlineStr"/>
    </row>
    <row r="5574">
      <c r="A5574" t="inlineStr">
        <is>
          <t>STUDIO TROPIK</t>
        </is>
      </c>
      <c r="B5574" s="2">
        <f>"8997217750199"</f>
        <v/>
      </c>
      <c r="C5574" t="inlineStr">
        <is>
          <t>STUDIO TROPIK DreamSetter Glowy Pollution Protection 130ml</t>
        </is>
      </c>
      <c r="D5574" t="inlineStr">
        <is>
          <t>Miss Glam Damar</t>
        </is>
      </c>
      <c r="E5574" t="n">
        <v>10</v>
      </c>
      <c r="F5574" t="n">
        <v>0.1092</v>
      </c>
      <c r="G5574" t="n">
        <v>0.91</v>
      </c>
      <c r="H5574" t="n">
        <v>2</v>
      </c>
      <c r="I5574" t="n">
        <v>16</v>
      </c>
      <c r="J5574" t="n">
        <v>3</v>
      </c>
      <c r="K5574" t="n">
        <v>0</v>
      </c>
      <c r="L5574" t="n">
        <v>140000</v>
      </c>
      <c r="M5574" t="n">
        <v>176500</v>
      </c>
      <c r="N5574" t="n">
        <v>91</v>
      </c>
      <c r="O5574" t="n">
        <v>0.91</v>
      </c>
      <c r="P5574" t="n">
        <v>1</v>
      </c>
      <c r="Q5574" t="n">
        <v>0.22</v>
      </c>
      <c r="R5574" t="n">
        <v>3</v>
      </c>
      <c r="S5574" t="n">
        <v>19273.8</v>
      </c>
      <c r="T5574" t="n">
        <v>15</v>
      </c>
      <c r="U5574" t="n">
        <v>16</v>
      </c>
      <c r="V5574" t="n">
        <v>30</v>
      </c>
      <c r="W5574" t="n">
        <v>4</v>
      </c>
      <c r="X5574" t="n">
        <v>91.57509157509158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701</v>
      </c>
      <c r="AG5574" t="n">
        <v>107</v>
      </c>
      <c r="AH5574" t="inlineStr">
        <is>
          <t xml:space="preserve">CV. DAHLIA - PPN (PDG) </t>
        </is>
      </c>
      <c r="AI5574" t="n">
        <v>287</v>
      </c>
      <c r="AJ5574" t="inlineStr">
        <is>
          <t>STUDIO TROPIK</t>
        </is>
      </c>
      <c r="AK5574" t="n">
        <v>21</v>
      </c>
      <c r="AL5574" t="inlineStr">
        <is>
          <t>Miss Glam Damar</t>
        </is>
      </c>
      <c r="AM5574" t="n">
        <v>3</v>
      </c>
      <c r="AN5574" t="n">
        <v>500000</v>
      </c>
      <c r="AO5574" t="n">
        <v>0</v>
      </c>
      <c r="AP5574" t="inlineStr"/>
      <c r="AQ5574" t="inlineStr"/>
    </row>
    <row r="5575">
      <c r="A5575" t="inlineStr">
        <is>
          <t>STUDIO TROPIK</t>
        </is>
      </c>
      <c r="B5575" s="2">
        <f>"8997217750120"</f>
        <v/>
      </c>
      <c r="C5575" t="inlineStr">
        <is>
          <t>STUDIO TROPIK DreamSetter Glowy Pollution Protection 30ml</t>
        </is>
      </c>
      <c r="D5575" t="inlineStr">
        <is>
          <t>Miss Glam Damar</t>
        </is>
      </c>
      <c r="E5575" t="n">
        <v>3</v>
      </c>
      <c r="F5575" t="n">
        <v>0.3276</v>
      </c>
      <c r="G5575" t="n">
        <v>1.82</v>
      </c>
      <c r="H5575" t="n">
        <v>2</v>
      </c>
      <c r="I5575" t="n">
        <v>16</v>
      </c>
      <c r="J5575" t="n">
        <v>3</v>
      </c>
      <c r="K5575" t="n">
        <v>0</v>
      </c>
      <c r="L5575" t="n">
        <v>47200</v>
      </c>
      <c r="M5575" t="n">
        <v>65700</v>
      </c>
      <c r="N5575" t="n">
        <v>91</v>
      </c>
      <c r="O5575" t="n">
        <v>0.91</v>
      </c>
      <c r="P5575" t="n">
        <v>1</v>
      </c>
      <c r="Q5575" t="n">
        <v>0.34</v>
      </c>
      <c r="R5575" t="n">
        <v>2</v>
      </c>
      <c r="S5575" t="n">
        <v>21523.32</v>
      </c>
      <c r="T5575" t="n">
        <v>29</v>
      </c>
      <c r="U5575" t="n">
        <v>30</v>
      </c>
      <c r="V5575" t="n">
        <v>30</v>
      </c>
      <c r="W5575" t="n">
        <v>10</v>
      </c>
      <c r="X5575" t="n">
        <v>9.157509157509157</v>
      </c>
      <c r="Y5575" t="n">
        <v>1</v>
      </c>
      <c r="Z5575" t="n">
        <v>7</v>
      </c>
      <c r="AA5575" t="n">
        <v>3</v>
      </c>
      <c r="AB5575" t="n">
        <v>4</v>
      </c>
      <c r="AC5575" t="n">
        <v>4</v>
      </c>
      <c r="AD5575" t="n">
        <v>141600</v>
      </c>
      <c r="AE5575" t="n">
        <v>188800</v>
      </c>
      <c r="AF5575" t="n">
        <v>701</v>
      </c>
      <c r="AG5575" t="n">
        <v>107</v>
      </c>
      <c r="AH5575" t="inlineStr">
        <is>
          <t xml:space="preserve">CV. DAHLIA - PPN (PDG) </t>
        </is>
      </c>
      <c r="AI5575" t="n">
        <v>287</v>
      </c>
      <c r="AJ5575" t="inlineStr">
        <is>
          <t>STUDIO TROPIK</t>
        </is>
      </c>
      <c r="AK5575" t="n">
        <v>21</v>
      </c>
      <c r="AL5575" t="inlineStr">
        <is>
          <t>Miss Glam Damar</t>
        </is>
      </c>
      <c r="AM5575" t="n">
        <v>3</v>
      </c>
      <c r="AN5575" t="n">
        <v>500000</v>
      </c>
      <c r="AO5575" t="n">
        <v>0</v>
      </c>
      <c r="AP5575" t="inlineStr"/>
      <c r="AQ5575" t="inlineStr"/>
    </row>
    <row r="5576">
      <c r="A5576" t="inlineStr">
        <is>
          <t>STUDIO TROPIK</t>
        </is>
      </c>
      <c r="B5576" s="2">
        <f>"20101207803"</f>
        <v/>
      </c>
      <c r="C5576" t="inlineStr">
        <is>
          <t>STUDIO TROPIK Elixir Priming Water 105ml</t>
        </is>
      </c>
      <c r="D5576" t="inlineStr">
        <is>
          <t>Miss Glam Damar</t>
        </is>
      </c>
      <c r="E5576" t="n">
        <v>1</v>
      </c>
      <c r="F5576" t="n">
        <v>0.06370000000000001</v>
      </c>
      <c r="G5576" t="n">
        <v>0.91</v>
      </c>
      <c r="H5576" t="n">
        <v>2</v>
      </c>
      <c r="I5576" t="n">
        <v>16</v>
      </c>
      <c r="J5576" t="n">
        <v>1</v>
      </c>
      <c r="K5576" t="n">
        <v>0</v>
      </c>
      <c r="L5576" t="n">
        <v>119200</v>
      </c>
      <c r="M5576" t="n">
        <v>149000</v>
      </c>
      <c r="N5576" t="n">
        <v>91</v>
      </c>
      <c r="O5576" t="n">
        <v>0.91</v>
      </c>
      <c r="P5576" t="n">
        <v>1</v>
      </c>
      <c r="Q5576" t="n">
        <v>0.24</v>
      </c>
      <c r="R5576" t="n">
        <v>3</v>
      </c>
      <c r="S5576" t="n">
        <v>9491.300000000001</v>
      </c>
      <c r="T5576" t="n">
        <v>15</v>
      </c>
      <c r="U5576" t="n">
        <v>16</v>
      </c>
      <c r="V5576" t="n">
        <v>30</v>
      </c>
      <c r="W5576" t="n">
        <v>2</v>
      </c>
      <c r="X5576" t="n">
        <v>15.69858712715855</v>
      </c>
      <c r="Y5576" t="n">
        <v>1</v>
      </c>
      <c r="Z5576" t="n">
        <v>1</v>
      </c>
      <c r="AA5576" t="n">
        <v>1</v>
      </c>
      <c r="AB5576" t="n">
        <v>0</v>
      </c>
      <c r="AC5576" t="n">
        <v>0</v>
      </c>
      <c r="AD5576" t="n">
        <v>119200</v>
      </c>
      <c r="AE5576" t="n">
        <v>0</v>
      </c>
      <c r="AF5576" t="n">
        <v>701</v>
      </c>
      <c r="AG5576" t="n">
        <v>107</v>
      </c>
      <c r="AH5576" t="inlineStr">
        <is>
          <t xml:space="preserve">CV. DAHLIA - PPN (PDG) </t>
        </is>
      </c>
      <c r="AI5576" t="n">
        <v>287</v>
      </c>
      <c r="AJ5576" t="inlineStr">
        <is>
          <t>STUDIO TROPIK</t>
        </is>
      </c>
      <c r="AK5576" t="n">
        <v>21</v>
      </c>
      <c r="AL5576" t="inlineStr">
        <is>
          <t>Miss Glam Damar</t>
        </is>
      </c>
      <c r="AM5576" t="n">
        <v>3</v>
      </c>
      <c r="AN5576" t="n">
        <v>500000</v>
      </c>
      <c r="AO5576" t="n">
        <v>0</v>
      </c>
      <c r="AP5576" t="inlineStr"/>
      <c r="AQ5576" t="inlineStr"/>
    </row>
    <row r="5577">
      <c r="A5577" t="inlineStr">
        <is>
          <t>STUDIO TROPIK</t>
        </is>
      </c>
      <c r="B5577" s="2">
        <f>"20101207931"</f>
        <v/>
      </c>
      <c r="C5577" t="inlineStr">
        <is>
          <t>STUDIO TROPIK Elixir Priming Water 50ml</t>
        </is>
      </c>
      <c r="D5577" t="inlineStr">
        <is>
          <t>Miss Glam Damar</t>
        </is>
      </c>
      <c r="E5577" t="n">
        <v>2</v>
      </c>
      <c r="F5577" t="n">
        <v>0.2912</v>
      </c>
      <c r="G5577" t="n">
        <v>2.73</v>
      </c>
      <c r="H5577" t="n">
        <v>2</v>
      </c>
      <c r="I5577" t="n">
        <v>16</v>
      </c>
      <c r="J5577" t="n">
        <v>1</v>
      </c>
      <c r="K5577" t="n">
        <v>0</v>
      </c>
      <c r="L5577" t="n">
        <v>71200</v>
      </c>
      <c r="M5577" t="n">
        <v>89000</v>
      </c>
      <c r="N5577" t="n">
        <v>91</v>
      </c>
      <c r="O5577" t="n">
        <v>0.91</v>
      </c>
      <c r="P5577" t="n">
        <v>1</v>
      </c>
      <c r="Q5577" t="n">
        <v>0.44</v>
      </c>
      <c r="R5577" t="n">
        <v>4</v>
      </c>
      <c r="S5577" t="n">
        <v>25916.8</v>
      </c>
      <c r="T5577" t="n">
        <v>44</v>
      </c>
      <c r="U5577" t="n">
        <v>45</v>
      </c>
      <c r="V5577" t="n">
        <v>30</v>
      </c>
      <c r="W5577" t="n">
        <v>9</v>
      </c>
      <c r="X5577" t="n">
        <v>6.868131868131868</v>
      </c>
      <c r="Y5577" t="n">
        <v>1</v>
      </c>
      <c r="Z5577" t="n">
        <v>7</v>
      </c>
      <c r="AA5577" t="n">
        <v>3</v>
      </c>
      <c r="AB5577" t="n">
        <v>4</v>
      </c>
      <c r="AC5577" t="n">
        <v>4</v>
      </c>
      <c r="AD5577" t="n">
        <v>213600</v>
      </c>
      <c r="AE5577" t="n">
        <v>284800</v>
      </c>
      <c r="AF5577" t="n">
        <v>701</v>
      </c>
      <c r="AG5577" t="n">
        <v>107</v>
      </c>
      <c r="AH5577" t="inlineStr">
        <is>
          <t xml:space="preserve">CV. DAHLIA - PPN (PDG) </t>
        </is>
      </c>
      <c r="AI5577" t="n">
        <v>287</v>
      </c>
      <c r="AJ5577" t="inlineStr">
        <is>
          <t>STUDIO TROPIK</t>
        </is>
      </c>
      <c r="AK5577" t="n">
        <v>21</v>
      </c>
      <c r="AL5577" t="inlineStr">
        <is>
          <t>Miss Glam Damar</t>
        </is>
      </c>
      <c r="AM5577" t="n">
        <v>3</v>
      </c>
      <c r="AN5577" t="n">
        <v>500000</v>
      </c>
      <c r="AO5577" t="n">
        <v>0</v>
      </c>
      <c r="AP5577" t="inlineStr"/>
      <c r="AQ5577" t="inlineStr"/>
    </row>
    <row r="5578">
      <c r="A5578" t="inlineStr">
        <is>
          <t>STUDIO TROPIK</t>
        </is>
      </c>
      <c r="B5578" s="2">
        <f>"8997217750427"</f>
        <v/>
      </c>
      <c r="C5578" t="inlineStr">
        <is>
          <t>STUDIO TROPIK Flawles  Priming  Water 30</t>
        </is>
      </c>
      <c r="D5578" t="inlineStr">
        <is>
          <t>Miss Glam Damar</t>
        </is>
      </c>
      <c r="E5578" t="n">
        <v>1</v>
      </c>
      <c r="F5578" t="n">
        <v>0.4186</v>
      </c>
      <c r="G5578" t="n">
        <v>2.73</v>
      </c>
      <c r="H5578" t="n">
        <v>2</v>
      </c>
      <c r="I5578" t="n">
        <v>16</v>
      </c>
      <c r="J5578" t="n">
        <v>3</v>
      </c>
      <c r="K5578" t="n">
        <v>0</v>
      </c>
      <c r="L5578" t="n">
        <v>31200</v>
      </c>
      <c r="M5578" t="n">
        <v>43100</v>
      </c>
      <c r="N5578" t="n">
        <v>91</v>
      </c>
      <c r="O5578" t="n">
        <v>0.91</v>
      </c>
      <c r="P5578" t="n">
        <v>1</v>
      </c>
      <c r="Q5578" t="n">
        <v>0.15</v>
      </c>
      <c r="R5578" t="n">
        <v>1</v>
      </c>
      <c r="S5578" t="n">
        <v>18041.66</v>
      </c>
      <c r="T5578" t="n">
        <v>43</v>
      </c>
      <c r="U5578" t="n">
        <v>44</v>
      </c>
      <c r="V5578" t="n">
        <v>30</v>
      </c>
      <c r="W5578" t="n">
        <v>13</v>
      </c>
      <c r="X5578" t="n">
        <v>2.388915432393693</v>
      </c>
      <c r="Y5578" t="n">
        <v>1</v>
      </c>
      <c r="Z5578" t="n">
        <v>12</v>
      </c>
      <c r="AA5578" t="n">
        <v>6</v>
      </c>
      <c r="AB5578" t="n">
        <v>6</v>
      </c>
      <c r="AC5578" t="n">
        <v>6</v>
      </c>
      <c r="AD5578" t="n">
        <v>187200</v>
      </c>
      <c r="AE5578" t="n">
        <v>187200</v>
      </c>
      <c r="AF5578" t="n">
        <v>701</v>
      </c>
      <c r="AG5578" t="n">
        <v>107</v>
      </c>
      <c r="AH5578" t="inlineStr">
        <is>
          <t xml:space="preserve">CV. DAHLIA - PPN (PDG) </t>
        </is>
      </c>
      <c r="AI5578" t="n">
        <v>287</v>
      </c>
      <c r="AJ5578" t="inlineStr">
        <is>
          <t>STUDIO TROPIK</t>
        </is>
      </c>
      <c r="AK5578" t="n">
        <v>21</v>
      </c>
      <c r="AL5578" t="inlineStr">
        <is>
          <t>Miss Glam Damar</t>
        </is>
      </c>
      <c r="AM5578" t="n">
        <v>3</v>
      </c>
      <c r="AN5578" t="n">
        <v>500000</v>
      </c>
      <c r="AO5578" t="n">
        <v>0</v>
      </c>
      <c r="AP5578" t="inlineStr"/>
      <c r="AQ5578" t="inlineStr"/>
    </row>
    <row r="5579">
      <c r="A5579" t="inlineStr">
        <is>
          <t>STUDIO TROPIK</t>
        </is>
      </c>
      <c r="B5579" s="2">
        <f>"8997217750021"</f>
        <v/>
      </c>
      <c r="C5579" t="inlineStr">
        <is>
          <t>STUDIO TROPIK Flawless Priming Water 150ml</t>
        </is>
      </c>
      <c r="D5579" t="inlineStr">
        <is>
          <t>Miss Glam Damar</t>
        </is>
      </c>
      <c r="E5579" t="n">
        <v>2</v>
      </c>
      <c r="F5579" t="n">
        <v>0.2457</v>
      </c>
      <c r="G5579" t="n">
        <v>0.91</v>
      </c>
      <c r="H5579" t="n">
        <v>2</v>
      </c>
      <c r="I5579" t="n">
        <v>16</v>
      </c>
      <c r="J5579" t="n">
        <v>3</v>
      </c>
      <c r="K5579" t="n">
        <v>0</v>
      </c>
      <c r="L5579" t="n">
        <v>79200</v>
      </c>
      <c r="M5579" t="n">
        <v>99300</v>
      </c>
      <c r="N5579" t="n">
        <v>91</v>
      </c>
      <c r="O5579" t="n">
        <v>0.91</v>
      </c>
      <c r="P5579" t="n">
        <v>1</v>
      </c>
      <c r="Q5579" t="n">
        <v>0.14</v>
      </c>
      <c r="R5579" t="n">
        <v>1</v>
      </c>
      <c r="S5579" t="n">
        <v>24398.01</v>
      </c>
      <c r="T5579" t="n">
        <v>15</v>
      </c>
      <c r="U5579" t="n">
        <v>16</v>
      </c>
      <c r="V5579" t="n">
        <v>30</v>
      </c>
      <c r="W5579" t="n">
        <v>8</v>
      </c>
      <c r="X5579" t="n">
        <v>8.140008140008138</v>
      </c>
      <c r="Y5579" t="n">
        <v>1</v>
      </c>
      <c r="Z5579" t="n">
        <v>6</v>
      </c>
      <c r="AA5579" t="n">
        <v>2</v>
      </c>
      <c r="AB5579" t="n">
        <v>4</v>
      </c>
      <c r="AC5579" t="n">
        <v>4</v>
      </c>
      <c r="AD5579" t="n">
        <v>158400</v>
      </c>
      <c r="AE5579" t="n">
        <v>316800</v>
      </c>
      <c r="AF5579" t="n">
        <v>701</v>
      </c>
      <c r="AG5579" t="n">
        <v>107</v>
      </c>
      <c r="AH5579" t="inlineStr">
        <is>
          <t xml:space="preserve">CV. DAHLIA - PPN (PDG) </t>
        </is>
      </c>
      <c r="AI5579" t="n">
        <v>287</v>
      </c>
      <c r="AJ5579" t="inlineStr">
        <is>
          <t>STUDIO TROPIK</t>
        </is>
      </c>
      <c r="AK5579" t="n">
        <v>21</v>
      </c>
      <c r="AL5579" t="inlineStr">
        <is>
          <t>Miss Glam Damar</t>
        </is>
      </c>
      <c r="AM5579" t="n">
        <v>3</v>
      </c>
      <c r="AN5579" t="n">
        <v>500000</v>
      </c>
      <c r="AO5579" t="n">
        <v>0</v>
      </c>
      <c r="AP5579" t="inlineStr"/>
      <c r="AQ5579" t="inlineStr"/>
    </row>
    <row r="5580">
      <c r="A5580" t="inlineStr">
        <is>
          <t>STUDIO TROPIK</t>
        </is>
      </c>
      <c r="B5580" s="2">
        <f>"20100174727"</f>
        <v/>
      </c>
      <c r="C5580" t="inlineStr">
        <is>
          <t>STUDIO TROPIK Foundcealer 2 in 1 Foundation &amp; Concealer N01 27gr</t>
        </is>
      </c>
      <c r="D5580" t="inlineStr">
        <is>
          <t>Miss Glam Damar</t>
        </is>
      </c>
      <c r="E5580" t="n">
        <v>1</v>
      </c>
      <c r="F5580" t="n">
        <v>0.0182</v>
      </c>
      <c r="G5580" t="n">
        <v>0.91</v>
      </c>
      <c r="H5580" t="n">
        <v>2</v>
      </c>
      <c r="I5580" t="n">
        <v>16</v>
      </c>
      <c r="J5580" t="n">
        <v>1</v>
      </c>
      <c r="K5580" t="n">
        <v>0</v>
      </c>
      <c r="L5580" t="n">
        <v>144000</v>
      </c>
      <c r="M5580" t="n">
        <v>180000</v>
      </c>
      <c r="N5580" t="n">
        <v>91</v>
      </c>
      <c r="O5580" t="n">
        <v>0.91</v>
      </c>
      <c r="P5580" t="n">
        <v>1</v>
      </c>
      <c r="Q5580" t="n">
        <v>0.02</v>
      </c>
      <c r="R5580" t="n">
        <v>1</v>
      </c>
      <c r="S5580" t="n">
        <v>3276</v>
      </c>
      <c r="T5580" t="n">
        <v>15</v>
      </c>
      <c r="U5580" t="n">
        <v>16</v>
      </c>
      <c r="V5580" t="n">
        <v>30</v>
      </c>
      <c r="W5580" t="n">
        <v>1</v>
      </c>
      <c r="X5580" t="n">
        <v>54.94505494505494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701</v>
      </c>
      <c r="AG5580" t="n">
        <v>107</v>
      </c>
      <c r="AH5580" t="inlineStr">
        <is>
          <t xml:space="preserve">CV. DAHLIA - PPN (PDG) </t>
        </is>
      </c>
      <c r="AI5580" t="n">
        <v>287</v>
      </c>
      <c r="AJ5580" t="inlineStr">
        <is>
          <t>STUDIO TROPIK</t>
        </is>
      </c>
      <c r="AK5580" t="n">
        <v>21</v>
      </c>
      <c r="AL5580" t="inlineStr">
        <is>
          <t>Miss Glam Damar</t>
        </is>
      </c>
      <c r="AM5580" t="n">
        <v>3</v>
      </c>
      <c r="AN5580" t="n">
        <v>500000</v>
      </c>
      <c r="AO5580" t="n">
        <v>0</v>
      </c>
      <c r="AP5580" t="inlineStr"/>
      <c r="AQ5580" t="inlineStr"/>
    </row>
    <row r="5581">
      <c r="A5581" t="inlineStr">
        <is>
          <t>STUDIO TROPIK</t>
        </is>
      </c>
      <c r="B5581" s="2">
        <f>"8997217750236"</f>
        <v/>
      </c>
      <c r="C5581" t="inlineStr">
        <is>
          <t>STUDIO TROPIK Fresh Skin Barrier Cream 50gr</t>
        </is>
      </c>
      <c r="D5581" t="inlineStr">
        <is>
          <t>Miss Glam Damar</t>
        </is>
      </c>
      <c r="E5581" t="n">
        <v>3</v>
      </c>
      <c r="F5581" t="n">
        <v>0.03</v>
      </c>
      <c r="G5581" t="n">
        <v>1</v>
      </c>
      <c r="H5581" t="n">
        <v>2</v>
      </c>
      <c r="I5581" t="n">
        <v>16</v>
      </c>
      <c r="J5581" t="n">
        <v>3</v>
      </c>
      <c r="K5581" t="n">
        <v>0</v>
      </c>
      <c r="L5581" t="n">
        <v>159200</v>
      </c>
      <c r="M5581" t="n">
        <v>199000</v>
      </c>
      <c r="N5581" t="n">
        <v>91</v>
      </c>
      <c r="O5581" t="n">
        <v>0.91</v>
      </c>
      <c r="P5581" t="n">
        <v>0</v>
      </c>
      <c r="Q5581" t="n">
        <v>0.03</v>
      </c>
      <c r="R5581" t="n">
        <v>1</v>
      </c>
      <c r="S5581" t="n">
        <v>5970</v>
      </c>
      <c r="T5581" t="n">
        <v>16</v>
      </c>
      <c r="U5581" t="n">
        <v>17</v>
      </c>
      <c r="V5581" t="n">
        <v>30</v>
      </c>
      <c r="W5581" t="n">
        <v>1</v>
      </c>
      <c r="X5581" t="n">
        <v>100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701</v>
      </c>
      <c r="AG5581" t="n">
        <v>107</v>
      </c>
      <c r="AH5581" t="inlineStr">
        <is>
          <t xml:space="preserve">CV. DAHLIA - PPN (PDG) </t>
        </is>
      </c>
      <c r="AI5581" t="n">
        <v>287</v>
      </c>
      <c r="AJ5581" t="inlineStr">
        <is>
          <t>STUDIO TROPIK</t>
        </is>
      </c>
      <c r="AK5581" t="n">
        <v>21</v>
      </c>
      <c r="AL5581" t="inlineStr">
        <is>
          <t>Miss Glam Damar</t>
        </is>
      </c>
      <c r="AM5581" t="n">
        <v>3</v>
      </c>
      <c r="AN5581" t="n">
        <v>500000</v>
      </c>
      <c r="AO5581" t="n">
        <v>0</v>
      </c>
      <c r="AP5581" t="inlineStr"/>
      <c r="AQ5581" t="inlineStr"/>
    </row>
    <row r="5582">
      <c r="A5582" t="inlineStr">
        <is>
          <t>STUDIO TROPIK</t>
        </is>
      </c>
      <c r="B5582" s="2">
        <f>"8997217750342"</f>
        <v/>
      </c>
      <c r="C5582" t="inlineStr">
        <is>
          <t>STUDIO TROPIK Mint Corrector Hybrid Sunscreen SPF 50++ PA 50gr</t>
        </is>
      </c>
      <c r="D5582" t="inlineStr">
        <is>
          <t>Miss Glam Damar</t>
        </is>
      </c>
      <c r="E5582" t="n">
        <v>3</v>
      </c>
      <c r="F5582" t="n">
        <v>0.02</v>
      </c>
      <c r="G5582" t="n">
        <v>1</v>
      </c>
      <c r="H5582" t="n">
        <v>2</v>
      </c>
      <c r="I5582" t="n">
        <v>16</v>
      </c>
      <c r="J5582" t="n">
        <v>3</v>
      </c>
      <c r="K5582" t="n">
        <v>0</v>
      </c>
      <c r="L5582" t="n">
        <v>135200</v>
      </c>
      <c r="M5582" t="n">
        <v>169000</v>
      </c>
      <c r="N5582" t="n">
        <v>91</v>
      </c>
      <c r="O5582" t="n">
        <v>0.91</v>
      </c>
      <c r="P5582" t="n">
        <v>0</v>
      </c>
      <c r="Q5582" t="n">
        <v>0.02</v>
      </c>
      <c r="R5582" t="n">
        <v>1</v>
      </c>
      <c r="S5582" t="n">
        <v>3380</v>
      </c>
      <c r="T5582" t="n">
        <v>16</v>
      </c>
      <c r="U5582" t="n">
        <v>17</v>
      </c>
      <c r="V5582" t="n">
        <v>30</v>
      </c>
      <c r="W5582" t="n">
        <v>1</v>
      </c>
      <c r="X5582" t="n">
        <v>150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701</v>
      </c>
      <c r="AG5582" t="n">
        <v>107</v>
      </c>
      <c r="AH5582" t="inlineStr">
        <is>
          <t xml:space="preserve">CV. DAHLIA - PPN (PDG) </t>
        </is>
      </c>
      <c r="AI5582" t="n">
        <v>287</v>
      </c>
      <c r="AJ5582" t="inlineStr">
        <is>
          <t>STUDIO TROPIK</t>
        </is>
      </c>
      <c r="AK5582" t="n">
        <v>21</v>
      </c>
      <c r="AL5582" t="inlineStr">
        <is>
          <t>Miss Glam Damar</t>
        </is>
      </c>
      <c r="AM5582" t="n">
        <v>3</v>
      </c>
      <c r="AN5582" t="n">
        <v>500000</v>
      </c>
      <c r="AO5582" t="n">
        <v>0</v>
      </c>
      <c r="AP5582" t="inlineStr"/>
      <c r="AQ5582" t="inlineStr"/>
    </row>
    <row r="5583">
      <c r="A5583" t="inlineStr">
        <is>
          <t>STUDIO TROPIK</t>
        </is>
      </c>
      <c r="B5583" s="2">
        <f>"8997217750434"</f>
        <v/>
      </c>
      <c r="C5583" t="inlineStr">
        <is>
          <t>STUDIO TROPIK Original Priming Water 30ml</t>
        </is>
      </c>
      <c r="D5583" t="inlineStr">
        <is>
          <t>Miss Glam Damar</t>
        </is>
      </c>
      <c r="E5583" t="n">
        <v>3</v>
      </c>
      <c r="F5583" t="n">
        <v>0.0273</v>
      </c>
      <c r="G5583" t="n">
        <v>0.91</v>
      </c>
      <c r="H5583" t="n">
        <v>2</v>
      </c>
      <c r="I5583" t="n">
        <v>16</v>
      </c>
      <c r="J5583" t="n">
        <v>3</v>
      </c>
      <c r="K5583" t="n">
        <v>0</v>
      </c>
      <c r="L5583" t="n">
        <v>31200</v>
      </c>
      <c r="M5583" t="n">
        <v>43200</v>
      </c>
      <c r="N5583" t="n">
        <v>91</v>
      </c>
      <c r="O5583" t="n">
        <v>0.91</v>
      </c>
      <c r="P5583" t="n">
        <v>1</v>
      </c>
      <c r="Q5583" t="n">
        <v>0.05</v>
      </c>
      <c r="R5583" t="n">
        <v>1</v>
      </c>
      <c r="S5583" t="n">
        <v>1179.36</v>
      </c>
      <c r="T5583" t="n">
        <v>15</v>
      </c>
      <c r="U5583" t="n">
        <v>16</v>
      </c>
      <c r="V5583" t="n">
        <v>30</v>
      </c>
      <c r="W5583" t="n">
        <v>1</v>
      </c>
      <c r="X5583" t="n">
        <v>109.8901098901099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701</v>
      </c>
      <c r="AG5583" t="n">
        <v>107</v>
      </c>
      <c r="AH5583" t="inlineStr">
        <is>
          <t xml:space="preserve">CV. DAHLIA - PPN (PDG) </t>
        </is>
      </c>
      <c r="AI5583" t="n">
        <v>287</v>
      </c>
      <c r="AJ5583" t="inlineStr">
        <is>
          <t>STUDIO TROPIK</t>
        </is>
      </c>
      <c r="AK5583" t="n">
        <v>21</v>
      </c>
      <c r="AL5583" t="inlineStr">
        <is>
          <t>Miss Glam Damar</t>
        </is>
      </c>
      <c r="AM5583" t="n">
        <v>3</v>
      </c>
      <c r="AN5583" t="n">
        <v>500000</v>
      </c>
      <c r="AO5583" t="n">
        <v>0</v>
      </c>
      <c r="AP5583" t="inlineStr"/>
      <c r="AQ5583" t="inlineStr"/>
    </row>
    <row r="5584">
      <c r="A5584" t="inlineStr">
        <is>
          <t>STUDIO TROPIK</t>
        </is>
      </c>
      <c r="B5584" s="2">
        <f>"8997217750625"</f>
        <v/>
      </c>
      <c r="C5584" t="inlineStr">
        <is>
          <t>STUDIO TROPIK Satin 30ml</t>
        </is>
      </c>
      <c r="D5584" t="inlineStr">
        <is>
          <t>Miss Glam Damar</t>
        </is>
      </c>
      <c r="E5584" t="n">
        <v>5</v>
      </c>
      <c r="F5584" t="n">
        <v>0.5369</v>
      </c>
      <c r="G5584" t="n">
        <v>6.37</v>
      </c>
      <c r="H5584" t="n">
        <v>2</v>
      </c>
      <c r="I5584" t="n">
        <v>16</v>
      </c>
      <c r="J5584" t="n">
        <v>3</v>
      </c>
      <c r="K5584" t="n">
        <v>0</v>
      </c>
      <c r="L5584" t="n">
        <v>47200</v>
      </c>
      <c r="M5584" t="n">
        <v>59000</v>
      </c>
      <c r="N5584" t="n">
        <v>91</v>
      </c>
      <c r="O5584" t="n">
        <v>0.91</v>
      </c>
      <c r="P5584" t="n">
        <v>1</v>
      </c>
      <c r="Q5584" t="n">
        <v>0.71</v>
      </c>
      <c r="R5584" t="n">
        <v>3</v>
      </c>
      <c r="S5584" t="n">
        <v>31677.1</v>
      </c>
      <c r="T5584" t="n">
        <v>101</v>
      </c>
      <c r="U5584" t="n">
        <v>103</v>
      </c>
      <c r="V5584" t="n">
        <v>30</v>
      </c>
      <c r="W5584" t="n">
        <v>17</v>
      </c>
      <c r="X5584" t="n">
        <v>9.312721177127957</v>
      </c>
      <c r="Y5584" t="n">
        <v>1</v>
      </c>
      <c r="Z5584" t="n">
        <v>12</v>
      </c>
      <c r="AA5584" t="n">
        <v>4</v>
      </c>
      <c r="AB5584" t="n">
        <v>8</v>
      </c>
      <c r="AC5584" t="n">
        <v>8</v>
      </c>
      <c r="AD5584" t="n">
        <v>188800</v>
      </c>
      <c r="AE5584" t="n">
        <v>377600</v>
      </c>
      <c r="AF5584" t="n">
        <v>701</v>
      </c>
      <c r="AG5584" t="n">
        <v>107</v>
      </c>
      <c r="AH5584" t="inlineStr">
        <is>
          <t xml:space="preserve">CV. DAHLIA - PPN (PDG) </t>
        </is>
      </c>
      <c r="AI5584" t="n">
        <v>287</v>
      </c>
      <c r="AJ5584" t="inlineStr">
        <is>
          <t>STUDIO TROPIK</t>
        </is>
      </c>
      <c r="AK5584" t="n">
        <v>21</v>
      </c>
      <c r="AL5584" t="inlineStr">
        <is>
          <t>Miss Glam Damar</t>
        </is>
      </c>
      <c r="AM5584" t="n">
        <v>3</v>
      </c>
      <c r="AN5584" t="n">
        <v>500000</v>
      </c>
      <c r="AO5584" t="n">
        <v>0</v>
      </c>
      <c r="AP5584" t="inlineStr"/>
      <c r="AQ5584" t="inlineStr"/>
    </row>
    <row r="5585">
      <c r="A5585" t="inlineStr">
        <is>
          <t>STUDIO TROPIK</t>
        </is>
      </c>
      <c r="B5585" s="2">
        <f>"8997217750113"</f>
        <v/>
      </c>
      <c r="C5585" t="inlineStr">
        <is>
          <t>STUDIO TROPIK Setting Spray Dream Setter 30ml</t>
        </is>
      </c>
      <c r="D5585" t="inlineStr">
        <is>
          <t>Miss Glam Damar</t>
        </is>
      </c>
      <c r="E5585" t="n">
        <v>0</v>
      </c>
      <c r="F5585" t="n">
        <v>0.2821</v>
      </c>
      <c r="G5585" t="n">
        <v>2.73</v>
      </c>
      <c r="H5585" t="n">
        <v>2</v>
      </c>
      <c r="I5585" t="n">
        <v>16</v>
      </c>
      <c r="J5585" t="n">
        <v>3</v>
      </c>
      <c r="K5585" t="n">
        <v>0</v>
      </c>
      <c r="L5585" t="n">
        <v>47200</v>
      </c>
      <c r="M5585" t="n">
        <v>59000</v>
      </c>
      <c r="N5585" t="n">
        <v>91</v>
      </c>
      <c r="O5585" t="n">
        <v>0.91</v>
      </c>
      <c r="P5585" t="n">
        <v>1</v>
      </c>
      <c r="Q5585" t="n">
        <v>0.45</v>
      </c>
      <c r="R5585" t="n">
        <v>2</v>
      </c>
      <c r="S5585" t="n">
        <v>16643.9</v>
      </c>
      <c r="T5585" t="n">
        <v>44</v>
      </c>
      <c r="U5585" t="n">
        <v>45</v>
      </c>
      <c r="V5585" t="n">
        <v>30</v>
      </c>
      <c r="W5585" t="n">
        <v>9</v>
      </c>
      <c r="X5585" t="n">
        <v>0</v>
      </c>
      <c r="Y5585" t="n">
        <v>1</v>
      </c>
      <c r="Z5585" t="n">
        <v>9</v>
      </c>
      <c r="AA5585" t="n">
        <v>5</v>
      </c>
      <c r="AB5585" t="n">
        <v>4</v>
      </c>
      <c r="AC5585" t="n">
        <v>4</v>
      </c>
      <c r="AD5585" t="n">
        <v>236000</v>
      </c>
      <c r="AE5585" t="n">
        <v>188800</v>
      </c>
      <c r="AF5585" t="n">
        <v>701</v>
      </c>
      <c r="AG5585" t="n">
        <v>107</v>
      </c>
      <c r="AH5585" t="inlineStr">
        <is>
          <t xml:space="preserve">CV. DAHLIA - PPN (PDG) </t>
        </is>
      </c>
      <c r="AI5585" t="n">
        <v>287</v>
      </c>
      <c r="AJ5585" t="inlineStr">
        <is>
          <t>STUDIO TROPIK</t>
        </is>
      </c>
      <c r="AK5585" t="n">
        <v>21</v>
      </c>
      <c r="AL5585" t="inlineStr">
        <is>
          <t>Miss Glam Damar</t>
        </is>
      </c>
      <c r="AM5585" t="n">
        <v>3</v>
      </c>
      <c r="AN5585" t="n">
        <v>500000</v>
      </c>
      <c r="AO5585" t="n">
        <v>0</v>
      </c>
      <c r="AP5585" t="inlineStr"/>
      <c r="AQ5585" t="inlineStr"/>
    </row>
    <row r="5586">
      <c r="A5586" t="inlineStr">
        <is>
          <t>STUDIO TROPIK</t>
        </is>
      </c>
      <c r="B5586" s="2">
        <f>"10400516116"</f>
        <v/>
      </c>
      <c r="C5586" t="inlineStr">
        <is>
          <t>STUDIO TROPIK SPF 50 + Skin Pretty Filter Aging Skin Mint 15gr</t>
        </is>
      </c>
      <c r="D5586" t="inlineStr">
        <is>
          <t>Miss Glam Damar</t>
        </is>
      </c>
      <c r="E5586" t="n">
        <v>4</v>
      </c>
      <c r="F5586" t="n">
        <v>0.1547</v>
      </c>
      <c r="G5586" t="n">
        <v>1.82</v>
      </c>
      <c r="H5586" t="n">
        <v>2</v>
      </c>
      <c r="I5586" t="n">
        <v>16</v>
      </c>
      <c r="J5586" t="n">
        <v>1</v>
      </c>
      <c r="K5586" t="n">
        <v>0</v>
      </c>
      <c r="L5586" t="n">
        <v>44000</v>
      </c>
      <c r="M5586" t="n">
        <v>55000</v>
      </c>
      <c r="N5586" t="n">
        <v>91</v>
      </c>
      <c r="O5586" t="n">
        <v>0.91</v>
      </c>
      <c r="P5586" t="n">
        <v>1</v>
      </c>
      <c r="Q5586" t="n">
        <v>0.05</v>
      </c>
      <c r="R5586" t="n">
        <v>1</v>
      </c>
      <c r="S5586" t="n">
        <v>8508.5</v>
      </c>
      <c r="T5586" t="n">
        <v>29</v>
      </c>
      <c r="U5586" t="n">
        <v>30</v>
      </c>
      <c r="V5586" t="n">
        <v>30</v>
      </c>
      <c r="W5586" t="n">
        <v>5</v>
      </c>
      <c r="X5586" t="n">
        <v>25.85649644473174</v>
      </c>
      <c r="Y5586" t="n">
        <v>1</v>
      </c>
      <c r="Z5586" t="n">
        <v>1</v>
      </c>
      <c r="AA5586" t="n">
        <v>0</v>
      </c>
      <c r="AB5586" t="n">
        <v>1</v>
      </c>
      <c r="AC5586" t="n">
        <v>1</v>
      </c>
      <c r="AD5586" t="n">
        <v>0</v>
      </c>
      <c r="AE5586" t="n">
        <v>44000</v>
      </c>
      <c r="AF5586" t="n">
        <v>701</v>
      </c>
      <c r="AG5586" t="n">
        <v>107</v>
      </c>
      <c r="AH5586" t="inlineStr">
        <is>
          <t xml:space="preserve">CV. DAHLIA - PPN (PDG) </t>
        </is>
      </c>
      <c r="AI5586" t="n">
        <v>287</v>
      </c>
      <c r="AJ5586" t="inlineStr">
        <is>
          <t>STUDIO TROPIK</t>
        </is>
      </c>
      <c r="AK5586" t="n">
        <v>21</v>
      </c>
      <c r="AL5586" t="inlineStr">
        <is>
          <t>Miss Glam Damar</t>
        </is>
      </c>
      <c r="AM5586" t="n">
        <v>3</v>
      </c>
      <c r="AN5586" t="n">
        <v>500000</v>
      </c>
      <c r="AO5586" t="n">
        <v>0</v>
      </c>
      <c r="AP5586" t="inlineStr"/>
      <c r="AQ5586" t="inlineStr"/>
    </row>
    <row r="5587">
      <c r="A5587" t="inlineStr">
        <is>
          <t>STUDIO TROPIK</t>
        </is>
      </c>
      <c r="B5587" s="2">
        <f>"10400516039"</f>
        <v/>
      </c>
      <c r="C5587" t="inlineStr">
        <is>
          <t>STUDIO TROPIK SPF 50 + Skin Pretty Filter Aging Skin Peach 15gr</t>
        </is>
      </c>
      <c r="D5587" t="inlineStr">
        <is>
          <t>Miss Glam Damar</t>
        </is>
      </c>
      <c r="E5587" t="n">
        <v>3</v>
      </c>
      <c r="F5587" t="n">
        <v>0.1729</v>
      </c>
      <c r="G5587" t="n">
        <v>1.82</v>
      </c>
      <c r="H5587" t="n">
        <v>2</v>
      </c>
      <c r="I5587" t="n">
        <v>16</v>
      </c>
      <c r="J5587" t="n">
        <v>1</v>
      </c>
      <c r="K5587" t="n">
        <v>0</v>
      </c>
      <c r="L5587" t="n">
        <v>44000</v>
      </c>
      <c r="M5587" t="n">
        <v>55000</v>
      </c>
      <c r="N5587" t="n">
        <v>91</v>
      </c>
      <c r="O5587" t="n">
        <v>0.91</v>
      </c>
      <c r="P5587" t="n">
        <v>1</v>
      </c>
      <c r="Q5587" t="n">
        <v>0.08</v>
      </c>
      <c r="R5587" t="n">
        <v>1</v>
      </c>
      <c r="S5587" t="n">
        <v>9509.5</v>
      </c>
      <c r="T5587" t="n">
        <v>29</v>
      </c>
      <c r="U5587" t="n">
        <v>30</v>
      </c>
      <c r="V5587" t="n">
        <v>30</v>
      </c>
      <c r="W5587" t="n">
        <v>6</v>
      </c>
      <c r="X5587" t="n">
        <v>17.35106998264893</v>
      </c>
      <c r="Y5587" t="n">
        <v>1</v>
      </c>
      <c r="Z5587" t="n">
        <v>3</v>
      </c>
      <c r="AA5587" t="n">
        <v>0</v>
      </c>
      <c r="AB5587" t="n">
        <v>3</v>
      </c>
      <c r="AC5587" t="n">
        <v>3</v>
      </c>
      <c r="AD5587" t="n">
        <v>0</v>
      </c>
      <c r="AE5587" t="n">
        <v>132000</v>
      </c>
      <c r="AF5587" t="n">
        <v>701</v>
      </c>
      <c r="AG5587" t="n">
        <v>107</v>
      </c>
      <c r="AH5587" t="inlineStr">
        <is>
          <t xml:space="preserve">CV. DAHLIA - PPN (PDG) </t>
        </is>
      </c>
      <c r="AI5587" t="n">
        <v>287</v>
      </c>
      <c r="AJ5587" t="inlineStr">
        <is>
          <t>STUDIO TROPIK</t>
        </is>
      </c>
      <c r="AK5587" t="n">
        <v>21</v>
      </c>
      <c r="AL5587" t="inlineStr">
        <is>
          <t>Miss Glam Damar</t>
        </is>
      </c>
      <c r="AM5587" t="n">
        <v>3</v>
      </c>
      <c r="AN5587" t="n">
        <v>500000</v>
      </c>
      <c r="AO5587" t="n">
        <v>0</v>
      </c>
      <c r="AP5587" t="inlineStr"/>
      <c r="AQ5587" t="inlineStr"/>
    </row>
    <row r="5588">
      <c r="A5588" t="inlineStr">
        <is>
          <t>STUDIO TROPIK</t>
        </is>
      </c>
      <c r="B5588" s="2">
        <f>"8997217750649"</f>
        <v/>
      </c>
      <c r="C5588" t="inlineStr">
        <is>
          <t>STUDIO TROPIK x Female Daily Priming Water Fiming + Makeup Base Spray 30ml</t>
        </is>
      </c>
      <c r="D5588" t="inlineStr">
        <is>
          <t>Miss Glam Damar</t>
        </is>
      </c>
      <c r="E5588" t="n">
        <v>4</v>
      </c>
      <c r="F5588" t="n">
        <v>0.1365</v>
      </c>
      <c r="G5588" t="n">
        <v>0.91</v>
      </c>
      <c r="H5588" t="n">
        <v>2</v>
      </c>
      <c r="I5588" t="n">
        <v>16</v>
      </c>
      <c r="J5588" t="n">
        <v>3</v>
      </c>
      <c r="K5588" t="n">
        <v>0</v>
      </c>
      <c r="L5588" t="n">
        <v>31200</v>
      </c>
      <c r="M5588" t="n">
        <v>38000</v>
      </c>
      <c r="N5588" t="n">
        <v>91</v>
      </c>
      <c r="O5588" t="n">
        <v>0.91</v>
      </c>
      <c r="P5588" t="n">
        <v>1</v>
      </c>
      <c r="Q5588" t="n">
        <v>0.08</v>
      </c>
      <c r="R5588" t="n">
        <v>1</v>
      </c>
      <c r="S5588" t="n">
        <v>5187</v>
      </c>
      <c r="T5588" t="n">
        <v>15</v>
      </c>
      <c r="U5588" t="n">
        <v>16</v>
      </c>
      <c r="V5588" t="n">
        <v>30</v>
      </c>
      <c r="W5588" t="n">
        <v>5</v>
      </c>
      <c r="X5588" t="n">
        <v>29.3040293040293</v>
      </c>
      <c r="Y5588" t="n">
        <v>1</v>
      </c>
      <c r="Z5588" t="n">
        <v>1</v>
      </c>
      <c r="AA5588" t="n">
        <v>0</v>
      </c>
      <c r="AB5588" t="n">
        <v>1</v>
      </c>
      <c r="AC5588" t="n">
        <v>3</v>
      </c>
      <c r="AD5588" t="n">
        <v>0</v>
      </c>
      <c r="AE5588" t="n">
        <v>93600</v>
      </c>
      <c r="AF5588" t="n">
        <v>701</v>
      </c>
      <c r="AG5588" t="n">
        <v>107</v>
      </c>
      <c r="AH5588" t="inlineStr">
        <is>
          <t xml:space="preserve">CV. DAHLIA - PPN (PDG) </t>
        </is>
      </c>
      <c r="AI5588" t="n">
        <v>287</v>
      </c>
      <c r="AJ5588" t="inlineStr">
        <is>
          <t>STUDIO TROPIK</t>
        </is>
      </c>
      <c r="AK5588" t="n">
        <v>21</v>
      </c>
      <c r="AL5588" t="inlineStr">
        <is>
          <t>Miss Glam Damar</t>
        </is>
      </c>
      <c r="AM5588" t="n">
        <v>3</v>
      </c>
      <c r="AN5588" t="n">
        <v>500000</v>
      </c>
      <c r="AO5588" t="n">
        <v>0</v>
      </c>
      <c r="AP5588" t="inlineStr"/>
      <c r="AQ5588" t="inlineStr"/>
    </row>
    <row r="5589">
      <c r="A5589" t="inlineStr">
        <is>
          <t>SUMBER AYU</t>
        </is>
      </c>
      <c r="B5589" s="2">
        <f>"8992856897786"</f>
        <v/>
      </c>
      <c r="C5589" t="inlineStr">
        <is>
          <t>SUMBER AYU Clear White Triple Whitening Extra 90ml</t>
        </is>
      </c>
      <c r="D5589" t="inlineStr">
        <is>
          <t>Miss Glam Damar</t>
        </is>
      </c>
      <c r="E5589" t="n">
        <v>2</v>
      </c>
      <c r="F5589" t="n">
        <v>0.2184</v>
      </c>
      <c r="G5589" t="n">
        <v>0.91</v>
      </c>
      <c r="H5589" t="n">
        <v>2</v>
      </c>
      <c r="I5589" t="n">
        <v>7</v>
      </c>
      <c r="J5589" t="n">
        <v>3</v>
      </c>
      <c r="K5589" t="n">
        <v>0</v>
      </c>
      <c r="L5589" t="n">
        <v>19133</v>
      </c>
      <c r="M5589" t="n">
        <v>23500</v>
      </c>
      <c r="N5589" t="n">
        <v>91</v>
      </c>
      <c r="O5589" t="n">
        <v>0.91</v>
      </c>
      <c r="P5589" t="n">
        <v>1</v>
      </c>
      <c r="Q5589" t="n">
        <v>0.19</v>
      </c>
      <c r="R5589" t="n">
        <v>1</v>
      </c>
      <c r="S5589" t="n">
        <v>5132.400000000001</v>
      </c>
      <c r="T5589" t="n">
        <v>6</v>
      </c>
      <c r="U5589" t="n">
        <v>7</v>
      </c>
      <c r="V5589" t="n">
        <v>30</v>
      </c>
      <c r="W5589" t="n">
        <v>7</v>
      </c>
      <c r="X5589" t="n">
        <v>9.157509157509157</v>
      </c>
      <c r="Y5589" t="n">
        <v>1</v>
      </c>
      <c r="Z5589" t="n">
        <v>5</v>
      </c>
      <c r="AA5589" t="n">
        <v>0</v>
      </c>
      <c r="AB5589" t="n">
        <v>5</v>
      </c>
      <c r="AC5589" t="n">
        <v>5</v>
      </c>
      <c r="AD5589" t="n">
        <v>0</v>
      </c>
      <c r="AE5589" t="n">
        <v>95665</v>
      </c>
      <c r="AF5589" t="n">
        <v>1807</v>
      </c>
      <c r="AG5589" t="n">
        <v>2044</v>
      </c>
      <c r="AH5589" t="inlineStr">
        <is>
          <t>CV. WINEMERI BERKARYA - PPN (PDG)</t>
        </is>
      </c>
      <c r="AI5589" t="n">
        <v>152</v>
      </c>
      <c r="AJ5589" t="inlineStr">
        <is>
          <t>SUMBER AYU</t>
        </is>
      </c>
      <c r="AK5589" t="n">
        <v>21</v>
      </c>
      <c r="AL5589" t="inlineStr">
        <is>
          <t>Miss Glam Damar</t>
        </is>
      </c>
      <c r="AM5589" t="n">
        <v>4</v>
      </c>
      <c r="AN5589" t="n">
        <v>500000</v>
      </c>
      <c r="AO5589" t="n">
        <v>0</v>
      </c>
      <c r="AP5589" t="inlineStr"/>
      <c r="AQ5589" t="inlineStr"/>
    </row>
    <row r="5590">
      <c r="A5590" t="inlineStr">
        <is>
          <t>SUMBER AYU</t>
        </is>
      </c>
      <c r="B5590" s="2">
        <f>"8992856897793"</f>
        <v/>
      </c>
      <c r="C5590" t="inlineStr">
        <is>
          <t>SUMBER AYU Clear White Triple Whitening Extracts 200ml</t>
        </is>
      </c>
      <c r="D5590" t="inlineStr">
        <is>
          <t>Miss Glam Damar</t>
        </is>
      </c>
      <c r="E5590" t="n">
        <v>5</v>
      </c>
      <c r="F5590" t="n">
        <v>0.0182</v>
      </c>
      <c r="G5590" t="n">
        <v>0.91</v>
      </c>
      <c r="H5590" t="n">
        <v>2</v>
      </c>
      <c r="I5590" t="n">
        <v>7</v>
      </c>
      <c r="J5590" t="n">
        <v>3</v>
      </c>
      <c r="K5590" t="n">
        <v>0</v>
      </c>
      <c r="L5590" t="n">
        <v>32895</v>
      </c>
      <c r="M5590" t="n">
        <v>39500</v>
      </c>
      <c r="N5590" t="n">
        <v>91</v>
      </c>
      <c r="O5590" t="n">
        <v>0.91</v>
      </c>
      <c r="P5590" t="n">
        <v>1</v>
      </c>
      <c r="Q5590" t="n">
        <v>0.05</v>
      </c>
      <c r="R5590" t="n">
        <v>2</v>
      </c>
      <c r="S5590" t="n">
        <v>718.9000000000001</v>
      </c>
      <c r="T5590" t="n">
        <v>7</v>
      </c>
      <c r="U5590" t="n">
        <v>8</v>
      </c>
      <c r="V5590" t="n">
        <v>30</v>
      </c>
      <c r="W5590" t="n">
        <v>1</v>
      </c>
      <c r="X5590" t="n">
        <v>274.7252747252747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1807</v>
      </c>
      <c r="AG5590" t="n">
        <v>2044</v>
      </c>
      <c r="AH5590" t="inlineStr">
        <is>
          <t>CV. WINEMERI BERKARYA - PPN (PDG)</t>
        </is>
      </c>
      <c r="AI5590" t="n">
        <v>152</v>
      </c>
      <c r="AJ5590" t="inlineStr">
        <is>
          <t>SUMBER AYU</t>
        </is>
      </c>
      <c r="AK5590" t="n">
        <v>21</v>
      </c>
      <c r="AL5590" t="inlineStr">
        <is>
          <t>Miss Glam Damar</t>
        </is>
      </c>
      <c r="AM5590" t="n">
        <v>4</v>
      </c>
      <c r="AN5590" t="n">
        <v>500000</v>
      </c>
      <c r="AO5590" t="n">
        <v>0</v>
      </c>
      <c r="AP5590" t="inlineStr"/>
      <c r="AQ5590" t="inlineStr"/>
    </row>
    <row r="5591">
      <c r="A5591" t="inlineStr">
        <is>
          <t>SUMBER AYU</t>
        </is>
      </c>
      <c r="B5591" s="2">
        <f>"8992856890459"</f>
        <v/>
      </c>
      <c r="C5591" t="inlineStr">
        <is>
          <t>SUMBER AYU Daun Sirih Musik 60ml</t>
        </is>
      </c>
      <c r="D5591" t="inlineStr">
        <is>
          <t>Miss Glam Damar</t>
        </is>
      </c>
      <c r="E5591" t="n">
        <v>7</v>
      </c>
      <c r="F5591" t="n">
        <v>0.7280000000000001</v>
      </c>
      <c r="G5591" t="n">
        <v>2.73</v>
      </c>
      <c r="H5591" t="n">
        <v>2</v>
      </c>
      <c r="I5591" t="n">
        <v>7</v>
      </c>
      <c r="J5591" t="n">
        <v>3</v>
      </c>
      <c r="K5591" t="n">
        <v>0</v>
      </c>
      <c r="L5591" t="n">
        <v>6141</v>
      </c>
      <c r="M5591" t="n">
        <v>8000</v>
      </c>
      <c r="N5591" t="n">
        <v>91</v>
      </c>
      <c r="O5591" t="n">
        <v>0.91</v>
      </c>
      <c r="P5591" t="n">
        <v>1</v>
      </c>
      <c r="Q5591" t="n">
        <v>0.15</v>
      </c>
      <c r="R5591" t="n">
        <v>1</v>
      </c>
      <c r="S5591" t="n">
        <v>5824.000000000001</v>
      </c>
      <c r="T5591" t="n">
        <v>18</v>
      </c>
      <c r="U5591" t="n">
        <v>20</v>
      </c>
      <c r="V5591" t="n">
        <v>30</v>
      </c>
      <c r="W5591" t="n">
        <v>22</v>
      </c>
      <c r="X5591" t="n">
        <v>9.615384615384615</v>
      </c>
      <c r="Y5591" t="n">
        <v>1</v>
      </c>
      <c r="Z5591" t="n">
        <v>15</v>
      </c>
      <c r="AA5591" t="n">
        <v>0</v>
      </c>
      <c r="AB5591" t="n">
        <v>15</v>
      </c>
      <c r="AC5591" t="n">
        <v>15</v>
      </c>
      <c r="AD5591" t="n">
        <v>0</v>
      </c>
      <c r="AE5591" t="n">
        <v>92115</v>
      </c>
      <c r="AF5591" t="n">
        <v>1807</v>
      </c>
      <c r="AG5591" t="n">
        <v>2044</v>
      </c>
      <c r="AH5591" t="inlineStr">
        <is>
          <t>CV. WINEMERI BERKARYA - PPN (PDG)</t>
        </is>
      </c>
      <c r="AI5591" t="n">
        <v>152</v>
      </c>
      <c r="AJ5591" t="inlineStr">
        <is>
          <t>SUMBER AYU</t>
        </is>
      </c>
      <c r="AK5591" t="n">
        <v>21</v>
      </c>
      <c r="AL5591" t="inlineStr">
        <is>
          <t>Miss Glam Damar</t>
        </is>
      </c>
      <c r="AM5591" t="n">
        <v>4</v>
      </c>
      <c r="AN5591" t="n">
        <v>500000</v>
      </c>
      <c r="AO5591" t="n">
        <v>0</v>
      </c>
      <c r="AP5591" t="inlineStr"/>
      <c r="AQ5591" t="inlineStr"/>
    </row>
    <row r="5592">
      <c r="A5592" t="inlineStr">
        <is>
          <t>SUMBER AYU</t>
        </is>
      </c>
      <c r="B5592" s="2">
        <f>"8992856876521"</f>
        <v/>
      </c>
      <c r="C5592" t="inlineStr">
        <is>
          <t>SUMBER AYU Daun Sirih Musk 200+50ml</t>
        </is>
      </c>
      <c r="D5592" t="inlineStr">
        <is>
          <t>Miss Glam Damar</t>
        </is>
      </c>
      <c r="E5592" t="n">
        <v>27</v>
      </c>
      <c r="F5592" t="n">
        <v>0.2184</v>
      </c>
      <c r="G5592" t="n">
        <v>1.82</v>
      </c>
      <c r="H5592" t="n">
        <v>2</v>
      </c>
      <c r="I5592" t="n">
        <v>7</v>
      </c>
      <c r="J5592" t="n">
        <v>3</v>
      </c>
      <c r="K5592" t="n">
        <v>0</v>
      </c>
      <c r="L5592" t="n">
        <v>15470</v>
      </c>
      <c r="M5592" t="n">
        <v>19000</v>
      </c>
      <c r="N5592" t="n">
        <v>91</v>
      </c>
      <c r="O5592" t="n">
        <v>0.91</v>
      </c>
      <c r="P5592" t="n">
        <v>1</v>
      </c>
      <c r="Q5592" t="n">
        <v>0.17</v>
      </c>
      <c r="R5592" t="n">
        <v>1</v>
      </c>
      <c r="S5592" t="n">
        <v>4149.6</v>
      </c>
      <c r="T5592" t="n">
        <v>13</v>
      </c>
      <c r="U5592" t="n">
        <v>14</v>
      </c>
      <c r="V5592" t="n">
        <v>30</v>
      </c>
      <c r="W5592" t="n">
        <v>7</v>
      </c>
      <c r="X5592" t="n">
        <v>123.6263736263736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1807</v>
      </c>
      <c r="AG5592" t="n">
        <v>2044</v>
      </c>
      <c r="AH5592" t="inlineStr">
        <is>
          <t>CV. WINEMERI BERKARYA - PPN (PDG)</t>
        </is>
      </c>
      <c r="AI5592" t="n">
        <v>152</v>
      </c>
      <c r="AJ5592" t="inlineStr">
        <is>
          <t>SUMBER AYU</t>
        </is>
      </c>
      <c r="AK5592" t="n">
        <v>21</v>
      </c>
      <c r="AL5592" t="inlineStr">
        <is>
          <t>Miss Glam Damar</t>
        </is>
      </c>
      <c r="AM5592" t="n">
        <v>4</v>
      </c>
      <c r="AN5592" t="n">
        <v>500000</v>
      </c>
      <c r="AO5592" t="n">
        <v>0</v>
      </c>
      <c r="AP5592" t="inlineStr"/>
      <c r="AQ5592" t="inlineStr"/>
    </row>
    <row r="5593">
      <c r="A5593" t="inlineStr">
        <is>
          <t>SUMBER AYU</t>
        </is>
      </c>
      <c r="B5593" s="2">
        <f>"8992856877160"</f>
        <v/>
      </c>
      <c r="C5593" t="inlineStr">
        <is>
          <t>SUMBER AYU Daun Sirih Musk 90ml</t>
        </is>
      </c>
      <c r="D5593" t="inlineStr">
        <is>
          <t>Miss Glam Damar</t>
        </is>
      </c>
      <c r="E5593" t="n">
        <v>3</v>
      </c>
      <c r="F5593" t="n">
        <v>0.2821</v>
      </c>
      <c r="G5593" t="n">
        <v>2.73</v>
      </c>
      <c r="H5593" t="n">
        <v>2</v>
      </c>
      <c r="I5593" t="n">
        <v>7</v>
      </c>
      <c r="J5593" t="n">
        <v>3</v>
      </c>
      <c r="K5593" t="n">
        <v>0</v>
      </c>
      <c r="L5593" t="n">
        <v>8737</v>
      </c>
      <c r="M5593" t="n">
        <v>11500</v>
      </c>
      <c r="N5593" t="n">
        <v>91</v>
      </c>
      <c r="O5593" t="n">
        <v>0.91</v>
      </c>
      <c r="P5593" t="n">
        <v>1</v>
      </c>
      <c r="Q5593" t="n">
        <v>0.22</v>
      </c>
      <c r="R5593" t="n">
        <v>2</v>
      </c>
      <c r="S5593" t="n">
        <v>3244.15</v>
      </c>
      <c r="T5593" t="n">
        <v>19</v>
      </c>
      <c r="U5593" t="n">
        <v>20</v>
      </c>
      <c r="V5593" t="n">
        <v>30</v>
      </c>
      <c r="W5593" t="n">
        <v>9</v>
      </c>
      <c r="X5593" t="n">
        <v>10.63452676355902</v>
      </c>
      <c r="Y5593" t="n">
        <v>1</v>
      </c>
      <c r="Z5593" t="n">
        <v>6</v>
      </c>
      <c r="AA5593" t="n">
        <v>0</v>
      </c>
      <c r="AB5593" t="n">
        <v>6</v>
      </c>
      <c r="AC5593" t="n">
        <v>6</v>
      </c>
      <c r="AD5593" t="n">
        <v>0</v>
      </c>
      <c r="AE5593" t="n">
        <v>52422</v>
      </c>
      <c r="AF5593" t="n">
        <v>1807</v>
      </c>
      <c r="AG5593" t="n">
        <v>2044</v>
      </c>
      <c r="AH5593" t="inlineStr">
        <is>
          <t>CV. WINEMERI BERKARYA - PPN (PDG)</t>
        </is>
      </c>
      <c r="AI5593" t="n">
        <v>152</v>
      </c>
      <c r="AJ5593" t="inlineStr">
        <is>
          <t>SUMBER AYU</t>
        </is>
      </c>
      <c r="AK5593" t="n">
        <v>21</v>
      </c>
      <c r="AL5593" t="inlineStr">
        <is>
          <t>Miss Glam Damar</t>
        </is>
      </c>
      <c r="AM5593" t="n">
        <v>4</v>
      </c>
      <c r="AN5593" t="n">
        <v>500000</v>
      </c>
      <c r="AO5593" t="n">
        <v>0</v>
      </c>
      <c r="AP5593" t="inlineStr"/>
      <c r="AQ5593" t="inlineStr"/>
    </row>
    <row r="5594">
      <c r="A5594" t="inlineStr">
        <is>
          <t>SUMBER AYU</t>
        </is>
      </c>
      <c r="B5594" s="2">
        <f>"8992856897755"</f>
        <v/>
      </c>
      <c r="C5594" t="inlineStr">
        <is>
          <t>SUMBER AYU Manjakani Keset 200ml</t>
        </is>
      </c>
      <c r="D5594" t="inlineStr">
        <is>
          <t>Miss Glam Damar</t>
        </is>
      </c>
      <c r="E5594" t="n">
        <v>0</v>
      </c>
      <c r="F5594" t="n">
        <v>0.1</v>
      </c>
      <c r="G5594" t="n">
        <v>1</v>
      </c>
      <c r="H5594" t="n">
        <v>2</v>
      </c>
      <c r="I5594" t="n">
        <v>7</v>
      </c>
      <c r="J5594" t="n">
        <v>3</v>
      </c>
      <c r="K5594" t="n">
        <v>0</v>
      </c>
      <c r="L5594" t="n">
        <v>28140</v>
      </c>
      <c r="M5594" t="n">
        <v>33500</v>
      </c>
      <c r="N5594" t="n">
        <v>91</v>
      </c>
      <c r="O5594" t="n">
        <v>0.91</v>
      </c>
      <c r="P5594" t="n">
        <v>0</v>
      </c>
      <c r="Q5594" t="n">
        <v>0.1</v>
      </c>
      <c r="R5594" t="n">
        <v>1</v>
      </c>
      <c r="S5594" t="n">
        <v>3350</v>
      </c>
      <c r="T5594" t="n">
        <v>7</v>
      </c>
      <c r="U5594" t="n">
        <v>8</v>
      </c>
      <c r="V5594" t="n">
        <v>30</v>
      </c>
      <c r="W5594" t="n">
        <v>3</v>
      </c>
      <c r="X5594" t="n">
        <v>0</v>
      </c>
      <c r="Y5594" t="n">
        <v>1</v>
      </c>
      <c r="Z5594" t="n">
        <v>3</v>
      </c>
      <c r="AA5594" t="n">
        <v>1</v>
      </c>
      <c r="AB5594" t="n">
        <v>2</v>
      </c>
      <c r="AC5594" t="n">
        <v>3</v>
      </c>
      <c r="AD5594" t="n">
        <v>28140</v>
      </c>
      <c r="AE5594" t="n">
        <v>84420</v>
      </c>
      <c r="AF5594" t="n">
        <v>1807</v>
      </c>
      <c r="AG5594" t="n">
        <v>2044</v>
      </c>
      <c r="AH5594" t="inlineStr">
        <is>
          <t>CV. WINEMERI BERKARYA - PPN (PDG)</t>
        </is>
      </c>
      <c r="AI5594" t="n">
        <v>152</v>
      </c>
      <c r="AJ5594" t="inlineStr">
        <is>
          <t>SUMBER AYU</t>
        </is>
      </c>
      <c r="AK5594" t="n">
        <v>21</v>
      </c>
      <c r="AL5594" t="inlineStr">
        <is>
          <t>Miss Glam Damar</t>
        </is>
      </c>
      <c r="AM5594" t="n">
        <v>4</v>
      </c>
      <c r="AN5594" t="n">
        <v>500000</v>
      </c>
      <c r="AO5594" t="n">
        <v>0</v>
      </c>
      <c r="AP5594" t="inlineStr"/>
      <c r="AQ5594" t="inlineStr"/>
    </row>
    <row r="5595">
      <c r="A5595" t="inlineStr">
        <is>
          <t>SUMBER AYU</t>
        </is>
      </c>
      <c r="B5595" s="2">
        <f>"8992856897731"</f>
        <v/>
      </c>
      <c r="C5595" t="inlineStr">
        <is>
          <t>SUMBER AYU Manjakani Keset 50ml</t>
        </is>
      </c>
      <c r="D5595" t="inlineStr">
        <is>
          <t>Miss Glam Damar</t>
        </is>
      </c>
      <c r="E5595" t="n">
        <v>22</v>
      </c>
      <c r="F5595" t="n">
        <v>0.4277</v>
      </c>
      <c r="G5595" t="n">
        <v>2.73</v>
      </c>
      <c r="H5595" t="n">
        <v>2</v>
      </c>
      <c r="I5595" t="n">
        <v>7</v>
      </c>
      <c r="J5595" t="n">
        <v>3</v>
      </c>
      <c r="K5595" t="n">
        <v>0</v>
      </c>
      <c r="L5595" t="n">
        <v>8840</v>
      </c>
      <c r="M5595" t="n">
        <v>11000</v>
      </c>
      <c r="N5595" t="n">
        <v>91</v>
      </c>
      <c r="O5595" t="n">
        <v>0.91</v>
      </c>
      <c r="P5595" t="n">
        <v>1</v>
      </c>
      <c r="Q5595" t="n">
        <v>0.27</v>
      </c>
      <c r="R5595" t="n">
        <v>2</v>
      </c>
      <c r="S5595" t="n">
        <v>4704.7</v>
      </c>
      <c r="T5595" t="n">
        <v>19</v>
      </c>
      <c r="U5595" t="n">
        <v>20</v>
      </c>
      <c r="V5595" t="n">
        <v>30</v>
      </c>
      <c r="W5595" t="n">
        <v>13</v>
      </c>
      <c r="X5595" t="n">
        <v>51.43792377834932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1807</v>
      </c>
      <c r="AG5595" t="n">
        <v>2044</v>
      </c>
      <c r="AH5595" t="inlineStr">
        <is>
          <t>CV. WINEMERI BERKARYA - PPN (PDG)</t>
        </is>
      </c>
      <c r="AI5595" t="n">
        <v>152</v>
      </c>
      <c r="AJ5595" t="inlineStr">
        <is>
          <t>SUMBER AYU</t>
        </is>
      </c>
      <c r="AK5595" t="n">
        <v>21</v>
      </c>
      <c r="AL5595" t="inlineStr">
        <is>
          <t>Miss Glam Damar</t>
        </is>
      </c>
      <c r="AM5595" t="n">
        <v>4</v>
      </c>
      <c r="AN5595" t="n">
        <v>500000</v>
      </c>
      <c r="AO5595" t="n">
        <v>0</v>
      </c>
      <c r="AP5595" t="inlineStr"/>
      <c r="AQ5595" t="inlineStr"/>
    </row>
    <row r="5596">
      <c r="A5596" t="inlineStr">
        <is>
          <t>SUMBER AYU</t>
        </is>
      </c>
      <c r="B5596" s="2">
        <f>"8992856899209"</f>
        <v/>
      </c>
      <c r="C5596" t="inlineStr">
        <is>
          <t>SUMBER AYU Pearly White Triple Whitening 50ml</t>
        </is>
      </c>
      <c r="D5596" t="inlineStr">
        <is>
          <t>Miss Glam Damar</t>
        </is>
      </c>
      <c r="E5596" t="n">
        <v>0</v>
      </c>
      <c r="F5596" t="n">
        <v>0.3276</v>
      </c>
      <c r="G5596" t="n">
        <v>1.82</v>
      </c>
      <c r="H5596" t="n">
        <v>2</v>
      </c>
      <c r="I5596" t="n">
        <v>7</v>
      </c>
      <c r="J5596" t="n">
        <v>3</v>
      </c>
      <c r="K5596" t="n">
        <v>0</v>
      </c>
      <c r="L5596" t="n">
        <v>9734</v>
      </c>
      <c r="M5596" t="n">
        <v>12500</v>
      </c>
      <c r="N5596" t="n">
        <v>91</v>
      </c>
      <c r="O5596" t="n">
        <v>0.91</v>
      </c>
      <c r="P5596" t="n">
        <v>1</v>
      </c>
      <c r="Q5596" t="n">
        <v>0.43</v>
      </c>
      <c r="R5596" t="n">
        <v>3</v>
      </c>
      <c r="S5596" t="n">
        <v>4095</v>
      </c>
      <c r="T5596" t="n">
        <v>13</v>
      </c>
      <c r="U5596" t="n">
        <v>14</v>
      </c>
      <c r="V5596" t="n">
        <v>30</v>
      </c>
      <c r="W5596" t="n">
        <v>10</v>
      </c>
      <c r="X5596" t="n">
        <v>0</v>
      </c>
      <c r="Y5596" t="n">
        <v>1</v>
      </c>
      <c r="Z5596" t="n">
        <v>10</v>
      </c>
      <c r="AA5596" t="n">
        <v>3</v>
      </c>
      <c r="AB5596" t="n">
        <v>7</v>
      </c>
      <c r="AC5596" t="n">
        <v>7</v>
      </c>
      <c r="AD5596" t="n">
        <v>29202</v>
      </c>
      <c r="AE5596" t="n">
        <v>68138</v>
      </c>
      <c r="AF5596" t="n">
        <v>1807</v>
      </c>
      <c r="AG5596" t="n">
        <v>2044</v>
      </c>
      <c r="AH5596" t="inlineStr">
        <is>
          <t>CV. WINEMERI BERKARYA - PPN (PDG)</t>
        </is>
      </c>
      <c r="AI5596" t="n">
        <v>152</v>
      </c>
      <c r="AJ5596" t="inlineStr">
        <is>
          <t>SUMBER AYU</t>
        </is>
      </c>
      <c r="AK5596" t="n">
        <v>21</v>
      </c>
      <c r="AL5596" t="inlineStr">
        <is>
          <t>Miss Glam Damar</t>
        </is>
      </c>
      <c r="AM5596" t="n">
        <v>4</v>
      </c>
      <c r="AN5596" t="n">
        <v>500000</v>
      </c>
      <c r="AO5596" t="n">
        <v>0</v>
      </c>
      <c r="AP5596" t="inlineStr"/>
      <c r="AQ5596" t="inlineStr"/>
    </row>
    <row r="5597">
      <c r="A5597" t="inlineStr">
        <is>
          <t>SUMBER AYU</t>
        </is>
      </c>
      <c r="B5597" s="2">
        <f>"8992856899216"</f>
        <v/>
      </c>
      <c r="C5597" t="inlineStr">
        <is>
          <t>SUMBER AYU Pearly White Triple Whitening 90ml</t>
        </is>
      </c>
      <c r="D5597" t="inlineStr">
        <is>
          <t>Miss Glam Damar</t>
        </is>
      </c>
      <c r="E5597" t="n">
        <v>8</v>
      </c>
      <c r="F5597" t="n">
        <v>0.1365</v>
      </c>
      <c r="G5597" t="n">
        <v>1.82</v>
      </c>
      <c r="H5597" t="n">
        <v>2</v>
      </c>
      <c r="I5597" t="n">
        <v>7</v>
      </c>
      <c r="J5597" t="n">
        <v>3</v>
      </c>
      <c r="K5597" t="n">
        <v>0</v>
      </c>
      <c r="L5597" t="n">
        <v>18820</v>
      </c>
      <c r="M5597" t="n">
        <v>23500</v>
      </c>
      <c r="N5597" t="n">
        <v>91</v>
      </c>
      <c r="O5597" t="n">
        <v>0.91</v>
      </c>
      <c r="P5597" t="n">
        <v>1</v>
      </c>
      <c r="Q5597" t="n">
        <v>0.12</v>
      </c>
      <c r="R5597" t="n">
        <v>1</v>
      </c>
      <c r="S5597" t="n">
        <v>3207.75</v>
      </c>
      <c r="T5597" t="n">
        <v>13</v>
      </c>
      <c r="U5597" t="n">
        <v>14</v>
      </c>
      <c r="V5597" t="n">
        <v>30</v>
      </c>
      <c r="W5597" t="n">
        <v>5</v>
      </c>
      <c r="X5597" t="n">
        <v>58.60805860805861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1807</v>
      </c>
      <c r="AG5597" t="n">
        <v>2044</v>
      </c>
      <c r="AH5597" t="inlineStr">
        <is>
          <t>CV. WINEMERI BERKARYA - PPN (PDG)</t>
        </is>
      </c>
      <c r="AI5597" t="n">
        <v>152</v>
      </c>
      <c r="AJ5597" t="inlineStr">
        <is>
          <t>SUMBER AYU</t>
        </is>
      </c>
      <c r="AK5597" t="n">
        <v>21</v>
      </c>
      <c r="AL5597" t="inlineStr">
        <is>
          <t>Miss Glam Damar</t>
        </is>
      </c>
      <c r="AM5597" t="n">
        <v>4</v>
      </c>
      <c r="AN5597" t="n">
        <v>500000</v>
      </c>
      <c r="AO5597" t="n">
        <v>0</v>
      </c>
      <c r="AP5597" t="inlineStr"/>
      <c r="AQ5597" t="inlineStr"/>
    </row>
    <row r="5598">
      <c r="A5598" t="inlineStr">
        <is>
          <t>SUMBER AYU</t>
        </is>
      </c>
      <c r="B5598" s="2">
        <f>"8992856890428"</f>
        <v/>
      </c>
      <c r="C5598" t="inlineStr">
        <is>
          <t>SUMBER AYU Pembersih Kewanitaan Orchid 60ml</t>
        </is>
      </c>
      <c r="D5598" t="inlineStr">
        <is>
          <t>Miss Glam Damar</t>
        </is>
      </c>
      <c r="E5598" t="n">
        <v>26</v>
      </c>
      <c r="F5598" t="n">
        <v>0.6279</v>
      </c>
      <c r="G5598" t="n">
        <v>4.55</v>
      </c>
      <c r="H5598" t="n">
        <v>2</v>
      </c>
      <c r="I5598" t="n">
        <v>7</v>
      </c>
      <c r="J5598" t="n">
        <v>3</v>
      </c>
      <c r="K5598" t="n">
        <v>0</v>
      </c>
      <c r="L5598" t="n">
        <v>6160</v>
      </c>
      <c r="M5598" t="n">
        <v>8000</v>
      </c>
      <c r="N5598" t="n">
        <v>91</v>
      </c>
      <c r="O5598" t="n">
        <v>0.91</v>
      </c>
      <c r="P5598" t="n">
        <v>1</v>
      </c>
      <c r="Q5598" t="n">
        <v>0.31</v>
      </c>
      <c r="R5598" t="n">
        <v>3</v>
      </c>
      <c r="S5598" t="n">
        <v>5023.2</v>
      </c>
      <c r="T5598" t="n">
        <v>31</v>
      </c>
      <c r="U5598" t="n">
        <v>33</v>
      </c>
      <c r="V5598" t="n">
        <v>30</v>
      </c>
      <c r="W5598" t="n">
        <v>19</v>
      </c>
      <c r="X5598" t="n">
        <v>41.40786749482402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1807</v>
      </c>
      <c r="AG5598" t="n">
        <v>2044</v>
      </c>
      <c r="AH5598" t="inlineStr">
        <is>
          <t>CV. WINEMERI BERKARYA - PPN (PDG)</t>
        </is>
      </c>
      <c r="AI5598" t="n">
        <v>152</v>
      </c>
      <c r="AJ5598" t="inlineStr">
        <is>
          <t>SUMBER AYU</t>
        </is>
      </c>
      <c r="AK5598" t="n">
        <v>21</v>
      </c>
      <c r="AL5598" t="inlineStr">
        <is>
          <t>Miss Glam Damar</t>
        </is>
      </c>
      <c r="AM5598" t="n">
        <v>4</v>
      </c>
      <c r="AN5598" t="n">
        <v>500000</v>
      </c>
      <c r="AO5598" t="n">
        <v>0</v>
      </c>
      <c r="AP5598" t="inlineStr"/>
      <c r="AQ5598" t="inlineStr"/>
    </row>
    <row r="5599">
      <c r="A5599" t="inlineStr">
        <is>
          <t>SUMBER AYU</t>
        </is>
      </c>
      <c r="B5599" s="2">
        <f>"8992856877177"</f>
        <v/>
      </c>
      <c r="C5599" t="inlineStr">
        <is>
          <t>SUMBER AYU Pembersih Kewanitaan Rose 90ml</t>
        </is>
      </c>
      <c r="D5599" t="inlineStr">
        <is>
          <t>Miss Glam Damar</t>
        </is>
      </c>
      <c r="E5599" t="n">
        <v>11</v>
      </c>
      <c r="F5599" t="n">
        <v>0.3276</v>
      </c>
      <c r="G5599" t="n">
        <v>1.82</v>
      </c>
      <c r="H5599" t="n">
        <v>2</v>
      </c>
      <c r="I5599" t="n">
        <v>7</v>
      </c>
      <c r="J5599" t="n">
        <v>3</v>
      </c>
      <c r="K5599" t="n">
        <v>0</v>
      </c>
      <c r="L5599" t="n">
        <v>8767</v>
      </c>
      <c r="M5599" t="n">
        <v>12000</v>
      </c>
      <c r="N5599" t="n">
        <v>91</v>
      </c>
      <c r="O5599" t="n">
        <v>0.91</v>
      </c>
      <c r="P5599" t="n">
        <v>1</v>
      </c>
      <c r="Q5599" t="n">
        <v>0.17</v>
      </c>
      <c r="R5599" t="n">
        <v>1</v>
      </c>
      <c r="S5599" t="n">
        <v>3931.2</v>
      </c>
      <c r="T5599" t="n">
        <v>13</v>
      </c>
      <c r="U5599" t="n">
        <v>14</v>
      </c>
      <c r="V5599" t="n">
        <v>30</v>
      </c>
      <c r="W5599" t="n">
        <v>10</v>
      </c>
      <c r="X5599" t="n">
        <v>33.57753357753358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1807</v>
      </c>
      <c r="AG5599" t="n">
        <v>2044</v>
      </c>
      <c r="AH5599" t="inlineStr">
        <is>
          <t>CV. WINEMERI BERKARYA - PPN (PDG)</t>
        </is>
      </c>
      <c r="AI5599" t="n">
        <v>152</v>
      </c>
      <c r="AJ5599" t="inlineStr">
        <is>
          <t>SUMBER AYU</t>
        </is>
      </c>
      <c r="AK5599" t="n">
        <v>21</v>
      </c>
      <c r="AL5599" t="inlineStr">
        <is>
          <t>Miss Glam Damar</t>
        </is>
      </c>
      <c r="AM5599" t="n">
        <v>4</v>
      </c>
      <c r="AN5599" t="n">
        <v>500000</v>
      </c>
      <c r="AO5599" t="n">
        <v>0</v>
      </c>
      <c r="AP5599" t="inlineStr"/>
      <c r="AQ5599" t="inlineStr"/>
    </row>
    <row r="5600">
      <c r="A5600" t="inlineStr">
        <is>
          <t>SUMBER AYU</t>
        </is>
      </c>
      <c r="B5600" s="2">
        <f>"8992856897779"</f>
        <v/>
      </c>
      <c r="C5600" t="inlineStr">
        <is>
          <t>SUMBER AYU Triple Whitening Clear White 50ml</t>
        </is>
      </c>
      <c r="D5600" t="inlineStr">
        <is>
          <t>Miss Glam Damar</t>
        </is>
      </c>
      <c r="E5600" t="n">
        <v>28</v>
      </c>
      <c r="F5600" t="n">
        <v>1.4378</v>
      </c>
      <c r="G5600" t="n">
        <v>6.37</v>
      </c>
      <c r="H5600" t="n">
        <v>2</v>
      </c>
      <c r="I5600" t="n">
        <v>7</v>
      </c>
      <c r="J5600" t="n">
        <v>3</v>
      </c>
      <c r="K5600" t="n">
        <v>0</v>
      </c>
      <c r="L5600" t="n">
        <v>9534</v>
      </c>
      <c r="M5600" t="n">
        <v>12000</v>
      </c>
      <c r="N5600" t="n">
        <v>91</v>
      </c>
      <c r="O5600" t="n">
        <v>0.91</v>
      </c>
      <c r="P5600" t="n">
        <v>1</v>
      </c>
      <c r="Q5600" t="n">
        <v>0.32</v>
      </c>
      <c r="R5600" t="n">
        <v>3</v>
      </c>
      <c r="S5600" t="n">
        <v>17253.6</v>
      </c>
      <c r="T5600" t="n">
        <v>42</v>
      </c>
      <c r="U5600" t="n">
        <v>45</v>
      </c>
      <c r="V5600" t="n">
        <v>30</v>
      </c>
      <c r="W5600" t="n">
        <v>44</v>
      </c>
      <c r="X5600" t="n">
        <v>19.47419668938656</v>
      </c>
      <c r="Y5600" t="n">
        <v>1</v>
      </c>
      <c r="Z5600" t="n">
        <v>16</v>
      </c>
      <c r="AA5600" t="n">
        <v>0</v>
      </c>
      <c r="AB5600" t="n">
        <v>16</v>
      </c>
      <c r="AC5600" t="n">
        <v>16</v>
      </c>
      <c r="AD5600" t="n">
        <v>0</v>
      </c>
      <c r="AE5600" t="n">
        <v>152544</v>
      </c>
      <c r="AF5600" t="n">
        <v>1807</v>
      </c>
      <c r="AG5600" t="n">
        <v>2044</v>
      </c>
      <c r="AH5600" t="inlineStr">
        <is>
          <t>CV. WINEMERI BERKARYA - PPN (PDG)</t>
        </is>
      </c>
      <c r="AI5600" t="n">
        <v>152</v>
      </c>
      <c r="AJ5600" t="inlineStr">
        <is>
          <t>SUMBER AYU</t>
        </is>
      </c>
      <c r="AK5600" t="n">
        <v>21</v>
      </c>
      <c r="AL5600" t="inlineStr">
        <is>
          <t>Miss Glam Damar</t>
        </is>
      </c>
      <c r="AM5600" t="n">
        <v>4</v>
      </c>
      <c r="AN5600" t="n">
        <v>500000</v>
      </c>
      <c r="AO5600" t="n">
        <v>0</v>
      </c>
      <c r="AP5600" t="inlineStr"/>
      <c r="AQ5600" t="inlineStr"/>
    </row>
    <row r="5601">
      <c r="A5601" t="inlineStr">
        <is>
          <t>SUMBER AYU</t>
        </is>
      </c>
      <c r="B5601" s="2">
        <f>"8992856899223"</f>
        <v/>
      </c>
      <c r="C5601" t="inlineStr">
        <is>
          <t>SUMBER AYU Triple Whitening Pearly White 200ml</t>
        </is>
      </c>
      <c r="D5601" t="inlineStr">
        <is>
          <t>Miss Glam Damar</t>
        </is>
      </c>
      <c r="E5601" t="n">
        <v>27</v>
      </c>
      <c r="F5601" t="n">
        <v>0.0273</v>
      </c>
      <c r="G5601" t="n">
        <v>0.91</v>
      </c>
      <c r="H5601" t="n">
        <v>2</v>
      </c>
      <c r="I5601" t="n">
        <v>7</v>
      </c>
      <c r="J5601" t="n">
        <v>3</v>
      </c>
      <c r="K5601" t="n">
        <v>0</v>
      </c>
      <c r="L5601" t="n">
        <v>32676</v>
      </c>
      <c r="M5601" t="n">
        <v>39500</v>
      </c>
      <c r="N5601" t="n">
        <v>91</v>
      </c>
      <c r="O5601" t="n">
        <v>0.91</v>
      </c>
      <c r="P5601" t="n">
        <v>1</v>
      </c>
      <c r="Q5601" t="n">
        <v>0.07000000000000001</v>
      </c>
      <c r="R5601" t="n">
        <v>2</v>
      </c>
      <c r="S5601" t="n">
        <v>1078.35</v>
      </c>
      <c r="T5601" t="n">
        <v>7</v>
      </c>
      <c r="U5601" t="n">
        <v>8</v>
      </c>
      <c r="V5601" t="n">
        <v>30</v>
      </c>
      <c r="W5601" t="n">
        <v>1</v>
      </c>
      <c r="X5601" t="n">
        <v>989.010989010989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1807</v>
      </c>
      <c r="AG5601" t="n">
        <v>2044</v>
      </c>
      <c r="AH5601" t="inlineStr">
        <is>
          <t>CV. WINEMERI BERKARYA - PPN (PDG)</t>
        </is>
      </c>
      <c r="AI5601" t="n">
        <v>152</v>
      </c>
      <c r="AJ5601" t="inlineStr">
        <is>
          <t>SUMBER AYU</t>
        </is>
      </c>
      <c r="AK5601" t="n">
        <v>21</v>
      </c>
      <c r="AL5601" t="inlineStr">
        <is>
          <t>Miss Glam Damar</t>
        </is>
      </c>
      <c r="AM5601" t="n">
        <v>4</v>
      </c>
      <c r="AN5601" t="n">
        <v>500000</v>
      </c>
      <c r="AO5601" t="n">
        <v>0</v>
      </c>
      <c r="AP5601" t="inlineStr"/>
      <c r="AQ5601" t="inlineStr"/>
    </row>
    <row r="5602">
      <c r="A5602" t="inlineStr">
        <is>
          <t>SUNSILK</t>
        </is>
      </c>
      <c r="B5602" s="2">
        <f>"40200509242"</f>
        <v/>
      </c>
      <c r="C5602" t="inlineStr">
        <is>
          <t>SUNSILK Multivitamin Hair Parfume Kuning 100ml</t>
        </is>
      </c>
      <c r="D5602" t="inlineStr">
        <is>
          <t>Miss Glam Damar</t>
        </is>
      </c>
      <c r="E5602" t="n">
        <v>11</v>
      </c>
      <c r="F5602" t="n">
        <v>0.1274</v>
      </c>
      <c r="G5602" t="n">
        <v>1.82</v>
      </c>
      <c r="H5602" t="n">
        <v>3</v>
      </c>
      <c r="I5602" t="n">
        <v>5</v>
      </c>
      <c r="J5602" t="n">
        <v>1</v>
      </c>
      <c r="K5602" t="n">
        <v>0</v>
      </c>
      <c r="L5602" t="n">
        <v>27360</v>
      </c>
      <c r="M5602" t="n">
        <v>33000</v>
      </c>
      <c r="N5602" t="n">
        <v>91</v>
      </c>
      <c r="O5602" t="n">
        <v>0.91</v>
      </c>
      <c r="P5602" t="n">
        <v>1</v>
      </c>
      <c r="Q5602" t="n">
        <v>0.32</v>
      </c>
      <c r="R5602" t="n">
        <v>2</v>
      </c>
      <c r="S5602" t="n">
        <v>4204.200000000001</v>
      </c>
      <c r="T5602" t="n">
        <v>9</v>
      </c>
      <c r="U5602" t="n">
        <v>10</v>
      </c>
      <c r="V5602" t="n">
        <v>30</v>
      </c>
      <c r="W5602" t="n">
        <v>4</v>
      </c>
      <c r="X5602" t="n">
        <v>86.34222919937204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1571</v>
      </c>
      <c r="AG5602" t="n">
        <v>361</v>
      </c>
      <c r="AH5602" t="inlineStr">
        <is>
          <t>CV. SERBA SERBI - PPN (PDG)</t>
        </is>
      </c>
      <c r="AI5602" t="n">
        <v>1581</v>
      </c>
      <c r="AJ5602" t="inlineStr">
        <is>
          <t>SUNSILK</t>
        </is>
      </c>
      <c r="AK5602" t="n">
        <v>21</v>
      </c>
      <c r="AL5602" t="inlineStr">
        <is>
          <t>Miss Glam Damar</t>
        </is>
      </c>
      <c r="AM5602" t="n">
        <v>2</v>
      </c>
      <c r="AN5602" t="n">
        <v>500000</v>
      </c>
      <c r="AO5602" t="n">
        <v>0</v>
      </c>
      <c r="AP5602" t="inlineStr"/>
      <c r="AQ5602" t="inlineStr"/>
    </row>
    <row r="5603">
      <c r="A5603" t="inlineStr">
        <is>
          <t>SUNSILK</t>
        </is>
      </c>
      <c r="B5603" s="2">
        <f>"40200509458"</f>
        <v/>
      </c>
      <c r="C5603" t="inlineStr">
        <is>
          <t>SUNSILK Multivitamin Hair Parfume Pink 100ml</t>
        </is>
      </c>
      <c r="D5603" t="inlineStr">
        <is>
          <t>Miss Glam Damar</t>
        </is>
      </c>
      <c r="E5603" t="n">
        <v>13</v>
      </c>
      <c r="F5603" t="n">
        <v>0.2002</v>
      </c>
      <c r="G5603" t="n">
        <v>1.82</v>
      </c>
      <c r="H5603" t="n">
        <v>3</v>
      </c>
      <c r="I5603" t="n">
        <v>5</v>
      </c>
      <c r="J5603" t="n">
        <v>1</v>
      </c>
      <c r="K5603" t="n">
        <v>0</v>
      </c>
      <c r="L5603" t="n">
        <v>27346</v>
      </c>
      <c r="M5603" t="n">
        <v>33000</v>
      </c>
      <c r="N5603" t="n">
        <v>91</v>
      </c>
      <c r="O5603" t="n">
        <v>0.91</v>
      </c>
      <c r="P5603" t="n">
        <v>1</v>
      </c>
      <c r="Q5603" t="n">
        <v>0.17</v>
      </c>
      <c r="R5603" t="n">
        <v>1</v>
      </c>
      <c r="S5603" t="n">
        <v>6606.6</v>
      </c>
      <c r="T5603" t="n">
        <v>9</v>
      </c>
      <c r="U5603" t="n">
        <v>10</v>
      </c>
      <c r="V5603" t="n">
        <v>30</v>
      </c>
      <c r="W5603" t="n">
        <v>7</v>
      </c>
      <c r="X5603" t="n">
        <v>64.93506493506493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1571</v>
      </c>
      <c r="AG5603" t="n">
        <v>361</v>
      </c>
      <c r="AH5603" t="inlineStr">
        <is>
          <t>CV. SERBA SERBI - PPN (PDG)</t>
        </is>
      </c>
      <c r="AI5603" t="n">
        <v>1581</v>
      </c>
      <c r="AJ5603" t="inlineStr">
        <is>
          <t>SUNSILK</t>
        </is>
      </c>
      <c r="AK5603" t="n">
        <v>21</v>
      </c>
      <c r="AL5603" t="inlineStr">
        <is>
          <t>Miss Glam Damar</t>
        </is>
      </c>
      <c r="AM5603" t="n">
        <v>2</v>
      </c>
      <c r="AN5603" t="n">
        <v>500000</v>
      </c>
      <c r="AO5603" t="n">
        <v>0</v>
      </c>
      <c r="AP5603" t="inlineStr"/>
      <c r="AQ5603" t="inlineStr"/>
    </row>
    <row r="5604">
      <c r="A5604" t="inlineStr">
        <is>
          <t>SUNSILK</t>
        </is>
      </c>
      <c r="B5604" s="2">
        <f>"40200509360"</f>
        <v/>
      </c>
      <c r="C5604" t="inlineStr">
        <is>
          <t>SUNSILK Multivitamin Hair Parfume Ungu 100ml</t>
        </is>
      </c>
      <c r="D5604" t="inlineStr">
        <is>
          <t>Miss Glam Damar</t>
        </is>
      </c>
      <c r="E5604" t="n">
        <v>2</v>
      </c>
      <c r="F5604" t="n">
        <v>0.04550000000000001</v>
      </c>
      <c r="G5604" t="n">
        <v>1.82</v>
      </c>
      <c r="H5604" t="n">
        <v>3</v>
      </c>
      <c r="I5604" t="n">
        <v>5</v>
      </c>
      <c r="J5604" t="n">
        <v>1</v>
      </c>
      <c r="K5604" t="n">
        <v>0</v>
      </c>
      <c r="L5604" t="n">
        <v>27214</v>
      </c>
      <c r="M5604" t="n">
        <v>33000</v>
      </c>
      <c r="N5604" t="n">
        <v>91</v>
      </c>
      <c r="O5604" t="n">
        <v>0.91</v>
      </c>
      <c r="P5604" t="n">
        <v>1</v>
      </c>
      <c r="Q5604" t="n">
        <v>0.1</v>
      </c>
      <c r="R5604" t="n">
        <v>1</v>
      </c>
      <c r="S5604" t="n">
        <v>1501.5</v>
      </c>
      <c r="T5604" t="n">
        <v>9</v>
      </c>
      <c r="U5604" t="n">
        <v>10</v>
      </c>
      <c r="V5604" t="n">
        <v>30</v>
      </c>
      <c r="W5604" t="n">
        <v>2</v>
      </c>
      <c r="X5604" t="n">
        <v>43.95604395604395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1571</v>
      </c>
      <c r="AG5604" t="n">
        <v>361</v>
      </c>
      <c r="AH5604" t="inlineStr">
        <is>
          <t>CV. SERBA SERBI - PPN (PDG)</t>
        </is>
      </c>
      <c r="AI5604" t="n">
        <v>1581</v>
      </c>
      <c r="AJ5604" t="inlineStr">
        <is>
          <t>SUNSILK</t>
        </is>
      </c>
      <c r="AK5604" t="n">
        <v>21</v>
      </c>
      <c r="AL5604" t="inlineStr">
        <is>
          <t>Miss Glam Damar</t>
        </is>
      </c>
      <c r="AM5604" t="n">
        <v>2</v>
      </c>
      <c r="AN5604" t="n">
        <v>500000</v>
      </c>
      <c r="AO5604" t="n">
        <v>0</v>
      </c>
      <c r="AP5604" t="inlineStr"/>
      <c r="AQ5604" t="inlineStr"/>
    </row>
    <row r="5605">
      <c r="A5605" t="inlineStr">
        <is>
          <t>SYUGA</t>
        </is>
      </c>
      <c r="B5605" s="2">
        <f>"8998183909154"</f>
        <v/>
      </c>
      <c r="C5605" t="inlineStr">
        <is>
          <t>SYUGA Minyak Jojoba 150ml</t>
        </is>
      </c>
      <c r="D5605" t="inlineStr">
        <is>
          <t>Miss Glam Damar</t>
        </is>
      </c>
      <c r="E5605" t="n">
        <v>16</v>
      </c>
      <c r="F5605" t="n">
        <v>0.2821</v>
      </c>
      <c r="G5605" t="n">
        <v>1.82</v>
      </c>
      <c r="H5605" t="n">
        <v>4</v>
      </c>
      <c r="I5605" t="n">
        <v>8</v>
      </c>
      <c r="J5605" t="n">
        <v>3</v>
      </c>
      <c r="K5605" t="n">
        <v>0</v>
      </c>
      <c r="L5605" t="n">
        <v>24908</v>
      </c>
      <c r="M5605" t="n">
        <v>31500</v>
      </c>
      <c r="N5605" t="n">
        <v>91</v>
      </c>
      <c r="O5605" t="n">
        <v>0.91</v>
      </c>
      <c r="P5605" t="n">
        <v>1</v>
      </c>
      <c r="Q5605" t="n">
        <v>0.37</v>
      </c>
      <c r="R5605" t="n">
        <v>3</v>
      </c>
      <c r="S5605" t="n">
        <v>8886.150000000001</v>
      </c>
      <c r="T5605" t="n">
        <v>14</v>
      </c>
      <c r="U5605" t="n">
        <v>16</v>
      </c>
      <c r="V5605" t="n">
        <v>30</v>
      </c>
      <c r="W5605" t="n">
        <v>9</v>
      </c>
      <c r="X5605" t="n">
        <v>56.71747607231478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12010</v>
      </c>
      <c r="AG5605" t="n">
        <v>109</v>
      </c>
      <c r="AH5605" t="inlineStr">
        <is>
          <t>PT. PENTA VALENT - PPN (PDG)</t>
        </is>
      </c>
      <c r="AI5605" t="n">
        <v>1939</v>
      </c>
      <c r="AJ5605" t="inlineStr">
        <is>
          <t>SYUGA</t>
        </is>
      </c>
      <c r="AK5605" t="n">
        <v>21</v>
      </c>
      <c r="AL5605" t="inlineStr">
        <is>
          <t>Miss Glam Damar</t>
        </is>
      </c>
      <c r="AM5605" t="n">
        <v>5</v>
      </c>
      <c r="AN5605" t="n">
        <v>500000</v>
      </c>
      <c r="AO5605" t="n">
        <v>0</v>
      </c>
      <c r="AP5605" t="inlineStr"/>
      <c r="AQ5605" t="inlineStr"/>
    </row>
    <row r="5606">
      <c r="A5606" t="inlineStr">
        <is>
          <t>SYUGA</t>
        </is>
      </c>
      <c r="B5606" s="2">
        <f>"8998183909161"</f>
        <v/>
      </c>
      <c r="C5606" t="inlineStr">
        <is>
          <t>SYUGA Minyak Zaitun 150ml</t>
        </is>
      </c>
      <c r="D5606" t="inlineStr">
        <is>
          <t>Miss Glam Damar</t>
        </is>
      </c>
      <c r="E5606" t="n">
        <v>0</v>
      </c>
      <c r="F5606" t="n">
        <v>0.3185</v>
      </c>
      <c r="G5606" t="n">
        <v>2.73</v>
      </c>
      <c r="H5606" t="n">
        <v>4</v>
      </c>
      <c r="I5606" t="n">
        <v>8</v>
      </c>
      <c r="J5606" t="n">
        <v>3</v>
      </c>
      <c r="K5606" t="n">
        <v>0</v>
      </c>
      <c r="L5606" t="n">
        <v>24908</v>
      </c>
      <c r="M5606" t="n">
        <v>29500</v>
      </c>
      <c r="N5606" t="n">
        <v>91</v>
      </c>
      <c r="O5606" t="n">
        <v>0.91</v>
      </c>
      <c r="P5606" t="n">
        <v>1</v>
      </c>
      <c r="Q5606" t="n">
        <v>0.04</v>
      </c>
      <c r="R5606" t="n">
        <v>1</v>
      </c>
      <c r="S5606" t="n">
        <v>9395.75</v>
      </c>
      <c r="T5606" t="n">
        <v>21</v>
      </c>
      <c r="U5606" t="n">
        <v>23</v>
      </c>
      <c r="V5606" t="n">
        <v>30</v>
      </c>
      <c r="W5606" t="n">
        <v>10</v>
      </c>
      <c r="X5606" t="n">
        <v>0</v>
      </c>
      <c r="Y5606" t="n">
        <v>1</v>
      </c>
      <c r="Z5606" t="n">
        <v>10</v>
      </c>
      <c r="AA5606" t="n">
        <v>3</v>
      </c>
      <c r="AB5606" t="n">
        <v>7</v>
      </c>
      <c r="AC5606" t="n">
        <v>7</v>
      </c>
      <c r="AD5606" t="n">
        <v>74724</v>
      </c>
      <c r="AE5606" t="n">
        <v>174356</v>
      </c>
      <c r="AF5606" t="n">
        <v>12010</v>
      </c>
      <c r="AG5606" t="n">
        <v>109</v>
      </c>
      <c r="AH5606" t="inlineStr">
        <is>
          <t>PT. PENTA VALENT - PPN (PDG)</t>
        </is>
      </c>
      <c r="AI5606" t="n">
        <v>1939</v>
      </c>
      <c r="AJ5606" t="inlineStr">
        <is>
          <t>SYUGA</t>
        </is>
      </c>
      <c r="AK5606" t="n">
        <v>21</v>
      </c>
      <c r="AL5606" t="inlineStr">
        <is>
          <t>Miss Glam Damar</t>
        </is>
      </c>
      <c r="AM5606" t="n">
        <v>5</v>
      </c>
      <c r="AN5606" t="n">
        <v>500000</v>
      </c>
      <c r="AO5606" t="n">
        <v>0</v>
      </c>
      <c r="AP5606" t="inlineStr"/>
      <c r="AQ5606" t="inlineStr"/>
    </row>
    <row r="5607">
      <c r="A5607" t="inlineStr">
        <is>
          <t>TALK ME</t>
        </is>
      </c>
      <c r="B5607" s="2">
        <f>"304002100053"</f>
        <v/>
      </c>
      <c r="C5607" t="inlineStr">
        <is>
          <t>TALK ME Eau De Parfume Vanilla Cream 35ml</t>
        </is>
      </c>
      <c r="D5607" t="inlineStr">
        <is>
          <t>Miss Glam Damar</t>
        </is>
      </c>
      <c r="E5607" t="n">
        <v>6</v>
      </c>
      <c r="F5607" t="n">
        <v>0.05</v>
      </c>
      <c r="G5607" t="n">
        <v>2</v>
      </c>
      <c r="H5607" t="n">
        <v>5</v>
      </c>
      <c r="I5607" t="n">
        <v>15</v>
      </c>
      <c r="J5607" t="n">
        <v>3</v>
      </c>
      <c r="K5607" t="n">
        <v>0</v>
      </c>
      <c r="L5607" t="n">
        <v>14428</v>
      </c>
      <c r="M5607" t="n">
        <v>20000</v>
      </c>
      <c r="N5607" t="n">
        <v>91</v>
      </c>
      <c r="O5607" t="n">
        <v>0.91</v>
      </c>
      <c r="P5607" t="n">
        <v>0</v>
      </c>
      <c r="Q5607" t="n">
        <v>0.05</v>
      </c>
      <c r="R5607" t="n">
        <v>2</v>
      </c>
      <c r="S5607" t="n">
        <v>1000</v>
      </c>
      <c r="T5607" t="n">
        <v>30</v>
      </c>
      <c r="U5607" t="n">
        <v>31</v>
      </c>
      <c r="V5607" t="n">
        <v>30</v>
      </c>
      <c r="W5607" t="n">
        <v>2</v>
      </c>
      <c r="X5607" t="n">
        <v>120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13516</v>
      </c>
      <c r="AG5607" t="n">
        <v>2764</v>
      </c>
      <c r="AH5607" t="inlineStr">
        <is>
          <t>TALK ME PUSAT (ONLINE)</t>
        </is>
      </c>
      <c r="AI5607" t="n">
        <v>1343</v>
      </c>
      <c r="AJ5607" t="inlineStr">
        <is>
          <t>TALK ME</t>
        </is>
      </c>
      <c r="AK5607" t="n">
        <v>21</v>
      </c>
      <c r="AL5607" t="inlineStr">
        <is>
          <t>Miss Glam Damar</t>
        </is>
      </c>
      <c r="AM5607" t="n">
        <v>4</v>
      </c>
      <c r="AN5607" t="n">
        <v>500000</v>
      </c>
      <c r="AO5607" t="n">
        <v>0</v>
      </c>
      <c r="AP5607" t="inlineStr"/>
      <c r="AQ5607" t="inlineStr"/>
    </row>
    <row r="5608">
      <c r="A5608" t="inlineStr">
        <is>
          <t>TALK ME</t>
        </is>
      </c>
      <c r="B5608" s="2">
        <f>"304002135053"</f>
        <v/>
      </c>
      <c r="C5608" t="inlineStr">
        <is>
          <t>TALK ME Eau De Parfume VI Secret Tease 35ml</t>
        </is>
      </c>
      <c r="D5608" t="inlineStr">
        <is>
          <t>Miss Glam Damar</t>
        </is>
      </c>
      <c r="E5608" t="n">
        <v>24</v>
      </c>
      <c r="F5608" t="n">
        <v>0.02</v>
      </c>
      <c r="G5608" t="n">
        <v>1</v>
      </c>
      <c r="H5608" t="n">
        <v>5</v>
      </c>
      <c r="I5608" t="n">
        <v>15</v>
      </c>
      <c r="J5608" t="n">
        <v>3</v>
      </c>
      <c r="K5608" t="n">
        <v>0</v>
      </c>
      <c r="L5608" t="n">
        <v>14428</v>
      </c>
      <c r="M5608" t="n">
        <v>20000</v>
      </c>
      <c r="N5608" t="n">
        <v>91</v>
      </c>
      <c r="O5608" t="n">
        <v>0.91</v>
      </c>
      <c r="P5608" t="n">
        <v>0</v>
      </c>
      <c r="Q5608" t="n">
        <v>0.02</v>
      </c>
      <c r="R5608" t="n">
        <v>1</v>
      </c>
      <c r="S5608" t="n">
        <v>400</v>
      </c>
      <c r="T5608" t="n">
        <v>15</v>
      </c>
      <c r="U5608" t="n">
        <v>16</v>
      </c>
      <c r="V5608" t="n">
        <v>30</v>
      </c>
      <c r="W5608" t="n">
        <v>1</v>
      </c>
      <c r="X5608" t="n">
        <v>1200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13516</v>
      </c>
      <c r="AG5608" t="n">
        <v>2764</v>
      </c>
      <c r="AH5608" t="inlineStr">
        <is>
          <t>TALK ME PUSAT (ONLINE)</t>
        </is>
      </c>
      <c r="AI5608" t="n">
        <v>1343</v>
      </c>
      <c r="AJ5608" t="inlineStr">
        <is>
          <t>TALK ME</t>
        </is>
      </c>
      <c r="AK5608" t="n">
        <v>21</v>
      </c>
      <c r="AL5608" t="inlineStr">
        <is>
          <t>Miss Glam Damar</t>
        </is>
      </c>
      <c r="AM5608" t="n">
        <v>4</v>
      </c>
      <c r="AN5608" t="n">
        <v>500000</v>
      </c>
      <c r="AO5608" t="n">
        <v>0</v>
      </c>
      <c r="AP5608" t="inlineStr"/>
      <c r="AQ5608" t="inlineStr"/>
    </row>
    <row r="5609">
      <c r="A5609" t="inlineStr">
        <is>
          <t>TALK ME</t>
        </is>
      </c>
      <c r="B5609" s="2">
        <f>"30400190015"</f>
        <v/>
      </c>
      <c r="C5609" t="inlineStr">
        <is>
          <t>TALKME Perfume Body Mist Midnight Kiss Sparkle 275ml</t>
        </is>
      </c>
      <c r="D5609" t="inlineStr">
        <is>
          <t>Miss Glam Damar</t>
        </is>
      </c>
      <c r="E5609" t="n">
        <v>0</v>
      </c>
      <c r="F5609" t="n">
        <v>0.07000000000000001</v>
      </c>
      <c r="G5609" t="n">
        <v>2</v>
      </c>
      <c r="H5609" t="n">
        <v>5</v>
      </c>
      <c r="I5609" t="n">
        <v>15</v>
      </c>
      <c r="J5609" t="n">
        <v>3</v>
      </c>
      <c r="K5609" t="n">
        <v>0</v>
      </c>
      <c r="L5609" t="n">
        <v>35009</v>
      </c>
      <c r="M5609" t="n">
        <v>45000</v>
      </c>
      <c r="N5609" t="n">
        <v>91</v>
      </c>
      <c r="O5609" t="n">
        <v>0.91</v>
      </c>
      <c r="P5609" t="n">
        <v>0</v>
      </c>
      <c r="Q5609" t="n">
        <v>0.07000000000000001</v>
      </c>
      <c r="R5609" t="n">
        <v>2</v>
      </c>
      <c r="S5609" t="n">
        <v>3150</v>
      </c>
      <c r="T5609" t="n">
        <v>30</v>
      </c>
      <c r="U5609" t="n">
        <v>31</v>
      </c>
      <c r="V5609" t="n">
        <v>30</v>
      </c>
      <c r="W5609" t="n">
        <v>3</v>
      </c>
      <c r="X5609" t="n">
        <v>0</v>
      </c>
      <c r="Y5609" t="n">
        <v>1</v>
      </c>
      <c r="Z5609" t="n">
        <v>3</v>
      </c>
      <c r="AA5609" t="n">
        <v>2</v>
      </c>
      <c r="AB5609" t="n">
        <v>1</v>
      </c>
      <c r="AC5609" t="n">
        <v>3</v>
      </c>
      <c r="AD5609" t="n">
        <v>70018</v>
      </c>
      <c r="AE5609" t="n">
        <v>105027</v>
      </c>
      <c r="AF5609" t="n">
        <v>13516</v>
      </c>
      <c r="AG5609" t="n">
        <v>2764</v>
      </c>
      <c r="AH5609" t="inlineStr">
        <is>
          <t>TALK ME PUSAT (ONLINE)</t>
        </is>
      </c>
      <c r="AI5609" t="n">
        <v>1343</v>
      </c>
      <c r="AJ5609" t="inlineStr">
        <is>
          <t>TALK ME</t>
        </is>
      </c>
      <c r="AK5609" t="n">
        <v>21</v>
      </c>
      <c r="AL5609" t="inlineStr">
        <is>
          <t>Miss Glam Damar</t>
        </is>
      </c>
      <c r="AM5609" t="n">
        <v>4</v>
      </c>
      <c r="AN5609" t="n">
        <v>500000</v>
      </c>
      <c r="AO5609" t="n">
        <v>0</v>
      </c>
      <c r="AP5609" t="inlineStr"/>
      <c r="AQ5609" t="inlineStr"/>
    </row>
    <row r="5610">
      <c r="A5610" t="inlineStr">
        <is>
          <t>TAVI</t>
        </is>
      </c>
      <c r="B5610" s="2">
        <f>"8993137709132"</f>
        <v/>
      </c>
      <c r="C5610" t="inlineStr">
        <is>
          <t>TAVI Color Play Face Tint Love Bites 9gr</t>
        </is>
      </c>
      <c r="D5610" t="inlineStr">
        <is>
          <t>Miss Glam Damar</t>
        </is>
      </c>
      <c r="E5610" t="n">
        <v>6</v>
      </c>
      <c r="F5610" t="n">
        <v>0.14</v>
      </c>
      <c r="G5610" t="n">
        <v>1</v>
      </c>
      <c r="H5610" t="n">
        <v>2</v>
      </c>
      <c r="I5610" t="n">
        <v>6</v>
      </c>
      <c r="J5610" t="n">
        <v>3</v>
      </c>
      <c r="K5610" t="n">
        <v>0</v>
      </c>
      <c r="L5610" t="n">
        <v>79071</v>
      </c>
      <c r="M5610" t="n">
        <v>96000</v>
      </c>
      <c r="N5610" t="n">
        <v>91</v>
      </c>
      <c r="O5610" t="n">
        <v>0.91</v>
      </c>
      <c r="P5610" t="n">
        <v>0</v>
      </c>
      <c r="Q5610" t="n">
        <v>0.14</v>
      </c>
      <c r="R5610" t="n">
        <v>1</v>
      </c>
      <c r="S5610" t="n">
        <v>13440</v>
      </c>
      <c r="T5610" t="n">
        <v>6</v>
      </c>
      <c r="U5610" t="n">
        <v>7</v>
      </c>
      <c r="V5610" t="n">
        <v>30</v>
      </c>
      <c r="W5610" t="n">
        <v>5</v>
      </c>
      <c r="X5610" t="n">
        <v>42.85714285714285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11723</v>
      </c>
      <c r="AG5610" t="n">
        <v>63</v>
      </c>
      <c r="AH5610" t="inlineStr">
        <is>
          <t>PT. PARAMA GLOBAL INSPIRA - PPN (PDG)</t>
        </is>
      </c>
      <c r="AI5610" t="n">
        <v>1478</v>
      </c>
      <c r="AJ5610" t="inlineStr">
        <is>
          <t>TAVI</t>
        </is>
      </c>
      <c r="AK5610" t="n">
        <v>21</v>
      </c>
      <c r="AL5610" t="inlineStr">
        <is>
          <t>Miss Glam Damar</t>
        </is>
      </c>
      <c r="AM5610" t="n">
        <v>1</v>
      </c>
      <c r="AN5610" t="n">
        <v>500000</v>
      </c>
      <c r="AO5610" t="n">
        <v>0</v>
      </c>
      <c r="AP5610" t="inlineStr"/>
      <c r="AQ5610" t="inlineStr"/>
    </row>
    <row r="5611">
      <c r="A5611" t="inlineStr">
        <is>
          <t>TAVI</t>
        </is>
      </c>
      <c r="B5611" s="2">
        <f>"8993137709149"</f>
        <v/>
      </c>
      <c r="C5611" t="inlineStr">
        <is>
          <t>TAVI Color Play Face Tint Moonchild 9gr</t>
        </is>
      </c>
      <c r="D5611" t="inlineStr">
        <is>
          <t>Miss Glam Damar</t>
        </is>
      </c>
      <c r="E5611" t="n">
        <v>5</v>
      </c>
      <c r="F5611" t="n">
        <v>0.15</v>
      </c>
      <c r="G5611" t="n">
        <v>2</v>
      </c>
      <c r="H5611" t="n">
        <v>2</v>
      </c>
      <c r="I5611" t="n">
        <v>6</v>
      </c>
      <c r="J5611" t="n">
        <v>3</v>
      </c>
      <c r="K5611" t="n">
        <v>0</v>
      </c>
      <c r="L5611" t="n">
        <v>79200</v>
      </c>
      <c r="M5611" t="n">
        <v>96000</v>
      </c>
      <c r="N5611" t="n">
        <v>91</v>
      </c>
      <c r="O5611" t="n">
        <v>0.91</v>
      </c>
      <c r="P5611" t="n">
        <v>0</v>
      </c>
      <c r="Q5611" t="n">
        <v>0.15</v>
      </c>
      <c r="R5611" t="n">
        <v>2</v>
      </c>
      <c r="S5611" t="n">
        <v>14400</v>
      </c>
      <c r="T5611" t="n">
        <v>12</v>
      </c>
      <c r="U5611" t="n">
        <v>13</v>
      </c>
      <c r="V5611" t="n">
        <v>30</v>
      </c>
      <c r="W5611" t="n">
        <v>5</v>
      </c>
      <c r="X5611" t="n">
        <v>33.33333333333334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11723</v>
      </c>
      <c r="AG5611" t="n">
        <v>63</v>
      </c>
      <c r="AH5611" t="inlineStr">
        <is>
          <t>PT. PARAMA GLOBAL INSPIRA - PPN (PDG)</t>
        </is>
      </c>
      <c r="AI5611" t="n">
        <v>1478</v>
      </c>
      <c r="AJ5611" t="inlineStr">
        <is>
          <t>TAVI</t>
        </is>
      </c>
      <c r="AK5611" t="n">
        <v>21</v>
      </c>
      <c r="AL5611" t="inlineStr">
        <is>
          <t>Miss Glam Damar</t>
        </is>
      </c>
      <c r="AM5611" t="n">
        <v>1</v>
      </c>
      <c r="AN5611" t="n">
        <v>500000</v>
      </c>
      <c r="AO5611" t="n">
        <v>0</v>
      </c>
      <c r="AP5611" t="inlineStr"/>
      <c r="AQ5611" t="inlineStr"/>
    </row>
    <row r="5612">
      <c r="A5612" t="inlineStr">
        <is>
          <t>TAVI</t>
        </is>
      </c>
      <c r="B5612" s="2">
        <f>"8993137709163"</f>
        <v/>
      </c>
      <c r="C5612" t="inlineStr">
        <is>
          <t>TAVI Color Play Face Tint Starburst 9gr</t>
        </is>
      </c>
      <c r="D5612" t="inlineStr">
        <is>
          <t>Miss Glam Damar</t>
        </is>
      </c>
      <c r="E5612" t="n">
        <v>4</v>
      </c>
      <c r="F5612" t="n">
        <v>0.05</v>
      </c>
      <c r="G5612" t="n">
        <v>1</v>
      </c>
      <c r="H5612" t="n">
        <v>2</v>
      </c>
      <c r="I5612" t="n">
        <v>6</v>
      </c>
      <c r="J5612" t="n">
        <v>3</v>
      </c>
      <c r="K5612" t="n">
        <v>0</v>
      </c>
      <c r="L5612" t="n">
        <v>79020</v>
      </c>
      <c r="M5612" t="n">
        <v>96000</v>
      </c>
      <c r="N5612" t="n">
        <v>91</v>
      </c>
      <c r="O5612" t="n">
        <v>0.91</v>
      </c>
      <c r="P5612" t="n">
        <v>0</v>
      </c>
      <c r="Q5612" t="n">
        <v>0.05</v>
      </c>
      <c r="R5612" t="n">
        <v>1</v>
      </c>
      <c r="S5612" t="n">
        <v>4800</v>
      </c>
      <c r="T5612" t="n">
        <v>6</v>
      </c>
      <c r="U5612" t="n">
        <v>7</v>
      </c>
      <c r="V5612" t="n">
        <v>30</v>
      </c>
      <c r="W5612" t="n">
        <v>2</v>
      </c>
      <c r="X5612" t="n">
        <v>80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11723</v>
      </c>
      <c r="AG5612" t="n">
        <v>63</v>
      </c>
      <c r="AH5612" t="inlineStr">
        <is>
          <t>PT. PARAMA GLOBAL INSPIRA - PPN (PDG)</t>
        </is>
      </c>
      <c r="AI5612" t="n">
        <v>1478</v>
      </c>
      <c r="AJ5612" t="inlineStr">
        <is>
          <t>TAVI</t>
        </is>
      </c>
      <c r="AK5612" t="n">
        <v>21</v>
      </c>
      <c r="AL5612" t="inlineStr">
        <is>
          <t>Miss Glam Damar</t>
        </is>
      </c>
      <c r="AM5612" t="n">
        <v>1</v>
      </c>
      <c r="AN5612" t="n">
        <v>500000</v>
      </c>
      <c r="AO5612" t="n">
        <v>0</v>
      </c>
      <c r="AP5612" t="inlineStr"/>
      <c r="AQ5612" t="inlineStr"/>
    </row>
    <row r="5613">
      <c r="A5613" t="inlineStr">
        <is>
          <t>TAVI</t>
        </is>
      </c>
      <c r="B5613" s="2">
        <f>"20300395142"</f>
        <v/>
      </c>
      <c r="C5613" t="inlineStr">
        <is>
          <t>TAVI Gel to Oil Staining Lip Glide Ceylon 4gr</t>
        </is>
      </c>
      <c r="D5613" t="inlineStr">
        <is>
          <t>Miss Glam Damar</t>
        </is>
      </c>
      <c r="E5613" t="n">
        <v>6</v>
      </c>
      <c r="F5613" t="n">
        <v>0.04550000000000001</v>
      </c>
      <c r="G5613" t="n">
        <v>0.91</v>
      </c>
      <c r="H5613" t="n">
        <v>2</v>
      </c>
      <c r="I5613" t="n">
        <v>6</v>
      </c>
      <c r="J5613" t="n">
        <v>1</v>
      </c>
      <c r="K5613" t="n">
        <v>0</v>
      </c>
      <c r="L5613" t="n">
        <v>71200</v>
      </c>
      <c r="M5613" t="n">
        <v>89000</v>
      </c>
      <c r="N5613" t="n">
        <v>91</v>
      </c>
      <c r="O5613" t="n">
        <v>0.91</v>
      </c>
      <c r="P5613" t="n">
        <v>1</v>
      </c>
      <c r="Q5613" t="n">
        <v>0.07000000000000001</v>
      </c>
      <c r="R5613" t="n">
        <v>1</v>
      </c>
      <c r="S5613" t="n">
        <v>4049.5</v>
      </c>
      <c r="T5613" t="n">
        <v>6</v>
      </c>
      <c r="U5613" t="n">
        <v>7</v>
      </c>
      <c r="V5613" t="n">
        <v>30</v>
      </c>
      <c r="W5613" t="n">
        <v>2</v>
      </c>
      <c r="X5613" t="n">
        <v>131.8681318681319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11723</v>
      </c>
      <c r="AG5613" t="n">
        <v>63</v>
      </c>
      <c r="AH5613" t="inlineStr">
        <is>
          <t>PT. PARAMA GLOBAL INSPIRA - PPN (PDG)</t>
        </is>
      </c>
      <c r="AI5613" t="n">
        <v>1478</v>
      </c>
      <c r="AJ5613" t="inlineStr">
        <is>
          <t>TAVI</t>
        </is>
      </c>
      <c r="AK5613" t="n">
        <v>21</v>
      </c>
      <c r="AL5613" t="inlineStr">
        <is>
          <t>Miss Glam Damar</t>
        </is>
      </c>
      <c r="AM5613" t="n">
        <v>1</v>
      </c>
      <c r="AN5613" t="n">
        <v>500000</v>
      </c>
      <c r="AO5613" t="n">
        <v>0</v>
      </c>
      <c r="AP5613" t="inlineStr"/>
      <c r="AQ5613" t="inlineStr"/>
    </row>
    <row r="5614">
      <c r="A5614" t="inlineStr">
        <is>
          <t>TAVI</t>
        </is>
      </c>
      <c r="B5614" s="2">
        <f>"20300394737"</f>
        <v/>
      </c>
      <c r="C5614" t="inlineStr">
        <is>
          <t>TAVI Gel to Oil Staining Lip Glide Chai 4gr</t>
        </is>
      </c>
      <c r="D5614" t="inlineStr">
        <is>
          <t>Miss Glam Damar</t>
        </is>
      </c>
      <c r="E5614" t="n">
        <v>4</v>
      </c>
      <c r="F5614" t="n">
        <v>0.0182</v>
      </c>
      <c r="G5614" t="n">
        <v>0.91</v>
      </c>
      <c r="H5614" t="n">
        <v>2</v>
      </c>
      <c r="I5614" t="n">
        <v>6</v>
      </c>
      <c r="J5614" t="n">
        <v>1</v>
      </c>
      <c r="K5614" t="n">
        <v>0</v>
      </c>
      <c r="L5614" t="n">
        <v>71200</v>
      </c>
      <c r="M5614" t="n">
        <v>89000</v>
      </c>
      <c r="N5614" t="n">
        <v>91</v>
      </c>
      <c r="O5614" t="n">
        <v>0.91</v>
      </c>
      <c r="P5614" t="n">
        <v>1</v>
      </c>
      <c r="Q5614" t="n">
        <v>0.08</v>
      </c>
      <c r="R5614" t="n">
        <v>1</v>
      </c>
      <c r="S5614" t="n">
        <v>1619.8</v>
      </c>
      <c r="T5614" t="n">
        <v>6</v>
      </c>
      <c r="U5614" t="n">
        <v>7</v>
      </c>
      <c r="V5614" t="n">
        <v>30</v>
      </c>
      <c r="W5614" t="n">
        <v>1</v>
      </c>
      <c r="X5614" t="n">
        <v>219.7802197802198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11723</v>
      </c>
      <c r="AG5614" t="n">
        <v>63</v>
      </c>
      <c r="AH5614" t="inlineStr">
        <is>
          <t>PT. PARAMA GLOBAL INSPIRA - PPN (PDG)</t>
        </is>
      </c>
      <c r="AI5614" t="n">
        <v>1478</v>
      </c>
      <c r="AJ5614" t="inlineStr">
        <is>
          <t>TAVI</t>
        </is>
      </c>
      <c r="AK5614" t="n">
        <v>21</v>
      </c>
      <c r="AL5614" t="inlineStr">
        <is>
          <t>Miss Glam Damar</t>
        </is>
      </c>
      <c r="AM5614" t="n">
        <v>1</v>
      </c>
      <c r="AN5614" t="n">
        <v>500000</v>
      </c>
      <c r="AO5614" t="n">
        <v>0</v>
      </c>
      <c r="AP5614" t="inlineStr"/>
      <c r="AQ5614" t="inlineStr"/>
    </row>
    <row r="5615">
      <c r="A5615" t="inlineStr">
        <is>
          <t>TAVI</t>
        </is>
      </c>
      <c r="B5615" s="2">
        <f>"20300394810"</f>
        <v/>
      </c>
      <c r="C5615" t="inlineStr">
        <is>
          <t>TAVI Gel to Oil Staining Lip Glide Darjeeling 4gr</t>
        </is>
      </c>
      <c r="D5615" t="inlineStr">
        <is>
          <t>Miss Glam Damar</t>
        </is>
      </c>
      <c r="E5615" t="n">
        <v>2</v>
      </c>
      <c r="F5615" t="n">
        <v>0.04550000000000001</v>
      </c>
      <c r="G5615" t="n">
        <v>0.91</v>
      </c>
      <c r="H5615" t="n">
        <v>2</v>
      </c>
      <c r="I5615" t="n">
        <v>6</v>
      </c>
      <c r="J5615" t="n">
        <v>1</v>
      </c>
      <c r="K5615" t="n">
        <v>0</v>
      </c>
      <c r="L5615" t="n">
        <v>71200</v>
      </c>
      <c r="M5615" t="n">
        <v>89000</v>
      </c>
      <c r="N5615" t="n">
        <v>91</v>
      </c>
      <c r="O5615" t="n">
        <v>0.91</v>
      </c>
      <c r="P5615" t="n">
        <v>1</v>
      </c>
      <c r="Q5615" t="n">
        <v>0.02</v>
      </c>
      <c r="R5615" t="n">
        <v>1</v>
      </c>
      <c r="S5615" t="n">
        <v>4049.5</v>
      </c>
      <c r="T5615" t="n">
        <v>6</v>
      </c>
      <c r="U5615" t="n">
        <v>7</v>
      </c>
      <c r="V5615" t="n">
        <v>30</v>
      </c>
      <c r="W5615" t="n">
        <v>2</v>
      </c>
      <c r="X5615" t="n">
        <v>43.95604395604395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11723</v>
      </c>
      <c r="AG5615" t="n">
        <v>63</v>
      </c>
      <c r="AH5615" t="inlineStr">
        <is>
          <t>PT. PARAMA GLOBAL INSPIRA - PPN (PDG)</t>
        </is>
      </c>
      <c r="AI5615" t="n">
        <v>1478</v>
      </c>
      <c r="AJ5615" t="inlineStr">
        <is>
          <t>TAVI</t>
        </is>
      </c>
      <c r="AK5615" t="n">
        <v>21</v>
      </c>
      <c r="AL5615" t="inlineStr">
        <is>
          <t>Miss Glam Damar</t>
        </is>
      </c>
      <c r="AM5615" t="n">
        <v>1</v>
      </c>
      <c r="AN5615" t="n">
        <v>500000</v>
      </c>
      <c r="AO5615" t="n">
        <v>0</v>
      </c>
      <c r="AP5615" t="inlineStr"/>
      <c r="AQ5615" t="inlineStr"/>
    </row>
    <row r="5616">
      <c r="A5616" t="inlineStr">
        <is>
          <t>TAVI</t>
        </is>
      </c>
      <c r="B5616" s="2">
        <f>"20300395011"</f>
        <v/>
      </c>
      <c r="C5616" t="inlineStr">
        <is>
          <t>TAVI Gel to Oil Staining Lip Glide Hibiscus 4gr</t>
        </is>
      </c>
      <c r="D5616" t="inlineStr">
        <is>
          <t>Miss Glam Damar</t>
        </is>
      </c>
      <c r="E5616" t="n">
        <v>8</v>
      </c>
      <c r="F5616" t="n">
        <v>0.1</v>
      </c>
      <c r="G5616" t="n">
        <v>1</v>
      </c>
      <c r="H5616" t="n">
        <v>2</v>
      </c>
      <c r="I5616" t="n">
        <v>6</v>
      </c>
      <c r="J5616" t="n">
        <v>1</v>
      </c>
      <c r="K5616" t="n">
        <v>0</v>
      </c>
      <c r="L5616" t="n">
        <v>71200</v>
      </c>
      <c r="M5616" t="n">
        <v>89000</v>
      </c>
      <c r="N5616" t="n">
        <v>91</v>
      </c>
      <c r="O5616" t="n">
        <v>0.91</v>
      </c>
      <c r="P5616" t="n">
        <v>0</v>
      </c>
      <c r="Q5616" t="n">
        <v>0.1</v>
      </c>
      <c r="R5616" t="n">
        <v>1</v>
      </c>
      <c r="S5616" t="n">
        <v>8900</v>
      </c>
      <c r="T5616" t="n">
        <v>6</v>
      </c>
      <c r="U5616" t="n">
        <v>7</v>
      </c>
      <c r="V5616" t="n">
        <v>30</v>
      </c>
      <c r="W5616" t="n">
        <v>3</v>
      </c>
      <c r="X5616" t="n">
        <v>80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11723</v>
      </c>
      <c r="AG5616" t="n">
        <v>63</v>
      </c>
      <c r="AH5616" t="inlineStr">
        <is>
          <t>PT. PARAMA GLOBAL INSPIRA - PPN (PDG)</t>
        </is>
      </c>
      <c r="AI5616" t="n">
        <v>1478</v>
      </c>
      <c r="AJ5616" t="inlineStr">
        <is>
          <t>TAVI</t>
        </is>
      </c>
      <c r="AK5616" t="n">
        <v>21</v>
      </c>
      <c r="AL5616" t="inlineStr">
        <is>
          <t>Miss Glam Damar</t>
        </is>
      </c>
      <c r="AM5616" t="n">
        <v>1</v>
      </c>
      <c r="AN5616" t="n">
        <v>500000</v>
      </c>
      <c r="AO5616" t="n">
        <v>0</v>
      </c>
      <c r="AP5616" t="inlineStr"/>
      <c r="AQ5616" t="inlineStr"/>
    </row>
    <row r="5617">
      <c r="A5617" t="inlineStr">
        <is>
          <t>TAVI</t>
        </is>
      </c>
      <c r="B5617" s="2">
        <f>"20300394652"</f>
        <v/>
      </c>
      <c r="C5617" t="inlineStr">
        <is>
          <t>TAVI Gel to Oil Staining Lip Glide White Peach 4gr</t>
        </is>
      </c>
      <c r="D5617" t="inlineStr">
        <is>
          <t>Miss Glam Damar</t>
        </is>
      </c>
      <c r="E5617" t="n">
        <v>3</v>
      </c>
      <c r="F5617" t="n">
        <v>0.08</v>
      </c>
      <c r="G5617" t="n">
        <v>1</v>
      </c>
      <c r="H5617" t="n">
        <v>2</v>
      </c>
      <c r="I5617" t="n">
        <v>6</v>
      </c>
      <c r="J5617" t="n">
        <v>1</v>
      </c>
      <c r="K5617" t="n">
        <v>0</v>
      </c>
      <c r="L5617" t="n">
        <v>71200</v>
      </c>
      <c r="M5617" t="n">
        <v>89000</v>
      </c>
      <c r="N5617" t="n">
        <v>91</v>
      </c>
      <c r="O5617" t="n">
        <v>0.91</v>
      </c>
      <c r="P5617" t="n">
        <v>0</v>
      </c>
      <c r="Q5617" t="n">
        <v>0.08</v>
      </c>
      <c r="R5617" t="n">
        <v>1</v>
      </c>
      <c r="S5617" t="n">
        <v>7120</v>
      </c>
      <c r="T5617" t="n">
        <v>6</v>
      </c>
      <c r="U5617" t="n">
        <v>7</v>
      </c>
      <c r="V5617" t="n">
        <v>30</v>
      </c>
      <c r="W5617" t="n">
        <v>3</v>
      </c>
      <c r="X5617" t="n">
        <v>37.5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11723</v>
      </c>
      <c r="AG5617" t="n">
        <v>63</v>
      </c>
      <c r="AH5617" t="inlineStr">
        <is>
          <t>PT. PARAMA GLOBAL INSPIRA - PPN (PDG)</t>
        </is>
      </c>
      <c r="AI5617" t="n">
        <v>1478</v>
      </c>
      <c r="AJ5617" t="inlineStr">
        <is>
          <t>TAVI</t>
        </is>
      </c>
      <c r="AK5617" t="n">
        <v>21</v>
      </c>
      <c r="AL5617" t="inlineStr">
        <is>
          <t>Miss Glam Damar</t>
        </is>
      </c>
      <c r="AM5617" t="n">
        <v>1</v>
      </c>
      <c r="AN5617" t="n">
        <v>500000</v>
      </c>
      <c r="AO5617" t="n">
        <v>0</v>
      </c>
      <c r="AP5617" t="inlineStr"/>
      <c r="AQ5617" t="inlineStr"/>
    </row>
    <row r="5618">
      <c r="A5618" t="inlineStr">
        <is>
          <t>TAVI</t>
        </is>
      </c>
      <c r="B5618" s="2">
        <f>"20300395233"</f>
        <v/>
      </c>
      <c r="C5618" t="inlineStr">
        <is>
          <t>TAVI Supercharged Oil Lip Glide Rosella 4gr</t>
        </is>
      </c>
      <c r="D5618" t="inlineStr">
        <is>
          <t>Miss Glam Damar</t>
        </is>
      </c>
      <c r="E5618" t="n">
        <v>6</v>
      </c>
      <c r="F5618" t="n">
        <v>0.08</v>
      </c>
      <c r="G5618" t="n">
        <v>1</v>
      </c>
      <c r="H5618" t="n">
        <v>2</v>
      </c>
      <c r="I5618" t="n">
        <v>6</v>
      </c>
      <c r="J5618" t="n">
        <v>1</v>
      </c>
      <c r="K5618" t="n">
        <v>0</v>
      </c>
      <c r="L5618" t="n">
        <v>71200</v>
      </c>
      <c r="M5618" t="n">
        <v>89000</v>
      </c>
      <c r="N5618" t="n">
        <v>91</v>
      </c>
      <c r="O5618" t="n">
        <v>0.91</v>
      </c>
      <c r="P5618" t="n">
        <v>0</v>
      </c>
      <c r="Q5618" t="n">
        <v>0.08</v>
      </c>
      <c r="R5618" t="n">
        <v>1</v>
      </c>
      <c r="S5618" t="n">
        <v>7120</v>
      </c>
      <c r="T5618" t="n">
        <v>6</v>
      </c>
      <c r="U5618" t="n">
        <v>7</v>
      </c>
      <c r="V5618" t="n">
        <v>30</v>
      </c>
      <c r="W5618" t="n">
        <v>3</v>
      </c>
      <c r="X5618" t="n">
        <v>75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11723</v>
      </c>
      <c r="AG5618" t="n">
        <v>63</v>
      </c>
      <c r="AH5618" t="inlineStr">
        <is>
          <t>PT. PARAMA GLOBAL INSPIRA - PPN (PDG)</t>
        </is>
      </c>
      <c r="AI5618" t="n">
        <v>1478</v>
      </c>
      <c r="AJ5618" t="inlineStr">
        <is>
          <t>TAVI</t>
        </is>
      </c>
      <c r="AK5618" t="n">
        <v>21</v>
      </c>
      <c r="AL5618" t="inlineStr">
        <is>
          <t>Miss Glam Damar</t>
        </is>
      </c>
      <c r="AM5618" t="n">
        <v>1</v>
      </c>
      <c r="AN5618" t="n">
        <v>500000</v>
      </c>
      <c r="AO5618" t="n">
        <v>0</v>
      </c>
      <c r="AP5618" t="inlineStr"/>
      <c r="AQ5618" t="inlineStr"/>
    </row>
    <row r="5619">
      <c r="A5619" t="inlineStr">
        <is>
          <t>TAVI</t>
        </is>
      </c>
      <c r="B5619" s="2">
        <f>"10400310059"</f>
        <v/>
      </c>
      <c r="C5619" t="inlineStr">
        <is>
          <t>TAVI Water Break  CICA RES-Q10 AdapTint Sun Shield 40 ml</t>
        </is>
      </c>
      <c r="D5619" t="inlineStr">
        <is>
          <t>Miss Glam Damar</t>
        </is>
      </c>
      <c r="E5619" t="n">
        <v>3</v>
      </c>
      <c r="F5619" t="n">
        <v>0.04550000000000001</v>
      </c>
      <c r="G5619" t="n">
        <v>0.91</v>
      </c>
      <c r="H5619" t="n">
        <v>2</v>
      </c>
      <c r="I5619" t="n">
        <v>6</v>
      </c>
      <c r="J5619" t="n">
        <v>1</v>
      </c>
      <c r="K5619" t="n">
        <v>0</v>
      </c>
      <c r="L5619" t="n">
        <v>80799</v>
      </c>
      <c r="M5619" t="n">
        <v>101000</v>
      </c>
      <c r="N5619" t="n">
        <v>91</v>
      </c>
      <c r="O5619" t="n">
        <v>0.91</v>
      </c>
      <c r="P5619" t="n">
        <v>1</v>
      </c>
      <c r="Q5619" t="n">
        <v>0.22</v>
      </c>
      <c r="R5619" t="n">
        <v>2</v>
      </c>
      <c r="S5619" t="n">
        <v>4595.500000000001</v>
      </c>
      <c r="T5619" t="n">
        <v>6</v>
      </c>
      <c r="U5619" t="n">
        <v>7</v>
      </c>
      <c r="V5619" t="n">
        <v>30</v>
      </c>
      <c r="W5619" t="n">
        <v>2</v>
      </c>
      <c r="X5619" t="n">
        <v>65.93406593406593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11723</v>
      </c>
      <c r="AG5619" t="n">
        <v>63</v>
      </c>
      <c r="AH5619" t="inlineStr">
        <is>
          <t>PT. PARAMA GLOBAL INSPIRA - PPN (PDG)</t>
        </is>
      </c>
      <c r="AI5619" t="n">
        <v>1478</v>
      </c>
      <c r="AJ5619" t="inlineStr">
        <is>
          <t>TAVI</t>
        </is>
      </c>
      <c r="AK5619" t="n">
        <v>21</v>
      </c>
      <c r="AL5619" t="inlineStr">
        <is>
          <t>Miss Glam Damar</t>
        </is>
      </c>
      <c r="AM5619" t="n">
        <v>1</v>
      </c>
      <c r="AN5619" t="n">
        <v>500000</v>
      </c>
      <c r="AO5619" t="n">
        <v>0</v>
      </c>
      <c r="AP5619" t="inlineStr"/>
      <c r="AQ5619" t="inlineStr"/>
    </row>
    <row r="5620">
      <c r="A5620" t="inlineStr">
        <is>
          <t>TAVI</t>
        </is>
      </c>
      <c r="B5620" s="2">
        <f>"10400309918"</f>
        <v/>
      </c>
      <c r="C5620" t="inlineStr">
        <is>
          <t>TAVI Water Break  CICA RES-Q10 Water Break Sun Shield 40 ml</t>
        </is>
      </c>
      <c r="D5620" t="inlineStr">
        <is>
          <t>Miss Glam Damar</t>
        </is>
      </c>
      <c r="E5620" t="n">
        <v>2</v>
      </c>
      <c r="F5620" t="n">
        <v>0.02</v>
      </c>
      <c r="G5620" t="n">
        <v>1</v>
      </c>
      <c r="H5620" t="n">
        <v>2</v>
      </c>
      <c r="I5620" t="n">
        <v>6</v>
      </c>
      <c r="J5620" t="n">
        <v>1</v>
      </c>
      <c r="K5620" t="n">
        <v>0</v>
      </c>
      <c r="L5620" t="n">
        <v>80799</v>
      </c>
      <c r="M5620" t="n">
        <v>101000</v>
      </c>
      <c r="N5620" t="n">
        <v>91</v>
      </c>
      <c r="O5620" t="n">
        <v>0.91</v>
      </c>
      <c r="P5620" t="n">
        <v>0</v>
      </c>
      <c r="Q5620" t="n">
        <v>0.02</v>
      </c>
      <c r="R5620" t="n">
        <v>1</v>
      </c>
      <c r="S5620" t="n">
        <v>2020</v>
      </c>
      <c r="T5620" t="n">
        <v>6</v>
      </c>
      <c r="U5620" t="n">
        <v>7</v>
      </c>
      <c r="V5620" t="n">
        <v>30</v>
      </c>
      <c r="W5620" t="n">
        <v>1</v>
      </c>
      <c r="X5620" t="n">
        <v>100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11723</v>
      </c>
      <c r="AG5620" t="n">
        <v>63</v>
      </c>
      <c r="AH5620" t="inlineStr">
        <is>
          <t>PT. PARAMA GLOBAL INSPIRA - PPN (PDG)</t>
        </is>
      </c>
      <c r="AI5620" t="n">
        <v>1478</v>
      </c>
      <c r="AJ5620" t="inlineStr">
        <is>
          <t>TAVI</t>
        </is>
      </c>
      <c r="AK5620" t="n">
        <v>21</v>
      </c>
      <c r="AL5620" t="inlineStr">
        <is>
          <t>Miss Glam Damar</t>
        </is>
      </c>
      <c r="AM5620" t="n">
        <v>1</v>
      </c>
      <c r="AN5620" t="n">
        <v>500000</v>
      </c>
      <c r="AO5620" t="n">
        <v>0</v>
      </c>
      <c r="AP5620" t="inlineStr"/>
      <c r="AQ5620" t="inlineStr"/>
    </row>
    <row r="5621">
      <c r="A5621" t="inlineStr">
        <is>
          <t>THE BODY CULTURE</t>
        </is>
      </c>
      <c r="B5621" s="2">
        <f>"8997211620481"</f>
        <v/>
      </c>
      <c r="C5621" t="inlineStr">
        <is>
          <t>THE BODY CULTURE My Topping Balm Plus Orange</t>
        </is>
      </c>
      <c r="D5621" t="inlineStr">
        <is>
          <t>Miss Glam Damar</t>
        </is>
      </c>
      <c r="E5621" t="n">
        <v>8</v>
      </c>
      <c r="F5621" t="n">
        <v>0.1092</v>
      </c>
      <c r="G5621" t="n">
        <v>1.82</v>
      </c>
      <c r="H5621" t="n">
        <v>4</v>
      </c>
      <c r="I5621" t="n">
        <v>21</v>
      </c>
      <c r="J5621" t="n">
        <v>3</v>
      </c>
      <c r="K5621" t="n">
        <v>0</v>
      </c>
      <c r="L5621" t="n">
        <v>33185</v>
      </c>
      <c r="M5621" t="n">
        <v>49500</v>
      </c>
      <c r="N5621" t="n">
        <v>91</v>
      </c>
      <c r="O5621" t="n">
        <v>0.91</v>
      </c>
      <c r="P5621" t="n">
        <v>1</v>
      </c>
      <c r="Q5621" t="n">
        <v>0.07000000000000001</v>
      </c>
      <c r="R5621" t="n">
        <v>1</v>
      </c>
      <c r="S5621" t="n">
        <v>5405.400000000001</v>
      </c>
      <c r="T5621" t="n">
        <v>38</v>
      </c>
      <c r="U5621" t="n">
        <v>39</v>
      </c>
      <c r="V5621" t="n">
        <v>30</v>
      </c>
      <c r="W5621" t="n">
        <v>4</v>
      </c>
      <c r="X5621" t="n">
        <v>73.26007326007326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8849</v>
      </c>
      <c r="AG5621" t="n">
        <v>1</v>
      </c>
      <c r="AH5621" t="inlineStr">
        <is>
          <t>PT. BERSAMA DISTRIVERSA INDONESIA (DC CIPUTAT)</t>
        </is>
      </c>
      <c r="AI5621" t="n">
        <v>347</v>
      </c>
      <c r="AJ5621" t="inlineStr">
        <is>
          <t>THE BODY CULTURE</t>
        </is>
      </c>
      <c r="AK5621" t="n">
        <v>21</v>
      </c>
      <c r="AL5621" t="inlineStr">
        <is>
          <t>Miss Glam Damar</t>
        </is>
      </c>
      <c r="AM5621" t="n">
        <v>1</v>
      </c>
      <c r="AN5621" t="n">
        <v>500000</v>
      </c>
      <c r="AO5621" t="n">
        <v>0</v>
      </c>
      <c r="AP5621" t="inlineStr"/>
      <c r="AQ5621" t="inlineStr"/>
    </row>
    <row r="5622">
      <c r="A5622" t="inlineStr">
        <is>
          <t>THE BODY CULTURE</t>
        </is>
      </c>
      <c r="B5622" s="2">
        <f>"8997211620276"</f>
        <v/>
      </c>
      <c r="C5622" t="inlineStr">
        <is>
          <t>THE BODY CULTURE Sexy Boobs Breast Cream</t>
        </is>
      </c>
      <c r="D5622" t="inlineStr">
        <is>
          <t>Miss Glam Damar</t>
        </is>
      </c>
      <c r="E5622" t="n">
        <v>2</v>
      </c>
      <c r="F5622" t="n">
        <v>0.0819</v>
      </c>
      <c r="G5622" t="n">
        <v>0.91</v>
      </c>
      <c r="H5622" t="n">
        <v>4</v>
      </c>
      <c r="I5622" t="n">
        <v>21</v>
      </c>
      <c r="J5622" t="n">
        <v>3</v>
      </c>
      <c r="K5622" t="n">
        <v>0</v>
      </c>
      <c r="L5622" t="n">
        <v>33990</v>
      </c>
      <c r="M5622" t="n">
        <v>52800</v>
      </c>
      <c r="N5622" t="n">
        <v>91</v>
      </c>
      <c r="O5622" t="n">
        <v>0.91</v>
      </c>
      <c r="P5622" t="n">
        <v>1</v>
      </c>
      <c r="Q5622" t="n">
        <v>0.05</v>
      </c>
      <c r="R5622" t="n">
        <v>1</v>
      </c>
      <c r="S5622" t="n">
        <v>4324.32</v>
      </c>
      <c r="T5622" t="n">
        <v>19</v>
      </c>
      <c r="U5622" t="n">
        <v>20</v>
      </c>
      <c r="V5622" t="n">
        <v>30</v>
      </c>
      <c r="W5622" t="n">
        <v>3</v>
      </c>
      <c r="X5622" t="n">
        <v>24.42002442002442</v>
      </c>
      <c r="Y5622" t="n">
        <v>1</v>
      </c>
      <c r="Z5622" t="n">
        <v>1</v>
      </c>
      <c r="AA5622" t="n">
        <v>0</v>
      </c>
      <c r="AB5622" t="n">
        <v>1</v>
      </c>
      <c r="AC5622" t="n">
        <v>3</v>
      </c>
      <c r="AD5622" t="n">
        <v>0</v>
      </c>
      <c r="AE5622" t="n">
        <v>101970</v>
      </c>
      <c r="AF5622" t="n">
        <v>8849</v>
      </c>
      <c r="AG5622" t="n">
        <v>1</v>
      </c>
      <c r="AH5622" t="inlineStr">
        <is>
          <t>PT. BERSAMA DISTRIVERSA INDONESIA (DC CIPUTAT)</t>
        </is>
      </c>
      <c r="AI5622" t="n">
        <v>347</v>
      </c>
      <c r="AJ5622" t="inlineStr">
        <is>
          <t>THE BODY CULTURE</t>
        </is>
      </c>
      <c r="AK5622" t="n">
        <v>21</v>
      </c>
      <c r="AL5622" t="inlineStr">
        <is>
          <t>Miss Glam Damar</t>
        </is>
      </c>
      <c r="AM5622" t="n">
        <v>1</v>
      </c>
      <c r="AN5622" t="n">
        <v>500000</v>
      </c>
      <c r="AO5622" t="n">
        <v>0</v>
      </c>
      <c r="AP5622" t="inlineStr"/>
      <c r="AQ5622" t="inlineStr"/>
    </row>
    <row r="5623">
      <c r="A5623" t="inlineStr">
        <is>
          <t>THE FACE COLLAGEN</t>
        </is>
      </c>
      <c r="B5623" s="2">
        <f>"8997014402659"</f>
        <v/>
      </c>
      <c r="C5623" t="inlineStr">
        <is>
          <t>THE FACE COLLAGEN Brightening Transparant Soap</t>
        </is>
      </c>
      <c r="D5623" t="inlineStr">
        <is>
          <t>Miss Glam Damar</t>
        </is>
      </c>
      <c r="E5623" t="n">
        <v>1</v>
      </c>
      <c r="F5623" t="n">
        <v>0.7735</v>
      </c>
      <c r="G5623" t="n">
        <v>4.55</v>
      </c>
      <c r="H5623" t="n">
        <v>3</v>
      </c>
      <c r="I5623" t="n">
        <v>9</v>
      </c>
      <c r="J5623" t="n">
        <v>3</v>
      </c>
      <c r="K5623" t="n">
        <v>27</v>
      </c>
      <c r="L5623" t="n">
        <v>6677</v>
      </c>
      <c r="M5623" t="n">
        <v>8500</v>
      </c>
      <c r="N5623" t="n">
        <v>91</v>
      </c>
      <c r="O5623" t="n">
        <v>0.91</v>
      </c>
      <c r="P5623" t="n">
        <v>1</v>
      </c>
      <c r="Q5623" t="n">
        <v>0.58</v>
      </c>
      <c r="R5623" t="n">
        <v>3</v>
      </c>
      <c r="S5623" t="n">
        <v>6574.75</v>
      </c>
      <c r="T5623" t="n">
        <v>39</v>
      </c>
      <c r="U5623" t="n">
        <v>42</v>
      </c>
      <c r="V5623" t="n">
        <v>30</v>
      </c>
      <c r="W5623" t="n">
        <v>24</v>
      </c>
      <c r="X5623" t="n">
        <v>1.292824822236587</v>
      </c>
      <c r="Y5623" t="n">
        <v>1</v>
      </c>
      <c r="Z5623" t="n">
        <v>0</v>
      </c>
      <c r="AA5623" t="n">
        <v>5</v>
      </c>
      <c r="AB5623" t="n">
        <v>0</v>
      </c>
      <c r="AC5623" t="n">
        <v>0</v>
      </c>
      <c r="AD5623" t="n">
        <v>33385</v>
      </c>
      <c r="AE5623" t="n">
        <v>0</v>
      </c>
      <c r="AF5623" t="n">
        <v>1712</v>
      </c>
      <c r="AG5623" t="n">
        <v>3114</v>
      </c>
      <c r="AH5623" t="inlineStr">
        <is>
          <t>CV. TRIJAYA AGUNG UTAMA - PPN (PDG)</t>
        </is>
      </c>
      <c r="AI5623" t="n">
        <v>595</v>
      </c>
      <c r="AJ5623" t="inlineStr">
        <is>
          <t>THE FACE COLLAGEN</t>
        </is>
      </c>
      <c r="AK5623" t="n">
        <v>21</v>
      </c>
      <c r="AL5623" t="inlineStr">
        <is>
          <t>Miss Glam Damar</t>
        </is>
      </c>
      <c r="AM5623" t="n">
        <v>4</v>
      </c>
      <c r="AN5623" t="n">
        <v>500000</v>
      </c>
      <c r="AO5623" t="n">
        <v>0</v>
      </c>
      <c r="AP5623" t="inlineStr"/>
      <c r="AQ5623" t="inlineStr"/>
    </row>
    <row r="5624">
      <c r="A5624" t="inlineStr">
        <is>
          <t>THE FACE COLLAGEN</t>
        </is>
      </c>
      <c r="B5624" s="2">
        <f>"8997014402512"</f>
        <v/>
      </c>
      <c r="C5624" t="inlineStr">
        <is>
          <t>THE FACE COLLAGEN Lightening Day &amp; Night Cream Plus Vitamin E 50gr</t>
        </is>
      </c>
      <c r="D5624" t="inlineStr">
        <is>
          <t>Miss Glam Damar</t>
        </is>
      </c>
      <c r="E5624" t="n">
        <v>14</v>
      </c>
      <c r="F5624" t="n">
        <v>0.8372000000000001</v>
      </c>
      <c r="G5624" t="n">
        <v>2.73</v>
      </c>
      <c r="H5624" t="n">
        <v>3</v>
      </c>
      <c r="I5624" t="n">
        <v>9</v>
      </c>
      <c r="J5624" t="n">
        <v>3</v>
      </c>
      <c r="K5624" t="n">
        <v>0</v>
      </c>
      <c r="L5624" t="n">
        <v>17703</v>
      </c>
      <c r="M5624" t="n">
        <v>23000</v>
      </c>
      <c r="N5624" t="n">
        <v>91</v>
      </c>
      <c r="O5624" t="n">
        <v>0.91</v>
      </c>
      <c r="P5624" t="n">
        <v>1</v>
      </c>
      <c r="Q5624" t="n">
        <v>0.88</v>
      </c>
      <c r="R5624" t="n">
        <v>2</v>
      </c>
      <c r="S5624" t="n">
        <v>19255.6</v>
      </c>
      <c r="T5624" t="n">
        <v>23</v>
      </c>
      <c r="U5624" t="n">
        <v>26</v>
      </c>
      <c r="V5624" t="n">
        <v>30</v>
      </c>
      <c r="W5624" t="n">
        <v>26</v>
      </c>
      <c r="X5624" t="n">
        <v>16.72240802675585</v>
      </c>
      <c r="Y5624" t="n">
        <v>1</v>
      </c>
      <c r="Z5624" t="n">
        <v>12</v>
      </c>
      <c r="AA5624" t="n">
        <v>0</v>
      </c>
      <c r="AB5624" t="n">
        <v>12</v>
      </c>
      <c r="AC5624" t="n">
        <v>12</v>
      </c>
      <c r="AD5624" t="n">
        <v>0</v>
      </c>
      <c r="AE5624" t="n">
        <v>212436</v>
      </c>
      <c r="AF5624" t="n">
        <v>1712</v>
      </c>
      <c r="AG5624" t="n">
        <v>3114</v>
      </c>
      <c r="AH5624" t="inlineStr">
        <is>
          <t>CV. TRIJAYA AGUNG UTAMA - PPN (PDG)</t>
        </is>
      </c>
      <c r="AI5624" t="n">
        <v>595</v>
      </c>
      <c r="AJ5624" t="inlineStr">
        <is>
          <t>THE FACE COLLAGEN</t>
        </is>
      </c>
      <c r="AK5624" t="n">
        <v>21</v>
      </c>
      <c r="AL5624" t="inlineStr">
        <is>
          <t>Miss Glam Damar</t>
        </is>
      </c>
      <c r="AM5624" t="n">
        <v>4</v>
      </c>
      <c r="AN5624" t="n">
        <v>500000</v>
      </c>
      <c r="AO5624" t="n">
        <v>0</v>
      </c>
      <c r="AP5624" t="inlineStr"/>
      <c r="AQ5624" t="inlineStr"/>
    </row>
    <row r="5625">
      <c r="A5625" t="inlineStr">
        <is>
          <t>THE FACE COLLAGEN</t>
        </is>
      </c>
      <c r="B5625" s="2">
        <f>"8997014402284"</f>
        <v/>
      </c>
      <c r="C5625" t="inlineStr">
        <is>
          <t>THE FACE Temulawak &amp; Glutathione Serum Whitening 20ml</t>
        </is>
      </c>
      <c r="D5625" t="inlineStr">
        <is>
          <t>Miss Glam Damar</t>
        </is>
      </c>
      <c r="E5625" t="n">
        <v>1</v>
      </c>
      <c r="F5625" t="n">
        <v>0.2457</v>
      </c>
      <c r="G5625" t="n">
        <v>1.82</v>
      </c>
      <c r="H5625" t="n">
        <v>3</v>
      </c>
      <c r="I5625" t="n">
        <v>9</v>
      </c>
      <c r="J5625" t="n">
        <v>3</v>
      </c>
      <c r="K5625" t="n">
        <v>6</v>
      </c>
      <c r="L5625" t="n">
        <v>26645</v>
      </c>
      <c r="M5625" t="n">
        <v>33500</v>
      </c>
      <c r="N5625" t="n">
        <v>91</v>
      </c>
      <c r="O5625" t="n">
        <v>0.91</v>
      </c>
      <c r="P5625" t="n">
        <v>1</v>
      </c>
      <c r="Q5625" t="n">
        <v>0.2</v>
      </c>
      <c r="R5625" t="n">
        <v>3</v>
      </c>
      <c r="S5625" t="n">
        <v>8230.950000000001</v>
      </c>
      <c r="T5625" t="n">
        <v>16</v>
      </c>
      <c r="U5625" t="n">
        <v>17</v>
      </c>
      <c r="V5625" t="n">
        <v>30</v>
      </c>
      <c r="W5625" t="n">
        <v>8</v>
      </c>
      <c r="X5625" t="n">
        <v>4.070004070004069</v>
      </c>
      <c r="Y5625" t="n">
        <v>1</v>
      </c>
      <c r="Z5625" t="n">
        <v>1</v>
      </c>
      <c r="AA5625" t="n">
        <v>1</v>
      </c>
      <c r="AB5625" t="n">
        <v>0</v>
      </c>
      <c r="AC5625" t="n">
        <v>0</v>
      </c>
      <c r="AD5625" t="n">
        <v>26645</v>
      </c>
      <c r="AE5625" t="n">
        <v>0</v>
      </c>
      <c r="AF5625" t="n">
        <v>1712</v>
      </c>
      <c r="AG5625" t="n">
        <v>3114</v>
      </c>
      <c r="AH5625" t="inlineStr">
        <is>
          <t>CV. TRIJAYA AGUNG UTAMA - PPN (PDG)</t>
        </is>
      </c>
      <c r="AI5625" t="n">
        <v>595</v>
      </c>
      <c r="AJ5625" t="inlineStr">
        <is>
          <t>THE FACE COLLAGEN</t>
        </is>
      </c>
      <c r="AK5625" t="n">
        <v>21</v>
      </c>
      <c r="AL5625" t="inlineStr">
        <is>
          <t>Miss Glam Damar</t>
        </is>
      </c>
      <c r="AM5625" t="n">
        <v>4</v>
      </c>
      <c r="AN5625" t="n">
        <v>500000</v>
      </c>
      <c r="AO5625" t="n">
        <v>0</v>
      </c>
      <c r="AP5625" t="inlineStr"/>
      <c r="AQ5625" t="inlineStr"/>
    </row>
    <row r="5626">
      <c r="A5626" t="inlineStr">
        <is>
          <t>THE FACE COLLAGEN</t>
        </is>
      </c>
      <c r="B5626" s="2">
        <f>"8997014402031"</f>
        <v/>
      </c>
      <c r="C5626" t="inlineStr">
        <is>
          <t>THE FACE Temulawak Day &amp; Night Cream 30gr</t>
        </is>
      </c>
      <c r="D5626" t="inlineStr">
        <is>
          <t>Miss Glam Damar</t>
        </is>
      </c>
      <c r="E5626" t="n">
        <v>0</v>
      </c>
      <c r="F5626" t="n">
        <v>0.9282</v>
      </c>
      <c r="G5626" t="n">
        <v>2.73</v>
      </c>
      <c r="H5626" t="n">
        <v>3</v>
      </c>
      <c r="I5626" t="n">
        <v>9</v>
      </c>
      <c r="J5626" t="n">
        <v>3</v>
      </c>
      <c r="K5626" t="n">
        <v>30</v>
      </c>
      <c r="L5626" t="n">
        <v>17771</v>
      </c>
      <c r="M5626" t="n">
        <v>22000</v>
      </c>
      <c r="N5626" t="n">
        <v>91</v>
      </c>
      <c r="O5626" t="n">
        <v>0.91</v>
      </c>
      <c r="P5626" t="n">
        <v>1</v>
      </c>
      <c r="Q5626" t="n">
        <v>0.77</v>
      </c>
      <c r="R5626" t="n">
        <v>2</v>
      </c>
      <c r="S5626" t="n">
        <v>20420.4</v>
      </c>
      <c r="T5626" t="n">
        <v>22</v>
      </c>
      <c r="U5626" t="n">
        <v>25</v>
      </c>
      <c r="V5626" t="n">
        <v>30</v>
      </c>
      <c r="W5626" t="n">
        <v>28</v>
      </c>
      <c r="X5626" t="n">
        <v>0</v>
      </c>
      <c r="Y5626" t="n">
        <v>1</v>
      </c>
      <c r="Z5626" t="n">
        <v>0</v>
      </c>
      <c r="AA5626" t="n">
        <v>8</v>
      </c>
      <c r="AB5626" t="n">
        <v>0</v>
      </c>
      <c r="AC5626" t="n">
        <v>0</v>
      </c>
      <c r="AD5626" t="n">
        <v>142168</v>
      </c>
      <c r="AE5626" t="n">
        <v>0</v>
      </c>
      <c r="AF5626" t="n">
        <v>1712</v>
      </c>
      <c r="AG5626" t="n">
        <v>3114</v>
      </c>
      <c r="AH5626" t="inlineStr">
        <is>
          <t>CV. TRIJAYA AGUNG UTAMA - PPN (PDG)</t>
        </is>
      </c>
      <c r="AI5626" t="n">
        <v>595</v>
      </c>
      <c r="AJ5626" t="inlineStr">
        <is>
          <t>THE FACE COLLAGEN</t>
        </is>
      </c>
      <c r="AK5626" t="n">
        <v>21</v>
      </c>
      <c r="AL5626" t="inlineStr">
        <is>
          <t>Miss Glam Damar</t>
        </is>
      </c>
      <c r="AM5626" t="n">
        <v>4</v>
      </c>
      <c r="AN5626" t="n">
        <v>500000</v>
      </c>
      <c r="AO5626" t="n">
        <v>0</v>
      </c>
      <c r="AP5626" t="inlineStr"/>
      <c r="AQ5626" t="inlineStr"/>
    </row>
    <row r="5627">
      <c r="A5627" t="inlineStr">
        <is>
          <t>THE FACE COLLAGEN</t>
        </is>
      </c>
      <c r="B5627" s="2">
        <f>"8997014402048"</f>
        <v/>
      </c>
      <c r="C5627" t="inlineStr">
        <is>
          <t>THE FACE Temulawak Toner 125ml</t>
        </is>
      </c>
      <c r="D5627" t="inlineStr">
        <is>
          <t>Miss Glam Damar</t>
        </is>
      </c>
      <c r="E5627" t="n">
        <v>5</v>
      </c>
      <c r="F5627" t="n">
        <v>0.06370000000000001</v>
      </c>
      <c r="G5627" t="n">
        <v>0.91</v>
      </c>
      <c r="H5627" t="n">
        <v>3</v>
      </c>
      <c r="I5627" t="n">
        <v>9</v>
      </c>
      <c r="J5627" t="n">
        <v>3</v>
      </c>
      <c r="K5627" t="n">
        <v>0</v>
      </c>
      <c r="L5627" t="n">
        <v>17973</v>
      </c>
      <c r="M5627" t="n">
        <v>23000</v>
      </c>
      <c r="N5627" t="n">
        <v>91</v>
      </c>
      <c r="O5627" t="n">
        <v>0.91</v>
      </c>
      <c r="P5627" t="n">
        <v>1</v>
      </c>
      <c r="Q5627" t="n">
        <v>0.07000000000000001</v>
      </c>
      <c r="R5627" t="n">
        <v>1</v>
      </c>
      <c r="S5627" t="n">
        <v>1465.1</v>
      </c>
      <c r="T5627" t="n">
        <v>8</v>
      </c>
      <c r="U5627" t="n">
        <v>9</v>
      </c>
      <c r="V5627" t="n">
        <v>30</v>
      </c>
      <c r="W5627" t="n">
        <v>2</v>
      </c>
      <c r="X5627" t="n">
        <v>78.49293563579278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1712</v>
      </c>
      <c r="AG5627" t="n">
        <v>3114</v>
      </c>
      <c r="AH5627" t="inlineStr">
        <is>
          <t>CV. TRIJAYA AGUNG UTAMA - PPN (PDG)</t>
        </is>
      </c>
      <c r="AI5627" t="n">
        <v>595</v>
      </c>
      <c r="AJ5627" t="inlineStr">
        <is>
          <t>THE FACE COLLAGEN</t>
        </is>
      </c>
      <c r="AK5627" t="n">
        <v>21</v>
      </c>
      <c r="AL5627" t="inlineStr">
        <is>
          <t>Miss Glam Damar</t>
        </is>
      </c>
      <c r="AM5627" t="n">
        <v>4</v>
      </c>
      <c r="AN5627" t="n">
        <v>500000</v>
      </c>
      <c r="AO5627" t="n">
        <v>0</v>
      </c>
      <c r="AP5627" t="inlineStr"/>
      <c r="AQ5627" t="inlineStr"/>
    </row>
    <row r="5628">
      <c r="A5628" t="inlineStr">
        <is>
          <t>THE ORIGINOTE</t>
        </is>
      </c>
      <c r="B5628" s="2">
        <f>"725765154293"</f>
        <v/>
      </c>
      <c r="C5628" t="inlineStr">
        <is>
          <t>THE ORIGINOTE 2 in 1 Lash &amp; Brow Serum 7ml</t>
        </is>
      </c>
      <c r="D5628" t="inlineStr">
        <is>
          <t>Miss Glam Damar</t>
        </is>
      </c>
      <c r="E5628" t="n">
        <v>35</v>
      </c>
      <c r="F5628" t="n">
        <v>0.6006</v>
      </c>
      <c r="G5628" t="n">
        <v>2.73</v>
      </c>
      <c r="H5628" t="n">
        <v>3</v>
      </c>
      <c r="I5628" t="n">
        <v>11</v>
      </c>
      <c r="J5628" t="n">
        <v>3</v>
      </c>
      <c r="K5628" t="n">
        <v>0</v>
      </c>
      <c r="L5628" t="n">
        <v>30600</v>
      </c>
      <c r="M5628" t="n">
        <v>36000</v>
      </c>
      <c r="N5628" t="n">
        <v>91</v>
      </c>
      <c r="O5628" t="n">
        <v>0.91</v>
      </c>
      <c r="P5628" t="n">
        <v>1</v>
      </c>
      <c r="Q5628" t="n">
        <v>0.44</v>
      </c>
      <c r="R5628" t="n">
        <v>3</v>
      </c>
      <c r="S5628" t="n">
        <v>21621.6</v>
      </c>
      <c r="T5628" t="n">
        <v>29</v>
      </c>
      <c r="U5628" t="n">
        <v>31</v>
      </c>
      <c r="V5628" t="n">
        <v>30</v>
      </c>
      <c r="W5628" t="n">
        <v>19</v>
      </c>
      <c r="X5628" t="n">
        <v>58.27505827505827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10198</v>
      </c>
      <c r="AG5628" t="n">
        <v>78</v>
      </c>
      <c r="AH5628" t="inlineStr">
        <is>
          <t>PT. GLORIENTA P.H - PPN (PDG)</t>
        </is>
      </c>
      <c r="AI5628" t="n">
        <v>1304</v>
      </c>
      <c r="AJ5628" t="inlineStr">
        <is>
          <t>THE ORIGINOTE</t>
        </is>
      </c>
      <c r="AK5628" t="n">
        <v>21</v>
      </c>
      <c r="AL5628" t="inlineStr">
        <is>
          <t>Miss Glam Damar</t>
        </is>
      </c>
      <c r="AM5628" t="n">
        <v>1</v>
      </c>
      <c r="AN5628" t="n">
        <v>500000</v>
      </c>
      <c r="AO5628" t="n">
        <v>0</v>
      </c>
      <c r="AP5628" t="inlineStr"/>
      <c r="AQ5628" t="inlineStr"/>
    </row>
    <row r="5629">
      <c r="A5629" t="inlineStr">
        <is>
          <t>THE ORIGINOTE</t>
        </is>
      </c>
      <c r="B5629" s="2">
        <f>"769503433387"</f>
        <v/>
      </c>
      <c r="C5629" t="inlineStr">
        <is>
          <t>THE ORIGINOTE 24K Symwhite Jelly Booster 15ml</t>
        </is>
      </c>
      <c r="D5629" t="inlineStr">
        <is>
          <t>Miss Glam Damar</t>
        </is>
      </c>
      <c r="E5629" t="n">
        <v>2</v>
      </c>
      <c r="F5629" t="n">
        <v>0.0364</v>
      </c>
      <c r="G5629" t="n">
        <v>0.91</v>
      </c>
      <c r="H5629" t="n">
        <v>3</v>
      </c>
      <c r="I5629" t="n">
        <v>11</v>
      </c>
      <c r="J5629" t="n">
        <v>3</v>
      </c>
      <c r="K5629" t="n">
        <v>0</v>
      </c>
      <c r="L5629" t="n">
        <v>40801</v>
      </c>
      <c r="M5629" t="n">
        <v>48000</v>
      </c>
      <c r="N5629" t="n">
        <v>91</v>
      </c>
      <c r="O5629" t="n">
        <v>0.91</v>
      </c>
      <c r="P5629" t="n">
        <v>1</v>
      </c>
      <c r="Q5629" t="n">
        <v>0.03</v>
      </c>
      <c r="R5629" t="n">
        <v>2</v>
      </c>
      <c r="S5629" t="n">
        <v>1747.2</v>
      </c>
      <c r="T5629" t="n">
        <v>10</v>
      </c>
      <c r="U5629" t="n">
        <v>11</v>
      </c>
      <c r="V5629" t="n">
        <v>30</v>
      </c>
      <c r="W5629" t="n">
        <v>2</v>
      </c>
      <c r="X5629" t="n">
        <v>54.94505494505494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10198</v>
      </c>
      <c r="AG5629" t="n">
        <v>78</v>
      </c>
      <c r="AH5629" t="inlineStr">
        <is>
          <t>PT. GLORIENTA P.H - PPN (PDG)</t>
        </is>
      </c>
      <c r="AI5629" t="n">
        <v>1304</v>
      </c>
      <c r="AJ5629" t="inlineStr">
        <is>
          <t>THE ORIGINOTE</t>
        </is>
      </c>
      <c r="AK5629" t="n">
        <v>21</v>
      </c>
      <c r="AL5629" t="inlineStr">
        <is>
          <t>Miss Glam Damar</t>
        </is>
      </c>
      <c r="AM5629" t="n">
        <v>1</v>
      </c>
      <c r="AN5629" t="n">
        <v>500000</v>
      </c>
      <c r="AO5629" t="n">
        <v>0</v>
      </c>
      <c r="AP5629" t="inlineStr"/>
      <c r="AQ5629" t="inlineStr"/>
    </row>
    <row r="5630">
      <c r="A5630" t="inlineStr">
        <is>
          <t>THE ORIGINOTE</t>
        </is>
      </c>
      <c r="B5630" s="2">
        <f>"745314015721"</f>
        <v/>
      </c>
      <c r="C5630" t="inlineStr">
        <is>
          <t>THE ORIGINOTE 40 Spf PA+++ Hyalucera gel Sunscreen 30ml</t>
        </is>
      </c>
      <c r="D5630" t="inlineStr">
        <is>
          <t>Miss Glam Damar</t>
        </is>
      </c>
      <c r="E5630" t="n">
        <v>9</v>
      </c>
      <c r="F5630" t="n">
        <v>0.2002</v>
      </c>
      <c r="G5630" t="n">
        <v>1.82</v>
      </c>
      <c r="H5630" t="n">
        <v>3</v>
      </c>
      <c r="I5630" t="n">
        <v>11</v>
      </c>
      <c r="J5630" t="n">
        <v>3</v>
      </c>
      <c r="K5630" t="n">
        <v>0</v>
      </c>
      <c r="L5630" t="n">
        <v>32300</v>
      </c>
      <c r="M5630" t="n">
        <v>47500</v>
      </c>
      <c r="N5630" t="n">
        <v>91</v>
      </c>
      <c r="O5630" t="n">
        <v>0.91</v>
      </c>
      <c r="P5630" t="n">
        <v>1</v>
      </c>
      <c r="Q5630" t="n">
        <v>0.27</v>
      </c>
      <c r="R5630" t="n">
        <v>2</v>
      </c>
      <c r="S5630" t="n">
        <v>9509.5</v>
      </c>
      <c r="T5630" t="n">
        <v>20</v>
      </c>
      <c r="U5630" t="n">
        <v>21</v>
      </c>
      <c r="V5630" t="n">
        <v>30</v>
      </c>
      <c r="W5630" t="n">
        <v>7</v>
      </c>
      <c r="X5630" t="n">
        <v>44.95504495504495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10198</v>
      </c>
      <c r="AG5630" t="n">
        <v>78</v>
      </c>
      <c r="AH5630" t="inlineStr">
        <is>
          <t>PT. GLORIENTA P.H - PPN (PDG)</t>
        </is>
      </c>
      <c r="AI5630" t="n">
        <v>1304</v>
      </c>
      <c r="AJ5630" t="inlineStr">
        <is>
          <t>THE ORIGINOTE</t>
        </is>
      </c>
      <c r="AK5630" t="n">
        <v>21</v>
      </c>
      <c r="AL5630" t="inlineStr">
        <is>
          <t>Miss Glam Damar</t>
        </is>
      </c>
      <c r="AM5630" t="n">
        <v>1</v>
      </c>
      <c r="AN5630" t="n">
        <v>500000</v>
      </c>
      <c r="AO5630" t="n">
        <v>0</v>
      </c>
      <c r="AP5630" t="inlineStr"/>
      <c r="AQ5630" t="inlineStr"/>
    </row>
    <row r="5631">
      <c r="A5631" t="inlineStr">
        <is>
          <t>THE ORIGINOTE</t>
        </is>
      </c>
      <c r="B5631" s="2">
        <f>"764460290875"</f>
        <v/>
      </c>
      <c r="C5631" t="inlineStr">
        <is>
          <t>THE ORIGINOTE Acne B5 Serum 20ml</t>
        </is>
      </c>
      <c r="D5631" t="inlineStr">
        <is>
          <t>Miss Glam Damar</t>
        </is>
      </c>
      <c r="E5631" t="n">
        <v>12</v>
      </c>
      <c r="F5631" t="n">
        <v>0.4641</v>
      </c>
      <c r="G5631" t="n">
        <v>2.73</v>
      </c>
      <c r="H5631" t="n">
        <v>3</v>
      </c>
      <c r="I5631" t="n">
        <v>11</v>
      </c>
      <c r="J5631" t="n">
        <v>3</v>
      </c>
      <c r="K5631" t="n">
        <v>0</v>
      </c>
      <c r="L5631" t="n">
        <v>32300</v>
      </c>
      <c r="M5631" t="n">
        <v>37000</v>
      </c>
      <c r="N5631" t="n">
        <v>91</v>
      </c>
      <c r="O5631" t="n">
        <v>0.91</v>
      </c>
      <c r="P5631" t="n">
        <v>1</v>
      </c>
      <c r="Q5631" t="n">
        <v>0.31</v>
      </c>
      <c r="R5631" t="n">
        <v>2</v>
      </c>
      <c r="S5631" t="n">
        <v>17171.7</v>
      </c>
      <c r="T5631" t="n">
        <v>29</v>
      </c>
      <c r="U5631" t="n">
        <v>31</v>
      </c>
      <c r="V5631" t="n">
        <v>30</v>
      </c>
      <c r="W5631" t="n">
        <v>14</v>
      </c>
      <c r="X5631" t="n">
        <v>25.85649644473174</v>
      </c>
      <c r="Y5631" t="n">
        <v>1</v>
      </c>
      <c r="Z5631" t="n">
        <v>2</v>
      </c>
      <c r="AA5631" t="n">
        <v>0</v>
      </c>
      <c r="AB5631" t="n">
        <v>2</v>
      </c>
      <c r="AC5631" t="n">
        <v>3</v>
      </c>
      <c r="AD5631" t="n">
        <v>0</v>
      </c>
      <c r="AE5631" t="n">
        <v>96900</v>
      </c>
      <c r="AF5631" t="n">
        <v>10198</v>
      </c>
      <c r="AG5631" t="n">
        <v>78</v>
      </c>
      <c r="AH5631" t="inlineStr">
        <is>
          <t>PT. GLORIENTA P.H - PPN (PDG)</t>
        </is>
      </c>
      <c r="AI5631" t="n">
        <v>1304</v>
      </c>
      <c r="AJ5631" t="inlineStr">
        <is>
          <t>THE ORIGINOTE</t>
        </is>
      </c>
      <c r="AK5631" t="n">
        <v>21</v>
      </c>
      <c r="AL5631" t="inlineStr">
        <is>
          <t>Miss Glam Damar</t>
        </is>
      </c>
      <c r="AM5631" t="n">
        <v>1</v>
      </c>
      <c r="AN5631" t="n">
        <v>500000</v>
      </c>
      <c r="AO5631" t="n">
        <v>0</v>
      </c>
      <c r="AP5631" t="inlineStr"/>
      <c r="AQ5631" t="inlineStr"/>
    </row>
    <row r="5632">
      <c r="A5632" t="inlineStr">
        <is>
          <t>THE ORIGINOTE</t>
        </is>
      </c>
      <c r="B5632" s="2">
        <f>"764460290912"</f>
        <v/>
      </c>
      <c r="C5632" t="inlineStr">
        <is>
          <t>THE ORIGINOTE Astachiol Serum 20ml</t>
        </is>
      </c>
      <c r="D5632" t="inlineStr">
        <is>
          <t>Miss Glam Damar</t>
        </is>
      </c>
      <c r="E5632" t="n">
        <v>2</v>
      </c>
      <c r="F5632" t="n">
        <v>0.0546</v>
      </c>
      <c r="G5632" t="n">
        <v>0.91</v>
      </c>
      <c r="H5632" t="n">
        <v>3</v>
      </c>
      <c r="I5632" t="n">
        <v>11</v>
      </c>
      <c r="J5632" t="n">
        <v>3</v>
      </c>
      <c r="K5632" t="n">
        <v>0</v>
      </c>
      <c r="L5632" t="n">
        <v>32300</v>
      </c>
      <c r="M5632" t="n">
        <v>38000</v>
      </c>
      <c r="N5632" t="n">
        <v>91</v>
      </c>
      <c r="O5632" t="n">
        <v>0.91</v>
      </c>
      <c r="P5632" t="n">
        <v>1</v>
      </c>
      <c r="Q5632" t="n">
        <v>0.03</v>
      </c>
      <c r="R5632" t="n">
        <v>1</v>
      </c>
      <c r="S5632" t="n">
        <v>2074.8</v>
      </c>
      <c r="T5632" t="n">
        <v>10</v>
      </c>
      <c r="U5632" t="n">
        <v>11</v>
      </c>
      <c r="V5632" t="n">
        <v>30</v>
      </c>
      <c r="W5632" t="n">
        <v>2</v>
      </c>
      <c r="X5632" t="n">
        <v>36.63003663003663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10198</v>
      </c>
      <c r="AG5632" t="n">
        <v>78</v>
      </c>
      <c r="AH5632" t="inlineStr">
        <is>
          <t>PT. GLORIENTA P.H - PPN (PDG)</t>
        </is>
      </c>
      <c r="AI5632" t="n">
        <v>1304</v>
      </c>
      <c r="AJ5632" t="inlineStr">
        <is>
          <t>THE ORIGINOTE</t>
        </is>
      </c>
      <c r="AK5632" t="n">
        <v>21</v>
      </c>
      <c r="AL5632" t="inlineStr">
        <is>
          <t>Miss Glam Damar</t>
        </is>
      </c>
      <c r="AM5632" t="n">
        <v>1</v>
      </c>
      <c r="AN5632" t="n">
        <v>500000</v>
      </c>
      <c r="AO5632" t="n">
        <v>0</v>
      </c>
      <c r="AP5632" t="inlineStr"/>
      <c r="AQ5632" t="inlineStr"/>
    </row>
    <row r="5633">
      <c r="A5633" t="inlineStr">
        <is>
          <t>THE ORIGINOTE</t>
        </is>
      </c>
      <c r="B5633" s="2">
        <f>"725765154125"</f>
        <v/>
      </c>
      <c r="C5633" t="inlineStr">
        <is>
          <t>THE ORIGINOTE Celaluronic Essence Toner 80ml</t>
        </is>
      </c>
      <c r="D5633" t="inlineStr">
        <is>
          <t>Miss Glam Damar</t>
        </is>
      </c>
      <c r="E5633" t="n">
        <v>10</v>
      </c>
      <c r="F5633" t="n">
        <v>0.2912</v>
      </c>
      <c r="G5633" t="n">
        <v>1.82</v>
      </c>
      <c r="H5633" t="n">
        <v>3</v>
      </c>
      <c r="I5633" t="n">
        <v>11</v>
      </c>
      <c r="J5633" t="n">
        <v>3</v>
      </c>
      <c r="K5633" t="n">
        <v>0</v>
      </c>
      <c r="L5633" t="n">
        <v>30600</v>
      </c>
      <c r="M5633" t="n">
        <v>37000</v>
      </c>
      <c r="N5633" t="n">
        <v>91</v>
      </c>
      <c r="O5633" t="n">
        <v>0.91</v>
      </c>
      <c r="P5633" t="n">
        <v>1</v>
      </c>
      <c r="Q5633" t="n">
        <v>0.2</v>
      </c>
      <c r="R5633" t="n">
        <v>2</v>
      </c>
      <c r="S5633" t="n">
        <v>10774.4</v>
      </c>
      <c r="T5633" t="n">
        <v>20</v>
      </c>
      <c r="U5633" t="n">
        <v>21</v>
      </c>
      <c r="V5633" t="n">
        <v>30</v>
      </c>
      <c r="W5633" t="n">
        <v>9</v>
      </c>
      <c r="X5633" t="n">
        <v>34.34065934065934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10198</v>
      </c>
      <c r="AG5633" t="n">
        <v>78</v>
      </c>
      <c r="AH5633" t="inlineStr">
        <is>
          <t>PT. GLORIENTA P.H - PPN (PDG)</t>
        </is>
      </c>
      <c r="AI5633" t="n">
        <v>1304</v>
      </c>
      <c r="AJ5633" t="inlineStr">
        <is>
          <t>THE ORIGINOTE</t>
        </is>
      </c>
      <c r="AK5633" t="n">
        <v>21</v>
      </c>
      <c r="AL5633" t="inlineStr">
        <is>
          <t>Miss Glam Damar</t>
        </is>
      </c>
      <c r="AM5633" t="n">
        <v>1</v>
      </c>
      <c r="AN5633" t="n">
        <v>500000</v>
      </c>
      <c r="AO5633" t="n">
        <v>0</v>
      </c>
      <c r="AP5633" t="inlineStr"/>
      <c r="AQ5633" t="inlineStr"/>
    </row>
    <row r="5634">
      <c r="A5634" t="inlineStr">
        <is>
          <t>THE ORIGINOTE</t>
        </is>
      </c>
      <c r="B5634" s="2">
        <f>"725765154477"</f>
        <v/>
      </c>
      <c r="C5634" t="inlineStr">
        <is>
          <t>THE ORIGINOTE Ceramella Sunscreen Spf 50 PA++++ 50gr</t>
        </is>
      </c>
      <c r="D5634" t="inlineStr">
        <is>
          <t>Miss Glam Damar</t>
        </is>
      </c>
      <c r="E5634" t="n">
        <v>16</v>
      </c>
      <c r="F5634" t="n">
        <v>2.3478</v>
      </c>
      <c r="G5634" t="n">
        <v>6.37</v>
      </c>
      <c r="H5634" t="n">
        <v>3</v>
      </c>
      <c r="I5634" t="n">
        <v>11</v>
      </c>
      <c r="J5634" t="n">
        <v>3</v>
      </c>
      <c r="K5634" t="n">
        <v>0</v>
      </c>
      <c r="L5634" t="n">
        <v>35700</v>
      </c>
      <c r="M5634" t="n">
        <v>41500</v>
      </c>
      <c r="N5634" t="n">
        <v>91</v>
      </c>
      <c r="O5634" t="n">
        <v>0.91</v>
      </c>
      <c r="P5634" t="n">
        <v>1</v>
      </c>
      <c r="Q5634" t="n">
        <v>1.69</v>
      </c>
      <c r="R5634" t="n">
        <v>6</v>
      </c>
      <c r="S5634" t="n">
        <v>97433.70000000001</v>
      </c>
      <c r="T5634" t="n">
        <v>64</v>
      </c>
      <c r="U5634" t="n">
        <v>72</v>
      </c>
      <c r="V5634" t="n">
        <v>30</v>
      </c>
      <c r="W5634" t="n">
        <v>71</v>
      </c>
      <c r="X5634" t="n">
        <v>6.814890535820767</v>
      </c>
      <c r="Y5634" t="n">
        <v>1</v>
      </c>
      <c r="Z5634" t="n">
        <v>55</v>
      </c>
      <c r="AA5634" t="n">
        <v>10</v>
      </c>
      <c r="AB5634" t="n">
        <v>45</v>
      </c>
      <c r="AC5634" t="n">
        <v>45</v>
      </c>
      <c r="AD5634" t="n">
        <v>357000</v>
      </c>
      <c r="AE5634" t="n">
        <v>1606500</v>
      </c>
      <c r="AF5634" t="n">
        <v>10198</v>
      </c>
      <c r="AG5634" t="n">
        <v>78</v>
      </c>
      <c r="AH5634" t="inlineStr">
        <is>
          <t>PT. GLORIENTA P.H - PPN (PDG)</t>
        </is>
      </c>
      <c r="AI5634" t="n">
        <v>1304</v>
      </c>
      <c r="AJ5634" t="inlineStr">
        <is>
          <t>THE ORIGINOTE</t>
        </is>
      </c>
      <c r="AK5634" t="n">
        <v>21</v>
      </c>
      <c r="AL5634" t="inlineStr">
        <is>
          <t>Miss Glam Damar</t>
        </is>
      </c>
      <c r="AM5634" t="n">
        <v>1</v>
      </c>
      <c r="AN5634" t="n">
        <v>500000</v>
      </c>
      <c r="AO5634" t="n">
        <v>0</v>
      </c>
      <c r="AP5634" t="inlineStr"/>
      <c r="AQ5634" t="inlineStr"/>
    </row>
    <row r="5635">
      <c r="A5635" t="inlineStr">
        <is>
          <t>THE ORIGINOTE</t>
        </is>
      </c>
      <c r="B5635" s="2">
        <f>"745604685917"</f>
        <v/>
      </c>
      <c r="C5635" t="inlineStr">
        <is>
          <t>THE ORIGINOTE Cica-B5 Soothing Essence Toner 80ml</t>
        </is>
      </c>
      <c r="D5635" t="inlineStr">
        <is>
          <t>Miss Glam Damar</t>
        </is>
      </c>
      <c r="E5635" t="n">
        <v>21</v>
      </c>
      <c r="F5635" t="n">
        <v>0.4277</v>
      </c>
      <c r="G5635" t="n">
        <v>2.73</v>
      </c>
      <c r="H5635" t="n">
        <v>3</v>
      </c>
      <c r="I5635" t="n">
        <v>11</v>
      </c>
      <c r="J5635" t="n">
        <v>3</v>
      </c>
      <c r="K5635" t="n">
        <v>0</v>
      </c>
      <c r="L5635" t="n">
        <v>32300</v>
      </c>
      <c r="M5635" t="n">
        <v>37000</v>
      </c>
      <c r="N5635" t="n">
        <v>91</v>
      </c>
      <c r="O5635" t="n">
        <v>0.91</v>
      </c>
      <c r="P5635" t="n">
        <v>1</v>
      </c>
      <c r="Q5635" t="n">
        <v>0.29</v>
      </c>
      <c r="R5635" t="n">
        <v>3</v>
      </c>
      <c r="S5635" t="n">
        <v>15824.9</v>
      </c>
      <c r="T5635" t="n">
        <v>29</v>
      </c>
      <c r="U5635" t="n">
        <v>31</v>
      </c>
      <c r="V5635" t="n">
        <v>30</v>
      </c>
      <c r="W5635" t="n">
        <v>13</v>
      </c>
      <c r="X5635" t="n">
        <v>49.09983633387889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10198</v>
      </c>
      <c r="AG5635" t="n">
        <v>78</v>
      </c>
      <c r="AH5635" t="inlineStr">
        <is>
          <t>PT. GLORIENTA P.H - PPN (PDG)</t>
        </is>
      </c>
      <c r="AI5635" t="n">
        <v>1304</v>
      </c>
      <c r="AJ5635" t="inlineStr">
        <is>
          <t>THE ORIGINOTE</t>
        </is>
      </c>
      <c r="AK5635" t="n">
        <v>21</v>
      </c>
      <c r="AL5635" t="inlineStr">
        <is>
          <t>Miss Glam Damar</t>
        </is>
      </c>
      <c r="AM5635" t="n">
        <v>1</v>
      </c>
      <c r="AN5635" t="n">
        <v>500000</v>
      </c>
      <c r="AO5635" t="n">
        <v>0</v>
      </c>
      <c r="AP5635" t="inlineStr"/>
      <c r="AQ5635" t="inlineStr"/>
    </row>
    <row r="5636">
      <c r="A5636" t="inlineStr">
        <is>
          <t>THE ORIGINOTE</t>
        </is>
      </c>
      <c r="B5636" s="2">
        <f>"745604685924"</f>
        <v/>
      </c>
      <c r="C5636" t="inlineStr">
        <is>
          <t>THE ORIGINOTE Cica-B5 Soothing Moisturizer 50ml</t>
        </is>
      </c>
      <c r="D5636" t="inlineStr">
        <is>
          <t>Miss Glam Damar</t>
        </is>
      </c>
      <c r="E5636" t="n">
        <v>2</v>
      </c>
      <c r="F5636" t="n">
        <v>1.9565</v>
      </c>
      <c r="G5636" t="n">
        <v>6.37</v>
      </c>
      <c r="H5636" t="n">
        <v>3</v>
      </c>
      <c r="I5636" t="n">
        <v>11</v>
      </c>
      <c r="J5636" t="n">
        <v>3</v>
      </c>
      <c r="K5636" t="n">
        <v>0</v>
      </c>
      <c r="L5636" t="n">
        <v>40800</v>
      </c>
      <c r="M5636" t="n">
        <v>48000</v>
      </c>
      <c r="N5636" t="n">
        <v>91</v>
      </c>
      <c r="O5636" t="n">
        <v>0.91</v>
      </c>
      <c r="P5636" t="n">
        <v>1</v>
      </c>
      <c r="Q5636" t="n">
        <v>1.58</v>
      </c>
      <c r="R5636" t="n">
        <v>7</v>
      </c>
      <c r="S5636" t="n">
        <v>93912</v>
      </c>
      <c r="T5636" t="n">
        <v>65</v>
      </c>
      <c r="U5636" t="n">
        <v>71</v>
      </c>
      <c r="V5636" t="n">
        <v>30</v>
      </c>
      <c r="W5636" t="n">
        <v>59</v>
      </c>
      <c r="X5636" t="n">
        <v>1.022233580373115</v>
      </c>
      <c r="Y5636" t="n">
        <v>1</v>
      </c>
      <c r="Z5636" t="n">
        <v>57</v>
      </c>
      <c r="AA5636" t="n">
        <v>20</v>
      </c>
      <c r="AB5636" t="n">
        <v>37</v>
      </c>
      <c r="AC5636" t="n">
        <v>37</v>
      </c>
      <c r="AD5636" t="n">
        <v>816000</v>
      </c>
      <c r="AE5636" t="n">
        <v>1509600</v>
      </c>
      <c r="AF5636" t="n">
        <v>10198</v>
      </c>
      <c r="AG5636" t="n">
        <v>78</v>
      </c>
      <c r="AH5636" t="inlineStr">
        <is>
          <t>PT. GLORIENTA P.H - PPN (PDG)</t>
        </is>
      </c>
      <c r="AI5636" t="n">
        <v>1304</v>
      </c>
      <c r="AJ5636" t="inlineStr">
        <is>
          <t>THE ORIGINOTE</t>
        </is>
      </c>
      <c r="AK5636" t="n">
        <v>21</v>
      </c>
      <c r="AL5636" t="inlineStr">
        <is>
          <t>Miss Glam Damar</t>
        </is>
      </c>
      <c r="AM5636" t="n">
        <v>1</v>
      </c>
      <c r="AN5636" t="n">
        <v>500000</v>
      </c>
      <c r="AO5636" t="n">
        <v>0</v>
      </c>
      <c r="AP5636" t="inlineStr"/>
      <c r="AQ5636" t="inlineStr"/>
    </row>
    <row r="5637">
      <c r="A5637" t="inlineStr">
        <is>
          <t>THE ORIGINOTE</t>
        </is>
      </c>
      <c r="B5637" s="2">
        <f>"10100205059"</f>
        <v/>
      </c>
      <c r="C5637" t="inlineStr">
        <is>
          <t>THE ORIGINOTE Cleansing Oil Centella Asiatica Licorice Root Extract 100 ml</t>
        </is>
      </c>
      <c r="D5637" t="inlineStr">
        <is>
          <t>Miss Glam Damar</t>
        </is>
      </c>
      <c r="E5637" t="n">
        <v>9</v>
      </c>
      <c r="F5637" t="n">
        <v>0.1729</v>
      </c>
      <c r="G5637" t="n">
        <v>2.73</v>
      </c>
      <c r="H5637" t="n">
        <v>3</v>
      </c>
      <c r="I5637" t="n">
        <v>11</v>
      </c>
      <c r="J5637" t="n">
        <v>1</v>
      </c>
      <c r="K5637" t="n">
        <v>0</v>
      </c>
      <c r="L5637" t="n">
        <v>49301</v>
      </c>
      <c r="M5637" t="n">
        <v>58000</v>
      </c>
      <c r="N5637" t="n">
        <v>91</v>
      </c>
      <c r="O5637" t="n">
        <v>0.91</v>
      </c>
      <c r="P5637" t="n">
        <v>1</v>
      </c>
      <c r="Q5637" t="n">
        <v>0.1</v>
      </c>
      <c r="R5637" t="n">
        <v>2</v>
      </c>
      <c r="S5637" t="n">
        <v>10028.2</v>
      </c>
      <c r="T5637" t="n">
        <v>30</v>
      </c>
      <c r="U5637" t="n">
        <v>31</v>
      </c>
      <c r="V5637" t="n">
        <v>30</v>
      </c>
      <c r="W5637" t="n">
        <v>6</v>
      </c>
      <c r="X5637" t="n">
        <v>52.05320994794679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10198</v>
      </c>
      <c r="AG5637" t="n">
        <v>78</v>
      </c>
      <c r="AH5637" t="inlineStr">
        <is>
          <t>PT. GLORIENTA P.H - PPN (PDG)</t>
        </is>
      </c>
      <c r="AI5637" t="n">
        <v>1304</v>
      </c>
      <c r="AJ5637" t="inlineStr">
        <is>
          <t>THE ORIGINOTE</t>
        </is>
      </c>
      <c r="AK5637" t="n">
        <v>21</v>
      </c>
      <c r="AL5637" t="inlineStr">
        <is>
          <t>Miss Glam Damar</t>
        </is>
      </c>
      <c r="AM5637" t="n">
        <v>1</v>
      </c>
      <c r="AN5637" t="n">
        <v>500000</v>
      </c>
      <c r="AO5637" t="n">
        <v>0</v>
      </c>
      <c r="AP5637" t="inlineStr"/>
      <c r="AQ5637" t="inlineStr"/>
    </row>
    <row r="5638">
      <c r="A5638" t="inlineStr">
        <is>
          <t>THE ORIGINOTE</t>
        </is>
      </c>
      <c r="B5638" s="2">
        <f>"10400310951"</f>
        <v/>
      </c>
      <c r="C5638" t="inlineStr">
        <is>
          <t>THE ORIGINOTE Daily UV Tint 20gr</t>
        </is>
      </c>
      <c r="D5638" t="inlineStr">
        <is>
          <t>Miss Glam Damar</t>
        </is>
      </c>
      <c r="E5638" t="n">
        <v>1</v>
      </c>
      <c r="F5638" t="n">
        <v>0.1274</v>
      </c>
      <c r="G5638" t="n">
        <v>1.82</v>
      </c>
      <c r="H5638" t="n">
        <v>3</v>
      </c>
      <c r="I5638" t="n">
        <v>11</v>
      </c>
      <c r="J5638" t="n">
        <v>1</v>
      </c>
      <c r="K5638" t="n">
        <v>0</v>
      </c>
      <c r="L5638" t="n">
        <v>42330</v>
      </c>
      <c r="M5638" t="n">
        <v>49800</v>
      </c>
      <c r="N5638" t="n">
        <v>91</v>
      </c>
      <c r="O5638" t="n">
        <v>0.91</v>
      </c>
      <c r="P5638" t="n">
        <v>1</v>
      </c>
      <c r="Q5638" t="n">
        <v>0.17</v>
      </c>
      <c r="R5638" t="n">
        <v>1</v>
      </c>
      <c r="S5638" t="n">
        <v>6344.52</v>
      </c>
      <c r="T5638" t="n">
        <v>20</v>
      </c>
      <c r="U5638" t="n">
        <v>21</v>
      </c>
      <c r="V5638" t="n">
        <v>30</v>
      </c>
      <c r="W5638" t="n">
        <v>4</v>
      </c>
      <c r="X5638" t="n">
        <v>7.849293563579277</v>
      </c>
      <c r="Y5638" t="n">
        <v>1</v>
      </c>
      <c r="Z5638" t="n">
        <v>3</v>
      </c>
      <c r="AA5638" t="n">
        <v>1</v>
      </c>
      <c r="AB5638" t="n">
        <v>2</v>
      </c>
      <c r="AC5638" t="n">
        <v>2</v>
      </c>
      <c r="AD5638" t="n">
        <v>42330</v>
      </c>
      <c r="AE5638" t="n">
        <v>84660</v>
      </c>
      <c r="AF5638" t="n">
        <v>10198</v>
      </c>
      <c r="AG5638" t="n">
        <v>78</v>
      </c>
      <c r="AH5638" t="inlineStr">
        <is>
          <t>PT. GLORIENTA P.H - PPN (PDG)</t>
        </is>
      </c>
      <c r="AI5638" t="n">
        <v>1304</v>
      </c>
      <c r="AJ5638" t="inlineStr">
        <is>
          <t>THE ORIGINOTE</t>
        </is>
      </c>
      <c r="AK5638" t="n">
        <v>21</v>
      </c>
      <c r="AL5638" t="inlineStr">
        <is>
          <t>Miss Glam Damar</t>
        </is>
      </c>
      <c r="AM5638" t="n">
        <v>1</v>
      </c>
      <c r="AN5638" t="n">
        <v>500000</v>
      </c>
      <c r="AO5638" t="n">
        <v>0</v>
      </c>
      <c r="AP5638" t="inlineStr"/>
      <c r="AQ5638" t="inlineStr"/>
    </row>
    <row r="5639">
      <c r="A5639" t="inlineStr">
        <is>
          <t>THE ORIGINOTE</t>
        </is>
      </c>
      <c r="B5639" s="2">
        <f>"725765154132"</f>
        <v/>
      </c>
      <c r="C5639" t="inlineStr">
        <is>
          <t>THE ORIGINOTE H-llow Clarifying Toner 80ml</t>
        </is>
      </c>
      <c r="D5639" t="inlineStr">
        <is>
          <t>Miss Glam Damar</t>
        </is>
      </c>
      <c r="E5639" t="n">
        <v>12</v>
      </c>
      <c r="F5639" t="n">
        <v>0.06370000000000001</v>
      </c>
      <c r="G5639" t="n">
        <v>0.91</v>
      </c>
      <c r="H5639" t="n">
        <v>3</v>
      </c>
      <c r="I5639" t="n">
        <v>11</v>
      </c>
      <c r="J5639" t="n">
        <v>3</v>
      </c>
      <c r="K5639" t="n">
        <v>0</v>
      </c>
      <c r="L5639" t="n">
        <v>30600</v>
      </c>
      <c r="M5639" t="n">
        <v>37000</v>
      </c>
      <c r="N5639" t="n">
        <v>91</v>
      </c>
      <c r="O5639" t="n">
        <v>0.91</v>
      </c>
      <c r="P5639" t="n">
        <v>1</v>
      </c>
      <c r="Q5639" t="n">
        <v>0.17</v>
      </c>
      <c r="R5639" t="n">
        <v>2</v>
      </c>
      <c r="S5639" t="n">
        <v>2356.9</v>
      </c>
      <c r="T5639" t="n">
        <v>10</v>
      </c>
      <c r="U5639" t="n">
        <v>11</v>
      </c>
      <c r="V5639" t="n">
        <v>30</v>
      </c>
      <c r="W5639" t="n">
        <v>2</v>
      </c>
      <c r="X5639" t="n">
        <v>188.3830455259026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10198</v>
      </c>
      <c r="AG5639" t="n">
        <v>78</v>
      </c>
      <c r="AH5639" t="inlineStr">
        <is>
          <t>PT. GLORIENTA P.H - PPN (PDG)</t>
        </is>
      </c>
      <c r="AI5639" t="n">
        <v>1304</v>
      </c>
      <c r="AJ5639" t="inlineStr">
        <is>
          <t>THE ORIGINOTE</t>
        </is>
      </c>
      <c r="AK5639" t="n">
        <v>21</v>
      </c>
      <c r="AL5639" t="inlineStr">
        <is>
          <t>Miss Glam Damar</t>
        </is>
      </c>
      <c r="AM5639" t="n">
        <v>1</v>
      </c>
      <c r="AN5639" t="n">
        <v>500000</v>
      </c>
      <c r="AO5639" t="n">
        <v>0</v>
      </c>
      <c r="AP5639" t="inlineStr"/>
      <c r="AQ5639" t="inlineStr"/>
    </row>
    <row r="5640">
      <c r="A5640" t="inlineStr">
        <is>
          <t>THE ORIGINOTE</t>
        </is>
      </c>
      <c r="B5640" s="2">
        <f>"10100724414"</f>
        <v/>
      </c>
      <c r="C5640" t="inlineStr">
        <is>
          <t>THE ORIGINOTE Hyalu BHA Acne Micellar Water 300ml</t>
        </is>
      </c>
      <c r="D5640" t="inlineStr">
        <is>
          <t>Miss Glam Damar</t>
        </is>
      </c>
      <c r="E5640" t="n">
        <v>42</v>
      </c>
      <c r="F5640" t="n">
        <v>0.8827</v>
      </c>
      <c r="G5640" t="n">
        <v>6.37</v>
      </c>
      <c r="H5640" t="n">
        <v>3</v>
      </c>
      <c r="I5640" t="n">
        <v>11</v>
      </c>
      <c r="J5640" t="n">
        <v>1</v>
      </c>
      <c r="K5640" t="n">
        <v>0</v>
      </c>
      <c r="L5640" t="n">
        <v>40801</v>
      </c>
      <c r="M5640" t="n">
        <v>48000</v>
      </c>
      <c r="N5640" t="n">
        <v>91</v>
      </c>
      <c r="O5640" t="n">
        <v>0.91</v>
      </c>
      <c r="P5640" t="n">
        <v>1</v>
      </c>
      <c r="Q5640" t="n">
        <v>0.64</v>
      </c>
      <c r="R5640" t="n">
        <v>3</v>
      </c>
      <c r="S5640" t="n">
        <v>42369.6</v>
      </c>
      <c r="T5640" t="n">
        <v>68</v>
      </c>
      <c r="U5640" t="n">
        <v>71</v>
      </c>
      <c r="V5640" t="n">
        <v>30</v>
      </c>
      <c r="W5640" t="n">
        <v>27</v>
      </c>
      <c r="X5640" t="n">
        <v>47.58128469468675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10198</v>
      </c>
      <c r="AG5640" t="n">
        <v>78</v>
      </c>
      <c r="AH5640" t="inlineStr">
        <is>
          <t>PT. GLORIENTA P.H - PPN (PDG)</t>
        </is>
      </c>
      <c r="AI5640" t="n">
        <v>1304</v>
      </c>
      <c r="AJ5640" t="inlineStr">
        <is>
          <t>THE ORIGINOTE</t>
        </is>
      </c>
      <c r="AK5640" t="n">
        <v>21</v>
      </c>
      <c r="AL5640" t="inlineStr">
        <is>
          <t>Miss Glam Damar</t>
        </is>
      </c>
      <c r="AM5640" t="n">
        <v>1</v>
      </c>
      <c r="AN5640" t="n">
        <v>500000</v>
      </c>
      <c r="AO5640" t="n">
        <v>0</v>
      </c>
      <c r="AP5640" t="inlineStr"/>
      <c r="AQ5640" t="inlineStr"/>
    </row>
    <row r="5641">
      <c r="A5641" t="inlineStr">
        <is>
          <t>THE ORIGINOTE</t>
        </is>
      </c>
      <c r="B5641" s="2">
        <f>"769503433141"</f>
        <v/>
      </c>
      <c r="C5641" t="inlineStr">
        <is>
          <t>THE ORIGINOTE Hyalu C-Serum 20ml</t>
        </is>
      </c>
      <c r="D5641" t="inlineStr">
        <is>
          <t>Miss Glam Damar</t>
        </is>
      </c>
      <c r="E5641" t="n">
        <v>21</v>
      </c>
      <c r="F5641" t="n">
        <v>0.8372000000000001</v>
      </c>
      <c r="G5641" t="n">
        <v>4.55</v>
      </c>
      <c r="H5641" t="n">
        <v>3</v>
      </c>
      <c r="I5641" t="n">
        <v>11</v>
      </c>
      <c r="J5641" t="n">
        <v>3</v>
      </c>
      <c r="K5641" t="n">
        <v>0</v>
      </c>
      <c r="L5641" t="n">
        <v>32300</v>
      </c>
      <c r="M5641" t="n">
        <v>37000</v>
      </c>
      <c r="N5641" t="n">
        <v>91</v>
      </c>
      <c r="O5641" t="n">
        <v>0.91</v>
      </c>
      <c r="P5641" t="n">
        <v>1</v>
      </c>
      <c r="Q5641" t="n">
        <v>0.75</v>
      </c>
      <c r="R5641" t="n">
        <v>4</v>
      </c>
      <c r="S5641" t="n">
        <v>30976.4</v>
      </c>
      <c r="T5641" t="n">
        <v>48</v>
      </c>
      <c r="U5641" t="n">
        <v>51</v>
      </c>
      <c r="V5641" t="n">
        <v>30</v>
      </c>
      <c r="W5641" t="n">
        <v>26</v>
      </c>
      <c r="X5641" t="n">
        <v>25.08361204013378</v>
      </c>
      <c r="Y5641" t="n">
        <v>1</v>
      </c>
      <c r="Z5641" t="n">
        <v>5</v>
      </c>
      <c r="AA5641" t="n">
        <v>0</v>
      </c>
      <c r="AB5641" t="n">
        <v>5</v>
      </c>
      <c r="AC5641" t="n">
        <v>5</v>
      </c>
      <c r="AD5641" t="n">
        <v>0</v>
      </c>
      <c r="AE5641" t="n">
        <v>161500</v>
      </c>
      <c r="AF5641" t="n">
        <v>10198</v>
      </c>
      <c r="AG5641" t="n">
        <v>78</v>
      </c>
      <c r="AH5641" t="inlineStr">
        <is>
          <t>PT. GLORIENTA P.H - PPN (PDG)</t>
        </is>
      </c>
      <c r="AI5641" t="n">
        <v>1304</v>
      </c>
      <c r="AJ5641" t="inlineStr">
        <is>
          <t>THE ORIGINOTE</t>
        </is>
      </c>
      <c r="AK5641" t="n">
        <v>21</v>
      </c>
      <c r="AL5641" t="inlineStr">
        <is>
          <t>Miss Glam Damar</t>
        </is>
      </c>
      <c r="AM5641" t="n">
        <v>1</v>
      </c>
      <c r="AN5641" t="n">
        <v>500000</v>
      </c>
      <c r="AO5641" t="n">
        <v>0</v>
      </c>
      <c r="AP5641" t="inlineStr"/>
      <c r="AQ5641" t="inlineStr"/>
    </row>
    <row r="5642">
      <c r="A5642" t="inlineStr">
        <is>
          <t>THE ORIGINOTE</t>
        </is>
      </c>
      <c r="B5642" s="2">
        <f>"10500638842"</f>
        <v/>
      </c>
      <c r="C5642" t="inlineStr">
        <is>
          <t>THE ORIGINOTE Hyalu-C Clay Stick 40gr</t>
        </is>
      </c>
      <c r="D5642" t="inlineStr">
        <is>
          <t>Miss Glam Damar</t>
        </is>
      </c>
      <c r="E5642" t="n">
        <v>6</v>
      </c>
      <c r="F5642" t="n">
        <v>0.0728</v>
      </c>
      <c r="G5642" t="n">
        <v>0.91</v>
      </c>
      <c r="H5642" t="n">
        <v>3</v>
      </c>
      <c r="I5642" t="n">
        <v>11</v>
      </c>
      <c r="J5642" t="n">
        <v>1</v>
      </c>
      <c r="K5642" t="n">
        <v>0</v>
      </c>
      <c r="L5642" t="n">
        <v>38032</v>
      </c>
      <c r="M5642" t="n">
        <v>72000</v>
      </c>
      <c r="N5642" t="n">
        <v>91</v>
      </c>
      <c r="O5642" t="n">
        <v>0.91</v>
      </c>
      <c r="P5642" t="n">
        <v>1</v>
      </c>
      <c r="Q5642" t="n">
        <v>0.05</v>
      </c>
      <c r="R5642" t="n">
        <v>1</v>
      </c>
      <c r="S5642" t="n">
        <v>5241.6</v>
      </c>
      <c r="T5642" t="n">
        <v>10</v>
      </c>
      <c r="U5642" t="n">
        <v>11</v>
      </c>
      <c r="V5642" t="n">
        <v>30</v>
      </c>
      <c r="W5642" t="n">
        <v>3</v>
      </c>
      <c r="X5642" t="n">
        <v>82.41758241758241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10198</v>
      </c>
      <c r="AG5642" t="n">
        <v>78</v>
      </c>
      <c r="AH5642" t="inlineStr">
        <is>
          <t>PT. GLORIENTA P.H - PPN (PDG)</t>
        </is>
      </c>
      <c r="AI5642" t="n">
        <v>1304</v>
      </c>
      <c r="AJ5642" t="inlineStr">
        <is>
          <t>THE ORIGINOTE</t>
        </is>
      </c>
      <c r="AK5642" t="n">
        <v>21</v>
      </c>
      <c r="AL5642" t="inlineStr">
        <is>
          <t>Miss Glam Damar</t>
        </is>
      </c>
      <c r="AM5642" t="n">
        <v>1</v>
      </c>
      <c r="AN5642" t="n">
        <v>500000</v>
      </c>
      <c r="AO5642" t="n">
        <v>0</v>
      </c>
      <c r="AP5642" t="inlineStr"/>
      <c r="AQ5642" t="inlineStr"/>
    </row>
    <row r="5643">
      <c r="A5643" t="inlineStr">
        <is>
          <t>THE ORIGINOTE</t>
        </is>
      </c>
      <c r="B5643" s="2">
        <f>"764460291056"</f>
        <v/>
      </c>
      <c r="C5643" t="inlineStr">
        <is>
          <t>THE ORIGINOTE Hyalucera Moisturizer 50gr</t>
        </is>
      </c>
      <c r="D5643" t="inlineStr">
        <is>
          <t>Miss Glam Damar</t>
        </is>
      </c>
      <c r="E5643" t="n">
        <v>102</v>
      </c>
      <c r="F5643" t="n">
        <v>5.0414</v>
      </c>
      <c r="G5643" t="n">
        <v>12.74</v>
      </c>
      <c r="H5643" t="n">
        <v>3</v>
      </c>
      <c r="I5643" t="n">
        <v>11</v>
      </c>
      <c r="J5643" t="n">
        <v>24</v>
      </c>
      <c r="K5643" t="n">
        <v>0</v>
      </c>
      <c r="L5643" t="n">
        <v>35699</v>
      </c>
      <c r="M5643" t="n">
        <v>40500</v>
      </c>
      <c r="N5643" t="n">
        <v>91</v>
      </c>
      <c r="O5643" t="n">
        <v>0.91</v>
      </c>
      <c r="P5643" t="n">
        <v>1</v>
      </c>
      <c r="Q5643" t="n">
        <v>4.51</v>
      </c>
      <c r="R5643" t="n">
        <v>13</v>
      </c>
      <c r="S5643" t="n">
        <v>204176.7</v>
      </c>
      <c r="T5643" t="n">
        <v>126</v>
      </c>
      <c r="U5643" t="n">
        <v>142</v>
      </c>
      <c r="V5643" t="n">
        <v>30</v>
      </c>
      <c r="W5643" t="n">
        <v>152</v>
      </c>
      <c r="X5643" t="n">
        <v>20.23247510612131</v>
      </c>
      <c r="Y5643" t="n">
        <v>1</v>
      </c>
      <c r="Z5643" t="n">
        <v>50</v>
      </c>
      <c r="AA5643" t="n">
        <v>0</v>
      </c>
      <c r="AB5643" t="n">
        <v>50</v>
      </c>
      <c r="AC5643" t="n">
        <v>50</v>
      </c>
      <c r="AD5643" t="n">
        <v>0</v>
      </c>
      <c r="AE5643" t="n">
        <v>1784950</v>
      </c>
      <c r="AF5643" t="n">
        <v>10198</v>
      </c>
      <c r="AG5643" t="n">
        <v>78</v>
      </c>
      <c r="AH5643" t="inlineStr">
        <is>
          <t>PT. GLORIENTA P.H - PPN (PDG)</t>
        </is>
      </c>
      <c r="AI5643" t="n">
        <v>1304</v>
      </c>
      <c r="AJ5643" t="inlineStr">
        <is>
          <t>THE ORIGINOTE</t>
        </is>
      </c>
      <c r="AK5643" t="n">
        <v>21</v>
      </c>
      <c r="AL5643" t="inlineStr">
        <is>
          <t>Miss Glam Damar</t>
        </is>
      </c>
      <c r="AM5643" t="n">
        <v>1</v>
      </c>
      <c r="AN5643" t="n">
        <v>500000</v>
      </c>
      <c r="AO5643" t="n">
        <v>0</v>
      </c>
      <c r="AP5643" t="inlineStr"/>
      <c r="AQ5643" t="inlineStr"/>
    </row>
    <row r="5644">
      <c r="A5644" t="inlineStr">
        <is>
          <t>THE ORIGINOTE</t>
        </is>
      </c>
      <c r="B5644" s="2">
        <f>"792649503379"</f>
        <v/>
      </c>
      <c r="C5644" t="inlineStr">
        <is>
          <t>THE ORIGINOTE Hyalurose Micellar Water 300ml</t>
        </is>
      </c>
      <c r="D5644" t="inlineStr">
        <is>
          <t>Miss Glam Damar</t>
        </is>
      </c>
      <c r="E5644" t="n">
        <v>99</v>
      </c>
      <c r="F5644" t="n">
        <v>6.1425</v>
      </c>
      <c r="G5644" t="n">
        <v>13.65</v>
      </c>
      <c r="H5644" t="n">
        <v>3</v>
      </c>
      <c r="I5644" t="n">
        <v>11</v>
      </c>
      <c r="J5644" t="n">
        <v>36</v>
      </c>
      <c r="K5644" t="n">
        <v>0</v>
      </c>
      <c r="L5644" t="n">
        <v>40902</v>
      </c>
      <c r="M5644" t="n">
        <v>46000</v>
      </c>
      <c r="N5644" t="n">
        <v>91</v>
      </c>
      <c r="O5644" t="n">
        <v>0.91</v>
      </c>
      <c r="P5644" t="n">
        <v>1</v>
      </c>
      <c r="Q5644" t="n">
        <v>4.9</v>
      </c>
      <c r="R5644" t="n">
        <v>15</v>
      </c>
      <c r="S5644" t="n">
        <v>282555</v>
      </c>
      <c r="T5644" t="n">
        <v>132</v>
      </c>
      <c r="U5644" t="n">
        <v>151</v>
      </c>
      <c r="V5644" t="n">
        <v>30</v>
      </c>
      <c r="W5644" t="n">
        <v>185</v>
      </c>
      <c r="X5644" t="n">
        <v>16.11721611721612</v>
      </c>
      <c r="Y5644" t="n">
        <v>1</v>
      </c>
      <c r="Z5644" t="n">
        <v>86</v>
      </c>
      <c r="AA5644" t="n">
        <v>0</v>
      </c>
      <c r="AB5644" t="n">
        <v>86</v>
      </c>
      <c r="AC5644" t="n">
        <v>86</v>
      </c>
      <c r="AD5644" t="n">
        <v>0</v>
      </c>
      <c r="AE5644" t="n">
        <v>3517572</v>
      </c>
      <c r="AF5644" t="n">
        <v>10198</v>
      </c>
      <c r="AG5644" t="n">
        <v>78</v>
      </c>
      <c r="AH5644" t="inlineStr">
        <is>
          <t>PT. GLORIENTA P.H - PPN (PDG)</t>
        </is>
      </c>
      <c r="AI5644" t="n">
        <v>1304</v>
      </c>
      <c r="AJ5644" t="inlineStr">
        <is>
          <t>THE ORIGINOTE</t>
        </is>
      </c>
      <c r="AK5644" t="n">
        <v>21</v>
      </c>
      <c r="AL5644" t="inlineStr">
        <is>
          <t>Miss Glam Damar</t>
        </is>
      </c>
      <c r="AM5644" t="n">
        <v>1</v>
      </c>
      <c r="AN5644" t="n">
        <v>500000</v>
      </c>
      <c r="AO5644" t="n">
        <v>0</v>
      </c>
      <c r="AP5644" t="inlineStr"/>
      <c r="AQ5644" t="inlineStr"/>
    </row>
    <row r="5645">
      <c r="A5645" t="inlineStr">
        <is>
          <t>THE ORIGINOTE</t>
        </is>
      </c>
      <c r="B5645" s="2">
        <f>"769503433202"</f>
        <v/>
      </c>
      <c r="C5645" t="inlineStr">
        <is>
          <t>THE ORIGINOTE Lip Oil Serum Ceramide, Vit C, &amp; Grapefruit Extract With Uv Filter 3.2ml</t>
        </is>
      </c>
      <c r="D5645" t="inlineStr">
        <is>
          <t>Miss Glam Damar</t>
        </is>
      </c>
      <c r="E5645" t="n">
        <v>10</v>
      </c>
      <c r="F5645" t="n">
        <v>0.5733</v>
      </c>
      <c r="G5645" t="n">
        <v>3.64</v>
      </c>
      <c r="H5645" t="n">
        <v>3</v>
      </c>
      <c r="I5645" t="n">
        <v>11</v>
      </c>
      <c r="J5645" t="n">
        <v>3</v>
      </c>
      <c r="K5645" t="n">
        <v>0</v>
      </c>
      <c r="L5645" t="n">
        <v>30600</v>
      </c>
      <c r="M5645" t="n">
        <v>36000</v>
      </c>
      <c r="N5645" t="n">
        <v>91</v>
      </c>
      <c r="O5645" t="n">
        <v>0.91</v>
      </c>
      <c r="P5645" t="n">
        <v>1</v>
      </c>
      <c r="Q5645" t="n">
        <v>0.19</v>
      </c>
      <c r="R5645" t="n">
        <v>3</v>
      </c>
      <c r="S5645" t="n">
        <v>20638.8</v>
      </c>
      <c r="T5645" t="n">
        <v>39</v>
      </c>
      <c r="U5645" t="n">
        <v>41</v>
      </c>
      <c r="V5645" t="n">
        <v>30</v>
      </c>
      <c r="W5645" t="n">
        <v>18</v>
      </c>
      <c r="X5645" t="n">
        <v>17.44287458573173</v>
      </c>
      <c r="Y5645" t="n">
        <v>1</v>
      </c>
      <c r="Z5645" t="n">
        <v>8</v>
      </c>
      <c r="AA5645" t="n">
        <v>0</v>
      </c>
      <c r="AB5645" t="n">
        <v>8</v>
      </c>
      <c r="AC5645" t="n">
        <v>8</v>
      </c>
      <c r="AD5645" t="n">
        <v>0</v>
      </c>
      <c r="AE5645" t="n">
        <v>244800</v>
      </c>
      <c r="AF5645" t="n">
        <v>10198</v>
      </c>
      <c r="AG5645" t="n">
        <v>78</v>
      </c>
      <c r="AH5645" t="inlineStr">
        <is>
          <t>PT. GLORIENTA P.H - PPN (PDG)</t>
        </is>
      </c>
      <c r="AI5645" t="n">
        <v>1304</v>
      </c>
      <c r="AJ5645" t="inlineStr">
        <is>
          <t>THE ORIGINOTE</t>
        </is>
      </c>
      <c r="AK5645" t="n">
        <v>21</v>
      </c>
      <c r="AL5645" t="inlineStr">
        <is>
          <t>Miss Glam Damar</t>
        </is>
      </c>
      <c r="AM5645" t="n">
        <v>1</v>
      </c>
      <c r="AN5645" t="n">
        <v>500000</v>
      </c>
      <c r="AO5645" t="n">
        <v>0</v>
      </c>
      <c r="AP5645" t="inlineStr"/>
      <c r="AQ5645" t="inlineStr"/>
    </row>
    <row r="5646">
      <c r="A5646" t="inlineStr">
        <is>
          <t>THE ORIGINOTE</t>
        </is>
      </c>
      <c r="B5646" s="2">
        <f>"792649106730"</f>
        <v/>
      </c>
      <c r="C5646" t="inlineStr">
        <is>
          <t>THE ORIGINOTE Low Ph Cicamide Facial Cleanser 150ml</t>
        </is>
      </c>
      <c r="D5646" t="inlineStr">
        <is>
          <t>Miss Glam Damar</t>
        </is>
      </c>
      <c r="E5646" t="n">
        <v>25</v>
      </c>
      <c r="F5646" t="n">
        <v>1.3923</v>
      </c>
      <c r="G5646" t="n">
        <v>3.64</v>
      </c>
      <c r="H5646" t="n">
        <v>3</v>
      </c>
      <c r="I5646" t="n">
        <v>11</v>
      </c>
      <c r="J5646" t="n">
        <v>3</v>
      </c>
      <c r="K5646" t="n">
        <v>0</v>
      </c>
      <c r="L5646" t="n">
        <v>35700</v>
      </c>
      <c r="M5646" t="n">
        <v>42000</v>
      </c>
      <c r="N5646" t="n">
        <v>91</v>
      </c>
      <c r="O5646" t="n">
        <v>0.91</v>
      </c>
      <c r="P5646" t="n">
        <v>1</v>
      </c>
      <c r="Q5646" t="n">
        <v>0.88</v>
      </c>
      <c r="R5646" t="n">
        <v>4</v>
      </c>
      <c r="S5646" t="n">
        <v>58476.60000000001</v>
      </c>
      <c r="T5646" t="n">
        <v>36</v>
      </c>
      <c r="U5646" t="n">
        <v>41</v>
      </c>
      <c r="V5646" t="n">
        <v>30</v>
      </c>
      <c r="W5646" t="n">
        <v>42</v>
      </c>
      <c r="X5646" t="n">
        <v>17.95590030884149</v>
      </c>
      <c r="Y5646" t="n">
        <v>1</v>
      </c>
      <c r="Z5646" t="n">
        <v>17</v>
      </c>
      <c r="AA5646" t="n">
        <v>0</v>
      </c>
      <c r="AB5646" t="n">
        <v>17</v>
      </c>
      <c r="AC5646" t="n">
        <v>17</v>
      </c>
      <c r="AD5646" t="n">
        <v>0</v>
      </c>
      <c r="AE5646" t="n">
        <v>606900</v>
      </c>
      <c r="AF5646" t="n">
        <v>10198</v>
      </c>
      <c r="AG5646" t="n">
        <v>78</v>
      </c>
      <c r="AH5646" t="inlineStr">
        <is>
          <t>PT. GLORIENTA P.H - PPN (PDG)</t>
        </is>
      </c>
      <c r="AI5646" t="n">
        <v>1304</v>
      </c>
      <c r="AJ5646" t="inlineStr">
        <is>
          <t>THE ORIGINOTE</t>
        </is>
      </c>
      <c r="AK5646" t="n">
        <v>21</v>
      </c>
      <c r="AL5646" t="inlineStr">
        <is>
          <t>Miss Glam Damar</t>
        </is>
      </c>
      <c r="AM5646" t="n">
        <v>1</v>
      </c>
      <c r="AN5646" t="n">
        <v>500000</v>
      </c>
      <c r="AO5646" t="n">
        <v>0</v>
      </c>
      <c r="AP5646" t="inlineStr"/>
      <c r="AQ5646" t="inlineStr"/>
    </row>
    <row r="5647">
      <c r="A5647" t="inlineStr">
        <is>
          <t>THE ORIGINOTE</t>
        </is>
      </c>
      <c r="B5647" s="2">
        <f>"10100507517"</f>
        <v/>
      </c>
      <c r="C5647" t="inlineStr">
        <is>
          <t>THE ORIGINOTE Micellar Cleansing Tissue 10pcs</t>
        </is>
      </c>
      <c r="D5647" t="inlineStr">
        <is>
          <t>Miss Glam Damar</t>
        </is>
      </c>
      <c r="E5647" t="n">
        <v>2</v>
      </c>
      <c r="F5647" t="n">
        <v>0.2184</v>
      </c>
      <c r="G5647" t="n">
        <v>2.73</v>
      </c>
      <c r="H5647" t="n">
        <v>3</v>
      </c>
      <c r="I5647" t="n">
        <v>11</v>
      </c>
      <c r="J5647" t="n">
        <v>1</v>
      </c>
      <c r="K5647" t="n">
        <v>0</v>
      </c>
      <c r="L5647" t="n">
        <v>43273</v>
      </c>
      <c r="M5647" t="n">
        <v>46000</v>
      </c>
      <c r="N5647" t="n">
        <v>91</v>
      </c>
      <c r="O5647" t="n">
        <v>0.91</v>
      </c>
      <c r="P5647" t="n">
        <v>1</v>
      </c>
      <c r="Q5647" t="n">
        <v>0.39</v>
      </c>
      <c r="R5647" t="n">
        <v>4</v>
      </c>
      <c r="S5647" t="n">
        <v>10046.4</v>
      </c>
      <c r="T5647" t="n">
        <v>30</v>
      </c>
      <c r="U5647" t="n">
        <v>31</v>
      </c>
      <c r="V5647" t="n">
        <v>30</v>
      </c>
      <c r="W5647" t="n">
        <v>7</v>
      </c>
      <c r="X5647" t="n">
        <v>9.157509157509157</v>
      </c>
      <c r="Y5647" t="n">
        <v>1</v>
      </c>
      <c r="Z5647" t="n">
        <v>5</v>
      </c>
      <c r="AA5647" t="n">
        <v>1</v>
      </c>
      <c r="AB5647" t="n">
        <v>4</v>
      </c>
      <c r="AC5647" t="n">
        <v>4</v>
      </c>
      <c r="AD5647" t="n">
        <v>43273</v>
      </c>
      <c r="AE5647" t="n">
        <v>173092</v>
      </c>
      <c r="AF5647" t="n">
        <v>10198</v>
      </c>
      <c r="AG5647" t="n">
        <v>78</v>
      </c>
      <c r="AH5647" t="inlineStr">
        <is>
          <t>PT. GLORIENTA P.H - PPN (PDG)</t>
        </is>
      </c>
      <c r="AI5647" t="n">
        <v>1304</v>
      </c>
      <c r="AJ5647" t="inlineStr">
        <is>
          <t>THE ORIGINOTE</t>
        </is>
      </c>
      <c r="AK5647" t="n">
        <v>21</v>
      </c>
      <c r="AL5647" t="inlineStr">
        <is>
          <t>Miss Glam Damar</t>
        </is>
      </c>
      <c r="AM5647" t="n">
        <v>1</v>
      </c>
      <c r="AN5647" t="n">
        <v>500000</v>
      </c>
      <c r="AO5647" t="n">
        <v>0</v>
      </c>
      <c r="AP5647" t="inlineStr"/>
      <c r="AQ5647" t="inlineStr"/>
    </row>
    <row r="5648">
      <c r="A5648" t="inlineStr">
        <is>
          <t>THE ORIGINOTE</t>
        </is>
      </c>
      <c r="B5648" s="2">
        <f>"745604686068"</f>
        <v/>
      </c>
      <c r="C5648" t="inlineStr">
        <is>
          <t>THE ORIGINOTE Mugwort B3 Clay Stick 40gr</t>
        </is>
      </c>
      <c r="D5648" t="inlineStr">
        <is>
          <t>Miss Glam Damar</t>
        </is>
      </c>
      <c r="E5648" t="n">
        <v>41</v>
      </c>
      <c r="F5648" t="n">
        <v>1.9929</v>
      </c>
      <c r="G5648" t="n">
        <v>5.46</v>
      </c>
      <c r="H5648" t="n">
        <v>3</v>
      </c>
      <c r="I5648" t="n">
        <v>11</v>
      </c>
      <c r="J5648" t="n">
        <v>3</v>
      </c>
      <c r="K5648" t="n">
        <v>0</v>
      </c>
      <c r="L5648" t="n">
        <v>32300</v>
      </c>
      <c r="M5648" t="n">
        <v>36000</v>
      </c>
      <c r="N5648" t="n">
        <v>91</v>
      </c>
      <c r="O5648" t="n">
        <v>0.91</v>
      </c>
      <c r="P5648" t="n">
        <v>1</v>
      </c>
      <c r="Q5648" t="n">
        <v>1.14</v>
      </c>
      <c r="R5648" t="n">
        <v>3</v>
      </c>
      <c r="S5648" t="n">
        <v>71744.40000000001</v>
      </c>
      <c r="T5648" t="n">
        <v>55</v>
      </c>
      <c r="U5648" t="n">
        <v>61</v>
      </c>
      <c r="V5648" t="n">
        <v>30</v>
      </c>
      <c r="W5648" t="n">
        <v>60</v>
      </c>
      <c r="X5648" t="n">
        <v>20.57303427166441</v>
      </c>
      <c r="Y5648" t="n">
        <v>1</v>
      </c>
      <c r="Z5648" t="n">
        <v>19</v>
      </c>
      <c r="AA5648" t="n">
        <v>0</v>
      </c>
      <c r="AB5648" t="n">
        <v>19</v>
      </c>
      <c r="AC5648" t="n">
        <v>19</v>
      </c>
      <c r="AD5648" t="n">
        <v>0</v>
      </c>
      <c r="AE5648" t="n">
        <v>613700</v>
      </c>
      <c r="AF5648" t="n">
        <v>10198</v>
      </c>
      <c r="AG5648" t="n">
        <v>78</v>
      </c>
      <c r="AH5648" t="inlineStr">
        <is>
          <t>PT. GLORIENTA P.H - PPN (PDG)</t>
        </is>
      </c>
      <c r="AI5648" t="n">
        <v>1304</v>
      </c>
      <c r="AJ5648" t="inlineStr">
        <is>
          <t>THE ORIGINOTE</t>
        </is>
      </c>
      <c r="AK5648" t="n">
        <v>21</v>
      </c>
      <c r="AL5648" t="inlineStr">
        <is>
          <t>Miss Glam Damar</t>
        </is>
      </c>
      <c r="AM5648" t="n">
        <v>1</v>
      </c>
      <c r="AN5648" t="n">
        <v>500000</v>
      </c>
      <c r="AO5648" t="n">
        <v>0</v>
      </c>
      <c r="AP5648" t="inlineStr"/>
      <c r="AQ5648" t="inlineStr"/>
    </row>
    <row r="5649">
      <c r="A5649" t="inlineStr">
        <is>
          <t>THE ORIGINOTE</t>
        </is>
      </c>
      <c r="B5649" s="2">
        <f>"11200149144"</f>
        <v/>
      </c>
      <c r="C5649" t="inlineStr">
        <is>
          <t>THE ORIGINOTE Niacinamide 10% serum 20ml</t>
        </is>
      </c>
      <c r="D5649" t="inlineStr">
        <is>
          <t>Miss Glam Damar</t>
        </is>
      </c>
      <c r="E5649" t="n">
        <v>1</v>
      </c>
      <c r="F5649" t="n">
        <v>0.05</v>
      </c>
      <c r="G5649" t="n">
        <v>2</v>
      </c>
      <c r="H5649" t="n">
        <v>3</v>
      </c>
      <c r="I5649" t="n">
        <v>11</v>
      </c>
      <c r="J5649" t="n">
        <v>1</v>
      </c>
      <c r="K5649" t="n">
        <v>0</v>
      </c>
      <c r="L5649" t="n">
        <v>32300</v>
      </c>
      <c r="M5649" t="n">
        <v>38000</v>
      </c>
      <c r="N5649" t="n">
        <v>91</v>
      </c>
      <c r="O5649" t="n">
        <v>0.91</v>
      </c>
      <c r="P5649" t="n">
        <v>0</v>
      </c>
      <c r="Q5649" t="n">
        <v>0.05</v>
      </c>
      <c r="R5649" t="n">
        <v>2</v>
      </c>
      <c r="S5649" t="n">
        <v>1900</v>
      </c>
      <c r="T5649" t="n">
        <v>22</v>
      </c>
      <c r="U5649" t="n">
        <v>23</v>
      </c>
      <c r="V5649" t="n">
        <v>30</v>
      </c>
      <c r="W5649" t="n">
        <v>2</v>
      </c>
      <c r="X5649" t="n">
        <v>20</v>
      </c>
      <c r="Y5649" t="n">
        <v>1</v>
      </c>
      <c r="Z5649" t="n">
        <v>1</v>
      </c>
      <c r="AA5649" t="n">
        <v>0</v>
      </c>
      <c r="AB5649" t="n">
        <v>1</v>
      </c>
      <c r="AC5649" t="n">
        <v>1</v>
      </c>
      <c r="AD5649" t="n">
        <v>0</v>
      </c>
      <c r="AE5649" t="n">
        <v>32300</v>
      </c>
      <c r="AF5649" t="n">
        <v>10198</v>
      </c>
      <c r="AG5649" t="n">
        <v>78</v>
      </c>
      <c r="AH5649" t="inlineStr">
        <is>
          <t>PT. GLORIENTA P.H - PPN (PDG)</t>
        </is>
      </c>
      <c r="AI5649" t="n">
        <v>1304</v>
      </c>
      <c r="AJ5649" t="inlineStr">
        <is>
          <t>THE ORIGINOTE</t>
        </is>
      </c>
      <c r="AK5649" t="n">
        <v>21</v>
      </c>
      <c r="AL5649" t="inlineStr">
        <is>
          <t>Miss Glam Damar</t>
        </is>
      </c>
      <c r="AM5649" t="n">
        <v>1</v>
      </c>
      <c r="AN5649" t="n">
        <v>500000</v>
      </c>
      <c r="AO5649" t="n">
        <v>0</v>
      </c>
      <c r="AP5649" t="inlineStr"/>
      <c r="AQ5649" t="inlineStr"/>
    </row>
    <row r="5650">
      <c r="A5650" t="inlineStr">
        <is>
          <t>THE ORIGINOTE</t>
        </is>
      </c>
      <c r="B5650" s="2">
        <f>"725765154484"</f>
        <v/>
      </c>
      <c r="C5650" t="inlineStr">
        <is>
          <t>THE ORIGINOTE Rose B3 Brightening Jelly Mask 50gr</t>
        </is>
      </c>
      <c r="D5650" t="inlineStr">
        <is>
          <t>Miss Glam Damar</t>
        </is>
      </c>
      <c r="E5650" t="n">
        <v>6</v>
      </c>
      <c r="F5650" t="n">
        <v>0.0182</v>
      </c>
      <c r="G5650" t="n">
        <v>0.91</v>
      </c>
      <c r="H5650" t="n">
        <v>3</v>
      </c>
      <c r="I5650" t="n">
        <v>11</v>
      </c>
      <c r="J5650" t="n">
        <v>3</v>
      </c>
      <c r="K5650" t="n">
        <v>0</v>
      </c>
      <c r="L5650" t="n">
        <v>30600</v>
      </c>
      <c r="M5650" t="n">
        <v>36000</v>
      </c>
      <c r="N5650" t="n">
        <v>91</v>
      </c>
      <c r="O5650" t="n">
        <v>0.91</v>
      </c>
      <c r="P5650" t="n">
        <v>1</v>
      </c>
      <c r="Q5650" t="n">
        <v>0.03</v>
      </c>
      <c r="R5650" t="n">
        <v>1</v>
      </c>
      <c r="S5650" t="n">
        <v>655.2</v>
      </c>
      <c r="T5650" t="n">
        <v>10</v>
      </c>
      <c r="U5650" t="n">
        <v>11</v>
      </c>
      <c r="V5650" t="n">
        <v>30</v>
      </c>
      <c r="W5650" t="n">
        <v>1</v>
      </c>
      <c r="X5650" t="n">
        <v>329.6703296703296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10198</v>
      </c>
      <c r="AG5650" t="n">
        <v>78</v>
      </c>
      <c r="AH5650" t="inlineStr">
        <is>
          <t>PT. GLORIENTA P.H - PPN (PDG)</t>
        </is>
      </c>
      <c r="AI5650" t="n">
        <v>1304</v>
      </c>
      <c r="AJ5650" t="inlineStr">
        <is>
          <t>THE ORIGINOTE</t>
        </is>
      </c>
      <c r="AK5650" t="n">
        <v>21</v>
      </c>
      <c r="AL5650" t="inlineStr">
        <is>
          <t>Miss Glam Damar</t>
        </is>
      </c>
      <c r="AM5650" t="n">
        <v>1</v>
      </c>
      <c r="AN5650" t="n">
        <v>500000</v>
      </c>
      <c r="AO5650" t="n">
        <v>0</v>
      </c>
      <c r="AP5650" t="inlineStr"/>
      <c r="AQ5650" t="inlineStr"/>
    </row>
    <row r="5651">
      <c r="A5651" t="inlineStr">
        <is>
          <t>THE ORIGINOTE</t>
        </is>
      </c>
      <c r="B5651" s="2">
        <f>"10400206618"</f>
        <v/>
      </c>
      <c r="C5651" t="inlineStr">
        <is>
          <t>THE ORIGINOTE Spf 50 pa++ Ceracinamade Sunscreen Mist 120ml</t>
        </is>
      </c>
      <c r="D5651" t="inlineStr">
        <is>
          <t>Miss Glam Damar</t>
        </is>
      </c>
      <c r="E5651" t="n">
        <v>5</v>
      </c>
      <c r="F5651" t="n">
        <v>0.5733</v>
      </c>
      <c r="G5651" t="n">
        <v>3.64</v>
      </c>
      <c r="H5651" t="n">
        <v>3</v>
      </c>
      <c r="I5651" t="n">
        <v>11</v>
      </c>
      <c r="J5651" t="n">
        <v>1</v>
      </c>
      <c r="K5651" t="n">
        <v>0</v>
      </c>
      <c r="L5651" t="n">
        <v>49301</v>
      </c>
      <c r="M5651" t="n">
        <v>58000</v>
      </c>
      <c r="N5651" t="n">
        <v>91</v>
      </c>
      <c r="O5651" t="n">
        <v>0.91</v>
      </c>
      <c r="P5651" t="n">
        <v>1</v>
      </c>
      <c r="Q5651" t="n">
        <v>0.49</v>
      </c>
      <c r="R5651" t="n">
        <v>3</v>
      </c>
      <c r="S5651" t="n">
        <v>33251.4</v>
      </c>
      <c r="T5651" t="n">
        <v>39</v>
      </c>
      <c r="U5651" t="n">
        <v>41</v>
      </c>
      <c r="V5651" t="n">
        <v>30</v>
      </c>
      <c r="W5651" t="n">
        <v>18</v>
      </c>
      <c r="X5651" t="n">
        <v>8.721437292865863</v>
      </c>
      <c r="Y5651" t="n">
        <v>1</v>
      </c>
      <c r="Z5651" t="n">
        <v>13</v>
      </c>
      <c r="AA5651" t="n">
        <v>2</v>
      </c>
      <c r="AB5651" t="n">
        <v>11</v>
      </c>
      <c r="AC5651" t="n">
        <v>11</v>
      </c>
      <c r="AD5651" t="n">
        <v>98602</v>
      </c>
      <c r="AE5651" t="n">
        <v>542311</v>
      </c>
      <c r="AF5651" t="n">
        <v>10198</v>
      </c>
      <c r="AG5651" t="n">
        <v>78</v>
      </c>
      <c r="AH5651" t="inlineStr">
        <is>
          <t>PT. GLORIENTA P.H - PPN (PDG)</t>
        </is>
      </c>
      <c r="AI5651" t="n">
        <v>1304</v>
      </c>
      <c r="AJ5651" t="inlineStr">
        <is>
          <t>THE ORIGINOTE</t>
        </is>
      </c>
      <c r="AK5651" t="n">
        <v>21</v>
      </c>
      <c r="AL5651" t="inlineStr">
        <is>
          <t>Miss Glam Damar</t>
        </is>
      </c>
      <c r="AM5651" t="n">
        <v>1</v>
      </c>
      <c r="AN5651" t="n">
        <v>500000</v>
      </c>
      <c r="AO5651" t="n">
        <v>0</v>
      </c>
      <c r="AP5651" t="inlineStr"/>
      <c r="AQ5651" t="inlineStr"/>
    </row>
    <row r="5652">
      <c r="A5652" t="inlineStr">
        <is>
          <t>THE ORIGINOTE</t>
        </is>
      </c>
      <c r="B5652" s="2">
        <f>"745604685955"</f>
        <v/>
      </c>
      <c r="C5652" t="inlineStr">
        <is>
          <t>THE ORIGINOTE TXA 377 Dark Spot Serum 20ml</t>
        </is>
      </c>
      <c r="D5652" t="inlineStr">
        <is>
          <t>Miss Glam Damar</t>
        </is>
      </c>
      <c r="E5652" t="n">
        <v>5</v>
      </c>
      <c r="F5652" t="n">
        <v>0.2275</v>
      </c>
      <c r="G5652" t="n">
        <v>1.82</v>
      </c>
      <c r="H5652" t="n">
        <v>3</v>
      </c>
      <c r="I5652" t="n">
        <v>11</v>
      </c>
      <c r="J5652" t="n">
        <v>3</v>
      </c>
      <c r="K5652" t="n">
        <v>0</v>
      </c>
      <c r="L5652" t="n">
        <v>35700</v>
      </c>
      <c r="M5652" t="n">
        <v>41000</v>
      </c>
      <c r="N5652" t="n">
        <v>91</v>
      </c>
      <c r="O5652" t="n">
        <v>0.91</v>
      </c>
      <c r="P5652" t="n">
        <v>1</v>
      </c>
      <c r="Q5652" t="n">
        <v>0.14</v>
      </c>
      <c r="R5652" t="n">
        <v>2</v>
      </c>
      <c r="S5652" t="n">
        <v>9327.5</v>
      </c>
      <c r="T5652" t="n">
        <v>20</v>
      </c>
      <c r="U5652" t="n">
        <v>21</v>
      </c>
      <c r="V5652" t="n">
        <v>30</v>
      </c>
      <c r="W5652" t="n">
        <v>7</v>
      </c>
      <c r="X5652" t="n">
        <v>21.97802197802198</v>
      </c>
      <c r="Y5652" t="n">
        <v>1</v>
      </c>
      <c r="Z5652" t="n">
        <v>2</v>
      </c>
      <c r="AA5652" t="n">
        <v>0</v>
      </c>
      <c r="AB5652" t="n">
        <v>2</v>
      </c>
      <c r="AC5652" t="n">
        <v>3</v>
      </c>
      <c r="AD5652" t="n">
        <v>0</v>
      </c>
      <c r="AE5652" t="n">
        <v>107100</v>
      </c>
      <c r="AF5652" t="n">
        <v>10198</v>
      </c>
      <c r="AG5652" t="n">
        <v>78</v>
      </c>
      <c r="AH5652" t="inlineStr">
        <is>
          <t>PT. GLORIENTA P.H - PPN (PDG)</t>
        </is>
      </c>
      <c r="AI5652" t="n">
        <v>1304</v>
      </c>
      <c r="AJ5652" t="inlineStr">
        <is>
          <t>THE ORIGINOTE</t>
        </is>
      </c>
      <c r="AK5652" t="n">
        <v>21</v>
      </c>
      <c r="AL5652" t="inlineStr">
        <is>
          <t>Miss Glam Damar</t>
        </is>
      </c>
      <c r="AM5652" t="n">
        <v>1</v>
      </c>
      <c r="AN5652" t="n">
        <v>500000</v>
      </c>
      <c r="AO5652" t="n">
        <v>0</v>
      </c>
      <c r="AP5652" t="inlineStr"/>
      <c r="AQ5652" t="inlineStr"/>
    </row>
    <row r="5653">
      <c r="A5653" t="inlineStr">
        <is>
          <t>TIMEPHORIA</t>
        </is>
      </c>
      <c r="B5653" s="2">
        <f>"20101009821"</f>
        <v/>
      </c>
      <c r="C5653" t="inlineStr">
        <is>
          <t>TIMEPHORIA Eclipse Spark 2 in 1 Face Contur Lunar 7gr</t>
        </is>
      </c>
      <c r="D5653" t="inlineStr">
        <is>
          <t>Miss Glam Damar</t>
        </is>
      </c>
      <c r="E5653" t="n">
        <v>10</v>
      </c>
      <c r="F5653" t="n">
        <v>0.04550000000000001</v>
      </c>
      <c r="G5653" t="n">
        <v>0.91</v>
      </c>
      <c r="H5653" t="n">
        <v>2</v>
      </c>
      <c r="I5653" t="n">
        <v>9</v>
      </c>
      <c r="J5653" t="n">
        <v>1</v>
      </c>
      <c r="K5653" t="n">
        <v>0</v>
      </c>
      <c r="L5653" t="n">
        <v>119200</v>
      </c>
      <c r="M5653" t="n">
        <v>149000</v>
      </c>
      <c r="N5653" t="n">
        <v>91</v>
      </c>
      <c r="O5653" t="n">
        <v>0.91</v>
      </c>
      <c r="P5653" t="n">
        <v>1</v>
      </c>
      <c r="Q5653" t="n">
        <v>0.05</v>
      </c>
      <c r="R5653" t="n">
        <v>1</v>
      </c>
      <c r="S5653" t="n">
        <v>6779.500000000001</v>
      </c>
      <c r="T5653" t="n">
        <v>9</v>
      </c>
      <c r="U5653" t="n">
        <v>10</v>
      </c>
      <c r="V5653" t="n">
        <v>30</v>
      </c>
      <c r="W5653" t="n">
        <v>2</v>
      </c>
      <c r="X5653" t="n">
        <v>219.7802197802198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13369</v>
      </c>
      <c r="AG5653" t="n">
        <v>3495</v>
      </c>
      <c r="AH5653" t="inlineStr">
        <is>
          <t>PT. YAFINDO MITRA PERMATA (PDG)</t>
        </is>
      </c>
      <c r="AI5653" t="n">
        <v>2327</v>
      </c>
      <c r="AJ5653" t="inlineStr">
        <is>
          <t>TIMEPHORIA</t>
        </is>
      </c>
      <c r="AK5653" t="n">
        <v>21</v>
      </c>
      <c r="AL5653" t="inlineStr">
        <is>
          <t>Miss Glam Damar</t>
        </is>
      </c>
      <c r="AM5653" t="n">
        <v>1</v>
      </c>
      <c r="AN5653" t="n">
        <v>500000</v>
      </c>
      <c r="AO5653" t="n">
        <v>0</v>
      </c>
      <c r="AP5653" t="inlineStr"/>
      <c r="AQ5653" t="inlineStr"/>
    </row>
    <row r="5654">
      <c r="A5654" t="inlineStr">
        <is>
          <t>TIMEPHORIA</t>
        </is>
      </c>
      <c r="B5654" s="2">
        <f>"20101009730"</f>
        <v/>
      </c>
      <c r="C5654" t="inlineStr">
        <is>
          <t>TIMEPHORIA Eclipse Spark 2 in 1 Face Contur Umbra 7g</t>
        </is>
      </c>
      <c r="D5654" t="inlineStr">
        <is>
          <t>Miss Glam Damar</t>
        </is>
      </c>
      <c r="E5654" t="n">
        <v>2</v>
      </c>
      <c r="F5654" t="n">
        <v>0.04550000000000001</v>
      </c>
      <c r="G5654" t="n">
        <v>0.91</v>
      </c>
      <c r="H5654" t="n">
        <v>2</v>
      </c>
      <c r="I5654" t="n">
        <v>9</v>
      </c>
      <c r="J5654" t="n">
        <v>1</v>
      </c>
      <c r="K5654" t="n">
        <v>0</v>
      </c>
      <c r="L5654" t="n">
        <v>119200</v>
      </c>
      <c r="M5654" t="n">
        <v>149000</v>
      </c>
      <c r="N5654" t="n">
        <v>91</v>
      </c>
      <c r="O5654" t="n">
        <v>0.91</v>
      </c>
      <c r="P5654" t="n">
        <v>1</v>
      </c>
      <c r="Q5654" t="n">
        <v>0.08</v>
      </c>
      <c r="R5654" t="n">
        <v>1</v>
      </c>
      <c r="S5654" t="n">
        <v>6779.500000000001</v>
      </c>
      <c r="T5654" t="n">
        <v>9</v>
      </c>
      <c r="U5654" t="n">
        <v>10</v>
      </c>
      <c r="V5654" t="n">
        <v>30</v>
      </c>
      <c r="W5654" t="n">
        <v>2</v>
      </c>
      <c r="X5654" t="n">
        <v>43.95604395604395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13369</v>
      </c>
      <c r="AG5654" t="n">
        <v>3495</v>
      </c>
      <c r="AH5654" t="inlineStr">
        <is>
          <t>PT. YAFINDO MITRA PERMATA (PDG)</t>
        </is>
      </c>
      <c r="AI5654" t="n">
        <v>2327</v>
      </c>
      <c r="AJ5654" t="inlineStr">
        <is>
          <t>TIMEPHORIA</t>
        </is>
      </c>
      <c r="AK5654" t="n">
        <v>21</v>
      </c>
      <c r="AL5654" t="inlineStr">
        <is>
          <t>Miss Glam Damar</t>
        </is>
      </c>
      <c r="AM5654" t="n">
        <v>1</v>
      </c>
      <c r="AN5654" t="n">
        <v>500000</v>
      </c>
      <c r="AO5654" t="n">
        <v>0</v>
      </c>
      <c r="AP5654" t="inlineStr"/>
      <c r="AQ5654" t="inlineStr"/>
    </row>
    <row r="5655">
      <c r="A5655" t="inlineStr">
        <is>
          <t>TIMEPHORIA</t>
        </is>
      </c>
      <c r="B5655" s="2">
        <f>"203001106215"</f>
        <v/>
      </c>
      <c r="C5655" t="inlineStr">
        <is>
          <t>TIMEPHORIA Eternal  Lip Matte Twilight 4ml</t>
        </is>
      </c>
      <c r="D5655" t="inlineStr">
        <is>
          <t>Miss Glam Damar</t>
        </is>
      </c>
      <c r="E5655" t="n">
        <v>7</v>
      </c>
      <c r="F5655" t="n">
        <v>0.07000000000000001</v>
      </c>
      <c r="G5655" t="n">
        <v>1</v>
      </c>
      <c r="H5655" t="n">
        <v>2</v>
      </c>
      <c r="I5655" t="n">
        <v>9</v>
      </c>
      <c r="J5655" t="n">
        <v>1</v>
      </c>
      <c r="K5655" t="n">
        <v>0</v>
      </c>
      <c r="L5655" t="n">
        <v>95200</v>
      </c>
      <c r="M5655" t="n">
        <v>119000</v>
      </c>
      <c r="N5655" t="n">
        <v>91</v>
      </c>
      <c r="O5655" t="n">
        <v>0.91</v>
      </c>
      <c r="P5655" t="n">
        <v>0</v>
      </c>
      <c r="Q5655" t="n">
        <v>0.07000000000000001</v>
      </c>
      <c r="R5655" t="n">
        <v>1</v>
      </c>
      <c r="S5655" t="n">
        <v>8330</v>
      </c>
      <c r="T5655" t="n">
        <v>9</v>
      </c>
      <c r="U5655" t="n">
        <v>10</v>
      </c>
      <c r="V5655" t="n">
        <v>30</v>
      </c>
      <c r="W5655" t="n">
        <v>3</v>
      </c>
      <c r="X5655" t="n">
        <v>99.99999999999999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13369</v>
      </c>
      <c r="AG5655" t="n">
        <v>3495</v>
      </c>
      <c r="AH5655" t="inlineStr">
        <is>
          <t>PT. YAFINDO MITRA PERMATA (PDG)</t>
        </is>
      </c>
      <c r="AI5655" t="n">
        <v>2327</v>
      </c>
      <c r="AJ5655" t="inlineStr">
        <is>
          <t>TIMEPHORIA</t>
        </is>
      </c>
      <c r="AK5655" t="n">
        <v>21</v>
      </c>
      <c r="AL5655" t="inlineStr">
        <is>
          <t>Miss Glam Damar</t>
        </is>
      </c>
      <c r="AM5655" t="n">
        <v>1</v>
      </c>
      <c r="AN5655" t="n">
        <v>500000</v>
      </c>
      <c r="AO5655" t="n">
        <v>0</v>
      </c>
      <c r="AP5655" t="inlineStr"/>
      <c r="AQ5655" t="inlineStr"/>
    </row>
    <row r="5656">
      <c r="A5656" t="inlineStr">
        <is>
          <t>TIMEPHORIA</t>
        </is>
      </c>
      <c r="B5656" s="2">
        <f>"203001106129"</f>
        <v/>
      </c>
      <c r="C5656" t="inlineStr">
        <is>
          <t>TIMEPHORIA Eternal Lip Matte Oracle 4ml</t>
        </is>
      </c>
      <c r="D5656" t="inlineStr">
        <is>
          <t>Miss Glam Damar</t>
        </is>
      </c>
      <c r="E5656" t="n">
        <v>0</v>
      </c>
      <c r="F5656" t="n">
        <v>0.1183</v>
      </c>
      <c r="G5656" t="n">
        <v>0.91</v>
      </c>
      <c r="H5656" t="n">
        <v>2</v>
      </c>
      <c r="I5656" t="n">
        <v>9</v>
      </c>
      <c r="J5656" t="n">
        <v>1</v>
      </c>
      <c r="K5656" t="n">
        <v>0</v>
      </c>
      <c r="L5656" t="n">
        <v>95200</v>
      </c>
      <c r="M5656" t="n">
        <v>119000</v>
      </c>
      <c r="N5656" t="n">
        <v>91</v>
      </c>
      <c r="O5656" t="n">
        <v>0.91</v>
      </c>
      <c r="P5656" t="n">
        <v>1</v>
      </c>
      <c r="Q5656" t="n">
        <v>0.14</v>
      </c>
      <c r="R5656" t="n">
        <v>1</v>
      </c>
      <c r="S5656" t="n">
        <v>14077.7</v>
      </c>
      <c r="T5656" t="n">
        <v>8</v>
      </c>
      <c r="U5656" t="n">
        <v>9</v>
      </c>
      <c r="V5656" t="n">
        <v>30</v>
      </c>
      <c r="W5656" t="n">
        <v>4</v>
      </c>
      <c r="X5656" t="n">
        <v>0</v>
      </c>
      <c r="Y5656" t="n">
        <v>1</v>
      </c>
      <c r="Z5656" t="n">
        <v>4</v>
      </c>
      <c r="AA5656" t="n">
        <v>2</v>
      </c>
      <c r="AB5656" t="n">
        <v>2</v>
      </c>
      <c r="AC5656" t="n">
        <v>2</v>
      </c>
      <c r="AD5656" t="n">
        <v>190400</v>
      </c>
      <c r="AE5656" t="n">
        <v>190400</v>
      </c>
      <c r="AF5656" t="n">
        <v>13369</v>
      </c>
      <c r="AG5656" t="n">
        <v>3495</v>
      </c>
      <c r="AH5656" t="inlineStr">
        <is>
          <t>PT. YAFINDO MITRA PERMATA (PDG)</t>
        </is>
      </c>
      <c r="AI5656" t="n">
        <v>2327</v>
      </c>
      <c r="AJ5656" t="inlineStr">
        <is>
          <t>TIMEPHORIA</t>
        </is>
      </c>
      <c r="AK5656" t="n">
        <v>21</v>
      </c>
      <c r="AL5656" t="inlineStr">
        <is>
          <t>Miss Glam Damar</t>
        </is>
      </c>
      <c r="AM5656" t="n">
        <v>1</v>
      </c>
      <c r="AN5656" t="n">
        <v>500000</v>
      </c>
      <c r="AO5656" t="n">
        <v>0</v>
      </c>
      <c r="AP5656" t="inlineStr"/>
      <c r="AQ5656" t="inlineStr"/>
    </row>
    <row r="5657">
      <c r="A5657" t="inlineStr">
        <is>
          <t>TIMEPHORIA</t>
        </is>
      </c>
      <c r="B5657" s="2">
        <f>"203002188833"</f>
        <v/>
      </c>
      <c r="C5657" t="inlineStr">
        <is>
          <t>TIMEPHORIA Forever Lip Matte Arcane 4ml</t>
        </is>
      </c>
      <c r="D5657" t="inlineStr">
        <is>
          <t>Miss Glam Damar</t>
        </is>
      </c>
      <c r="E5657" t="n">
        <v>22</v>
      </c>
      <c r="F5657" t="n">
        <v>0.4459</v>
      </c>
      <c r="G5657" t="n">
        <v>1.82</v>
      </c>
      <c r="H5657" t="n">
        <v>2</v>
      </c>
      <c r="I5657" t="n">
        <v>9</v>
      </c>
      <c r="J5657" t="n">
        <v>1</v>
      </c>
      <c r="K5657" t="n">
        <v>0</v>
      </c>
      <c r="L5657" t="n">
        <v>79200</v>
      </c>
      <c r="M5657" t="n">
        <v>119000</v>
      </c>
      <c r="N5657" t="n">
        <v>91</v>
      </c>
      <c r="O5657" t="n">
        <v>0.91</v>
      </c>
      <c r="P5657" t="n">
        <v>1</v>
      </c>
      <c r="Q5657" t="n">
        <v>0.5600000000000001</v>
      </c>
      <c r="R5657" t="n">
        <v>3</v>
      </c>
      <c r="S5657" t="n">
        <v>53062.10000000001</v>
      </c>
      <c r="T5657" t="n">
        <v>16</v>
      </c>
      <c r="U5657" t="n">
        <v>17</v>
      </c>
      <c r="V5657" t="n">
        <v>30</v>
      </c>
      <c r="W5657" t="n">
        <v>14</v>
      </c>
      <c r="X5657" t="n">
        <v>49.33841668535546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13369</v>
      </c>
      <c r="AG5657" t="n">
        <v>3495</v>
      </c>
      <c r="AH5657" t="inlineStr">
        <is>
          <t>PT. YAFINDO MITRA PERMATA (PDG)</t>
        </is>
      </c>
      <c r="AI5657" t="n">
        <v>2327</v>
      </c>
      <c r="AJ5657" t="inlineStr">
        <is>
          <t>TIMEPHORIA</t>
        </is>
      </c>
      <c r="AK5657" t="n">
        <v>21</v>
      </c>
      <c r="AL5657" t="inlineStr">
        <is>
          <t>Miss Glam Damar</t>
        </is>
      </c>
      <c r="AM5657" t="n">
        <v>1</v>
      </c>
      <c r="AN5657" t="n">
        <v>500000</v>
      </c>
      <c r="AO5657" t="n">
        <v>0</v>
      </c>
      <c r="AP5657" t="inlineStr"/>
      <c r="AQ5657" t="inlineStr"/>
    </row>
    <row r="5658">
      <c r="A5658" t="inlineStr">
        <is>
          <t>TIMEPHORIA</t>
        </is>
      </c>
      <c r="B5658" s="2">
        <f>"203002188719"</f>
        <v/>
      </c>
      <c r="C5658" t="inlineStr">
        <is>
          <t>TIMEPHORIA Forever Lip Matte Charm 4ml</t>
        </is>
      </c>
      <c r="D5658" t="inlineStr">
        <is>
          <t>Miss Glam Damar</t>
        </is>
      </c>
      <c r="E5658" t="n">
        <v>24</v>
      </c>
      <c r="F5658" t="n">
        <v>0.6188</v>
      </c>
      <c r="G5658" t="n">
        <v>6.37</v>
      </c>
      <c r="H5658" t="n">
        <v>2</v>
      </c>
      <c r="I5658" t="n">
        <v>9</v>
      </c>
      <c r="J5658" t="n">
        <v>1</v>
      </c>
      <c r="K5658" t="n">
        <v>0</v>
      </c>
      <c r="L5658" t="n">
        <v>79200</v>
      </c>
      <c r="M5658" t="n">
        <v>119000</v>
      </c>
      <c r="N5658" t="n">
        <v>91</v>
      </c>
      <c r="O5658" t="n">
        <v>0.91</v>
      </c>
      <c r="P5658" t="n">
        <v>1</v>
      </c>
      <c r="Q5658" t="n">
        <v>0.61</v>
      </c>
      <c r="R5658" t="n">
        <v>4</v>
      </c>
      <c r="S5658" t="n">
        <v>73637.2</v>
      </c>
      <c r="T5658" t="n">
        <v>57</v>
      </c>
      <c r="U5658" t="n">
        <v>59</v>
      </c>
      <c r="V5658" t="n">
        <v>30</v>
      </c>
      <c r="W5658" t="n">
        <v>19</v>
      </c>
      <c r="X5658" t="n">
        <v>38.78474466709761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13369</v>
      </c>
      <c r="AG5658" t="n">
        <v>3495</v>
      </c>
      <c r="AH5658" t="inlineStr">
        <is>
          <t>PT. YAFINDO MITRA PERMATA (PDG)</t>
        </is>
      </c>
      <c r="AI5658" t="n">
        <v>2327</v>
      </c>
      <c r="AJ5658" t="inlineStr">
        <is>
          <t>TIMEPHORIA</t>
        </is>
      </c>
      <c r="AK5658" t="n">
        <v>21</v>
      </c>
      <c r="AL5658" t="inlineStr">
        <is>
          <t>Miss Glam Damar</t>
        </is>
      </c>
      <c r="AM5658" t="n">
        <v>1</v>
      </c>
      <c r="AN5658" t="n">
        <v>500000</v>
      </c>
      <c r="AO5658" t="n">
        <v>0</v>
      </c>
      <c r="AP5658" t="inlineStr"/>
      <c r="AQ5658" t="inlineStr"/>
    </row>
    <row r="5659">
      <c r="A5659" t="inlineStr">
        <is>
          <t>TIMEPHORIA</t>
        </is>
      </c>
      <c r="B5659" s="2">
        <f>"203002188951"</f>
        <v/>
      </c>
      <c r="C5659" t="inlineStr">
        <is>
          <t>TIMEPHORIA Forever Lip Matte Hex 4ml</t>
        </is>
      </c>
      <c r="D5659" t="inlineStr">
        <is>
          <t>Miss Glam Damar</t>
        </is>
      </c>
      <c r="E5659" t="n">
        <v>1</v>
      </c>
      <c r="F5659" t="n">
        <v>0.182</v>
      </c>
      <c r="G5659" t="n">
        <v>2.73</v>
      </c>
      <c r="H5659" t="n">
        <v>2</v>
      </c>
      <c r="I5659" t="n">
        <v>9</v>
      </c>
      <c r="J5659" t="n">
        <v>1</v>
      </c>
      <c r="K5659" t="n">
        <v>0</v>
      </c>
      <c r="L5659" t="n">
        <v>79200</v>
      </c>
      <c r="M5659" t="n">
        <v>119000</v>
      </c>
      <c r="N5659" t="n">
        <v>91</v>
      </c>
      <c r="O5659" t="n">
        <v>0.91</v>
      </c>
      <c r="P5659" t="n">
        <v>1</v>
      </c>
      <c r="Q5659" t="n">
        <v>0.22</v>
      </c>
      <c r="R5659" t="n">
        <v>2</v>
      </c>
      <c r="S5659" t="n">
        <v>21658</v>
      </c>
      <c r="T5659" t="n">
        <v>25</v>
      </c>
      <c r="U5659" t="n">
        <v>26</v>
      </c>
      <c r="V5659" t="n">
        <v>30</v>
      </c>
      <c r="W5659" t="n">
        <v>6</v>
      </c>
      <c r="X5659" t="n">
        <v>5.494505494505494</v>
      </c>
      <c r="Y5659" t="n">
        <v>1</v>
      </c>
      <c r="Z5659" t="n">
        <v>5</v>
      </c>
      <c r="AA5659" t="n">
        <v>1</v>
      </c>
      <c r="AB5659" t="n">
        <v>4</v>
      </c>
      <c r="AC5659" t="n">
        <v>4</v>
      </c>
      <c r="AD5659" t="n">
        <v>79200</v>
      </c>
      <c r="AE5659" t="n">
        <v>316800</v>
      </c>
      <c r="AF5659" t="n">
        <v>13369</v>
      </c>
      <c r="AG5659" t="n">
        <v>3495</v>
      </c>
      <c r="AH5659" t="inlineStr">
        <is>
          <t>PT. YAFINDO MITRA PERMATA (PDG)</t>
        </is>
      </c>
      <c r="AI5659" t="n">
        <v>2327</v>
      </c>
      <c r="AJ5659" t="inlineStr">
        <is>
          <t>TIMEPHORIA</t>
        </is>
      </c>
      <c r="AK5659" t="n">
        <v>21</v>
      </c>
      <c r="AL5659" t="inlineStr">
        <is>
          <t>Miss Glam Damar</t>
        </is>
      </c>
      <c r="AM5659" t="n">
        <v>1</v>
      </c>
      <c r="AN5659" t="n">
        <v>500000</v>
      </c>
      <c r="AO5659" t="n">
        <v>0</v>
      </c>
      <c r="AP5659" t="inlineStr"/>
      <c r="AQ5659" t="inlineStr"/>
    </row>
    <row r="5660">
      <c r="A5660" t="inlineStr">
        <is>
          <t>TIMEPHORIA</t>
        </is>
      </c>
      <c r="B5660" s="2">
        <f>"203002188507"</f>
        <v/>
      </c>
      <c r="C5660" t="inlineStr">
        <is>
          <t>TIMEPHORIA Forever Lip Matte Hocus 4ml</t>
        </is>
      </c>
      <c r="D5660" t="inlineStr">
        <is>
          <t>Miss Glam Damar</t>
        </is>
      </c>
      <c r="E5660" t="n">
        <v>4</v>
      </c>
      <c r="F5660" t="n">
        <v>0.1365</v>
      </c>
      <c r="G5660" t="n">
        <v>0.91</v>
      </c>
      <c r="H5660" t="n">
        <v>2</v>
      </c>
      <c r="I5660" t="n">
        <v>9</v>
      </c>
      <c r="J5660" t="n">
        <v>1</v>
      </c>
      <c r="K5660" t="n">
        <v>0</v>
      </c>
      <c r="L5660" t="n">
        <v>79200</v>
      </c>
      <c r="M5660" t="n">
        <v>119000</v>
      </c>
      <c r="N5660" t="n">
        <v>91</v>
      </c>
      <c r="O5660" t="n">
        <v>0.91</v>
      </c>
      <c r="P5660" t="n">
        <v>1</v>
      </c>
      <c r="Q5660" t="n">
        <v>0.17</v>
      </c>
      <c r="R5660" t="n">
        <v>3</v>
      </c>
      <c r="S5660" t="n">
        <v>16243.5</v>
      </c>
      <c r="T5660" t="n">
        <v>8</v>
      </c>
      <c r="U5660" t="n">
        <v>9</v>
      </c>
      <c r="V5660" t="n">
        <v>30</v>
      </c>
      <c r="W5660" t="n">
        <v>5</v>
      </c>
      <c r="X5660" t="n">
        <v>29.3040293040293</v>
      </c>
      <c r="Y5660" t="n">
        <v>1</v>
      </c>
      <c r="Z5660" t="n">
        <v>1</v>
      </c>
      <c r="AA5660" t="n">
        <v>0</v>
      </c>
      <c r="AB5660" t="n">
        <v>1</v>
      </c>
      <c r="AC5660" t="n">
        <v>1</v>
      </c>
      <c r="AD5660" t="n">
        <v>0</v>
      </c>
      <c r="AE5660" t="n">
        <v>79200</v>
      </c>
      <c r="AF5660" t="n">
        <v>13369</v>
      </c>
      <c r="AG5660" t="n">
        <v>3495</v>
      </c>
      <c r="AH5660" t="inlineStr">
        <is>
          <t>PT. YAFINDO MITRA PERMATA (PDG)</t>
        </is>
      </c>
      <c r="AI5660" t="n">
        <v>2327</v>
      </c>
      <c r="AJ5660" t="inlineStr">
        <is>
          <t>TIMEPHORIA</t>
        </is>
      </c>
      <c r="AK5660" t="n">
        <v>21</v>
      </c>
      <c r="AL5660" t="inlineStr">
        <is>
          <t>Miss Glam Damar</t>
        </is>
      </c>
      <c r="AM5660" t="n">
        <v>1</v>
      </c>
      <c r="AN5660" t="n">
        <v>500000</v>
      </c>
      <c r="AO5660" t="n">
        <v>0</v>
      </c>
      <c r="AP5660" t="inlineStr"/>
      <c r="AQ5660" t="inlineStr"/>
    </row>
    <row r="5661">
      <c r="A5661" t="inlineStr">
        <is>
          <t>TIMEPHORIA</t>
        </is>
      </c>
      <c r="B5661" s="2">
        <f>"203002189056"</f>
        <v/>
      </c>
      <c r="C5661" t="inlineStr">
        <is>
          <t>TIMEPHORIA Forever Lip Matte Illusion 4ml</t>
        </is>
      </c>
      <c r="D5661" t="inlineStr">
        <is>
          <t>Miss Glam Damar</t>
        </is>
      </c>
      <c r="E5661" t="n">
        <v>5</v>
      </c>
      <c r="F5661" t="n">
        <v>0.1729</v>
      </c>
      <c r="G5661" t="n">
        <v>1.82</v>
      </c>
      <c r="H5661" t="n">
        <v>2</v>
      </c>
      <c r="I5661" t="n">
        <v>9</v>
      </c>
      <c r="J5661" t="n">
        <v>1</v>
      </c>
      <c r="K5661" t="n">
        <v>0</v>
      </c>
      <c r="L5661" t="n">
        <v>79200</v>
      </c>
      <c r="M5661" t="n">
        <v>119000</v>
      </c>
      <c r="N5661" t="n">
        <v>91</v>
      </c>
      <c r="O5661" t="n">
        <v>0.91</v>
      </c>
      <c r="P5661" t="n">
        <v>1</v>
      </c>
      <c r="Q5661" t="n">
        <v>0.15</v>
      </c>
      <c r="R5661" t="n">
        <v>2</v>
      </c>
      <c r="S5661" t="n">
        <v>20575.1</v>
      </c>
      <c r="T5661" t="n">
        <v>17</v>
      </c>
      <c r="U5661" t="n">
        <v>18</v>
      </c>
      <c r="V5661" t="n">
        <v>30</v>
      </c>
      <c r="W5661" t="n">
        <v>6</v>
      </c>
      <c r="X5661" t="n">
        <v>28.91844997108155</v>
      </c>
      <c r="Y5661" t="n">
        <v>1</v>
      </c>
      <c r="Z5661" t="n">
        <v>1</v>
      </c>
      <c r="AA5661" t="n">
        <v>0</v>
      </c>
      <c r="AB5661" t="n">
        <v>1</v>
      </c>
      <c r="AC5661" t="n">
        <v>1</v>
      </c>
      <c r="AD5661" t="n">
        <v>0</v>
      </c>
      <c r="AE5661" t="n">
        <v>79200</v>
      </c>
      <c r="AF5661" t="n">
        <v>13369</v>
      </c>
      <c r="AG5661" t="n">
        <v>3495</v>
      </c>
      <c r="AH5661" t="inlineStr">
        <is>
          <t>PT. YAFINDO MITRA PERMATA (PDG)</t>
        </is>
      </c>
      <c r="AI5661" t="n">
        <v>2327</v>
      </c>
      <c r="AJ5661" t="inlineStr">
        <is>
          <t>TIMEPHORIA</t>
        </is>
      </c>
      <c r="AK5661" t="n">
        <v>21</v>
      </c>
      <c r="AL5661" t="inlineStr">
        <is>
          <t>Miss Glam Damar</t>
        </is>
      </c>
      <c r="AM5661" t="n">
        <v>1</v>
      </c>
      <c r="AN5661" t="n">
        <v>500000</v>
      </c>
      <c r="AO5661" t="n">
        <v>0</v>
      </c>
      <c r="AP5661" t="inlineStr"/>
      <c r="AQ5661" t="inlineStr"/>
    </row>
    <row r="5662">
      <c r="A5662" t="inlineStr">
        <is>
          <t>TIMEPHORIA</t>
        </is>
      </c>
      <c r="B5662" s="2">
        <f>"203002189352"</f>
        <v/>
      </c>
      <c r="C5662" t="inlineStr">
        <is>
          <t>TIMEPHORIA Forever Lip Matte Love Spell 4ml</t>
        </is>
      </c>
      <c r="D5662" t="inlineStr">
        <is>
          <t>Miss Glam Damar</t>
        </is>
      </c>
      <c r="E5662" t="n">
        <v>3</v>
      </c>
      <c r="F5662" t="n">
        <v>0.1547</v>
      </c>
      <c r="G5662" t="n">
        <v>1.82</v>
      </c>
      <c r="H5662" t="n">
        <v>2</v>
      </c>
      <c r="I5662" t="n">
        <v>9</v>
      </c>
      <c r="J5662" t="n">
        <v>1</v>
      </c>
      <c r="K5662" t="n">
        <v>0</v>
      </c>
      <c r="L5662" t="n">
        <v>95200</v>
      </c>
      <c r="M5662" t="n">
        <v>119000</v>
      </c>
      <c r="N5662" t="n">
        <v>91</v>
      </c>
      <c r="O5662" t="n">
        <v>0.91</v>
      </c>
      <c r="P5662" t="n">
        <v>1</v>
      </c>
      <c r="Q5662" t="n">
        <v>0.08</v>
      </c>
      <c r="R5662" t="n">
        <v>1</v>
      </c>
      <c r="S5662" t="n">
        <v>18409.3</v>
      </c>
      <c r="T5662" t="n">
        <v>17</v>
      </c>
      <c r="U5662" t="n">
        <v>18</v>
      </c>
      <c r="V5662" t="n">
        <v>30</v>
      </c>
      <c r="W5662" t="n">
        <v>5</v>
      </c>
      <c r="X5662" t="n">
        <v>19.3923723335488</v>
      </c>
      <c r="Y5662" t="n">
        <v>1</v>
      </c>
      <c r="Z5662" t="n">
        <v>2</v>
      </c>
      <c r="AA5662" t="n">
        <v>0</v>
      </c>
      <c r="AB5662" t="n">
        <v>2</v>
      </c>
      <c r="AC5662" t="n">
        <v>2</v>
      </c>
      <c r="AD5662" t="n">
        <v>0</v>
      </c>
      <c r="AE5662" t="n">
        <v>190400</v>
      </c>
      <c r="AF5662" t="n">
        <v>13369</v>
      </c>
      <c r="AG5662" t="n">
        <v>3495</v>
      </c>
      <c r="AH5662" t="inlineStr">
        <is>
          <t>PT. YAFINDO MITRA PERMATA (PDG)</t>
        </is>
      </c>
      <c r="AI5662" t="n">
        <v>2327</v>
      </c>
      <c r="AJ5662" t="inlineStr">
        <is>
          <t>TIMEPHORIA</t>
        </is>
      </c>
      <c r="AK5662" t="n">
        <v>21</v>
      </c>
      <c r="AL5662" t="inlineStr">
        <is>
          <t>Miss Glam Damar</t>
        </is>
      </c>
      <c r="AM5662" t="n">
        <v>1</v>
      </c>
      <c r="AN5662" t="n">
        <v>500000</v>
      </c>
      <c r="AO5662" t="n">
        <v>0</v>
      </c>
      <c r="AP5662" t="inlineStr"/>
      <c r="AQ5662" t="inlineStr"/>
    </row>
    <row r="5663">
      <c r="A5663" t="inlineStr">
        <is>
          <t>TIMEPHORIA</t>
        </is>
      </c>
      <c r="B5663" s="2">
        <f>"203002189210"</f>
        <v/>
      </c>
      <c r="C5663" t="inlineStr">
        <is>
          <t>TIMEPHORIA Forever Lip Matte Pocus 4ml</t>
        </is>
      </c>
      <c r="D5663" t="inlineStr">
        <is>
          <t>Miss Glam Damar</t>
        </is>
      </c>
      <c r="E5663" t="n">
        <v>4</v>
      </c>
      <c r="F5663" t="n">
        <v>0.2002</v>
      </c>
      <c r="G5663" t="n">
        <v>2.73</v>
      </c>
      <c r="H5663" t="n">
        <v>2</v>
      </c>
      <c r="I5663" t="n">
        <v>9</v>
      </c>
      <c r="J5663" t="n">
        <v>1</v>
      </c>
      <c r="K5663" t="n">
        <v>0</v>
      </c>
      <c r="L5663" t="n">
        <v>79200</v>
      </c>
      <c r="M5663" t="n">
        <v>119000</v>
      </c>
      <c r="N5663" t="n">
        <v>91</v>
      </c>
      <c r="O5663" t="n">
        <v>0.91</v>
      </c>
      <c r="P5663" t="n">
        <v>1</v>
      </c>
      <c r="Q5663" t="n">
        <v>0.17</v>
      </c>
      <c r="R5663" t="n">
        <v>4</v>
      </c>
      <c r="S5663" t="n">
        <v>23823.8</v>
      </c>
      <c r="T5663" t="n">
        <v>25</v>
      </c>
      <c r="U5663" t="n">
        <v>26</v>
      </c>
      <c r="V5663" t="n">
        <v>30</v>
      </c>
      <c r="W5663" t="n">
        <v>7</v>
      </c>
      <c r="X5663" t="n">
        <v>19.98001998001998</v>
      </c>
      <c r="Y5663" t="n">
        <v>1</v>
      </c>
      <c r="Z5663" t="n">
        <v>3</v>
      </c>
      <c r="AA5663" t="n">
        <v>0</v>
      </c>
      <c r="AB5663" t="n">
        <v>3</v>
      </c>
      <c r="AC5663" t="n">
        <v>3</v>
      </c>
      <c r="AD5663" t="n">
        <v>0</v>
      </c>
      <c r="AE5663" t="n">
        <v>237600</v>
      </c>
      <c r="AF5663" t="n">
        <v>13369</v>
      </c>
      <c r="AG5663" t="n">
        <v>3495</v>
      </c>
      <c r="AH5663" t="inlineStr">
        <is>
          <t>PT. YAFINDO MITRA PERMATA (PDG)</t>
        </is>
      </c>
      <c r="AI5663" t="n">
        <v>2327</v>
      </c>
      <c r="AJ5663" t="inlineStr">
        <is>
          <t>TIMEPHORIA</t>
        </is>
      </c>
      <c r="AK5663" t="n">
        <v>21</v>
      </c>
      <c r="AL5663" t="inlineStr">
        <is>
          <t>Miss Glam Damar</t>
        </is>
      </c>
      <c r="AM5663" t="n">
        <v>1</v>
      </c>
      <c r="AN5663" t="n">
        <v>500000</v>
      </c>
      <c r="AO5663" t="n">
        <v>0</v>
      </c>
      <c r="AP5663" t="inlineStr"/>
      <c r="AQ5663" t="inlineStr"/>
    </row>
    <row r="5664">
      <c r="A5664" t="inlineStr">
        <is>
          <t>TIMEPHORIA</t>
        </is>
      </c>
      <c r="B5664" s="2">
        <f>"203002188615"</f>
        <v/>
      </c>
      <c r="C5664" t="inlineStr">
        <is>
          <t>TIMEPHORIA Forever Lip Matte Ritual 4ml</t>
        </is>
      </c>
      <c r="D5664" t="inlineStr">
        <is>
          <t>Miss Glam Damar</t>
        </is>
      </c>
      <c r="E5664" t="n">
        <v>5</v>
      </c>
      <c r="F5664" t="n">
        <v>0.2275</v>
      </c>
      <c r="G5664" t="n">
        <v>1.82</v>
      </c>
      <c r="H5664" t="n">
        <v>2</v>
      </c>
      <c r="I5664" t="n">
        <v>9</v>
      </c>
      <c r="J5664" t="n">
        <v>1</v>
      </c>
      <c r="K5664" t="n">
        <v>0</v>
      </c>
      <c r="L5664" t="n">
        <v>79200</v>
      </c>
      <c r="M5664" t="n">
        <v>119000</v>
      </c>
      <c r="N5664" t="n">
        <v>91</v>
      </c>
      <c r="O5664" t="n">
        <v>0.91</v>
      </c>
      <c r="P5664" t="n">
        <v>1</v>
      </c>
      <c r="Q5664" t="n">
        <v>0.22</v>
      </c>
      <c r="R5664" t="n">
        <v>3</v>
      </c>
      <c r="S5664" t="n">
        <v>27072.5</v>
      </c>
      <c r="T5664" t="n">
        <v>16</v>
      </c>
      <c r="U5664" t="n">
        <v>17</v>
      </c>
      <c r="V5664" t="n">
        <v>30</v>
      </c>
      <c r="W5664" t="n">
        <v>7</v>
      </c>
      <c r="X5664" t="n">
        <v>21.97802197802198</v>
      </c>
      <c r="Y5664" t="n">
        <v>1</v>
      </c>
      <c r="Z5664" t="n">
        <v>2</v>
      </c>
      <c r="AA5664" t="n">
        <v>0</v>
      </c>
      <c r="AB5664" t="n">
        <v>2</v>
      </c>
      <c r="AC5664" t="n">
        <v>2</v>
      </c>
      <c r="AD5664" t="n">
        <v>0</v>
      </c>
      <c r="AE5664" t="n">
        <v>158400</v>
      </c>
      <c r="AF5664" t="n">
        <v>13369</v>
      </c>
      <c r="AG5664" t="n">
        <v>3495</v>
      </c>
      <c r="AH5664" t="inlineStr">
        <is>
          <t>PT. YAFINDO MITRA PERMATA (PDG)</t>
        </is>
      </c>
      <c r="AI5664" t="n">
        <v>2327</v>
      </c>
      <c r="AJ5664" t="inlineStr">
        <is>
          <t>TIMEPHORIA</t>
        </is>
      </c>
      <c r="AK5664" t="n">
        <v>21</v>
      </c>
      <c r="AL5664" t="inlineStr">
        <is>
          <t>Miss Glam Damar</t>
        </is>
      </c>
      <c r="AM5664" t="n">
        <v>1</v>
      </c>
      <c r="AN5664" t="n">
        <v>500000</v>
      </c>
      <c r="AO5664" t="n">
        <v>0</v>
      </c>
      <c r="AP5664" t="inlineStr"/>
      <c r="AQ5664" t="inlineStr"/>
    </row>
    <row r="5665">
      <c r="A5665" t="inlineStr">
        <is>
          <t>TIMEPHORIA</t>
        </is>
      </c>
      <c r="B5665" s="2">
        <f>"203002189104"</f>
        <v/>
      </c>
      <c r="C5665" t="inlineStr">
        <is>
          <t>TIMEPHORIA Forever Lip Matte Sun N Moon 4ml</t>
        </is>
      </c>
      <c r="D5665" t="inlineStr">
        <is>
          <t>Miss Glam Damar</t>
        </is>
      </c>
      <c r="E5665" t="n">
        <v>4</v>
      </c>
      <c r="F5665" t="n">
        <v>0.1274</v>
      </c>
      <c r="G5665" t="n">
        <v>1.82</v>
      </c>
      <c r="H5665" t="n">
        <v>2</v>
      </c>
      <c r="I5665" t="n">
        <v>9</v>
      </c>
      <c r="J5665" t="n">
        <v>1</v>
      </c>
      <c r="K5665" t="n">
        <v>0</v>
      </c>
      <c r="L5665" t="n">
        <v>79200</v>
      </c>
      <c r="M5665" t="n">
        <v>119000</v>
      </c>
      <c r="N5665" t="n">
        <v>91</v>
      </c>
      <c r="O5665" t="n">
        <v>0.91</v>
      </c>
      <c r="P5665" t="n">
        <v>1</v>
      </c>
      <c r="Q5665" t="n">
        <v>0.53</v>
      </c>
      <c r="R5665" t="n">
        <v>3</v>
      </c>
      <c r="S5665" t="n">
        <v>15160.6</v>
      </c>
      <c r="T5665" t="n">
        <v>17</v>
      </c>
      <c r="U5665" t="n">
        <v>18</v>
      </c>
      <c r="V5665" t="n">
        <v>30</v>
      </c>
      <c r="W5665" t="n">
        <v>4</v>
      </c>
      <c r="X5665" t="n">
        <v>31.39717425431711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13369</v>
      </c>
      <c r="AG5665" t="n">
        <v>3495</v>
      </c>
      <c r="AH5665" t="inlineStr">
        <is>
          <t>PT. YAFINDO MITRA PERMATA (PDG)</t>
        </is>
      </c>
      <c r="AI5665" t="n">
        <v>2327</v>
      </c>
      <c r="AJ5665" t="inlineStr">
        <is>
          <t>TIMEPHORIA</t>
        </is>
      </c>
      <c r="AK5665" t="n">
        <v>21</v>
      </c>
      <c r="AL5665" t="inlineStr">
        <is>
          <t>Miss Glam Damar</t>
        </is>
      </c>
      <c r="AM5665" t="n">
        <v>1</v>
      </c>
      <c r="AN5665" t="n">
        <v>500000</v>
      </c>
      <c r="AO5665" t="n">
        <v>0</v>
      </c>
      <c r="AP5665" t="inlineStr"/>
      <c r="AQ5665" t="inlineStr"/>
    </row>
    <row r="5666">
      <c r="A5666" t="inlineStr">
        <is>
          <t>TIMEPHORIA</t>
        </is>
      </c>
      <c r="B5666" s="2">
        <f>"203002188440"</f>
        <v/>
      </c>
      <c r="C5666" t="inlineStr">
        <is>
          <t>TIMEPHORIA Forever Lip Matte Trick 4ml</t>
        </is>
      </c>
      <c r="D5666" t="inlineStr">
        <is>
          <t>Miss Glam Damar</t>
        </is>
      </c>
      <c r="E5666" t="n">
        <v>4</v>
      </c>
      <c r="F5666" t="n">
        <v>0.2639</v>
      </c>
      <c r="G5666" t="n">
        <v>2.73</v>
      </c>
      <c r="H5666" t="n">
        <v>2</v>
      </c>
      <c r="I5666" t="n">
        <v>9</v>
      </c>
      <c r="J5666" t="n">
        <v>1</v>
      </c>
      <c r="K5666" t="n">
        <v>0</v>
      </c>
      <c r="L5666" t="n">
        <v>79200</v>
      </c>
      <c r="M5666" t="n">
        <v>119000</v>
      </c>
      <c r="N5666" t="n">
        <v>91</v>
      </c>
      <c r="O5666" t="n">
        <v>0.91</v>
      </c>
      <c r="P5666" t="n">
        <v>1</v>
      </c>
      <c r="Q5666" t="n">
        <v>0.22</v>
      </c>
      <c r="R5666" t="n">
        <v>1</v>
      </c>
      <c r="S5666" t="n">
        <v>31404.09999999999</v>
      </c>
      <c r="T5666" t="n">
        <v>25</v>
      </c>
      <c r="U5666" t="n">
        <v>26</v>
      </c>
      <c r="V5666" t="n">
        <v>30</v>
      </c>
      <c r="W5666" t="n">
        <v>8</v>
      </c>
      <c r="X5666" t="n">
        <v>15.15725653656688</v>
      </c>
      <c r="Y5666" t="n">
        <v>1</v>
      </c>
      <c r="Z5666" t="n">
        <v>4</v>
      </c>
      <c r="AA5666" t="n">
        <v>0</v>
      </c>
      <c r="AB5666" t="n">
        <v>4</v>
      </c>
      <c r="AC5666" t="n">
        <v>4</v>
      </c>
      <c r="AD5666" t="n">
        <v>0</v>
      </c>
      <c r="AE5666" t="n">
        <v>316800</v>
      </c>
      <c r="AF5666" t="n">
        <v>13369</v>
      </c>
      <c r="AG5666" t="n">
        <v>3495</v>
      </c>
      <c r="AH5666" t="inlineStr">
        <is>
          <t>PT. YAFINDO MITRA PERMATA (PDG)</t>
        </is>
      </c>
      <c r="AI5666" t="n">
        <v>2327</v>
      </c>
      <c r="AJ5666" t="inlineStr">
        <is>
          <t>TIMEPHORIA</t>
        </is>
      </c>
      <c r="AK5666" t="n">
        <v>21</v>
      </c>
      <c r="AL5666" t="inlineStr">
        <is>
          <t>Miss Glam Damar</t>
        </is>
      </c>
      <c r="AM5666" t="n">
        <v>1</v>
      </c>
      <c r="AN5666" t="n">
        <v>500000</v>
      </c>
      <c r="AO5666" t="n">
        <v>0</v>
      </c>
      <c r="AP5666" t="inlineStr"/>
      <c r="AQ5666" t="inlineStr"/>
    </row>
    <row r="5667">
      <c r="A5667" t="inlineStr">
        <is>
          <t>TIMEPHORIA</t>
        </is>
      </c>
      <c r="B5667" s="2">
        <f>"20200470549"</f>
        <v/>
      </c>
      <c r="C5667" t="inlineStr">
        <is>
          <t>TIMEPHORIA Genesis Superstay Eyebrow Pencil 03 Wood 0.2gr</t>
        </is>
      </c>
      <c r="D5667" t="inlineStr">
        <is>
          <t>Miss Glam Damar</t>
        </is>
      </c>
      <c r="E5667" t="n">
        <v>4</v>
      </c>
      <c r="F5667" t="n">
        <v>0.04550000000000001</v>
      </c>
      <c r="G5667" t="n">
        <v>1.82</v>
      </c>
      <c r="H5667" t="n">
        <v>2</v>
      </c>
      <c r="I5667" t="n">
        <v>9</v>
      </c>
      <c r="J5667" t="n">
        <v>1</v>
      </c>
      <c r="K5667" t="n">
        <v>0</v>
      </c>
      <c r="L5667" t="n">
        <v>63200</v>
      </c>
      <c r="M5667" t="n">
        <v>79000</v>
      </c>
      <c r="N5667" t="n">
        <v>91</v>
      </c>
      <c r="O5667" t="n">
        <v>0.91</v>
      </c>
      <c r="P5667" t="n">
        <v>1</v>
      </c>
      <c r="Q5667" t="n">
        <v>0.03</v>
      </c>
      <c r="R5667" t="n">
        <v>1</v>
      </c>
      <c r="S5667" t="n">
        <v>3594.5</v>
      </c>
      <c r="T5667" t="n">
        <v>17</v>
      </c>
      <c r="U5667" t="n">
        <v>18</v>
      </c>
      <c r="V5667" t="n">
        <v>30</v>
      </c>
      <c r="W5667" t="n">
        <v>2</v>
      </c>
      <c r="X5667" t="n">
        <v>87.9120879120879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13369</v>
      </c>
      <c r="AG5667" t="n">
        <v>3495</v>
      </c>
      <c r="AH5667" t="inlineStr">
        <is>
          <t>PT. YAFINDO MITRA PERMATA (PDG)</t>
        </is>
      </c>
      <c r="AI5667" t="n">
        <v>2327</v>
      </c>
      <c r="AJ5667" t="inlineStr">
        <is>
          <t>TIMEPHORIA</t>
        </is>
      </c>
      <c r="AK5667" t="n">
        <v>21</v>
      </c>
      <c r="AL5667" t="inlineStr">
        <is>
          <t>Miss Glam Damar</t>
        </is>
      </c>
      <c r="AM5667" t="n">
        <v>1</v>
      </c>
      <c r="AN5667" t="n">
        <v>500000</v>
      </c>
      <c r="AO5667" t="n">
        <v>0</v>
      </c>
      <c r="AP5667" t="inlineStr"/>
      <c r="AQ5667" t="inlineStr"/>
    </row>
    <row r="5668">
      <c r="A5668" t="inlineStr">
        <is>
          <t>TIMEPHORIA</t>
        </is>
      </c>
      <c r="B5668" s="2">
        <f>"20200470315"</f>
        <v/>
      </c>
      <c r="C5668" t="inlineStr">
        <is>
          <t>TIMEPHORIA Genesis Superstay Eyebrow Pencil 04 Stone 0.2gr</t>
        </is>
      </c>
      <c r="D5668" t="inlineStr">
        <is>
          <t>Miss Glam Damar</t>
        </is>
      </c>
      <c r="E5668" t="n">
        <v>4</v>
      </c>
      <c r="F5668" t="n">
        <v>0.0273</v>
      </c>
      <c r="G5668" t="n">
        <v>0.91</v>
      </c>
      <c r="H5668" t="n">
        <v>2</v>
      </c>
      <c r="I5668" t="n">
        <v>9</v>
      </c>
      <c r="J5668" t="n">
        <v>1</v>
      </c>
      <c r="K5668" t="n">
        <v>0</v>
      </c>
      <c r="L5668" t="n">
        <v>63200</v>
      </c>
      <c r="M5668" t="n">
        <v>79000</v>
      </c>
      <c r="N5668" t="n">
        <v>91</v>
      </c>
      <c r="O5668" t="n">
        <v>0.91</v>
      </c>
      <c r="P5668" t="n">
        <v>1</v>
      </c>
      <c r="Q5668" t="n">
        <v>0.03</v>
      </c>
      <c r="R5668" t="n">
        <v>1</v>
      </c>
      <c r="S5668" t="n">
        <v>2156.7</v>
      </c>
      <c r="T5668" t="n">
        <v>9</v>
      </c>
      <c r="U5668" t="n">
        <v>10</v>
      </c>
      <c r="V5668" t="n">
        <v>30</v>
      </c>
      <c r="W5668" t="n">
        <v>1</v>
      </c>
      <c r="X5668" t="n">
        <v>146.5201465201465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13369</v>
      </c>
      <c r="AG5668" t="n">
        <v>3495</v>
      </c>
      <c r="AH5668" t="inlineStr">
        <is>
          <t>PT. YAFINDO MITRA PERMATA (PDG)</t>
        </is>
      </c>
      <c r="AI5668" t="n">
        <v>2327</v>
      </c>
      <c r="AJ5668" t="inlineStr">
        <is>
          <t>TIMEPHORIA</t>
        </is>
      </c>
      <c r="AK5668" t="n">
        <v>21</v>
      </c>
      <c r="AL5668" t="inlineStr">
        <is>
          <t>Miss Glam Damar</t>
        </is>
      </c>
      <c r="AM5668" t="n">
        <v>1</v>
      </c>
      <c r="AN5668" t="n">
        <v>500000</v>
      </c>
      <c r="AO5668" t="n">
        <v>0</v>
      </c>
      <c r="AP5668" t="inlineStr"/>
      <c r="AQ5668" t="inlineStr"/>
    </row>
    <row r="5669">
      <c r="A5669" t="inlineStr">
        <is>
          <t>TIMEPHORIA</t>
        </is>
      </c>
      <c r="B5669" s="2">
        <f>"20300450804"</f>
        <v/>
      </c>
      <c r="C5669" t="inlineStr">
        <is>
          <t>TIMEPHORIA Luna Frost 3D LIP GLOSS 002 Celesta 4ml</t>
        </is>
      </c>
      <c r="D5669" t="inlineStr">
        <is>
          <t>Miss Glam Damar</t>
        </is>
      </c>
      <c r="E5669" t="n">
        <v>9</v>
      </c>
      <c r="F5669" t="n">
        <v>0.3731</v>
      </c>
      <c r="G5669" t="n">
        <v>4.55</v>
      </c>
      <c r="H5669" t="n">
        <v>2</v>
      </c>
      <c r="I5669" t="n">
        <v>9</v>
      </c>
      <c r="J5669" t="n">
        <v>1</v>
      </c>
      <c r="K5669" t="n">
        <v>0</v>
      </c>
      <c r="L5669" t="n">
        <v>79200</v>
      </c>
      <c r="M5669" t="n">
        <v>99000</v>
      </c>
      <c r="N5669" t="n">
        <v>91</v>
      </c>
      <c r="O5669" t="n">
        <v>0.91</v>
      </c>
      <c r="P5669" t="n">
        <v>1</v>
      </c>
      <c r="Q5669" t="n">
        <v>0.36</v>
      </c>
      <c r="R5669" t="n">
        <v>4</v>
      </c>
      <c r="S5669" t="n">
        <v>36936.9</v>
      </c>
      <c r="T5669" t="n">
        <v>41</v>
      </c>
      <c r="U5669" t="n">
        <v>42</v>
      </c>
      <c r="V5669" t="n">
        <v>30</v>
      </c>
      <c r="W5669" t="n">
        <v>12</v>
      </c>
      <c r="X5669" t="n">
        <v>24.12221924417046</v>
      </c>
      <c r="Y5669" t="n">
        <v>1</v>
      </c>
      <c r="Z5669" t="n">
        <v>3</v>
      </c>
      <c r="AA5669" t="n">
        <v>0</v>
      </c>
      <c r="AB5669" t="n">
        <v>3</v>
      </c>
      <c r="AC5669" t="n">
        <v>3</v>
      </c>
      <c r="AD5669" t="n">
        <v>0</v>
      </c>
      <c r="AE5669" t="n">
        <v>237600</v>
      </c>
      <c r="AF5669" t="n">
        <v>13369</v>
      </c>
      <c r="AG5669" t="n">
        <v>3495</v>
      </c>
      <c r="AH5669" t="inlineStr">
        <is>
          <t>PT. YAFINDO MITRA PERMATA (PDG)</t>
        </is>
      </c>
      <c r="AI5669" t="n">
        <v>2327</v>
      </c>
      <c r="AJ5669" t="inlineStr">
        <is>
          <t>TIMEPHORIA</t>
        </is>
      </c>
      <c r="AK5669" t="n">
        <v>21</v>
      </c>
      <c r="AL5669" t="inlineStr">
        <is>
          <t>Miss Glam Damar</t>
        </is>
      </c>
      <c r="AM5669" t="n">
        <v>1</v>
      </c>
      <c r="AN5669" t="n">
        <v>500000</v>
      </c>
      <c r="AO5669" t="n">
        <v>0</v>
      </c>
      <c r="AP5669" t="inlineStr"/>
      <c r="AQ5669" t="inlineStr"/>
    </row>
    <row r="5670">
      <c r="A5670" t="inlineStr">
        <is>
          <t>TIMEPHORIA</t>
        </is>
      </c>
      <c r="B5670" s="2">
        <f>"20300450933"</f>
        <v/>
      </c>
      <c r="C5670" t="inlineStr">
        <is>
          <t>TIMEPHORIA Luna Frost 3D LIP GLOSS 004 Mauvilia 4ml</t>
        </is>
      </c>
      <c r="D5670" t="inlineStr">
        <is>
          <t>Miss Glam Damar</t>
        </is>
      </c>
      <c r="E5670" t="n">
        <v>7</v>
      </c>
      <c r="F5670" t="n">
        <v>0.04550000000000001</v>
      </c>
      <c r="G5670" t="n">
        <v>1.82</v>
      </c>
      <c r="H5670" t="n">
        <v>2</v>
      </c>
      <c r="I5670" t="n">
        <v>9</v>
      </c>
      <c r="J5670" t="n">
        <v>1</v>
      </c>
      <c r="K5670" t="n">
        <v>0</v>
      </c>
      <c r="L5670" t="n">
        <v>79200</v>
      </c>
      <c r="M5670" t="n">
        <v>99000</v>
      </c>
      <c r="N5670" t="n">
        <v>91</v>
      </c>
      <c r="O5670" t="n">
        <v>0.91</v>
      </c>
      <c r="P5670" t="n">
        <v>1</v>
      </c>
      <c r="Q5670" t="n">
        <v>0.14</v>
      </c>
      <c r="R5670" t="n">
        <v>2</v>
      </c>
      <c r="S5670" t="n">
        <v>4504.500000000001</v>
      </c>
      <c r="T5670" t="n">
        <v>17</v>
      </c>
      <c r="U5670" t="n">
        <v>18</v>
      </c>
      <c r="V5670" t="n">
        <v>30</v>
      </c>
      <c r="W5670" t="n">
        <v>2</v>
      </c>
      <c r="X5670" t="n">
        <v>153.8461538461538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13369</v>
      </c>
      <c r="AG5670" t="n">
        <v>3495</v>
      </c>
      <c r="AH5670" t="inlineStr">
        <is>
          <t>PT. YAFINDO MITRA PERMATA (PDG)</t>
        </is>
      </c>
      <c r="AI5670" t="n">
        <v>2327</v>
      </c>
      <c r="AJ5670" t="inlineStr">
        <is>
          <t>TIMEPHORIA</t>
        </is>
      </c>
      <c r="AK5670" t="n">
        <v>21</v>
      </c>
      <c r="AL5670" t="inlineStr">
        <is>
          <t>Miss Glam Damar</t>
        </is>
      </c>
      <c r="AM5670" t="n">
        <v>1</v>
      </c>
      <c r="AN5670" t="n">
        <v>500000</v>
      </c>
      <c r="AO5670" t="n">
        <v>0</v>
      </c>
      <c r="AP5670" t="inlineStr"/>
      <c r="AQ5670" t="inlineStr"/>
    </row>
    <row r="5671">
      <c r="A5671" t="inlineStr">
        <is>
          <t>TIMEPHORIA</t>
        </is>
      </c>
      <c r="B5671" s="2">
        <f>"20300450722"</f>
        <v/>
      </c>
      <c r="C5671" t="inlineStr">
        <is>
          <t>TIMEPHORIA Luna Frost 3D LIP GLOSS 012 Dunara 4ml</t>
        </is>
      </c>
      <c r="D5671" t="inlineStr">
        <is>
          <t>Miss Glam Damar</t>
        </is>
      </c>
      <c r="E5671" t="n">
        <v>1</v>
      </c>
      <c r="F5671" t="n">
        <v>0.06370000000000001</v>
      </c>
      <c r="G5671" t="n">
        <v>0.91</v>
      </c>
      <c r="H5671" t="n">
        <v>2</v>
      </c>
      <c r="I5671" t="n">
        <v>9</v>
      </c>
      <c r="J5671" t="n">
        <v>1</v>
      </c>
      <c r="K5671" t="n">
        <v>0</v>
      </c>
      <c r="L5671" t="n">
        <v>79200</v>
      </c>
      <c r="M5671" t="n">
        <v>99000</v>
      </c>
      <c r="N5671" t="n">
        <v>91</v>
      </c>
      <c r="O5671" t="n">
        <v>0.91</v>
      </c>
      <c r="P5671" t="n">
        <v>1</v>
      </c>
      <c r="Q5671" t="n">
        <v>0.19</v>
      </c>
      <c r="R5671" t="n">
        <v>3</v>
      </c>
      <c r="S5671" t="n">
        <v>6306.300000000001</v>
      </c>
      <c r="T5671" t="n">
        <v>9</v>
      </c>
      <c r="U5671" t="n">
        <v>10</v>
      </c>
      <c r="V5671" t="n">
        <v>30</v>
      </c>
      <c r="W5671" t="n">
        <v>2</v>
      </c>
      <c r="X5671" t="n">
        <v>15.69858712715855</v>
      </c>
      <c r="Y5671" t="n">
        <v>1</v>
      </c>
      <c r="Z5671" t="n">
        <v>1</v>
      </c>
      <c r="AA5671" t="n">
        <v>0</v>
      </c>
      <c r="AB5671" t="n">
        <v>1</v>
      </c>
      <c r="AC5671" t="n">
        <v>1</v>
      </c>
      <c r="AD5671" t="n">
        <v>0</v>
      </c>
      <c r="AE5671" t="n">
        <v>79200</v>
      </c>
      <c r="AF5671" t="n">
        <v>13369</v>
      </c>
      <c r="AG5671" t="n">
        <v>3495</v>
      </c>
      <c r="AH5671" t="inlineStr">
        <is>
          <t>PT. YAFINDO MITRA PERMATA (PDG)</t>
        </is>
      </c>
      <c r="AI5671" t="n">
        <v>2327</v>
      </c>
      <c r="AJ5671" t="inlineStr">
        <is>
          <t>TIMEPHORIA</t>
        </is>
      </c>
      <c r="AK5671" t="n">
        <v>21</v>
      </c>
      <c r="AL5671" t="inlineStr">
        <is>
          <t>Miss Glam Damar</t>
        </is>
      </c>
      <c r="AM5671" t="n">
        <v>1</v>
      </c>
      <c r="AN5671" t="n">
        <v>500000</v>
      </c>
      <c r="AO5671" t="n">
        <v>0</v>
      </c>
      <c r="AP5671" t="inlineStr"/>
      <c r="AQ5671" t="inlineStr"/>
    </row>
    <row r="5672">
      <c r="A5672" t="inlineStr">
        <is>
          <t>TIMEPHORIA</t>
        </is>
      </c>
      <c r="B5672" s="2">
        <f>"203002189531"</f>
        <v/>
      </c>
      <c r="C5672" t="inlineStr">
        <is>
          <t>TIMEPHORIA Nebula Velvet Lip Cream Allura 4ml</t>
        </is>
      </c>
      <c r="D5672" t="inlineStr">
        <is>
          <t>Miss Glam Damar</t>
        </is>
      </c>
      <c r="E5672" t="n">
        <v>1</v>
      </c>
      <c r="F5672" t="n">
        <v>0.03</v>
      </c>
      <c r="G5672" t="n">
        <v>1</v>
      </c>
      <c r="H5672" t="n">
        <v>2</v>
      </c>
      <c r="I5672" t="n">
        <v>9</v>
      </c>
      <c r="J5672" t="n">
        <v>1</v>
      </c>
      <c r="K5672" t="n">
        <v>0</v>
      </c>
      <c r="L5672" t="n">
        <v>95200</v>
      </c>
      <c r="M5672" t="n">
        <v>119000</v>
      </c>
      <c r="N5672" t="n">
        <v>91</v>
      </c>
      <c r="O5672" t="n">
        <v>0.91</v>
      </c>
      <c r="P5672" t="n">
        <v>0</v>
      </c>
      <c r="Q5672" t="n">
        <v>0.03</v>
      </c>
      <c r="R5672" t="n">
        <v>1</v>
      </c>
      <c r="S5672" t="n">
        <v>3570</v>
      </c>
      <c r="T5672" t="n">
        <v>9</v>
      </c>
      <c r="U5672" t="n">
        <v>10</v>
      </c>
      <c r="V5672" t="n">
        <v>30</v>
      </c>
      <c r="W5672" t="n">
        <v>1</v>
      </c>
      <c r="X5672" t="n">
        <v>33.33333333333334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13369</v>
      </c>
      <c r="AG5672" t="n">
        <v>3495</v>
      </c>
      <c r="AH5672" t="inlineStr">
        <is>
          <t>PT. YAFINDO MITRA PERMATA (PDG)</t>
        </is>
      </c>
      <c r="AI5672" t="n">
        <v>2327</v>
      </c>
      <c r="AJ5672" t="inlineStr">
        <is>
          <t>TIMEPHORIA</t>
        </is>
      </c>
      <c r="AK5672" t="n">
        <v>21</v>
      </c>
      <c r="AL5672" t="inlineStr">
        <is>
          <t>Miss Glam Damar</t>
        </is>
      </c>
      <c r="AM5672" t="n">
        <v>1</v>
      </c>
      <c r="AN5672" t="n">
        <v>500000</v>
      </c>
      <c r="AO5672" t="n">
        <v>0</v>
      </c>
      <c r="AP5672" t="inlineStr"/>
      <c r="AQ5672" t="inlineStr"/>
    </row>
    <row r="5673">
      <c r="A5673" t="inlineStr">
        <is>
          <t>TIMEPHORIA</t>
        </is>
      </c>
      <c r="B5673" s="2">
        <f>"203002187931"</f>
        <v/>
      </c>
      <c r="C5673" t="inlineStr">
        <is>
          <t>TIMEPHORIA Nebula Velvet Lip Cream Aurora 4ml</t>
        </is>
      </c>
      <c r="D5673" t="inlineStr">
        <is>
          <t>Miss Glam Damar</t>
        </is>
      </c>
      <c r="E5673" t="n">
        <v>5</v>
      </c>
      <c r="F5673" t="n">
        <v>0.1547</v>
      </c>
      <c r="G5673" t="n">
        <v>0.91</v>
      </c>
      <c r="H5673" t="n">
        <v>2</v>
      </c>
      <c r="I5673" t="n">
        <v>9</v>
      </c>
      <c r="J5673" t="n">
        <v>1</v>
      </c>
      <c r="K5673" t="n">
        <v>0</v>
      </c>
      <c r="L5673" t="n">
        <v>95200</v>
      </c>
      <c r="M5673" t="n">
        <v>119000</v>
      </c>
      <c r="N5673" t="n">
        <v>91</v>
      </c>
      <c r="O5673" t="n">
        <v>0.91</v>
      </c>
      <c r="P5673" t="n">
        <v>1</v>
      </c>
      <c r="Q5673" t="n">
        <v>0.17</v>
      </c>
      <c r="R5673" t="n">
        <v>2</v>
      </c>
      <c r="S5673" t="n">
        <v>18409.3</v>
      </c>
      <c r="T5673" t="n">
        <v>8</v>
      </c>
      <c r="U5673" t="n">
        <v>9</v>
      </c>
      <c r="V5673" t="n">
        <v>30</v>
      </c>
      <c r="W5673" t="n">
        <v>5</v>
      </c>
      <c r="X5673" t="n">
        <v>32.32062055591467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13369</v>
      </c>
      <c r="AG5673" t="n">
        <v>3495</v>
      </c>
      <c r="AH5673" t="inlineStr">
        <is>
          <t>PT. YAFINDO MITRA PERMATA (PDG)</t>
        </is>
      </c>
      <c r="AI5673" t="n">
        <v>2327</v>
      </c>
      <c r="AJ5673" t="inlineStr">
        <is>
          <t>TIMEPHORIA</t>
        </is>
      </c>
      <c r="AK5673" t="n">
        <v>21</v>
      </c>
      <c r="AL5673" t="inlineStr">
        <is>
          <t>Miss Glam Damar</t>
        </is>
      </c>
      <c r="AM5673" t="n">
        <v>1</v>
      </c>
      <c r="AN5673" t="n">
        <v>500000</v>
      </c>
      <c r="AO5673" t="n">
        <v>0</v>
      </c>
      <c r="AP5673" t="inlineStr"/>
      <c r="AQ5673" t="inlineStr"/>
    </row>
    <row r="5674">
      <c r="A5674" t="inlineStr">
        <is>
          <t>TIMEPHORIA</t>
        </is>
      </c>
      <c r="B5674" s="2">
        <f>"203002189807"</f>
        <v/>
      </c>
      <c r="C5674" t="inlineStr">
        <is>
          <t>TIMEPHORIA Nebula Velvet Lip Cream Bellatrix 4ml</t>
        </is>
      </c>
      <c r="D5674" t="inlineStr">
        <is>
          <t>Miss Glam Damar</t>
        </is>
      </c>
      <c r="E5674" t="n">
        <v>0</v>
      </c>
      <c r="F5674" t="n">
        <v>0.1729</v>
      </c>
      <c r="G5674" t="n">
        <v>1.82</v>
      </c>
      <c r="H5674" t="n">
        <v>2</v>
      </c>
      <c r="I5674" t="n">
        <v>9</v>
      </c>
      <c r="J5674" t="n">
        <v>1</v>
      </c>
      <c r="K5674" t="n">
        <v>0</v>
      </c>
      <c r="L5674" t="n">
        <v>95199</v>
      </c>
      <c r="M5674" t="n">
        <v>119000</v>
      </c>
      <c r="N5674" t="n">
        <v>91</v>
      </c>
      <c r="O5674" t="n">
        <v>0.91</v>
      </c>
      <c r="P5674" t="n">
        <v>1</v>
      </c>
      <c r="Q5674" t="n">
        <v>0.28</v>
      </c>
      <c r="R5674" t="n">
        <v>2</v>
      </c>
      <c r="S5674" t="n">
        <v>20575.1</v>
      </c>
      <c r="T5674" t="n">
        <v>17</v>
      </c>
      <c r="U5674" t="n">
        <v>18</v>
      </c>
      <c r="V5674" t="n">
        <v>30</v>
      </c>
      <c r="W5674" t="n">
        <v>6</v>
      </c>
      <c r="X5674" t="n">
        <v>0</v>
      </c>
      <c r="Y5674" t="n">
        <v>1</v>
      </c>
      <c r="Z5674" t="n">
        <v>6</v>
      </c>
      <c r="AA5674" t="n">
        <v>2</v>
      </c>
      <c r="AB5674" t="n">
        <v>4</v>
      </c>
      <c r="AC5674" t="n">
        <v>4</v>
      </c>
      <c r="AD5674" t="n">
        <v>190398</v>
      </c>
      <c r="AE5674" t="n">
        <v>380796</v>
      </c>
      <c r="AF5674" t="n">
        <v>13369</v>
      </c>
      <c r="AG5674" t="n">
        <v>3495</v>
      </c>
      <c r="AH5674" t="inlineStr">
        <is>
          <t>PT. YAFINDO MITRA PERMATA (PDG)</t>
        </is>
      </c>
      <c r="AI5674" t="n">
        <v>2327</v>
      </c>
      <c r="AJ5674" t="inlineStr">
        <is>
          <t>TIMEPHORIA</t>
        </is>
      </c>
      <c r="AK5674" t="n">
        <v>21</v>
      </c>
      <c r="AL5674" t="inlineStr">
        <is>
          <t>Miss Glam Damar</t>
        </is>
      </c>
      <c r="AM5674" t="n">
        <v>1</v>
      </c>
      <c r="AN5674" t="n">
        <v>500000</v>
      </c>
      <c r="AO5674" t="n">
        <v>0</v>
      </c>
      <c r="AP5674" t="inlineStr"/>
      <c r="AQ5674" t="inlineStr"/>
    </row>
    <row r="5675">
      <c r="A5675" t="inlineStr">
        <is>
          <t>TIMEPHORIA</t>
        </is>
      </c>
      <c r="B5675" s="2">
        <f>"203002191813"</f>
        <v/>
      </c>
      <c r="C5675" t="inlineStr">
        <is>
          <t>TIMEPHORIA Nebula Velvet Lip Cream Cordelia 01 4ml</t>
        </is>
      </c>
      <c r="D5675" t="inlineStr">
        <is>
          <t>Miss Glam Damar</t>
        </is>
      </c>
      <c r="E5675" t="n">
        <v>6</v>
      </c>
      <c r="F5675" t="n">
        <v>0.3276</v>
      </c>
      <c r="G5675" t="n">
        <v>2.73</v>
      </c>
      <c r="H5675" t="n">
        <v>2</v>
      </c>
      <c r="I5675" t="n">
        <v>9</v>
      </c>
      <c r="J5675" t="n">
        <v>1</v>
      </c>
      <c r="K5675" t="n">
        <v>0</v>
      </c>
      <c r="L5675" t="n">
        <v>95200</v>
      </c>
      <c r="M5675" t="n">
        <v>119000</v>
      </c>
      <c r="N5675" t="n">
        <v>91</v>
      </c>
      <c r="O5675" t="n">
        <v>0.91</v>
      </c>
      <c r="P5675" t="n">
        <v>1</v>
      </c>
      <c r="Q5675" t="n">
        <v>0.39</v>
      </c>
      <c r="R5675" t="n">
        <v>3</v>
      </c>
      <c r="S5675" t="n">
        <v>38984.4</v>
      </c>
      <c r="T5675" t="n">
        <v>24</v>
      </c>
      <c r="U5675" t="n">
        <v>25</v>
      </c>
      <c r="V5675" t="n">
        <v>30</v>
      </c>
      <c r="W5675" t="n">
        <v>10</v>
      </c>
      <c r="X5675" t="n">
        <v>18.31501831501831</v>
      </c>
      <c r="Y5675" t="n">
        <v>1</v>
      </c>
      <c r="Z5675" t="n">
        <v>4</v>
      </c>
      <c r="AA5675" t="n">
        <v>0</v>
      </c>
      <c r="AB5675" t="n">
        <v>4</v>
      </c>
      <c r="AC5675" t="n">
        <v>4</v>
      </c>
      <c r="AD5675" t="n">
        <v>0</v>
      </c>
      <c r="AE5675" t="n">
        <v>380800</v>
      </c>
      <c r="AF5675" t="n">
        <v>13369</v>
      </c>
      <c r="AG5675" t="n">
        <v>3495</v>
      </c>
      <c r="AH5675" t="inlineStr">
        <is>
          <t>PT. YAFINDO MITRA PERMATA (PDG)</t>
        </is>
      </c>
      <c r="AI5675" t="n">
        <v>2327</v>
      </c>
      <c r="AJ5675" t="inlineStr">
        <is>
          <t>TIMEPHORIA</t>
        </is>
      </c>
      <c r="AK5675" t="n">
        <v>21</v>
      </c>
      <c r="AL5675" t="inlineStr">
        <is>
          <t>Miss Glam Damar</t>
        </is>
      </c>
      <c r="AM5675" t="n">
        <v>1</v>
      </c>
      <c r="AN5675" t="n">
        <v>500000</v>
      </c>
      <c r="AO5675" t="n">
        <v>0</v>
      </c>
      <c r="AP5675" t="inlineStr"/>
      <c r="AQ5675" t="inlineStr"/>
    </row>
    <row r="5676">
      <c r="A5676" t="inlineStr">
        <is>
          <t>TIMEPHORIA</t>
        </is>
      </c>
      <c r="B5676" s="2">
        <f>"203002189432"</f>
        <v/>
      </c>
      <c r="C5676" t="inlineStr">
        <is>
          <t>TIMEPHORIA Nebula Velvet Lip Cream Elara 4ml</t>
        </is>
      </c>
      <c r="D5676" t="inlineStr">
        <is>
          <t>Miss Glam Damar</t>
        </is>
      </c>
      <c r="E5676" t="n">
        <v>9</v>
      </c>
      <c r="F5676" t="n">
        <v>0.3549</v>
      </c>
      <c r="G5676" t="n">
        <v>2.73</v>
      </c>
      <c r="H5676" t="n">
        <v>2</v>
      </c>
      <c r="I5676" t="n">
        <v>9</v>
      </c>
      <c r="J5676" t="n">
        <v>1</v>
      </c>
      <c r="K5676" t="n">
        <v>0</v>
      </c>
      <c r="L5676" t="n">
        <v>95200</v>
      </c>
      <c r="M5676" t="n">
        <v>119000</v>
      </c>
      <c r="N5676" t="n">
        <v>91</v>
      </c>
      <c r="O5676" t="n">
        <v>0.91</v>
      </c>
      <c r="P5676" t="n">
        <v>1</v>
      </c>
      <c r="Q5676" t="n">
        <v>0.34</v>
      </c>
      <c r="R5676" t="n">
        <v>2</v>
      </c>
      <c r="S5676" t="n">
        <v>42233.10000000001</v>
      </c>
      <c r="T5676" t="n">
        <v>24</v>
      </c>
      <c r="U5676" t="n">
        <v>25</v>
      </c>
      <c r="V5676" t="n">
        <v>30</v>
      </c>
      <c r="W5676" t="n">
        <v>11</v>
      </c>
      <c r="X5676" t="n">
        <v>25.35925612848689</v>
      </c>
      <c r="Y5676" t="n">
        <v>1</v>
      </c>
      <c r="Z5676" t="n">
        <v>2</v>
      </c>
      <c r="AA5676" t="n">
        <v>0</v>
      </c>
      <c r="AB5676" t="n">
        <v>2</v>
      </c>
      <c r="AC5676" t="n">
        <v>2</v>
      </c>
      <c r="AD5676" t="n">
        <v>0</v>
      </c>
      <c r="AE5676" t="n">
        <v>190400</v>
      </c>
      <c r="AF5676" t="n">
        <v>13369</v>
      </c>
      <c r="AG5676" t="n">
        <v>3495</v>
      </c>
      <c r="AH5676" t="inlineStr">
        <is>
          <t>PT. YAFINDO MITRA PERMATA (PDG)</t>
        </is>
      </c>
      <c r="AI5676" t="n">
        <v>2327</v>
      </c>
      <c r="AJ5676" t="inlineStr">
        <is>
          <t>TIMEPHORIA</t>
        </is>
      </c>
      <c r="AK5676" t="n">
        <v>21</v>
      </c>
      <c r="AL5676" t="inlineStr">
        <is>
          <t>Miss Glam Damar</t>
        </is>
      </c>
      <c r="AM5676" t="n">
        <v>1</v>
      </c>
      <c r="AN5676" t="n">
        <v>500000</v>
      </c>
      <c r="AO5676" t="n">
        <v>0</v>
      </c>
      <c r="AP5676" t="inlineStr"/>
      <c r="AQ5676" t="inlineStr"/>
    </row>
    <row r="5677">
      <c r="A5677" t="inlineStr">
        <is>
          <t>TIMEPHORIA</t>
        </is>
      </c>
      <c r="B5677" s="2">
        <f>"203002188054"</f>
        <v/>
      </c>
      <c r="C5677" t="inlineStr">
        <is>
          <t>TIMEPHORIA Nebula Velvet Lip Cream Equinox 4ml</t>
        </is>
      </c>
      <c r="D5677" t="inlineStr">
        <is>
          <t>Miss Glam Damar</t>
        </is>
      </c>
      <c r="E5677" t="n">
        <v>19</v>
      </c>
      <c r="F5677" t="n">
        <v>0.2912</v>
      </c>
      <c r="G5677" t="n">
        <v>0.91</v>
      </c>
      <c r="H5677" t="n">
        <v>2</v>
      </c>
      <c r="I5677" t="n">
        <v>9</v>
      </c>
      <c r="J5677" t="n">
        <v>1</v>
      </c>
      <c r="K5677" t="n">
        <v>0</v>
      </c>
      <c r="L5677" t="n">
        <v>95200</v>
      </c>
      <c r="M5677" t="n">
        <v>119000</v>
      </c>
      <c r="N5677" t="n">
        <v>91</v>
      </c>
      <c r="O5677" t="n">
        <v>0.91</v>
      </c>
      <c r="P5677" t="n">
        <v>1</v>
      </c>
      <c r="Q5677" t="n">
        <v>0.47</v>
      </c>
      <c r="R5677" t="n">
        <v>4</v>
      </c>
      <c r="S5677" t="n">
        <v>34652.8</v>
      </c>
      <c r="T5677" t="n">
        <v>8</v>
      </c>
      <c r="U5677" t="n">
        <v>9</v>
      </c>
      <c r="V5677" t="n">
        <v>30</v>
      </c>
      <c r="W5677" t="n">
        <v>9</v>
      </c>
      <c r="X5677" t="n">
        <v>65.24725274725274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13369</v>
      </c>
      <c r="AG5677" t="n">
        <v>3495</v>
      </c>
      <c r="AH5677" t="inlineStr">
        <is>
          <t>PT. YAFINDO MITRA PERMATA (PDG)</t>
        </is>
      </c>
      <c r="AI5677" t="n">
        <v>2327</v>
      </c>
      <c r="AJ5677" t="inlineStr">
        <is>
          <t>TIMEPHORIA</t>
        </is>
      </c>
      <c r="AK5677" t="n">
        <v>21</v>
      </c>
      <c r="AL5677" t="inlineStr">
        <is>
          <t>Miss Glam Damar</t>
        </is>
      </c>
      <c r="AM5677" t="n">
        <v>1</v>
      </c>
      <c r="AN5677" t="n">
        <v>500000</v>
      </c>
      <c r="AO5677" t="n">
        <v>0</v>
      </c>
      <c r="AP5677" t="inlineStr"/>
      <c r="AQ5677" t="inlineStr"/>
    </row>
    <row r="5678">
      <c r="A5678" t="inlineStr">
        <is>
          <t>TIMEPHORIA</t>
        </is>
      </c>
      <c r="B5678" s="2">
        <f>"203002189941"</f>
        <v/>
      </c>
      <c r="C5678" t="inlineStr">
        <is>
          <t>TIMEPHORIA Nebula Velvet Lip Cream Estelle 4ml</t>
        </is>
      </c>
      <c r="D5678" t="inlineStr">
        <is>
          <t>Miss Glam Damar</t>
        </is>
      </c>
      <c r="E5678" t="n">
        <v>6</v>
      </c>
      <c r="F5678" t="n">
        <v>0.1365</v>
      </c>
      <c r="G5678" t="n">
        <v>1.82</v>
      </c>
      <c r="H5678" t="n">
        <v>2</v>
      </c>
      <c r="I5678" t="n">
        <v>9</v>
      </c>
      <c r="J5678" t="n">
        <v>1</v>
      </c>
      <c r="K5678" t="n">
        <v>0</v>
      </c>
      <c r="L5678" t="n">
        <v>95200</v>
      </c>
      <c r="M5678" t="n">
        <v>119000</v>
      </c>
      <c r="N5678" t="n">
        <v>91</v>
      </c>
      <c r="O5678" t="n">
        <v>0.91</v>
      </c>
      <c r="P5678" t="n">
        <v>1</v>
      </c>
      <c r="Q5678" t="n">
        <v>0.08</v>
      </c>
      <c r="R5678" t="n">
        <v>1</v>
      </c>
      <c r="S5678" t="n">
        <v>16243.5</v>
      </c>
      <c r="T5678" t="n">
        <v>17</v>
      </c>
      <c r="U5678" t="n">
        <v>18</v>
      </c>
      <c r="V5678" t="n">
        <v>30</v>
      </c>
      <c r="W5678" t="n">
        <v>5</v>
      </c>
      <c r="X5678" t="n">
        <v>43.95604395604396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13369</v>
      </c>
      <c r="AG5678" t="n">
        <v>3495</v>
      </c>
      <c r="AH5678" t="inlineStr">
        <is>
          <t>PT. YAFINDO MITRA PERMATA (PDG)</t>
        </is>
      </c>
      <c r="AI5678" t="n">
        <v>2327</v>
      </c>
      <c r="AJ5678" t="inlineStr">
        <is>
          <t>TIMEPHORIA</t>
        </is>
      </c>
      <c r="AK5678" t="n">
        <v>21</v>
      </c>
      <c r="AL5678" t="inlineStr">
        <is>
          <t>Miss Glam Damar</t>
        </is>
      </c>
      <c r="AM5678" t="n">
        <v>1</v>
      </c>
      <c r="AN5678" t="n">
        <v>500000</v>
      </c>
      <c r="AO5678" t="n">
        <v>0</v>
      </c>
      <c r="AP5678" t="inlineStr"/>
      <c r="AQ5678" t="inlineStr"/>
    </row>
    <row r="5679">
      <c r="A5679" t="inlineStr">
        <is>
          <t>TIMEPHORIA</t>
        </is>
      </c>
      <c r="B5679" s="2">
        <f>"203002188140"</f>
        <v/>
      </c>
      <c r="C5679" t="inlineStr">
        <is>
          <t>TIMEPHORIA Nebula Velvet Lip Cream Helion 4ml</t>
        </is>
      </c>
      <c r="D5679" t="inlineStr">
        <is>
          <t>Miss Glam Damar</t>
        </is>
      </c>
      <c r="E5679" t="n">
        <v>0</v>
      </c>
      <c r="F5679" t="n">
        <v>0.2457</v>
      </c>
      <c r="G5679" t="n">
        <v>2.73</v>
      </c>
      <c r="H5679" t="n">
        <v>2</v>
      </c>
      <c r="I5679" t="n">
        <v>9</v>
      </c>
      <c r="J5679" t="n">
        <v>1</v>
      </c>
      <c r="K5679" t="n">
        <v>0</v>
      </c>
      <c r="L5679" t="n">
        <v>95200</v>
      </c>
      <c r="M5679" t="n">
        <v>119000</v>
      </c>
      <c r="N5679" t="n">
        <v>91</v>
      </c>
      <c r="O5679" t="n">
        <v>0.91</v>
      </c>
      <c r="P5679" t="n">
        <v>1</v>
      </c>
      <c r="Q5679" t="n">
        <v>0.43</v>
      </c>
      <c r="R5679" t="n">
        <v>3</v>
      </c>
      <c r="S5679" t="n">
        <v>29238.3</v>
      </c>
      <c r="T5679" t="n">
        <v>25</v>
      </c>
      <c r="U5679" t="n">
        <v>26</v>
      </c>
      <c r="V5679" t="n">
        <v>30</v>
      </c>
      <c r="W5679" t="n">
        <v>8</v>
      </c>
      <c r="X5679" t="n">
        <v>0</v>
      </c>
      <c r="Y5679" t="n">
        <v>1</v>
      </c>
      <c r="Z5679" t="n">
        <v>8</v>
      </c>
      <c r="AA5679" t="n">
        <v>3</v>
      </c>
      <c r="AB5679" t="n">
        <v>5</v>
      </c>
      <c r="AC5679" t="n">
        <v>5</v>
      </c>
      <c r="AD5679" t="n">
        <v>285600</v>
      </c>
      <c r="AE5679" t="n">
        <v>476000</v>
      </c>
      <c r="AF5679" t="n">
        <v>13369</v>
      </c>
      <c r="AG5679" t="n">
        <v>3495</v>
      </c>
      <c r="AH5679" t="inlineStr">
        <is>
          <t>PT. YAFINDO MITRA PERMATA (PDG)</t>
        </is>
      </c>
      <c r="AI5679" t="n">
        <v>2327</v>
      </c>
      <c r="AJ5679" t="inlineStr">
        <is>
          <t>TIMEPHORIA</t>
        </is>
      </c>
      <c r="AK5679" t="n">
        <v>21</v>
      </c>
      <c r="AL5679" t="inlineStr">
        <is>
          <t>Miss Glam Damar</t>
        </is>
      </c>
      <c r="AM5679" t="n">
        <v>1</v>
      </c>
      <c r="AN5679" t="n">
        <v>500000</v>
      </c>
      <c r="AO5679" t="n">
        <v>0</v>
      </c>
      <c r="AP5679" t="inlineStr"/>
      <c r="AQ5679" t="inlineStr"/>
    </row>
    <row r="5680">
      <c r="A5680" t="inlineStr">
        <is>
          <t>TIMEPHORIA</t>
        </is>
      </c>
      <c r="B5680" s="2">
        <f>"203002189709"</f>
        <v/>
      </c>
      <c r="C5680" t="inlineStr">
        <is>
          <t>TIMEPHORIA Nebula Velvet Lip Cream Milky Way 4ml</t>
        </is>
      </c>
      <c r="D5680" t="inlineStr">
        <is>
          <t>Miss Glam Damar</t>
        </is>
      </c>
      <c r="E5680" t="n">
        <v>0</v>
      </c>
      <c r="F5680" t="n">
        <v>0.2457</v>
      </c>
      <c r="G5680" t="n">
        <v>1.82</v>
      </c>
      <c r="H5680" t="n">
        <v>2</v>
      </c>
      <c r="I5680" t="n">
        <v>9</v>
      </c>
      <c r="J5680" t="n">
        <v>1</v>
      </c>
      <c r="K5680" t="n">
        <v>0</v>
      </c>
      <c r="L5680" t="n">
        <v>95200</v>
      </c>
      <c r="M5680" t="n">
        <v>119000</v>
      </c>
      <c r="N5680" t="n">
        <v>91</v>
      </c>
      <c r="O5680" t="n">
        <v>0.91</v>
      </c>
      <c r="P5680" t="n">
        <v>1</v>
      </c>
      <c r="Q5680" t="n">
        <v>0.13</v>
      </c>
      <c r="R5680" t="n">
        <v>1</v>
      </c>
      <c r="S5680" t="n">
        <v>29238.3</v>
      </c>
      <c r="T5680" t="n">
        <v>16</v>
      </c>
      <c r="U5680" t="n">
        <v>17</v>
      </c>
      <c r="V5680" t="n">
        <v>30</v>
      </c>
      <c r="W5680" t="n">
        <v>8</v>
      </c>
      <c r="X5680" t="n">
        <v>0</v>
      </c>
      <c r="Y5680" t="n">
        <v>1</v>
      </c>
      <c r="Z5680" t="n">
        <v>8</v>
      </c>
      <c r="AA5680" t="n">
        <v>3</v>
      </c>
      <c r="AB5680" t="n">
        <v>5</v>
      </c>
      <c r="AC5680" t="n">
        <v>5</v>
      </c>
      <c r="AD5680" t="n">
        <v>285600</v>
      </c>
      <c r="AE5680" t="n">
        <v>476000</v>
      </c>
      <c r="AF5680" t="n">
        <v>13369</v>
      </c>
      <c r="AG5680" t="n">
        <v>3495</v>
      </c>
      <c r="AH5680" t="inlineStr">
        <is>
          <t>PT. YAFINDO MITRA PERMATA (PDG)</t>
        </is>
      </c>
      <c r="AI5680" t="n">
        <v>2327</v>
      </c>
      <c r="AJ5680" t="inlineStr">
        <is>
          <t>TIMEPHORIA</t>
        </is>
      </c>
      <c r="AK5680" t="n">
        <v>21</v>
      </c>
      <c r="AL5680" t="inlineStr">
        <is>
          <t>Miss Glam Damar</t>
        </is>
      </c>
      <c r="AM5680" t="n">
        <v>1</v>
      </c>
      <c r="AN5680" t="n">
        <v>500000</v>
      </c>
      <c r="AO5680" t="n">
        <v>0</v>
      </c>
      <c r="AP5680" t="inlineStr"/>
      <c r="AQ5680" t="inlineStr"/>
    </row>
    <row r="5681">
      <c r="A5681" t="inlineStr">
        <is>
          <t>TIMEPHORIA</t>
        </is>
      </c>
      <c r="B5681" s="2">
        <f>"203002191929"</f>
        <v/>
      </c>
      <c r="C5681" t="inlineStr">
        <is>
          <t>TIMEPHORIA Nebula Velvet Lip Cream Polaris 05 4ml</t>
        </is>
      </c>
      <c r="D5681" t="inlineStr">
        <is>
          <t>Miss Glam Damar</t>
        </is>
      </c>
      <c r="E5681" t="n">
        <v>7</v>
      </c>
      <c r="F5681" t="n">
        <v>0.0273</v>
      </c>
      <c r="G5681" t="n">
        <v>0.91</v>
      </c>
      <c r="H5681" t="n">
        <v>2</v>
      </c>
      <c r="I5681" t="n">
        <v>9</v>
      </c>
      <c r="J5681" t="n">
        <v>1</v>
      </c>
      <c r="K5681" t="n">
        <v>0</v>
      </c>
      <c r="L5681" t="n">
        <v>95200</v>
      </c>
      <c r="M5681" t="n">
        <v>119000</v>
      </c>
      <c r="N5681" t="n">
        <v>91</v>
      </c>
      <c r="O5681" t="n">
        <v>0.91</v>
      </c>
      <c r="P5681" t="n">
        <v>1</v>
      </c>
      <c r="Q5681" t="n">
        <v>0.07000000000000001</v>
      </c>
      <c r="R5681" t="n">
        <v>1</v>
      </c>
      <c r="S5681" t="n">
        <v>3248.7</v>
      </c>
      <c r="T5681" t="n">
        <v>9</v>
      </c>
      <c r="U5681" t="n">
        <v>10</v>
      </c>
      <c r="V5681" t="n">
        <v>30</v>
      </c>
      <c r="W5681" t="n">
        <v>1</v>
      </c>
      <c r="X5681" t="n">
        <v>256.4102564102564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13369</v>
      </c>
      <c r="AG5681" t="n">
        <v>3495</v>
      </c>
      <c r="AH5681" t="inlineStr">
        <is>
          <t>PT. YAFINDO MITRA PERMATA (PDG)</t>
        </is>
      </c>
      <c r="AI5681" t="n">
        <v>2327</v>
      </c>
      <c r="AJ5681" t="inlineStr">
        <is>
          <t>TIMEPHORIA</t>
        </is>
      </c>
      <c r="AK5681" t="n">
        <v>21</v>
      </c>
      <c r="AL5681" t="inlineStr">
        <is>
          <t>Miss Glam Damar</t>
        </is>
      </c>
      <c r="AM5681" t="n">
        <v>1</v>
      </c>
      <c r="AN5681" t="n">
        <v>500000</v>
      </c>
      <c r="AO5681" t="n">
        <v>0</v>
      </c>
      <c r="AP5681" t="inlineStr"/>
      <c r="AQ5681" t="inlineStr"/>
    </row>
    <row r="5682">
      <c r="A5682" t="inlineStr">
        <is>
          <t>TIMEPHORIA</t>
        </is>
      </c>
      <c r="B5682" s="2">
        <f>"203002189644"</f>
        <v/>
      </c>
      <c r="C5682" t="inlineStr">
        <is>
          <t>TIMEPHORIA Nebula Velvet Lip Cream Ursa 4ml</t>
        </is>
      </c>
      <c r="D5682" t="inlineStr">
        <is>
          <t>Miss Glam Damar</t>
        </is>
      </c>
      <c r="E5682" t="n">
        <v>3</v>
      </c>
      <c r="F5682" t="n">
        <v>0.2275</v>
      </c>
      <c r="G5682" t="n">
        <v>2.73</v>
      </c>
      <c r="H5682" t="n">
        <v>2</v>
      </c>
      <c r="I5682" t="n">
        <v>9</v>
      </c>
      <c r="J5682" t="n">
        <v>1</v>
      </c>
      <c r="K5682" t="n">
        <v>0</v>
      </c>
      <c r="L5682" t="n">
        <v>95200</v>
      </c>
      <c r="M5682" t="n">
        <v>119000</v>
      </c>
      <c r="N5682" t="n">
        <v>91</v>
      </c>
      <c r="O5682" t="n">
        <v>0.91</v>
      </c>
      <c r="P5682" t="n">
        <v>1</v>
      </c>
      <c r="Q5682" t="n">
        <v>0.19</v>
      </c>
      <c r="R5682" t="n">
        <v>2</v>
      </c>
      <c r="S5682" t="n">
        <v>27072.5</v>
      </c>
      <c r="T5682" t="n">
        <v>25</v>
      </c>
      <c r="U5682" t="n">
        <v>26</v>
      </c>
      <c r="V5682" t="n">
        <v>30</v>
      </c>
      <c r="W5682" t="n">
        <v>7</v>
      </c>
      <c r="X5682" t="n">
        <v>13.18681318681319</v>
      </c>
      <c r="Y5682" t="n">
        <v>1</v>
      </c>
      <c r="Z5682" t="n">
        <v>4</v>
      </c>
      <c r="AA5682" t="n">
        <v>0</v>
      </c>
      <c r="AB5682" t="n">
        <v>4</v>
      </c>
      <c r="AC5682" t="n">
        <v>4</v>
      </c>
      <c r="AD5682" t="n">
        <v>0</v>
      </c>
      <c r="AE5682" t="n">
        <v>380800</v>
      </c>
      <c r="AF5682" t="n">
        <v>13369</v>
      </c>
      <c r="AG5682" t="n">
        <v>3495</v>
      </c>
      <c r="AH5682" t="inlineStr">
        <is>
          <t>PT. YAFINDO MITRA PERMATA (PDG)</t>
        </is>
      </c>
      <c r="AI5682" t="n">
        <v>2327</v>
      </c>
      <c r="AJ5682" t="inlineStr">
        <is>
          <t>TIMEPHORIA</t>
        </is>
      </c>
      <c r="AK5682" t="n">
        <v>21</v>
      </c>
      <c r="AL5682" t="inlineStr">
        <is>
          <t>Miss Glam Damar</t>
        </is>
      </c>
      <c r="AM5682" t="n">
        <v>1</v>
      </c>
      <c r="AN5682" t="n">
        <v>500000</v>
      </c>
      <c r="AO5682" t="n">
        <v>0</v>
      </c>
      <c r="AP5682" t="inlineStr"/>
      <c r="AQ5682" t="inlineStr"/>
    </row>
    <row r="5683">
      <c r="A5683" t="inlineStr">
        <is>
          <t>TIMEPHORIA</t>
        </is>
      </c>
      <c r="B5683" s="2">
        <f>"20100967425"</f>
        <v/>
      </c>
      <c r="C5683" t="inlineStr">
        <is>
          <t>TIMEPHORIA Pandora Cheek Liquid Blush 07 S.Desire 5gr</t>
        </is>
      </c>
      <c r="D5683" t="inlineStr">
        <is>
          <t>Miss Glam Damar</t>
        </is>
      </c>
      <c r="E5683" t="n">
        <v>9</v>
      </c>
      <c r="F5683" t="n">
        <v>0.1274</v>
      </c>
      <c r="G5683" t="n">
        <v>0.91</v>
      </c>
      <c r="H5683" t="n">
        <v>2</v>
      </c>
      <c r="I5683" t="n">
        <v>9</v>
      </c>
      <c r="J5683" t="n">
        <v>1</v>
      </c>
      <c r="K5683" t="n">
        <v>0</v>
      </c>
      <c r="L5683" t="n">
        <v>73899</v>
      </c>
      <c r="M5683" t="n">
        <v>99000</v>
      </c>
      <c r="N5683" t="n">
        <v>91</v>
      </c>
      <c r="O5683" t="n">
        <v>0.91</v>
      </c>
      <c r="P5683" t="n">
        <v>1</v>
      </c>
      <c r="Q5683" t="n">
        <v>0.2</v>
      </c>
      <c r="R5683" t="n">
        <v>2</v>
      </c>
      <c r="S5683" t="n">
        <v>12612.6</v>
      </c>
      <c r="T5683" t="n">
        <v>8</v>
      </c>
      <c r="U5683" t="n">
        <v>9</v>
      </c>
      <c r="V5683" t="n">
        <v>30</v>
      </c>
      <c r="W5683" t="n">
        <v>4</v>
      </c>
      <c r="X5683" t="n">
        <v>70.6436420722135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13369</v>
      </c>
      <c r="AG5683" t="n">
        <v>3495</v>
      </c>
      <c r="AH5683" t="inlineStr">
        <is>
          <t>PT. YAFINDO MITRA PERMATA (PDG)</t>
        </is>
      </c>
      <c r="AI5683" t="n">
        <v>2327</v>
      </c>
      <c r="AJ5683" t="inlineStr">
        <is>
          <t>TIMEPHORIA</t>
        </is>
      </c>
      <c r="AK5683" t="n">
        <v>21</v>
      </c>
      <c r="AL5683" t="inlineStr">
        <is>
          <t>Miss Glam Damar</t>
        </is>
      </c>
      <c r="AM5683" t="n">
        <v>1</v>
      </c>
      <c r="AN5683" t="n">
        <v>500000</v>
      </c>
      <c r="AO5683" t="n">
        <v>0</v>
      </c>
      <c r="AP5683" t="inlineStr"/>
      <c r="AQ5683" t="inlineStr"/>
    </row>
    <row r="5684">
      <c r="A5684" t="inlineStr">
        <is>
          <t>TIMEPHORIA</t>
        </is>
      </c>
      <c r="B5684" s="2">
        <f>"20100960820"</f>
        <v/>
      </c>
      <c r="C5684" t="inlineStr">
        <is>
          <t>TIMEPHORIA Pandora Cheek Liquid Blush Coral Treasure 5gr</t>
        </is>
      </c>
      <c r="D5684" t="inlineStr">
        <is>
          <t>Miss Glam Damar</t>
        </is>
      </c>
      <c r="E5684" t="n">
        <v>2</v>
      </c>
      <c r="F5684" t="n">
        <v>0.06370000000000001</v>
      </c>
      <c r="G5684" t="n">
        <v>0.91</v>
      </c>
      <c r="H5684" t="n">
        <v>2</v>
      </c>
      <c r="I5684" t="n">
        <v>9</v>
      </c>
      <c r="J5684" t="n">
        <v>1</v>
      </c>
      <c r="K5684" t="n">
        <v>0</v>
      </c>
      <c r="L5684" t="n">
        <v>79200</v>
      </c>
      <c r="M5684" t="n">
        <v>99000</v>
      </c>
      <c r="N5684" t="n">
        <v>91</v>
      </c>
      <c r="O5684" t="n">
        <v>0.91</v>
      </c>
      <c r="P5684" t="n">
        <v>1</v>
      </c>
      <c r="Q5684" t="n">
        <v>0.1</v>
      </c>
      <c r="R5684" t="n">
        <v>1</v>
      </c>
      <c r="S5684" t="n">
        <v>6306.300000000001</v>
      </c>
      <c r="T5684" t="n">
        <v>9</v>
      </c>
      <c r="U5684" t="n">
        <v>10</v>
      </c>
      <c r="V5684" t="n">
        <v>30</v>
      </c>
      <c r="W5684" t="n">
        <v>2</v>
      </c>
      <c r="X5684" t="n">
        <v>31.39717425431711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13369</v>
      </c>
      <c r="AG5684" t="n">
        <v>3495</v>
      </c>
      <c r="AH5684" t="inlineStr">
        <is>
          <t>PT. YAFINDO MITRA PERMATA (PDG)</t>
        </is>
      </c>
      <c r="AI5684" t="n">
        <v>2327</v>
      </c>
      <c r="AJ5684" t="inlineStr">
        <is>
          <t>TIMEPHORIA</t>
        </is>
      </c>
      <c r="AK5684" t="n">
        <v>21</v>
      </c>
      <c r="AL5684" t="inlineStr">
        <is>
          <t>Miss Glam Damar</t>
        </is>
      </c>
      <c r="AM5684" t="n">
        <v>1</v>
      </c>
      <c r="AN5684" t="n">
        <v>500000</v>
      </c>
      <c r="AO5684" t="n">
        <v>0</v>
      </c>
      <c r="AP5684" t="inlineStr"/>
      <c r="AQ5684" t="inlineStr"/>
    </row>
    <row r="5685">
      <c r="A5685" t="inlineStr">
        <is>
          <t>TIMEPHORIA</t>
        </is>
      </c>
      <c r="B5685" s="2">
        <f>"20100960907"</f>
        <v/>
      </c>
      <c r="C5685" t="inlineStr">
        <is>
          <t>TIMEPHORIA Pandora Cheek Liquid Blush Fiery Flame 5gr</t>
        </is>
      </c>
      <c r="D5685" t="inlineStr">
        <is>
          <t>Miss Glam Damar</t>
        </is>
      </c>
      <c r="E5685" t="n">
        <v>5</v>
      </c>
      <c r="F5685" t="n">
        <v>0.0728</v>
      </c>
      <c r="G5685" t="n">
        <v>0.91</v>
      </c>
      <c r="H5685" t="n">
        <v>2</v>
      </c>
      <c r="I5685" t="n">
        <v>9</v>
      </c>
      <c r="J5685" t="n">
        <v>1</v>
      </c>
      <c r="K5685" t="n">
        <v>0</v>
      </c>
      <c r="L5685" t="n">
        <v>79200</v>
      </c>
      <c r="M5685" t="n">
        <v>99000</v>
      </c>
      <c r="N5685" t="n">
        <v>91</v>
      </c>
      <c r="O5685" t="n">
        <v>0.91</v>
      </c>
      <c r="P5685" t="n">
        <v>1</v>
      </c>
      <c r="Q5685" t="n">
        <v>0.02</v>
      </c>
      <c r="R5685" t="n">
        <v>1</v>
      </c>
      <c r="S5685" t="n">
        <v>7207.200000000001</v>
      </c>
      <c r="T5685" t="n">
        <v>9</v>
      </c>
      <c r="U5685" t="n">
        <v>10</v>
      </c>
      <c r="V5685" t="n">
        <v>30</v>
      </c>
      <c r="W5685" t="n">
        <v>3</v>
      </c>
      <c r="X5685" t="n">
        <v>68.68131868131867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13369</v>
      </c>
      <c r="AG5685" t="n">
        <v>3495</v>
      </c>
      <c r="AH5685" t="inlineStr">
        <is>
          <t>PT. YAFINDO MITRA PERMATA (PDG)</t>
        </is>
      </c>
      <c r="AI5685" t="n">
        <v>2327</v>
      </c>
      <c r="AJ5685" t="inlineStr">
        <is>
          <t>TIMEPHORIA</t>
        </is>
      </c>
      <c r="AK5685" t="n">
        <v>21</v>
      </c>
      <c r="AL5685" t="inlineStr">
        <is>
          <t>Miss Glam Damar</t>
        </is>
      </c>
      <c r="AM5685" t="n">
        <v>1</v>
      </c>
      <c r="AN5685" t="n">
        <v>500000</v>
      </c>
      <c r="AO5685" t="n">
        <v>0</v>
      </c>
      <c r="AP5685" t="inlineStr"/>
      <c r="AQ5685" t="inlineStr"/>
    </row>
    <row r="5686">
      <c r="A5686" t="inlineStr">
        <is>
          <t>TIMEPHORIA</t>
        </is>
      </c>
      <c r="B5686" s="2">
        <f>"20100960760"</f>
        <v/>
      </c>
      <c r="C5686" t="inlineStr">
        <is>
          <t>TIMEPHORIA Pandora Cheek Liquid Blush Gentle Hue 5gr</t>
        </is>
      </c>
      <c r="D5686" t="inlineStr">
        <is>
          <t>Miss Glam Damar</t>
        </is>
      </c>
      <c r="E5686" t="n">
        <v>5</v>
      </c>
      <c r="F5686" t="n">
        <v>0.1274</v>
      </c>
      <c r="G5686" t="n">
        <v>0.91</v>
      </c>
      <c r="H5686" t="n">
        <v>2</v>
      </c>
      <c r="I5686" t="n">
        <v>9</v>
      </c>
      <c r="J5686" t="n">
        <v>1</v>
      </c>
      <c r="K5686" t="n">
        <v>0</v>
      </c>
      <c r="L5686" t="n">
        <v>79200</v>
      </c>
      <c r="M5686" t="n">
        <v>99000</v>
      </c>
      <c r="N5686" t="n">
        <v>91</v>
      </c>
      <c r="O5686" t="n">
        <v>0.91</v>
      </c>
      <c r="P5686" t="n">
        <v>1</v>
      </c>
      <c r="Q5686" t="n">
        <v>0.19</v>
      </c>
      <c r="R5686" t="n">
        <v>2</v>
      </c>
      <c r="S5686" t="n">
        <v>12612.6</v>
      </c>
      <c r="T5686" t="n">
        <v>8</v>
      </c>
      <c r="U5686" t="n">
        <v>9</v>
      </c>
      <c r="V5686" t="n">
        <v>30</v>
      </c>
      <c r="W5686" t="n">
        <v>4</v>
      </c>
      <c r="X5686" t="n">
        <v>39.24646781789639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13369</v>
      </c>
      <c r="AG5686" t="n">
        <v>3495</v>
      </c>
      <c r="AH5686" t="inlineStr">
        <is>
          <t>PT. YAFINDO MITRA PERMATA (PDG)</t>
        </is>
      </c>
      <c r="AI5686" t="n">
        <v>2327</v>
      </c>
      <c r="AJ5686" t="inlineStr">
        <is>
          <t>TIMEPHORIA</t>
        </is>
      </c>
      <c r="AK5686" t="n">
        <v>21</v>
      </c>
      <c r="AL5686" t="inlineStr">
        <is>
          <t>Miss Glam Damar</t>
        </is>
      </c>
      <c r="AM5686" t="n">
        <v>1</v>
      </c>
      <c r="AN5686" t="n">
        <v>500000</v>
      </c>
      <c r="AO5686" t="n">
        <v>0</v>
      </c>
      <c r="AP5686" t="inlineStr"/>
      <c r="AQ5686" t="inlineStr"/>
    </row>
    <row r="5687">
      <c r="A5687" t="inlineStr">
        <is>
          <t>TIMEPHORIA</t>
        </is>
      </c>
      <c r="B5687" s="2">
        <f>"20100960650"</f>
        <v/>
      </c>
      <c r="C5687" t="inlineStr">
        <is>
          <t>TIMEPHORIA Pandora Cheek Liquid Blush Love Lust 5gr</t>
        </is>
      </c>
      <c r="D5687" t="inlineStr">
        <is>
          <t>Miss Glam Damar</t>
        </is>
      </c>
      <c r="E5687" t="n">
        <v>14</v>
      </c>
      <c r="F5687" t="n">
        <v>0.1729</v>
      </c>
      <c r="G5687" t="n">
        <v>2.73</v>
      </c>
      <c r="H5687" t="n">
        <v>2</v>
      </c>
      <c r="I5687" t="n">
        <v>9</v>
      </c>
      <c r="J5687" t="n">
        <v>1</v>
      </c>
      <c r="K5687" t="n">
        <v>0</v>
      </c>
      <c r="L5687" t="n">
        <v>79200</v>
      </c>
      <c r="M5687" t="n">
        <v>99000</v>
      </c>
      <c r="N5687" t="n">
        <v>91</v>
      </c>
      <c r="O5687" t="n">
        <v>0.91</v>
      </c>
      <c r="P5687" t="n">
        <v>1</v>
      </c>
      <c r="Q5687" t="n">
        <v>0.19</v>
      </c>
      <c r="R5687" t="n">
        <v>2</v>
      </c>
      <c r="S5687" t="n">
        <v>17117.1</v>
      </c>
      <c r="T5687" t="n">
        <v>25</v>
      </c>
      <c r="U5687" t="n">
        <v>26</v>
      </c>
      <c r="V5687" t="n">
        <v>30</v>
      </c>
      <c r="W5687" t="n">
        <v>6</v>
      </c>
      <c r="X5687" t="n">
        <v>80.97165991902834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13369</v>
      </c>
      <c r="AG5687" t="n">
        <v>3495</v>
      </c>
      <c r="AH5687" t="inlineStr">
        <is>
          <t>PT. YAFINDO MITRA PERMATA (PDG)</t>
        </is>
      </c>
      <c r="AI5687" t="n">
        <v>2327</v>
      </c>
      <c r="AJ5687" t="inlineStr">
        <is>
          <t>TIMEPHORIA</t>
        </is>
      </c>
      <c r="AK5687" t="n">
        <v>21</v>
      </c>
      <c r="AL5687" t="inlineStr">
        <is>
          <t>Miss Glam Damar</t>
        </is>
      </c>
      <c r="AM5687" t="n">
        <v>1</v>
      </c>
      <c r="AN5687" t="n">
        <v>500000</v>
      </c>
      <c r="AO5687" t="n">
        <v>0</v>
      </c>
      <c r="AP5687" t="inlineStr"/>
      <c r="AQ5687" t="inlineStr"/>
    </row>
    <row r="5688">
      <c r="A5688" t="inlineStr">
        <is>
          <t>TIMEPHORIA</t>
        </is>
      </c>
      <c r="B5688" s="2">
        <f>"20100967912"</f>
        <v/>
      </c>
      <c r="C5688" t="inlineStr">
        <is>
          <t>TIMEPHORIA Pandora Cheek Liquid Blush Mystic Magic 5gr</t>
        </is>
      </c>
      <c r="D5688" t="inlineStr">
        <is>
          <t>Miss Glam Damar</t>
        </is>
      </c>
      <c r="E5688" t="n">
        <v>2</v>
      </c>
      <c r="F5688" t="n">
        <v>0.0728</v>
      </c>
      <c r="G5688" t="n">
        <v>0.91</v>
      </c>
      <c r="H5688" t="n">
        <v>2</v>
      </c>
      <c r="I5688" t="n">
        <v>9</v>
      </c>
      <c r="J5688" t="n">
        <v>1</v>
      </c>
      <c r="K5688" t="n">
        <v>0</v>
      </c>
      <c r="L5688" t="n">
        <v>79200</v>
      </c>
      <c r="M5688" t="n">
        <v>99000</v>
      </c>
      <c r="N5688" t="n">
        <v>91</v>
      </c>
      <c r="O5688" t="n">
        <v>0.91</v>
      </c>
      <c r="P5688" t="n">
        <v>1</v>
      </c>
      <c r="Q5688" t="n">
        <v>0.07000000000000001</v>
      </c>
      <c r="R5688" t="n">
        <v>1</v>
      </c>
      <c r="S5688" t="n">
        <v>7207.200000000001</v>
      </c>
      <c r="T5688" t="n">
        <v>9</v>
      </c>
      <c r="U5688" t="n">
        <v>10</v>
      </c>
      <c r="V5688" t="n">
        <v>30</v>
      </c>
      <c r="W5688" t="n">
        <v>3</v>
      </c>
      <c r="X5688" t="n">
        <v>27.47252747252747</v>
      </c>
      <c r="Y5688" t="n">
        <v>1</v>
      </c>
      <c r="Z5688" t="n">
        <v>1</v>
      </c>
      <c r="AA5688" t="n">
        <v>0</v>
      </c>
      <c r="AB5688" t="n">
        <v>1</v>
      </c>
      <c r="AC5688" t="n">
        <v>1</v>
      </c>
      <c r="AD5688" t="n">
        <v>0</v>
      </c>
      <c r="AE5688" t="n">
        <v>79200</v>
      </c>
      <c r="AF5688" t="n">
        <v>13369</v>
      </c>
      <c r="AG5688" t="n">
        <v>3495</v>
      </c>
      <c r="AH5688" t="inlineStr">
        <is>
          <t>PT. YAFINDO MITRA PERMATA (PDG)</t>
        </is>
      </c>
      <c r="AI5688" t="n">
        <v>2327</v>
      </c>
      <c r="AJ5688" t="inlineStr">
        <is>
          <t>TIMEPHORIA</t>
        </is>
      </c>
      <c r="AK5688" t="n">
        <v>21</v>
      </c>
      <c r="AL5688" t="inlineStr">
        <is>
          <t>Miss Glam Damar</t>
        </is>
      </c>
      <c r="AM5688" t="n">
        <v>1</v>
      </c>
      <c r="AN5688" t="n">
        <v>500000</v>
      </c>
      <c r="AO5688" t="n">
        <v>0</v>
      </c>
      <c r="AP5688" t="inlineStr"/>
      <c r="AQ5688" t="inlineStr"/>
    </row>
    <row r="5689">
      <c r="A5689" t="inlineStr">
        <is>
          <t>TIMEPHORIA</t>
        </is>
      </c>
      <c r="B5689" s="2">
        <f>"203003105320"</f>
        <v/>
      </c>
      <c r="C5689" t="inlineStr">
        <is>
          <t>TIMEPHORIA Stellar Dust Lip Stain 001 Nova 5ml</t>
        </is>
      </c>
      <c r="D5689" t="inlineStr">
        <is>
          <t>Miss Glam Damar</t>
        </is>
      </c>
      <c r="E5689" t="n">
        <v>6</v>
      </c>
      <c r="F5689" t="n">
        <v>0.1547</v>
      </c>
      <c r="G5689" t="n">
        <v>0.91</v>
      </c>
      <c r="H5689" t="n">
        <v>2</v>
      </c>
      <c r="I5689" t="n">
        <v>9</v>
      </c>
      <c r="J5689" t="n">
        <v>1</v>
      </c>
      <c r="K5689" t="n">
        <v>0</v>
      </c>
      <c r="L5689" t="n">
        <v>95200</v>
      </c>
      <c r="M5689" t="n">
        <v>119000</v>
      </c>
      <c r="N5689" t="n">
        <v>91</v>
      </c>
      <c r="O5689" t="n">
        <v>0.91</v>
      </c>
      <c r="P5689" t="n">
        <v>1</v>
      </c>
      <c r="Q5689" t="n">
        <v>0.31</v>
      </c>
      <c r="R5689" t="n">
        <v>2</v>
      </c>
      <c r="S5689" t="n">
        <v>18409.3</v>
      </c>
      <c r="T5689" t="n">
        <v>8</v>
      </c>
      <c r="U5689" t="n">
        <v>9</v>
      </c>
      <c r="V5689" t="n">
        <v>30</v>
      </c>
      <c r="W5689" t="n">
        <v>5</v>
      </c>
      <c r="X5689" t="n">
        <v>38.78474466709761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13369</v>
      </c>
      <c r="AG5689" t="n">
        <v>3495</v>
      </c>
      <c r="AH5689" t="inlineStr">
        <is>
          <t>PT. YAFINDO MITRA PERMATA (PDG)</t>
        </is>
      </c>
      <c r="AI5689" t="n">
        <v>2327</v>
      </c>
      <c r="AJ5689" t="inlineStr">
        <is>
          <t>TIMEPHORIA</t>
        </is>
      </c>
      <c r="AK5689" t="n">
        <v>21</v>
      </c>
      <c r="AL5689" t="inlineStr">
        <is>
          <t>Miss Glam Damar</t>
        </is>
      </c>
      <c r="AM5689" t="n">
        <v>1</v>
      </c>
      <c r="AN5689" t="n">
        <v>500000</v>
      </c>
      <c r="AO5689" t="n">
        <v>0</v>
      </c>
      <c r="AP5689" t="inlineStr"/>
      <c r="AQ5689" t="inlineStr"/>
    </row>
    <row r="5690">
      <c r="A5690" t="inlineStr">
        <is>
          <t>TIMEPHORIA</t>
        </is>
      </c>
      <c r="B5690" s="2">
        <f>"203003105452"</f>
        <v/>
      </c>
      <c r="C5690" t="inlineStr">
        <is>
          <t>TIMEPHORIA Stellar Dust Lip Stain 002 Gemini 5ml</t>
        </is>
      </c>
      <c r="D5690" t="inlineStr">
        <is>
          <t>Miss Glam Damar</t>
        </is>
      </c>
      <c r="E5690" t="n">
        <v>2</v>
      </c>
      <c r="F5690" t="n">
        <v>0.06370000000000001</v>
      </c>
      <c r="G5690" t="n">
        <v>0.91</v>
      </c>
      <c r="H5690" t="n">
        <v>2</v>
      </c>
      <c r="I5690" t="n">
        <v>9</v>
      </c>
      <c r="J5690" t="n">
        <v>1</v>
      </c>
      <c r="K5690" t="n">
        <v>0</v>
      </c>
      <c r="L5690" t="n">
        <v>95200</v>
      </c>
      <c r="M5690" t="n">
        <v>119000</v>
      </c>
      <c r="N5690" t="n">
        <v>91</v>
      </c>
      <c r="O5690" t="n">
        <v>0.91</v>
      </c>
      <c r="P5690" t="n">
        <v>1</v>
      </c>
      <c r="Q5690" t="n">
        <v>0.15</v>
      </c>
      <c r="R5690" t="n">
        <v>2</v>
      </c>
      <c r="S5690" t="n">
        <v>7580.300000000001</v>
      </c>
      <c r="T5690" t="n">
        <v>9</v>
      </c>
      <c r="U5690" t="n">
        <v>10</v>
      </c>
      <c r="V5690" t="n">
        <v>30</v>
      </c>
      <c r="W5690" t="n">
        <v>2</v>
      </c>
      <c r="X5690" t="n">
        <v>31.39717425431711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13369</v>
      </c>
      <c r="AG5690" t="n">
        <v>3495</v>
      </c>
      <c r="AH5690" t="inlineStr">
        <is>
          <t>PT. YAFINDO MITRA PERMATA (PDG)</t>
        </is>
      </c>
      <c r="AI5690" t="n">
        <v>2327</v>
      </c>
      <c r="AJ5690" t="inlineStr">
        <is>
          <t>TIMEPHORIA</t>
        </is>
      </c>
      <c r="AK5690" t="n">
        <v>21</v>
      </c>
      <c r="AL5690" t="inlineStr">
        <is>
          <t>Miss Glam Damar</t>
        </is>
      </c>
      <c r="AM5690" t="n">
        <v>1</v>
      </c>
      <c r="AN5690" t="n">
        <v>500000</v>
      </c>
      <c r="AO5690" t="n">
        <v>0</v>
      </c>
      <c r="AP5690" t="inlineStr"/>
      <c r="AQ5690" t="inlineStr"/>
    </row>
    <row r="5691">
      <c r="A5691" t="inlineStr">
        <is>
          <t>TIMEPHORIA</t>
        </is>
      </c>
      <c r="B5691" s="2">
        <f>"203003105541"</f>
        <v/>
      </c>
      <c r="C5691" t="inlineStr">
        <is>
          <t>TIMEPHORIA Stellar Dust Lip Stain 003 Lynn 5ml</t>
        </is>
      </c>
      <c r="D5691" t="inlineStr">
        <is>
          <t>Miss Glam Damar</t>
        </is>
      </c>
      <c r="E5691" t="n">
        <v>4</v>
      </c>
      <c r="F5691" t="n">
        <v>0.06370000000000001</v>
      </c>
      <c r="G5691" t="n">
        <v>0.91</v>
      </c>
      <c r="H5691" t="n">
        <v>2</v>
      </c>
      <c r="I5691" t="n">
        <v>9</v>
      </c>
      <c r="J5691" t="n">
        <v>1</v>
      </c>
      <c r="K5691" t="n">
        <v>0</v>
      </c>
      <c r="L5691" t="n">
        <v>95200</v>
      </c>
      <c r="M5691" t="n">
        <v>119000</v>
      </c>
      <c r="N5691" t="n">
        <v>91</v>
      </c>
      <c r="O5691" t="n">
        <v>0.91</v>
      </c>
      <c r="P5691" t="n">
        <v>1</v>
      </c>
      <c r="Q5691" t="n">
        <v>0.08</v>
      </c>
      <c r="R5691" t="n">
        <v>2</v>
      </c>
      <c r="S5691" t="n">
        <v>7580.300000000001</v>
      </c>
      <c r="T5691" t="n">
        <v>9</v>
      </c>
      <c r="U5691" t="n">
        <v>10</v>
      </c>
      <c r="V5691" t="n">
        <v>30</v>
      </c>
      <c r="W5691" t="n">
        <v>2</v>
      </c>
      <c r="X5691" t="n">
        <v>62.79434850863422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13369</v>
      </c>
      <c r="AG5691" t="n">
        <v>3495</v>
      </c>
      <c r="AH5691" t="inlineStr">
        <is>
          <t>PT. YAFINDO MITRA PERMATA (PDG)</t>
        </is>
      </c>
      <c r="AI5691" t="n">
        <v>2327</v>
      </c>
      <c r="AJ5691" t="inlineStr">
        <is>
          <t>TIMEPHORIA</t>
        </is>
      </c>
      <c r="AK5691" t="n">
        <v>21</v>
      </c>
      <c r="AL5691" t="inlineStr">
        <is>
          <t>Miss Glam Damar</t>
        </is>
      </c>
      <c r="AM5691" t="n">
        <v>1</v>
      </c>
      <c r="AN5691" t="n">
        <v>500000</v>
      </c>
      <c r="AO5691" t="n">
        <v>0</v>
      </c>
      <c r="AP5691" t="inlineStr"/>
      <c r="AQ5691" t="inlineStr"/>
    </row>
    <row r="5692">
      <c r="A5692" t="inlineStr">
        <is>
          <t>TIMEPHORIA</t>
        </is>
      </c>
      <c r="B5692" s="2">
        <f>"203003105619"</f>
        <v/>
      </c>
      <c r="C5692" t="inlineStr">
        <is>
          <t>TIMEPHORIA Stellar Dust Lip Stain 004 Mauvion 5ml</t>
        </is>
      </c>
      <c r="D5692" t="inlineStr">
        <is>
          <t>Miss Glam Damar</t>
        </is>
      </c>
      <c r="E5692" t="n">
        <v>4</v>
      </c>
      <c r="F5692" t="n">
        <v>0.0182</v>
      </c>
      <c r="G5692" t="n">
        <v>0.91</v>
      </c>
      <c r="H5692" t="n">
        <v>2</v>
      </c>
      <c r="I5692" t="n">
        <v>9</v>
      </c>
      <c r="J5692" t="n">
        <v>1</v>
      </c>
      <c r="K5692" t="n">
        <v>0</v>
      </c>
      <c r="L5692" t="n">
        <v>95200</v>
      </c>
      <c r="M5692" t="n">
        <v>119000</v>
      </c>
      <c r="N5692" t="n">
        <v>91</v>
      </c>
      <c r="O5692" t="n">
        <v>0.91</v>
      </c>
      <c r="P5692" t="n">
        <v>1</v>
      </c>
      <c r="Q5692" t="n">
        <v>0.14</v>
      </c>
      <c r="R5692" t="n">
        <v>2</v>
      </c>
      <c r="S5692" t="n">
        <v>2165.8</v>
      </c>
      <c r="T5692" t="n">
        <v>9</v>
      </c>
      <c r="U5692" t="n">
        <v>10</v>
      </c>
      <c r="V5692" t="n">
        <v>30</v>
      </c>
      <c r="W5692" t="n">
        <v>1</v>
      </c>
      <c r="X5692" t="n">
        <v>219.7802197802198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13369</v>
      </c>
      <c r="AG5692" t="n">
        <v>3495</v>
      </c>
      <c r="AH5692" t="inlineStr">
        <is>
          <t>PT. YAFINDO MITRA PERMATA (PDG)</t>
        </is>
      </c>
      <c r="AI5692" t="n">
        <v>2327</v>
      </c>
      <c r="AJ5692" t="inlineStr">
        <is>
          <t>TIMEPHORIA</t>
        </is>
      </c>
      <c r="AK5692" t="n">
        <v>21</v>
      </c>
      <c r="AL5692" t="inlineStr">
        <is>
          <t>Miss Glam Damar</t>
        </is>
      </c>
      <c r="AM5692" t="n">
        <v>1</v>
      </c>
      <c r="AN5692" t="n">
        <v>500000</v>
      </c>
      <c r="AO5692" t="n">
        <v>0</v>
      </c>
      <c r="AP5692" t="inlineStr"/>
      <c r="AQ5692" t="inlineStr"/>
    </row>
    <row r="5693">
      <c r="A5693" t="inlineStr">
        <is>
          <t>TIMEPHORIA</t>
        </is>
      </c>
      <c r="B5693" s="2">
        <f>"203003108704"</f>
        <v/>
      </c>
      <c r="C5693" t="inlineStr">
        <is>
          <t>TIMEPHORIA Stellar Dust Lip Stain 13 Berrion 5ml</t>
        </is>
      </c>
      <c r="D5693" t="inlineStr">
        <is>
          <t>Miss Glam Damar</t>
        </is>
      </c>
      <c r="E5693" t="n">
        <v>4</v>
      </c>
      <c r="F5693" t="n">
        <v>0.0182</v>
      </c>
      <c r="G5693" t="n">
        <v>0.91</v>
      </c>
      <c r="H5693" t="n">
        <v>2</v>
      </c>
      <c r="I5693" t="n">
        <v>9</v>
      </c>
      <c r="J5693" t="n">
        <v>1</v>
      </c>
      <c r="K5693" t="n">
        <v>0</v>
      </c>
      <c r="L5693" t="n">
        <v>95200</v>
      </c>
      <c r="M5693" t="n">
        <v>119000</v>
      </c>
      <c r="N5693" t="n">
        <v>91</v>
      </c>
      <c r="O5693" t="n">
        <v>0.91</v>
      </c>
      <c r="P5693" t="n">
        <v>1</v>
      </c>
      <c r="Q5693" t="n">
        <v>0.03</v>
      </c>
      <c r="R5693" t="n">
        <v>1</v>
      </c>
      <c r="S5693" t="n">
        <v>2165.8</v>
      </c>
      <c r="T5693" t="n">
        <v>9</v>
      </c>
      <c r="U5693" t="n">
        <v>10</v>
      </c>
      <c r="V5693" t="n">
        <v>30</v>
      </c>
      <c r="W5693" t="n">
        <v>1</v>
      </c>
      <c r="X5693" t="n">
        <v>219.7802197802198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13369</v>
      </c>
      <c r="AG5693" t="n">
        <v>3495</v>
      </c>
      <c r="AH5693" t="inlineStr">
        <is>
          <t>PT. YAFINDO MITRA PERMATA (PDG)</t>
        </is>
      </c>
      <c r="AI5693" t="n">
        <v>2327</v>
      </c>
      <c r="AJ5693" t="inlineStr">
        <is>
          <t>TIMEPHORIA</t>
        </is>
      </c>
      <c r="AK5693" t="n">
        <v>21</v>
      </c>
      <c r="AL5693" t="inlineStr">
        <is>
          <t>Miss Glam Damar</t>
        </is>
      </c>
      <c r="AM5693" t="n">
        <v>1</v>
      </c>
      <c r="AN5693" t="n">
        <v>500000</v>
      </c>
      <c r="AO5693" t="n">
        <v>0</v>
      </c>
      <c r="AP5693" t="inlineStr"/>
      <c r="AQ5693" t="inlineStr"/>
    </row>
    <row r="5694">
      <c r="A5694" t="inlineStr">
        <is>
          <t>TIMEPHORIA</t>
        </is>
      </c>
      <c r="B5694" s="2">
        <f>"203003108857"</f>
        <v/>
      </c>
      <c r="C5694" t="inlineStr">
        <is>
          <t>TIMEPHORIA Stellar Dust Lip Stain 14 Entropia 5ml</t>
        </is>
      </c>
      <c r="D5694" t="inlineStr">
        <is>
          <t>Miss Glam Damar</t>
        </is>
      </c>
      <c r="E5694" t="n">
        <v>0</v>
      </c>
      <c r="F5694" t="n">
        <v>0.1547</v>
      </c>
      <c r="G5694" t="n">
        <v>2.73</v>
      </c>
      <c r="H5694" t="n">
        <v>2</v>
      </c>
      <c r="I5694" t="n">
        <v>9</v>
      </c>
      <c r="J5694" t="n">
        <v>1</v>
      </c>
      <c r="K5694" t="n">
        <v>0</v>
      </c>
      <c r="L5694" t="n">
        <v>95200</v>
      </c>
      <c r="M5694" t="n">
        <v>119000</v>
      </c>
      <c r="N5694" t="n">
        <v>91</v>
      </c>
      <c r="O5694" t="n">
        <v>0.91</v>
      </c>
      <c r="P5694" t="n">
        <v>1</v>
      </c>
      <c r="Q5694" t="n">
        <v>0.16</v>
      </c>
      <c r="R5694" t="n">
        <v>2</v>
      </c>
      <c r="S5694" t="n">
        <v>18409.3</v>
      </c>
      <c r="T5694" t="n">
        <v>25</v>
      </c>
      <c r="U5694" t="n">
        <v>26</v>
      </c>
      <c r="V5694" t="n">
        <v>30</v>
      </c>
      <c r="W5694" t="n">
        <v>5</v>
      </c>
      <c r="X5694" t="n">
        <v>0</v>
      </c>
      <c r="Y5694" t="n">
        <v>1</v>
      </c>
      <c r="Z5694" t="n">
        <v>5</v>
      </c>
      <c r="AA5694" t="n">
        <v>2</v>
      </c>
      <c r="AB5694" t="n">
        <v>3</v>
      </c>
      <c r="AC5694" t="n">
        <v>3</v>
      </c>
      <c r="AD5694" t="n">
        <v>190400</v>
      </c>
      <c r="AE5694" t="n">
        <v>285600</v>
      </c>
      <c r="AF5694" t="n">
        <v>13369</v>
      </c>
      <c r="AG5694" t="n">
        <v>3495</v>
      </c>
      <c r="AH5694" t="inlineStr">
        <is>
          <t>PT. YAFINDO MITRA PERMATA (PDG)</t>
        </is>
      </c>
      <c r="AI5694" t="n">
        <v>2327</v>
      </c>
      <c r="AJ5694" t="inlineStr">
        <is>
          <t>TIMEPHORIA</t>
        </is>
      </c>
      <c r="AK5694" t="n">
        <v>21</v>
      </c>
      <c r="AL5694" t="inlineStr">
        <is>
          <t>Miss Glam Damar</t>
        </is>
      </c>
      <c r="AM5694" t="n">
        <v>1</v>
      </c>
      <c r="AN5694" t="n">
        <v>500000</v>
      </c>
      <c r="AO5694" t="n">
        <v>0</v>
      </c>
      <c r="AP5694" t="inlineStr"/>
      <c r="AQ5694" t="inlineStr"/>
    </row>
    <row r="5695">
      <c r="A5695" t="inlineStr">
        <is>
          <t>TIMEPHORIA</t>
        </is>
      </c>
      <c r="B5695" s="2">
        <f>"203003108936"</f>
        <v/>
      </c>
      <c r="C5695" t="inlineStr">
        <is>
          <t>TIMEPHORIA Stellar Dust Lip Stain 15 Aureon 5ml</t>
        </is>
      </c>
      <c r="D5695" t="inlineStr">
        <is>
          <t>Miss Glam Damar</t>
        </is>
      </c>
      <c r="E5695" t="n">
        <v>3</v>
      </c>
      <c r="F5695" t="n">
        <v>0.3276</v>
      </c>
      <c r="G5695" t="n">
        <v>2.73</v>
      </c>
      <c r="H5695" t="n">
        <v>2</v>
      </c>
      <c r="I5695" t="n">
        <v>9</v>
      </c>
      <c r="J5695" t="n">
        <v>1</v>
      </c>
      <c r="K5695" t="n">
        <v>0</v>
      </c>
      <c r="L5695" t="n">
        <v>95200</v>
      </c>
      <c r="M5695" t="n">
        <v>119000</v>
      </c>
      <c r="N5695" t="n">
        <v>91</v>
      </c>
      <c r="O5695" t="n">
        <v>0.91</v>
      </c>
      <c r="P5695" t="n">
        <v>1</v>
      </c>
      <c r="Q5695" t="n">
        <v>0.12</v>
      </c>
      <c r="R5695" t="n">
        <v>3</v>
      </c>
      <c r="S5695" t="n">
        <v>38984.4</v>
      </c>
      <c r="T5695" t="n">
        <v>24</v>
      </c>
      <c r="U5695" t="n">
        <v>25</v>
      </c>
      <c r="V5695" t="n">
        <v>30</v>
      </c>
      <c r="W5695" t="n">
        <v>10</v>
      </c>
      <c r="X5695" t="n">
        <v>9.157509157509157</v>
      </c>
      <c r="Y5695" t="n">
        <v>1</v>
      </c>
      <c r="Z5695" t="n">
        <v>7</v>
      </c>
      <c r="AA5695" t="n">
        <v>0</v>
      </c>
      <c r="AB5695" t="n">
        <v>7</v>
      </c>
      <c r="AC5695" t="n">
        <v>7</v>
      </c>
      <c r="AD5695" t="n">
        <v>0</v>
      </c>
      <c r="AE5695" t="n">
        <v>666400</v>
      </c>
      <c r="AF5695" t="n">
        <v>13369</v>
      </c>
      <c r="AG5695" t="n">
        <v>3495</v>
      </c>
      <c r="AH5695" t="inlineStr">
        <is>
          <t>PT. YAFINDO MITRA PERMATA (PDG)</t>
        </is>
      </c>
      <c r="AI5695" t="n">
        <v>2327</v>
      </c>
      <c r="AJ5695" t="inlineStr">
        <is>
          <t>TIMEPHORIA</t>
        </is>
      </c>
      <c r="AK5695" t="n">
        <v>21</v>
      </c>
      <c r="AL5695" t="inlineStr">
        <is>
          <t>Miss Glam Damar</t>
        </is>
      </c>
      <c r="AM5695" t="n">
        <v>1</v>
      </c>
      <c r="AN5695" t="n">
        <v>500000</v>
      </c>
      <c r="AO5695" t="n">
        <v>0</v>
      </c>
      <c r="AP5695" t="inlineStr"/>
      <c r="AQ5695" t="inlineStr"/>
    </row>
    <row r="5696">
      <c r="A5696" t="inlineStr">
        <is>
          <t>TIMEPHORIA</t>
        </is>
      </c>
      <c r="B5696" s="2">
        <f>"203003109023"</f>
        <v/>
      </c>
      <c r="C5696" t="inlineStr">
        <is>
          <t>TIMEPHORIA Stellar Dust Lip Stain 16 Ares 5ml</t>
        </is>
      </c>
      <c r="D5696" t="inlineStr">
        <is>
          <t>Miss Glam Damar</t>
        </is>
      </c>
      <c r="E5696" t="n">
        <v>3</v>
      </c>
      <c r="F5696" t="n">
        <v>0.2821</v>
      </c>
      <c r="G5696" t="n">
        <v>4.55</v>
      </c>
      <c r="H5696" t="n">
        <v>2</v>
      </c>
      <c r="I5696" t="n">
        <v>9</v>
      </c>
      <c r="J5696" t="n">
        <v>1</v>
      </c>
      <c r="K5696" t="n">
        <v>0</v>
      </c>
      <c r="L5696" t="n">
        <v>95200</v>
      </c>
      <c r="M5696" t="n">
        <v>119000</v>
      </c>
      <c r="N5696" t="n">
        <v>91</v>
      </c>
      <c r="O5696" t="n">
        <v>0.91</v>
      </c>
      <c r="P5696" t="n">
        <v>1</v>
      </c>
      <c r="Q5696" t="n">
        <v>0.1</v>
      </c>
      <c r="R5696" t="n">
        <v>1</v>
      </c>
      <c r="S5696" t="n">
        <v>33569.9</v>
      </c>
      <c r="T5696" t="n">
        <v>41</v>
      </c>
      <c r="U5696" t="n">
        <v>42</v>
      </c>
      <c r="V5696" t="n">
        <v>30</v>
      </c>
      <c r="W5696" t="n">
        <v>9</v>
      </c>
      <c r="X5696" t="n">
        <v>10.63452676355902</v>
      </c>
      <c r="Y5696" t="n">
        <v>1</v>
      </c>
      <c r="Z5696" t="n">
        <v>6</v>
      </c>
      <c r="AA5696" t="n">
        <v>0</v>
      </c>
      <c r="AB5696" t="n">
        <v>6</v>
      </c>
      <c r="AC5696" t="n">
        <v>6</v>
      </c>
      <c r="AD5696" t="n">
        <v>0</v>
      </c>
      <c r="AE5696" t="n">
        <v>571200</v>
      </c>
      <c r="AF5696" t="n">
        <v>13369</v>
      </c>
      <c r="AG5696" t="n">
        <v>3495</v>
      </c>
      <c r="AH5696" t="inlineStr">
        <is>
          <t>PT. YAFINDO MITRA PERMATA (PDG)</t>
        </is>
      </c>
      <c r="AI5696" t="n">
        <v>2327</v>
      </c>
      <c r="AJ5696" t="inlineStr">
        <is>
          <t>TIMEPHORIA</t>
        </is>
      </c>
      <c r="AK5696" t="n">
        <v>21</v>
      </c>
      <c r="AL5696" t="inlineStr">
        <is>
          <t>Miss Glam Damar</t>
        </is>
      </c>
      <c r="AM5696" t="n">
        <v>1</v>
      </c>
      <c r="AN5696" t="n">
        <v>500000</v>
      </c>
      <c r="AO5696" t="n">
        <v>0</v>
      </c>
      <c r="AP5696" t="inlineStr"/>
      <c r="AQ5696" t="inlineStr"/>
    </row>
    <row r="5697">
      <c r="A5697" t="inlineStr">
        <is>
          <t>TIMEPHORIA</t>
        </is>
      </c>
      <c r="B5697" s="2">
        <f>"203003109108"</f>
        <v/>
      </c>
      <c r="C5697" t="inlineStr">
        <is>
          <t>TIMEPHORIA Stellar Dust Lip Stain 17 Eros 5ml</t>
        </is>
      </c>
      <c r="D5697" t="inlineStr">
        <is>
          <t>Miss Glam Damar</t>
        </is>
      </c>
      <c r="E5697" t="n">
        <v>8</v>
      </c>
      <c r="F5697" t="n">
        <v>0.1729</v>
      </c>
      <c r="G5697" t="n">
        <v>1.82</v>
      </c>
      <c r="H5697" t="n">
        <v>2</v>
      </c>
      <c r="I5697" t="n">
        <v>9</v>
      </c>
      <c r="J5697" t="n">
        <v>1</v>
      </c>
      <c r="K5697" t="n">
        <v>0</v>
      </c>
      <c r="L5697" t="n">
        <v>95200</v>
      </c>
      <c r="M5697" t="n">
        <v>119000</v>
      </c>
      <c r="N5697" t="n">
        <v>91</v>
      </c>
      <c r="O5697" t="n">
        <v>0.91</v>
      </c>
      <c r="P5697" t="n">
        <v>1</v>
      </c>
      <c r="Q5697" t="n">
        <v>0.12</v>
      </c>
      <c r="R5697" t="n">
        <v>4</v>
      </c>
      <c r="S5697" t="n">
        <v>20575.1</v>
      </c>
      <c r="T5697" t="n">
        <v>17</v>
      </c>
      <c r="U5697" t="n">
        <v>18</v>
      </c>
      <c r="V5697" t="n">
        <v>30</v>
      </c>
      <c r="W5697" t="n">
        <v>6</v>
      </c>
      <c r="X5697" t="n">
        <v>46.26951995373048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13369</v>
      </c>
      <c r="AG5697" t="n">
        <v>3495</v>
      </c>
      <c r="AH5697" t="inlineStr">
        <is>
          <t>PT. YAFINDO MITRA PERMATA (PDG)</t>
        </is>
      </c>
      <c r="AI5697" t="n">
        <v>2327</v>
      </c>
      <c r="AJ5697" t="inlineStr">
        <is>
          <t>TIMEPHORIA</t>
        </is>
      </c>
      <c r="AK5697" t="n">
        <v>21</v>
      </c>
      <c r="AL5697" t="inlineStr">
        <is>
          <t>Miss Glam Damar</t>
        </is>
      </c>
      <c r="AM5697" t="n">
        <v>1</v>
      </c>
      <c r="AN5697" t="n">
        <v>500000</v>
      </c>
      <c r="AO5697" t="n">
        <v>0</v>
      </c>
      <c r="AP5697" t="inlineStr"/>
      <c r="AQ5697" t="inlineStr"/>
    </row>
    <row r="5698">
      <c r="A5698" t="inlineStr">
        <is>
          <t>TIMEPHORIA</t>
        </is>
      </c>
      <c r="B5698" s="2">
        <f>"203003109245"</f>
        <v/>
      </c>
      <c r="C5698" t="inlineStr">
        <is>
          <t>TIMEPHORIA Stellar Dust Lip Stain 18 Terra 5ml</t>
        </is>
      </c>
      <c r="D5698" t="inlineStr">
        <is>
          <t>Miss Glam Damar</t>
        </is>
      </c>
      <c r="E5698" t="n">
        <v>2</v>
      </c>
      <c r="F5698" t="n">
        <v>0.1092</v>
      </c>
      <c r="G5698" t="n">
        <v>1.82</v>
      </c>
      <c r="H5698" t="n">
        <v>2</v>
      </c>
      <c r="I5698" t="n">
        <v>9</v>
      </c>
      <c r="J5698" t="n">
        <v>1</v>
      </c>
      <c r="K5698" t="n">
        <v>0</v>
      </c>
      <c r="L5698" t="n">
        <v>95200</v>
      </c>
      <c r="M5698" t="n">
        <v>119000</v>
      </c>
      <c r="N5698" t="n">
        <v>91</v>
      </c>
      <c r="O5698" t="n">
        <v>0.91</v>
      </c>
      <c r="P5698" t="n">
        <v>1</v>
      </c>
      <c r="Q5698" t="n">
        <v>0.07000000000000001</v>
      </c>
      <c r="R5698" t="n">
        <v>1</v>
      </c>
      <c r="S5698" t="n">
        <v>12994.8</v>
      </c>
      <c r="T5698" t="n">
        <v>17</v>
      </c>
      <c r="U5698" t="n">
        <v>18</v>
      </c>
      <c r="V5698" t="n">
        <v>30</v>
      </c>
      <c r="W5698" t="n">
        <v>4</v>
      </c>
      <c r="X5698" t="n">
        <v>18.31501831501831</v>
      </c>
      <c r="Y5698" t="n">
        <v>1</v>
      </c>
      <c r="Z5698" t="n">
        <v>2</v>
      </c>
      <c r="AA5698" t="n">
        <v>0</v>
      </c>
      <c r="AB5698" t="n">
        <v>2</v>
      </c>
      <c r="AC5698" t="n">
        <v>2</v>
      </c>
      <c r="AD5698" t="n">
        <v>0</v>
      </c>
      <c r="AE5698" t="n">
        <v>190400</v>
      </c>
      <c r="AF5698" t="n">
        <v>13369</v>
      </c>
      <c r="AG5698" t="n">
        <v>3495</v>
      </c>
      <c r="AH5698" t="inlineStr">
        <is>
          <t>PT. YAFINDO MITRA PERMATA (PDG)</t>
        </is>
      </c>
      <c r="AI5698" t="n">
        <v>2327</v>
      </c>
      <c r="AJ5698" t="inlineStr">
        <is>
          <t>TIMEPHORIA</t>
        </is>
      </c>
      <c r="AK5698" t="n">
        <v>21</v>
      </c>
      <c r="AL5698" t="inlineStr">
        <is>
          <t>Miss Glam Damar</t>
        </is>
      </c>
      <c r="AM5698" t="n">
        <v>1</v>
      </c>
      <c r="AN5698" t="n">
        <v>500000</v>
      </c>
      <c r="AO5698" t="n">
        <v>0</v>
      </c>
      <c r="AP5698" t="inlineStr"/>
      <c r="AQ5698" t="inlineStr"/>
    </row>
    <row r="5699">
      <c r="A5699" t="inlineStr">
        <is>
          <t>TIMEPHORIA</t>
        </is>
      </c>
      <c r="B5699" s="2">
        <f>"203002191720"</f>
        <v/>
      </c>
      <c r="C5699" t="inlineStr">
        <is>
          <t>TIMEPHORIA Stellar Dust Lip Stain Axion 10 5ml</t>
        </is>
      </c>
      <c r="D5699" t="inlineStr">
        <is>
          <t>Miss Glam Damar</t>
        </is>
      </c>
      <c r="E5699" t="n">
        <v>3</v>
      </c>
      <c r="F5699" t="n">
        <v>0.0273</v>
      </c>
      <c r="G5699" t="n">
        <v>0.91</v>
      </c>
      <c r="H5699" t="n">
        <v>2</v>
      </c>
      <c r="I5699" t="n">
        <v>9</v>
      </c>
      <c r="J5699" t="n">
        <v>1</v>
      </c>
      <c r="K5699" t="n">
        <v>0</v>
      </c>
      <c r="L5699" t="n">
        <v>95200</v>
      </c>
      <c r="M5699" t="n">
        <v>119000</v>
      </c>
      <c r="N5699" t="n">
        <v>91</v>
      </c>
      <c r="O5699" t="n">
        <v>0.91</v>
      </c>
      <c r="P5699" t="n">
        <v>1</v>
      </c>
      <c r="Q5699" t="n">
        <v>0.03</v>
      </c>
      <c r="R5699" t="n">
        <v>1</v>
      </c>
      <c r="S5699" t="n">
        <v>3248.7</v>
      </c>
      <c r="T5699" t="n">
        <v>9</v>
      </c>
      <c r="U5699" t="n">
        <v>10</v>
      </c>
      <c r="V5699" t="n">
        <v>30</v>
      </c>
      <c r="W5699" t="n">
        <v>1</v>
      </c>
      <c r="X5699" t="n">
        <v>109.8901098901099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13369</v>
      </c>
      <c r="AG5699" t="n">
        <v>3495</v>
      </c>
      <c r="AH5699" t="inlineStr">
        <is>
          <t>PT. YAFINDO MITRA PERMATA (PDG)</t>
        </is>
      </c>
      <c r="AI5699" t="n">
        <v>2327</v>
      </c>
      <c r="AJ5699" t="inlineStr">
        <is>
          <t>TIMEPHORIA</t>
        </is>
      </c>
      <c r="AK5699" t="n">
        <v>21</v>
      </c>
      <c r="AL5699" t="inlineStr">
        <is>
          <t>Miss Glam Damar</t>
        </is>
      </c>
      <c r="AM5699" t="n">
        <v>1</v>
      </c>
      <c r="AN5699" t="n">
        <v>500000</v>
      </c>
      <c r="AO5699" t="n">
        <v>0</v>
      </c>
      <c r="AP5699" t="inlineStr"/>
      <c r="AQ5699" t="inlineStr"/>
    </row>
    <row r="5700">
      <c r="A5700" t="inlineStr">
        <is>
          <t>TIMEPHORIA</t>
        </is>
      </c>
      <c r="B5700" s="2">
        <f>"203002190134"</f>
        <v/>
      </c>
      <c r="C5700" t="inlineStr">
        <is>
          <t>TIMEPHORIA Stellar Dust Lip Stain Calyptra 5ml</t>
        </is>
      </c>
      <c r="D5700" t="inlineStr">
        <is>
          <t>Miss Glam Damar</t>
        </is>
      </c>
      <c r="E5700" t="n">
        <v>6</v>
      </c>
      <c r="F5700" t="n">
        <v>0.2912</v>
      </c>
      <c r="G5700" t="n">
        <v>1.82</v>
      </c>
      <c r="H5700" t="n">
        <v>2</v>
      </c>
      <c r="I5700" t="n">
        <v>9</v>
      </c>
      <c r="J5700" t="n">
        <v>1</v>
      </c>
      <c r="K5700" t="n">
        <v>0</v>
      </c>
      <c r="L5700" t="n">
        <v>95200</v>
      </c>
      <c r="M5700" t="n">
        <v>119000</v>
      </c>
      <c r="N5700" t="n">
        <v>91</v>
      </c>
      <c r="O5700" t="n">
        <v>0.91</v>
      </c>
      <c r="P5700" t="n">
        <v>1</v>
      </c>
      <c r="Q5700" t="n">
        <v>0.22</v>
      </c>
      <c r="R5700" t="n">
        <v>3</v>
      </c>
      <c r="S5700" t="n">
        <v>34652.8</v>
      </c>
      <c r="T5700" t="n">
        <v>16</v>
      </c>
      <c r="U5700" t="n">
        <v>17</v>
      </c>
      <c r="V5700" t="n">
        <v>30</v>
      </c>
      <c r="W5700" t="n">
        <v>9</v>
      </c>
      <c r="X5700" t="n">
        <v>20.6043956043956</v>
      </c>
      <c r="Y5700" t="n">
        <v>1</v>
      </c>
      <c r="Z5700" t="n">
        <v>3</v>
      </c>
      <c r="AA5700" t="n">
        <v>0</v>
      </c>
      <c r="AB5700" t="n">
        <v>3</v>
      </c>
      <c r="AC5700" t="n">
        <v>3</v>
      </c>
      <c r="AD5700" t="n">
        <v>0</v>
      </c>
      <c r="AE5700" t="n">
        <v>285600</v>
      </c>
      <c r="AF5700" t="n">
        <v>13369</v>
      </c>
      <c r="AG5700" t="n">
        <v>3495</v>
      </c>
      <c r="AH5700" t="inlineStr">
        <is>
          <t>PT. YAFINDO MITRA PERMATA (PDG)</t>
        </is>
      </c>
      <c r="AI5700" t="n">
        <v>2327</v>
      </c>
      <c r="AJ5700" t="inlineStr">
        <is>
          <t>TIMEPHORIA</t>
        </is>
      </c>
      <c r="AK5700" t="n">
        <v>21</v>
      </c>
      <c r="AL5700" t="inlineStr">
        <is>
          <t>Miss Glam Damar</t>
        </is>
      </c>
      <c r="AM5700" t="n">
        <v>1</v>
      </c>
      <c r="AN5700" t="n">
        <v>500000</v>
      </c>
      <c r="AO5700" t="n">
        <v>0</v>
      </c>
      <c r="AP5700" t="inlineStr"/>
      <c r="AQ5700" t="inlineStr"/>
    </row>
    <row r="5701">
      <c r="A5701" t="inlineStr">
        <is>
          <t>TIMEPHORIA</t>
        </is>
      </c>
      <c r="B5701" s="2">
        <f>"203002191353"</f>
        <v/>
      </c>
      <c r="C5701" t="inlineStr">
        <is>
          <t>TIMEPHORIA Stellar Dust Lip Stain Cherrion 04 5ml</t>
        </is>
      </c>
      <c r="D5701" t="inlineStr">
        <is>
          <t>Miss Glam Damar</t>
        </is>
      </c>
      <c r="E5701" t="n">
        <v>20</v>
      </c>
      <c r="F5701" t="n">
        <v>0.2002</v>
      </c>
      <c r="G5701" t="n">
        <v>1.82</v>
      </c>
      <c r="H5701" t="n">
        <v>2</v>
      </c>
      <c r="I5701" t="n">
        <v>9</v>
      </c>
      <c r="J5701" t="n">
        <v>1</v>
      </c>
      <c r="K5701" t="n">
        <v>0</v>
      </c>
      <c r="L5701" t="n">
        <v>95200</v>
      </c>
      <c r="M5701" t="n">
        <v>119000</v>
      </c>
      <c r="N5701" t="n">
        <v>91</v>
      </c>
      <c r="O5701" t="n">
        <v>0.91</v>
      </c>
      <c r="P5701" t="n">
        <v>1</v>
      </c>
      <c r="Q5701" t="n">
        <v>0.64</v>
      </c>
      <c r="R5701" t="n">
        <v>7</v>
      </c>
      <c r="S5701" t="n">
        <v>23823.8</v>
      </c>
      <c r="T5701" t="n">
        <v>16</v>
      </c>
      <c r="U5701" t="n">
        <v>17</v>
      </c>
      <c r="V5701" t="n">
        <v>30</v>
      </c>
      <c r="W5701" t="n">
        <v>7</v>
      </c>
      <c r="X5701" t="n">
        <v>99.90009990009989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13369</v>
      </c>
      <c r="AG5701" t="n">
        <v>3495</v>
      </c>
      <c r="AH5701" t="inlineStr">
        <is>
          <t>PT. YAFINDO MITRA PERMATA (PDG)</t>
        </is>
      </c>
      <c r="AI5701" t="n">
        <v>2327</v>
      </c>
      <c r="AJ5701" t="inlineStr">
        <is>
          <t>TIMEPHORIA</t>
        </is>
      </c>
      <c r="AK5701" t="n">
        <v>21</v>
      </c>
      <c r="AL5701" t="inlineStr">
        <is>
          <t>Miss Glam Damar</t>
        </is>
      </c>
      <c r="AM5701" t="n">
        <v>1</v>
      </c>
      <c r="AN5701" t="n">
        <v>500000</v>
      </c>
      <c r="AO5701" t="n">
        <v>0</v>
      </c>
      <c r="AP5701" t="inlineStr"/>
      <c r="AQ5701" t="inlineStr"/>
    </row>
    <row r="5702">
      <c r="A5702" t="inlineStr">
        <is>
          <t>TIMEPHORIA</t>
        </is>
      </c>
      <c r="B5702" s="2">
        <f>"203002187701"</f>
        <v/>
      </c>
      <c r="C5702" t="inlineStr">
        <is>
          <t>TIMEPHORIA Stellar Dust Lip Stain Enigma 5ml</t>
        </is>
      </c>
      <c r="D5702" t="inlineStr">
        <is>
          <t>Miss Glam Damar</t>
        </is>
      </c>
      <c r="E5702" t="n">
        <v>0</v>
      </c>
      <c r="F5702" t="n">
        <v>0.2184</v>
      </c>
      <c r="G5702" t="n">
        <v>1.82</v>
      </c>
      <c r="H5702" t="n">
        <v>2</v>
      </c>
      <c r="I5702" t="n">
        <v>9</v>
      </c>
      <c r="J5702" t="n">
        <v>1</v>
      </c>
      <c r="K5702" t="n">
        <v>0</v>
      </c>
      <c r="L5702" t="n">
        <v>95200</v>
      </c>
      <c r="M5702" t="n">
        <v>119000</v>
      </c>
      <c r="N5702" t="n">
        <v>91</v>
      </c>
      <c r="O5702" t="n">
        <v>0.91</v>
      </c>
      <c r="P5702" t="n">
        <v>1</v>
      </c>
      <c r="Q5702" t="n">
        <v>0.27</v>
      </c>
      <c r="R5702" t="n">
        <v>2</v>
      </c>
      <c r="S5702" t="n">
        <v>25989.6</v>
      </c>
      <c r="T5702" t="n">
        <v>16</v>
      </c>
      <c r="U5702" t="n">
        <v>17</v>
      </c>
      <c r="V5702" t="n">
        <v>30</v>
      </c>
      <c r="W5702" t="n">
        <v>7</v>
      </c>
      <c r="X5702" t="n">
        <v>0</v>
      </c>
      <c r="Y5702" t="n">
        <v>1</v>
      </c>
      <c r="Z5702" t="n">
        <v>7</v>
      </c>
      <c r="AA5702" t="n">
        <v>2</v>
      </c>
      <c r="AB5702" t="n">
        <v>5</v>
      </c>
      <c r="AC5702" t="n">
        <v>5</v>
      </c>
      <c r="AD5702" t="n">
        <v>190400</v>
      </c>
      <c r="AE5702" t="n">
        <v>476000</v>
      </c>
      <c r="AF5702" t="n">
        <v>13369</v>
      </c>
      <c r="AG5702" t="n">
        <v>3495</v>
      </c>
      <c r="AH5702" t="inlineStr">
        <is>
          <t>PT. YAFINDO MITRA PERMATA (PDG)</t>
        </is>
      </c>
      <c r="AI5702" t="n">
        <v>2327</v>
      </c>
      <c r="AJ5702" t="inlineStr">
        <is>
          <t>TIMEPHORIA</t>
        </is>
      </c>
      <c r="AK5702" t="n">
        <v>21</v>
      </c>
      <c r="AL5702" t="inlineStr">
        <is>
          <t>Miss Glam Damar</t>
        </is>
      </c>
      <c r="AM5702" t="n">
        <v>1</v>
      </c>
      <c r="AN5702" t="n">
        <v>500000</v>
      </c>
      <c r="AO5702" t="n">
        <v>0</v>
      </c>
      <c r="AP5702" t="inlineStr"/>
      <c r="AQ5702" t="inlineStr"/>
    </row>
    <row r="5703">
      <c r="A5703" t="inlineStr">
        <is>
          <t>TIMEPHORIA</t>
        </is>
      </c>
      <c r="B5703" s="2">
        <f>"203002188218"</f>
        <v/>
      </c>
      <c r="C5703" t="inlineStr">
        <is>
          <t>TIMEPHORIA Stellar Dust Lip Stain Futura 5ml</t>
        </is>
      </c>
      <c r="D5703" t="inlineStr">
        <is>
          <t>Miss Glam Damar</t>
        </is>
      </c>
      <c r="E5703" t="n">
        <v>13</v>
      </c>
      <c r="F5703" t="n">
        <v>0.4823000000000001</v>
      </c>
      <c r="G5703" t="n">
        <v>1.82</v>
      </c>
      <c r="H5703" t="n">
        <v>2</v>
      </c>
      <c r="I5703" t="n">
        <v>9</v>
      </c>
      <c r="J5703" t="n">
        <v>1</v>
      </c>
      <c r="K5703" t="n">
        <v>0</v>
      </c>
      <c r="L5703" t="n">
        <v>95200</v>
      </c>
      <c r="M5703" t="n">
        <v>119000</v>
      </c>
      <c r="N5703" t="n">
        <v>91</v>
      </c>
      <c r="O5703" t="n">
        <v>0.91</v>
      </c>
      <c r="P5703" t="n">
        <v>1</v>
      </c>
      <c r="Q5703" t="n">
        <v>0.5600000000000001</v>
      </c>
      <c r="R5703" t="n">
        <v>4</v>
      </c>
      <c r="S5703" t="n">
        <v>57393.7</v>
      </c>
      <c r="T5703" t="n">
        <v>16</v>
      </c>
      <c r="U5703" t="n">
        <v>17</v>
      </c>
      <c r="V5703" t="n">
        <v>30</v>
      </c>
      <c r="W5703" t="n">
        <v>15</v>
      </c>
      <c r="X5703" t="n">
        <v>26.95417789757412</v>
      </c>
      <c r="Y5703" t="n">
        <v>1</v>
      </c>
      <c r="Z5703" t="n">
        <v>2</v>
      </c>
      <c r="AA5703" t="n">
        <v>0</v>
      </c>
      <c r="AB5703" t="n">
        <v>2</v>
      </c>
      <c r="AC5703" t="n">
        <v>2</v>
      </c>
      <c r="AD5703" t="n">
        <v>0</v>
      </c>
      <c r="AE5703" t="n">
        <v>190400</v>
      </c>
      <c r="AF5703" t="n">
        <v>13369</v>
      </c>
      <c r="AG5703" t="n">
        <v>3495</v>
      </c>
      <c r="AH5703" t="inlineStr">
        <is>
          <t>PT. YAFINDO MITRA PERMATA (PDG)</t>
        </is>
      </c>
      <c r="AI5703" t="n">
        <v>2327</v>
      </c>
      <c r="AJ5703" t="inlineStr">
        <is>
          <t>TIMEPHORIA</t>
        </is>
      </c>
      <c r="AK5703" t="n">
        <v>21</v>
      </c>
      <c r="AL5703" t="inlineStr">
        <is>
          <t>Miss Glam Damar</t>
        </is>
      </c>
      <c r="AM5703" t="n">
        <v>1</v>
      </c>
      <c r="AN5703" t="n">
        <v>500000</v>
      </c>
      <c r="AO5703" t="n">
        <v>0</v>
      </c>
      <c r="AP5703" t="inlineStr"/>
      <c r="AQ5703" t="inlineStr"/>
    </row>
    <row r="5704">
      <c r="A5704" t="inlineStr">
        <is>
          <t>TIMEPHORIA</t>
        </is>
      </c>
      <c r="B5704" s="2">
        <f>"203002187807"</f>
        <v/>
      </c>
      <c r="C5704" t="inlineStr">
        <is>
          <t>TIMEPHORIA Stellar Dust Lip Stain Luxia 5ml</t>
        </is>
      </c>
      <c r="D5704" t="inlineStr">
        <is>
          <t>Miss Glam Damar</t>
        </is>
      </c>
      <c r="E5704" t="n">
        <v>5</v>
      </c>
      <c r="F5704" t="n">
        <v>0.12</v>
      </c>
      <c r="G5704" t="n">
        <v>1</v>
      </c>
      <c r="H5704" t="n">
        <v>2</v>
      </c>
      <c r="I5704" t="n">
        <v>9</v>
      </c>
      <c r="J5704" t="n">
        <v>1</v>
      </c>
      <c r="K5704" t="n">
        <v>0</v>
      </c>
      <c r="L5704" t="n">
        <v>95200</v>
      </c>
      <c r="M5704" t="n">
        <v>119000</v>
      </c>
      <c r="N5704" t="n">
        <v>91</v>
      </c>
      <c r="O5704" t="n">
        <v>0.91</v>
      </c>
      <c r="P5704" t="n">
        <v>0</v>
      </c>
      <c r="Q5704" t="n">
        <v>0.12</v>
      </c>
      <c r="R5704" t="n">
        <v>1</v>
      </c>
      <c r="S5704" t="n">
        <v>14280</v>
      </c>
      <c r="T5704" t="n">
        <v>9</v>
      </c>
      <c r="U5704" t="n">
        <v>10</v>
      </c>
      <c r="V5704" t="n">
        <v>30</v>
      </c>
      <c r="W5704" t="n">
        <v>4</v>
      </c>
      <c r="X5704" t="n">
        <v>41.66666666666667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13369</v>
      </c>
      <c r="AG5704" t="n">
        <v>3495</v>
      </c>
      <c r="AH5704" t="inlineStr">
        <is>
          <t>PT. YAFINDO MITRA PERMATA (PDG)</t>
        </is>
      </c>
      <c r="AI5704" t="n">
        <v>2327</v>
      </c>
      <c r="AJ5704" t="inlineStr">
        <is>
          <t>TIMEPHORIA</t>
        </is>
      </c>
      <c r="AK5704" t="n">
        <v>21</v>
      </c>
      <c r="AL5704" t="inlineStr">
        <is>
          <t>Miss Glam Damar</t>
        </is>
      </c>
      <c r="AM5704" t="n">
        <v>1</v>
      </c>
      <c r="AN5704" t="n">
        <v>500000</v>
      </c>
      <c r="AO5704" t="n">
        <v>0</v>
      </c>
      <c r="AP5704" t="inlineStr"/>
      <c r="AQ5704" t="inlineStr"/>
    </row>
    <row r="5705">
      <c r="A5705" t="inlineStr">
        <is>
          <t>TIMEPHORIA</t>
        </is>
      </c>
      <c r="B5705" s="2">
        <f>"203002191542"</f>
        <v/>
      </c>
      <c r="C5705" t="inlineStr">
        <is>
          <t>TIMEPHORIA Stellar Dust Lip Stain Nerose 06 5ml</t>
        </is>
      </c>
      <c r="D5705" t="inlineStr">
        <is>
          <t>Miss Glam Damar</t>
        </is>
      </c>
      <c r="E5705" t="n">
        <v>44</v>
      </c>
      <c r="F5705" t="n">
        <v>2.2204</v>
      </c>
      <c r="G5705" t="n">
        <v>10.01</v>
      </c>
      <c r="H5705" t="n">
        <v>2</v>
      </c>
      <c r="I5705" t="n">
        <v>9</v>
      </c>
      <c r="J5705" t="n">
        <v>1</v>
      </c>
      <c r="K5705" t="n">
        <v>0</v>
      </c>
      <c r="L5705" t="n">
        <v>95200</v>
      </c>
      <c r="M5705" t="n">
        <v>119000</v>
      </c>
      <c r="N5705" t="n">
        <v>91</v>
      </c>
      <c r="O5705" t="n">
        <v>0.91</v>
      </c>
      <c r="P5705" t="n">
        <v>1</v>
      </c>
      <c r="Q5705" t="n">
        <v>2.44</v>
      </c>
      <c r="R5705" t="n">
        <v>7</v>
      </c>
      <c r="S5705" t="n">
        <v>264227.6</v>
      </c>
      <c r="T5705" t="n">
        <v>86</v>
      </c>
      <c r="U5705" t="n">
        <v>91</v>
      </c>
      <c r="V5705" t="n">
        <v>30</v>
      </c>
      <c r="W5705" t="n">
        <v>67</v>
      </c>
      <c r="X5705" t="n">
        <v>19.81624932444604</v>
      </c>
      <c r="Y5705" t="n">
        <v>1</v>
      </c>
      <c r="Z5705" t="n">
        <v>23</v>
      </c>
      <c r="AA5705" t="n">
        <v>0</v>
      </c>
      <c r="AB5705" t="n">
        <v>23</v>
      </c>
      <c r="AC5705" t="n">
        <v>23</v>
      </c>
      <c r="AD5705" t="n">
        <v>0</v>
      </c>
      <c r="AE5705" t="n">
        <v>2189600</v>
      </c>
      <c r="AF5705" t="n">
        <v>13369</v>
      </c>
      <c r="AG5705" t="n">
        <v>3495</v>
      </c>
      <c r="AH5705" t="inlineStr">
        <is>
          <t>PT. YAFINDO MITRA PERMATA (PDG)</t>
        </is>
      </c>
      <c r="AI5705" t="n">
        <v>2327</v>
      </c>
      <c r="AJ5705" t="inlineStr">
        <is>
          <t>TIMEPHORIA</t>
        </is>
      </c>
      <c r="AK5705" t="n">
        <v>21</v>
      </c>
      <c r="AL5705" t="inlineStr">
        <is>
          <t>Miss Glam Damar</t>
        </is>
      </c>
      <c r="AM5705" t="n">
        <v>1</v>
      </c>
      <c r="AN5705" t="n">
        <v>500000</v>
      </c>
      <c r="AO5705" t="n">
        <v>0</v>
      </c>
      <c r="AP5705" t="inlineStr"/>
      <c r="AQ5705" t="inlineStr"/>
    </row>
    <row r="5706">
      <c r="A5706" t="inlineStr">
        <is>
          <t>TIMEPHORIA</t>
        </is>
      </c>
      <c r="B5706" s="2">
        <f>"203002188309"</f>
        <v/>
      </c>
      <c r="C5706" t="inlineStr">
        <is>
          <t>TIMEPHORIA Stellar Dust Lip Stain Pulse 5ml</t>
        </is>
      </c>
      <c r="D5706" t="inlineStr">
        <is>
          <t>Miss Glam Damar</t>
        </is>
      </c>
      <c r="E5706" t="n">
        <v>11</v>
      </c>
      <c r="F5706" t="n">
        <v>0.2275</v>
      </c>
      <c r="G5706" t="n">
        <v>1.82</v>
      </c>
      <c r="H5706" t="n">
        <v>2</v>
      </c>
      <c r="I5706" t="n">
        <v>9</v>
      </c>
      <c r="J5706" t="n">
        <v>1</v>
      </c>
      <c r="K5706" t="n">
        <v>0</v>
      </c>
      <c r="L5706" t="n">
        <v>95200</v>
      </c>
      <c r="M5706" t="n">
        <v>119000</v>
      </c>
      <c r="N5706" t="n">
        <v>91</v>
      </c>
      <c r="O5706" t="n">
        <v>0.91</v>
      </c>
      <c r="P5706" t="n">
        <v>1</v>
      </c>
      <c r="Q5706" t="n">
        <v>0.24</v>
      </c>
      <c r="R5706" t="n">
        <v>2</v>
      </c>
      <c r="S5706" t="n">
        <v>27072.5</v>
      </c>
      <c r="T5706" t="n">
        <v>16</v>
      </c>
      <c r="U5706" t="n">
        <v>17</v>
      </c>
      <c r="V5706" t="n">
        <v>30</v>
      </c>
      <c r="W5706" t="n">
        <v>7</v>
      </c>
      <c r="X5706" t="n">
        <v>48.35164835164835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13369</v>
      </c>
      <c r="AG5706" t="n">
        <v>3495</v>
      </c>
      <c r="AH5706" t="inlineStr">
        <is>
          <t>PT. YAFINDO MITRA PERMATA (PDG)</t>
        </is>
      </c>
      <c r="AI5706" t="n">
        <v>2327</v>
      </c>
      <c r="AJ5706" t="inlineStr">
        <is>
          <t>TIMEPHORIA</t>
        </is>
      </c>
      <c r="AK5706" t="n">
        <v>21</v>
      </c>
      <c r="AL5706" t="inlineStr">
        <is>
          <t>Miss Glam Damar</t>
        </is>
      </c>
      <c r="AM5706" t="n">
        <v>1</v>
      </c>
      <c r="AN5706" t="n">
        <v>500000</v>
      </c>
      <c r="AO5706" t="n">
        <v>0</v>
      </c>
      <c r="AP5706" t="inlineStr"/>
      <c r="AQ5706" t="inlineStr"/>
    </row>
    <row r="5707">
      <c r="A5707" t="inlineStr">
        <is>
          <t>TIMEPHORIA</t>
        </is>
      </c>
      <c r="B5707" s="2">
        <f>"203002187634"</f>
        <v/>
      </c>
      <c r="C5707" t="inlineStr">
        <is>
          <t>TIMEPHORIA Stellar Dust Lip Stain Quanta 5ml</t>
        </is>
      </c>
      <c r="D5707" t="inlineStr">
        <is>
          <t>Miss Glam Damar</t>
        </is>
      </c>
      <c r="E5707" t="n">
        <v>33</v>
      </c>
      <c r="F5707" t="n">
        <v>1.0829</v>
      </c>
      <c r="G5707" t="n">
        <v>7.28</v>
      </c>
      <c r="H5707" t="n">
        <v>2</v>
      </c>
      <c r="I5707" t="n">
        <v>9</v>
      </c>
      <c r="J5707" t="n">
        <v>1</v>
      </c>
      <c r="K5707" t="n">
        <v>0</v>
      </c>
      <c r="L5707" t="n">
        <v>95200</v>
      </c>
      <c r="M5707" t="n">
        <v>119000</v>
      </c>
      <c r="N5707" t="n">
        <v>91</v>
      </c>
      <c r="O5707" t="n">
        <v>0.91</v>
      </c>
      <c r="P5707" t="n">
        <v>1</v>
      </c>
      <c r="Q5707" t="n">
        <v>1.14</v>
      </c>
      <c r="R5707" t="n">
        <v>4</v>
      </c>
      <c r="S5707" t="n">
        <v>128865.1</v>
      </c>
      <c r="T5707" t="n">
        <v>64</v>
      </c>
      <c r="U5707" t="n">
        <v>67</v>
      </c>
      <c r="V5707" t="n">
        <v>30</v>
      </c>
      <c r="W5707" t="n">
        <v>33</v>
      </c>
      <c r="X5707" t="n">
        <v>30.47372795271955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13369</v>
      </c>
      <c r="AG5707" t="n">
        <v>3495</v>
      </c>
      <c r="AH5707" t="inlineStr">
        <is>
          <t>PT. YAFINDO MITRA PERMATA (PDG)</t>
        </is>
      </c>
      <c r="AI5707" t="n">
        <v>2327</v>
      </c>
      <c r="AJ5707" t="inlineStr">
        <is>
          <t>TIMEPHORIA</t>
        </is>
      </c>
      <c r="AK5707" t="n">
        <v>21</v>
      </c>
      <c r="AL5707" t="inlineStr">
        <is>
          <t>Miss Glam Damar</t>
        </is>
      </c>
      <c r="AM5707" t="n">
        <v>1</v>
      </c>
      <c r="AN5707" t="n">
        <v>500000</v>
      </c>
      <c r="AO5707" t="n">
        <v>0</v>
      </c>
      <c r="AP5707" t="inlineStr"/>
      <c r="AQ5707" t="inlineStr"/>
    </row>
    <row r="5708">
      <c r="A5708" t="inlineStr">
        <is>
          <t>TIMEPHORIA</t>
        </is>
      </c>
      <c r="B5708" s="2">
        <f>"203002191601"</f>
        <v/>
      </c>
      <c r="C5708" t="inlineStr">
        <is>
          <t>TIMEPHORIA Stellar Dust Lip Stain Rubion 08 5ml</t>
        </is>
      </c>
      <c r="D5708" t="inlineStr">
        <is>
          <t>Miss Glam Damar</t>
        </is>
      </c>
      <c r="E5708" t="n">
        <v>7</v>
      </c>
      <c r="F5708" t="n">
        <v>0.2184</v>
      </c>
      <c r="G5708" t="n">
        <v>1.82</v>
      </c>
      <c r="H5708" t="n">
        <v>2</v>
      </c>
      <c r="I5708" t="n">
        <v>9</v>
      </c>
      <c r="J5708" t="n">
        <v>1</v>
      </c>
      <c r="K5708" t="n">
        <v>0</v>
      </c>
      <c r="L5708" t="n">
        <v>95200</v>
      </c>
      <c r="M5708" t="n">
        <v>119000</v>
      </c>
      <c r="N5708" t="n">
        <v>91</v>
      </c>
      <c r="O5708" t="n">
        <v>0.91</v>
      </c>
      <c r="P5708" t="n">
        <v>1</v>
      </c>
      <c r="Q5708" t="n">
        <v>0.34</v>
      </c>
      <c r="R5708" t="n">
        <v>2</v>
      </c>
      <c r="S5708" t="n">
        <v>25989.6</v>
      </c>
      <c r="T5708" t="n">
        <v>16</v>
      </c>
      <c r="U5708" t="n">
        <v>17</v>
      </c>
      <c r="V5708" t="n">
        <v>30</v>
      </c>
      <c r="W5708" t="n">
        <v>7</v>
      </c>
      <c r="X5708" t="n">
        <v>32.05128205128205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13369</v>
      </c>
      <c r="AG5708" t="n">
        <v>3495</v>
      </c>
      <c r="AH5708" t="inlineStr">
        <is>
          <t>PT. YAFINDO MITRA PERMATA (PDG)</t>
        </is>
      </c>
      <c r="AI5708" t="n">
        <v>2327</v>
      </c>
      <c r="AJ5708" t="inlineStr">
        <is>
          <t>TIMEPHORIA</t>
        </is>
      </c>
      <c r="AK5708" t="n">
        <v>21</v>
      </c>
      <c r="AL5708" t="inlineStr">
        <is>
          <t>Miss Glam Damar</t>
        </is>
      </c>
      <c r="AM5708" t="n">
        <v>1</v>
      </c>
      <c r="AN5708" t="n">
        <v>500000</v>
      </c>
      <c r="AO5708" t="n">
        <v>0</v>
      </c>
      <c r="AP5708" t="inlineStr"/>
      <c r="AQ5708" t="inlineStr"/>
    </row>
    <row r="5709">
      <c r="A5709" t="inlineStr">
        <is>
          <t>TIMEPHORIA</t>
        </is>
      </c>
      <c r="B5709" s="2">
        <f>"203002191237"</f>
        <v/>
      </c>
      <c r="C5709" t="inlineStr">
        <is>
          <t>TIMEPHORIA Stellar Dust Lip Stain Solaris 02 5ml</t>
        </is>
      </c>
      <c r="D5709" t="inlineStr">
        <is>
          <t>Miss Glam Damar</t>
        </is>
      </c>
      <c r="E5709" t="n">
        <v>13</v>
      </c>
      <c r="F5709" t="n">
        <v>0.0728</v>
      </c>
      <c r="G5709" t="n">
        <v>0.91</v>
      </c>
      <c r="H5709" t="n">
        <v>2</v>
      </c>
      <c r="I5709" t="n">
        <v>9</v>
      </c>
      <c r="J5709" t="n">
        <v>1</v>
      </c>
      <c r="K5709" t="n">
        <v>0</v>
      </c>
      <c r="L5709" t="n">
        <v>95200</v>
      </c>
      <c r="M5709" t="n">
        <v>119000</v>
      </c>
      <c r="N5709" t="n">
        <v>91</v>
      </c>
      <c r="O5709" t="n">
        <v>0.91</v>
      </c>
      <c r="P5709" t="n">
        <v>1</v>
      </c>
      <c r="Q5709" t="n">
        <v>0.15</v>
      </c>
      <c r="R5709" t="n">
        <v>2</v>
      </c>
      <c r="S5709" t="n">
        <v>8663.200000000001</v>
      </c>
      <c r="T5709" t="n">
        <v>9</v>
      </c>
      <c r="U5709" t="n">
        <v>10</v>
      </c>
      <c r="V5709" t="n">
        <v>30</v>
      </c>
      <c r="W5709" t="n">
        <v>3</v>
      </c>
      <c r="X5709" t="n">
        <v>178.5714285714286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13369</v>
      </c>
      <c r="AG5709" t="n">
        <v>3495</v>
      </c>
      <c r="AH5709" t="inlineStr">
        <is>
          <t>PT. YAFINDO MITRA PERMATA (PDG)</t>
        </is>
      </c>
      <c r="AI5709" t="n">
        <v>2327</v>
      </c>
      <c r="AJ5709" t="inlineStr">
        <is>
          <t>TIMEPHORIA</t>
        </is>
      </c>
      <c r="AK5709" t="n">
        <v>21</v>
      </c>
      <c r="AL5709" t="inlineStr">
        <is>
          <t>Miss Glam Damar</t>
        </is>
      </c>
      <c r="AM5709" t="n">
        <v>1</v>
      </c>
      <c r="AN5709" t="n">
        <v>500000</v>
      </c>
      <c r="AO5709" t="n">
        <v>0</v>
      </c>
      <c r="AP5709" t="inlineStr"/>
      <c r="AQ5709" t="inlineStr"/>
    </row>
    <row r="5710">
      <c r="A5710" t="inlineStr">
        <is>
          <t>TIMEPHORIA</t>
        </is>
      </c>
      <c r="B5710" s="2">
        <f>"20200335123"</f>
        <v/>
      </c>
      <c r="C5710" t="inlineStr">
        <is>
          <t>TIMEPHORIA Superstay Eyeliner Black 0.5g</t>
        </is>
      </c>
      <c r="D5710" t="inlineStr">
        <is>
          <t>Miss Glam Damar</t>
        </is>
      </c>
      <c r="E5710" t="n">
        <v>11</v>
      </c>
      <c r="F5710" t="n">
        <v>0.1729</v>
      </c>
      <c r="G5710" t="n">
        <v>0.91</v>
      </c>
      <c r="H5710" t="n">
        <v>2</v>
      </c>
      <c r="I5710" t="n">
        <v>9</v>
      </c>
      <c r="J5710" t="n">
        <v>1</v>
      </c>
      <c r="K5710" t="n">
        <v>0</v>
      </c>
      <c r="L5710" t="n">
        <v>47200</v>
      </c>
      <c r="M5710" t="n">
        <v>59000</v>
      </c>
      <c r="N5710" t="n">
        <v>91</v>
      </c>
      <c r="O5710" t="n">
        <v>0.91</v>
      </c>
      <c r="P5710" t="n">
        <v>1</v>
      </c>
      <c r="Q5710" t="n">
        <v>0.36</v>
      </c>
      <c r="R5710" t="n">
        <v>2</v>
      </c>
      <c r="S5710" t="n">
        <v>10201.1</v>
      </c>
      <c r="T5710" t="n">
        <v>8</v>
      </c>
      <c r="U5710" t="n">
        <v>9</v>
      </c>
      <c r="V5710" t="n">
        <v>30</v>
      </c>
      <c r="W5710" t="n">
        <v>6</v>
      </c>
      <c r="X5710" t="n">
        <v>63.62058993637941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13369</v>
      </c>
      <c r="AG5710" t="n">
        <v>3495</v>
      </c>
      <c r="AH5710" t="inlineStr">
        <is>
          <t>PT. YAFINDO MITRA PERMATA (PDG)</t>
        </is>
      </c>
      <c r="AI5710" t="n">
        <v>2327</v>
      </c>
      <c r="AJ5710" t="inlineStr">
        <is>
          <t>TIMEPHORIA</t>
        </is>
      </c>
      <c r="AK5710" t="n">
        <v>21</v>
      </c>
      <c r="AL5710" t="inlineStr">
        <is>
          <t>Miss Glam Damar</t>
        </is>
      </c>
      <c r="AM5710" t="n">
        <v>1</v>
      </c>
      <c r="AN5710" t="n">
        <v>500000</v>
      </c>
      <c r="AO5710" t="n">
        <v>0</v>
      </c>
      <c r="AP5710" t="inlineStr"/>
      <c r="AQ5710" t="inlineStr"/>
    </row>
    <row r="5711">
      <c r="A5711" t="inlineStr">
        <is>
          <t>TIMEPHORIA</t>
        </is>
      </c>
      <c r="B5711" s="2">
        <f>"20200335255"</f>
        <v/>
      </c>
      <c r="C5711" t="inlineStr">
        <is>
          <t>TIMEPHORIA Superstay Eyeliner Brown 0.5gr</t>
        </is>
      </c>
      <c r="D5711" t="inlineStr">
        <is>
          <t>Miss Glam Damar</t>
        </is>
      </c>
      <c r="E5711" t="n">
        <v>4</v>
      </c>
      <c r="F5711" t="n">
        <v>0.0273</v>
      </c>
      <c r="G5711" t="n">
        <v>0.91</v>
      </c>
      <c r="H5711" t="n">
        <v>2</v>
      </c>
      <c r="I5711" t="n">
        <v>9</v>
      </c>
      <c r="J5711" t="n">
        <v>1</v>
      </c>
      <c r="K5711" t="n">
        <v>0</v>
      </c>
      <c r="L5711" t="n">
        <v>79200</v>
      </c>
      <c r="M5711" t="n">
        <v>99000</v>
      </c>
      <c r="N5711" t="n">
        <v>91</v>
      </c>
      <c r="O5711" t="n">
        <v>0.91</v>
      </c>
      <c r="P5711" t="n">
        <v>1</v>
      </c>
      <c r="Q5711" t="n">
        <v>0.1</v>
      </c>
      <c r="R5711" t="n">
        <v>1</v>
      </c>
      <c r="S5711" t="n">
        <v>2702.7</v>
      </c>
      <c r="T5711" t="n">
        <v>9</v>
      </c>
      <c r="U5711" t="n">
        <v>10</v>
      </c>
      <c r="V5711" t="n">
        <v>30</v>
      </c>
      <c r="W5711" t="n">
        <v>1</v>
      </c>
      <c r="X5711" t="n">
        <v>146.5201465201465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13369</v>
      </c>
      <c r="AG5711" t="n">
        <v>3495</v>
      </c>
      <c r="AH5711" t="inlineStr">
        <is>
          <t>PT. YAFINDO MITRA PERMATA (PDG)</t>
        </is>
      </c>
      <c r="AI5711" t="n">
        <v>2327</v>
      </c>
      <c r="AJ5711" t="inlineStr">
        <is>
          <t>TIMEPHORIA</t>
        </is>
      </c>
      <c r="AK5711" t="n">
        <v>21</v>
      </c>
      <c r="AL5711" t="inlineStr">
        <is>
          <t>Miss Glam Damar</t>
        </is>
      </c>
      <c r="AM5711" t="n">
        <v>1</v>
      </c>
      <c r="AN5711" t="n">
        <v>500000</v>
      </c>
      <c r="AO5711" t="n">
        <v>0</v>
      </c>
      <c r="AP5711" t="inlineStr"/>
      <c r="AQ5711" t="inlineStr"/>
    </row>
    <row r="5712">
      <c r="A5712" t="inlineStr">
        <is>
          <t>TIMEPHORIA</t>
        </is>
      </c>
      <c r="B5712" s="2">
        <f>"20100470650"</f>
        <v/>
      </c>
      <c r="C5712" t="inlineStr">
        <is>
          <t>TIMEPHORIA Timeless Lumina Matte Perfection Cushion 00 Bare 11gr</t>
        </is>
      </c>
      <c r="D5712" t="inlineStr">
        <is>
          <t>Miss Glam Damar</t>
        </is>
      </c>
      <c r="E5712" t="n">
        <v>3</v>
      </c>
      <c r="F5712" t="n">
        <v>0.06370000000000001</v>
      </c>
      <c r="G5712" t="n">
        <v>0.91</v>
      </c>
      <c r="H5712" t="n">
        <v>2</v>
      </c>
      <c r="I5712" t="n">
        <v>9</v>
      </c>
      <c r="J5712" t="n">
        <v>1</v>
      </c>
      <c r="K5712" t="n">
        <v>0</v>
      </c>
      <c r="L5712" t="n">
        <v>135200</v>
      </c>
      <c r="M5712" t="n">
        <v>169000</v>
      </c>
      <c r="N5712" t="n">
        <v>91</v>
      </c>
      <c r="O5712" t="n">
        <v>0.91</v>
      </c>
      <c r="P5712" t="n">
        <v>1</v>
      </c>
      <c r="Q5712" t="n">
        <v>0.1</v>
      </c>
      <c r="R5712" t="n">
        <v>1</v>
      </c>
      <c r="S5712" t="n">
        <v>10765.3</v>
      </c>
      <c r="T5712" t="n">
        <v>9</v>
      </c>
      <c r="U5712" t="n">
        <v>10</v>
      </c>
      <c r="V5712" t="n">
        <v>30</v>
      </c>
      <c r="W5712" t="n">
        <v>2</v>
      </c>
      <c r="X5712" t="n">
        <v>47.09576138147566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13369</v>
      </c>
      <c r="AG5712" t="n">
        <v>3495</v>
      </c>
      <c r="AH5712" t="inlineStr">
        <is>
          <t>PT. YAFINDO MITRA PERMATA (PDG)</t>
        </is>
      </c>
      <c r="AI5712" t="n">
        <v>2327</v>
      </c>
      <c r="AJ5712" t="inlineStr">
        <is>
          <t>TIMEPHORIA</t>
        </is>
      </c>
      <c r="AK5712" t="n">
        <v>21</v>
      </c>
      <c r="AL5712" t="inlineStr">
        <is>
          <t>Miss Glam Damar</t>
        </is>
      </c>
      <c r="AM5712" t="n">
        <v>1</v>
      </c>
      <c r="AN5712" t="n">
        <v>500000</v>
      </c>
      <c r="AO5712" t="n">
        <v>0</v>
      </c>
      <c r="AP5712" t="inlineStr"/>
      <c r="AQ5712" t="inlineStr"/>
    </row>
    <row r="5713">
      <c r="A5713" t="inlineStr">
        <is>
          <t>TIMEPHORIA</t>
        </is>
      </c>
      <c r="B5713" s="2">
        <f>"20100470758"</f>
        <v/>
      </c>
      <c r="C5713" t="inlineStr">
        <is>
          <t>TIMEPHORIA Timeless Lumina Matte Perfection Cushion 01 Creme 11gr</t>
        </is>
      </c>
      <c r="D5713" t="inlineStr">
        <is>
          <t>Miss Glam Damar</t>
        </is>
      </c>
      <c r="E5713" t="n">
        <v>0</v>
      </c>
      <c r="F5713" t="n">
        <v>0.2275</v>
      </c>
      <c r="G5713" t="n">
        <v>1.82</v>
      </c>
      <c r="H5713" t="n">
        <v>2</v>
      </c>
      <c r="I5713" t="n">
        <v>9</v>
      </c>
      <c r="J5713" t="n">
        <v>1</v>
      </c>
      <c r="K5713" t="n">
        <v>0</v>
      </c>
      <c r="L5713" t="n">
        <v>135199</v>
      </c>
      <c r="M5713" t="n">
        <v>169000</v>
      </c>
      <c r="N5713" t="n">
        <v>91</v>
      </c>
      <c r="O5713" t="n">
        <v>0.91</v>
      </c>
      <c r="P5713" t="n">
        <v>1</v>
      </c>
      <c r="Q5713" t="n">
        <v>0.3</v>
      </c>
      <c r="R5713" t="n">
        <v>2</v>
      </c>
      <c r="S5713" t="n">
        <v>38447.5</v>
      </c>
      <c r="T5713" t="n">
        <v>16</v>
      </c>
      <c r="U5713" t="n">
        <v>17</v>
      </c>
      <c r="V5713" t="n">
        <v>30</v>
      </c>
      <c r="W5713" t="n">
        <v>7</v>
      </c>
      <c r="X5713" t="n">
        <v>0</v>
      </c>
      <c r="Y5713" t="n">
        <v>1</v>
      </c>
      <c r="Z5713" t="n">
        <v>7</v>
      </c>
      <c r="AA5713" t="n">
        <v>3</v>
      </c>
      <c r="AB5713" t="n">
        <v>4</v>
      </c>
      <c r="AC5713" t="n">
        <v>4</v>
      </c>
      <c r="AD5713" t="n">
        <v>405597</v>
      </c>
      <c r="AE5713" t="n">
        <v>540796</v>
      </c>
      <c r="AF5713" t="n">
        <v>13369</v>
      </c>
      <c r="AG5713" t="n">
        <v>3495</v>
      </c>
      <c r="AH5713" t="inlineStr">
        <is>
          <t>PT. YAFINDO MITRA PERMATA (PDG)</t>
        </is>
      </c>
      <c r="AI5713" t="n">
        <v>2327</v>
      </c>
      <c r="AJ5713" t="inlineStr">
        <is>
          <t>TIMEPHORIA</t>
        </is>
      </c>
      <c r="AK5713" t="n">
        <v>21</v>
      </c>
      <c r="AL5713" t="inlineStr">
        <is>
          <t>Miss Glam Damar</t>
        </is>
      </c>
      <c r="AM5713" t="n">
        <v>1</v>
      </c>
      <c r="AN5713" t="n">
        <v>500000</v>
      </c>
      <c r="AO5713" t="n">
        <v>0</v>
      </c>
      <c r="AP5713" t="inlineStr"/>
      <c r="AQ5713" t="inlineStr"/>
    </row>
    <row r="5714">
      <c r="A5714" t="inlineStr">
        <is>
          <t>TIMEPHORIA</t>
        </is>
      </c>
      <c r="B5714" s="2">
        <f>"20100470803"</f>
        <v/>
      </c>
      <c r="C5714" t="inlineStr">
        <is>
          <t>TIMEPHORIA Timeless Lumina Matte Perfection Cushion 02 Birch 11gr</t>
        </is>
      </c>
      <c r="D5714" t="inlineStr">
        <is>
          <t>Miss Glam Damar</t>
        </is>
      </c>
      <c r="E5714" t="n">
        <v>9</v>
      </c>
      <c r="F5714" t="n">
        <v>0.3549</v>
      </c>
      <c r="G5714" t="n">
        <v>1.82</v>
      </c>
      <c r="H5714" t="n">
        <v>2</v>
      </c>
      <c r="I5714" t="n">
        <v>9</v>
      </c>
      <c r="J5714" t="n">
        <v>1</v>
      </c>
      <c r="K5714" t="n">
        <v>0</v>
      </c>
      <c r="L5714" t="n">
        <v>135200</v>
      </c>
      <c r="M5714" t="n">
        <v>169000</v>
      </c>
      <c r="N5714" t="n">
        <v>91</v>
      </c>
      <c r="O5714" t="n">
        <v>0.91</v>
      </c>
      <c r="P5714" t="n">
        <v>1</v>
      </c>
      <c r="Q5714" t="n">
        <v>0.58</v>
      </c>
      <c r="R5714" t="n">
        <v>2</v>
      </c>
      <c r="S5714" t="n">
        <v>59978.10000000001</v>
      </c>
      <c r="T5714" t="n">
        <v>16</v>
      </c>
      <c r="U5714" t="n">
        <v>17</v>
      </c>
      <c r="V5714" t="n">
        <v>30</v>
      </c>
      <c r="W5714" t="n">
        <v>11</v>
      </c>
      <c r="X5714" t="n">
        <v>25.35925612848689</v>
      </c>
      <c r="Y5714" t="n">
        <v>1</v>
      </c>
      <c r="Z5714" t="n">
        <v>2</v>
      </c>
      <c r="AA5714" t="n">
        <v>0</v>
      </c>
      <c r="AB5714" t="n">
        <v>2</v>
      </c>
      <c r="AC5714" t="n">
        <v>2</v>
      </c>
      <c r="AD5714" t="n">
        <v>0</v>
      </c>
      <c r="AE5714" t="n">
        <v>270400</v>
      </c>
      <c r="AF5714" t="n">
        <v>13369</v>
      </c>
      <c r="AG5714" t="n">
        <v>3495</v>
      </c>
      <c r="AH5714" t="inlineStr">
        <is>
          <t>PT. YAFINDO MITRA PERMATA (PDG)</t>
        </is>
      </c>
      <c r="AI5714" t="n">
        <v>2327</v>
      </c>
      <c r="AJ5714" t="inlineStr">
        <is>
          <t>TIMEPHORIA</t>
        </is>
      </c>
      <c r="AK5714" t="n">
        <v>21</v>
      </c>
      <c r="AL5714" t="inlineStr">
        <is>
          <t>Miss Glam Damar</t>
        </is>
      </c>
      <c r="AM5714" t="n">
        <v>1</v>
      </c>
      <c r="AN5714" t="n">
        <v>500000</v>
      </c>
      <c r="AO5714" t="n">
        <v>0</v>
      </c>
      <c r="AP5714" t="inlineStr"/>
      <c r="AQ5714" t="inlineStr"/>
    </row>
    <row r="5715">
      <c r="A5715" t="inlineStr">
        <is>
          <t>TIMEPHORIA</t>
        </is>
      </c>
      <c r="B5715" s="2">
        <f>"20100470911"</f>
        <v/>
      </c>
      <c r="C5715" t="inlineStr">
        <is>
          <t>TIMEPHORIA Timeless Lumina Matte Perfection Cushion 03 Fawn 11gr</t>
        </is>
      </c>
      <c r="D5715" t="inlineStr">
        <is>
          <t>Miss Glam Damar</t>
        </is>
      </c>
      <c r="E5715" t="n">
        <v>11</v>
      </c>
      <c r="F5715" t="n">
        <v>0.3276</v>
      </c>
      <c r="G5715" t="n">
        <v>1.82</v>
      </c>
      <c r="H5715" t="n">
        <v>2</v>
      </c>
      <c r="I5715" t="n">
        <v>9</v>
      </c>
      <c r="J5715" t="n">
        <v>1</v>
      </c>
      <c r="K5715" t="n">
        <v>0</v>
      </c>
      <c r="L5715" t="n">
        <v>135200</v>
      </c>
      <c r="M5715" t="n">
        <v>169000</v>
      </c>
      <c r="N5715" t="n">
        <v>91</v>
      </c>
      <c r="O5715" t="n">
        <v>0.91</v>
      </c>
      <c r="P5715" t="n">
        <v>1</v>
      </c>
      <c r="Q5715" t="n">
        <v>0.46</v>
      </c>
      <c r="R5715" t="n">
        <v>2</v>
      </c>
      <c r="S5715" t="n">
        <v>55364.4</v>
      </c>
      <c r="T5715" t="n">
        <v>16</v>
      </c>
      <c r="U5715" t="n">
        <v>17</v>
      </c>
      <c r="V5715" t="n">
        <v>30</v>
      </c>
      <c r="W5715" t="n">
        <v>10</v>
      </c>
      <c r="X5715" t="n">
        <v>33.57753357753358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13369</v>
      </c>
      <c r="AG5715" t="n">
        <v>3495</v>
      </c>
      <c r="AH5715" t="inlineStr">
        <is>
          <t>PT. YAFINDO MITRA PERMATA (PDG)</t>
        </is>
      </c>
      <c r="AI5715" t="n">
        <v>2327</v>
      </c>
      <c r="AJ5715" t="inlineStr">
        <is>
          <t>TIMEPHORIA</t>
        </is>
      </c>
      <c r="AK5715" t="n">
        <v>21</v>
      </c>
      <c r="AL5715" t="inlineStr">
        <is>
          <t>Miss Glam Damar</t>
        </is>
      </c>
      <c r="AM5715" t="n">
        <v>1</v>
      </c>
      <c r="AN5715" t="n">
        <v>500000</v>
      </c>
      <c r="AO5715" t="n">
        <v>0</v>
      </c>
      <c r="AP5715" t="inlineStr"/>
      <c r="AQ5715" t="inlineStr"/>
    </row>
    <row r="5716">
      <c r="A5716" t="inlineStr">
        <is>
          <t>TIMEPHORIA</t>
        </is>
      </c>
      <c r="B5716" s="2">
        <f>"20100471020"</f>
        <v/>
      </c>
      <c r="C5716" t="inlineStr">
        <is>
          <t>TIMEPHORIA Timeless Lumina Matte Perfection Cushion 03W Warm Fawn 11gr</t>
        </is>
      </c>
      <c r="D5716" t="inlineStr">
        <is>
          <t>Miss Glam Damar</t>
        </is>
      </c>
      <c r="E5716" t="n">
        <v>5</v>
      </c>
      <c r="F5716" t="n">
        <v>0.2639</v>
      </c>
      <c r="G5716" t="n">
        <v>2.73</v>
      </c>
      <c r="H5716" t="n">
        <v>2</v>
      </c>
      <c r="I5716" t="n">
        <v>9</v>
      </c>
      <c r="J5716" t="n">
        <v>1</v>
      </c>
      <c r="K5716" t="n">
        <v>0</v>
      </c>
      <c r="L5716" t="n">
        <v>135200</v>
      </c>
      <c r="M5716" t="n">
        <v>169000</v>
      </c>
      <c r="N5716" t="n">
        <v>91</v>
      </c>
      <c r="O5716" t="n">
        <v>0.91</v>
      </c>
      <c r="P5716" t="n">
        <v>1</v>
      </c>
      <c r="Q5716" t="n">
        <v>0.22</v>
      </c>
      <c r="R5716" t="n">
        <v>2</v>
      </c>
      <c r="S5716" t="n">
        <v>44599.09999999999</v>
      </c>
      <c r="T5716" t="n">
        <v>25</v>
      </c>
      <c r="U5716" t="n">
        <v>26</v>
      </c>
      <c r="V5716" t="n">
        <v>30</v>
      </c>
      <c r="W5716" t="n">
        <v>8</v>
      </c>
      <c r="X5716" t="n">
        <v>18.9465706707086</v>
      </c>
      <c r="Y5716" t="n">
        <v>1</v>
      </c>
      <c r="Z5716" t="n">
        <v>3</v>
      </c>
      <c r="AA5716" t="n">
        <v>0</v>
      </c>
      <c r="AB5716" t="n">
        <v>3</v>
      </c>
      <c r="AC5716" t="n">
        <v>3</v>
      </c>
      <c r="AD5716" t="n">
        <v>0</v>
      </c>
      <c r="AE5716" t="n">
        <v>405600</v>
      </c>
      <c r="AF5716" t="n">
        <v>13369</v>
      </c>
      <c r="AG5716" t="n">
        <v>3495</v>
      </c>
      <c r="AH5716" t="inlineStr">
        <is>
          <t>PT. YAFINDO MITRA PERMATA (PDG)</t>
        </is>
      </c>
      <c r="AI5716" t="n">
        <v>2327</v>
      </c>
      <c r="AJ5716" t="inlineStr">
        <is>
          <t>TIMEPHORIA</t>
        </is>
      </c>
      <c r="AK5716" t="n">
        <v>21</v>
      </c>
      <c r="AL5716" t="inlineStr">
        <is>
          <t>Miss Glam Damar</t>
        </is>
      </c>
      <c r="AM5716" t="n">
        <v>1</v>
      </c>
      <c r="AN5716" t="n">
        <v>500000</v>
      </c>
      <c r="AO5716" t="n">
        <v>0</v>
      </c>
      <c r="AP5716" t="inlineStr"/>
      <c r="AQ5716" t="inlineStr"/>
    </row>
    <row r="5717">
      <c r="A5717" t="inlineStr">
        <is>
          <t>TIMEPHORIA</t>
        </is>
      </c>
      <c r="B5717" s="2">
        <f>"20100471135"</f>
        <v/>
      </c>
      <c r="C5717" t="inlineStr">
        <is>
          <t>TIMEPHORIA Timeless Lumina Matte Perfection Cushion 04 Beige 11gr</t>
        </is>
      </c>
      <c r="D5717" t="inlineStr">
        <is>
          <t>Miss Glam Damar</t>
        </is>
      </c>
      <c r="E5717" t="n">
        <v>5</v>
      </c>
      <c r="F5717" t="n">
        <v>0.2457</v>
      </c>
      <c r="G5717" t="n">
        <v>1.82</v>
      </c>
      <c r="H5717" t="n">
        <v>2</v>
      </c>
      <c r="I5717" t="n">
        <v>9</v>
      </c>
      <c r="J5717" t="n">
        <v>1</v>
      </c>
      <c r="K5717" t="n">
        <v>0</v>
      </c>
      <c r="L5717" t="n">
        <v>135200</v>
      </c>
      <c r="M5717" t="n">
        <v>169000</v>
      </c>
      <c r="N5717" t="n">
        <v>91</v>
      </c>
      <c r="O5717" t="n">
        <v>0.91</v>
      </c>
      <c r="P5717" t="n">
        <v>1</v>
      </c>
      <c r="Q5717" t="n">
        <v>0.1</v>
      </c>
      <c r="R5717" t="n">
        <v>2</v>
      </c>
      <c r="S5717" t="n">
        <v>41523.3</v>
      </c>
      <c r="T5717" t="n">
        <v>16</v>
      </c>
      <c r="U5717" t="n">
        <v>17</v>
      </c>
      <c r="V5717" t="n">
        <v>30</v>
      </c>
      <c r="W5717" t="n">
        <v>8</v>
      </c>
      <c r="X5717" t="n">
        <v>20.35002035002035</v>
      </c>
      <c r="Y5717" t="n">
        <v>1</v>
      </c>
      <c r="Z5717" t="n">
        <v>3</v>
      </c>
      <c r="AA5717" t="n">
        <v>0</v>
      </c>
      <c r="AB5717" t="n">
        <v>3</v>
      </c>
      <c r="AC5717" t="n">
        <v>3</v>
      </c>
      <c r="AD5717" t="n">
        <v>0</v>
      </c>
      <c r="AE5717" t="n">
        <v>405600</v>
      </c>
      <c r="AF5717" t="n">
        <v>13369</v>
      </c>
      <c r="AG5717" t="n">
        <v>3495</v>
      </c>
      <c r="AH5717" t="inlineStr">
        <is>
          <t>PT. YAFINDO MITRA PERMATA (PDG)</t>
        </is>
      </c>
      <c r="AI5717" t="n">
        <v>2327</v>
      </c>
      <c r="AJ5717" t="inlineStr">
        <is>
          <t>TIMEPHORIA</t>
        </is>
      </c>
      <c r="AK5717" t="n">
        <v>21</v>
      </c>
      <c r="AL5717" t="inlineStr">
        <is>
          <t>Miss Glam Damar</t>
        </is>
      </c>
      <c r="AM5717" t="n">
        <v>1</v>
      </c>
      <c r="AN5717" t="n">
        <v>500000</v>
      </c>
      <c r="AO5717" t="n">
        <v>0</v>
      </c>
      <c r="AP5717" t="inlineStr"/>
      <c r="AQ5717" t="inlineStr"/>
    </row>
    <row r="5718">
      <c r="A5718" t="inlineStr">
        <is>
          <t>TIMEPHORIA</t>
        </is>
      </c>
      <c r="B5718" s="2">
        <f>"20100471208"</f>
        <v/>
      </c>
      <c r="C5718" t="inlineStr">
        <is>
          <t>TIMEPHORIA Timeless Lumina Matte Perfection Cushion 05 Tan 11gr</t>
        </is>
      </c>
      <c r="D5718" t="inlineStr">
        <is>
          <t>Miss Glam Damar</t>
        </is>
      </c>
      <c r="E5718" t="n">
        <v>4</v>
      </c>
      <c r="F5718" t="n">
        <v>0.06370000000000001</v>
      </c>
      <c r="G5718" t="n">
        <v>0.91</v>
      </c>
      <c r="H5718" t="n">
        <v>2</v>
      </c>
      <c r="I5718" t="n">
        <v>9</v>
      </c>
      <c r="J5718" t="n">
        <v>1</v>
      </c>
      <c r="K5718" t="n">
        <v>0</v>
      </c>
      <c r="L5718" t="n">
        <v>135200</v>
      </c>
      <c r="M5718" t="n">
        <v>169000</v>
      </c>
      <c r="N5718" t="n">
        <v>91</v>
      </c>
      <c r="O5718" t="n">
        <v>0.91</v>
      </c>
      <c r="P5718" t="n">
        <v>1</v>
      </c>
      <c r="Q5718" t="n">
        <v>0.03</v>
      </c>
      <c r="R5718" t="n">
        <v>1</v>
      </c>
      <c r="S5718" t="n">
        <v>10765.3</v>
      </c>
      <c r="T5718" t="n">
        <v>9</v>
      </c>
      <c r="U5718" t="n">
        <v>10</v>
      </c>
      <c r="V5718" t="n">
        <v>30</v>
      </c>
      <c r="W5718" t="n">
        <v>2</v>
      </c>
      <c r="X5718" t="n">
        <v>62.79434850863422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13369</v>
      </c>
      <c r="AG5718" t="n">
        <v>3495</v>
      </c>
      <c r="AH5718" t="inlineStr">
        <is>
          <t>PT. YAFINDO MITRA PERMATA (PDG)</t>
        </is>
      </c>
      <c r="AI5718" t="n">
        <v>2327</v>
      </c>
      <c r="AJ5718" t="inlineStr">
        <is>
          <t>TIMEPHORIA</t>
        </is>
      </c>
      <c r="AK5718" t="n">
        <v>21</v>
      </c>
      <c r="AL5718" t="inlineStr">
        <is>
          <t>Miss Glam Damar</t>
        </is>
      </c>
      <c r="AM5718" t="n">
        <v>1</v>
      </c>
      <c r="AN5718" t="n">
        <v>500000</v>
      </c>
      <c r="AO5718" t="n">
        <v>0</v>
      </c>
      <c r="AP5718" t="inlineStr"/>
      <c r="AQ5718" t="inlineStr"/>
    </row>
    <row r="5719">
      <c r="A5719" t="inlineStr">
        <is>
          <t>TIMEPHORIA</t>
        </is>
      </c>
      <c r="B5719" s="2">
        <f>"20100185035"</f>
        <v/>
      </c>
      <c r="C5719" t="inlineStr">
        <is>
          <t>TIMEPHORIA Timeless Optima Cover-Blur Skin Perfection Powder Foundation 003 Fawn 8.5g</t>
        </is>
      </c>
      <c r="D5719" t="inlineStr">
        <is>
          <t>Miss Glam Damar</t>
        </is>
      </c>
      <c r="E5719" t="n">
        <v>3</v>
      </c>
      <c r="F5719" t="n">
        <v>0.0273</v>
      </c>
      <c r="G5719" t="n">
        <v>0</v>
      </c>
      <c r="H5719" t="n">
        <v>2</v>
      </c>
      <c r="I5719" t="n">
        <v>9</v>
      </c>
      <c r="J5719" t="n">
        <v>1</v>
      </c>
      <c r="K5719" t="n">
        <v>0</v>
      </c>
      <c r="L5719" t="n">
        <v>119200</v>
      </c>
      <c r="M5719" t="n">
        <v>149000</v>
      </c>
      <c r="N5719" t="n">
        <v>91</v>
      </c>
      <c r="O5719" t="n">
        <v>0.91</v>
      </c>
      <c r="P5719" t="n">
        <v>1</v>
      </c>
      <c r="Q5719" t="n">
        <v>0.02</v>
      </c>
      <c r="R5719" t="n">
        <v>0</v>
      </c>
      <c r="S5719" t="n">
        <v>4067.7</v>
      </c>
      <c r="T5719" t="n">
        <v>0</v>
      </c>
      <c r="U5719" t="n">
        <v>1</v>
      </c>
      <c r="V5719" t="n">
        <v>30</v>
      </c>
      <c r="W5719" t="n">
        <v>1</v>
      </c>
      <c r="X5719" t="n">
        <v>109.8901098901099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13369</v>
      </c>
      <c r="AG5719" t="n">
        <v>3495</v>
      </c>
      <c r="AH5719" t="inlineStr">
        <is>
          <t>PT. YAFINDO MITRA PERMATA (PDG)</t>
        </is>
      </c>
      <c r="AI5719" t="n">
        <v>2327</v>
      </c>
      <c r="AJ5719" t="inlineStr">
        <is>
          <t>TIMEPHORIA</t>
        </is>
      </c>
      <c r="AK5719" t="n">
        <v>21</v>
      </c>
      <c r="AL5719" t="inlineStr">
        <is>
          <t>Miss Glam Damar</t>
        </is>
      </c>
      <c r="AM5719" t="n">
        <v>1</v>
      </c>
      <c r="AN5719" t="n">
        <v>500000</v>
      </c>
      <c r="AO5719" t="n">
        <v>0</v>
      </c>
      <c r="AP5719" t="inlineStr"/>
      <c r="AQ5719" t="inlineStr"/>
    </row>
    <row r="5720">
      <c r="A5720" t="inlineStr">
        <is>
          <t>TIMEPHORIA</t>
        </is>
      </c>
      <c r="B5720" s="2">
        <f>"20101209657"</f>
        <v/>
      </c>
      <c r="C5720" t="inlineStr">
        <is>
          <t>TIMEPHORIA Timeless Supernova Setting Spray 60ml</t>
        </is>
      </c>
      <c r="D5720" t="inlineStr">
        <is>
          <t>Miss Glam Damar</t>
        </is>
      </c>
      <c r="E5720" t="n">
        <v>5</v>
      </c>
      <c r="F5720" t="n">
        <v>0.1274</v>
      </c>
      <c r="G5720" t="n">
        <v>1.82</v>
      </c>
      <c r="H5720" t="n">
        <v>2</v>
      </c>
      <c r="I5720" t="n">
        <v>9</v>
      </c>
      <c r="J5720" t="n">
        <v>1</v>
      </c>
      <c r="K5720" t="n">
        <v>0</v>
      </c>
      <c r="L5720" t="n">
        <v>103200</v>
      </c>
      <c r="M5720" t="n">
        <v>129000</v>
      </c>
      <c r="N5720" t="n">
        <v>91</v>
      </c>
      <c r="O5720" t="n">
        <v>0.91</v>
      </c>
      <c r="P5720" t="n">
        <v>1</v>
      </c>
      <c r="Q5720" t="n">
        <v>0.03</v>
      </c>
      <c r="R5720" t="n">
        <v>1</v>
      </c>
      <c r="S5720" t="n">
        <v>16434.6</v>
      </c>
      <c r="T5720" t="n">
        <v>17</v>
      </c>
      <c r="U5720" t="n">
        <v>18</v>
      </c>
      <c r="V5720" t="n">
        <v>30</v>
      </c>
      <c r="W5720" t="n">
        <v>4</v>
      </c>
      <c r="X5720" t="n">
        <v>39.24646781789639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13369</v>
      </c>
      <c r="AG5720" t="n">
        <v>3495</v>
      </c>
      <c r="AH5720" t="inlineStr">
        <is>
          <t>PT. YAFINDO MITRA PERMATA (PDG)</t>
        </is>
      </c>
      <c r="AI5720" t="n">
        <v>2327</v>
      </c>
      <c r="AJ5720" t="inlineStr">
        <is>
          <t>TIMEPHORIA</t>
        </is>
      </c>
      <c r="AK5720" t="n">
        <v>21</v>
      </c>
      <c r="AL5720" t="inlineStr">
        <is>
          <t>Miss Glam Damar</t>
        </is>
      </c>
      <c r="AM5720" t="n">
        <v>1</v>
      </c>
      <c r="AN5720" t="n">
        <v>500000</v>
      </c>
      <c r="AO5720" t="n">
        <v>0</v>
      </c>
      <c r="AP5720" t="inlineStr"/>
      <c r="AQ5720" t="inlineStr"/>
    </row>
    <row r="5721">
      <c r="A5721" t="inlineStr">
        <is>
          <t>TOKYO NIGHT</t>
        </is>
      </c>
      <c r="B5721" s="2">
        <f>"8997001304133"</f>
        <v/>
      </c>
      <c r="C5721" t="inlineStr">
        <is>
          <t>TOKYO NIGHT Nail Polish Remover 40ml</t>
        </is>
      </c>
      <c r="D5721" t="inlineStr">
        <is>
          <t>Miss Glam Damar</t>
        </is>
      </c>
      <c r="E5721" t="n">
        <v>79</v>
      </c>
      <c r="F5721" t="n">
        <v>4.9322</v>
      </c>
      <c r="G5721" t="n">
        <v>10.92</v>
      </c>
      <c r="H5721" t="n">
        <v>3</v>
      </c>
      <c r="I5721" t="n">
        <v>11</v>
      </c>
      <c r="J5721" t="n">
        <v>3</v>
      </c>
      <c r="K5721" t="n">
        <v>0</v>
      </c>
      <c r="L5721" t="n">
        <v>4050</v>
      </c>
      <c r="M5721" t="n">
        <v>6000</v>
      </c>
      <c r="N5721" t="n">
        <v>91</v>
      </c>
      <c r="O5721" t="n">
        <v>0.91</v>
      </c>
      <c r="P5721" t="n">
        <v>1</v>
      </c>
      <c r="Q5721" t="n">
        <v>2.9</v>
      </c>
      <c r="R5721" t="n">
        <v>8</v>
      </c>
      <c r="S5721" t="n">
        <v>29593.2</v>
      </c>
      <c r="T5721" t="n">
        <v>106</v>
      </c>
      <c r="U5721" t="n">
        <v>121</v>
      </c>
      <c r="V5721" t="n">
        <v>30</v>
      </c>
      <c r="W5721" t="n">
        <v>148</v>
      </c>
      <c r="X5721" t="n">
        <v>16.01719313896436</v>
      </c>
      <c r="Y5721" t="n">
        <v>1</v>
      </c>
      <c r="Z5721" t="n">
        <v>69</v>
      </c>
      <c r="AA5721" t="n">
        <v>0</v>
      </c>
      <c r="AB5721" t="n">
        <v>69</v>
      </c>
      <c r="AC5721" t="n">
        <v>69</v>
      </c>
      <c r="AD5721" t="n">
        <v>0</v>
      </c>
      <c r="AE5721" t="n">
        <v>279450</v>
      </c>
      <c r="AF5721" t="n">
        <v>10207</v>
      </c>
      <c r="AG5721" t="n">
        <v>78</v>
      </c>
      <c r="AH5721" t="inlineStr">
        <is>
          <t>PT. GLORIENTA P.H - PPN (PDG)</t>
        </is>
      </c>
      <c r="AI5721" t="n">
        <v>157</v>
      </c>
      <c r="AJ5721" t="inlineStr">
        <is>
          <t>TOKYO NIGHT</t>
        </is>
      </c>
      <c r="AK5721" t="n">
        <v>21</v>
      </c>
      <c r="AL5721" t="inlineStr">
        <is>
          <t>Miss Glam Damar</t>
        </is>
      </c>
      <c r="AM5721" t="n">
        <v>1</v>
      </c>
      <c r="AN5721" t="n">
        <v>500000</v>
      </c>
      <c r="AO5721" t="n">
        <v>0</v>
      </c>
      <c r="AP5721" t="inlineStr"/>
      <c r="AQ5721" t="inlineStr"/>
    </row>
    <row r="5722">
      <c r="A5722" t="inlineStr">
        <is>
          <t>TOKYO NIGHT</t>
        </is>
      </c>
      <c r="B5722" s="2">
        <f>"8997001300036"</f>
        <v/>
      </c>
      <c r="C5722" t="inlineStr">
        <is>
          <t>TOKYO NIGHT Nail Polish Remover 76ml</t>
        </is>
      </c>
      <c r="D5722" t="inlineStr">
        <is>
          <t>Miss Glam Damar</t>
        </is>
      </c>
      <c r="E5722" t="n">
        <v>89</v>
      </c>
      <c r="F5722" t="n">
        <v>2.5298</v>
      </c>
      <c r="G5722" t="n">
        <v>11.83</v>
      </c>
      <c r="H5722" t="n">
        <v>3</v>
      </c>
      <c r="I5722" t="n">
        <v>11</v>
      </c>
      <c r="J5722" t="n">
        <v>60</v>
      </c>
      <c r="K5722" t="n">
        <v>0</v>
      </c>
      <c r="L5722" t="n">
        <v>6030</v>
      </c>
      <c r="M5722" t="n">
        <v>8500</v>
      </c>
      <c r="N5722" t="n">
        <v>91</v>
      </c>
      <c r="O5722" t="n">
        <v>0.91</v>
      </c>
      <c r="P5722" t="n">
        <v>1</v>
      </c>
      <c r="Q5722" t="n">
        <v>3.22</v>
      </c>
      <c r="R5722" t="n">
        <v>8</v>
      </c>
      <c r="S5722" t="n">
        <v>21503.3</v>
      </c>
      <c r="T5722" t="n">
        <v>123</v>
      </c>
      <c r="U5722" t="n">
        <v>131</v>
      </c>
      <c r="V5722" t="n">
        <v>30</v>
      </c>
      <c r="W5722" t="n">
        <v>76</v>
      </c>
      <c r="X5722" t="n">
        <v>35.18064669143806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10207</v>
      </c>
      <c r="AG5722" t="n">
        <v>78</v>
      </c>
      <c r="AH5722" t="inlineStr">
        <is>
          <t>PT. GLORIENTA P.H - PPN (PDG)</t>
        </is>
      </c>
      <c r="AI5722" t="n">
        <v>157</v>
      </c>
      <c r="AJ5722" t="inlineStr">
        <is>
          <t>TOKYO NIGHT</t>
        </is>
      </c>
      <c r="AK5722" t="n">
        <v>21</v>
      </c>
      <c r="AL5722" t="inlineStr">
        <is>
          <t>Miss Glam Damar</t>
        </is>
      </c>
      <c r="AM5722" t="n">
        <v>1</v>
      </c>
      <c r="AN5722" t="n">
        <v>500000</v>
      </c>
      <c r="AO5722" t="n">
        <v>0</v>
      </c>
      <c r="AP5722" t="inlineStr"/>
      <c r="AQ5722" t="inlineStr"/>
    </row>
    <row r="5723">
      <c r="A5723" t="inlineStr">
        <is>
          <t>TRESEMME</t>
        </is>
      </c>
      <c r="B5723" s="2">
        <f>"8999999597443"</f>
        <v/>
      </c>
      <c r="C5723" t="inlineStr">
        <is>
          <t>TRESEMME Color Vibrancy Serum 100ml</t>
        </is>
      </c>
      <c r="D5723" t="inlineStr">
        <is>
          <t>Miss Glam Damar</t>
        </is>
      </c>
      <c r="E5723" t="n">
        <v>2</v>
      </c>
      <c r="F5723" t="n">
        <v>0.05</v>
      </c>
      <c r="G5723" t="n">
        <v>1</v>
      </c>
      <c r="H5723" t="n">
        <v>3</v>
      </c>
      <c r="I5723" t="n">
        <v>5</v>
      </c>
      <c r="J5723" t="n">
        <v>3</v>
      </c>
      <c r="K5723" t="n">
        <v>0</v>
      </c>
      <c r="L5723" t="n">
        <v>144902</v>
      </c>
      <c r="M5723" t="n">
        <v>170500</v>
      </c>
      <c r="N5723" t="n">
        <v>91</v>
      </c>
      <c r="O5723" t="n">
        <v>0.91</v>
      </c>
      <c r="P5723" t="n">
        <v>0</v>
      </c>
      <c r="Q5723" t="n">
        <v>0.05</v>
      </c>
      <c r="R5723" t="n">
        <v>1</v>
      </c>
      <c r="S5723" t="n">
        <v>8525</v>
      </c>
      <c r="T5723" t="n">
        <v>5</v>
      </c>
      <c r="U5723" t="n">
        <v>6</v>
      </c>
      <c r="V5723" t="n">
        <v>30</v>
      </c>
      <c r="W5723" t="n">
        <v>2</v>
      </c>
      <c r="X5723" t="n">
        <v>40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1575</v>
      </c>
      <c r="AG5723" t="n">
        <v>361</v>
      </c>
      <c r="AH5723" t="inlineStr">
        <is>
          <t>CV. SERBA SERBI - PPN (PDG)</t>
        </is>
      </c>
      <c r="AI5723" t="n">
        <v>1598</v>
      </c>
      <c r="AJ5723" t="inlineStr">
        <is>
          <t>TRESEMME</t>
        </is>
      </c>
      <c r="AK5723" t="n">
        <v>21</v>
      </c>
      <c r="AL5723" t="inlineStr">
        <is>
          <t>Miss Glam Damar</t>
        </is>
      </c>
      <c r="AM5723" t="n">
        <v>2</v>
      </c>
      <c r="AN5723" t="n">
        <v>500000</v>
      </c>
      <c r="AO5723" t="n">
        <v>0</v>
      </c>
      <c r="AP5723" t="inlineStr"/>
      <c r="AQ5723" t="inlineStr"/>
    </row>
    <row r="5724">
      <c r="A5724" t="inlineStr">
        <is>
          <t>TRESEMME</t>
        </is>
      </c>
      <c r="B5724" s="2">
        <f>"8999999526382"</f>
        <v/>
      </c>
      <c r="C5724" t="inlineStr">
        <is>
          <t>TRESEMME Conditioner Kratin Smooth 170ml</t>
        </is>
      </c>
      <c r="D5724" t="inlineStr">
        <is>
          <t>Miss Glam Damar</t>
        </is>
      </c>
      <c r="E5724" t="n">
        <v>9</v>
      </c>
      <c r="F5724" t="n">
        <v>0.3094</v>
      </c>
      <c r="G5724" t="n">
        <v>1.82</v>
      </c>
      <c r="H5724" t="n">
        <v>3</v>
      </c>
      <c r="I5724" t="n">
        <v>5</v>
      </c>
      <c r="J5724" t="n">
        <v>3</v>
      </c>
      <c r="K5724" t="n">
        <v>0</v>
      </c>
      <c r="L5724" t="n">
        <v>37035</v>
      </c>
      <c r="M5724" t="n">
        <v>44000</v>
      </c>
      <c r="N5724" t="n">
        <v>91</v>
      </c>
      <c r="O5724" t="n">
        <v>0.91</v>
      </c>
      <c r="P5724" t="n">
        <v>1</v>
      </c>
      <c r="Q5724" t="n">
        <v>0.1</v>
      </c>
      <c r="R5724" t="n">
        <v>2</v>
      </c>
      <c r="S5724" t="n">
        <v>13613.6</v>
      </c>
      <c r="T5724" t="n">
        <v>9</v>
      </c>
      <c r="U5724" t="n">
        <v>10</v>
      </c>
      <c r="V5724" t="n">
        <v>30</v>
      </c>
      <c r="W5724" t="n">
        <v>10</v>
      </c>
      <c r="X5724" t="n">
        <v>29.08855850032321</v>
      </c>
      <c r="Y5724" t="n">
        <v>1</v>
      </c>
      <c r="Z5724" t="n">
        <v>1</v>
      </c>
      <c r="AA5724" t="n">
        <v>0</v>
      </c>
      <c r="AB5724" t="n">
        <v>1</v>
      </c>
      <c r="AC5724" t="n">
        <v>3</v>
      </c>
      <c r="AD5724" t="n">
        <v>0</v>
      </c>
      <c r="AE5724" t="n">
        <v>111105</v>
      </c>
      <c r="AF5724" t="n">
        <v>1575</v>
      </c>
      <c r="AG5724" t="n">
        <v>361</v>
      </c>
      <c r="AH5724" t="inlineStr">
        <is>
          <t>CV. SERBA SERBI - PPN (PDG)</t>
        </is>
      </c>
      <c r="AI5724" t="n">
        <v>1598</v>
      </c>
      <c r="AJ5724" t="inlineStr">
        <is>
          <t>TRESEMME</t>
        </is>
      </c>
      <c r="AK5724" t="n">
        <v>21</v>
      </c>
      <c r="AL5724" t="inlineStr">
        <is>
          <t>Miss Glam Damar</t>
        </is>
      </c>
      <c r="AM5724" t="n">
        <v>2</v>
      </c>
      <c r="AN5724" t="n">
        <v>500000</v>
      </c>
      <c r="AO5724" t="n">
        <v>0</v>
      </c>
      <c r="AP5724" t="inlineStr"/>
      <c r="AQ5724" t="inlineStr"/>
    </row>
    <row r="5725">
      <c r="A5725" t="inlineStr">
        <is>
          <t>TRESEMME</t>
        </is>
      </c>
      <c r="B5725" s="2">
        <f>"8999999586843"</f>
        <v/>
      </c>
      <c r="C5725" t="inlineStr">
        <is>
          <t>TRESEMME Mask Ks Keratin Smooth 180ml</t>
        </is>
      </c>
      <c r="D5725" t="inlineStr">
        <is>
          <t>Miss Glam Damar</t>
        </is>
      </c>
      <c r="E5725" t="n">
        <v>13</v>
      </c>
      <c r="F5725" t="n">
        <v>0.1274</v>
      </c>
      <c r="G5725" t="n">
        <v>0.91</v>
      </c>
      <c r="H5725" t="n">
        <v>3</v>
      </c>
      <c r="I5725" t="n">
        <v>5</v>
      </c>
      <c r="J5725" t="n">
        <v>3</v>
      </c>
      <c r="K5725" t="n">
        <v>0</v>
      </c>
      <c r="L5725" t="n">
        <v>66019</v>
      </c>
      <c r="M5725" t="n">
        <v>78000</v>
      </c>
      <c r="N5725" t="n">
        <v>91</v>
      </c>
      <c r="O5725" t="n">
        <v>0.91</v>
      </c>
      <c r="P5725" t="n">
        <v>1</v>
      </c>
      <c r="Q5725" t="n">
        <v>0.2</v>
      </c>
      <c r="R5725" t="n">
        <v>3</v>
      </c>
      <c r="S5725" t="n">
        <v>9937.200000000001</v>
      </c>
      <c r="T5725" t="n">
        <v>5</v>
      </c>
      <c r="U5725" t="n">
        <v>6</v>
      </c>
      <c r="V5725" t="n">
        <v>30</v>
      </c>
      <c r="W5725" t="n">
        <v>4</v>
      </c>
      <c r="X5725" t="n">
        <v>102.0408163265306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1575</v>
      </c>
      <c r="AG5725" t="n">
        <v>361</v>
      </c>
      <c r="AH5725" t="inlineStr">
        <is>
          <t>CV. SERBA SERBI - PPN (PDG)</t>
        </is>
      </c>
      <c r="AI5725" t="n">
        <v>1598</v>
      </c>
      <c r="AJ5725" t="inlineStr">
        <is>
          <t>TRESEMME</t>
        </is>
      </c>
      <c r="AK5725" t="n">
        <v>21</v>
      </c>
      <c r="AL5725" t="inlineStr">
        <is>
          <t>Miss Glam Damar</t>
        </is>
      </c>
      <c r="AM5725" t="n">
        <v>2</v>
      </c>
      <c r="AN5725" t="n">
        <v>500000</v>
      </c>
      <c r="AO5725" t="n">
        <v>0</v>
      </c>
      <c r="AP5725" t="inlineStr"/>
      <c r="AQ5725" t="inlineStr"/>
    </row>
    <row r="5726">
      <c r="A5726" t="inlineStr">
        <is>
          <t>TRESEMME</t>
        </is>
      </c>
      <c r="B5726" s="2">
        <f>"8999999582630"</f>
        <v/>
      </c>
      <c r="C5726" t="inlineStr">
        <is>
          <t>TRESEMME Texture Dry Texture Finishing Spray 141gr</t>
        </is>
      </c>
      <c r="D5726" t="inlineStr">
        <is>
          <t>Miss Glam Damar</t>
        </is>
      </c>
      <c r="E5726" t="n">
        <v>0</v>
      </c>
      <c r="F5726" t="n">
        <v>0.04</v>
      </c>
      <c r="G5726" t="n">
        <v>1</v>
      </c>
      <c r="H5726" t="n">
        <v>3</v>
      </c>
      <c r="I5726" t="n">
        <v>5</v>
      </c>
      <c r="J5726" t="n">
        <v>3</v>
      </c>
      <c r="K5726" t="n">
        <v>0</v>
      </c>
      <c r="L5726" t="n">
        <v>106927</v>
      </c>
      <c r="M5726" t="n">
        <v>129000</v>
      </c>
      <c r="N5726" t="n">
        <v>91</v>
      </c>
      <c r="O5726" t="n">
        <v>0.91</v>
      </c>
      <c r="P5726" t="n">
        <v>0</v>
      </c>
      <c r="Q5726" t="n">
        <v>0.04</v>
      </c>
      <c r="R5726" t="n">
        <v>1</v>
      </c>
      <c r="S5726" t="n">
        <v>5160</v>
      </c>
      <c r="T5726" t="n">
        <v>5</v>
      </c>
      <c r="U5726" t="n">
        <v>6</v>
      </c>
      <c r="V5726" t="n">
        <v>30</v>
      </c>
      <c r="W5726" t="n">
        <v>2</v>
      </c>
      <c r="X5726" t="n">
        <v>0</v>
      </c>
      <c r="Y5726" t="n">
        <v>1</v>
      </c>
      <c r="Z5726" t="n">
        <v>2</v>
      </c>
      <c r="AA5726" t="n">
        <v>1</v>
      </c>
      <c r="AB5726" t="n">
        <v>1</v>
      </c>
      <c r="AC5726" t="n">
        <v>3</v>
      </c>
      <c r="AD5726" t="n">
        <v>106927</v>
      </c>
      <c r="AE5726" t="n">
        <v>320781</v>
      </c>
      <c r="AF5726" t="n">
        <v>1575</v>
      </c>
      <c r="AG5726" t="n">
        <v>361</v>
      </c>
      <c r="AH5726" t="inlineStr">
        <is>
          <t>CV. SERBA SERBI - PPN (PDG)</t>
        </is>
      </c>
      <c r="AI5726" t="n">
        <v>1598</v>
      </c>
      <c r="AJ5726" t="inlineStr">
        <is>
          <t>TRESEMME</t>
        </is>
      </c>
      <c r="AK5726" t="n">
        <v>21</v>
      </c>
      <c r="AL5726" t="inlineStr">
        <is>
          <t>Miss Glam Damar</t>
        </is>
      </c>
      <c r="AM5726" t="n">
        <v>2</v>
      </c>
      <c r="AN5726" t="n">
        <v>500000</v>
      </c>
      <c r="AO5726" t="n">
        <v>0</v>
      </c>
      <c r="AP5726" t="inlineStr"/>
      <c r="AQ5726" t="inlineStr"/>
    </row>
    <row r="5727">
      <c r="A5727" t="inlineStr">
        <is>
          <t>TSUBAKI</t>
        </is>
      </c>
      <c r="B5727" s="2">
        <f>"40100152353"</f>
        <v/>
      </c>
      <c r="C5727" t="inlineStr">
        <is>
          <t>TSUBAKI Premium Cool &amp; Repair Shampoo 450ml</t>
        </is>
      </c>
      <c r="D5727" t="inlineStr">
        <is>
          <t>Miss Glam Damar</t>
        </is>
      </c>
      <c r="E5727" t="n">
        <v>5</v>
      </c>
      <c r="F5727" t="n">
        <v>0.0182</v>
      </c>
      <c r="G5727" t="n">
        <v>0.91</v>
      </c>
      <c r="H5727" t="n">
        <v>2</v>
      </c>
      <c r="I5727" t="n">
        <v>11</v>
      </c>
      <c r="J5727" t="n">
        <v>1</v>
      </c>
      <c r="K5727" t="n">
        <v>0</v>
      </c>
      <c r="L5727" t="n">
        <v>100134</v>
      </c>
      <c r="M5727" t="n">
        <v>135000</v>
      </c>
      <c r="N5727" t="n">
        <v>91</v>
      </c>
      <c r="O5727" t="n">
        <v>0.91</v>
      </c>
      <c r="P5727" t="n">
        <v>1</v>
      </c>
      <c r="Q5727" t="n">
        <v>0.02</v>
      </c>
      <c r="R5727" t="n">
        <v>0</v>
      </c>
      <c r="S5727" t="n">
        <v>2457</v>
      </c>
      <c r="T5727" t="n">
        <v>10</v>
      </c>
      <c r="U5727" t="n">
        <v>11</v>
      </c>
      <c r="V5727" t="n">
        <v>30</v>
      </c>
      <c r="W5727" t="n">
        <v>1</v>
      </c>
      <c r="X5727" t="n">
        <v>274.7252747252747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12396</v>
      </c>
      <c r="AG5727" t="n">
        <v>92</v>
      </c>
      <c r="AH5727" t="inlineStr">
        <is>
          <t>PT. SAI (PDG)</t>
        </is>
      </c>
      <c r="AI5727" t="n">
        <v>1984</v>
      </c>
      <c r="AJ5727" t="inlineStr">
        <is>
          <t>TSUBAKI</t>
        </is>
      </c>
      <c r="AK5727" t="n">
        <v>21</v>
      </c>
      <c r="AL5727" t="inlineStr">
        <is>
          <t>Miss Glam Damar</t>
        </is>
      </c>
      <c r="AM5727" t="n">
        <v>4</v>
      </c>
      <c r="AN5727" t="n">
        <v>500000</v>
      </c>
      <c r="AO5727" t="n">
        <v>0</v>
      </c>
      <c r="AP5727" t="inlineStr"/>
      <c r="AQ5727" t="inlineStr"/>
    </row>
    <row r="5728">
      <c r="A5728" t="inlineStr">
        <is>
          <t>TSUBAKI</t>
        </is>
      </c>
      <c r="B5728" s="2">
        <f>"40100317716"</f>
        <v/>
      </c>
      <c r="C5728" t="inlineStr">
        <is>
          <t>TSUBAKI Premium Ex Damage Care &amp; Repair Conditioner Treatment 450ml</t>
        </is>
      </c>
      <c r="D5728" t="inlineStr">
        <is>
          <t>Miss Glam Damar</t>
        </is>
      </c>
      <c r="E5728" t="n">
        <v>3</v>
      </c>
      <c r="F5728" t="n">
        <v>0.02</v>
      </c>
      <c r="G5728" t="n">
        <v>1</v>
      </c>
      <c r="H5728" t="n">
        <v>2</v>
      </c>
      <c r="I5728" t="n">
        <v>11</v>
      </c>
      <c r="J5728" t="n">
        <v>1</v>
      </c>
      <c r="K5728" t="n">
        <v>0</v>
      </c>
      <c r="L5728" t="n">
        <v>115855</v>
      </c>
      <c r="M5728" t="n">
        <v>149900</v>
      </c>
      <c r="N5728" t="n">
        <v>91</v>
      </c>
      <c r="O5728" t="n">
        <v>0.91</v>
      </c>
      <c r="P5728" t="n">
        <v>0</v>
      </c>
      <c r="Q5728" t="n">
        <v>0.02</v>
      </c>
      <c r="R5728" t="n">
        <v>1</v>
      </c>
      <c r="S5728" t="n">
        <v>2998</v>
      </c>
      <c r="T5728" t="n">
        <v>11</v>
      </c>
      <c r="U5728" t="n">
        <v>12</v>
      </c>
      <c r="V5728" t="n">
        <v>30</v>
      </c>
      <c r="W5728" t="n">
        <v>1</v>
      </c>
      <c r="X5728" t="n">
        <v>150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12396</v>
      </c>
      <c r="AG5728" t="n">
        <v>92</v>
      </c>
      <c r="AH5728" t="inlineStr">
        <is>
          <t>PT. SAI (PDG)</t>
        </is>
      </c>
      <c r="AI5728" t="n">
        <v>1984</v>
      </c>
      <c r="AJ5728" t="inlineStr">
        <is>
          <t>TSUBAKI</t>
        </is>
      </c>
      <c r="AK5728" t="n">
        <v>21</v>
      </c>
      <c r="AL5728" t="inlineStr">
        <is>
          <t>Miss Glam Damar</t>
        </is>
      </c>
      <c r="AM5728" t="n">
        <v>4</v>
      </c>
      <c r="AN5728" t="n">
        <v>500000</v>
      </c>
      <c r="AO5728" t="n">
        <v>0</v>
      </c>
      <c r="AP5728" t="inlineStr"/>
      <c r="AQ5728" t="inlineStr"/>
    </row>
    <row r="5729">
      <c r="A5729" t="inlineStr">
        <is>
          <t>TSUBAKI</t>
        </is>
      </c>
      <c r="B5729" s="2">
        <f>"40100151141"</f>
        <v/>
      </c>
      <c r="C5729" t="inlineStr">
        <is>
          <t>TSUBAKI Premium Ex Damage Care &amp; Repair Shampoo 450ml</t>
        </is>
      </c>
      <c r="D5729" t="inlineStr">
        <is>
          <t>Miss Glam Damar</t>
        </is>
      </c>
      <c r="E5729" t="n">
        <v>2</v>
      </c>
      <c r="F5729" t="n">
        <v>0.04550000000000001</v>
      </c>
      <c r="G5729" t="n">
        <v>0.91</v>
      </c>
      <c r="H5729" t="n">
        <v>2</v>
      </c>
      <c r="I5729" t="n">
        <v>11</v>
      </c>
      <c r="J5729" t="n">
        <v>1</v>
      </c>
      <c r="K5729" t="n">
        <v>0</v>
      </c>
      <c r="L5729" t="n">
        <v>115855</v>
      </c>
      <c r="M5729" t="n">
        <v>149900</v>
      </c>
      <c r="N5729" t="n">
        <v>91</v>
      </c>
      <c r="O5729" t="n">
        <v>0.91</v>
      </c>
      <c r="P5729" t="n">
        <v>1</v>
      </c>
      <c r="Q5729" t="n">
        <v>0.02</v>
      </c>
      <c r="R5729" t="n">
        <v>1</v>
      </c>
      <c r="S5729" t="n">
        <v>6820.450000000001</v>
      </c>
      <c r="T5729" t="n">
        <v>10</v>
      </c>
      <c r="U5729" t="n">
        <v>11</v>
      </c>
      <c r="V5729" t="n">
        <v>30</v>
      </c>
      <c r="W5729" t="n">
        <v>2</v>
      </c>
      <c r="X5729" t="n">
        <v>43.95604395604395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12396</v>
      </c>
      <c r="AG5729" t="n">
        <v>92</v>
      </c>
      <c r="AH5729" t="inlineStr">
        <is>
          <t>PT. SAI (PDG)</t>
        </is>
      </c>
      <c r="AI5729" t="n">
        <v>1984</v>
      </c>
      <c r="AJ5729" t="inlineStr">
        <is>
          <t>TSUBAKI</t>
        </is>
      </c>
      <c r="AK5729" t="n">
        <v>21</v>
      </c>
      <c r="AL5729" t="inlineStr">
        <is>
          <t>Miss Glam Damar</t>
        </is>
      </c>
      <c r="AM5729" t="n">
        <v>4</v>
      </c>
      <c r="AN5729" t="n">
        <v>500000</v>
      </c>
      <c r="AO5729" t="n">
        <v>0</v>
      </c>
      <c r="AP5729" t="inlineStr"/>
      <c r="AQ5729" t="inlineStr"/>
    </row>
    <row r="5730">
      <c r="A5730" t="inlineStr">
        <is>
          <t>TSUBAKI</t>
        </is>
      </c>
      <c r="B5730" s="2">
        <f>"40100317908"</f>
        <v/>
      </c>
      <c r="C5730" t="inlineStr">
        <is>
          <t>TSUBAKI Premium Ex Hair Fall Care &amp; Repair Conditioner Treatment 450ml</t>
        </is>
      </c>
      <c r="D5730" t="inlineStr">
        <is>
          <t>Miss Glam Damar</t>
        </is>
      </c>
      <c r="E5730" t="n">
        <v>5</v>
      </c>
      <c r="F5730" t="n">
        <v>0.08</v>
      </c>
      <c r="G5730" t="n">
        <v>1</v>
      </c>
      <c r="H5730" t="n">
        <v>2</v>
      </c>
      <c r="I5730" t="n">
        <v>11</v>
      </c>
      <c r="J5730" t="n">
        <v>1</v>
      </c>
      <c r="K5730" t="n">
        <v>0</v>
      </c>
      <c r="L5730" t="n">
        <v>115855</v>
      </c>
      <c r="M5730" t="n">
        <v>136500</v>
      </c>
      <c r="N5730" t="n">
        <v>91</v>
      </c>
      <c r="O5730" t="n">
        <v>0.91</v>
      </c>
      <c r="P5730" t="n">
        <v>0</v>
      </c>
      <c r="Q5730" t="n">
        <v>0.08</v>
      </c>
      <c r="R5730" t="n">
        <v>1</v>
      </c>
      <c r="S5730" t="n">
        <v>10920</v>
      </c>
      <c r="T5730" t="n">
        <v>11</v>
      </c>
      <c r="U5730" t="n">
        <v>12</v>
      </c>
      <c r="V5730" t="n">
        <v>30</v>
      </c>
      <c r="W5730" t="n">
        <v>3</v>
      </c>
      <c r="X5730" t="n">
        <v>62.5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12396</v>
      </c>
      <c r="AG5730" t="n">
        <v>92</v>
      </c>
      <c r="AH5730" t="inlineStr">
        <is>
          <t>PT. SAI (PDG)</t>
        </is>
      </c>
      <c r="AI5730" t="n">
        <v>1984</v>
      </c>
      <c r="AJ5730" t="inlineStr">
        <is>
          <t>TSUBAKI</t>
        </is>
      </c>
      <c r="AK5730" t="n">
        <v>21</v>
      </c>
      <c r="AL5730" t="inlineStr">
        <is>
          <t>Miss Glam Damar</t>
        </is>
      </c>
      <c r="AM5730" t="n">
        <v>4</v>
      </c>
      <c r="AN5730" t="n">
        <v>500000</v>
      </c>
      <c r="AO5730" t="n">
        <v>0</v>
      </c>
      <c r="AP5730" t="inlineStr"/>
      <c r="AQ5730" t="inlineStr"/>
    </row>
    <row r="5731">
      <c r="A5731" t="inlineStr">
        <is>
          <t>TSUBAKI</t>
        </is>
      </c>
      <c r="B5731" s="2">
        <f>"40100151306"</f>
        <v/>
      </c>
      <c r="C5731" t="inlineStr">
        <is>
          <t>TSUBAKI Premium Ex Hair Fall Care &amp; Repair Shampoo 450ml</t>
        </is>
      </c>
      <c r="D5731" t="inlineStr">
        <is>
          <t>Miss Glam Damar</t>
        </is>
      </c>
      <c r="E5731" t="n">
        <v>3</v>
      </c>
      <c r="F5731" t="n">
        <v>0.04550000000000001</v>
      </c>
      <c r="G5731" t="n">
        <v>0.91</v>
      </c>
      <c r="H5731" t="n">
        <v>2</v>
      </c>
      <c r="I5731" t="n">
        <v>11</v>
      </c>
      <c r="J5731" t="n">
        <v>1</v>
      </c>
      <c r="K5731" t="n">
        <v>0</v>
      </c>
      <c r="L5731" t="n">
        <v>115855</v>
      </c>
      <c r="M5731" t="n">
        <v>136500</v>
      </c>
      <c r="N5731" t="n">
        <v>91</v>
      </c>
      <c r="O5731" t="n">
        <v>0.91</v>
      </c>
      <c r="P5731" t="n">
        <v>1</v>
      </c>
      <c r="Q5731" t="n">
        <v>0.1</v>
      </c>
      <c r="R5731" t="n">
        <v>1</v>
      </c>
      <c r="S5731" t="n">
        <v>6210.750000000001</v>
      </c>
      <c r="T5731" t="n">
        <v>10</v>
      </c>
      <c r="U5731" t="n">
        <v>11</v>
      </c>
      <c r="V5731" t="n">
        <v>30</v>
      </c>
      <c r="W5731" t="n">
        <v>2</v>
      </c>
      <c r="X5731" t="n">
        <v>65.93406593406593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12396</v>
      </c>
      <c r="AG5731" t="n">
        <v>92</v>
      </c>
      <c r="AH5731" t="inlineStr">
        <is>
          <t>PT. SAI (PDG)</t>
        </is>
      </c>
      <c r="AI5731" t="n">
        <v>1984</v>
      </c>
      <c r="AJ5731" t="inlineStr">
        <is>
          <t>TSUBAKI</t>
        </is>
      </c>
      <c r="AK5731" t="n">
        <v>21</v>
      </c>
      <c r="AL5731" t="inlineStr">
        <is>
          <t>Miss Glam Damar</t>
        </is>
      </c>
      <c r="AM5731" t="n">
        <v>4</v>
      </c>
      <c r="AN5731" t="n">
        <v>500000</v>
      </c>
      <c r="AO5731" t="n">
        <v>0</v>
      </c>
      <c r="AP5731" t="inlineStr"/>
      <c r="AQ5731" t="inlineStr"/>
    </row>
    <row r="5732">
      <c r="A5732" t="inlineStr">
        <is>
          <t>TSUBAKI</t>
        </is>
      </c>
      <c r="B5732" s="2">
        <f>"40200237309"</f>
        <v/>
      </c>
      <c r="C5732" t="inlineStr">
        <is>
          <t>TSUBAKI Premium Ex Repair Mask 180gr</t>
        </is>
      </c>
      <c r="D5732" t="inlineStr">
        <is>
          <t>Miss Glam Damar</t>
        </is>
      </c>
      <c r="E5732" t="n">
        <v>5</v>
      </c>
      <c r="F5732" t="n">
        <v>0.0182</v>
      </c>
      <c r="G5732" t="n">
        <v>0.91</v>
      </c>
      <c r="H5732" t="n">
        <v>2</v>
      </c>
      <c r="I5732" t="n">
        <v>11</v>
      </c>
      <c r="J5732" t="n">
        <v>1</v>
      </c>
      <c r="K5732" t="n">
        <v>0</v>
      </c>
      <c r="L5732" t="n">
        <v>147126</v>
      </c>
      <c r="M5732" t="n">
        <v>199000</v>
      </c>
      <c r="N5732" t="n">
        <v>91</v>
      </c>
      <c r="O5732" t="n">
        <v>0.91</v>
      </c>
      <c r="P5732" t="n">
        <v>1</v>
      </c>
      <c r="Q5732" t="n">
        <v>0.02</v>
      </c>
      <c r="R5732" t="n">
        <v>1</v>
      </c>
      <c r="S5732" t="n">
        <v>3621.8</v>
      </c>
      <c r="T5732" t="n">
        <v>10</v>
      </c>
      <c r="U5732" t="n">
        <v>11</v>
      </c>
      <c r="V5732" t="n">
        <v>30</v>
      </c>
      <c r="W5732" t="n">
        <v>1</v>
      </c>
      <c r="X5732" t="n">
        <v>274.7252747252747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12396</v>
      </c>
      <c r="AG5732" t="n">
        <v>92</v>
      </c>
      <c r="AH5732" t="inlineStr">
        <is>
          <t>PT. SAI (PDG)</t>
        </is>
      </c>
      <c r="AI5732" t="n">
        <v>1984</v>
      </c>
      <c r="AJ5732" t="inlineStr">
        <is>
          <t>TSUBAKI</t>
        </is>
      </c>
      <c r="AK5732" t="n">
        <v>21</v>
      </c>
      <c r="AL5732" t="inlineStr">
        <is>
          <t>Miss Glam Damar</t>
        </is>
      </c>
      <c r="AM5732" t="n">
        <v>4</v>
      </c>
      <c r="AN5732" t="n">
        <v>500000</v>
      </c>
      <c r="AO5732" t="n">
        <v>0</v>
      </c>
      <c r="AP5732" t="inlineStr"/>
      <c r="AQ5732" t="inlineStr"/>
    </row>
    <row r="5733">
      <c r="A5733" t="inlineStr">
        <is>
          <t>TSUBAKI</t>
        </is>
      </c>
      <c r="B5733" s="2">
        <f>"40100317540"</f>
        <v/>
      </c>
      <c r="C5733" t="inlineStr">
        <is>
          <t>TSUBAKI Premium Moist &amp; Repair Conditioner 450ml</t>
        </is>
      </c>
      <c r="D5733" t="inlineStr">
        <is>
          <t>Miss Glam Damar</t>
        </is>
      </c>
      <c r="E5733" t="n">
        <v>4</v>
      </c>
      <c r="F5733" t="n">
        <v>0.0182</v>
      </c>
      <c r="G5733" t="n">
        <v>0.91</v>
      </c>
      <c r="H5733" t="n">
        <v>2</v>
      </c>
      <c r="I5733" t="n">
        <v>11</v>
      </c>
      <c r="J5733" t="n">
        <v>1</v>
      </c>
      <c r="K5733" t="n">
        <v>0</v>
      </c>
      <c r="L5733" t="n">
        <v>96536</v>
      </c>
      <c r="M5733" t="n">
        <v>139000</v>
      </c>
      <c r="N5733" t="n">
        <v>91</v>
      </c>
      <c r="O5733" t="n">
        <v>0.91</v>
      </c>
      <c r="P5733" t="n">
        <v>1</v>
      </c>
      <c r="Q5733" t="n">
        <v>0.05</v>
      </c>
      <c r="R5733" t="n">
        <v>1</v>
      </c>
      <c r="S5733" t="n">
        <v>2529.8</v>
      </c>
      <c r="T5733" t="n">
        <v>10</v>
      </c>
      <c r="U5733" t="n">
        <v>11</v>
      </c>
      <c r="V5733" t="n">
        <v>30</v>
      </c>
      <c r="W5733" t="n">
        <v>1</v>
      </c>
      <c r="X5733" t="n">
        <v>219.7802197802198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12396</v>
      </c>
      <c r="AG5733" t="n">
        <v>92</v>
      </c>
      <c r="AH5733" t="inlineStr">
        <is>
          <t>PT. SAI (PDG)</t>
        </is>
      </c>
      <c r="AI5733" t="n">
        <v>1984</v>
      </c>
      <c r="AJ5733" t="inlineStr">
        <is>
          <t>TSUBAKI</t>
        </is>
      </c>
      <c r="AK5733" t="n">
        <v>21</v>
      </c>
      <c r="AL5733" t="inlineStr">
        <is>
          <t>Miss Glam Damar</t>
        </is>
      </c>
      <c r="AM5733" t="n">
        <v>4</v>
      </c>
      <c r="AN5733" t="n">
        <v>500000</v>
      </c>
      <c r="AO5733" t="n">
        <v>0</v>
      </c>
      <c r="AP5733" t="inlineStr"/>
      <c r="AQ5733" t="inlineStr"/>
    </row>
    <row r="5734">
      <c r="A5734" t="inlineStr">
        <is>
          <t>TSUBAKI</t>
        </is>
      </c>
      <c r="B5734" s="2">
        <f>"40100151009"</f>
        <v/>
      </c>
      <c r="C5734" t="inlineStr">
        <is>
          <t>TSUBAKI Premium Moist &amp; Repair Shampoo 450ml</t>
        </is>
      </c>
      <c r="D5734" t="inlineStr">
        <is>
          <t>Miss Glam Damar</t>
        </is>
      </c>
      <c r="E5734" t="n">
        <v>5</v>
      </c>
      <c r="F5734" t="n">
        <v>0.0273</v>
      </c>
      <c r="G5734" t="n">
        <v>0.91</v>
      </c>
      <c r="H5734" t="n">
        <v>2</v>
      </c>
      <c r="I5734" t="n">
        <v>11</v>
      </c>
      <c r="J5734" t="n">
        <v>1</v>
      </c>
      <c r="K5734" t="n">
        <v>0</v>
      </c>
      <c r="L5734" t="n">
        <v>96536</v>
      </c>
      <c r="M5734" t="n">
        <v>149900</v>
      </c>
      <c r="N5734" t="n">
        <v>91</v>
      </c>
      <c r="O5734" t="n">
        <v>0.91</v>
      </c>
      <c r="P5734" t="n">
        <v>1</v>
      </c>
      <c r="Q5734" t="n">
        <v>0.08</v>
      </c>
      <c r="R5734" t="n">
        <v>1</v>
      </c>
      <c r="S5734" t="n">
        <v>4092.27</v>
      </c>
      <c r="T5734" t="n">
        <v>10</v>
      </c>
      <c r="U5734" t="n">
        <v>11</v>
      </c>
      <c r="V5734" t="n">
        <v>30</v>
      </c>
      <c r="W5734" t="n">
        <v>1</v>
      </c>
      <c r="X5734" t="n">
        <v>183.1501831501832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12396</v>
      </c>
      <c r="AG5734" t="n">
        <v>92</v>
      </c>
      <c r="AH5734" t="inlineStr">
        <is>
          <t>PT. SAI (PDG)</t>
        </is>
      </c>
      <c r="AI5734" t="n">
        <v>1984</v>
      </c>
      <c r="AJ5734" t="inlineStr">
        <is>
          <t>TSUBAKI</t>
        </is>
      </c>
      <c r="AK5734" t="n">
        <v>21</v>
      </c>
      <c r="AL5734" t="inlineStr">
        <is>
          <t>Miss Glam Damar</t>
        </is>
      </c>
      <c r="AM5734" t="n">
        <v>4</v>
      </c>
      <c r="AN5734" t="n">
        <v>500000</v>
      </c>
      <c r="AO5734" t="n">
        <v>0</v>
      </c>
      <c r="AP5734" t="inlineStr"/>
      <c r="AQ5734" t="inlineStr"/>
    </row>
    <row r="5735">
      <c r="A5735" t="inlineStr">
        <is>
          <t>TSUBAKI</t>
        </is>
      </c>
      <c r="B5735" s="2">
        <f>"40100317856"</f>
        <v/>
      </c>
      <c r="C5735" t="inlineStr">
        <is>
          <t>TSUBAKI Premium Volume &amp; Repair Conditioner 450ml</t>
        </is>
      </c>
      <c r="D5735" t="inlineStr">
        <is>
          <t>Miss Glam Damar</t>
        </is>
      </c>
      <c r="E5735" t="n">
        <v>4</v>
      </c>
      <c r="F5735" t="n">
        <v>0.03</v>
      </c>
      <c r="G5735" t="n">
        <v>1</v>
      </c>
      <c r="H5735" t="n">
        <v>2</v>
      </c>
      <c r="I5735" t="n">
        <v>11</v>
      </c>
      <c r="J5735" t="n">
        <v>1</v>
      </c>
      <c r="K5735" t="n">
        <v>0</v>
      </c>
      <c r="L5735" t="n">
        <v>96536</v>
      </c>
      <c r="M5735" t="n">
        <v>149900</v>
      </c>
      <c r="N5735" t="n">
        <v>91</v>
      </c>
      <c r="O5735" t="n">
        <v>0.91</v>
      </c>
      <c r="P5735" t="n">
        <v>0</v>
      </c>
      <c r="Q5735" t="n">
        <v>0.03</v>
      </c>
      <c r="R5735" t="n">
        <v>1</v>
      </c>
      <c r="S5735" t="n">
        <v>4497</v>
      </c>
      <c r="T5735" t="n">
        <v>11</v>
      </c>
      <c r="U5735" t="n">
        <v>12</v>
      </c>
      <c r="V5735" t="n">
        <v>30</v>
      </c>
      <c r="W5735" t="n">
        <v>1</v>
      </c>
      <c r="X5735" t="n">
        <v>133.3333333333333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12396</v>
      </c>
      <c r="AG5735" t="n">
        <v>92</v>
      </c>
      <c r="AH5735" t="inlineStr">
        <is>
          <t>PT. SAI (PDG)</t>
        </is>
      </c>
      <c r="AI5735" t="n">
        <v>1984</v>
      </c>
      <c r="AJ5735" t="inlineStr">
        <is>
          <t>TSUBAKI</t>
        </is>
      </c>
      <c r="AK5735" t="n">
        <v>21</v>
      </c>
      <c r="AL5735" t="inlineStr">
        <is>
          <t>Miss Glam Damar</t>
        </is>
      </c>
      <c r="AM5735" t="n">
        <v>4</v>
      </c>
      <c r="AN5735" t="n">
        <v>500000</v>
      </c>
      <c r="AO5735" t="n">
        <v>0</v>
      </c>
      <c r="AP5735" t="inlineStr"/>
      <c r="AQ5735" t="inlineStr"/>
    </row>
    <row r="5736">
      <c r="A5736" t="inlineStr">
        <is>
          <t>TSUBAKI</t>
        </is>
      </c>
      <c r="B5736" s="2">
        <f>"40100151215"</f>
        <v/>
      </c>
      <c r="C5736" t="inlineStr">
        <is>
          <t>TSUBAKI Premium Volume &amp; Repair Shampoo 450ml</t>
        </is>
      </c>
      <c r="D5736" t="inlineStr">
        <is>
          <t>Miss Glam Damar</t>
        </is>
      </c>
      <c r="E5736" t="n">
        <v>4</v>
      </c>
      <c r="F5736" t="n">
        <v>0.0273</v>
      </c>
      <c r="G5736" t="n">
        <v>0.91</v>
      </c>
      <c r="H5736" t="n">
        <v>2</v>
      </c>
      <c r="I5736" t="n">
        <v>11</v>
      </c>
      <c r="J5736" t="n">
        <v>1</v>
      </c>
      <c r="K5736" t="n">
        <v>0</v>
      </c>
      <c r="L5736" t="n">
        <v>96536</v>
      </c>
      <c r="M5736" t="n">
        <v>124000</v>
      </c>
      <c r="N5736" t="n">
        <v>91</v>
      </c>
      <c r="O5736" t="n">
        <v>0.91</v>
      </c>
      <c r="P5736" t="n">
        <v>1</v>
      </c>
      <c r="Q5736" t="n">
        <v>0.1</v>
      </c>
      <c r="R5736" t="n">
        <v>1</v>
      </c>
      <c r="S5736" t="n">
        <v>3385.2</v>
      </c>
      <c r="T5736" t="n">
        <v>10</v>
      </c>
      <c r="U5736" t="n">
        <v>11</v>
      </c>
      <c r="V5736" t="n">
        <v>30</v>
      </c>
      <c r="W5736" t="n">
        <v>1</v>
      </c>
      <c r="X5736" t="n">
        <v>146.5201465201465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12396</v>
      </c>
      <c r="AG5736" t="n">
        <v>92</v>
      </c>
      <c r="AH5736" t="inlineStr">
        <is>
          <t>PT. SAI (PDG)</t>
        </is>
      </c>
      <c r="AI5736" t="n">
        <v>1984</v>
      </c>
      <c r="AJ5736" t="inlineStr">
        <is>
          <t>TSUBAKI</t>
        </is>
      </c>
      <c r="AK5736" t="n">
        <v>21</v>
      </c>
      <c r="AL5736" t="inlineStr">
        <is>
          <t>Miss Glam Damar</t>
        </is>
      </c>
      <c r="AM5736" t="n">
        <v>4</v>
      </c>
      <c r="AN5736" t="n">
        <v>500000</v>
      </c>
      <c r="AO5736" t="n">
        <v>0</v>
      </c>
      <c r="AP5736" t="inlineStr"/>
      <c r="AQ5736" t="inlineStr"/>
    </row>
    <row r="5737">
      <c r="A5737" t="inlineStr">
        <is>
          <t>TSUBAKI</t>
        </is>
      </c>
      <c r="B5737" s="2">
        <f>"40200237212"</f>
        <v/>
      </c>
      <c r="C5737" t="inlineStr">
        <is>
          <t>TSUBAKI Premium Volume &amp; Repair Treatment 160gr</t>
        </is>
      </c>
      <c r="D5737" t="inlineStr">
        <is>
          <t>Miss Glam Damar</t>
        </is>
      </c>
      <c r="E5737" t="n">
        <v>5</v>
      </c>
      <c r="F5737" t="n">
        <v>0.03</v>
      </c>
      <c r="G5737" t="n">
        <v>1</v>
      </c>
      <c r="H5737" t="n">
        <v>2</v>
      </c>
      <c r="I5737" t="n">
        <v>11</v>
      </c>
      <c r="J5737" t="n">
        <v>1</v>
      </c>
      <c r="K5737" t="n">
        <v>0</v>
      </c>
      <c r="L5737" t="n">
        <v>84943</v>
      </c>
      <c r="M5737" t="n">
        <v>109000</v>
      </c>
      <c r="N5737" t="n">
        <v>91</v>
      </c>
      <c r="O5737" t="n">
        <v>0.91</v>
      </c>
      <c r="P5737" t="n">
        <v>0</v>
      </c>
      <c r="Q5737" t="n">
        <v>0.03</v>
      </c>
      <c r="R5737" t="n">
        <v>1</v>
      </c>
      <c r="S5737" t="n">
        <v>3270</v>
      </c>
      <c r="T5737" t="n">
        <v>11</v>
      </c>
      <c r="U5737" t="n">
        <v>12</v>
      </c>
      <c r="V5737" t="n">
        <v>30</v>
      </c>
      <c r="W5737" t="n">
        <v>1</v>
      </c>
      <c r="X5737" t="n">
        <v>166.6666666666667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12396</v>
      </c>
      <c r="AG5737" t="n">
        <v>92</v>
      </c>
      <c r="AH5737" t="inlineStr">
        <is>
          <t>PT. SAI (PDG)</t>
        </is>
      </c>
      <c r="AI5737" t="n">
        <v>1984</v>
      </c>
      <c r="AJ5737" t="inlineStr">
        <is>
          <t>TSUBAKI</t>
        </is>
      </c>
      <c r="AK5737" t="n">
        <v>21</v>
      </c>
      <c r="AL5737" t="inlineStr">
        <is>
          <t>Miss Glam Damar</t>
        </is>
      </c>
      <c r="AM5737" t="n">
        <v>4</v>
      </c>
      <c r="AN5737" t="n">
        <v>500000</v>
      </c>
      <c r="AO5737" t="n">
        <v>0</v>
      </c>
      <c r="AP5737" t="inlineStr"/>
      <c r="AQ5737" t="inlineStr"/>
    </row>
    <row r="5738">
      <c r="A5738" t="inlineStr">
        <is>
          <t>UNITARY</t>
        </is>
      </c>
      <c r="B5738" s="2">
        <f>"6936711849857"</f>
        <v/>
      </c>
      <c r="C5738" t="inlineStr">
        <is>
          <t>UNITARY Global Suncare UV Protector S 50+ / PA++++ 30ml</t>
        </is>
      </c>
      <c r="D5738" t="inlineStr">
        <is>
          <t>Miss Glam Damar</t>
        </is>
      </c>
      <c r="E5738" t="n">
        <v>5</v>
      </c>
      <c r="F5738" t="n">
        <v>0.2457</v>
      </c>
      <c r="G5738" t="n">
        <v>1.82</v>
      </c>
      <c r="H5738" t="n">
        <v>4</v>
      </c>
      <c r="I5738" t="n">
        <v>21</v>
      </c>
      <c r="J5738" t="n">
        <v>3</v>
      </c>
      <c r="K5738" t="n">
        <v>0</v>
      </c>
      <c r="L5738" t="n">
        <v>45423</v>
      </c>
      <c r="M5738" t="n">
        <v>72000</v>
      </c>
      <c r="N5738" t="n">
        <v>91</v>
      </c>
      <c r="O5738" t="n">
        <v>0.91</v>
      </c>
      <c r="P5738" t="n">
        <v>1</v>
      </c>
      <c r="Q5738" t="n">
        <v>0.08</v>
      </c>
      <c r="R5738" t="n">
        <v>1</v>
      </c>
      <c r="S5738" t="n">
        <v>17690.4</v>
      </c>
      <c r="T5738" t="n">
        <v>38</v>
      </c>
      <c r="U5738" t="n">
        <v>39</v>
      </c>
      <c r="V5738" t="n">
        <v>30</v>
      </c>
      <c r="W5738" t="n">
        <v>8</v>
      </c>
      <c r="X5738" t="n">
        <v>20.35002035002035</v>
      </c>
      <c r="Y5738" t="n">
        <v>1</v>
      </c>
      <c r="Z5738" t="n">
        <v>3</v>
      </c>
      <c r="AA5738" t="n">
        <v>1</v>
      </c>
      <c r="AB5738" t="n">
        <v>2</v>
      </c>
      <c r="AC5738" t="n">
        <v>3</v>
      </c>
      <c r="AD5738" t="n">
        <v>45423</v>
      </c>
      <c r="AE5738" t="n">
        <v>136269</v>
      </c>
      <c r="AF5738" t="n">
        <v>9014</v>
      </c>
      <c r="AG5738" t="n">
        <v>1</v>
      </c>
      <c r="AH5738" t="inlineStr">
        <is>
          <t>PT. BERSAMA DISTRIVERSA INDONESIA (DC CIPUTAT)</t>
        </is>
      </c>
      <c r="AI5738" t="n">
        <v>1888</v>
      </c>
      <c r="AJ5738" t="inlineStr">
        <is>
          <t>UNITARY</t>
        </is>
      </c>
      <c r="AK5738" t="n">
        <v>21</v>
      </c>
      <c r="AL5738" t="inlineStr">
        <is>
          <t>Miss Glam Damar</t>
        </is>
      </c>
      <c r="AM5738" t="n">
        <v>1</v>
      </c>
      <c r="AN5738" t="n">
        <v>500000</v>
      </c>
      <c r="AO5738" t="n">
        <v>0</v>
      </c>
      <c r="AP5738" t="inlineStr"/>
      <c r="AQ5738" t="inlineStr"/>
    </row>
    <row r="5739">
      <c r="A5739" t="inlineStr">
        <is>
          <t>UNITARY</t>
        </is>
      </c>
      <c r="B5739" s="2">
        <f>"6936711849888"</f>
        <v/>
      </c>
      <c r="C5739" t="inlineStr">
        <is>
          <t>UNITARY Sun Block Moisturizer Facial 50+ PA++++ 50ml</t>
        </is>
      </c>
      <c r="D5739" t="inlineStr">
        <is>
          <t>Miss Glam Damar</t>
        </is>
      </c>
      <c r="E5739" t="n">
        <v>11</v>
      </c>
      <c r="F5739" t="n">
        <v>0.1274</v>
      </c>
      <c r="G5739" t="n">
        <v>0.91</v>
      </c>
      <c r="H5739" t="n">
        <v>4</v>
      </c>
      <c r="I5739" t="n">
        <v>21</v>
      </c>
      <c r="J5739" t="n">
        <v>3</v>
      </c>
      <c r="K5739" t="n">
        <v>0</v>
      </c>
      <c r="L5739" t="n">
        <v>45423</v>
      </c>
      <c r="M5739" t="n">
        <v>67000</v>
      </c>
      <c r="N5739" t="n">
        <v>91</v>
      </c>
      <c r="O5739" t="n">
        <v>0.91</v>
      </c>
      <c r="P5739" t="n">
        <v>1</v>
      </c>
      <c r="Q5739" t="n">
        <v>0.2</v>
      </c>
      <c r="R5739" t="n">
        <v>2</v>
      </c>
      <c r="S5739" t="n">
        <v>8535.800000000001</v>
      </c>
      <c r="T5739" t="n">
        <v>19</v>
      </c>
      <c r="U5739" t="n">
        <v>20</v>
      </c>
      <c r="V5739" t="n">
        <v>30</v>
      </c>
      <c r="W5739" t="n">
        <v>4</v>
      </c>
      <c r="X5739" t="n">
        <v>86.34222919937204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9014</v>
      </c>
      <c r="AG5739" t="n">
        <v>1</v>
      </c>
      <c r="AH5739" t="inlineStr">
        <is>
          <t>PT. BERSAMA DISTRIVERSA INDONESIA (DC CIPUTAT)</t>
        </is>
      </c>
      <c r="AI5739" t="n">
        <v>1888</v>
      </c>
      <c r="AJ5739" t="inlineStr">
        <is>
          <t>UNITARY</t>
        </is>
      </c>
      <c r="AK5739" t="n">
        <v>21</v>
      </c>
      <c r="AL5739" t="inlineStr">
        <is>
          <t>Miss Glam Damar</t>
        </is>
      </c>
      <c r="AM5739" t="n">
        <v>1</v>
      </c>
      <c r="AN5739" t="n">
        <v>500000</v>
      </c>
      <c r="AO5739" t="n">
        <v>0</v>
      </c>
      <c r="AP5739" t="inlineStr"/>
      <c r="AQ5739" t="inlineStr"/>
    </row>
    <row r="5740">
      <c r="A5740" t="inlineStr">
        <is>
          <t>UNITARY</t>
        </is>
      </c>
      <c r="B5740" s="2">
        <f>"6936711849901"</f>
        <v/>
      </c>
      <c r="C5740" t="inlineStr">
        <is>
          <t>UNITARY Sun Face Protection Serum 30ml</t>
        </is>
      </c>
      <c r="D5740" t="inlineStr">
        <is>
          <t>Miss Glam Damar</t>
        </is>
      </c>
      <c r="E5740" t="n">
        <v>6</v>
      </c>
      <c r="F5740" t="n">
        <v>0.1001</v>
      </c>
      <c r="G5740" t="n">
        <v>0.91</v>
      </c>
      <c r="H5740" t="n">
        <v>4</v>
      </c>
      <c r="I5740" t="n">
        <v>21</v>
      </c>
      <c r="J5740" t="n">
        <v>3</v>
      </c>
      <c r="K5740" t="n">
        <v>0</v>
      </c>
      <c r="L5740" t="n">
        <v>45423</v>
      </c>
      <c r="M5740" t="n">
        <v>67000</v>
      </c>
      <c r="N5740" t="n">
        <v>91</v>
      </c>
      <c r="O5740" t="n">
        <v>0.91</v>
      </c>
      <c r="P5740" t="n">
        <v>1</v>
      </c>
      <c r="Q5740" t="n">
        <v>0.03</v>
      </c>
      <c r="R5740" t="n">
        <v>1</v>
      </c>
      <c r="S5740" t="n">
        <v>6706.700000000001</v>
      </c>
      <c r="T5740" t="n">
        <v>19</v>
      </c>
      <c r="U5740" t="n">
        <v>20</v>
      </c>
      <c r="V5740" t="n">
        <v>30</v>
      </c>
      <c r="W5740" t="n">
        <v>4</v>
      </c>
      <c r="X5740" t="n">
        <v>59.94005994005993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9014</v>
      </c>
      <c r="AG5740" t="n">
        <v>1</v>
      </c>
      <c r="AH5740" t="inlineStr">
        <is>
          <t>PT. BERSAMA DISTRIVERSA INDONESIA (DC CIPUTAT)</t>
        </is>
      </c>
      <c r="AI5740" t="n">
        <v>1888</v>
      </c>
      <c r="AJ5740" t="inlineStr">
        <is>
          <t>UNITARY</t>
        </is>
      </c>
      <c r="AK5740" t="n">
        <v>21</v>
      </c>
      <c r="AL5740" t="inlineStr">
        <is>
          <t>Miss Glam Damar</t>
        </is>
      </c>
      <c r="AM5740" t="n">
        <v>1</v>
      </c>
      <c r="AN5740" t="n">
        <v>500000</v>
      </c>
      <c r="AO5740" t="n">
        <v>0</v>
      </c>
      <c r="AP5740" t="inlineStr"/>
      <c r="AQ5740" t="inlineStr"/>
    </row>
    <row r="5741">
      <c r="A5741" t="inlineStr">
        <is>
          <t>UNITARY</t>
        </is>
      </c>
      <c r="B5741" s="2">
        <f>"6936711849871"</f>
        <v/>
      </c>
      <c r="C5741" t="inlineStr">
        <is>
          <t>UNITARY UV Watery Essense SPF 50+ PA+++ 50ml</t>
        </is>
      </c>
      <c r="D5741" t="inlineStr">
        <is>
          <t>Miss Glam Damar</t>
        </is>
      </c>
      <c r="E5741" t="n">
        <v>8</v>
      </c>
      <c r="F5741" t="n">
        <v>0.2639</v>
      </c>
      <c r="G5741" t="n">
        <v>1.82</v>
      </c>
      <c r="H5741" t="n">
        <v>4</v>
      </c>
      <c r="I5741" t="n">
        <v>21</v>
      </c>
      <c r="J5741" t="n">
        <v>3</v>
      </c>
      <c r="K5741" t="n">
        <v>0</v>
      </c>
      <c r="L5741" t="n">
        <v>45423</v>
      </c>
      <c r="M5741" t="n">
        <v>79000</v>
      </c>
      <c r="N5741" t="n">
        <v>91</v>
      </c>
      <c r="O5741" t="n">
        <v>0.91</v>
      </c>
      <c r="P5741" t="n">
        <v>1</v>
      </c>
      <c r="Q5741" t="n">
        <v>0.08</v>
      </c>
      <c r="R5741" t="n">
        <v>1</v>
      </c>
      <c r="S5741" t="n">
        <v>20848.1</v>
      </c>
      <c r="T5741" t="n">
        <v>38</v>
      </c>
      <c r="U5741" t="n">
        <v>40</v>
      </c>
      <c r="V5741" t="n">
        <v>30</v>
      </c>
      <c r="W5741" t="n">
        <v>8</v>
      </c>
      <c r="X5741" t="n">
        <v>30.31451307313377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9014</v>
      </c>
      <c r="AG5741" t="n">
        <v>1</v>
      </c>
      <c r="AH5741" t="inlineStr">
        <is>
          <t>PT. BERSAMA DISTRIVERSA INDONESIA (DC CIPUTAT)</t>
        </is>
      </c>
      <c r="AI5741" t="n">
        <v>1888</v>
      </c>
      <c r="AJ5741" t="inlineStr">
        <is>
          <t>UNITARY</t>
        </is>
      </c>
      <c r="AK5741" t="n">
        <v>21</v>
      </c>
      <c r="AL5741" t="inlineStr">
        <is>
          <t>Miss Glam Damar</t>
        </is>
      </c>
      <c r="AM5741" t="n">
        <v>1</v>
      </c>
      <c r="AN5741" t="n">
        <v>500000</v>
      </c>
      <c r="AO5741" t="n">
        <v>0</v>
      </c>
      <c r="AP5741" t="inlineStr"/>
      <c r="AQ5741" t="inlineStr"/>
    </row>
    <row r="5742">
      <c r="A5742" t="inlineStr">
        <is>
          <t>USHAS</t>
        </is>
      </c>
      <c r="B5742" s="2">
        <f>"6924372622858"</f>
        <v/>
      </c>
      <c r="C5742" t="inlineStr">
        <is>
          <t>USHAS 1065 Pressed Powder Blush No.1 5gr</t>
        </is>
      </c>
      <c r="D5742" t="inlineStr">
        <is>
          <t>Miss Glam Damar</t>
        </is>
      </c>
      <c r="E5742" t="n">
        <v>4</v>
      </c>
      <c r="F5742" t="n">
        <v>0.04550000000000001</v>
      </c>
      <c r="G5742" t="n">
        <v>0.91</v>
      </c>
      <c r="H5742" t="n">
        <v>2</v>
      </c>
      <c r="I5742" t="n">
        <v>16</v>
      </c>
      <c r="J5742" t="n">
        <v>3</v>
      </c>
      <c r="K5742" t="n">
        <v>0</v>
      </c>
      <c r="L5742" t="n">
        <v>23735</v>
      </c>
      <c r="M5742" t="n">
        <v>28500</v>
      </c>
      <c r="N5742" t="n">
        <v>91</v>
      </c>
      <c r="O5742" t="n">
        <v>0.91</v>
      </c>
      <c r="P5742" t="n">
        <v>1</v>
      </c>
      <c r="Q5742" t="n">
        <v>0.12</v>
      </c>
      <c r="R5742" t="n">
        <v>2</v>
      </c>
      <c r="S5742" t="n">
        <v>1296.75</v>
      </c>
      <c r="T5742" t="n">
        <v>15</v>
      </c>
      <c r="U5742" t="n">
        <v>16</v>
      </c>
      <c r="V5742" t="n">
        <v>30</v>
      </c>
      <c r="W5742" t="n">
        <v>2</v>
      </c>
      <c r="X5742" t="n">
        <v>87.9120879120879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747</v>
      </c>
      <c r="AG5742" t="n">
        <v>107</v>
      </c>
      <c r="AH5742" t="inlineStr">
        <is>
          <t xml:space="preserve">CV. DAHLIA - PPN (PDG) </t>
        </is>
      </c>
      <c r="AI5742" t="n">
        <v>474</v>
      </c>
      <c r="AJ5742" t="inlineStr">
        <is>
          <t>USHAS</t>
        </is>
      </c>
      <c r="AK5742" t="n">
        <v>21</v>
      </c>
      <c r="AL5742" t="inlineStr">
        <is>
          <t>Miss Glam Damar</t>
        </is>
      </c>
      <c r="AM5742" t="n">
        <v>2</v>
      </c>
      <c r="AN5742" t="n">
        <v>500000</v>
      </c>
      <c r="AO5742" t="n">
        <v>0</v>
      </c>
      <c r="AP5742" t="inlineStr"/>
      <c r="AQ5742" t="inlineStr"/>
    </row>
    <row r="5743">
      <c r="A5743" t="inlineStr">
        <is>
          <t>USHAS</t>
        </is>
      </c>
      <c r="B5743" s="2">
        <f>"6924372694268"</f>
        <v/>
      </c>
      <c r="C5743" t="inlineStr">
        <is>
          <t>USHAS 1065 Pressed Powder Blush No.4 5gr</t>
        </is>
      </c>
      <c r="D5743" t="inlineStr">
        <is>
          <t>Miss Glam Damar</t>
        </is>
      </c>
      <c r="E5743" t="n">
        <v>11</v>
      </c>
      <c r="F5743" t="n">
        <v>0.1365</v>
      </c>
      <c r="G5743" t="n">
        <v>0.91</v>
      </c>
      <c r="H5743" t="n">
        <v>2</v>
      </c>
      <c r="I5743" t="n">
        <v>16</v>
      </c>
      <c r="J5743" t="n">
        <v>3</v>
      </c>
      <c r="K5743" t="n">
        <v>0</v>
      </c>
      <c r="L5743" t="n">
        <v>23877</v>
      </c>
      <c r="M5743" t="n">
        <v>28500</v>
      </c>
      <c r="N5743" t="n">
        <v>91</v>
      </c>
      <c r="O5743" t="n">
        <v>0.91</v>
      </c>
      <c r="P5743" t="n">
        <v>1</v>
      </c>
      <c r="Q5743" t="n">
        <v>0.34</v>
      </c>
      <c r="R5743" t="n">
        <v>2</v>
      </c>
      <c r="S5743" t="n">
        <v>3890.25</v>
      </c>
      <c r="T5743" t="n">
        <v>15</v>
      </c>
      <c r="U5743" t="n">
        <v>16</v>
      </c>
      <c r="V5743" t="n">
        <v>30</v>
      </c>
      <c r="W5743" t="n">
        <v>5</v>
      </c>
      <c r="X5743" t="n">
        <v>80.58608058608058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747</v>
      </c>
      <c r="AG5743" t="n">
        <v>107</v>
      </c>
      <c r="AH5743" t="inlineStr">
        <is>
          <t xml:space="preserve">CV. DAHLIA - PPN (PDG) </t>
        </is>
      </c>
      <c r="AI5743" t="n">
        <v>474</v>
      </c>
      <c r="AJ5743" t="inlineStr">
        <is>
          <t>USHAS</t>
        </is>
      </c>
      <c r="AK5743" t="n">
        <v>21</v>
      </c>
      <c r="AL5743" t="inlineStr">
        <is>
          <t>Miss Glam Damar</t>
        </is>
      </c>
      <c r="AM5743" t="n">
        <v>2</v>
      </c>
      <c r="AN5743" t="n">
        <v>500000</v>
      </c>
      <c r="AO5743" t="n">
        <v>0</v>
      </c>
      <c r="AP5743" t="inlineStr"/>
      <c r="AQ5743" t="inlineStr"/>
    </row>
    <row r="5744">
      <c r="A5744" t="inlineStr">
        <is>
          <t>USHAS</t>
        </is>
      </c>
      <c r="B5744" s="2">
        <f>"6924372600023"</f>
        <v/>
      </c>
      <c r="C5744" t="inlineStr">
        <is>
          <t>USHAS EB111E Eyebrow Pencil Black 1.3gr</t>
        </is>
      </c>
      <c r="D5744" t="inlineStr">
        <is>
          <t>Miss Glam Damar</t>
        </is>
      </c>
      <c r="E5744" t="n">
        <v>4</v>
      </c>
      <c r="F5744" t="n">
        <v>0.1547</v>
      </c>
      <c r="G5744" t="n">
        <v>2.73</v>
      </c>
      <c r="H5744" t="n">
        <v>2</v>
      </c>
      <c r="I5744" t="n">
        <v>16</v>
      </c>
      <c r="J5744" t="n">
        <v>3</v>
      </c>
      <c r="K5744" t="n">
        <v>0</v>
      </c>
      <c r="L5744" t="n">
        <v>3567</v>
      </c>
      <c r="M5744" t="n">
        <v>5000</v>
      </c>
      <c r="N5744" t="n">
        <v>91</v>
      </c>
      <c r="O5744" t="n">
        <v>0.91</v>
      </c>
      <c r="P5744" t="n">
        <v>1</v>
      </c>
      <c r="Q5744" t="n">
        <v>0.07000000000000001</v>
      </c>
      <c r="R5744" t="n">
        <v>2</v>
      </c>
      <c r="S5744" t="n">
        <v>773.5</v>
      </c>
      <c r="T5744" t="n">
        <v>44</v>
      </c>
      <c r="U5744" t="n">
        <v>45</v>
      </c>
      <c r="V5744" t="n">
        <v>30</v>
      </c>
      <c r="W5744" t="n">
        <v>5</v>
      </c>
      <c r="X5744" t="n">
        <v>25.85649644473174</v>
      </c>
      <c r="Y5744" t="n">
        <v>1</v>
      </c>
      <c r="Z5744" t="n">
        <v>1</v>
      </c>
      <c r="AA5744" t="n">
        <v>0</v>
      </c>
      <c r="AB5744" t="n">
        <v>1</v>
      </c>
      <c r="AC5744" t="n">
        <v>3</v>
      </c>
      <c r="AD5744" t="n">
        <v>0</v>
      </c>
      <c r="AE5744" t="n">
        <v>10701</v>
      </c>
      <c r="AF5744" t="n">
        <v>747</v>
      </c>
      <c r="AG5744" t="n">
        <v>107</v>
      </c>
      <c r="AH5744" t="inlineStr">
        <is>
          <t xml:space="preserve">CV. DAHLIA - PPN (PDG) </t>
        </is>
      </c>
      <c r="AI5744" t="n">
        <v>474</v>
      </c>
      <c r="AJ5744" t="inlineStr">
        <is>
          <t>USHAS</t>
        </is>
      </c>
      <c r="AK5744" t="n">
        <v>21</v>
      </c>
      <c r="AL5744" t="inlineStr">
        <is>
          <t>Miss Glam Damar</t>
        </is>
      </c>
      <c r="AM5744" t="n">
        <v>2</v>
      </c>
      <c r="AN5744" t="n">
        <v>500000</v>
      </c>
      <c r="AO5744" t="n">
        <v>0</v>
      </c>
      <c r="AP5744" t="inlineStr"/>
      <c r="AQ5744" t="inlineStr"/>
    </row>
    <row r="5745">
      <c r="A5745" t="inlineStr">
        <is>
          <t>USHAS</t>
        </is>
      </c>
      <c r="B5745" s="2">
        <f>"6924372694237"</f>
        <v/>
      </c>
      <c r="C5745" t="inlineStr">
        <is>
          <t>USHAS EB111E Eyebrow Pencil Brown 1.3gr</t>
        </is>
      </c>
      <c r="D5745" t="inlineStr">
        <is>
          <t>Miss Glam Damar</t>
        </is>
      </c>
      <c r="E5745" t="n">
        <v>14</v>
      </c>
      <c r="F5745" t="n">
        <v>0.1365</v>
      </c>
      <c r="G5745" t="n">
        <v>1.82</v>
      </c>
      <c r="H5745" t="n">
        <v>2</v>
      </c>
      <c r="I5745" t="n">
        <v>16</v>
      </c>
      <c r="J5745" t="n">
        <v>3</v>
      </c>
      <c r="K5745" t="n">
        <v>0</v>
      </c>
      <c r="L5745" t="n">
        <v>3567</v>
      </c>
      <c r="M5745" t="n">
        <v>5000</v>
      </c>
      <c r="N5745" t="n">
        <v>91</v>
      </c>
      <c r="O5745" t="n">
        <v>0.91</v>
      </c>
      <c r="P5745" t="n">
        <v>1</v>
      </c>
      <c r="Q5745" t="n">
        <v>0.63</v>
      </c>
      <c r="R5745" t="n">
        <v>4</v>
      </c>
      <c r="S5745" t="n">
        <v>682.5</v>
      </c>
      <c r="T5745" t="n">
        <v>29</v>
      </c>
      <c r="U5745" t="n">
        <v>30</v>
      </c>
      <c r="V5745" t="n">
        <v>30</v>
      </c>
      <c r="W5745" t="n">
        <v>5</v>
      </c>
      <c r="X5745" t="n">
        <v>102.5641025641026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747</v>
      </c>
      <c r="AG5745" t="n">
        <v>107</v>
      </c>
      <c r="AH5745" t="inlineStr">
        <is>
          <t xml:space="preserve">CV. DAHLIA - PPN (PDG) </t>
        </is>
      </c>
      <c r="AI5745" t="n">
        <v>474</v>
      </c>
      <c r="AJ5745" t="inlineStr">
        <is>
          <t>USHAS</t>
        </is>
      </c>
      <c r="AK5745" t="n">
        <v>21</v>
      </c>
      <c r="AL5745" t="inlineStr">
        <is>
          <t>Miss Glam Damar</t>
        </is>
      </c>
      <c r="AM5745" t="n">
        <v>2</v>
      </c>
      <c r="AN5745" t="n">
        <v>500000</v>
      </c>
      <c r="AO5745" t="n">
        <v>0</v>
      </c>
      <c r="AP5745" t="inlineStr"/>
      <c r="AQ5745" t="inlineStr"/>
    </row>
    <row r="5746">
      <c r="A5746" t="inlineStr">
        <is>
          <t>USHAS</t>
        </is>
      </c>
      <c r="B5746" s="2">
        <f>"6924372694350"</f>
        <v/>
      </c>
      <c r="C5746" t="inlineStr">
        <is>
          <t>USHAS EG190 Eyebrow Gel 2in1 3.3gr &amp; Powder Black 1.6gr</t>
        </is>
      </c>
      <c r="D5746" t="inlineStr">
        <is>
          <t>Miss Glam Damar</t>
        </is>
      </c>
      <c r="E5746" t="n">
        <v>4</v>
      </c>
      <c r="F5746" t="n">
        <v>0.06370000000000001</v>
      </c>
      <c r="G5746" t="n">
        <v>0.91</v>
      </c>
      <c r="H5746" t="n">
        <v>2</v>
      </c>
      <c r="I5746" t="n">
        <v>16</v>
      </c>
      <c r="J5746" t="n">
        <v>3</v>
      </c>
      <c r="K5746" t="n">
        <v>0</v>
      </c>
      <c r="L5746" t="n">
        <v>32418</v>
      </c>
      <c r="M5746" t="n">
        <v>38500</v>
      </c>
      <c r="N5746" t="n">
        <v>91</v>
      </c>
      <c r="O5746" t="n">
        <v>0.91</v>
      </c>
      <c r="P5746" t="n">
        <v>1</v>
      </c>
      <c r="Q5746" t="n">
        <v>0.05</v>
      </c>
      <c r="R5746" t="n">
        <v>2</v>
      </c>
      <c r="S5746" t="n">
        <v>2452.45</v>
      </c>
      <c r="T5746" t="n">
        <v>15</v>
      </c>
      <c r="U5746" t="n">
        <v>16</v>
      </c>
      <c r="V5746" t="n">
        <v>30</v>
      </c>
      <c r="W5746" t="n">
        <v>2</v>
      </c>
      <c r="X5746" t="n">
        <v>62.79434850863422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747</v>
      </c>
      <c r="AG5746" t="n">
        <v>107</v>
      </c>
      <c r="AH5746" t="inlineStr">
        <is>
          <t xml:space="preserve">CV. DAHLIA - PPN (PDG) </t>
        </is>
      </c>
      <c r="AI5746" t="n">
        <v>474</v>
      </c>
      <c r="AJ5746" t="inlineStr">
        <is>
          <t>USHAS</t>
        </is>
      </c>
      <c r="AK5746" t="n">
        <v>21</v>
      </c>
      <c r="AL5746" t="inlineStr">
        <is>
          <t>Miss Glam Damar</t>
        </is>
      </c>
      <c r="AM5746" t="n">
        <v>2</v>
      </c>
      <c r="AN5746" t="n">
        <v>500000</v>
      </c>
      <c r="AO5746" t="n">
        <v>0</v>
      </c>
      <c r="AP5746" t="inlineStr"/>
      <c r="AQ5746" t="inlineStr"/>
    </row>
    <row r="5747">
      <c r="A5747" t="inlineStr">
        <is>
          <t>USHAS</t>
        </is>
      </c>
      <c r="B5747" s="2">
        <f>"6924372622841"</f>
        <v/>
      </c>
      <c r="C5747" t="inlineStr">
        <is>
          <t>USHAS EG190 Eyebrow Gel 2in1 3.3gr &amp; Powder Brown 1.6gr</t>
        </is>
      </c>
      <c r="D5747" t="inlineStr">
        <is>
          <t>Miss Glam Damar</t>
        </is>
      </c>
      <c r="E5747" t="n">
        <v>12</v>
      </c>
      <c r="F5747" t="n">
        <v>0.04550000000000001</v>
      </c>
      <c r="G5747" t="n">
        <v>1.82</v>
      </c>
      <c r="H5747" t="n">
        <v>2</v>
      </c>
      <c r="I5747" t="n">
        <v>16</v>
      </c>
      <c r="J5747" t="n">
        <v>3</v>
      </c>
      <c r="K5747" t="n">
        <v>0</v>
      </c>
      <c r="L5747" t="n">
        <v>32418</v>
      </c>
      <c r="M5747" t="n">
        <v>38500</v>
      </c>
      <c r="N5747" t="n">
        <v>91</v>
      </c>
      <c r="O5747" t="n">
        <v>0.91</v>
      </c>
      <c r="P5747" t="n">
        <v>1</v>
      </c>
      <c r="Q5747" t="n">
        <v>0.15</v>
      </c>
      <c r="R5747" t="n">
        <v>1</v>
      </c>
      <c r="S5747" t="n">
        <v>1751.75</v>
      </c>
      <c r="T5747" t="n">
        <v>30</v>
      </c>
      <c r="U5747" t="n">
        <v>31</v>
      </c>
      <c r="V5747" t="n">
        <v>30</v>
      </c>
      <c r="W5747" t="n">
        <v>2</v>
      </c>
      <c r="X5747" t="n">
        <v>263.7362637362637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747</v>
      </c>
      <c r="AG5747" t="n">
        <v>107</v>
      </c>
      <c r="AH5747" t="inlineStr">
        <is>
          <t xml:space="preserve">CV. DAHLIA - PPN (PDG) </t>
        </is>
      </c>
      <c r="AI5747" t="n">
        <v>474</v>
      </c>
      <c r="AJ5747" t="inlineStr">
        <is>
          <t>USHAS</t>
        </is>
      </c>
      <c r="AK5747" t="n">
        <v>21</v>
      </c>
      <c r="AL5747" t="inlineStr">
        <is>
          <t>Miss Glam Damar</t>
        </is>
      </c>
      <c r="AM5747" t="n">
        <v>2</v>
      </c>
      <c r="AN5747" t="n">
        <v>500000</v>
      </c>
      <c r="AO5747" t="n">
        <v>0</v>
      </c>
      <c r="AP5747" t="inlineStr"/>
      <c r="AQ5747" t="inlineStr"/>
    </row>
    <row r="5748">
      <c r="A5748" t="inlineStr">
        <is>
          <t>USHAS</t>
        </is>
      </c>
      <c r="B5748" s="2">
        <f>"6924372670590"</f>
        <v/>
      </c>
      <c r="C5748" t="inlineStr">
        <is>
          <t>USHAS EL463 Liquid Eyeliner Black Waterproof 6gr</t>
        </is>
      </c>
      <c r="D5748" t="inlineStr">
        <is>
          <t>Miss Glam Damar</t>
        </is>
      </c>
      <c r="E5748" t="n">
        <v>13</v>
      </c>
      <c r="F5748" t="n">
        <v>0.0273</v>
      </c>
      <c r="G5748" t="n">
        <v>1.82</v>
      </c>
      <c r="H5748" t="n">
        <v>2</v>
      </c>
      <c r="I5748" t="n">
        <v>16</v>
      </c>
      <c r="J5748" t="n">
        <v>3</v>
      </c>
      <c r="K5748" t="n">
        <v>0</v>
      </c>
      <c r="L5748" t="n">
        <v>17733</v>
      </c>
      <c r="M5748" t="n">
        <v>22000</v>
      </c>
      <c r="N5748" t="n">
        <v>91</v>
      </c>
      <c r="O5748" t="n">
        <v>0.91</v>
      </c>
      <c r="P5748" t="n">
        <v>1</v>
      </c>
      <c r="Q5748" t="n">
        <v>0.03</v>
      </c>
      <c r="R5748" t="n">
        <v>1</v>
      </c>
      <c r="S5748" t="n">
        <v>600.6</v>
      </c>
      <c r="T5748" t="n">
        <v>30</v>
      </c>
      <c r="U5748" t="n">
        <v>31</v>
      </c>
      <c r="V5748" t="n">
        <v>30</v>
      </c>
      <c r="W5748" t="n">
        <v>1</v>
      </c>
      <c r="X5748" t="n">
        <v>476.1904761904761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747</v>
      </c>
      <c r="AG5748" t="n">
        <v>107</v>
      </c>
      <c r="AH5748" t="inlineStr">
        <is>
          <t xml:space="preserve">CV. DAHLIA - PPN (PDG) </t>
        </is>
      </c>
      <c r="AI5748" t="n">
        <v>474</v>
      </c>
      <c r="AJ5748" t="inlineStr">
        <is>
          <t>USHAS</t>
        </is>
      </c>
      <c r="AK5748" t="n">
        <v>21</v>
      </c>
      <c r="AL5748" t="inlineStr">
        <is>
          <t>Miss Glam Damar</t>
        </is>
      </c>
      <c r="AM5748" t="n">
        <v>2</v>
      </c>
      <c r="AN5748" t="n">
        <v>500000</v>
      </c>
      <c r="AO5748" t="n">
        <v>0</v>
      </c>
      <c r="AP5748" t="inlineStr"/>
      <c r="AQ5748" t="inlineStr"/>
    </row>
    <row r="5749">
      <c r="A5749" t="inlineStr">
        <is>
          <t>USHAS</t>
        </is>
      </c>
      <c r="B5749" s="2">
        <f>"6924372695241"</f>
        <v/>
      </c>
      <c r="C5749" t="inlineStr">
        <is>
          <t>USHAS ES2786 Eyebrow Pallete No.03 4.4gr</t>
        </is>
      </c>
      <c r="D5749" t="inlineStr">
        <is>
          <t>Miss Glam Damar</t>
        </is>
      </c>
      <c r="E5749" t="n">
        <v>3</v>
      </c>
      <c r="F5749" t="n">
        <v>0.06370000000000001</v>
      </c>
      <c r="G5749" t="n">
        <v>0.91</v>
      </c>
      <c r="H5749" t="n">
        <v>2</v>
      </c>
      <c r="I5749" t="n">
        <v>16</v>
      </c>
      <c r="J5749" t="n">
        <v>3</v>
      </c>
      <c r="K5749" t="n">
        <v>0</v>
      </c>
      <c r="L5749" t="n">
        <v>21629</v>
      </c>
      <c r="M5749" t="n">
        <v>25500</v>
      </c>
      <c r="N5749" t="n">
        <v>91</v>
      </c>
      <c r="O5749" t="n">
        <v>0.91</v>
      </c>
      <c r="P5749" t="n">
        <v>1</v>
      </c>
      <c r="Q5749" t="n">
        <v>0.03</v>
      </c>
      <c r="R5749" t="n">
        <v>1</v>
      </c>
      <c r="S5749" t="n">
        <v>1624.35</v>
      </c>
      <c r="T5749" t="n">
        <v>15</v>
      </c>
      <c r="U5749" t="n">
        <v>16</v>
      </c>
      <c r="V5749" t="n">
        <v>30</v>
      </c>
      <c r="W5749" t="n">
        <v>2</v>
      </c>
      <c r="X5749" t="n">
        <v>47.09576138147566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747</v>
      </c>
      <c r="AG5749" t="n">
        <v>107</v>
      </c>
      <c r="AH5749" t="inlineStr">
        <is>
          <t xml:space="preserve">CV. DAHLIA - PPN (PDG) </t>
        </is>
      </c>
      <c r="AI5749" t="n">
        <v>474</v>
      </c>
      <c r="AJ5749" t="inlineStr">
        <is>
          <t>USHAS</t>
        </is>
      </c>
      <c r="AK5749" t="n">
        <v>21</v>
      </c>
      <c r="AL5749" t="inlineStr">
        <is>
          <t>Miss Glam Damar</t>
        </is>
      </c>
      <c r="AM5749" t="n">
        <v>2</v>
      </c>
      <c r="AN5749" t="n">
        <v>500000</v>
      </c>
      <c r="AO5749" t="n">
        <v>0</v>
      </c>
      <c r="AP5749" t="inlineStr"/>
      <c r="AQ5749" t="inlineStr"/>
    </row>
    <row r="5750">
      <c r="A5750" t="inlineStr">
        <is>
          <t>USHAS</t>
        </is>
      </c>
      <c r="B5750" s="2">
        <f>"6924372695227"</f>
        <v/>
      </c>
      <c r="C5750" t="inlineStr">
        <is>
          <t>USHAS ES2786 Eyeshadow Pallete No.01 4.4gr</t>
        </is>
      </c>
      <c r="D5750" t="inlineStr">
        <is>
          <t>Miss Glam Damar</t>
        </is>
      </c>
      <c r="E5750" t="n">
        <v>7</v>
      </c>
      <c r="F5750" t="n">
        <v>0.04550000000000001</v>
      </c>
      <c r="G5750" t="n">
        <v>0.91</v>
      </c>
      <c r="H5750" t="n">
        <v>2</v>
      </c>
      <c r="I5750" t="n">
        <v>16</v>
      </c>
      <c r="J5750" t="n">
        <v>3</v>
      </c>
      <c r="K5750" t="n">
        <v>0</v>
      </c>
      <c r="L5750" t="n">
        <v>21629</v>
      </c>
      <c r="M5750" t="n">
        <v>25500</v>
      </c>
      <c r="N5750" t="n">
        <v>91</v>
      </c>
      <c r="O5750" t="n">
        <v>0.91</v>
      </c>
      <c r="P5750" t="n">
        <v>1</v>
      </c>
      <c r="Q5750" t="n">
        <v>0.08</v>
      </c>
      <c r="R5750" t="n">
        <v>2</v>
      </c>
      <c r="S5750" t="n">
        <v>1160.25</v>
      </c>
      <c r="T5750" t="n">
        <v>15</v>
      </c>
      <c r="U5750" t="n">
        <v>16</v>
      </c>
      <c r="V5750" t="n">
        <v>30</v>
      </c>
      <c r="W5750" t="n">
        <v>2</v>
      </c>
      <c r="X5750" t="n">
        <v>153.8461538461538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747</v>
      </c>
      <c r="AG5750" t="n">
        <v>107</v>
      </c>
      <c r="AH5750" t="inlineStr">
        <is>
          <t xml:space="preserve">CV. DAHLIA - PPN (PDG) </t>
        </is>
      </c>
      <c r="AI5750" t="n">
        <v>474</v>
      </c>
      <c r="AJ5750" t="inlineStr">
        <is>
          <t>USHAS</t>
        </is>
      </c>
      <c r="AK5750" t="n">
        <v>21</v>
      </c>
      <c r="AL5750" t="inlineStr">
        <is>
          <t>Miss Glam Damar</t>
        </is>
      </c>
      <c r="AM5750" t="n">
        <v>2</v>
      </c>
      <c r="AN5750" t="n">
        <v>500000</v>
      </c>
      <c r="AO5750" t="n">
        <v>0</v>
      </c>
      <c r="AP5750" t="inlineStr"/>
      <c r="AQ5750" t="inlineStr"/>
    </row>
    <row r="5751">
      <c r="A5751" t="inlineStr">
        <is>
          <t>USHAS</t>
        </is>
      </c>
      <c r="B5751" s="2">
        <f>"6924372695234"</f>
        <v/>
      </c>
      <c r="C5751" t="inlineStr">
        <is>
          <t>USHAS ES2786 Eyeshadow Pallete No.02 4.4gr</t>
        </is>
      </c>
      <c r="D5751" t="inlineStr">
        <is>
          <t>Miss Glam Damar</t>
        </is>
      </c>
      <c r="E5751" t="n">
        <v>2</v>
      </c>
      <c r="F5751" t="n">
        <v>0.0728</v>
      </c>
      <c r="G5751" t="n">
        <v>0.91</v>
      </c>
      <c r="H5751" t="n">
        <v>2</v>
      </c>
      <c r="I5751" t="n">
        <v>16</v>
      </c>
      <c r="J5751" t="n">
        <v>3</v>
      </c>
      <c r="K5751" t="n">
        <v>0</v>
      </c>
      <c r="L5751" t="n">
        <v>21629</v>
      </c>
      <c r="M5751" t="n">
        <v>25500</v>
      </c>
      <c r="N5751" t="n">
        <v>91</v>
      </c>
      <c r="O5751" t="n">
        <v>0.91</v>
      </c>
      <c r="P5751" t="n">
        <v>1</v>
      </c>
      <c r="Q5751" t="n">
        <v>0.07000000000000001</v>
      </c>
      <c r="R5751" t="n">
        <v>1</v>
      </c>
      <c r="S5751" t="n">
        <v>1856.4</v>
      </c>
      <c r="T5751" t="n">
        <v>15</v>
      </c>
      <c r="U5751" t="n">
        <v>16</v>
      </c>
      <c r="V5751" t="n">
        <v>30</v>
      </c>
      <c r="W5751" t="n">
        <v>3</v>
      </c>
      <c r="X5751" t="n">
        <v>27.47252747252747</v>
      </c>
      <c r="Y5751" t="n">
        <v>1</v>
      </c>
      <c r="Z5751" t="n">
        <v>1</v>
      </c>
      <c r="AA5751" t="n">
        <v>0</v>
      </c>
      <c r="AB5751" t="n">
        <v>1</v>
      </c>
      <c r="AC5751" t="n">
        <v>3</v>
      </c>
      <c r="AD5751" t="n">
        <v>0</v>
      </c>
      <c r="AE5751" t="n">
        <v>64887</v>
      </c>
      <c r="AF5751" t="n">
        <v>747</v>
      </c>
      <c r="AG5751" t="n">
        <v>107</v>
      </c>
      <c r="AH5751" t="inlineStr">
        <is>
          <t xml:space="preserve">CV. DAHLIA - PPN (PDG) </t>
        </is>
      </c>
      <c r="AI5751" t="n">
        <v>474</v>
      </c>
      <c r="AJ5751" t="inlineStr">
        <is>
          <t>USHAS</t>
        </is>
      </c>
      <c r="AK5751" t="n">
        <v>21</v>
      </c>
      <c r="AL5751" t="inlineStr">
        <is>
          <t>Miss Glam Damar</t>
        </is>
      </c>
      <c r="AM5751" t="n">
        <v>2</v>
      </c>
      <c r="AN5751" t="n">
        <v>500000</v>
      </c>
      <c r="AO5751" t="n">
        <v>0</v>
      </c>
      <c r="AP5751" t="inlineStr"/>
      <c r="AQ5751" t="inlineStr"/>
    </row>
    <row r="5752">
      <c r="A5752" t="inlineStr">
        <is>
          <t>USHAS</t>
        </is>
      </c>
      <c r="B5752" s="2">
        <f>"6924372621530"</f>
        <v/>
      </c>
      <c r="C5752" t="inlineStr">
        <is>
          <t>USHAS ES2819 Highligther 4 Color Eyeshadow Netto 10.4 gr</t>
        </is>
      </c>
      <c r="D5752" t="inlineStr">
        <is>
          <t>Miss Glam Damar</t>
        </is>
      </c>
      <c r="E5752" t="n">
        <v>0</v>
      </c>
      <c r="F5752" t="n">
        <v>0.0182</v>
      </c>
      <c r="G5752" t="n">
        <v>0.91</v>
      </c>
      <c r="H5752" t="n">
        <v>2</v>
      </c>
      <c r="I5752" t="n">
        <v>16</v>
      </c>
      <c r="J5752" t="n">
        <v>3</v>
      </c>
      <c r="K5752" t="n">
        <v>0</v>
      </c>
      <c r="L5752" t="n">
        <v>27473</v>
      </c>
      <c r="M5752" t="n">
        <v>33000</v>
      </c>
      <c r="N5752" t="n">
        <v>91</v>
      </c>
      <c r="O5752" t="n">
        <v>0.91</v>
      </c>
      <c r="P5752" t="n">
        <v>1</v>
      </c>
      <c r="Q5752" t="n">
        <v>0.02</v>
      </c>
      <c r="R5752" t="n">
        <v>1</v>
      </c>
      <c r="S5752" t="n">
        <v>600.6</v>
      </c>
      <c r="T5752" t="n">
        <v>15</v>
      </c>
      <c r="U5752" t="n">
        <v>16</v>
      </c>
      <c r="V5752" t="n">
        <v>30</v>
      </c>
      <c r="W5752" t="n">
        <v>1</v>
      </c>
      <c r="X5752" t="n">
        <v>0</v>
      </c>
      <c r="Y5752" t="n">
        <v>1</v>
      </c>
      <c r="Z5752" t="n">
        <v>1</v>
      </c>
      <c r="AA5752" t="n">
        <v>1</v>
      </c>
      <c r="AB5752" t="n">
        <v>0</v>
      </c>
      <c r="AC5752" t="n">
        <v>0</v>
      </c>
      <c r="AD5752" t="n">
        <v>27473</v>
      </c>
      <c r="AE5752" t="n">
        <v>0</v>
      </c>
      <c r="AF5752" t="n">
        <v>747</v>
      </c>
      <c r="AG5752" t="n">
        <v>107</v>
      </c>
      <c r="AH5752" t="inlineStr">
        <is>
          <t xml:space="preserve">CV. DAHLIA - PPN (PDG) </t>
        </is>
      </c>
      <c r="AI5752" t="n">
        <v>474</v>
      </c>
      <c r="AJ5752" t="inlineStr">
        <is>
          <t>USHAS</t>
        </is>
      </c>
      <c r="AK5752" t="n">
        <v>21</v>
      </c>
      <c r="AL5752" t="inlineStr">
        <is>
          <t>Miss Glam Damar</t>
        </is>
      </c>
      <c r="AM5752" t="n">
        <v>2</v>
      </c>
      <c r="AN5752" t="n">
        <v>500000</v>
      </c>
      <c r="AO5752" t="n">
        <v>0</v>
      </c>
      <c r="AP5752" t="inlineStr"/>
      <c r="AQ5752" t="inlineStr"/>
    </row>
    <row r="5753">
      <c r="A5753" t="inlineStr">
        <is>
          <t>USHAS</t>
        </is>
      </c>
      <c r="B5753" s="2">
        <f>"6924372694305"</f>
        <v/>
      </c>
      <c r="C5753" t="inlineStr">
        <is>
          <t>USHAS ES2866 8 Color Eyeshadow &amp; 2 Color Blush On No.3 11.4gr</t>
        </is>
      </c>
      <c r="D5753" t="inlineStr">
        <is>
          <t>Miss Glam Damar</t>
        </is>
      </c>
      <c r="E5753" t="n">
        <v>5</v>
      </c>
      <c r="F5753" t="n">
        <v>0.0182</v>
      </c>
      <c r="G5753" t="n">
        <v>0.91</v>
      </c>
      <c r="H5753" t="n">
        <v>2</v>
      </c>
      <c r="I5753" t="n">
        <v>16</v>
      </c>
      <c r="J5753" t="n">
        <v>3</v>
      </c>
      <c r="K5753" t="n">
        <v>0</v>
      </c>
      <c r="L5753" t="n">
        <v>30676</v>
      </c>
      <c r="M5753" t="n">
        <v>36500</v>
      </c>
      <c r="N5753" t="n">
        <v>91</v>
      </c>
      <c r="O5753" t="n">
        <v>0.91</v>
      </c>
      <c r="P5753" t="n">
        <v>1</v>
      </c>
      <c r="Q5753" t="n">
        <v>0.02</v>
      </c>
      <c r="R5753" t="n">
        <v>1</v>
      </c>
      <c r="S5753" t="n">
        <v>664.3000000000001</v>
      </c>
      <c r="T5753" t="n">
        <v>15</v>
      </c>
      <c r="U5753" t="n">
        <v>16</v>
      </c>
      <c r="V5753" t="n">
        <v>30</v>
      </c>
      <c r="W5753" t="n">
        <v>1</v>
      </c>
      <c r="X5753" t="n">
        <v>274.7252747252747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747</v>
      </c>
      <c r="AG5753" t="n">
        <v>107</v>
      </c>
      <c r="AH5753" t="inlineStr">
        <is>
          <t xml:space="preserve">CV. DAHLIA - PPN (PDG) </t>
        </is>
      </c>
      <c r="AI5753" t="n">
        <v>474</v>
      </c>
      <c r="AJ5753" t="inlineStr">
        <is>
          <t>USHAS</t>
        </is>
      </c>
      <c r="AK5753" t="n">
        <v>21</v>
      </c>
      <c r="AL5753" t="inlineStr">
        <is>
          <t>Miss Glam Damar</t>
        </is>
      </c>
      <c r="AM5753" t="n">
        <v>2</v>
      </c>
      <c r="AN5753" t="n">
        <v>500000</v>
      </c>
      <c r="AO5753" t="n">
        <v>0</v>
      </c>
      <c r="AP5753" t="inlineStr"/>
      <c r="AQ5753" t="inlineStr"/>
    </row>
    <row r="5754">
      <c r="A5754" t="inlineStr">
        <is>
          <t>USHAS</t>
        </is>
      </c>
      <c r="B5754" s="2">
        <f>"6924372694312"</f>
        <v/>
      </c>
      <c r="C5754" t="inlineStr">
        <is>
          <t>USHAS ES2866 8 Color Eyeshadow &amp; 2 Color Blush On No.4 11.4gr</t>
        </is>
      </c>
      <c r="D5754" t="inlineStr">
        <is>
          <t>Miss Glam Damar</t>
        </is>
      </c>
      <c r="E5754" t="n">
        <v>4</v>
      </c>
      <c r="F5754" t="n">
        <v>0.06370000000000001</v>
      </c>
      <c r="G5754" t="n">
        <v>0.91</v>
      </c>
      <c r="H5754" t="n">
        <v>2</v>
      </c>
      <c r="I5754" t="n">
        <v>16</v>
      </c>
      <c r="J5754" t="n">
        <v>3</v>
      </c>
      <c r="K5754" t="n">
        <v>0</v>
      </c>
      <c r="L5754" t="n">
        <v>25725</v>
      </c>
      <c r="M5754" t="n">
        <v>34000</v>
      </c>
      <c r="N5754" t="n">
        <v>91</v>
      </c>
      <c r="O5754" t="n">
        <v>0.91</v>
      </c>
      <c r="P5754" t="n">
        <v>1</v>
      </c>
      <c r="Q5754" t="n">
        <v>0.03</v>
      </c>
      <c r="R5754" t="n">
        <v>1</v>
      </c>
      <c r="S5754" t="n">
        <v>2165.8</v>
      </c>
      <c r="T5754" t="n">
        <v>15</v>
      </c>
      <c r="U5754" t="n">
        <v>16</v>
      </c>
      <c r="V5754" t="n">
        <v>30</v>
      </c>
      <c r="W5754" t="n">
        <v>2</v>
      </c>
      <c r="X5754" t="n">
        <v>62.79434850863422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747</v>
      </c>
      <c r="AG5754" t="n">
        <v>107</v>
      </c>
      <c r="AH5754" t="inlineStr">
        <is>
          <t xml:space="preserve">CV. DAHLIA - PPN (PDG) </t>
        </is>
      </c>
      <c r="AI5754" t="n">
        <v>474</v>
      </c>
      <c r="AJ5754" t="inlineStr">
        <is>
          <t>USHAS</t>
        </is>
      </c>
      <c r="AK5754" t="n">
        <v>21</v>
      </c>
      <c r="AL5754" t="inlineStr">
        <is>
          <t>Miss Glam Damar</t>
        </is>
      </c>
      <c r="AM5754" t="n">
        <v>2</v>
      </c>
      <c r="AN5754" t="n">
        <v>500000</v>
      </c>
      <c r="AO5754" t="n">
        <v>0</v>
      </c>
      <c r="AP5754" t="inlineStr"/>
      <c r="AQ5754" t="inlineStr"/>
    </row>
    <row r="5755">
      <c r="A5755" t="inlineStr">
        <is>
          <t>USHAS</t>
        </is>
      </c>
      <c r="B5755" s="2">
        <f>"6924376291814"</f>
        <v/>
      </c>
      <c r="C5755" t="inlineStr">
        <is>
          <t>USHAS ES2955 Matte 3 Color Blush And Highlight No. 1 Netto 4.2 gr</t>
        </is>
      </c>
      <c r="D5755" t="inlineStr">
        <is>
          <t>Miss Glam Damar</t>
        </is>
      </c>
      <c r="E5755" t="n">
        <v>5</v>
      </c>
      <c r="F5755" t="n">
        <v>0.02</v>
      </c>
      <c r="G5755" t="n">
        <v>1</v>
      </c>
      <c r="H5755" t="n">
        <v>2</v>
      </c>
      <c r="I5755" t="n">
        <v>16</v>
      </c>
      <c r="J5755" t="n">
        <v>3</v>
      </c>
      <c r="K5755" t="n">
        <v>0</v>
      </c>
      <c r="L5755" t="n">
        <v>27473</v>
      </c>
      <c r="M5755" t="n">
        <v>32900</v>
      </c>
      <c r="N5755" t="n">
        <v>91</v>
      </c>
      <c r="O5755" t="n">
        <v>0.91</v>
      </c>
      <c r="P5755" t="n">
        <v>0</v>
      </c>
      <c r="Q5755" t="n">
        <v>0.02</v>
      </c>
      <c r="R5755" t="n">
        <v>1</v>
      </c>
      <c r="S5755" t="n">
        <v>658</v>
      </c>
      <c r="T5755" t="n">
        <v>16</v>
      </c>
      <c r="U5755" t="n">
        <v>17</v>
      </c>
      <c r="V5755" t="n">
        <v>30</v>
      </c>
      <c r="W5755" t="n">
        <v>1</v>
      </c>
      <c r="X5755" t="n">
        <v>250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747</v>
      </c>
      <c r="AG5755" t="n">
        <v>107</v>
      </c>
      <c r="AH5755" t="inlineStr">
        <is>
          <t xml:space="preserve">CV. DAHLIA - PPN (PDG) </t>
        </is>
      </c>
      <c r="AI5755" t="n">
        <v>474</v>
      </c>
      <c r="AJ5755" t="inlineStr">
        <is>
          <t>USHAS</t>
        </is>
      </c>
      <c r="AK5755" t="n">
        <v>21</v>
      </c>
      <c r="AL5755" t="inlineStr">
        <is>
          <t>Miss Glam Damar</t>
        </is>
      </c>
      <c r="AM5755" t="n">
        <v>2</v>
      </c>
      <c r="AN5755" t="n">
        <v>500000</v>
      </c>
      <c r="AO5755" t="n">
        <v>0</v>
      </c>
      <c r="AP5755" t="inlineStr"/>
      <c r="AQ5755" t="inlineStr"/>
    </row>
    <row r="5756">
      <c r="A5756" t="inlineStr">
        <is>
          <t>USHAS</t>
        </is>
      </c>
      <c r="B5756" s="2">
        <f>"6924372697290"</f>
        <v/>
      </c>
      <c r="C5756" t="inlineStr">
        <is>
          <t>USHAS ES2955 Matte 3 Color Blush And Highlight No. 2 Netto 4.2 gr</t>
        </is>
      </c>
      <c r="D5756" t="inlineStr">
        <is>
          <t>Miss Glam Damar</t>
        </is>
      </c>
      <c r="E5756" t="n">
        <v>5</v>
      </c>
      <c r="F5756" t="n">
        <v>0.04550000000000001</v>
      </c>
      <c r="G5756" t="n">
        <v>0.91</v>
      </c>
      <c r="H5756" t="n">
        <v>2</v>
      </c>
      <c r="I5756" t="n">
        <v>16</v>
      </c>
      <c r="J5756" t="n">
        <v>3</v>
      </c>
      <c r="K5756" t="n">
        <v>0</v>
      </c>
      <c r="L5756" t="n">
        <v>26673</v>
      </c>
      <c r="M5756" t="n">
        <v>37000</v>
      </c>
      <c r="N5756" t="n">
        <v>91</v>
      </c>
      <c r="O5756" t="n">
        <v>0.91</v>
      </c>
      <c r="P5756" t="n">
        <v>1</v>
      </c>
      <c r="Q5756" t="n">
        <v>0.07000000000000001</v>
      </c>
      <c r="R5756" t="n">
        <v>1</v>
      </c>
      <c r="S5756" t="n">
        <v>1683.5</v>
      </c>
      <c r="T5756" t="n">
        <v>15</v>
      </c>
      <c r="U5756" t="n">
        <v>16</v>
      </c>
      <c r="V5756" t="n">
        <v>30</v>
      </c>
      <c r="W5756" t="n">
        <v>2</v>
      </c>
      <c r="X5756" t="n">
        <v>109.8901098901099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747</v>
      </c>
      <c r="AG5756" t="n">
        <v>107</v>
      </c>
      <c r="AH5756" t="inlineStr">
        <is>
          <t xml:space="preserve">CV. DAHLIA - PPN (PDG) </t>
        </is>
      </c>
      <c r="AI5756" t="n">
        <v>474</v>
      </c>
      <c r="AJ5756" t="inlineStr">
        <is>
          <t>USHAS</t>
        </is>
      </c>
      <c r="AK5756" t="n">
        <v>21</v>
      </c>
      <c r="AL5756" t="inlineStr">
        <is>
          <t>Miss Glam Damar</t>
        </is>
      </c>
      <c r="AM5756" t="n">
        <v>2</v>
      </c>
      <c r="AN5756" t="n">
        <v>500000</v>
      </c>
      <c r="AO5756" t="n">
        <v>0</v>
      </c>
      <c r="AP5756" t="inlineStr"/>
      <c r="AQ5756" t="inlineStr"/>
    </row>
    <row r="5757">
      <c r="A5757" t="inlineStr">
        <is>
          <t>USHAS</t>
        </is>
      </c>
      <c r="B5757" s="2">
        <f>"6924372697306"</f>
        <v/>
      </c>
      <c r="C5757" t="inlineStr">
        <is>
          <t>USHAS ES2955 Matte 3 Color Blush And Highlight No. 3 Netto 4.2gr</t>
        </is>
      </c>
      <c r="D5757" t="inlineStr">
        <is>
          <t>Miss Glam Damar</t>
        </is>
      </c>
      <c r="E5757" t="n">
        <v>5</v>
      </c>
      <c r="F5757" t="n">
        <v>0.12</v>
      </c>
      <c r="G5757" t="n">
        <v>1</v>
      </c>
      <c r="H5757" t="n">
        <v>2</v>
      </c>
      <c r="I5757" t="n">
        <v>16</v>
      </c>
      <c r="J5757" t="n">
        <v>3</v>
      </c>
      <c r="K5757" t="n">
        <v>0</v>
      </c>
      <c r="L5757" t="n">
        <v>27473</v>
      </c>
      <c r="M5757" t="n">
        <v>37000</v>
      </c>
      <c r="N5757" t="n">
        <v>91</v>
      </c>
      <c r="O5757" t="n">
        <v>0.91</v>
      </c>
      <c r="P5757" t="n">
        <v>0</v>
      </c>
      <c r="Q5757" t="n">
        <v>0.12</v>
      </c>
      <c r="R5757" t="n">
        <v>1</v>
      </c>
      <c r="S5757" t="n">
        <v>4440</v>
      </c>
      <c r="T5757" t="n">
        <v>16</v>
      </c>
      <c r="U5757" t="n">
        <v>17</v>
      </c>
      <c r="V5757" t="n">
        <v>30</v>
      </c>
      <c r="W5757" t="n">
        <v>4</v>
      </c>
      <c r="X5757" t="n">
        <v>41.66666666666667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747</v>
      </c>
      <c r="AG5757" t="n">
        <v>107</v>
      </c>
      <c r="AH5757" t="inlineStr">
        <is>
          <t xml:space="preserve">CV. DAHLIA - PPN (PDG) </t>
        </is>
      </c>
      <c r="AI5757" t="n">
        <v>474</v>
      </c>
      <c r="AJ5757" t="inlineStr">
        <is>
          <t>USHAS</t>
        </is>
      </c>
      <c r="AK5757" t="n">
        <v>21</v>
      </c>
      <c r="AL5757" t="inlineStr">
        <is>
          <t>Miss Glam Damar</t>
        </is>
      </c>
      <c r="AM5757" t="n">
        <v>2</v>
      </c>
      <c r="AN5757" t="n">
        <v>500000</v>
      </c>
      <c r="AO5757" t="n">
        <v>0</v>
      </c>
      <c r="AP5757" t="inlineStr"/>
      <c r="AQ5757" t="inlineStr"/>
    </row>
    <row r="5758">
      <c r="A5758" t="inlineStr">
        <is>
          <t>USHAS</t>
        </is>
      </c>
      <c r="B5758" s="2">
        <f>"20200442745"</f>
        <v/>
      </c>
      <c r="C5758" t="inlineStr">
        <is>
          <t>USHAS Eyebrow Pencil 2in1 Brown 2.4gr</t>
        </is>
      </c>
      <c r="D5758" t="inlineStr">
        <is>
          <t>Miss Glam Damar</t>
        </is>
      </c>
      <c r="E5758" t="n">
        <v>11</v>
      </c>
      <c r="F5758" t="n">
        <v>0.4823000000000001</v>
      </c>
      <c r="G5758" t="n">
        <v>5.46</v>
      </c>
      <c r="H5758" t="n">
        <v>2</v>
      </c>
      <c r="I5758" t="n">
        <v>16</v>
      </c>
      <c r="J5758" t="n">
        <v>3</v>
      </c>
      <c r="K5758" t="n">
        <v>0</v>
      </c>
      <c r="L5758" t="n">
        <v>5295</v>
      </c>
      <c r="M5758" t="n">
        <v>8000</v>
      </c>
      <c r="N5758" t="n">
        <v>91</v>
      </c>
      <c r="O5758" t="n">
        <v>0.91</v>
      </c>
      <c r="P5758" t="n">
        <v>1</v>
      </c>
      <c r="Q5758" t="n">
        <v>0.24</v>
      </c>
      <c r="R5758" t="n">
        <v>3</v>
      </c>
      <c r="S5758" t="n">
        <v>3858.400000000001</v>
      </c>
      <c r="T5758" t="n">
        <v>87</v>
      </c>
      <c r="U5758" t="n">
        <v>88</v>
      </c>
      <c r="V5758" t="n">
        <v>30</v>
      </c>
      <c r="W5758" t="n">
        <v>15</v>
      </c>
      <c r="X5758" t="n">
        <v>22.80738129794733</v>
      </c>
      <c r="Y5758" t="n">
        <v>1</v>
      </c>
      <c r="Z5758" t="n">
        <v>4</v>
      </c>
      <c r="AA5758" t="n">
        <v>0</v>
      </c>
      <c r="AB5758" t="n">
        <v>4</v>
      </c>
      <c r="AC5758" t="n">
        <v>4</v>
      </c>
      <c r="AD5758" t="n">
        <v>0</v>
      </c>
      <c r="AE5758" t="n">
        <v>21180</v>
      </c>
      <c r="AF5758" t="n">
        <v>747</v>
      </c>
      <c r="AG5758" t="n">
        <v>107</v>
      </c>
      <c r="AH5758" t="inlineStr">
        <is>
          <t xml:space="preserve">CV. DAHLIA - PPN (PDG) </t>
        </is>
      </c>
      <c r="AI5758" t="n">
        <v>474</v>
      </c>
      <c r="AJ5758" t="inlineStr">
        <is>
          <t>USHAS</t>
        </is>
      </c>
      <c r="AK5758" t="n">
        <v>21</v>
      </c>
      <c r="AL5758" t="inlineStr">
        <is>
          <t>Miss Glam Damar</t>
        </is>
      </c>
      <c r="AM5758" t="n">
        <v>2</v>
      </c>
      <c r="AN5758" t="n">
        <v>500000</v>
      </c>
      <c r="AO5758" t="n">
        <v>0</v>
      </c>
      <c r="AP5758" t="inlineStr"/>
      <c r="AQ5758" t="inlineStr"/>
    </row>
    <row r="5759">
      <c r="A5759" t="inlineStr">
        <is>
          <t>USHAS</t>
        </is>
      </c>
      <c r="B5759" s="2">
        <f>"6924372695180"</f>
        <v/>
      </c>
      <c r="C5759" t="inlineStr">
        <is>
          <t>USHAS Eyebrow Pencil Black 2,4gr</t>
        </is>
      </c>
      <c r="D5759" t="inlineStr">
        <is>
          <t>Miss Glam Damar</t>
        </is>
      </c>
      <c r="E5759" t="n">
        <v>17</v>
      </c>
      <c r="F5759" t="n">
        <v>0.0728</v>
      </c>
      <c r="G5759" t="n">
        <v>1.82</v>
      </c>
      <c r="H5759" t="n">
        <v>2</v>
      </c>
      <c r="I5759" t="n">
        <v>16</v>
      </c>
      <c r="J5759" t="n">
        <v>3</v>
      </c>
      <c r="K5759" t="n">
        <v>0</v>
      </c>
      <c r="L5759" t="n">
        <v>4776</v>
      </c>
      <c r="M5759" t="n">
        <v>6000</v>
      </c>
      <c r="N5759" t="n">
        <v>91</v>
      </c>
      <c r="O5759" t="n">
        <v>0.91</v>
      </c>
      <c r="P5759" t="n">
        <v>1</v>
      </c>
      <c r="Q5759" t="n">
        <v>0.39</v>
      </c>
      <c r="R5759" t="n">
        <v>3</v>
      </c>
      <c r="S5759" t="n">
        <v>436.8</v>
      </c>
      <c r="T5759" t="n">
        <v>29</v>
      </c>
      <c r="U5759" t="n">
        <v>30</v>
      </c>
      <c r="V5759" t="n">
        <v>30</v>
      </c>
      <c r="W5759" t="n">
        <v>3</v>
      </c>
      <c r="X5759" t="n">
        <v>233.5164835164835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747</v>
      </c>
      <c r="AG5759" t="n">
        <v>107</v>
      </c>
      <c r="AH5759" t="inlineStr">
        <is>
          <t xml:space="preserve">CV. DAHLIA - PPN (PDG) </t>
        </is>
      </c>
      <c r="AI5759" t="n">
        <v>474</v>
      </c>
      <c r="AJ5759" t="inlineStr">
        <is>
          <t>USHAS</t>
        </is>
      </c>
      <c r="AK5759" t="n">
        <v>21</v>
      </c>
      <c r="AL5759" t="inlineStr">
        <is>
          <t>Miss Glam Damar</t>
        </is>
      </c>
      <c r="AM5759" t="n">
        <v>2</v>
      </c>
      <c r="AN5759" t="n">
        <v>500000</v>
      </c>
      <c r="AO5759" t="n">
        <v>0</v>
      </c>
      <c r="AP5759" t="inlineStr"/>
      <c r="AQ5759" t="inlineStr"/>
    </row>
    <row r="5760">
      <c r="A5760" t="inlineStr">
        <is>
          <t>USHAS</t>
        </is>
      </c>
      <c r="B5760" s="2">
        <f>"6924372695197"</f>
        <v/>
      </c>
      <c r="C5760" t="inlineStr">
        <is>
          <t>USHAS Eyebrow Pencil Brown 2,4gr</t>
        </is>
      </c>
      <c r="D5760" t="inlineStr">
        <is>
          <t>Miss Glam Damar</t>
        </is>
      </c>
      <c r="E5760" t="n">
        <v>55</v>
      </c>
      <c r="F5760" t="n">
        <v>1.3741</v>
      </c>
      <c r="G5760" t="n">
        <v>6.37</v>
      </c>
      <c r="H5760" t="n">
        <v>2</v>
      </c>
      <c r="I5760" t="n">
        <v>16</v>
      </c>
      <c r="J5760" t="n">
        <v>3</v>
      </c>
      <c r="K5760" t="n">
        <v>0</v>
      </c>
      <c r="L5760" t="n">
        <v>4775</v>
      </c>
      <c r="M5760" t="n">
        <v>6500</v>
      </c>
      <c r="N5760" t="n">
        <v>91</v>
      </c>
      <c r="O5760" t="n">
        <v>0.91</v>
      </c>
      <c r="P5760" t="n">
        <v>1</v>
      </c>
      <c r="Q5760" t="n">
        <v>3.03</v>
      </c>
      <c r="R5760" t="n">
        <v>12</v>
      </c>
      <c r="S5760" t="n">
        <v>8931.650000000001</v>
      </c>
      <c r="T5760" t="n">
        <v>100</v>
      </c>
      <c r="U5760" t="n">
        <v>103</v>
      </c>
      <c r="V5760" t="n">
        <v>30</v>
      </c>
      <c r="W5760" t="n">
        <v>42</v>
      </c>
      <c r="X5760" t="n">
        <v>40.02619896659631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747</v>
      </c>
      <c r="AG5760" t="n">
        <v>107</v>
      </c>
      <c r="AH5760" t="inlineStr">
        <is>
          <t xml:space="preserve">CV. DAHLIA - PPN (PDG) </t>
        </is>
      </c>
      <c r="AI5760" t="n">
        <v>474</v>
      </c>
      <c r="AJ5760" t="inlineStr">
        <is>
          <t>USHAS</t>
        </is>
      </c>
      <c r="AK5760" t="n">
        <v>21</v>
      </c>
      <c r="AL5760" t="inlineStr">
        <is>
          <t>Miss Glam Damar</t>
        </is>
      </c>
      <c r="AM5760" t="n">
        <v>2</v>
      </c>
      <c r="AN5760" t="n">
        <v>500000</v>
      </c>
      <c r="AO5760" t="n">
        <v>0</v>
      </c>
      <c r="AP5760" t="inlineStr"/>
      <c r="AQ5760" t="inlineStr"/>
    </row>
    <row r="5761">
      <c r="A5761" t="inlineStr">
        <is>
          <t>USHAS</t>
        </is>
      </c>
      <c r="B5761" s="2">
        <f>"6924372699423"</f>
        <v/>
      </c>
      <c r="C5761" t="inlineStr">
        <is>
          <t>USHAS Eyeshadow Nudes No 2 10,2gr NEW</t>
        </is>
      </c>
      <c r="D5761" t="inlineStr">
        <is>
          <t>Miss Glam Damar</t>
        </is>
      </c>
      <c r="E5761" t="n">
        <v>3</v>
      </c>
      <c r="F5761" t="n">
        <v>0.0728</v>
      </c>
      <c r="G5761" t="n">
        <v>0.91</v>
      </c>
      <c r="H5761" t="n">
        <v>2</v>
      </c>
      <c r="I5761" t="n">
        <v>16</v>
      </c>
      <c r="J5761" t="n">
        <v>3</v>
      </c>
      <c r="K5761" t="n">
        <v>0</v>
      </c>
      <c r="L5761" t="n">
        <v>24775</v>
      </c>
      <c r="M5761" t="n">
        <v>31000</v>
      </c>
      <c r="N5761" t="n">
        <v>91</v>
      </c>
      <c r="O5761" t="n">
        <v>0.91</v>
      </c>
      <c r="P5761" t="n">
        <v>1</v>
      </c>
      <c r="Q5761" t="n">
        <v>0.12</v>
      </c>
      <c r="R5761" t="n">
        <v>1</v>
      </c>
      <c r="S5761" t="n">
        <v>2256.8</v>
      </c>
      <c r="T5761" t="n">
        <v>15</v>
      </c>
      <c r="U5761" t="n">
        <v>16</v>
      </c>
      <c r="V5761" t="n">
        <v>30</v>
      </c>
      <c r="W5761" t="n">
        <v>3</v>
      </c>
      <c r="X5761" t="n">
        <v>41.2087912087912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747</v>
      </c>
      <c r="AG5761" t="n">
        <v>107</v>
      </c>
      <c r="AH5761" t="inlineStr">
        <is>
          <t xml:space="preserve">CV. DAHLIA - PPN (PDG) </t>
        </is>
      </c>
      <c r="AI5761" t="n">
        <v>474</v>
      </c>
      <c r="AJ5761" t="inlineStr">
        <is>
          <t>USHAS</t>
        </is>
      </c>
      <c r="AK5761" t="n">
        <v>21</v>
      </c>
      <c r="AL5761" t="inlineStr">
        <is>
          <t>Miss Glam Damar</t>
        </is>
      </c>
      <c r="AM5761" t="n">
        <v>2</v>
      </c>
      <c r="AN5761" t="n">
        <v>500000</v>
      </c>
      <c r="AO5761" t="n">
        <v>0</v>
      </c>
      <c r="AP5761" t="inlineStr"/>
      <c r="AQ5761" t="inlineStr"/>
    </row>
    <row r="5762">
      <c r="A5762" t="inlineStr">
        <is>
          <t>USHAS</t>
        </is>
      </c>
      <c r="B5762" s="2">
        <f>"6924372695104"</f>
        <v/>
      </c>
      <c r="C5762" t="inlineStr">
        <is>
          <t>USHAS LG1930 Liquid Eye Shadow And Highlight No.03 3.5ml</t>
        </is>
      </c>
      <c r="D5762" t="inlineStr">
        <is>
          <t>Miss Glam Damar</t>
        </is>
      </c>
      <c r="E5762" t="n">
        <v>1</v>
      </c>
      <c r="F5762" t="n">
        <v>0.0273</v>
      </c>
      <c r="G5762" t="n">
        <v>0.91</v>
      </c>
      <c r="H5762" t="n">
        <v>2</v>
      </c>
      <c r="I5762" t="n">
        <v>16</v>
      </c>
      <c r="J5762" t="n">
        <v>3</v>
      </c>
      <c r="K5762" t="n">
        <v>0</v>
      </c>
      <c r="L5762" t="n">
        <v>21542</v>
      </c>
      <c r="M5762" t="n">
        <v>26000</v>
      </c>
      <c r="N5762" t="n">
        <v>91</v>
      </c>
      <c r="O5762" t="n">
        <v>0.91</v>
      </c>
      <c r="P5762" t="n">
        <v>1</v>
      </c>
      <c r="Q5762" t="n">
        <v>0.07000000000000001</v>
      </c>
      <c r="R5762" t="n">
        <v>1</v>
      </c>
      <c r="S5762" t="n">
        <v>709.8000000000001</v>
      </c>
      <c r="T5762" t="n">
        <v>15</v>
      </c>
      <c r="U5762" t="n">
        <v>16</v>
      </c>
      <c r="V5762" t="n">
        <v>30</v>
      </c>
      <c r="W5762" t="n">
        <v>1</v>
      </c>
      <c r="X5762" t="n">
        <v>36.63003663003663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747</v>
      </c>
      <c r="AG5762" t="n">
        <v>107</v>
      </c>
      <c r="AH5762" t="inlineStr">
        <is>
          <t xml:space="preserve">CV. DAHLIA - PPN (PDG) </t>
        </is>
      </c>
      <c r="AI5762" t="n">
        <v>474</v>
      </c>
      <c r="AJ5762" t="inlineStr">
        <is>
          <t>USHAS</t>
        </is>
      </c>
      <c r="AK5762" t="n">
        <v>21</v>
      </c>
      <c r="AL5762" t="inlineStr">
        <is>
          <t>Miss Glam Damar</t>
        </is>
      </c>
      <c r="AM5762" t="n">
        <v>2</v>
      </c>
      <c r="AN5762" t="n">
        <v>500000</v>
      </c>
      <c r="AO5762" t="n">
        <v>0</v>
      </c>
      <c r="AP5762" t="inlineStr"/>
      <c r="AQ5762" t="inlineStr"/>
    </row>
    <row r="5763">
      <c r="A5763" t="inlineStr">
        <is>
          <t>USHAS</t>
        </is>
      </c>
      <c r="B5763" s="2">
        <f>"6924372695135"</f>
        <v/>
      </c>
      <c r="C5763" t="inlineStr">
        <is>
          <t>USHAS LG1930 Liquid Eye Shadow And Highlight No.06 3.5ml</t>
        </is>
      </c>
      <c r="D5763" t="inlineStr">
        <is>
          <t>Miss Glam Damar</t>
        </is>
      </c>
      <c r="E5763" t="n">
        <v>6</v>
      </c>
      <c r="F5763" t="n">
        <v>0.0182</v>
      </c>
      <c r="G5763" t="n">
        <v>0.91</v>
      </c>
      <c r="H5763" t="n">
        <v>2</v>
      </c>
      <c r="I5763" t="n">
        <v>16</v>
      </c>
      <c r="J5763" t="n">
        <v>3</v>
      </c>
      <c r="K5763" t="n">
        <v>0</v>
      </c>
      <c r="L5763" t="n">
        <v>21542</v>
      </c>
      <c r="M5763" t="n">
        <v>26000</v>
      </c>
      <c r="N5763" t="n">
        <v>91</v>
      </c>
      <c r="O5763" t="n">
        <v>0.91</v>
      </c>
      <c r="P5763" t="n">
        <v>1</v>
      </c>
      <c r="Q5763" t="n">
        <v>0.02</v>
      </c>
      <c r="R5763" t="n">
        <v>1</v>
      </c>
      <c r="S5763" t="n">
        <v>473.2</v>
      </c>
      <c r="T5763" t="n">
        <v>15</v>
      </c>
      <c r="U5763" t="n">
        <v>16</v>
      </c>
      <c r="V5763" t="n">
        <v>30</v>
      </c>
      <c r="W5763" t="n">
        <v>1</v>
      </c>
      <c r="X5763" t="n">
        <v>329.6703296703296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747</v>
      </c>
      <c r="AG5763" t="n">
        <v>107</v>
      </c>
      <c r="AH5763" t="inlineStr">
        <is>
          <t xml:space="preserve">CV. DAHLIA - PPN (PDG) </t>
        </is>
      </c>
      <c r="AI5763" t="n">
        <v>474</v>
      </c>
      <c r="AJ5763" t="inlineStr">
        <is>
          <t>USHAS</t>
        </is>
      </c>
      <c r="AK5763" t="n">
        <v>21</v>
      </c>
      <c r="AL5763" t="inlineStr">
        <is>
          <t>Miss Glam Damar</t>
        </is>
      </c>
      <c r="AM5763" t="n">
        <v>2</v>
      </c>
      <c r="AN5763" t="n">
        <v>500000</v>
      </c>
      <c r="AO5763" t="n">
        <v>0</v>
      </c>
      <c r="AP5763" t="inlineStr"/>
      <c r="AQ5763" t="inlineStr"/>
    </row>
    <row r="5764">
      <c r="A5764" t="inlineStr">
        <is>
          <t>USHAS</t>
        </is>
      </c>
      <c r="B5764" s="2">
        <f>"6924372611333"</f>
        <v/>
      </c>
      <c r="C5764" t="inlineStr">
        <is>
          <t>USHAS LP2116 Aloe Vera Lip Tint 01 4ml</t>
        </is>
      </c>
      <c r="D5764" t="inlineStr">
        <is>
          <t>Miss Glam Damar</t>
        </is>
      </c>
      <c r="E5764" t="n">
        <v>3</v>
      </c>
      <c r="F5764" t="n">
        <v>0.0273</v>
      </c>
      <c r="G5764" t="n">
        <v>0.91</v>
      </c>
      <c r="H5764" t="n">
        <v>2</v>
      </c>
      <c r="I5764" t="n">
        <v>16</v>
      </c>
      <c r="J5764" t="n">
        <v>3</v>
      </c>
      <c r="K5764" t="n">
        <v>0</v>
      </c>
      <c r="L5764" t="n">
        <v>14685</v>
      </c>
      <c r="M5764" t="n">
        <v>19000</v>
      </c>
      <c r="N5764" t="n">
        <v>91</v>
      </c>
      <c r="O5764" t="n">
        <v>0.91</v>
      </c>
      <c r="P5764" t="n">
        <v>1</v>
      </c>
      <c r="Q5764" t="n">
        <v>0.02</v>
      </c>
      <c r="R5764" t="n">
        <v>1</v>
      </c>
      <c r="S5764" t="n">
        <v>518.7</v>
      </c>
      <c r="T5764" t="n">
        <v>15</v>
      </c>
      <c r="U5764" t="n">
        <v>16</v>
      </c>
      <c r="V5764" t="n">
        <v>30</v>
      </c>
      <c r="W5764" t="n">
        <v>1</v>
      </c>
      <c r="X5764" t="n">
        <v>109.8901098901099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747</v>
      </c>
      <c r="AG5764" t="n">
        <v>107</v>
      </c>
      <c r="AH5764" t="inlineStr">
        <is>
          <t xml:space="preserve">CV. DAHLIA - PPN (PDG) </t>
        </is>
      </c>
      <c r="AI5764" t="n">
        <v>474</v>
      </c>
      <c r="AJ5764" t="inlineStr">
        <is>
          <t>USHAS</t>
        </is>
      </c>
      <c r="AK5764" t="n">
        <v>21</v>
      </c>
      <c r="AL5764" t="inlineStr">
        <is>
          <t>Miss Glam Damar</t>
        </is>
      </c>
      <c r="AM5764" t="n">
        <v>2</v>
      </c>
      <c r="AN5764" t="n">
        <v>500000</v>
      </c>
      <c r="AO5764" t="n">
        <v>0</v>
      </c>
      <c r="AP5764" t="inlineStr"/>
      <c r="AQ5764" t="inlineStr"/>
    </row>
    <row r="5765">
      <c r="A5765" t="inlineStr">
        <is>
          <t>USHAS</t>
        </is>
      </c>
      <c r="B5765" s="2">
        <f>"6924372698433"</f>
        <v/>
      </c>
      <c r="C5765" t="inlineStr">
        <is>
          <t>USHAS LP2116 Aloe Vera Lip Tint 02 4ml</t>
        </is>
      </c>
      <c r="D5765" t="inlineStr">
        <is>
          <t>Miss Glam Damar</t>
        </is>
      </c>
      <c r="E5765" t="n">
        <v>1</v>
      </c>
      <c r="F5765" t="n">
        <v>0.02</v>
      </c>
      <c r="G5765" t="n">
        <v>1</v>
      </c>
      <c r="H5765" t="n">
        <v>2</v>
      </c>
      <c r="I5765" t="n">
        <v>16</v>
      </c>
      <c r="J5765" t="n">
        <v>3</v>
      </c>
      <c r="K5765" t="n">
        <v>0</v>
      </c>
      <c r="L5765" t="n">
        <v>14685</v>
      </c>
      <c r="M5765" t="n">
        <v>19000</v>
      </c>
      <c r="N5765" t="n">
        <v>91</v>
      </c>
      <c r="O5765" t="n">
        <v>0.91</v>
      </c>
      <c r="P5765" t="n">
        <v>0</v>
      </c>
      <c r="Q5765" t="n">
        <v>0.02</v>
      </c>
      <c r="R5765" t="n">
        <v>1</v>
      </c>
      <c r="S5765" t="n">
        <v>380</v>
      </c>
      <c r="T5765" t="n">
        <v>16</v>
      </c>
      <c r="U5765" t="n">
        <v>17</v>
      </c>
      <c r="V5765" t="n">
        <v>30</v>
      </c>
      <c r="W5765" t="n">
        <v>1</v>
      </c>
      <c r="X5765" t="n">
        <v>50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747</v>
      </c>
      <c r="AG5765" t="n">
        <v>107</v>
      </c>
      <c r="AH5765" t="inlineStr">
        <is>
          <t xml:space="preserve">CV. DAHLIA - PPN (PDG) </t>
        </is>
      </c>
      <c r="AI5765" t="n">
        <v>474</v>
      </c>
      <c r="AJ5765" t="inlineStr">
        <is>
          <t>USHAS</t>
        </is>
      </c>
      <c r="AK5765" t="n">
        <v>21</v>
      </c>
      <c r="AL5765" t="inlineStr">
        <is>
          <t>Miss Glam Damar</t>
        </is>
      </c>
      <c r="AM5765" t="n">
        <v>2</v>
      </c>
      <c r="AN5765" t="n">
        <v>500000</v>
      </c>
      <c r="AO5765" t="n">
        <v>0</v>
      </c>
      <c r="AP5765" t="inlineStr"/>
      <c r="AQ5765" t="inlineStr"/>
    </row>
    <row r="5766">
      <c r="A5766" t="inlineStr">
        <is>
          <t>USHAS</t>
        </is>
      </c>
      <c r="B5766" s="2">
        <f>"6924372698471"</f>
        <v/>
      </c>
      <c r="C5766" t="inlineStr">
        <is>
          <t>USHAS LP2116 Aloe Vera Lip Tint 06 4ml</t>
        </is>
      </c>
      <c r="D5766" t="inlineStr">
        <is>
          <t>Miss Glam Damar</t>
        </is>
      </c>
      <c r="E5766" t="n">
        <v>3</v>
      </c>
      <c r="F5766" t="n">
        <v>0.0273</v>
      </c>
      <c r="G5766" t="n">
        <v>0.91</v>
      </c>
      <c r="H5766" t="n">
        <v>2</v>
      </c>
      <c r="I5766" t="n">
        <v>16</v>
      </c>
      <c r="J5766" t="n">
        <v>3</v>
      </c>
      <c r="K5766" t="n">
        <v>0</v>
      </c>
      <c r="L5766" t="n">
        <v>14685</v>
      </c>
      <c r="M5766" t="n">
        <v>17500</v>
      </c>
      <c r="N5766" t="n">
        <v>91</v>
      </c>
      <c r="O5766" t="n">
        <v>0.91</v>
      </c>
      <c r="P5766" t="n">
        <v>1</v>
      </c>
      <c r="Q5766" t="n">
        <v>0.02</v>
      </c>
      <c r="R5766" t="n">
        <v>1</v>
      </c>
      <c r="S5766" t="n">
        <v>477.75</v>
      </c>
      <c r="T5766" t="n">
        <v>15</v>
      </c>
      <c r="U5766" t="n">
        <v>16</v>
      </c>
      <c r="V5766" t="n">
        <v>30</v>
      </c>
      <c r="W5766" t="n">
        <v>1</v>
      </c>
      <c r="X5766" t="n">
        <v>109.8901098901099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747</v>
      </c>
      <c r="AG5766" t="n">
        <v>107</v>
      </c>
      <c r="AH5766" t="inlineStr">
        <is>
          <t xml:space="preserve">CV. DAHLIA - PPN (PDG) </t>
        </is>
      </c>
      <c r="AI5766" t="n">
        <v>474</v>
      </c>
      <c r="AJ5766" t="inlineStr">
        <is>
          <t>USHAS</t>
        </is>
      </c>
      <c r="AK5766" t="n">
        <v>21</v>
      </c>
      <c r="AL5766" t="inlineStr">
        <is>
          <t>Miss Glam Damar</t>
        </is>
      </c>
      <c r="AM5766" t="n">
        <v>2</v>
      </c>
      <c r="AN5766" t="n">
        <v>500000</v>
      </c>
      <c r="AO5766" t="n">
        <v>0</v>
      </c>
      <c r="AP5766" t="inlineStr"/>
      <c r="AQ5766" t="inlineStr"/>
    </row>
    <row r="5767">
      <c r="A5767" t="inlineStr">
        <is>
          <t>USHAS</t>
        </is>
      </c>
      <c r="B5767" s="2">
        <f>"6924372670941"</f>
        <v/>
      </c>
      <c r="C5767" t="inlineStr">
        <is>
          <t>USHAS MA1025 Mascara &amp; Eyeliner 2in1 Waterproof 5ml + 5ml</t>
        </is>
      </c>
      <c r="D5767" t="inlineStr">
        <is>
          <t>Miss Glam Damar</t>
        </is>
      </c>
      <c r="E5767" t="n">
        <v>16</v>
      </c>
      <c r="F5767" t="n">
        <v>0.1274</v>
      </c>
      <c r="G5767" t="n">
        <v>0.91</v>
      </c>
      <c r="H5767" t="n">
        <v>2</v>
      </c>
      <c r="I5767" t="n">
        <v>16</v>
      </c>
      <c r="J5767" t="n">
        <v>3</v>
      </c>
      <c r="K5767" t="n">
        <v>0</v>
      </c>
      <c r="L5767" t="n">
        <v>24840</v>
      </c>
      <c r="M5767" t="n">
        <v>31000</v>
      </c>
      <c r="N5767" t="n">
        <v>91</v>
      </c>
      <c r="O5767" t="n">
        <v>0.91</v>
      </c>
      <c r="P5767" t="n">
        <v>1</v>
      </c>
      <c r="Q5767" t="n">
        <v>0.02</v>
      </c>
      <c r="R5767" t="n">
        <v>1</v>
      </c>
      <c r="S5767" t="n">
        <v>3949.400000000001</v>
      </c>
      <c r="T5767" t="n">
        <v>15</v>
      </c>
      <c r="U5767" t="n">
        <v>16</v>
      </c>
      <c r="V5767" t="n">
        <v>30</v>
      </c>
      <c r="W5767" t="n">
        <v>4</v>
      </c>
      <c r="X5767" t="n">
        <v>125.5886970172684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747</v>
      </c>
      <c r="AG5767" t="n">
        <v>107</v>
      </c>
      <c r="AH5767" t="inlineStr">
        <is>
          <t xml:space="preserve">CV. DAHLIA - PPN (PDG) </t>
        </is>
      </c>
      <c r="AI5767" t="n">
        <v>474</v>
      </c>
      <c r="AJ5767" t="inlineStr">
        <is>
          <t>USHAS</t>
        </is>
      </c>
      <c r="AK5767" t="n">
        <v>21</v>
      </c>
      <c r="AL5767" t="inlineStr">
        <is>
          <t>Miss Glam Damar</t>
        </is>
      </c>
      <c r="AM5767" t="n">
        <v>2</v>
      </c>
      <c r="AN5767" t="n">
        <v>500000</v>
      </c>
      <c r="AO5767" t="n">
        <v>0</v>
      </c>
      <c r="AP5767" t="inlineStr"/>
      <c r="AQ5767" t="inlineStr"/>
    </row>
    <row r="5768">
      <c r="A5768" t="inlineStr">
        <is>
          <t>USHAS</t>
        </is>
      </c>
      <c r="B5768" s="2">
        <f>"6924372600092"</f>
        <v/>
      </c>
      <c r="C5768" t="inlineStr">
        <is>
          <t>USHAS TP210 Liquid Eyeliner 1.6gr</t>
        </is>
      </c>
      <c r="D5768" t="inlineStr">
        <is>
          <t>Miss Glam Damar</t>
        </is>
      </c>
      <c r="E5768" t="n">
        <v>8</v>
      </c>
      <c r="F5768" t="n">
        <v>0.0182</v>
      </c>
      <c r="G5768" t="n">
        <v>0</v>
      </c>
      <c r="H5768" t="n">
        <v>2</v>
      </c>
      <c r="I5768" t="n">
        <v>16</v>
      </c>
      <c r="J5768" t="n">
        <v>3</v>
      </c>
      <c r="K5768" t="n">
        <v>0</v>
      </c>
      <c r="L5768" t="n">
        <v>15485</v>
      </c>
      <c r="M5768" t="n">
        <v>20000</v>
      </c>
      <c r="N5768" t="n">
        <v>91</v>
      </c>
      <c r="O5768" t="n">
        <v>0.91</v>
      </c>
      <c r="P5768" t="n">
        <v>1</v>
      </c>
      <c r="Q5768" t="n">
        <v>0.03</v>
      </c>
      <c r="R5768" t="n">
        <v>1</v>
      </c>
      <c r="S5768" t="n">
        <v>364</v>
      </c>
      <c r="T5768" t="n">
        <v>0</v>
      </c>
      <c r="U5768" t="n">
        <v>1</v>
      </c>
      <c r="V5768" t="n">
        <v>30</v>
      </c>
      <c r="W5768" t="n">
        <v>1</v>
      </c>
      <c r="X5768" t="n">
        <v>439.5604395604395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747</v>
      </c>
      <c r="AG5768" t="n">
        <v>107</v>
      </c>
      <c r="AH5768" t="inlineStr">
        <is>
          <t xml:space="preserve">CV. DAHLIA - PPN (PDG) </t>
        </is>
      </c>
      <c r="AI5768" t="n">
        <v>474</v>
      </c>
      <c r="AJ5768" t="inlineStr">
        <is>
          <t>USHAS</t>
        </is>
      </c>
      <c r="AK5768" t="n">
        <v>21</v>
      </c>
      <c r="AL5768" t="inlineStr">
        <is>
          <t>Miss Glam Damar</t>
        </is>
      </c>
      <c r="AM5768" t="n">
        <v>2</v>
      </c>
      <c r="AN5768" t="n">
        <v>500000</v>
      </c>
      <c r="AO5768" t="n">
        <v>0</v>
      </c>
      <c r="AP5768" t="inlineStr"/>
      <c r="AQ5768" t="inlineStr"/>
    </row>
    <row r="5769">
      <c r="A5769" t="inlineStr">
        <is>
          <t>VASELINE</t>
        </is>
      </c>
      <c r="B5769" s="2">
        <f>"8999999719418"</f>
        <v/>
      </c>
      <c r="C5769" t="inlineStr">
        <is>
          <t>VASELINE Body Lotion Healty Bright  Uv Extra Brightening 200ml</t>
        </is>
      </c>
      <c r="D5769" t="inlineStr">
        <is>
          <t>Miss Glam Damar</t>
        </is>
      </c>
      <c r="E5769" t="n">
        <v>25</v>
      </c>
      <c r="F5769" t="n">
        <v>0.8918</v>
      </c>
      <c r="G5769" t="n">
        <v>4.55</v>
      </c>
      <c r="H5769" t="n">
        <v>3</v>
      </c>
      <c r="I5769" t="n">
        <v>5</v>
      </c>
      <c r="J5769" t="n">
        <v>3</v>
      </c>
      <c r="K5769" t="n">
        <v>0</v>
      </c>
      <c r="L5769" t="n">
        <v>25599</v>
      </c>
      <c r="M5769" t="n">
        <v>32000</v>
      </c>
      <c r="N5769" t="n">
        <v>91</v>
      </c>
      <c r="O5769" t="n">
        <v>0.91</v>
      </c>
      <c r="P5769" t="n">
        <v>1</v>
      </c>
      <c r="Q5769" t="n">
        <v>0.8100000000000001</v>
      </c>
      <c r="R5769" t="n">
        <v>4</v>
      </c>
      <c r="S5769" t="n">
        <v>28537.6</v>
      </c>
      <c r="T5769" t="n">
        <v>21</v>
      </c>
      <c r="U5769" t="n">
        <v>24</v>
      </c>
      <c r="V5769" t="n">
        <v>30</v>
      </c>
      <c r="W5769" t="n">
        <v>27</v>
      </c>
      <c r="X5769" t="n">
        <v>28.03319129849742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1579</v>
      </c>
      <c r="AG5769" t="n">
        <v>361</v>
      </c>
      <c r="AH5769" t="inlineStr">
        <is>
          <t>CV. SERBA SERBI - PPN (PDG)</t>
        </is>
      </c>
      <c r="AI5769" t="n">
        <v>361</v>
      </c>
      <c r="AJ5769" t="inlineStr">
        <is>
          <t>VASELINE</t>
        </is>
      </c>
      <c r="AK5769" t="n">
        <v>21</v>
      </c>
      <c r="AL5769" t="inlineStr">
        <is>
          <t>Miss Glam Damar</t>
        </is>
      </c>
      <c r="AM5769" t="n">
        <v>2</v>
      </c>
      <c r="AN5769" t="n">
        <v>500000</v>
      </c>
      <c r="AO5769" t="n">
        <v>0</v>
      </c>
      <c r="AP5769" t="inlineStr"/>
      <c r="AQ5769" t="inlineStr"/>
    </row>
    <row r="5770">
      <c r="A5770" t="inlineStr">
        <is>
          <t>VASELINE</t>
        </is>
      </c>
      <c r="B5770" s="2">
        <f>"8999999559588"</f>
        <v/>
      </c>
      <c r="C5770" t="inlineStr">
        <is>
          <t>VASELINE Body Lotion Serum Soft Glow 180ml</t>
        </is>
      </c>
      <c r="D5770" t="inlineStr">
        <is>
          <t>Miss Glam Damar</t>
        </is>
      </c>
      <c r="E5770" t="n">
        <v>34</v>
      </c>
      <c r="F5770" t="n">
        <v>1.3559</v>
      </c>
      <c r="G5770" t="n">
        <v>4.55</v>
      </c>
      <c r="H5770" t="n">
        <v>3</v>
      </c>
      <c r="I5770" t="n">
        <v>5</v>
      </c>
      <c r="J5770" t="n">
        <v>3</v>
      </c>
      <c r="K5770" t="n">
        <v>0</v>
      </c>
      <c r="L5770" t="n">
        <v>29967</v>
      </c>
      <c r="M5770" t="n">
        <v>35500</v>
      </c>
      <c r="N5770" t="n">
        <v>91</v>
      </c>
      <c r="O5770" t="n">
        <v>0.91</v>
      </c>
      <c r="P5770" t="n">
        <v>1</v>
      </c>
      <c r="Q5770" t="n">
        <v>1.22</v>
      </c>
      <c r="R5770" t="n">
        <v>5</v>
      </c>
      <c r="S5770" t="n">
        <v>48134.45</v>
      </c>
      <c r="T5770" t="n">
        <v>19</v>
      </c>
      <c r="U5770" t="n">
        <v>24</v>
      </c>
      <c r="V5770" t="n">
        <v>30</v>
      </c>
      <c r="W5770" t="n">
        <v>41</v>
      </c>
      <c r="X5770" t="n">
        <v>25.0755955453942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1579</v>
      </c>
      <c r="AG5770" t="n">
        <v>361</v>
      </c>
      <c r="AH5770" t="inlineStr">
        <is>
          <t>CV. SERBA SERBI - PPN (PDG)</t>
        </is>
      </c>
      <c r="AI5770" t="n">
        <v>361</v>
      </c>
      <c r="AJ5770" t="inlineStr">
        <is>
          <t>VASELINE</t>
        </is>
      </c>
      <c r="AK5770" t="n">
        <v>21</v>
      </c>
      <c r="AL5770" t="inlineStr">
        <is>
          <t>Miss Glam Damar</t>
        </is>
      </c>
      <c r="AM5770" t="n">
        <v>2</v>
      </c>
      <c r="AN5770" t="n">
        <v>500000</v>
      </c>
      <c r="AO5770" t="n">
        <v>0</v>
      </c>
      <c r="AP5770" t="inlineStr"/>
      <c r="AQ5770" t="inlineStr"/>
    </row>
    <row r="5771">
      <c r="A5771" t="inlineStr">
        <is>
          <t>VASELINE</t>
        </is>
      </c>
      <c r="B5771" s="2">
        <f>"8999999568542"</f>
        <v/>
      </c>
      <c r="C5771" t="inlineStr">
        <is>
          <t>VASELINE Body Lotion Soft &amp; Glow Vitamin Body Serum 100ml</t>
        </is>
      </c>
      <c r="D5771" t="inlineStr">
        <is>
          <t>Miss Glam Damar</t>
        </is>
      </c>
      <c r="E5771" t="n">
        <v>28</v>
      </c>
      <c r="F5771" t="n">
        <v>2.4388</v>
      </c>
      <c r="G5771" t="n">
        <v>8.19</v>
      </c>
      <c r="H5771" t="n">
        <v>3</v>
      </c>
      <c r="I5771" t="n">
        <v>5</v>
      </c>
      <c r="J5771" t="n">
        <v>3</v>
      </c>
      <c r="K5771" t="n">
        <v>0</v>
      </c>
      <c r="L5771" t="n">
        <v>17817</v>
      </c>
      <c r="M5771" t="n">
        <v>21500</v>
      </c>
      <c r="N5771" t="n">
        <v>91</v>
      </c>
      <c r="O5771" t="n">
        <v>0.91</v>
      </c>
      <c r="P5771" t="n">
        <v>1</v>
      </c>
      <c r="Q5771" t="n">
        <v>0.92</v>
      </c>
      <c r="R5771" t="n">
        <v>3</v>
      </c>
      <c r="S5771" t="n">
        <v>52434.2</v>
      </c>
      <c r="T5771" t="n">
        <v>34</v>
      </c>
      <c r="U5771" t="n">
        <v>42</v>
      </c>
      <c r="V5771" t="n">
        <v>30</v>
      </c>
      <c r="W5771" t="n">
        <v>74</v>
      </c>
      <c r="X5771" t="n">
        <v>11.48105625717566</v>
      </c>
      <c r="Y5771" t="n">
        <v>1</v>
      </c>
      <c r="Z5771" t="n">
        <v>46</v>
      </c>
      <c r="AA5771" t="n">
        <v>0</v>
      </c>
      <c r="AB5771" t="n">
        <v>46</v>
      </c>
      <c r="AC5771" t="n">
        <v>46</v>
      </c>
      <c r="AD5771" t="n">
        <v>0</v>
      </c>
      <c r="AE5771" t="n">
        <v>819582</v>
      </c>
      <c r="AF5771" t="n">
        <v>1579</v>
      </c>
      <c r="AG5771" t="n">
        <v>361</v>
      </c>
      <c r="AH5771" t="inlineStr">
        <is>
          <t>CV. SERBA SERBI - PPN (PDG)</t>
        </is>
      </c>
      <c r="AI5771" t="n">
        <v>361</v>
      </c>
      <c r="AJ5771" t="inlineStr">
        <is>
          <t>VASELINE</t>
        </is>
      </c>
      <c r="AK5771" t="n">
        <v>21</v>
      </c>
      <c r="AL5771" t="inlineStr">
        <is>
          <t>Miss Glam Damar</t>
        </is>
      </c>
      <c r="AM5771" t="n">
        <v>2</v>
      </c>
      <c r="AN5771" t="n">
        <v>500000</v>
      </c>
      <c r="AO5771" t="n">
        <v>0</v>
      </c>
      <c r="AP5771" t="inlineStr"/>
      <c r="AQ5771" t="inlineStr"/>
    </row>
    <row r="5772">
      <c r="A5772" t="inlineStr">
        <is>
          <t>VASELINE</t>
        </is>
      </c>
      <c r="B5772" s="2">
        <f>"8999999559595"</f>
        <v/>
      </c>
      <c r="C5772" t="inlineStr">
        <is>
          <t>VASELINE Body Serum Fiem Glow 180ml</t>
        </is>
      </c>
      <c r="D5772" t="inlineStr">
        <is>
          <t>Miss Glam Damar</t>
        </is>
      </c>
      <c r="E5772" t="n">
        <v>15</v>
      </c>
      <c r="F5772" t="n">
        <v>0.4914000000000001</v>
      </c>
      <c r="G5772" t="n">
        <v>3.64</v>
      </c>
      <c r="H5772" t="n">
        <v>3</v>
      </c>
      <c r="I5772" t="n">
        <v>5</v>
      </c>
      <c r="J5772" t="n">
        <v>3</v>
      </c>
      <c r="K5772" t="n">
        <v>0</v>
      </c>
      <c r="L5772" t="n">
        <v>29967</v>
      </c>
      <c r="M5772" t="n">
        <v>35500</v>
      </c>
      <c r="N5772" t="n">
        <v>91</v>
      </c>
      <c r="O5772" t="n">
        <v>0.91</v>
      </c>
      <c r="P5772" t="n">
        <v>1</v>
      </c>
      <c r="Q5772" t="n">
        <v>0.19</v>
      </c>
      <c r="R5772" t="n">
        <v>1</v>
      </c>
      <c r="S5772" t="n">
        <v>17444.7</v>
      </c>
      <c r="T5772" t="n">
        <v>17</v>
      </c>
      <c r="U5772" t="n">
        <v>19</v>
      </c>
      <c r="V5772" t="n">
        <v>30</v>
      </c>
      <c r="W5772" t="n">
        <v>15</v>
      </c>
      <c r="X5772" t="n">
        <v>30.52503052503052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1579</v>
      </c>
      <c r="AG5772" t="n">
        <v>361</v>
      </c>
      <c r="AH5772" t="inlineStr">
        <is>
          <t>CV. SERBA SERBI - PPN (PDG)</t>
        </is>
      </c>
      <c r="AI5772" t="n">
        <v>361</v>
      </c>
      <c r="AJ5772" t="inlineStr">
        <is>
          <t>VASELINE</t>
        </is>
      </c>
      <c r="AK5772" t="n">
        <v>21</v>
      </c>
      <c r="AL5772" t="inlineStr">
        <is>
          <t>Miss Glam Damar</t>
        </is>
      </c>
      <c r="AM5772" t="n">
        <v>2</v>
      </c>
      <c r="AN5772" t="n">
        <v>500000</v>
      </c>
      <c r="AO5772" t="n">
        <v>0</v>
      </c>
      <c r="AP5772" t="inlineStr"/>
      <c r="AQ5772" t="inlineStr"/>
    </row>
    <row r="5773">
      <c r="A5773" t="inlineStr">
        <is>
          <t>VASELINE</t>
        </is>
      </c>
      <c r="B5773" s="2">
        <f>"8851932417464"</f>
        <v/>
      </c>
      <c r="C5773" t="inlineStr">
        <is>
          <t>VASELINE Daily Sun Refreshing SPF50+ 170ml</t>
        </is>
      </c>
      <c r="D5773" t="inlineStr">
        <is>
          <t>Miss Glam Damar</t>
        </is>
      </c>
      <c r="E5773" t="n">
        <v>38</v>
      </c>
      <c r="F5773" t="n">
        <v>0.5277999999999999</v>
      </c>
      <c r="G5773" t="n">
        <v>3.64</v>
      </c>
      <c r="H5773" t="n">
        <v>3</v>
      </c>
      <c r="I5773" t="n">
        <v>5</v>
      </c>
      <c r="J5773" t="n">
        <v>3</v>
      </c>
      <c r="K5773" t="n">
        <v>0</v>
      </c>
      <c r="L5773" t="n">
        <v>81303</v>
      </c>
      <c r="M5773" t="n">
        <v>95000</v>
      </c>
      <c r="N5773" t="n">
        <v>91</v>
      </c>
      <c r="O5773" t="n">
        <v>0.91</v>
      </c>
      <c r="P5773" t="n">
        <v>1</v>
      </c>
      <c r="Q5773" t="n">
        <v>1.05</v>
      </c>
      <c r="R5773" t="n">
        <v>4</v>
      </c>
      <c r="S5773" t="n">
        <v>50140.99999999999</v>
      </c>
      <c r="T5773" t="n">
        <v>17</v>
      </c>
      <c r="U5773" t="n">
        <v>19</v>
      </c>
      <c r="V5773" t="n">
        <v>30</v>
      </c>
      <c r="W5773" t="n">
        <v>16</v>
      </c>
      <c r="X5773" t="n">
        <v>71.99696854869269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1579</v>
      </c>
      <c r="AG5773" t="n">
        <v>361</v>
      </c>
      <c r="AH5773" t="inlineStr">
        <is>
          <t>CV. SERBA SERBI - PPN (PDG)</t>
        </is>
      </c>
      <c r="AI5773" t="n">
        <v>361</v>
      </c>
      <c r="AJ5773" t="inlineStr">
        <is>
          <t>VASELINE</t>
        </is>
      </c>
      <c r="AK5773" t="n">
        <v>21</v>
      </c>
      <c r="AL5773" t="inlineStr">
        <is>
          <t>Miss Glam Damar</t>
        </is>
      </c>
      <c r="AM5773" t="n">
        <v>2</v>
      </c>
      <c r="AN5773" t="n">
        <v>500000</v>
      </c>
      <c r="AO5773" t="n">
        <v>0</v>
      </c>
      <c r="AP5773" t="inlineStr"/>
      <c r="AQ5773" t="inlineStr"/>
    </row>
    <row r="5774">
      <c r="A5774" t="inlineStr">
        <is>
          <t>VASELINE</t>
        </is>
      </c>
      <c r="B5774" s="2">
        <f>"8999999602932"</f>
        <v/>
      </c>
      <c r="C5774" t="inlineStr">
        <is>
          <t>VASELINE Gluta Hya Serum Burst 200ml</t>
        </is>
      </c>
      <c r="D5774" t="inlineStr">
        <is>
          <t>Miss Glam Damar</t>
        </is>
      </c>
      <c r="E5774" t="n">
        <v>22</v>
      </c>
      <c r="F5774" t="n">
        <v>0.2275</v>
      </c>
      <c r="G5774" t="n">
        <v>2.73</v>
      </c>
      <c r="H5774" t="n">
        <v>3</v>
      </c>
      <c r="I5774" t="n">
        <v>5</v>
      </c>
      <c r="J5774" t="n">
        <v>3</v>
      </c>
      <c r="K5774" t="n">
        <v>0</v>
      </c>
      <c r="L5774" t="n">
        <v>92390</v>
      </c>
      <c r="M5774" t="n">
        <v>109000</v>
      </c>
      <c r="N5774" t="n">
        <v>91</v>
      </c>
      <c r="O5774" t="n">
        <v>0.91</v>
      </c>
      <c r="P5774" t="n">
        <v>1</v>
      </c>
      <c r="Q5774" t="n">
        <v>0.39</v>
      </c>
      <c r="R5774" t="n">
        <v>4</v>
      </c>
      <c r="S5774" t="n">
        <v>24797.5</v>
      </c>
      <c r="T5774" t="n">
        <v>13</v>
      </c>
      <c r="U5774" t="n">
        <v>14</v>
      </c>
      <c r="V5774" t="n">
        <v>30</v>
      </c>
      <c r="W5774" t="n">
        <v>7</v>
      </c>
      <c r="X5774" t="n">
        <v>96.7032967032967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1579</v>
      </c>
      <c r="AG5774" t="n">
        <v>361</v>
      </c>
      <c r="AH5774" t="inlineStr">
        <is>
          <t>CV. SERBA SERBI - PPN (PDG)</t>
        </is>
      </c>
      <c r="AI5774" t="n">
        <v>361</v>
      </c>
      <c r="AJ5774" t="inlineStr">
        <is>
          <t>VASELINE</t>
        </is>
      </c>
      <c r="AK5774" t="n">
        <v>21</v>
      </c>
      <c r="AL5774" t="inlineStr">
        <is>
          <t>Miss Glam Damar</t>
        </is>
      </c>
      <c r="AM5774" t="n">
        <v>2</v>
      </c>
      <c r="AN5774" t="n">
        <v>500000</v>
      </c>
      <c r="AO5774" t="n">
        <v>0</v>
      </c>
      <c r="AP5774" t="inlineStr"/>
      <c r="AQ5774" t="inlineStr"/>
    </row>
    <row r="5775">
      <c r="A5775" t="inlineStr">
        <is>
          <t>VASELINE</t>
        </is>
      </c>
      <c r="B5775" s="2">
        <f>"30200428544"</f>
        <v/>
      </c>
      <c r="C5775" t="inlineStr">
        <is>
          <t>VASELINE Gluta nya Smoothing Perfector 200ml</t>
        </is>
      </c>
      <c r="D5775" t="inlineStr">
        <is>
          <t>Miss Glam Damar</t>
        </is>
      </c>
      <c r="E5775" t="n">
        <v>24</v>
      </c>
      <c r="F5775" t="n">
        <v>0.0273</v>
      </c>
      <c r="G5775" t="n">
        <v>0.91</v>
      </c>
      <c r="H5775" t="n">
        <v>3</v>
      </c>
      <c r="I5775" t="n">
        <v>5</v>
      </c>
      <c r="J5775" t="n">
        <v>1</v>
      </c>
      <c r="K5775" t="n">
        <v>0</v>
      </c>
      <c r="L5775" t="n">
        <v>45000</v>
      </c>
      <c r="M5775" t="n">
        <v>53000</v>
      </c>
      <c r="N5775" t="n">
        <v>91</v>
      </c>
      <c r="O5775" t="n">
        <v>0.91</v>
      </c>
      <c r="P5775" t="n">
        <v>1</v>
      </c>
      <c r="Q5775" t="n">
        <v>0.2</v>
      </c>
      <c r="R5775" t="n">
        <v>3</v>
      </c>
      <c r="S5775" t="n">
        <v>1446.9</v>
      </c>
      <c r="T5775" t="n">
        <v>5</v>
      </c>
      <c r="U5775" t="n">
        <v>6</v>
      </c>
      <c r="V5775" t="n">
        <v>30</v>
      </c>
      <c r="W5775" t="n">
        <v>1</v>
      </c>
      <c r="X5775" t="n">
        <v>879.1208791208791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1579</v>
      </c>
      <c r="AG5775" t="n">
        <v>361</v>
      </c>
      <c r="AH5775" t="inlineStr">
        <is>
          <t>CV. SERBA SERBI - PPN (PDG)</t>
        </is>
      </c>
      <c r="AI5775" t="n">
        <v>361</v>
      </c>
      <c r="AJ5775" t="inlineStr">
        <is>
          <t>VASELINE</t>
        </is>
      </c>
      <c r="AK5775" t="n">
        <v>21</v>
      </c>
      <c r="AL5775" t="inlineStr">
        <is>
          <t>Miss Glam Damar</t>
        </is>
      </c>
      <c r="AM5775" t="n">
        <v>2</v>
      </c>
      <c r="AN5775" t="n">
        <v>500000</v>
      </c>
      <c r="AO5775" t="n">
        <v>0</v>
      </c>
      <c r="AP5775" t="inlineStr"/>
      <c r="AQ5775" t="inlineStr"/>
    </row>
    <row r="5776">
      <c r="A5776" t="inlineStr">
        <is>
          <t>VASELINE</t>
        </is>
      </c>
      <c r="B5776" s="2">
        <f>"8999999533366"</f>
        <v/>
      </c>
      <c r="C5776" t="inlineStr">
        <is>
          <t>VASELINE Healthy Bright Fresh &amp; Bright Cooling 100ml</t>
        </is>
      </c>
      <c r="D5776" t="inlineStr">
        <is>
          <t>Miss Glam Damar</t>
        </is>
      </c>
      <c r="E5776" t="n">
        <v>17</v>
      </c>
      <c r="F5776" t="n">
        <v>0.5096000000000001</v>
      </c>
      <c r="G5776" t="n">
        <v>1.82</v>
      </c>
      <c r="H5776" t="n">
        <v>3</v>
      </c>
      <c r="I5776" t="n">
        <v>5</v>
      </c>
      <c r="J5776" t="n">
        <v>3</v>
      </c>
      <c r="K5776" t="n">
        <v>0</v>
      </c>
      <c r="L5776" t="n">
        <v>14992</v>
      </c>
      <c r="M5776" t="n">
        <v>18000</v>
      </c>
      <c r="N5776" t="n">
        <v>91</v>
      </c>
      <c r="O5776" t="n">
        <v>0.91</v>
      </c>
      <c r="P5776" t="n">
        <v>1</v>
      </c>
      <c r="Q5776" t="n">
        <v>0.25</v>
      </c>
      <c r="R5776" t="n">
        <v>2</v>
      </c>
      <c r="S5776" t="n">
        <v>9172.800000000001</v>
      </c>
      <c r="T5776" t="n">
        <v>8</v>
      </c>
      <c r="U5776" t="n">
        <v>10</v>
      </c>
      <c r="V5776" t="n">
        <v>30</v>
      </c>
      <c r="W5776" t="n">
        <v>16</v>
      </c>
      <c r="X5776" t="n">
        <v>33.35949764521192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1579</v>
      </c>
      <c r="AG5776" t="n">
        <v>361</v>
      </c>
      <c r="AH5776" t="inlineStr">
        <is>
          <t>CV. SERBA SERBI - PPN (PDG)</t>
        </is>
      </c>
      <c r="AI5776" t="n">
        <v>361</v>
      </c>
      <c r="AJ5776" t="inlineStr">
        <is>
          <t>VASELINE</t>
        </is>
      </c>
      <c r="AK5776" t="n">
        <v>21</v>
      </c>
      <c r="AL5776" t="inlineStr">
        <is>
          <t>Miss Glam Damar</t>
        </is>
      </c>
      <c r="AM5776" t="n">
        <v>2</v>
      </c>
      <c r="AN5776" t="n">
        <v>500000</v>
      </c>
      <c r="AO5776" t="n">
        <v>0</v>
      </c>
      <c r="AP5776" t="inlineStr"/>
      <c r="AQ5776" t="inlineStr"/>
    </row>
    <row r="5777">
      <c r="A5777" t="inlineStr">
        <is>
          <t>VASELINE</t>
        </is>
      </c>
      <c r="B5777" s="2">
        <f>"8999999533373"</f>
        <v/>
      </c>
      <c r="C5777" t="inlineStr">
        <is>
          <t>VASELINE Healthy Bright Fresh &amp; Bright Cooling 200ml</t>
        </is>
      </c>
      <c r="D5777" t="inlineStr">
        <is>
          <t>Miss Glam Damar</t>
        </is>
      </c>
      <c r="E5777" t="n">
        <v>5</v>
      </c>
      <c r="F5777" t="n">
        <v>0.1729</v>
      </c>
      <c r="G5777" t="n">
        <v>2.73</v>
      </c>
      <c r="H5777" t="n">
        <v>3</v>
      </c>
      <c r="I5777" t="n">
        <v>5</v>
      </c>
      <c r="J5777" t="n">
        <v>3</v>
      </c>
      <c r="K5777" t="n">
        <v>0</v>
      </c>
      <c r="L5777" t="n">
        <v>25599</v>
      </c>
      <c r="M5777" t="n">
        <v>32500</v>
      </c>
      <c r="N5777" t="n">
        <v>91</v>
      </c>
      <c r="O5777" t="n">
        <v>0.91</v>
      </c>
      <c r="P5777" t="n">
        <v>1</v>
      </c>
      <c r="Q5777" t="n">
        <v>0.12</v>
      </c>
      <c r="R5777" t="n">
        <v>2</v>
      </c>
      <c r="S5777" t="n">
        <v>5619.25</v>
      </c>
      <c r="T5777" t="n">
        <v>14</v>
      </c>
      <c r="U5777" t="n">
        <v>15</v>
      </c>
      <c r="V5777" t="n">
        <v>30</v>
      </c>
      <c r="W5777" t="n">
        <v>6</v>
      </c>
      <c r="X5777" t="n">
        <v>28.91844997108155</v>
      </c>
      <c r="Y5777" t="n">
        <v>1</v>
      </c>
      <c r="Z5777" t="n">
        <v>1</v>
      </c>
      <c r="AA5777" t="n">
        <v>0</v>
      </c>
      <c r="AB5777" t="n">
        <v>1</v>
      </c>
      <c r="AC5777" t="n">
        <v>3</v>
      </c>
      <c r="AD5777" t="n">
        <v>0</v>
      </c>
      <c r="AE5777" t="n">
        <v>76797</v>
      </c>
      <c r="AF5777" t="n">
        <v>1579</v>
      </c>
      <c r="AG5777" t="n">
        <v>361</v>
      </c>
      <c r="AH5777" t="inlineStr">
        <is>
          <t>CV. SERBA SERBI - PPN (PDG)</t>
        </is>
      </c>
      <c r="AI5777" t="n">
        <v>361</v>
      </c>
      <c r="AJ5777" t="inlineStr">
        <is>
          <t>VASELINE</t>
        </is>
      </c>
      <c r="AK5777" t="n">
        <v>21</v>
      </c>
      <c r="AL5777" t="inlineStr">
        <is>
          <t>Miss Glam Damar</t>
        </is>
      </c>
      <c r="AM5777" t="n">
        <v>2</v>
      </c>
      <c r="AN5777" t="n">
        <v>500000</v>
      </c>
      <c r="AO5777" t="n">
        <v>0</v>
      </c>
      <c r="AP5777" t="inlineStr"/>
      <c r="AQ5777" t="inlineStr"/>
    </row>
    <row r="5778">
      <c r="A5778" t="inlineStr">
        <is>
          <t>VASELINE</t>
        </is>
      </c>
      <c r="B5778" s="2">
        <f>"8999999581947"</f>
        <v/>
      </c>
      <c r="C5778" t="inlineStr">
        <is>
          <t>VASELINE Healthy Bright Gluta-Hya Dewy Radiance 200ml</t>
        </is>
      </c>
      <c r="D5778" t="inlineStr">
        <is>
          <t>Miss Glam Damar</t>
        </is>
      </c>
      <c r="E5778" t="n">
        <v>35</v>
      </c>
      <c r="F5778" t="n">
        <v>1.0647</v>
      </c>
      <c r="G5778" t="n">
        <v>5.46</v>
      </c>
      <c r="H5778" t="n">
        <v>3</v>
      </c>
      <c r="I5778" t="n">
        <v>5</v>
      </c>
      <c r="J5778" t="n">
        <v>3</v>
      </c>
      <c r="K5778" t="n">
        <v>0</v>
      </c>
      <c r="L5778" t="n">
        <v>48023</v>
      </c>
      <c r="M5778" t="n">
        <v>56000</v>
      </c>
      <c r="N5778" t="n">
        <v>91</v>
      </c>
      <c r="O5778" t="n">
        <v>0.91</v>
      </c>
      <c r="P5778" t="n">
        <v>1</v>
      </c>
      <c r="Q5778" t="n">
        <v>0.8100000000000001</v>
      </c>
      <c r="R5778" t="n">
        <v>4</v>
      </c>
      <c r="S5778" t="n">
        <v>59623.2</v>
      </c>
      <c r="T5778" t="n">
        <v>25</v>
      </c>
      <c r="U5778" t="n">
        <v>29</v>
      </c>
      <c r="V5778" t="n">
        <v>30</v>
      </c>
      <c r="W5778" t="n">
        <v>32</v>
      </c>
      <c r="X5778" t="n">
        <v>32.87310979618672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1579</v>
      </c>
      <c r="AG5778" t="n">
        <v>361</v>
      </c>
      <c r="AH5778" t="inlineStr">
        <is>
          <t>CV. SERBA SERBI - PPN (PDG)</t>
        </is>
      </c>
      <c r="AI5778" t="n">
        <v>361</v>
      </c>
      <c r="AJ5778" t="inlineStr">
        <is>
          <t>VASELINE</t>
        </is>
      </c>
      <c r="AK5778" t="n">
        <v>21</v>
      </c>
      <c r="AL5778" t="inlineStr">
        <is>
          <t>Miss Glam Damar</t>
        </is>
      </c>
      <c r="AM5778" t="n">
        <v>2</v>
      </c>
      <c r="AN5778" t="n">
        <v>500000</v>
      </c>
      <c r="AO5778" t="n">
        <v>0</v>
      </c>
      <c r="AP5778" t="inlineStr"/>
      <c r="AQ5778" t="inlineStr"/>
    </row>
    <row r="5779">
      <c r="A5779" t="inlineStr">
        <is>
          <t>VASELINE</t>
        </is>
      </c>
      <c r="B5779" s="2">
        <f>"9556126670661"</f>
        <v/>
      </c>
      <c r="C5779" t="inlineStr">
        <is>
          <t>VASELINE Healthy Bright Gluta-Hya Dewy Radiance 330ml</t>
        </is>
      </c>
      <c r="D5779" t="inlineStr">
        <is>
          <t>Miss Glam Damar</t>
        </is>
      </c>
      <c r="E5779" t="n">
        <v>21</v>
      </c>
      <c r="F5779" t="n">
        <v>0.2821</v>
      </c>
      <c r="G5779" t="n">
        <v>1.82</v>
      </c>
      <c r="H5779" t="n">
        <v>3</v>
      </c>
      <c r="I5779" t="n">
        <v>5</v>
      </c>
      <c r="J5779" t="n">
        <v>3</v>
      </c>
      <c r="K5779" t="n">
        <v>0</v>
      </c>
      <c r="L5779" t="n">
        <v>62729</v>
      </c>
      <c r="M5779" t="n">
        <v>77000</v>
      </c>
      <c r="N5779" t="n">
        <v>91</v>
      </c>
      <c r="O5779" t="n">
        <v>0.91</v>
      </c>
      <c r="P5779" t="n">
        <v>1</v>
      </c>
      <c r="Q5779" t="n">
        <v>0.73</v>
      </c>
      <c r="R5779" t="n">
        <v>2</v>
      </c>
      <c r="S5779" t="n">
        <v>21721.7</v>
      </c>
      <c r="T5779" t="n">
        <v>9</v>
      </c>
      <c r="U5779" t="n">
        <v>10</v>
      </c>
      <c r="V5779" t="n">
        <v>30</v>
      </c>
      <c r="W5779" t="n">
        <v>9</v>
      </c>
      <c r="X5779" t="n">
        <v>74.44168734491315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1579</v>
      </c>
      <c r="AG5779" t="n">
        <v>361</v>
      </c>
      <c r="AH5779" t="inlineStr">
        <is>
          <t>CV. SERBA SERBI - PPN (PDG)</t>
        </is>
      </c>
      <c r="AI5779" t="n">
        <v>361</v>
      </c>
      <c r="AJ5779" t="inlineStr">
        <is>
          <t>VASELINE</t>
        </is>
      </c>
      <c r="AK5779" t="n">
        <v>21</v>
      </c>
      <c r="AL5779" t="inlineStr">
        <is>
          <t>Miss Glam Damar</t>
        </is>
      </c>
      <c r="AM5779" t="n">
        <v>2</v>
      </c>
      <c r="AN5779" t="n">
        <v>500000</v>
      </c>
      <c r="AO5779" t="n">
        <v>0</v>
      </c>
      <c r="AP5779" t="inlineStr"/>
      <c r="AQ5779" t="inlineStr"/>
    </row>
    <row r="5780">
      <c r="A5780" t="inlineStr">
        <is>
          <t>VASELINE</t>
        </is>
      </c>
      <c r="B5780" s="2">
        <f>"8999999581930"</f>
        <v/>
      </c>
      <c r="C5780" t="inlineStr">
        <is>
          <t>VASELINE Healthy Bright Gluta-Hya Flawless Bright 200ml</t>
        </is>
      </c>
      <c r="D5780" t="inlineStr">
        <is>
          <t>Miss Glam Damar</t>
        </is>
      </c>
      <c r="E5780" t="n">
        <v>44</v>
      </c>
      <c r="F5780" t="n">
        <v>1.82</v>
      </c>
      <c r="G5780" t="n">
        <v>6.37</v>
      </c>
      <c r="H5780" t="n">
        <v>3</v>
      </c>
      <c r="I5780" t="n">
        <v>5</v>
      </c>
      <c r="J5780" t="n">
        <v>3</v>
      </c>
      <c r="K5780" t="n">
        <v>0</v>
      </c>
      <c r="L5780" t="n">
        <v>47971</v>
      </c>
      <c r="M5780" t="n">
        <v>56000</v>
      </c>
      <c r="N5780" t="n">
        <v>91</v>
      </c>
      <c r="O5780" t="n">
        <v>0.91</v>
      </c>
      <c r="P5780" t="n">
        <v>1</v>
      </c>
      <c r="Q5780" t="n">
        <v>1.59</v>
      </c>
      <c r="R5780" t="n">
        <v>5</v>
      </c>
      <c r="S5780" t="n">
        <v>101920</v>
      </c>
      <c r="T5780" t="n">
        <v>27</v>
      </c>
      <c r="U5780" t="n">
        <v>33</v>
      </c>
      <c r="V5780" t="n">
        <v>30</v>
      </c>
      <c r="W5780" t="n">
        <v>55</v>
      </c>
      <c r="X5780" t="n">
        <v>24.17582417582418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1579</v>
      </c>
      <c r="AG5780" t="n">
        <v>361</v>
      </c>
      <c r="AH5780" t="inlineStr">
        <is>
          <t>CV. SERBA SERBI - PPN (PDG)</t>
        </is>
      </c>
      <c r="AI5780" t="n">
        <v>361</v>
      </c>
      <c r="AJ5780" t="inlineStr">
        <is>
          <t>VASELINE</t>
        </is>
      </c>
      <c r="AK5780" t="n">
        <v>21</v>
      </c>
      <c r="AL5780" t="inlineStr">
        <is>
          <t>Miss Glam Damar</t>
        </is>
      </c>
      <c r="AM5780" t="n">
        <v>2</v>
      </c>
      <c r="AN5780" t="n">
        <v>500000</v>
      </c>
      <c r="AO5780" t="n">
        <v>0</v>
      </c>
      <c r="AP5780" t="inlineStr"/>
      <c r="AQ5780" t="inlineStr"/>
    </row>
    <row r="5781">
      <c r="A5781" t="inlineStr">
        <is>
          <t>VASELINE</t>
        </is>
      </c>
      <c r="B5781" s="2">
        <f>"9556126670654"</f>
        <v/>
      </c>
      <c r="C5781" t="inlineStr">
        <is>
          <t>VASELINE Healthy Bright Gluta-Hya Flawless Glow 330ml</t>
        </is>
      </c>
      <c r="D5781" t="inlineStr">
        <is>
          <t>Miss Glam Damar</t>
        </is>
      </c>
      <c r="E5781" t="n">
        <v>28</v>
      </c>
      <c r="F5781" t="n">
        <v>0.6188</v>
      </c>
      <c r="G5781" t="n">
        <v>3.64</v>
      </c>
      <c r="H5781" t="n">
        <v>3</v>
      </c>
      <c r="I5781" t="n">
        <v>5</v>
      </c>
      <c r="J5781" t="n">
        <v>3</v>
      </c>
      <c r="K5781" t="n">
        <v>0</v>
      </c>
      <c r="L5781" t="n">
        <v>60301</v>
      </c>
      <c r="M5781" t="n">
        <v>93500</v>
      </c>
      <c r="N5781" t="n">
        <v>91</v>
      </c>
      <c r="O5781" t="n">
        <v>0.91</v>
      </c>
      <c r="P5781" t="n">
        <v>1</v>
      </c>
      <c r="Q5781" t="n">
        <v>0.61</v>
      </c>
      <c r="R5781" t="n">
        <v>3</v>
      </c>
      <c r="S5781" t="n">
        <v>57857.8</v>
      </c>
      <c r="T5781" t="n">
        <v>17</v>
      </c>
      <c r="U5781" t="n">
        <v>19</v>
      </c>
      <c r="V5781" t="n">
        <v>30</v>
      </c>
      <c r="W5781" t="n">
        <v>19</v>
      </c>
      <c r="X5781" t="n">
        <v>45.24886877828054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1579</v>
      </c>
      <c r="AG5781" t="n">
        <v>361</v>
      </c>
      <c r="AH5781" t="inlineStr">
        <is>
          <t>CV. SERBA SERBI - PPN (PDG)</t>
        </is>
      </c>
      <c r="AI5781" t="n">
        <v>361</v>
      </c>
      <c r="AJ5781" t="inlineStr">
        <is>
          <t>VASELINE</t>
        </is>
      </c>
      <c r="AK5781" t="n">
        <v>21</v>
      </c>
      <c r="AL5781" t="inlineStr">
        <is>
          <t>Miss Glam Damar</t>
        </is>
      </c>
      <c r="AM5781" t="n">
        <v>2</v>
      </c>
      <c r="AN5781" t="n">
        <v>500000</v>
      </c>
      <c r="AO5781" t="n">
        <v>0</v>
      </c>
      <c r="AP5781" t="inlineStr"/>
      <c r="AQ5781" t="inlineStr"/>
    </row>
    <row r="5782">
      <c r="A5782" t="inlineStr">
        <is>
          <t>VASELINE</t>
        </is>
      </c>
      <c r="B5782" s="2">
        <f>"8999999596972"</f>
        <v/>
      </c>
      <c r="C5782" t="inlineStr">
        <is>
          <t>VASELINE Healthy Bright Gluta-Hya Serum Burst Lotion Pro Age Restore 200ml</t>
        </is>
      </c>
      <c r="D5782" t="inlineStr">
        <is>
          <t>Miss Glam Damar</t>
        </is>
      </c>
      <c r="E5782" t="n">
        <v>15</v>
      </c>
      <c r="F5782" t="n">
        <v>0.3549</v>
      </c>
      <c r="G5782" t="n">
        <v>1.82</v>
      </c>
      <c r="H5782" t="n">
        <v>3</v>
      </c>
      <c r="I5782" t="n">
        <v>5</v>
      </c>
      <c r="J5782" t="n">
        <v>3</v>
      </c>
      <c r="K5782" t="n">
        <v>0</v>
      </c>
      <c r="L5782" t="n">
        <v>51458</v>
      </c>
      <c r="M5782" t="n">
        <v>70500</v>
      </c>
      <c r="N5782" t="n">
        <v>91</v>
      </c>
      <c r="O5782" t="n">
        <v>0.91</v>
      </c>
      <c r="P5782" t="n">
        <v>1</v>
      </c>
      <c r="Q5782" t="n">
        <v>0.37</v>
      </c>
      <c r="R5782" t="n">
        <v>2</v>
      </c>
      <c r="S5782" t="n">
        <v>25020.45</v>
      </c>
      <c r="T5782" t="n">
        <v>9</v>
      </c>
      <c r="U5782" t="n">
        <v>11</v>
      </c>
      <c r="V5782" t="n">
        <v>30</v>
      </c>
      <c r="W5782" t="n">
        <v>11</v>
      </c>
      <c r="X5782" t="n">
        <v>42.26542688081149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1579</v>
      </c>
      <c r="AG5782" t="n">
        <v>361</v>
      </c>
      <c r="AH5782" t="inlineStr">
        <is>
          <t>CV. SERBA SERBI - PPN (PDG)</t>
        </is>
      </c>
      <c r="AI5782" t="n">
        <v>361</v>
      </c>
      <c r="AJ5782" t="inlineStr">
        <is>
          <t>VASELINE</t>
        </is>
      </c>
      <c r="AK5782" t="n">
        <v>21</v>
      </c>
      <c r="AL5782" t="inlineStr">
        <is>
          <t>Miss Glam Damar</t>
        </is>
      </c>
      <c r="AM5782" t="n">
        <v>2</v>
      </c>
      <c r="AN5782" t="n">
        <v>500000</v>
      </c>
      <c r="AO5782" t="n">
        <v>0</v>
      </c>
      <c r="AP5782" t="inlineStr"/>
      <c r="AQ5782" t="inlineStr"/>
    </row>
    <row r="5783">
      <c r="A5783" t="inlineStr">
        <is>
          <t>VASELINE</t>
        </is>
      </c>
      <c r="B5783" s="2">
        <f>"8999999577421"</f>
        <v/>
      </c>
      <c r="C5783" t="inlineStr">
        <is>
          <t>VASELINE Healthy Bright Hijab Protect Gluta Vitamin 180ml</t>
        </is>
      </c>
      <c r="D5783" t="inlineStr">
        <is>
          <t>Miss Glam Damar</t>
        </is>
      </c>
      <c r="E5783" t="n">
        <v>12</v>
      </c>
      <c r="F5783" t="n">
        <v>1.0374</v>
      </c>
      <c r="G5783" t="n">
        <v>2.73</v>
      </c>
      <c r="H5783" t="n">
        <v>3</v>
      </c>
      <c r="I5783" t="n">
        <v>5</v>
      </c>
      <c r="J5783" t="n">
        <v>3</v>
      </c>
      <c r="K5783" t="n">
        <v>0</v>
      </c>
      <c r="L5783" t="n">
        <v>29463</v>
      </c>
      <c r="M5783" t="n">
        <v>35000</v>
      </c>
      <c r="N5783" t="n">
        <v>91</v>
      </c>
      <c r="O5783" t="n">
        <v>0.91</v>
      </c>
      <c r="P5783" t="n">
        <v>1</v>
      </c>
      <c r="Q5783" t="n">
        <v>0.59</v>
      </c>
      <c r="R5783" t="n">
        <v>3</v>
      </c>
      <c r="S5783" t="n">
        <v>36308.99999999999</v>
      </c>
      <c r="T5783" t="n">
        <v>11</v>
      </c>
      <c r="U5783" t="n">
        <v>15</v>
      </c>
      <c r="V5783" t="n">
        <v>30</v>
      </c>
      <c r="W5783" t="n">
        <v>32</v>
      </c>
      <c r="X5783" t="n">
        <v>11.56737998843262</v>
      </c>
      <c r="Y5783" t="n">
        <v>1</v>
      </c>
      <c r="Z5783" t="n">
        <v>20</v>
      </c>
      <c r="AA5783" t="n">
        <v>0</v>
      </c>
      <c r="AB5783" t="n">
        <v>20</v>
      </c>
      <c r="AC5783" t="n">
        <v>20</v>
      </c>
      <c r="AD5783" t="n">
        <v>0</v>
      </c>
      <c r="AE5783" t="n">
        <v>589260</v>
      </c>
      <c r="AF5783" t="n">
        <v>1579</v>
      </c>
      <c r="AG5783" t="n">
        <v>361</v>
      </c>
      <c r="AH5783" t="inlineStr">
        <is>
          <t>CV. SERBA SERBI - PPN (PDG)</t>
        </is>
      </c>
      <c r="AI5783" t="n">
        <v>361</v>
      </c>
      <c r="AJ5783" t="inlineStr">
        <is>
          <t>VASELINE</t>
        </is>
      </c>
      <c r="AK5783" t="n">
        <v>21</v>
      </c>
      <c r="AL5783" t="inlineStr">
        <is>
          <t>Miss Glam Damar</t>
        </is>
      </c>
      <c r="AM5783" t="n">
        <v>2</v>
      </c>
      <c r="AN5783" t="n">
        <v>500000</v>
      </c>
      <c r="AO5783" t="n">
        <v>0</v>
      </c>
      <c r="AP5783" t="inlineStr"/>
      <c r="AQ5783" t="inlineStr"/>
    </row>
    <row r="5784">
      <c r="A5784" t="inlineStr">
        <is>
          <t>VASELINE</t>
        </is>
      </c>
      <c r="B5784" s="2">
        <f>"8999999024772"</f>
        <v/>
      </c>
      <c r="C5784" t="inlineStr">
        <is>
          <t>VASELINE Healthy Bright Perfect-10 100ml</t>
        </is>
      </c>
      <c r="D5784" t="inlineStr">
        <is>
          <t>Miss Glam Damar</t>
        </is>
      </c>
      <c r="E5784" t="n">
        <v>9</v>
      </c>
      <c r="F5784" t="n">
        <v>0.2275</v>
      </c>
      <c r="G5784" t="n">
        <v>1.82</v>
      </c>
      <c r="H5784" t="n">
        <v>3</v>
      </c>
      <c r="I5784" t="n">
        <v>5</v>
      </c>
      <c r="J5784" t="n">
        <v>3</v>
      </c>
      <c r="K5784" t="n">
        <v>0</v>
      </c>
      <c r="L5784" t="n">
        <v>19030</v>
      </c>
      <c r="M5784" t="n">
        <v>26000</v>
      </c>
      <c r="N5784" t="n">
        <v>91</v>
      </c>
      <c r="O5784" t="n">
        <v>0.91</v>
      </c>
      <c r="P5784" t="n">
        <v>1</v>
      </c>
      <c r="Q5784" t="n">
        <v>0.17</v>
      </c>
      <c r="R5784" t="n">
        <v>1</v>
      </c>
      <c r="S5784" t="n">
        <v>5915</v>
      </c>
      <c r="T5784" t="n">
        <v>9</v>
      </c>
      <c r="U5784" t="n">
        <v>10</v>
      </c>
      <c r="V5784" t="n">
        <v>30</v>
      </c>
      <c r="W5784" t="n">
        <v>7</v>
      </c>
      <c r="X5784" t="n">
        <v>39.56043956043956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1579</v>
      </c>
      <c r="AG5784" t="n">
        <v>361</v>
      </c>
      <c r="AH5784" t="inlineStr">
        <is>
          <t>CV. SERBA SERBI - PPN (PDG)</t>
        </is>
      </c>
      <c r="AI5784" t="n">
        <v>361</v>
      </c>
      <c r="AJ5784" t="inlineStr">
        <is>
          <t>VASELINE</t>
        </is>
      </c>
      <c r="AK5784" t="n">
        <v>21</v>
      </c>
      <c r="AL5784" t="inlineStr">
        <is>
          <t>Miss Glam Damar</t>
        </is>
      </c>
      <c r="AM5784" t="n">
        <v>2</v>
      </c>
      <c r="AN5784" t="n">
        <v>500000</v>
      </c>
      <c r="AO5784" t="n">
        <v>0</v>
      </c>
      <c r="AP5784" t="inlineStr"/>
      <c r="AQ5784" t="inlineStr"/>
    </row>
    <row r="5785">
      <c r="A5785" t="inlineStr">
        <is>
          <t>VASELINE</t>
        </is>
      </c>
      <c r="B5785" s="2">
        <f>"8999999024789"</f>
        <v/>
      </c>
      <c r="C5785" t="inlineStr">
        <is>
          <t>VASELINE Healthy Bright Perfect10 200ml</t>
        </is>
      </c>
      <c r="D5785" t="inlineStr">
        <is>
          <t>Miss Glam Damar</t>
        </is>
      </c>
      <c r="E5785" t="n">
        <v>5</v>
      </c>
      <c r="F5785" t="n">
        <v>0.04550000000000001</v>
      </c>
      <c r="G5785" t="n">
        <v>0.91</v>
      </c>
      <c r="H5785" t="n">
        <v>3</v>
      </c>
      <c r="I5785" t="n">
        <v>5</v>
      </c>
      <c r="J5785" t="n">
        <v>3</v>
      </c>
      <c r="K5785" t="n">
        <v>0</v>
      </c>
      <c r="L5785" t="n">
        <v>30660</v>
      </c>
      <c r="M5785" t="n">
        <v>47500</v>
      </c>
      <c r="N5785" t="n">
        <v>91</v>
      </c>
      <c r="O5785" t="n">
        <v>0.91</v>
      </c>
      <c r="P5785" t="n">
        <v>1</v>
      </c>
      <c r="Q5785" t="n">
        <v>0.15</v>
      </c>
      <c r="R5785" t="n">
        <v>2</v>
      </c>
      <c r="S5785" t="n">
        <v>2161.25</v>
      </c>
      <c r="T5785" t="n">
        <v>5</v>
      </c>
      <c r="U5785" t="n">
        <v>6</v>
      </c>
      <c r="V5785" t="n">
        <v>30</v>
      </c>
      <c r="W5785" t="n">
        <v>2</v>
      </c>
      <c r="X5785" t="n">
        <v>109.8901098901099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1579</v>
      </c>
      <c r="AG5785" t="n">
        <v>361</v>
      </c>
      <c r="AH5785" t="inlineStr">
        <is>
          <t>CV. SERBA SERBI - PPN (PDG)</t>
        </is>
      </c>
      <c r="AI5785" t="n">
        <v>361</v>
      </c>
      <c r="AJ5785" t="inlineStr">
        <is>
          <t>VASELINE</t>
        </is>
      </c>
      <c r="AK5785" t="n">
        <v>21</v>
      </c>
      <c r="AL5785" t="inlineStr">
        <is>
          <t>Miss Glam Damar</t>
        </is>
      </c>
      <c r="AM5785" t="n">
        <v>2</v>
      </c>
      <c r="AN5785" t="n">
        <v>500000</v>
      </c>
      <c r="AO5785" t="n">
        <v>0</v>
      </c>
      <c r="AP5785" t="inlineStr"/>
      <c r="AQ5785" t="inlineStr"/>
    </row>
    <row r="5786">
      <c r="A5786" t="inlineStr">
        <is>
          <t>VASELINE</t>
        </is>
      </c>
      <c r="B5786" s="2">
        <f>"8999999577407"</f>
        <v/>
      </c>
      <c r="C5786" t="inlineStr">
        <is>
          <t>VASELINE Healthy Bright Radiant Gluta Vitamin Cooling Serum 180ml</t>
        </is>
      </c>
      <c r="D5786" t="inlineStr">
        <is>
          <t>Miss Glam Damar</t>
        </is>
      </c>
      <c r="E5786" t="n">
        <v>11</v>
      </c>
      <c r="F5786" t="n">
        <v>0.2912</v>
      </c>
      <c r="G5786" t="n">
        <v>1.82</v>
      </c>
      <c r="H5786" t="n">
        <v>3</v>
      </c>
      <c r="I5786" t="n">
        <v>5</v>
      </c>
      <c r="J5786" t="n">
        <v>3</v>
      </c>
      <c r="K5786" t="n">
        <v>0</v>
      </c>
      <c r="L5786" t="n">
        <v>29579</v>
      </c>
      <c r="M5786" t="n">
        <v>38000</v>
      </c>
      <c r="N5786" t="n">
        <v>91</v>
      </c>
      <c r="O5786" t="n">
        <v>0.91</v>
      </c>
      <c r="P5786" t="n">
        <v>1</v>
      </c>
      <c r="Q5786" t="n">
        <v>0.17</v>
      </c>
      <c r="R5786" t="n">
        <v>2</v>
      </c>
      <c r="S5786" t="n">
        <v>11065.6</v>
      </c>
      <c r="T5786" t="n">
        <v>9</v>
      </c>
      <c r="U5786" t="n">
        <v>10</v>
      </c>
      <c r="V5786" t="n">
        <v>30</v>
      </c>
      <c r="W5786" t="n">
        <v>9</v>
      </c>
      <c r="X5786" t="n">
        <v>37.77472527472527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1579</v>
      </c>
      <c r="AG5786" t="n">
        <v>361</v>
      </c>
      <c r="AH5786" t="inlineStr">
        <is>
          <t>CV. SERBA SERBI - PPN (PDG)</t>
        </is>
      </c>
      <c r="AI5786" t="n">
        <v>361</v>
      </c>
      <c r="AJ5786" t="inlineStr">
        <is>
          <t>VASELINE</t>
        </is>
      </c>
      <c r="AK5786" t="n">
        <v>21</v>
      </c>
      <c r="AL5786" t="inlineStr">
        <is>
          <t>Miss Glam Damar</t>
        </is>
      </c>
      <c r="AM5786" t="n">
        <v>2</v>
      </c>
      <c r="AN5786" t="n">
        <v>500000</v>
      </c>
      <c r="AO5786" t="n">
        <v>0</v>
      </c>
      <c r="AP5786" t="inlineStr"/>
      <c r="AQ5786" t="inlineStr"/>
    </row>
    <row r="5787">
      <c r="A5787" t="inlineStr">
        <is>
          <t>VASELINE</t>
        </is>
      </c>
      <c r="B5787" s="2">
        <f>"8999999035273"</f>
        <v/>
      </c>
      <c r="C5787" t="inlineStr">
        <is>
          <t>VASELINE Healthy Bright Spf 30 PA++ Gluta Vitamin 180ml</t>
        </is>
      </c>
      <c r="D5787" t="inlineStr">
        <is>
          <t>Miss Glam Damar</t>
        </is>
      </c>
      <c r="E5787" t="n">
        <v>19</v>
      </c>
      <c r="F5787" t="n">
        <v>1.1375</v>
      </c>
      <c r="G5787" t="n">
        <v>3.64</v>
      </c>
      <c r="H5787" t="n">
        <v>3</v>
      </c>
      <c r="I5787" t="n">
        <v>5</v>
      </c>
      <c r="J5787" t="n">
        <v>3</v>
      </c>
      <c r="K5787" t="n">
        <v>0</v>
      </c>
      <c r="L5787" t="n">
        <v>45985</v>
      </c>
      <c r="M5787" t="n">
        <v>56000</v>
      </c>
      <c r="N5787" t="n">
        <v>91</v>
      </c>
      <c r="O5787" t="n">
        <v>0.91</v>
      </c>
      <c r="P5787" t="n">
        <v>1</v>
      </c>
      <c r="Q5787" t="n">
        <v>0.36</v>
      </c>
      <c r="R5787" t="n">
        <v>2</v>
      </c>
      <c r="S5787" t="n">
        <v>63700</v>
      </c>
      <c r="T5787" t="n">
        <v>15</v>
      </c>
      <c r="U5787" t="n">
        <v>19</v>
      </c>
      <c r="V5787" t="n">
        <v>30</v>
      </c>
      <c r="W5787" t="n">
        <v>35</v>
      </c>
      <c r="X5787" t="n">
        <v>16.7032967032967</v>
      </c>
      <c r="Y5787" t="n">
        <v>1</v>
      </c>
      <c r="Z5787" t="n">
        <v>16</v>
      </c>
      <c r="AA5787" t="n">
        <v>0</v>
      </c>
      <c r="AB5787" t="n">
        <v>16</v>
      </c>
      <c r="AC5787" t="n">
        <v>16</v>
      </c>
      <c r="AD5787" t="n">
        <v>0</v>
      </c>
      <c r="AE5787" t="n">
        <v>735760</v>
      </c>
      <c r="AF5787" t="n">
        <v>1579</v>
      </c>
      <c r="AG5787" t="n">
        <v>361</v>
      </c>
      <c r="AH5787" t="inlineStr">
        <is>
          <t>CV. SERBA SERBI - PPN (PDG)</t>
        </is>
      </c>
      <c r="AI5787" t="n">
        <v>361</v>
      </c>
      <c r="AJ5787" t="inlineStr">
        <is>
          <t>VASELINE</t>
        </is>
      </c>
      <c r="AK5787" t="n">
        <v>21</v>
      </c>
      <c r="AL5787" t="inlineStr">
        <is>
          <t>Miss Glam Damar</t>
        </is>
      </c>
      <c r="AM5787" t="n">
        <v>2</v>
      </c>
      <c r="AN5787" t="n">
        <v>500000</v>
      </c>
      <c r="AO5787" t="n">
        <v>0</v>
      </c>
      <c r="AP5787" t="inlineStr"/>
      <c r="AQ5787" t="inlineStr"/>
    </row>
    <row r="5788">
      <c r="A5788" t="inlineStr">
        <is>
          <t>VASELINE</t>
        </is>
      </c>
      <c r="B5788" s="2">
        <f>"8999999719395"</f>
        <v/>
      </c>
      <c r="C5788" t="inlineStr">
        <is>
          <t>VASELINE Healthy Bright UV Extra Brightening 100ml</t>
        </is>
      </c>
      <c r="D5788" t="inlineStr">
        <is>
          <t>Miss Glam Damar</t>
        </is>
      </c>
      <c r="E5788" t="n">
        <v>25</v>
      </c>
      <c r="F5788" t="n">
        <v>1.5288</v>
      </c>
      <c r="G5788" t="n">
        <v>3.64</v>
      </c>
      <c r="H5788" t="n">
        <v>3</v>
      </c>
      <c r="I5788" t="n">
        <v>5</v>
      </c>
      <c r="J5788" t="n">
        <v>3</v>
      </c>
      <c r="K5788" t="n">
        <v>0</v>
      </c>
      <c r="L5788" t="n">
        <v>14992</v>
      </c>
      <c r="M5788" t="n">
        <v>18000</v>
      </c>
      <c r="N5788" t="n">
        <v>91</v>
      </c>
      <c r="O5788" t="n">
        <v>0.91</v>
      </c>
      <c r="P5788" t="n">
        <v>1</v>
      </c>
      <c r="Q5788" t="n">
        <v>0.9</v>
      </c>
      <c r="R5788" t="n">
        <v>3</v>
      </c>
      <c r="S5788" t="n">
        <v>27518.4</v>
      </c>
      <c r="T5788" t="n">
        <v>14</v>
      </c>
      <c r="U5788" t="n">
        <v>19</v>
      </c>
      <c r="V5788" t="n">
        <v>30</v>
      </c>
      <c r="W5788" t="n">
        <v>46</v>
      </c>
      <c r="X5788" t="n">
        <v>16.3526949241235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1579</v>
      </c>
      <c r="AG5788" t="n">
        <v>361</v>
      </c>
      <c r="AH5788" t="inlineStr">
        <is>
          <t>CV. SERBA SERBI - PPN (PDG)</t>
        </is>
      </c>
      <c r="AI5788" t="n">
        <v>361</v>
      </c>
      <c r="AJ5788" t="inlineStr">
        <is>
          <t>VASELINE</t>
        </is>
      </c>
      <c r="AK5788" t="n">
        <v>21</v>
      </c>
      <c r="AL5788" t="inlineStr">
        <is>
          <t>Miss Glam Damar</t>
        </is>
      </c>
      <c r="AM5788" t="n">
        <v>2</v>
      </c>
      <c r="AN5788" t="n">
        <v>500000</v>
      </c>
      <c r="AO5788" t="n">
        <v>0</v>
      </c>
      <c r="AP5788" t="inlineStr"/>
      <c r="AQ5788" t="inlineStr"/>
    </row>
    <row r="5789">
      <c r="A5789" t="inlineStr">
        <is>
          <t>VASELINE</t>
        </is>
      </c>
      <c r="B5789" s="2">
        <f>"8999999024796"</f>
        <v/>
      </c>
      <c r="C5789" t="inlineStr">
        <is>
          <t>VASELINE Healthy White Perfect 10 400ml</t>
        </is>
      </c>
      <c r="D5789" t="inlineStr">
        <is>
          <t>Miss Glam Damar</t>
        </is>
      </c>
      <c r="E5789" t="n">
        <v>3</v>
      </c>
      <c r="F5789" t="n">
        <v>0.09100000000000001</v>
      </c>
      <c r="G5789" t="n">
        <v>1.82</v>
      </c>
      <c r="H5789" t="n">
        <v>3</v>
      </c>
      <c r="I5789" t="n">
        <v>5</v>
      </c>
      <c r="J5789" t="n">
        <v>3</v>
      </c>
      <c r="K5789" t="n">
        <v>0</v>
      </c>
      <c r="L5789" t="n">
        <v>59247</v>
      </c>
      <c r="M5789" t="n">
        <v>69500</v>
      </c>
      <c r="N5789" t="n">
        <v>91</v>
      </c>
      <c r="O5789" t="n">
        <v>0.91</v>
      </c>
      <c r="P5789" t="n">
        <v>1</v>
      </c>
      <c r="Q5789" t="n">
        <v>0.1</v>
      </c>
      <c r="R5789" t="n">
        <v>1</v>
      </c>
      <c r="S5789" t="n">
        <v>6324.500000000001</v>
      </c>
      <c r="T5789" t="n">
        <v>9</v>
      </c>
      <c r="U5789" t="n">
        <v>10</v>
      </c>
      <c r="V5789" t="n">
        <v>30</v>
      </c>
      <c r="W5789" t="n">
        <v>3</v>
      </c>
      <c r="X5789" t="n">
        <v>32.96703296703296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1579</v>
      </c>
      <c r="AG5789" t="n">
        <v>361</v>
      </c>
      <c r="AH5789" t="inlineStr">
        <is>
          <t>CV. SERBA SERBI - PPN (PDG)</t>
        </is>
      </c>
      <c r="AI5789" t="n">
        <v>361</v>
      </c>
      <c r="AJ5789" t="inlineStr">
        <is>
          <t>VASELINE</t>
        </is>
      </c>
      <c r="AK5789" t="n">
        <v>21</v>
      </c>
      <c r="AL5789" t="inlineStr">
        <is>
          <t>Miss Glam Damar</t>
        </is>
      </c>
      <c r="AM5789" t="n">
        <v>2</v>
      </c>
      <c r="AN5789" t="n">
        <v>500000</v>
      </c>
      <c r="AO5789" t="n">
        <v>0</v>
      </c>
      <c r="AP5789" t="inlineStr"/>
      <c r="AQ5789" t="inlineStr"/>
    </row>
    <row r="5790">
      <c r="A5790" t="inlineStr">
        <is>
          <t>VASELINE</t>
        </is>
      </c>
      <c r="B5790" s="2">
        <f>"8999999506506"</f>
        <v/>
      </c>
      <c r="C5790" t="inlineStr">
        <is>
          <t>VASELINE Healty Bright SPF 24 PA++ Sun+Pollution 400ml</t>
        </is>
      </c>
      <c r="D5790" t="inlineStr">
        <is>
          <t>Miss Glam Damar</t>
        </is>
      </c>
      <c r="E5790" t="n">
        <v>21</v>
      </c>
      <c r="F5790" t="n">
        <v>0.3731</v>
      </c>
      <c r="G5790" t="n">
        <v>1.82</v>
      </c>
      <c r="H5790" t="n">
        <v>3</v>
      </c>
      <c r="I5790" t="n">
        <v>5</v>
      </c>
      <c r="J5790" t="n">
        <v>3</v>
      </c>
      <c r="K5790" t="n">
        <v>0</v>
      </c>
      <c r="L5790" t="n">
        <v>59022</v>
      </c>
      <c r="M5790" t="n">
        <v>69500</v>
      </c>
      <c r="N5790" t="n">
        <v>91</v>
      </c>
      <c r="O5790" t="n">
        <v>0.91</v>
      </c>
      <c r="P5790" t="n">
        <v>1</v>
      </c>
      <c r="Q5790" t="n">
        <v>0.19</v>
      </c>
      <c r="R5790" t="n">
        <v>2</v>
      </c>
      <c r="S5790" t="n">
        <v>25930.45</v>
      </c>
      <c r="T5790" t="n">
        <v>8</v>
      </c>
      <c r="U5790" t="n">
        <v>10</v>
      </c>
      <c r="V5790" t="n">
        <v>30</v>
      </c>
      <c r="W5790" t="n">
        <v>12</v>
      </c>
      <c r="X5790" t="n">
        <v>56.28517823639775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1579</v>
      </c>
      <c r="AG5790" t="n">
        <v>361</v>
      </c>
      <c r="AH5790" t="inlineStr">
        <is>
          <t>CV. SERBA SERBI - PPN (PDG)</t>
        </is>
      </c>
      <c r="AI5790" t="n">
        <v>361</v>
      </c>
      <c r="AJ5790" t="inlineStr">
        <is>
          <t>VASELINE</t>
        </is>
      </c>
      <c r="AK5790" t="n">
        <v>21</v>
      </c>
      <c r="AL5790" t="inlineStr">
        <is>
          <t>Miss Glam Damar</t>
        </is>
      </c>
      <c r="AM5790" t="n">
        <v>2</v>
      </c>
      <c r="AN5790" t="n">
        <v>500000</v>
      </c>
      <c r="AO5790" t="n">
        <v>0</v>
      </c>
      <c r="AP5790" t="inlineStr"/>
      <c r="AQ5790" t="inlineStr"/>
    </row>
    <row r="5791">
      <c r="A5791" t="inlineStr">
        <is>
          <t>VASELINE</t>
        </is>
      </c>
      <c r="B5791" s="2">
        <f>"8999999003067"</f>
        <v/>
      </c>
      <c r="C5791" t="inlineStr">
        <is>
          <t>VASELINE Healty Bright Sun Pollution Spf24 Protection Lotion 100ml</t>
        </is>
      </c>
      <c r="D5791" t="inlineStr">
        <is>
          <t>Miss Glam Damar</t>
        </is>
      </c>
      <c r="E5791" t="n">
        <v>17</v>
      </c>
      <c r="F5791" t="n">
        <v>1.1102</v>
      </c>
      <c r="G5791" t="n">
        <v>2.73</v>
      </c>
      <c r="H5791" t="n">
        <v>3</v>
      </c>
      <c r="I5791" t="n">
        <v>5</v>
      </c>
      <c r="J5791" t="n">
        <v>3</v>
      </c>
      <c r="K5791" t="n">
        <v>0</v>
      </c>
      <c r="L5791" t="n">
        <v>19030</v>
      </c>
      <c r="M5791" t="n">
        <v>26000</v>
      </c>
      <c r="N5791" t="n">
        <v>91</v>
      </c>
      <c r="O5791" t="n">
        <v>0.91</v>
      </c>
      <c r="P5791" t="n">
        <v>1</v>
      </c>
      <c r="Q5791" t="n">
        <v>0.49</v>
      </c>
      <c r="R5791" t="n">
        <v>2</v>
      </c>
      <c r="S5791" t="n">
        <v>28865.2</v>
      </c>
      <c r="T5791" t="n">
        <v>11</v>
      </c>
      <c r="U5791" t="n">
        <v>15</v>
      </c>
      <c r="V5791" t="n">
        <v>30</v>
      </c>
      <c r="W5791" t="n">
        <v>34</v>
      </c>
      <c r="X5791" t="n">
        <v>15.31255629616285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1579</v>
      </c>
      <c r="AG5791" t="n">
        <v>361</v>
      </c>
      <c r="AH5791" t="inlineStr">
        <is>
          <t>CV. SERBA SERBI - PPN (PDG)</t>
        </is>
      </c>
      <c r="AI5791" t="n">
        <v>361</v>
      </c>
      <c r="AJ5791" t="inlineStr">
        <is>
          <t>VASELINE</t>
        </is>
      </c>
      <c r="AK5791" t="n">
        <v>21</v>
      </c>
      <c r="AL5791" t="inlineStr">
        <is>
          <t>Miss Glam Damar</t>
        </is>
      </c>
      <c r="AM5791" t="n">
        <v>2</v>
      </c>
      <c r="AN5791" t="n">
        <v>500000</v>
      </c>
      <c r="AO5791" t="n">
        <v>0</v>
      </c>
      <c r="AP5791" t="inlineStr"/>
      <c r="AQ5791" t="inlineStr"/>
    </row>
    <row r="5792">
      <c r="A5792" t="inlineStr">
        <is>
          <t>VASELINE</t>
        </is>
      </c>
      <c r="B5792" s="2">
        <f>"8999999003043"</f>
        <v/>
      </c>
      <c r="C5792" t="inlineStr">
        <is>
          <t>VASELINE Healty Bright Sun Pollution Spf24 Protection Lotion 200ml</t>
        </is>
      </c>
      <c r="D5792" t="inlineStr">
        <is>
          <t>Miss Glam Damar</t>
        </is>
      </c>
      <c r="E5792" t="n">
        <v>10</v>
      </c>
      <c r="F5792" t="n">
        <v>0.3276</v>
      </c>
      <c r="G5792" t="n">
        <v>2.73</v>
      </c>
      <c r="H5792" t="n">
        <v>3</v>
      </c>
      <c r="I5792" t="n">
        <v>5</v>
      </c>
      <c r="J5792" t="n">
        <v>3</v>
      </c>
      <c r="K5792" t="n">
        <v>0</v>
      </c>
      <c r="L5792" t="n">
        <v>30660</v>
      </c>
      <c r="M5792" t="n">
        <v>46500</v>
      </c>
      <c r="N5792" t="n">
        <v>91</v>
      </c>
      <c r="O5792" t="n">
        <v>0.91</v>
      </c>
      <c r="P5792" t="n">
        <v>1</v>
      </c>
      <c r="Q5792" t="n">
        <v>0.32</v>
      </c>
      <c r="R5792" t="n">
        <v>2</v>
      </c>
      <c r="S5792" t="n">
        <v>15233.4</v>
      </c>
      <c r="T5792" t="n">
        <v>13</v>
      </c>
      <c r="U5792" t="n">
        <v>14</v>
      </c>
      <c r="V5792" t="n">
        <v>30</v>
      </c>
      <c r="W5792" t="n">
        <v>10</v>
      </c>
      <c r="X5792" t="n">
        <v>30.52503052503052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1579</v>
      </c>
      <c r="AG5792" t="n">
        <v>361</v>
      </c>
      <c r="AH5792" t="inlineStr">
        <is>
          <t>CV. SERBA SERBI - PPN (PDG)</t>
        </is>
      </c>
      <c r="AI5792" t="n">
        <v>361</v>
      </c>
      <c r="AJ5792" t="inlineStr">
        <is>
          <t>VASELINE</t>
        </is>
      </c>
      <c r="AK5792" t="n">
        <v>21</v>
      </c>
      <c r="AL5792" t="inlineStr">
        <is>
          <t>Miss Glam Damar</t>
        </is>
      </c>
      <c r="AM5792" t="n">
        <v>2</v>
      </c>
      <c r="AN5792" t="n">
        <v>500000</v>
      </c>
      <c r="AO5792" t="n">
        <v>0</v>
      </c>
      <c r="AP5792" t="inlineStr"/>
      <c r="AQ5792" t="inlineStr"/>
    </row>
    <row r="5793">
      <c r="A5793" t="inlineStr">
        <is>
          <t>VASELINE</t>
        </is>
      </c>
      <c r="B5793" s="2">
        <f>"8999999590055"</f>
        <v/>
      </c>
      <c r="C5793" t="inlineStr">
        <is>
          <t>VASELINE Healty Burst Lotion GLUTA-HYA Overnight Radiance Repair 330ml</t>
        </is>
      </c>
      <c r="D5793" t="inlineStr">
        <is>
          <t>Miss Glam Damar</t>
        </is>
      </c>
      <c r="E5793" t="n">
        <v>14</v>
      </c>
      <c r="F5793" t="n">
        <v>0.4914000000000001</v>
      </c>
      <c r="G5793" t="n">
        <v>2.73</v>
      </c>
      <c r="H5793" t="n">
        <v>3</v>
      </c>
      <c r="I5793" t="n">
        <v>5</v>
      </c>
      <c r="J5793" t="n">
        <v>3</v>
      </c>
      <c r="K5793" t="n">
        <v>0</v>
      </c>
      <c r="L5793" t="n">
        <v>72216</v>
      </c>
      <c r="M5793" t="n">
        <v>86500</v>
      </c>
      <c r="N5793" t="n">
        <v>91</v>
      </c>
      <c r="O5793" t="n">
        <v>0.91</v>
      </c>
      <c r="P5793" t="n">
        <v>1</v>
      </c>
      <c r="Q5793" t="n">
        <v>0.39</v>
      </c>
      <c r="R5793" t="n">
        <v>2</v>
      </c>
      <c r="S5793" t="n">
        <v>42506.10000000001</v>
      </c>
      <c r="T5793" t="n">
        <v>13</v>
      </c>
      <c r="U5793" t="n">
        <v>15</v>
      </c>
      <c r="V5793" t="n">
        <v>30</v>
      </c>
      <c r="W5793" t="n">
        <v>15</v>
      </c>
      <c r="X5793" t="n">
        <v>28.49002849002849</v>
      </c>
      <c r="Y5793" t="n">
        <v>1</v>
      </c>
      <c r="Z5793" t="n">
        <v>1</v>
      </c>
      <c r="AA5793" t="n">
        <v>0</v>
      </c>
      <c r="AB5793" t="n">
        <v>1</v>
      </c>
      <c r="AC5793" t="n">
        <v>3</v>
      </c>
      <c r="AD5793" t="n">
        <v>0</v>
      </c>
      <c r="AE5793" t="n">
        <v>216648</v>
      </c>
      <c r="AF5793" t="n">
        <v>1579</v>
      </c>
      <c r="AG5793" t="n">
        <v>361</v>
      </c>
      <c r="AH5793" t="inlineStr">
        <is>
          <t>CV. SERBA SERBI - PPN (PDG)</t>
        </is>
      </c>
      <c r="AI5793" t="n">
        <v>361</v>
      </c>
      <c r="AJ5793" t="inlineStr">
        <is>
          <t>VASELINE</t>
        </is>
      </c>
      <c r="AK5793" t="n">
        <v>21</v>
      </c>
      <c r="AL5793" t="inlineStr">
        <is>
          <t>Miss Glam Damar</t>
        </is>
      </c>
      <c r="AM5793" t="n">
        <v>2</v>
      </c>
      <c r="AN5793" t="n">
        <v>500000</v>
      </c>
      <c r="AO5793" t="n">
        <v>0</v>
      </c>
      <c r="AP5793" t="inlineStr"/>
      <c r="AQ5793" t="inlineStr"/>
    </row>
    <row r="5794">
      <c r="A5794" t="inlineStr">
        <is>
          <t>VASELINE</t>
        </is>
      </c>
      <c r="B5794" s="2">
        <f>"8999999045579"</f>
        <v/>
      </c>
      <c r="C5794" t="inlineStr">
        <is>
          <t>VASELINE Intensive Care Advanced Sternght 200ml</t>
        </is>
      </c>
      <c r="D5794" t="inlineStr">
        <is>
          <t>Miss Glam Damar</t>
        </is>
      </c>
      <c r="E5794" t="n">
        <v>9</v>
      </c>
      <c r="F5794" t="n">
        <v>0.2821</v>
      </c>
      <c r="G5794" t="n">
        <v>2.73</v>
      </c>
      <c r="H5794" t="n">
        <v>3</v>
      </c>
      <c r="I5794" t="n">
        <v>5</v>
      </c>
      <c r="J5794" t="n">
        <v>3</v>
      </c>
      <c r="K5794" t="n">
        <v>0</v>
      </c>
      <c r="L5794" t="n">
        <v>30630</v>
      </c>
      <c r="M5794" t="n">
        <v>36500</v>
      </c>
      <c r="N5794" t="n">
        <v>91</v>
      </c>
      <c r="O5794" t="n">
        <v>0.91</v>
      </c>
      <c r="P5794" t="n">
        <v>1</v>
      </c>
      <c r="Q5794" t="n">
        <v>0.34</v>
      </c>
      <c r="R5794" t="n">
        <v>2</v>
      </c>
      <c r="S5794" t="n">
        <v>10296.65</v>
      </c>
      <c r="T5794" t="n">
        <v>13</v>
      </c>
      <c r="U5794" t="n">
        <v>14</v>
      </c>
      <c r="V5794" t="n">
        <v>30</v>
      </c>
      <c r="W5794" t="n">
        <v>9</v>
      </c>
      <c r="X5794" t="n">
        <v>31.90358029067706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1579</v>
      </c>
      <c r="AG5794" t="n">
        <v>361</v>
      </c>
      <c r="AH5794" t="inlineStr">
        <is>
          <t>CV. SERBA SERBI - PPN (PDG)</t>
        </is>
      </c>
      <c r="AI5794" t="n">
        <v>361</v>
      </c>
      <c r="AJ5794" t="inlineStr">
        <is>
          <t>VASELINE</t>
        </is>
      </c>
      <c r="AK5794" t="n">
        <v>21</v>
      </c>
      <c r="AL5794" t="inlineStr">
        <is>
          <t>Miss Glam Damar</t>
        </is>
      </c>
      <c r="AM5794" t="n">
        <v>2</v>
      </c>
      <c r="AN5794" t="n">
        <v>500000</v>
      </c>
      <c r="AO5794" t="n">
        <v>0</v>
      </c>
      <c r="AP5794" t="inlineStr"/>
      <c r="AQ5794" t="inlineStr"/>
    </row>
    <row r="5795">
      <c r="A5795" t="inlineStr">
        <is>
          <t>VASELINE</t>
        </is>
      </c>
      <c r="B5795" s="2">
        <f>"8999999003074"</f>
        <v/>
      </c>
      <c r="C5795" t="inlineStr">
        <is>
          <t>VASELINE Intensive Care Aloe Soothe 100ml</t>
        </is>
      </c>
      <c r="D5795" t="inlineStr">
        <is>
          <t>Miss Glam Damar</t>
        </is>
      </c>
      <c r="E5795" t="n">
        <v>7</v>
      </c>
      <c r="F5795" t="n">
        <v>0.6188</v>
      </c>
      <c r="G5795" t="n">
        <v>4.55</v>
      </c>
      <c r="H5795" t="n">
        <v>3</v>
      </c>
      <c r="I5795" t="n">
        <v>5</v>
      </c>
      <c r="J5795" t="n">
        <v>3</v>
      </c>
      <c r="K5795" t="n">
        <v>0</v>
      </c>
      <c r="L5795" t="n">
        <v>14977</v>
      </c>
      <c r="M5795" t="n">
        <v>18000</v>
      </c>
      <c r="N5795" t="n">
        <v>91</v>
      </c>
      <c r="O5795" t="n">
        <v>0.91</v>
      </c>
      <c r="P5795" t="n">
        <v>1</v>
      </c>
      <c r="Q5795" t="n">
        <v>0.24</v>
      </c>
      <c r="R5795" t="n">
        <v>2</v>
      </c>
      <c r="S5795" t="n">
        <v>11138.4</v>
      </c>
      <c r="T5795" t="n">
        <v>21</v>
      </c>
      <c r="U5795" t="n">
        <v>23</v>
      </c>
      <c r="V5795" t="n">
        <v>30</v>
      </c>
      <c r="W5795" t="n">
        <v>19</v>
      </c>
      <c r="X5795" t="n">
        <v>11.31221719457013</v>
      </c>
      <c r="Y5795" t="n">
        <v>1</v>
      </c>
      <c r="Z5795" t="n">
        <v>12</v>
      </c>
      <c r="AA5795" t="n">
        <v>0</v>
      </c>
      <c r="AB5795" t="n">
        <v>12</v>
      </c>
      <c r="AC5795" t="n">
        <v>12</v>
      </c>
      <c r="AD5795" t="n">
        <v>0</v>
      </c>
      <c r="AE5795" t="n">
        <v>179724</v>
      </c>
      <c r="AF5795" t="n">
        <v>1579</v>
      </c>
      <c r="AG5795" t="n">
        <v>361</v>
      </c>
      <c r="AH5795" t="inlineStr">
        <is>
          <t>CV. SERBA SERBI - PPN (PDG)</t>
        </is>
      </c>
      <c r="AI5795" t="n">
        <v>361</v>
      </c>
      <c r="AJ5795" t="inlineStr">
        <is>
          <t>VASELINE</t>
        </is>
      </c>
      <c r="AK5795" t="n">
        <v>21</v>
      </c>
      <c r="AL5795" t="inlineStr">
        <is>
          <t>Miss Glam Damar</t>
        </is>
      </c>
      <c r="AM5795" t="n">
        <v>2</v>
      </c>
      <c r="AN5795" t="n">
        <v>500000</v>
      </c>
      <c r="AO5795" t="n">
        <v>0</v>
      </c>
      <c r="AP5795" t="inlineStr"/>
      <c r="AQ5795" t="inlineStr"/>
    </row>
    <row r="5796">
      <c r="A5796" t="inlineStr">
        <is>
          <t>VASELINE</t>
        </is>
      </c>
      <c r="B5796" s="2">
        <f>"8999999003098"</f>
        <v/>
      </c>
      <c r="C5796" t="inlineStr">
        <is>
          <t>VASELINE Intensive Care Aloe Soothe 200ml</t>
        </is>
      </c>
      <c r="D5796" t="inlineStr">
        <is>
          <t>Miss Glam Damar</t>
        </is>
      </c>
      <c r="E5796" t="n">
        <v>12</v>
      </c>
      <c r="F5796" t="n">
        <v>0.2184</v>
      </c>
      <c r="G5796" t="n">
        <v>2.73</v>
      </c>
      <c r="H5796" t="n">
        <v>3</v>
      </c>
      <c r="I5796" t="n">
        <v>5</v>
      </c>
      <c r="J5796" t="n">
        <v>3</v>
      </c>
      <c r="K5796" t="n">
        <v>0</v>
      </c>
      <c r="L5796" t="n">
        <v>25686</v>
      </c>
      <c r="M5796" t="n">
        <v>33000</v>
      </c>
      <c r="N5796" t="n">
        <v>91</v>
      </c>
      <c r="O5796" t="n">
        <v>0.91</v>
      </c>
      <c r="P5796" t="n">
        <v>1</v>
      </c>
      <c r="Q5796" t="n">
        <v>0.2</v>
      </c>
      <c r="R5796" t="n">
        <v>1</v>
      </c>
      <c r="S5796" t="n">
        <v>7207.200000000001</v>
      </c>
      <c r="T5796" t="n">
        <v>13</v>
      </c>
      <c r="U5796" t="n">
        <v>14</v>
      </c>
      <c r="V5796" t="n">
        <v>30</v>
      </c>
      <c r="W5796" t="n">
        <v>7</v>
      </c>
      <c r="X5796" t="n">
        <v>54.94505494505494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1579</v>
      </c>
      <c r="AG5796" t="n">
        <v>361</v>
      </c>
      <c r="AH5796" t="inlineStr">
        <is>
          <t>CV. SERBA SERBI - PPN (PDG)</t>
        </is>
      </c>
      <c r="AI5796" t="n">
        <v>361</v>
      </c>
      <c r="AJ5796" t="inlineStr">
        <is>
          <t>VASELINE</t>
        </is>
      </c>
      <c r="AK5796" t="n">
        <v>21</v>
      </c>
      <c r="AL5796" t="inlineStr">
        <is>
          <t>Miss Glam Damar</t>
        </is>
      </c>
      <c r="AM5796" t="n">
        <v>2</v>
      </c>
      <c r="AN5796" t="n">
        <v>500000</v>
      </c>
      <c r="AO5796" t="n">
        <v>0</v>
      </c>
      <c r="AP5796" t="inlineStr"/>
      <c r="AQ5796" t="inlineStr"/>
    </row>
    <row r="5797">
      <c r="A5797" t="inlineStr">
        <is>
          <t>VASELINE</t>
        </is>
      </c>
      <c r="B5797" s="2">
        <f>"8999999045562"</f>
        <v/>
      </c>
      <c r="C5797" t="inlineStr">
        <is>
          <t>VASELINE Intensive Care Anvance Stength 100ml</t>
        </is>
      </c>
      <c r="D5797" t="inlineStr">
        <is>
          <t>Miss Glam Damar</t>
        </is>
      </c>
      <c r="E5797" t="n">
        <v>8</v>
      </c>
      <c r="F5797" t="n">
        <v>0.2184</v>
      </c>
      <c r="G5797" t="n">
        <v>1.82</v>
      </c>
      <c r="H5797" t="n">
        <v>3</v>
      </c>
      <c r="I5797" t="n">
        <v>5</v>
      </c>
      <c r="J5797" t="n">
        <v>3</v>
      </c>
      <c r="K5797" t="n">
        <v>0</v>
      </c>
      <c r="L5797" t="n">
        <v>19012</v>
      </c>
      <c r="M5797" t="n">
        <v>26000</v>
      </c>
      <c r="N5797" t="n">
        <v>91</v>
      </c>
      <c r="O5797" t="n">
        <v>0.91</v>
      </c>
      <c r="P5797" t="n">
        <v>1</v>
      </c>
      <c r="Q5797" t="n">
        <v>0.2</v>
      </c>
      <c r="R5797" t="n">
        <v>2</v>
      </c>
      <c r="S5797" t="n">
        <v>5678.400000000001</v>
      </c>
      <c r="T5797" t="n">
        <v>9</v>
      </c>
      <c r="U5797" t="n">
        <v>10</v>
      </c>
      <c r="V5797" t="n">
        <v>30</v>
      </c>
      <c r="W5797" t="n">
        <v>7</v>
      </c>
      <c r="X5797" t="n">
        <v>36.63003663003663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1579</v>
      </c>
      <c r="AG5797" t="n">
        <v>361</v>
      </c>
      <c r="AH5797" t="inlineStr">
        <is>
          <t>CV. SERBA SERBI - PPN (PDG)</t>
        </is>
      </c>
      <c r="AI5797" t="n">
        <v>361</v>
      </c>
      <c r="AJ5797" t="inlineStr">
        <is>
          <t>VASELINE</t>
        </is>
      </c>
      <c r="AK5797" t="n">
        <v>21</v>
      </c>
      <c r="AL5797" t="inlineStr">
        <is>
          <t>Miss Glam Damar</t>
        </is>
      </c>
      <c r="AM5797" t="n">
        <v>2</v>
      </c>
      <c r="AN5797" t="n">
        <v>500000</v>
      </c>
      <c r="AO5797" t="n">
        <v>0</v>
      </c>
      <c r="AP5797" t="inlineStr"/>
      <c r="AQ5797" t="inlineStr"/>
    </row>
    <row r="5798">
      <c r="A5798" t="inlineStr">
        <is>
          <t>VASELINE</t>
        </is>
      </c>
      <c r="B5798" s="2">
        <f>"8999999719401"</f>
        <v/>
      </c>
      <c r="C5798" t="inlineStr">
        <is>
          <t>VASELINE Lotion Healthy UV Lightening 400ml</t>
        </is>
      </c>
      <c r="D5798" t="inlineStr">
        <is>
          <t>Miss Glam Damar</t>
        </is>
      </c>
      <c r="E5798" t="n">
        <v>27</v>
      </c>
      <c r="F5798" t="n">
        <v>0.2821</v>
      </c>
      <c r="G5798" t="n">
        <v>2.73</v>
      </c>
      <c r="H5798" t="n">
        <v>3</v>
      </c>
      <c r="I5798" t="n">
        <v>5</v>
      </c>
      <c r="J5798" t="n">
        <v>3</v>
      </c>
      <c r="K5798" t="n">
        <v>0</v>
      </c>
      <c r="L5798" t="n">
        <v>49740</v>
      </c>
      <c r="M5798" t="n">
        <v>59000</v>
      </c>
      <c r="N5798" t="n">
        <v>91</v>
      </c>
      <c r="O5798" t="n">
        <v>0.91</v>
      </c>
      <c r="P5798" t="n">
        <v>1</v>
      </c>
      <c r="Q5798" t="n">
        <v>0.24</v>
      </c>
      <c r="R5798" t="n">
        <v>2</v>
      </c>
      <c r="S5798" t="n">
        <v>16643.9</v>
      </c>
      <c r="T5798" t="n">
        <v>13</v>
      </c>
      <c r="U5798" t="n">
        <v>14</v>
      </c>
      <c r="V5798" t="n">
        <v>30</v>
      </c>
      <c r="W5798" t="n">
        <v>9</v>
      </c>
      <c r="X5798" t="n">
        <v>95.7107408720312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1579</v>
      </c>
      <c r="AG5798" t="n">
        <v>361</v>
      </c>
      <c r="AH5798" t="inlineStr">
        <is>
          <t>CV. SERBA SERBI - PPN (PDG)</t>
        </is>
      </c>
      <c r="AI5798" t="n">
        <v>361</v>
      </c>
      <c r="AJ5798" t="inlineStr">
        <is>
          <t>VASELINE</t>
        </is>
      </c>
      <c r="AK5798" t="n">
        <v>21</v>
      </c>
      <c r="AL5798" t="inlineStr">
        <is>
          <t>Miss Glam Damar</t>
        </is>
      </c>
      <c r="AM5798" t="n">
        <v>2</v>
      </c>
      <c r="AN5798" t="n">
        <v>500000</v>
      </c>
      <c r="AO5798" t="n">
        <v>0</v>
      </c>
      <c r="AP5798" t="inlineStr"/>
      <c r="AQ5798" t="inlineStr"/>
    </row>
    <row r="5799">
      <c r="A5799" t="inlineStr">
        <is>
          <t>VASELINE</t>
        </is>
      </c>
      <c r="B5799" s="2">
        <f>"8999999502973"</f>
        <v/>
      </c>
      <c r="C5799" t="inlineStr">
        <is>
          <t>VASELINE Repairing Jelly 100ml</t>
        </is>
      </c>
      <c r="D5799" t="inlineStr">
        <is>
          <t>Miss Glam Damar</t>
        </is>
      </c>
      <c r="E5799" t="n">
        <v>19</v>
      </c>
      <c r="F5799" t="n">
        <v>0.9828000000000001</v>
      </c>
      <c r="G5799" t="n">
        <v>7.28</v>
      </c>
      <c r="H5799" t="n">
        <v>3</v>
      </c>
      <c r="I5799" t="n">
        <v>5</v>
      </c>
      <c r="J5799" t="n">
        <v>3</v>
      </c>
      <c r="K5799" t="n">
        <v>0</v>
      </c>
      <c r="L5799" t="n">
        <v>46342</v>
      </c>
      <c r="M5799" t="n">
        <v>55000</v>
      </c>
      <c r="N5799" t="n">
        <v>91</v>
      </c>
      <c r="O5799" t="n">
        <v>0.91</v>
      </c>
      <c r="P5799" t="n">
        <v>1</v>
      </c>
      <c r="Q5799" t="n">
        <v>0.63</v>
      </c>
      <c r="R5799" t="n">
        <v>4</v>
      </c>
      <c r="S5799" t="n">
        <v>54054.00000000001</v>
      </c>
      <c r="T5799" t="n">
        <v>34</v>
      </c>
      <c r="U5799" t="n">
        <v>37</v>
      </c>
      <c r="V5799" t="n">
        <v>30</v>
      </c>
      <c r="W5799" t="n">
        <v>30</v>
      </c>
      <c r="X5799" t="n">
        <v>19.33251933251933</v>
      </c>
      <c r="Y5799" t="n">
        <v>1</v>
      </c>
      <c r="Z5799" t="n">
        <v>11</v>
      </c>
      <c r="AA5799" t="n">
        <v>0</v>
      </c>
      <c r="AB5799" t="n">
        <v>11</v>
      </c>
      <c r="AC5799" t="n">
        <v>11</v>
      </c>
      <c r="AD5799" t="n">
        <v>0</v>
      </c>
      <c r="AE5799" t="n">
        <v>509762</v>
      </c>
      <c r="AF5799" t="n">
        <v>1579</v>
      </c>
      <c r="AG5799" t="n">
        <v>361</v>
      </c>
      <c r="AH5799" t="inlineStr">
        <is>
          <t>CV. SERBA SERBI - PPN (PDG)</t>
        </is>
      </c>
      <c r="AI5799" t="n">
        <v>361</v>
      </c>
      <c r="AJ5799" t="inlineStr">
        <is>
          <t>VASELINE</t>
        </is>
      </c>
      <c r="AK5799" t="n">
        <v>21</v>
      </c>
      <c r="AL5799" t="inlineStr">
        <is>
          <t>Miss Glam Damar</t>
        </is>
      </c>
      <c r="AM5799" t="n">
        <v>2</v>
      </c>
      <c r="AN5799" t="n">
        <v>500000</v>
      </c>
      <c r="AO5799" t="n">
        <v>0</v>
      </c>
      <c r="AP5799" t="inlineStr"/>
      <c r="AQ5799" t="inlineStr"/>
    </row>
    <row r="5800">
      <c r="A5800" t="inlineStr">
        <is>
          <t>VASELINE</t>
        </is>
      </c>
      <c r="B5800" s="2">
        <f>"8999999502942"</f>
        <v/>
      </c>
      <c r="C5800" t="inlineStr">
        <is>
          <t>VASELINE Repairing Jelly 50ml</t>
        </is>
      </c>
      <c r="D5800" t="inlineStr">
        <is>
          <t>Miss Glam Damar</t>
        </is>
      </c>
      <c r="E5800" t="n">
        <v>0</v>
      </c>
      <c r="F5800" t="n">
        <v>0.8918</v>
      </c>
      <c r="G5800" t="n">
        <v>6.37</v>
      </c>
      <c r="H5800" t="n">
        <v>3</v>
      </c>
      <c r="I5800" t="n">
        <v>5</v>
      </c>
      <c r="J5800" t="n">
        <v>3</v>
      </c>
      <c r="K5800" t="n">
        <v>0</v>
      </c>
      <c r="L5800" t="n">
        <v>28347</v>
      </c>
      <c r="M5800" t="n">
        <v>39500</v>
      </c>
      <c r="N5800" t="n">
        <v>91</v>
      </c>
      <c r="O5800" t="n">
        <v>0.91</v>
      </c>
      <c r="P5800" t="n">
        <v>1</v>
      </c>
      <c r="Q5800" t="n">
        <v>0.12</v>
      </c>
      <c r="R5800" t="n">
        <v>1</v>
      </c>
      <c r="S5800" t="n">
        <v>35226.1</v>
      </c>
      <c r="T5800" t="n">
        <v>30</v>
      </c>
      <c r="U5800" t="n">
        <v>33</v>
      </c>
      <c r="V5800" t="n">
        <v>30</v>
      </c>
      <c r="W5800" t="n">
        <v>27</v>
      </c>
      <c r="X5800" t="n">
        <v>0</v>
      </c>
      <c r="Y5800" t="n">
        <v>1</v>
      </c>
      <c r="Z5800" t="n">
        <v>27</v>
      </c>
      <c r="AA5800" t="n">
        <v>5</v>
      </c>
      <c r="AB5800" t="n">
        <v>22</v>
      </c>
      <c r="AC5800" t="n">
        <v>22</v>
      </c>
      <c r="AD5800" t="n">
        <v>141735</v>
      </c>
      <c r="AE5800" t="n">
        <v>623634</v>
      </c>
      <c r="AF5800" t="n">
        <v>1579</v>
      </c>
      <c r="AG5800" t="n">
        <v>361</v>
      </c>
      <c r="AH5800" t="inlineStr">
        <is>
          <t>CV. SERBA SERBI - PPN (PDG)</t>
        </is>
      </c>
      <c r="AI5800" t="n">
        <v>361</v>
      </c>
      <c r="AJ5800" t="inlineStr">
        <is>
          <t>VASELINE</t>
        </is>
      </c>
      <c r="AK5800" t="n">
        <v>21</v>
      </c>
      <c r="AL5800" t="inlineStr">
        <is>
          <t>Miss Glam Damar</t>
        </is>
      </c>
      <c r="AM5800" t="n">
        <v>2</v>
      </c>
      <c r="AN5800" t="n">
        <v>500000</v>
      </c>
      <c r="AO5800" t="n">
        <v>0</v>
      </c>
      <c r="AP5800" t="inlineStr"/>
      <c r="AQ5800" t="inlineStr"/>
    </row>
    <row r="5801">
      <c r="A5801" t="inlineStr">
        <is>
          <t>VASELINE</t>
        </is>
      </c>
      <c r="B5801" s="2">
        <f>"8999999540159"</f>
        <v/>
      </c>
      <c r="C5801" t="inlineStr">
        <is>
          <t>VASELINE Repairing Jelly Aloevera 50ml</t>
        </is>
      </c>
      <c r="D5801" t="inlineStr">
        <is>
          <t>Miss Glam Damar</t>
        </is>
      </c>
      <c r="E5801" t="n">
        <v>15</v>
      </c>
      <c r="F5801" t="n">
        <v>1.5743</v>
      </c>
      <c r="G5801" t="n">
        <v>6.37</v>
      </c>
      <c r="H5801" t="n">
        <v>3</v>
      </c>
      <c r="I5801" t="n">
        <v>5</v>
      </c>
      <c r="J5801" t="n">
        <v>3</v>
      </c>
      <c r="K5801" t="n">
        <v>0</v>
      </c>
      <c r="L5801" t="n">
        <v>26832</v>
      </c>
      <c r="M5801" t="n">
        <v>32500</v>
      </c>
      <c r="N5801" t="n">
        <v>91</v>
      </c>
      <c r="O5801" t="n">
        <v>0.91</v>
      </c>
      <c r="P5801" t="n">
        <v>1</v>
      </c>
      <c r="Q5801" t="n">
        <v>0.75</v>
      </c>
      <c r="R5801" t="n">
        <v>4</v>
      </c>
      <c r="S5801" t="n">
        <v>51164.75</v>
      </c>
      <c r="T5801" t="n">
        <v>28</v>
      </c>
      <c r="U5801" t="n">
        <v>33</v>
      </c>
      <c r="V5801" t="n">
        <v>30</v>
      </c>
      <c r="W5801" t="n">
        <v>48</v>
      </c>
      <c r="X5801" t="n">
        <v>9.528044210125135</v>
      </c>
      <c r="Y5801" t="n">
        <v>1</v>
      </c>
      <c r="Z5801" t="n">
        <v>33</v>
      </c>
      <c r="AA5801" t="n">
        <v>0</v>
      </c>
      <c r="AB5801" t="n">
        <v>33</v>
      </c>
      <c r="AC5801" t="n">
        <v>33</v>
      </c>
      <c r="AD5801" t="n">
        <v>0</v>
      </c>
      <c r="AE5801" t="n">
        <v>885456</v>
      </c>
      <c r="AF5801" t="n">
        <v>1579</v>
      </c>
      <c r="AG5801" t="n">
        <v>361</v>
      </c>
      <c r="AH5801" t="inlineStr">
        <is>
          <t>CV. SERBA SERBI - PPN (PDG)</t>
        </is>
      </c>
      <c r="AI5801" t="n">
        <v>361</v>
      </c>
      <c r="AJ5801" t="inlineStr">
        <is>
          <t>VASELINE</t>
        </is>
      </c>
      <c r="AK5801" t="n">
        <v>21</v>
      </c>
      <c r="AL5801" t="inlineStr">
        <is>
          <t>Miss Glam Damar</t>
        </is>
      </c>
      <c r="AM5801" t="n">
        <v>2</v>
      </c>
      <c r="AN5801" t="n">
        <v>500000</v>
      </c>
      <c r="AO5801" t="n">
        <v>0</v>
      </c>
      <c r="AP5801" t="inlineStr"/>
      <c r="AQ5801" t="inlineStr"/>
    </row>
    <row r="5802">
      <c r="A5802" t="inlineStr">
        <is>
          <t>VASELINE</t>
        </is>
      </c>
      <c r="B5802" s="2">
        <f>"8999999719081"</f>
        <v/>
      </c>
      <c r="C5802" t="inlineStr">
        <is>
          <t>VASELLINE Sunblock SPF 30 PA++ 100ml</t>
        </is>
      </c>
      <c r="D5802" t="inlineStr">
        <is>
          <t>Miss Glam Damar</t>
        </is>
      </c>
      <c r="E5802" t="n">
        <v>43</v>
      </c>
      <c r="F5802" t="n">
        <v>0.7553</v>
      </c>
      <c r="G5802" t="n">
        <v>3.64</v>
      </c>
      <c r="H5802" t="n">
        <v>3</v>
      </c>
      <c r="I5802" t="n">
        <v>5</v>
      </c>
      <c r="J5802" t="n">
        <v>3</v>
      </c>
      <c r="K5802" t="n">
        <v>0</v>
      </c>
      <c r="L5802" t="n">
        <v>54161</v>
      </c>
      <c r="M5802" t="n">
        <v>63000</v>
      </c>
      <c r="N5802" t="n">
        <v>91</v>
      </c>
      <c r="O5802" t="n">
        <v>0.91</v>
      </c>
      <c r="P5802" t="n">
        <v>1</v>
      </c>
      <c r="Q5802" t="n">
        <v>0.8</v>
      </c>
      <c r="R5802" t="n">
        <v>4</v>
      </c>
      <c r="S5802" t="n">
        <v>47583.9</v>
      </c>
      <c r="T5802" t="n">
        <v>16</v>
      </c>
      <c r="U5802" t="n">
        <v>19</v>
      </c>
      <c r="V5802" t="n">
        <v>30</v>
      </c>
      <c r="W5802" t="n">
        <v>23</v>
      </c>
      <c r="X5802" t="n">
        <v>56.93102078644247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1579</v>
      </c>
      <c r="AG5802" t="n">
        <v>361</v>
      </c>
      <c r="AH5802" t="inlineStr">
        <is>
          <t>CV. SERBA SERBI - PPN (PDG)</t>
        </is>
      </c>
      <c r="AI5802" t="n">
        <v>361</v>
      </c>
      <c r="AJ5802" t="inlineStr">
        <is>
          <t>VASELINE</t>
        </is>
      </c>
      <c r="AK5802" t="n">
        <v>21</v>
      </c>
      <c r="AL5802" t="inlineStr">
        <is>
          <t>Miss Glam Damar</t>
        </is>
      </c>
      <c r="AM5802" t="n">
        <v>2</v>
      </c>
      <c r="AN5802" t="n">
        <v>500000</v>
      </c>
      <c r="AO5802" t="n">
        <v>0</v>
      </c>
      <c r="AP5802" t="inlineStr"/>
      <c r="AQ5802" t="inlineStr"/>
    </row>
    <row r="5803">
      <c r="A5803" t="inlineStr">
        <is>
          <t>VASELINE LIP</t>
        </is>
      </c>
      <c r="B5803" s="2">
        <f>"8886467037368"</f>
        <v/>
      </c>
      <c r="C5803" t="inlineStr">
        <is>
          <t>VASELINE Lip Care Blooming Pink 3gr</t>
        </is>
      </c>
      <c r="D5803" t="inlineStr">
        <is>
          <t>Miss Glam Damar</t>
        </is>
      </c>
      <c r="E5803" t="n">
        <v>0</v>
      </c>
      <c r="F5803" t="n">
        <v>0.3822</v>
      </c>
      <c r="G5803" t="n">
        <v>3.64</v>
      </c>
      <c r="H5803" t="n">
        <v>4</v>
      </c>
      <c r="I5803" t="n">
        <v>21</v>
      </c>
      <c r="J5803" t="n">
        <v>3</v>
      </c>
      <c r="K5803" t="n">
        <v>36</v>
      </c>
      <c r="L5803" t="n">
        <v>43233</v>
      </c>
      <c r="M5803" t="n">
        <v>52500</v>
      </c>
      <c r="N5803" t="n">
        <v>91</v>
      </c>
      <c r="O5803" t="n">
        <v>0.91</v>
      </c>
      <c r="P5803" t="n">
        <v>1</v>
      </c>
      <c r="Q5803" t="n">
        <v>0.77</v>
      </c>
      <c r="R5803" t="n">
        <v>7</v>
      </c>
      <c r="S5803" t="n">
        <v>20065.5</v>
      </c>
      <c r="T5803" t="n">
        <v>75</v>
      </c>
      <c r="U5803" t="n">
        <v>77</v>
      </c>
      <c r="V5803" t="n">
        <v>30</v>
      </c>
      <c r="W5803" t="n">
        <v>12</v>
      </c>
      <c r="X5803" t="n">
        <v>0</v>
      </c>
      <c r="Y5803" t="n">
        <v>1</v>
      </c>
      <c r="Z5803" t="n">
        <v>0</v>
      </c>
      <c r="AA5803" t="n">
        <v>8</v>
      </c>
      <c r="AB5803" t="n">
        <v>0</v>
      </c>
      <c r="AC5803" t="n">
        <v>0</v>
      </c>
      <c r="AD5803" t="n">
        <v>345864</v>
      </c>
      <c r="AE5803" t="n">
        <v>0</v>
      </c>
      <c r="AF5803" t="n">
        <v>9080</v>
      </c>
      <c r="AG5803" t="n">
        <v>1</v>
      </c>
      <c r="AH5803" t="inlineStr">
        <is>
          <t>PT. BERSAMA DISTRIVERSA INDONESIA (DC CIPUTAT)</t>
        </is>
      </c>
      <c r="AI5803" t="n">
        <v>1972</v>
      </c>
      <c r="AJ5803" t="inlineStr">
        <is>
          <t>VASELINE LIP</t>
        </is>
      </c>
      <c r="AK5803" t="n">
        <v>21</v>
      </c>
      <c r="AL5803" t="inlineStr">
        <is>
          <t>Miss Glam Damar</t>
        </is>
      </c>
      <c r="AM5803" t="n">
        <v>1</v>
      </c>
      <c r="AN5803" t="n">
        <v>500000</v>
      </c>
      <c r="AO5803" t="n">
        <v>0</v>
      </c>
      <c r="AP5803" t="inlineStr"/>
      <c r="AQ5803" t="inlineStr"/>
    </row>
    <row r="5804">
      <c r="A5804" t="inlineStr">
        <is>
          <t>VASELINE LIP</t>
        </is>
      </c>
      <c r="B5804" s="2">
        <f>"8886467037382"</f>
        <v/>
      </c>
      <c r="C5804" t="inlineStr">
        <is>
          <t>VASELINE Lip Care Mellow Rose 3gr</t>
        </is>
      </c>
      <c r="D5804" t="inlineStr">
        <is>
          <t>Miss Glam Damar</t>
        </is>
      </c>
      <c r="E5804" t="n">
        <v>25</v>
      </c>
      <c r="F5804" t="n">
        <v>0.3731</v>
      </c>
      <c r="G5804" t="n">
        <v>3.64</v>
      </c>
      <c r="H5804" t="n">
        <v>4</v>
      </c>
      <c r="I5804" t="n">
        <v>21</v>
      </c>
      <c r="J5804" t="n">
        <v>3</v>
      </c>
      <c r="K5804" t="n">
        <v>0</v>
      </c>
      <c r="L5804" t="n">
        <v>44247</v>
      </c>
      <c r="M5804" t="n">
        <v>54000</v>
      </c>
      <c r="N5804" t="n">
        <v>91</v>
      </c>
      <c r="O5804" t="n">
        <v>0.91</v>
      </c>
      <c r="P5804" t="n">
        <v>1</v>
      </c>
      <c r="Q5804" t="n">
        <v>0.34</v>
      </c>
      <c r="R5804" t="n">
        <v>2</v>
      </c>
      <c r="S5804" t="n">
        <v>20147.4</v>
      </c>
      <c r="T5804" t="n">
        <v>75</v>
      </c>
      <c r="U5804" t="n">
        <v>77</v>
      </c>
      <c r="V5804" t="n">
        <v>30</v>
      </c>
      <c r="W5804" t="n">
        <v>12</v>
      </c>
      <c r="X5804" t="n">
        <v>67.00616456714017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9080</v>
      </c>
      <c r="AG5804" t="n">
        <v>1</v>
      </c>
      <c r="AH5804" t="inlineStr">
        <is>
          <t>PT. BERSAMA DISTRIVERSA INDONESIA (DC CIPUTAT)</t>
        </is>
      </c>
      <c r="AI5804" t="n">
        <v>1972</v>
      </c>
      <c r="AJ5804" t="inlineStr">
        <is>
          <t>VASELINE LIP</t>
        </is>
      </c>
      <c r="AK5804" t="n">
        <v>21</v>
      </c>
      <c r="AL5804" t="inlineStr">
        <is>
          <t>Miss Glam Damar</t>
        </is>
      </c>
      <c r="AM5804" t="n">
        <v>1</v>
      </c>
      <c r="AN5804" t="n">
        <v>500000</v>
      </c>
      <c r="AO5804" t="n">
        <v>0</v>
      </c>
      <c r="AP5804" t="inlineStr"/>
      <c r="AQ5804" t="inlineStr"/>
    </row>
    <row r="5805">
      <c r="A5805" t="inlineStr">
        <is>
          <t>VASELINE LIP</t>
        </is>
      </c>
      <c r="B5805" s="2">
        <f>"8801619047576"</f>
        <v/>
      </c>
      <c r="C5805" t="inlineStr">
        <is>
          <t>VASELINE Lip Therapy AloeVera 4.8gr</t>
        </is>
      </c>
      <c r="D5805" t="inlineStr">
        <is>
          <t>Miss Glam Damar</t>
        </is>
      </c>
      <c r="E5805" t="n">
        <v>22</v>
      </c>
      <c r="F5805" t="n">
        <v>0.182</v>
      </c>
      <c r="G5805" t="n">
        <v>1.82</v>
      </c>
      <c r="H5805" t="n">
        <v>4</v>
      </c>
      <c r="I5805" t="n">
        <v>21</v>
      </c>
      <c r="J5805" t="n">
        <v>3</v>
      </c>
      <c r="K5805" t="n">
        <v>0</v>
      </c>
      <c r="L5805" t="n">
        <v>24134</v>
      </c>
      <c r="M5805" t="n">
        <v>28500</v>
      </c>
      <c r="N5805" t="n">
        <v>91</v>
      </c>
      <c r="O5805" t="n">
        <v>0.91</v>
      </c>
      <c r="P5805" t="n">
        <v>1</v>
      </c>
      <c r="Q5805" t="n">
        <v>0.53</v>
      </c>
      <c r="R5805" t="n">
        <v>3</v>
      </c>
      <c r="S5805" t="n">
        <v>5187.000000000001</v>
      </c>
      <c r="T5805" t="n">
        <v>38</v>
      </c>
      <c r="U5805" t="n">
        <v>39</v>
      </c>
      <c r="V5805" t="n">
        <v>30</v>
      </c>
      <c r="W5805" t="n">
        <v>6</v>
      </c>
      <c r="X5805" t="n">
        <v>120.8791208791209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9080</v>
      </c>
      <c r="AG5805" t="n">
        <v>1</v>
      </c>
      <c r="AH5805" t="inlineStr">
        <is>
          <t>PT. BERSAMA DISTRIVERSA INDONESIA (DC CIPUTAT)</t>
        </is>
      </c>
      <c r="AI5805" t="n">
        <v>1972</v>
      </c>
      <c r="AJ5805" t="inlineStr">
        <is>
          <t>VASELINE LIP</t>
        </is>
      </c>
      <c r="AK5805" t="n">
        <v>21</v>
      </c>
      <c r="AL5805" t="inlineStr">
        <is>
          <t>Miss Glam Damar</t>
        </is>
      </c>
      <c r="AM5805" t="n">
        <v>1</v>
      </c>
      <c r="AN5805" t="n">
        <v>500000</v>
      </c>
      <c r="AO5805" t="n">
        <v>0</v>
      </c>
      <c r="AP5805" t="inlineStr"/>
      <c r="AQ5805" t="inlineStr"/>
    </row>
    <row r="5806">
      <c r="A5806" t="inlineStr">
        <is>
          <t>VASELINE LIP</t>
        </is>
      </c>
      <c r="B5806" s="2">
        <f>"8801619047569"</f>
        <v/>
      </c>
      <c r="C5806" t="inlineStr">
        <is>
          <t>VASELINE Lip Therapy Balm Stick Cocoa Butter 4.8gr</t>
        </is>
      </c>
      <c r="D5806" t="inlineStr">
        <is>
          <t>Miss Glam Damar</t>
        </is>
      </c>
      <c r="E5806" t="n">
        <v>12</v>
      </c>
      <c r="F5806" t="n">
        <v>0.5369</v>
      </c>
      <c r="G5806" t="n">
        <v>2.73</v>
      </c>
      <c r="H5806" t="n">
        <v>4</v>
      </c>
      <c r="I5806" t="n">
        <v>21</v>
      </c>
      <c r="J5806" t="n">
        <v>3</v>
      </c>
      <c r="K5806" t="n">
        <v>0</v>
      </c>
      <c r="L5806" t="n">
        <v>24134</v>
      </c>
      <c r="M5806" t="n">
        <v>28500</v>
      </c>
      <c r="N5806" t="n">
        <v>91</v>
      </c>
      <c r="O5806" t="n">
        <v>0.91</v>
      </c>
      <c r="P5806" t="n">
        <v>1</v>
      </c>
      <c r="Q5806" t="n">
        <v>0.49</v>
      </c>
      <c r="R5806" t="n">
        <v>3</v>
      </c>
      <c r="S5806" t="n">
        <v>15301.65</v>
      </c>
      <c r="T5806" t="n">
        <v>56</v>
      </c>
      <c r="U5806" t="n">
        <v>59</v>
      </c>
      <c r="V5806" t="n">
        <v>30</v>
      </c>
      <c r="W5806" t="n">
        <v>17</v>
      </c>
      <c r="X5806" t="n">
        <v>22.35053082510709</v>
      </c>
      <c r="Y5806" t="n">
        <v>1</v>
      </c>
      <c r="Z5806" t="n">
        <v>5</v>
      </c>
      <c r="AA5806" t="n">
        <v>0</v>
      </c>
      <c r="AB5806" t="n">
        <v>5</v>
      </c>
      <c r="AC5806" t="n">
        <v>5</v>
      </c>
      <c r="AD5806" t="n">
        <v>0</v>
      </c>
      <c r="AE5806" t="n">
        <v>120670</v>
      </c>
      <c r="AF5806" t="n">
        <v>9080</v>
      </c>
      <c r="AG5806" t="n">
        <v>1</v>
      </c>
      <c r="AH5806" t="inlineStr">
        <is>
          <t>PT. BERSAMA DISTRIVERSA INDONESIA (DC CIPUTAT)</t>
        </is>
      </c>
      <c r="AI5806" t="n">
        <v>1972</v>
      </c>
      <c r="AJ5806" t="inlineStr">
        <is>
          <t>VASELINE LIP</t>
        </is>
      </c>
      <c r="AK5806" t="n">
        <v>21</v>
      </c>
      <c r="AL5806" t="inlineStr">
        <is>
          <t>Miss Glam Damar</t>
        </is>
      </c>
      <c r="AM5806" t="n">
        <v>1</v>
      </c>
      <c r="AN5806" t="n">
        <v>500000</v>
      </c>
      <c r="AO5806" t="n">
        <v>0</v>
      </c>
      <c r="AP5806" t="inlineStr"/>
      <c r="AQ5806" t="inlineStr"/>
    </row>
    <row r="5807">
      <c r="A5807" t="inlineStr">
        <is>
          <t>VASELINE LIP</t>
        </is>
      </c>
      <c r="B5807" s="2">
        <f>"305210206779"</f>
        <v/>
      </c>
      <c r="C5807" t="inlineStr">
        <is>
          <t>VASELINE Lip Therapy Original 7gr</t>
        </is>
      </c>
      <c r="D5807" t="inlineStr">
        <is>
          <t>Miss Glam Damar</t>
        </is>
      </c>
      <c r="E5807" t="n">
        <v>103</v>
      </c>
      <c r="F5807" t="n">
        <v>0.8463000000000001</v>
      </c>
      <c r="G5807" t="n">
        <v>2.73</v>
      </c>
      <c r="H5807" t="n">
        <v>4</v>
      </c>
      <c r="I5807" t="n">
        <v>21</v>
      </c>
      <c r="J5807" t="n">
        <v>3</v>
      </c>
      <c r="K5807" t="n">
        <v>0</v>
      </c>
      <c r="L5807" t="n">
        <v>33677</v>
      </c>
      <c r="M5807" t="n">
        <v>42000</v>
      </c>
      <c r="N5807" t="n">
        <v>91</v>
      </c>
      <c r="O5807" t="n">
        <v>0.91</v>
      </c>
      <c r="P5807" t="n">
        <v>1</v>
      </c>
      <c r="Q5807" t="n">
        <v>1.05</v>
      </c>
      <c r="R5807" t="n">
        <v>3</v>
      </c>
      <c r="S5807" t="n">
        <v>35544.60000000001</v>
      </c>
      <c r="T5807" t="n">
        <v>54</v>
      </c>
      <c r="U5807" t="n">
        <v>58</v>
      </c>
      <c r="V5807" t="n">
        <v>30</v>
      </c>
      <c r="W5807" t="n">
        <v>26</v>
      </c>
      <c r="X5807" t="n">
        <v>121.7062507385088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9080</v>
      </c>
      <c r="AG5807" t="n">
        <v>1</v>
      </c>
      <c r="AH5807" t="inlineStr">
        <is>
          <t>PT. BERSAMA DISTRIVERSA INDONESIA (DC CIPUTAT)</t>
        </is>
      </c>
      <c r="AI5807" t="n">
        <v>1972</v>
      </c>
      <c r="AJ5807" t="inlineStr">
        <is>
          <t>VASELINE LIP</t>
        </is>
      </c>
      <c r="AK5807" t="n">
        <v>21</v>
      </c>
      <c r="AL5807" t="inlineStr">
        <is>
          <t>Miss Glam Damar</t>
        </is>
      </c>
      <c r="AM5807" t="n">
        <v>1</v>
      </c>
      <c r="AN5807" t="n">
        <v>500000</v>
      </c>
      <c r="AO5807" t="n">
        <v>0</v>
      </c>
      <c r="AP5807" t="inlineStr"/>
      <c r="AQ5807" t="inlineStr"/>
    </row>
    <row r="5808">
      <c r="A5808" t="inlineStr">
        <is>
          <t>VASELINE LIP</t>
        </is>
      </c>
      <c r="B5808" s="2">
        <f>"305210231597"</f>
        <v/>
      </c>
      <c r="C5808" t="inlineStr">
        <is>
          <t>VASELINE LIp Therapy Rose 7gr</t>
        </is>
      </c>
      <c r="D5808" t="inlineStr">
        <is>
          <t>Miss Glam Damar</t>
        </is>
      </c>
      <c r="E5808" t="n">
        <v>72</v>
      </c>
      <c r="F5808" t="n">
        <v>2.4661</v>
      </c>
      <c r="G5808" t="n">
        <v>7.28</v>
      </c>
      <c r="H5808" t="n">
        <v>4</v>
      </c>
      <c r="I5808" t="n">
        <v>21</v>
      </c>
      <c r="J5808" t="n">
        <v>3</v>
      </c>
      <c r="K5808" t="n">
        <v>0</v>
      </c>
      <c r="L5808" t="n">
        <v>33677</v>
      </c>
      <c r="M5808" t="n">
        <v>42000</v>
      </c>
      <c r="N5808" t="n">
        <v>91</v>
      </c>
      <c r="O5808" t="n">
        <v>0.91</v>
      </c>
      <c r="P5808" t="n">
        <v>1</v>
      </c>
      <c r="Q5808" t="n">
        <v>1.61</v>
      </c>
      <c r="R5808" t="n">
        <v>5</v>
      </c>
      <c r="S5808" t="n">
        <v>103576.2</v>
      </c>
      <c r="T5808" t="n">
        <v>144</v>
      </c>
      <c r="U5808" t="n">
        <v>154</v>
      </c>
      <c r="V5808" t="n">
        <v>30</v>
      </c>
      <c r="W5808" t="n">
        <v>74</v>
      </c>
      <c r="X5808" t="n">
        <v>29.19589635456794</v>
      </c>
      <c r="Y5808" t="n">
        <v>1</v>
      </c>
      <c r="Z5808" t="n">
        <v>2</v>
      </c>
      <c r="AA5808" t="n">
        <v>0</v>
      </c>
      <c r="AB5808" t="n">
        <v>2</v>
      </c>
      <c r="AC5808" t="n">
        <v>3</v>
      </c>
      <c r="AD5808" t="n">
        <v>0</v>
      </c>
      <c r="AE5808" t="n">
        <v>101031</v>
      </c>
      <c r="AF5808" t="n">
        <v>9080</v>
      </c>
      <c r="AG5808" t="n">
        <v>1</v>
      </c>
      <c r="AH5808" t="inlineStr">
        <is>
          <t>PT. BERSAMA DISTRIVERSA INDONESIA (DC CIPUTAT)</t>
        </is>
      </c>
      <c r="AI5808" t="n">
        <v>1972</v>
      </c>
      <c r="AJ5808" t="inlineStr">
        <is>
          <t>VASELINE LIP</t>
        </is>
      </c>
      <c r="AK5808" t="n">
        <v>21</v>
      </c>
      <c r="AL5808" t="inlineStr">
        <is>
          <t>Miss Glam Damar</t>
        </is>
      </c>
      <c r="AM5808" t="n">
        <v>1</v>
      </c>
      <c r="AN5808" t="n">
        <v>500000</v>
      </c>
      <c r="AO5808" t="n">
        <v>0</v>
      </c>
      <c r="AP5808" t="inlineStr"/>
      <c r="AQ5808" t="inlineStr"/>
    </row>
    <row r="5809">
      <c r="A5809" t="inlineStr">
        <is>
          <t>VASELINE LIP</t>
        </is>
      </c>
      <c r="B5809" s="2">
        <f>"8801619047545"</f>
        <v/>
      </c>
      <c r="C5809" t="inlineStr">
        <is>
          <t>VASELINE Lip Therapy Rosy 4.8g</t>
        </is>
      </c>
      <c r="D5809" t="inlineStr">
        <is>
          <t>Miss Glam Damar</t>
        </is>
      </c>
      <c r="E5809" t="n">
        <v>24</v>
      </c>
      <c r="F5809" t="n">
        <v>1.37</v>
      </c>
      <c r="G5809" t="n">
        <v>4</v>
      </c>
      <c r="H5809" t="n">
        <v>4</v>
      </c>
      <c r="I5809" t="n">
        <v>21</v>
      </c>
      <c r="J5809" t="n">
        <v>3</v>
      </c>
      <c r="K5809" t="n">
        <v>0</v>
      </c>
      <c r="L5809" t="n">
        <v>23216</v>
      </c>
      <c r="M5809" t="n">
        <v>28500</v>
      </c>
      <c r="N5809" t="n">
        <v>91</v>
      </c>
      <c r="O5809" t="n">
        <v>0.91</v>
      </c>
      <c r="P5809" t="n">
        <v>0</v>
      </c>
      <c r="Q5809" t="n">
        <v>1.37</v>
      </c>
      <c r="R5809" t="n">
        <v>4</v>
      </c>
      <c r="S5809" t="n">
        <v>39045</v>
      </c>
      <c r="T5809" t="n">
        <v>79</v>
      </c>
      <c r="U5809" t="n">
        <v>85</v>
      </c>
      <c r="V5809" t="n">
        <v>30</v>
      </c>
      <c r="W5809" t="n">
        <v>42</v>
      </c>
      <c r="X5809" t="n">
        <v>17.51824817518248</v>
      </c>
      <c r="Y5809" t="n">
        <v>1</v>
      </c>
      <c r="Z5809" t="n">
        <v>18</v>
      </c>
      <c r="AA5809" t="n">
        <v>5</v>
      </c>
      <c r="AB5809" t="n">
        <v>13</v>
      </c>
      <c r="AC5809" t="n">
        <v>13</v>
      </c>
      <c r="AD5809" t="n">
        <v>116080</v>
      </c>
      <c r="AE5809" t="n">
        <v>301808</v>
      </c>
      <c r="AF5809" t="n">
        <v>9080</v>
      </c>
      <c r="AG5809" t="n">
        <v>1</v>
      </c>
      <c r="AH5809" t="inlineStr">
        <is>
          <t>PT. BERSAMA DISTRIVERSA INDONESIA (DC CIPUTAT)</t>
        </is>
      </c>
      <c r="AI5809" t="n">
        <v>1972</v>
      </c>
      <c r="AJ5809" t="inlineStr">
        <is>
          <t>VASELINE LIP</t>
        </is>
      </c>
      <c r="AK5809" t="n">
        <v>21</v>
      </c>
      <c r="AL5809" t="inlineStr">
        <is>
          <t>Miss Glam Damar</t>
        </is>
      </c>
      <c r="AM5809" t="n">
        <v>1</v>
      </c>
      <c r="AN5809" t="n">
        <v>500000</v>
      </c>
      <c r="AO5809" t="n">
        <v>0</v>
      </c>
      <c r="AP5809" t="inlineStr"/>
      <c r="AQ5809" t="inlineStr"/>
    </row>
    <row r="5810">
      <c r="A5810" t="inlineStr">
        <is>
          <t>VEET</t>
        </is>
      </c>
      <c r="B5810" s="2">
        <f>"8993560155056"</f>
        <v/>
      </c>
      <c r="C5810" t="inlineStr">
        <is>
          <t>VEET Hair Removal Cream Pure Normal Skin Body &amp; Legs 60gr</t>
        </is>
      </c>
      <c r="D5810" t="inlineStr">
        <is>
          <t>Miss Glam Damar</t>
        </is>
      </c>
      <c r="E5810" t="n">
        <v>9</v>
      </c>
      <c r="F5810" t="n">
        <v>0.04550000000000001</v>
      </c>
      <c r="G5810" t="n">
        <v>1.82</v>
      </c>
      <c r="H5810" t="n">
        <v>7</v>
      </c>
      <c r="I5810" t="n">
        <v>19</v>
      </c>
      <c r="J5810" t="n">
        <v>3</v>
      </c>
      <c r="K5810" t="n">
        <v>0</v>
      </c>
      <c r="L5810" t="n">
        <v>47702</v>
      </c>
      <c r="M5810" t="n">
        <v>56500</v>
      </c>
      <c r="N5810" t="n">
        <v>91</v>
      </c>
      <c r="O5810" t="n">
        <v>0.91</v>
      </c>
      <c r="P5810" t="n">
        <v>1</v>
      </c>
      <c r="Q5810" t="n">
        <v>0.2</v>
      </c>
      <c r="R5810" t="n">
        <v>2</v>
      </c>
      <c r="S5810" t="n">
        <v>2570.75</v>
      </c>
      <c r="T5810" t="n">
        <v>35</v>
      </c>
      <c r="U5810" t="n">
        <v>36</v>
      </c>
      <c r="V5810" t="n">
        <v>30</v>
      </c>
      <c r="W5810" t="n">
        <v>2</v>
      </c>
      <c r="X5810" t="n">
        <v>197.8021978021978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99</v>
      </c>
      <c r="AG5810" t="n">
        <v>102</v>
      </c>
      <c r="AH5810" t="inlineStr">
        <is>
          <t>CV  ANUGERAH WAHYUDI SEJAHTERA - PPN (PDG)</t>
        </is>
      </c>
      <c r="AI5810" t="n">
        <v>131</v>
      </c>
      <c r="AJ5810" t="inlineStr">
        <is>
          <t>VEET</t>
        </is>
      </c>
      <c r="AK5810" t="n">
        <v>21</v>
      </c>
      <c r="AL5810" t="inlineStr">
        <is>
          <t>Miss Glam Damar</t>
        </is>
      </c>
      <c r="AM5810" t="n">
        <v>4</v>
      </c>
      <c r="AN5810" t="n">
        <v>500000</v>
      </c>
      <c r="AO5810" t="n">
        <v>0</v>
      </c>
      <c r="AP5810" t="inlineStr"/>
      <c r="AQ5810" t="inlineStr"/>
    </row>
    <row r="5811">
      <c r="A5811" t="inlineStr">
        <is>
          <t>VEET</t>
        </is>
      </c>
      <c r="B5811" s="2">
        <f>"8993560155025"</f>
        <v/>
      </c>
      <c r="C5811" t="inlineStr">
        <is>
          <t>VEET Hair Removal Silk &amp; Fresh 25gr</t>
        </is>
      </c>
      <c r="D5811" t="inlineStr">
        <is>
          <t>Miss Glam Damar</t>
        </is>
      </c>
      <c r="E5811" t="n">
        <v>43</v>
      </c>
      <c r="F5811" t="n">
        <v>1.2467</v>
      </c>
      <c r="G5811" t="n">
        <v>3.64</v>
      </c>
      <c r="H5811" t="n">
        <v>7</v>
      </c>
      <c r="I5811" t="n">
        <v>19</v>
      </c>
      <c r="J5811" t="n">
        <v>3</v>
      </c>
      <c r="K5811" t="n">
        <v>0</v>
      </c>
      <c r="L5811" t="n">
        <v>23802</v>
      </c>
      <c r="M5811" t="n">
        <v>29500</v>
      </c>
      <c r="N5811" t="n">
        <v>91</v>
      </c>
      <c r="O5811" t="n">
        <v>0.91</v>
      </c>
      <c r="P5811" t="n">
        <v>1</v>
      </c>
      <c r="Q5811" t="n">
        <v>1</v>
      </c>
      <c r="R5811" t="n">
        <v>5</v>
      </c>
      <c r="S5811" t="n">
        <v>36777.65</v>
      </c>
      <c r="T5811" t="n">
        <v>61</v>
      </c>
      <c r="U5811" t="n">
        <v>70</v>
      </c>
      <c r="V5811" t="n">
        <v>30</v>
      </c>
      <c r="W5811" t="n">
        <v>38</v>
      </c>
      <c r="X5811" t="n">
        <v>34.4910563888666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99</v>
      </c>
      <c r="AG5811" t="n">
        <v>102</v>
      </c>
      <c r="AH5811" t="inlineStr">
        <is>
          <t>CV  ANUGERAH WAHYUDI SEJAHTERA - PPN (PDG)</t>
        </is>
      </c>
      <c r="AI5811" t="n">
        <v>131</v>
      </c>
      <c r="AJ5811" t="inlineStr">
        <is>
          <t>VEET</t>
        </is>
      </c>
      <c r="AK5811" t="n">
        <v>21</v>
      </c>
      <c r="AL5811" t="inlineStr">
        <is>
          <t>Miss Glam Damar</t>
        </is>
      </c>
      <c r="AM5811" t="n">
        <v>4</v>
      </c>
      <c r="AN5811" t="n">
        <v>500000</v>
      </c>
      <c r="AO5811" t="n">
        <v>0</v>
      </c>
      <c r="AP5811" t="inlineStr"/>
      <c r="AQ5811" t="inlineStr"/>
    </row>
    <row r="5812">
      <c r="A5812" t="inlineStr">
        <is>
          <t>VEET</t>
        </is>
      </c>
      <c r="B5812" s="2">
        <f>"8993560155018"</f>
        <v/>
      </c>
      <c r="C5812" t="inlineStr">
        <is>
          <t>VEET Hair Removal Silky Fresh Sensitif 25g</t>
        </is>
      </c>
      <c r="D5812" t="inlineStr">
        <is>
          <t>Miss Glam Damar</t>
        </is>
      </c>
      <c r="E5812" t="n">
        <v>29</v>
      </c>
      <c r="F5812" t="n">
        <v>0.6279</v>
      </c>
      <c r="G5812" t="n">
        <v>1.82</v>
      </c>
      <c r="H5812" t="n">
        <v>7</v>
      </c>
      <c r="I5812" t="n">
        <v>19</v>
      </c>
      <c r="J5812" t="n">
        <v>3</v>
      </c>
      <c r="K5812" t="n">
        <v>0</v>
      </c>
      <c r="L5812" t="n">
        <v>23802</v>
      </c>
      <c r="M5812" t="n">
        <v>30000</v>
      </c>
      <c r="N5812" t="n">
        <v>91</v>
      </c>
      <c r="O5812" t="n">
        <v>0.91</v>
      </c>
      <c r="P5812" t="n">
        <v>1</v>
      </c>
      <c r="Q5812" t="n">
        <v>0.83</v>
      </c>
      <c r="R5812" t="n">
        <v>4</v>
      </c>
      <c r="S5812" t="n">
        <v>18837</v>
      </c>
      <c r="T5812" t="n">
        <v>31</v>
      </c>
      <c r="U5812" t="n">
        <v>36</v>
      </c>
      <c r="V5812" t="n">
        <v>30</v>
      </c>
      <c r="W5812" t="n">
        <v>19</v>
      </c>
      <c r="X5812" t="n">
        <v>46.1856983596114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99</v>
      </c>
      <c r="AG5812" t="n">
        <v>102</v>
      </c>
      <c r="AH5812" t="inlineStr">
        <is>
          <t>CV  ANUGERAH WAHYUDI SEJAHTERA - PPN (PDG)</t>
        </is>
      </c>
      <c r="AI5812" t="n">
        <v>131</v>
      </c>
      <c r="AJ5812" t="inlineStr">
        <is>
          <t>VEET</t>
        </is>
      </c>
      <c r="AK5812" t="n">
        <v>21</v>
      </c>
      <c r="AL5812" t="inlineStr">
        <is>
          <t>Miss Glam Damar</t>
        </is>
      </c>
      <c r="AM5812" t="n">
        <v>4</v>
      </c>
      <c r="AN5812" t="n">
        <v>500000</v>
      </c>
      <c r="AO5812" t="n">
        <v>0</v>
      </c>
      <c r="AP5812" t="inlineStr"/>
      <c r="AQ5812" t="inlineStr"/>
    </row>
    <row r="5813">
      <c r="A5813" t="inlineStr">
        <is>
          <t>VICTORIA'S SECRET</t>
        </is>
      </c>
      <c r="B5813" s="2">
        <f>"0667556605006"</f>
        <v/>
      </c>
      <c r="C5813" t="inlineStr">
        <is>
          <t>VICTORIA S SECRET Fragance Mist Aqua Kiss 250ml NEW</t>
        </is>
      </c>
      <c r="D5813" t="inlineStr">
        <is>
          <t>Miss Glam Damar</t>
        </is>
      </c>
      <c r="E5813" t="n">
        <v>2</v>
      </c>
      <c r="F5813" t="n">
        <v>0.07000000000000001</v>
      </c>
      <c r="G5813" t="n">
        <v>1</v>
      </c>
      <c r="H5813" t="n">
        <v>4</v>
      </c>
      <c r="I5813" t="n">
        <v>21</v>
      </c>
      <c r="J5813" t="n">
        <v>3</v>
      </c>
      <c r="K5813" t="n">
        <v>0</v>
      </c>
      <c r="L5813" t="n">
        <v>171827</v>
      </c>
      <c r="M5813" t="n">
        <v>215000</v>
      </c>
      <c r="N5813" t="n">
        <v>91</v>
      </c>
      <c r="O5813" t="n">
        <v>0.91</v>
      </c>
      <c r="P5813" t="n">
        <v>0</v>
      </c>
      <c r="Q5813" t="n">
        <v>0.07000000000000001</v>
      </c>
      <c r="R5813" t="n">
        <v>1</v>
      </c>
      <c r="S5813" t="n">
        <v>15050</v>
      </c>
      <c r="T5813" t="n">
        <v>21</v>
      </c>
      <c r="U5813" t="n">
        <v>22</v>
      </c>
      <c r="V5813" t="n">
        <v>30</v>
      </c>
      <c r="W5813" t="n">
        <v>3</v>
      </c>
      <c r="X5813" t="n">
        <v>28.57142857142857</v>
      </c>
      <c r="Y5813" t="n">
        <v>1</v>
      </c>
      <c r="Z5813" t="n">
        <v>1</v>
      </c>
      <c r="AA5813" t="n">
        <v>0</v>
      </c>
      <c r="AB5813" t="n">
        <v>1</v>
      </c>
      <c r="AC5813" t="n">
        <v>3</v>
      </c>
      <c r="AD5813" t="n">
        <v>0</v>
      </c>
      <c r="AE5813" t="n">
        <v>515481</v>
      </c>
      <c r="AF5813" t="n">
        <v>9115</v>
      </c>
      <c r="AG5813" t="n">
        <v>1</v>
      </c>
      <c r="AH5813" t="inlineStr">
        <is>
          <t>PT. BERSAMA DISTRIVERSA INDONESIA (DC CIPUTAT)</t>
        </is>
      </c>
      <c r="AI5813" t="n">
        <v>26</v>
      </c>
      <c r="AJ5813" t="inlineStr">
        <is>
          <t>VICTORIA'S SECRET</t>
        </is>
      </c>
      <c r="AK5813" t="n">
        <v>21</v>
      </c>
      <c r="AL5813" t="inlineStr">
        <is>
          <t>Miss Glam Damar</t>
        </is>
      </c>
      <c r="AM5813" t="n">
        <v>1</v>
      </c>
      <c r="AN5813" t="n">
        <v>500000</v>
      </c>
      <c r="AO5813" t="n">
        <v>0</v>
      </c>
      <c r="AP5813" t="inlineStr"/>
      <c r="AQ5813" t="inlineStr"/>
    </row>
    <row r="5814">
      <c r="A5814" t="inlineStr">
        <is>
          <t>VICTORIA'S SECRET</t>
        </is>
      </c>
      <c r="B5814" s="2">
        <f>"0667558437636"</f>
        <v/>
      </c>
      <c r="C5814" t="inlineStr">
        <is>
          <t>VICTORIA S SECRET Fragance Mist Velvet Petals Shimmer 250ml</t>
        </is>
      </c>
      <c r="D5814" t="inlineStr">
        <is>
          <t>Miss Glam Damar</t>
        </is>
      </c>
      <c r="E5814" t="n">
        <v>11</v>
      </c>
      <c r="F5814" t="n">
        <v>0.03</v>
      </c>
      <c r="G5814" t="n">
        <v>0</v>
      </c>
      <c r="H5814" t="n">
        <v>4</v>
      </c>
      <c r="I5814" t="n">
        <v>21</v>
      </c>
      <c r="J5814" t="n">
        <v>3</v>
      </c>
      <c r="K5814" t="n">
        <v>0</v>
      </c>
      <c r="L5814" t="n">
        <v>174848</v>
      </c>
      <c r="M5814" t="n">
        <v>215000</v>
      </c>
      <c r="N5814" t="n">
        <v>91</v>
      </c>
      <c r="O5814" t="n">
        <v>0.91</v>
      </c>
      <c r="P5814" t="n">
        <v>0</v>
      </c>
      <c r="Q5814" t="n">
        <v>0.03</v>
      </c>
      <c r="R5814" t="n">
        <v>0</v>
      </c>
      <c r="S5814" t="n">
        <v>6450</v>
      </c>
      <c r="T5814" t="n">
        <v>0</v>
      </c>
      <c r="U5814" t="n">
        <v>1</v>
      </c>
      <c r="V5814" t="n">
        <v>30</v>
      </c>
      <c r="W5814" t="n">
        <v>1</v>
      </c>
      <c r="X5814" t="n">
        <v>366.6666666666667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9115</v>
      </c>
      <c r="AG5814" t="n">
        <v>1</v>
      </c>
      <c r="AH5814" t="inlineStr">
        <is>
          <t>PT. BERSAMA DISTRIVERSA INDONESIA (DC CIPUTAT)</t>
        </is>
      </c>
      <c r="AI5814" t="n">
        <v>26</v>
      </c>
      <c r="AJ5814" t="inlineStr">
        <is>
          <t>VICTORIA'S SECRET</t>
        </is>
      </c>
      <c r="AK5814" t="n">
        <v>21</v>
      </c>
      <c r="AL5814" t="inlineStr">
        <is>
          <t>Miss Glam Damar</t>
        </is>
      </c>
      <c r="AM5814" t="n">
        <v>1</v>
      </c>
      <c r="AN5814" t="n">
        <v>500000</v>
      </c>
      <c r="AO5814" t="n">
        <v>0</v>
      </c>
      <c r="AP5814" t="inlineStr"/>
      <c r="AQ5814" t="inlineStr"/>
    </row>
    <row r="5815">
      <c r="A5815" t="inlineStr">
        <is>
          <t>VICTORIA'S SECRET</t>
        </is>
      </c>
      <c r="B5815" s="2">
        <f>"667556605051"</f>
        <v/>
      </c>
      <c r="C5815" t="inlineStr">
        <is>
          <t>VICTORIA SECRET Fragrance Mist Romantic 250ml</t>
        </is>
      </c>
      <c r="D5815" t="inlineStr">
        <is>
          <t>Miss Glam Damar</t>
        </is>
      </c>
      <c r="E5815" t="n">
        <v>6</v>
      </c>
      <c r="F5815" t="n">
        <v>0.08</v>
      </c>
      <c r="G5815" t="n">
        <v>1</v>
      </c>
      <c r="H5815" t="n">
        <v>4</v>
      </c>
      <c r="I5815" t="n">
        <v>21</v>
      </c>
      <c r="J5815" t="n">
        <v>3</v>
      </c>
      <c r="K5815" t="n">
        <v>0</v>
      </c>
      <c r="L5815" t="n">
        <v>175100</v>
      </c>
      <c r="M5815" t="n">
        <v>215000</v>
      </c>
      <c r="N5815" t="n">
        <v>91</v>
      </c>
      <c r="O5815" t="n">
        <v>0.91</v>
      </c>
      <c r="P5815" t="n">
        <v>0</v>
      </c>
      <c r="Q5815" t="n">
        <v>0.08</v>
      </c>
      <c r="R5815" t="n">
        <v>1</v>
      </c>
      <c r="S5815" t="n">
        <v>17200</v>
      </c>
      <c r="T5815" t="n">
        <v>21</v>
      </c>
      <c r="U5815" t="n">
        <v>22</v>
      </c>
      <c r="V5815" t="n">
        <v>30</v>
      </c>
      <c r="W5815" t="n">
        <v>3</v>
      </c>
      <c r="X5815" t="n">
        <v>75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9115</v>
      </c>
      <c r="AG5815" t="n">
        <v>1</v>
      </c>
      <c r="AH5815" t="inlineStr">
        <is>
          <t>PT. BERSAMA DISTRIVERSA INDONESIA (DC CIPUTAT)</t>
        </is>
      </c>
      <c r="AI5815" t="n">
        <v>26</v>
      </c>
      <c r="AJ5815" t="inlineStr">
        <is>
          <t>VICTORIA'S SECRET</t>
        </is>
      </c>
      <c r="AK5815" t="n">
        <v>21</v>
      </c>
      <c r="AL5815" t="inlineStr">
        <is>
          <t>Miss Glam Damar</t>
        </is>
      </c>
      <c r="AM5815" t="n">
        <v>1</v>
      </c>
      <c r="AN5815" t="n">
        <v>500000</v>
      </c>
      <c r="AO5815" t="n">
        <v>0</v>
      </c>
      <c r="AP5815" t="inlineStr"/>
      <c r="AQ5815" t="inlineStr"/>
    </row>
    <row r="5816">
      <c r="A5816" t="inlineStr">
        <is>
          <t>VICTORIA'S SECRET</t>
        </is>
      </c>
      <c r="B5816" s="2">
        <f>"667557894690"</f>
        <v/>
      </c>
      <c r="C5816" t="inlineStr">
        <is>
          <t>VICTORIA'S SECRET Amber Romance Fragrance Lotion 236ml</t>
        </is>
      </c>
      <c r="D5816" t="inlineStr">
        <is>
          <t>Miss Glam Damar</t>
        </is>
      </c>
      <c r="E5816" t="n">
        <v>0</v>
      </c>
      <c r="F5816" t="n">
        <v>0.03</v>
      </c>
      <c r="G5816" t="n">
        <v>1</v>
      </c>
      <c r="H5816" t="n">
        <v>4</v>
      </c>
      <c r="I5816" t="n">
        <v>21</v>
      </c>
      <c r="J5816" t="n">
        <v>3</v>
      </c>
      <c r="K5816" t="n">
        <v>0</v>
      </c>
      <c r="L5816" t="n">
        <v>156579</v>
      </c>
      <c r="M5816" t="n">
        <v>215000</v>
      </c>
      <c r="N5816" t="n">
        <v>91</v>
      </c>
      <c r="O5816" t="n">
        <v>0.91</v>
      </c>
      <c r="P5816" t="n">
        <v>0</v>
      </c>
      <c r="Q5816" t="n">
        <v>0.03</v>
      </c>
      <c r="R5816" t="n">
        <v>1</v>
      </c>
      <c r="S5816" t="n">
        <v>6450</v>
      </c>
      <c r="T5816" t="n">
        <v>21</v>
      </c>
      <c r="U5816" t="n">
        <v>22</v>
      </c>
      <c r="V5816" t="n">
        <v>30</v>
      </c>
      <c r="W5816" t="n">
        <v>1</v>
      </c>
      <c r="X5816" t="n">
        <v>0</v>
      </c>
      <c r="Y5816" t="n">
        <v>1</v>
      </c>
      <c r="Z5816" t="n">
        <v>1</v>
      </c>
      <c r="AA5816" t="n">
        <v>1</v>
      </c>
      <c r="AB5816" t="n">
        <v>0</v>
      </c>
      <c r="AC5816" t="n">
        <v>0</v>
      </c>
      <c r="AD5816" t="n">
        <v>156579</v>
      </c>
      <c r="AE5816" t="n">
        <v>0</v>
      </c>
      <c r="AF5816" t="n">
        <v>9115</v>
      </c>
      <c r="AG5816" t="n">
        <v>1</v>
      </c>
      <c r="AH5816" t="inlineStr">
        <is>
          <t>PT. BERSAMA DISTRIVERSA INDONESIA (DC CIPUTAT)</t>
        </is>
      </c>
      <c r="AI5816" t="n">
        <v>26</v>
      </c>
      <c r="AJ5816" t="inlineStr">
        <is>
          <t>VICTORIA'S SECRET</t>
        </is>
      </c>
      <c r="AK5816" t="n">
        <v>21</v>
      </c>
      <c r="AL5816" t="inlineStr">
        <is>
          <t>Miss Glam Damar</t>
        </is>
      </c>
      <c r="AM5816" t="n">
        <v>1</v>
      </c>
      <c r="AN5816" t="n">
        <v>500000</v>
      </c>
      <c r="AO5816" t="n">
        <v>0</v>
      </c>
      <c r="AP5816" t="inlineStr"/>
      <c r="AQ5816" t="inlineStr"/>
    </row>
    <row r="5817">
      <c r="A5817" t="inlineStr">
        <is>
          <t>VICTORIA'S SECRET</t>
        </is>
      </c>
      <c r="B5817" s="2">
        <f>"667555535540"</f>
        <v/>
      </c>
      <c r="C5817" t="inlineStr">
        <is>
          <t>VICTORIA'S SECRET Coconut Passion Shimmer Fragrance Mist 250ml</t>
        </is>
      </c>
      <c r="D5817" t="inlineStr">
        <is>
          <t>Miss Glam Damar</t>
        </is>
      </c>
      <c r="E5817" t="n">
        <v>2</v>
      </c>
      <c r="F5817" t="n">
        <v>0.07000000000000001</v>
      </c>
      <c r="G5817" t="n">
        <v>1</v>
      </c>
      <c r="H5817" t="n">
        <v>4</v>
      </c>
      <c r="I5817" t="n">
        <v>21</v>
      </c>
      <c r="J5817" t="n">
        <v>3</v>
      </c>
      <c r="K5817" t="n">
        <v>0</v>
      </c>
      <c r="L5817" t="n">
        <v>171732</v>
      </c>
      <c r="M5817" t="n">
        <v>220000</v>
      </c>
      <c r="N5817" t="n">
        <v>91</v>
      </c>
      <c r="O5817" t="n">
        <v>0.91</v>
      </c>
      <c r="P5817" t="n">
        <v>0</v>
      </c>
      <c r="Q5817" t="n">
        <v>0.07000000000000001</v>
      </c>
      <c r="R5817" t="n">
        <v>1</v>
      </c>
      <c r="S5817" t="n">
        <v>15400</v>
      </c>
      <c r="T5817" t="n">
        <v>21</v>
      </c>
      <c r="U5817" t="n">
        <v>22</v>
      </c>
      <c r="V5817" t="n">
        <v>30</v>
      </c>
      <c r="W5817" t="n">
        <v>3</v>
      </c>
      <c r="X5817" t="n">
        <v>28.57142857142857</v>
      </c>
      <c r="Y5817" t="n">
        <v>1</v>
      </c>
      <c r="Z5817" t="n">
        <v>1</v>
      </c>
      <c r="AA5817" t="n">
        <v>0</v>
      </c>
      <c r="AB5817" t="n">
        <v>1</v>
      </c>
      <c r="AC5817" t="n">
        <v>3</v>
      </c>
      <c r="AD5817" t="n">
        <v>0</v>
      </c>
      <c r="AE5817" t="n">
        <v>515196</v>
      </c>
      <c r="AF5817" t="n">
        <v>9115</v>
      </c>
      <c r="AG5817" t="n">
        <v>1</v>
      </c>
      <c r="AH5817" t="inlineStr">
        <is>
          <t>PT. BERSAMA DISTRIVERSA INDONESIA (DC CIPUTAT)</t>
        </is>
      </c>
      <c r="AI5817" t="n">
        <v>26</v>
      </c>
      <c r="AJ5817" t="inlineStr">
        <is>
          <t>VICTORIA'S SECRET</t>
        </is>
      </c>
      <c r="AK5817" t="n">
        <v>21</v>
      </c>
      <c r="AL5817" t="inlineStr">
        <is>
          <t>Miss Glam Damar</t>
        </is>
      </c>
      <c r="AM5817" t="n">
        <v>1</v>
      </c>
      <c r="AN5817" t="n">
        <v>500000</v>
      </c>
      <c r="AO5817" t="n">
        <v>0</v>
      </c>
      <c r="AP5817" t="inlineStr"/>
      <c r="AQ5817" t="inlineStr"/>
    </row>
    <row r="5818">
      <c r="A5818" t="inlineStr">
        <is>
          <t>VICTORIA'S SECRET</t>
        </is>
      </c>
      <c r="B5818" s="2">
        <f>"667557894652"</f>
        <v/>
      </c>
      <c r="C5818" t="inlineStr">
        <is>
          <t>VICTORIA'S SECRET Fragrance Lotion Velvet Petals 236ml</t>
        </is>
      </c>
      <c r="D5818" t="inlineStr">
        <is>
          <t>Miss Glam Damar</t>
        </is>
      </c>
      <c r="E5818" t="n">
        <v>3</v>
      </c>
      <c r="F5818" t="n">
        <v>0.0182</v>
      </c>
      <c r="G5818" t="n">
        <v>0.91</v>
      </c>
      <c r="H5818" t="n">
        <v>4</v>
      </c>
      <c r="I5818" t="n">
        <v>21</v>
      </c>
      <c r="J5818" t="n">
        <v>3</v>
      </c>
      <c r="K5818" t="n">
        <v>0</v>
      </c>
      <c r="L5818" t="n">
        <v>159650</v>
      </c>
      <c r="M5818" t="n">
        <v>215000</v>
      </c>
      <c r="N5818" t="n">
        <v>91</v>
      </c>
      <c r="O5818" t="n">
        <v>0.91</v>
      </c>
      <c r="P5818" t="n">
        <v>1</v>
      </c>
      <c r="Q5818" t="n">
        <v>0.05</v>
      </c>
      <c r="R5818" t="n">
        <v>2</v>
      </c>
      <c r="S5818" t="n">
        <v>3913</v>
      </c>
      <c r="T5818" t="n">
        <v>20</v>
      </c>
      <c r="U5818" t="n">
        <v>21</v>
      </c>
      <c r="V5818" t="n">
        <v>30</v>
      </c>
      <c r="W5818" t="n">
        <v>1</v>
      </c>
      <c r="X5818" t="n">
        <v>164.8351648351648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9115</v>
      </c>
      <c r="AG5818" t="n">
        <v>1</v>
      </c>
      <c r="AH5818" t="inlineStr">
        <is>
          <t>PT. BERSAMA DISTRIVERSA INDONESIA (DC CIPUTAT)</t>
        </is>
      </c>
      <c r="AI5818" t="n">
        <v>26</v>
      </c>
      <c r="AJ5818" t="inlineStr">
        <is>
          <t>VICTORIA'S SECRET</t>
        </is>
      </c>
      <c r="AK5818" t="n">
        <v>21</v>
      </c>
      <c r="AL5818" t="inlineStr">
        <is>
          <t>Miss Glam Damar</t>
        </is>
      </c>
      <c r="AM5818" t="n">
        <v>1</v>
      </c>
      <c r="AN5818" t="n">
        <v>500000</v>
      </c>
      <c r="AO5818" t="n">
        <v>0</v>
      </c>
      <c r="AP5818" t="inlineStr"/>
      <c r="AQ5818" t="inlineStr"/>
    </row>
    <row r="5819">
      <c r="A5819" t="inlineStr">
        <is>
          <t>VICTORIA'S SECRET</t>
        </is>
      </c>
      <c r="B5819" s="2">
        <f>"667556605020"</f>
        <v/>
      </c>
      <c r="C5819" t="inlineStr">
        <is>
          <t>VICTORIA'S SECRET Fragrance Mist Amber Romance 250ml</t>
        </is>
      </c>
      <c r="D5819" t="inlineStr">
        <is>
          <t>Miss Glam Damar</t>
        </is>
      </c>
      <c r="E5819" t="n">
        <v>3</v>
      </c>
      <c r="F5819" t="n">
        <v>0.02</v>
      </c>
      <c r="G5819" t="n">
        <v>1</v>
      </c>
      <c r="H5819" t="n">
        <v>4</v>
      </c>
      <c r="I5819" t="n">
        <v>21</v>
      </c>
      <c r="J5819" t="n">
        <v>3</v>
      </c>
      <c r="K5819" t="n">
        <v>0</v>
      </c>
      <c r="L5819" t="n">
        <v>175100</v>
      </c>
      <c r="M5819" t="n">
        <v>215000</v>
      </c>
      <c r="N5819" t="n">
        <v>91</v>
      </c>
      <c r="O5819" t="n">
        <v>0.91</v>
      </c>
      <c r="P5819" t="n">
        <v>0</v>
      </c>
      <c r="Q5819" t="n">
        <v>0.02</v>
      </c>
      <c r="R5819" t="n">
        <v>1</v>
      </c>
      <c r="S5819" t="n">
        <v>4300</v>
      </c>
      <c r="T5819" t="n">
        <v>21</v>
      </c>
      <c r="U5819" t="n">
        <v>22</v>
      </c>
      <c r="V5819" t="n">
        <v>30</v>
      </c>
      <c r="W5819" t="n">
        <v>1</v>
      </c>
      <c r="X5819" t="n">
        <v>150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9115</v>
      </c>
      <c r="AG5819" t="n">
        <v>1</v>
      </c>
      <c r="AH5819" t="inlineStr">
        <is>
          <t>PT. BERSAMA DISTRIVERSA INDONESIA (DC CIPUTAT)</t>
        </is>
      </c>
      <c r="AI5819" t="n">
        <v>26</v>
      </c>
      <c r="AJ5819" t="inlineStr">
        <is>
          <t>VICTORIA'S SECRET</t>
        </is>
      </c>
      <c r="AK5819" t="n">
        <v>21</v>
      </c>
      <c r="AL5819" t="inlineStr">
        <is>
          <t>Miss Glam Damar</t>
        </is>
      </c>
      <c r="AM5819" t="n">
        <v>1</v>
      </c>
      <c r="AN5819" t="n">
        <v>500000</v>
      </c>
      <c r="AO5819" t="n">
        <v>0</v>
      </c>
      <c r="AP5819" t="inlineStr"/>
      <c r="AQ5819" t="inlineStr"/>
    </row>
    <row r="5820">
      <c r="A5820" t="inlineStr">
        <is>
          <t>VICTORIA'S SECRET</t>
        </is>
      </c>
      <c r="B5820" s="2">
        <f>"667556489996"</f>
        <v/>
      </c>
      <c r="C5820" t="inlineStr">
        <is>
          <t>VICTORIA'S SECRET Fragrance Mist Bare Vanilla 250ml</t>
        </is>
      </c>
      <c r="D5820" t="inlineStr">
        <is>
          <t>Miss Glam Damar</t>
        </is>
      </c>
      <c r="E5820" t="n">
        <v>0</v>
      </c>
      <c r="F5820" t="n">
        <v>0.1365</v>
      </c>
      <c r="G5820" t="n">
        <v>2.73</v>
      </c>
      <c r="H5820" t="n">
        <v>4</v>
      </c>
      <c r="I5820" t="n">
        <v>21</v>
      </c>
      <c r="J5820" t="n">
        <v>3</v>
      </c>
      <c r="K5820" t="n">
        <v>0</v>
      </c>
      <c r="L5820" t="n">
        <v>171732</v>
      </c>
      <c r="M5820" t="n">
        <v>220000</v>
      </c>
      <c r="N5820" t="n">
        <v>91</v>
      </c>
      <c r="O5820" t="n">
        <v>0.91</v>
      </c>
      <c r="P5820" t="n">
        <v>1</v>
      </c>
      <c r="Q5820" t="n">
        <v>0.24</v>
      </c>
      <c r="R5820" t="n">
        <v>3</v>
      </c>
      <c r="S5820" t="n">
        <v>30030</v>
      </c>
      <c r="T5820" t="n">
        <v>57</v>
      </c>
      <c r="U5820" t="n">
        <v>58</v>
      </c>
      <c r="V5820" t="n">
        <v>30</v>
      </c>
      <c r="W5820" t="n">
        <v>5</v>
      </c>
      <c r="X5820" t="n">
        <v>0</v>
      </c>
      <c r="Y5820" t="n">
        <v>1</v>
      </c>
      <c r="Z5820" t="n">
        <v>5</v>
      </c>
      <c r="AA5820" t="n">
        <v>3</v>
      </c>
      <c r="AB5820" t="n">
        <v>2</v>
      </c>
      <c r="AC5820" t="n">
        <v>3</v>
      </c>
      <c r="AD5820" t="n">
        <v>515196</v>
      </c>
      <c r="AE5820" t="n">
        <v>515196</v>
      </c>
      <c r="AF5820" t="n">
        <v>9115</v>
      </c>
      <c r="AG5820" t="n">
        <v>1</v>
      </c>
      <c r="AH5820" t="inlineStr">
        <is>
          <t>PT. BERSAMA DISTRIVERSA INDONESIA (DC CIPUTAT)</t>
        </is>
      </c>
      <c r="AI5820" t="n">
        <v>26</v>
      </c>
      <c r="AJ5820" t="inlineStr">
        <is>
          <t>VICTORIA'S SECRET</t>
        </is>
      </c>
      <c r="AK5820" t="n">
        <v>21</v>
      </c>
      <c r="AL5820" t="inlineStr">
        <is>
          <t>Miss Glam Damar</t>
        </is>
      </c>
      <c r="AM5820" t="n">
        <v>1</v>
      </c>
      <c r="AN5820" t="n">
        <v>500000</v>
      </c>
      <c r="AO5820" t="n">
        <v>0</v>
      </c>
      <c r="AP5820" t="inlineStr"/>
      <c r="AQ5820" t="inlineStr"/>
    </row>
    <row r="5821">
      <c r="A5821" t="inlineStr">
        <is>
          <t>VICTORIA'S SECRET</t>
        </is>
      </c>
      <c r="B5821" s="2">
        <f>"0667558437643"</f>
        <v/>
      </c>
      <c r="C5821" t="inlineStr">
        <is>
          <t>VICTORIA'S SECRET Fragrance Mist Bare Vanilla Shimmer 250ml</t>
        </is>
      </c>
      <c r="D5821" t="inlineStr">
        <is>
          <t>Miss Glam Damar</t>
        </is>
      </c>
      <c r="E5821" t="n">
        <v>10</v>
      </c>
      <c r="F5821" t="n">
        <v>0.08</v>
      </c>
      <c r="G5821" t="n">
        <v>1</v>
      </c>
      <c r="H5821" t="n">
        <v>4</v>
      </c>
      <c r="I5821" t="n">
        <v>21</v>
      </c>
      <c r="J5821" t="n">
        <v>3</v>
      </c>
      <c r="K5821" t="n">
        <v>0</v>
      </c>
      <c r="L5821" t="n">
        <v>175100</v>
      </c>
      <c r="M5821" t="n">
        <v>215000</v>
      </c>
      <c r="N5821" t="n">
        <v>91</v>
      </c>
      <c r="O5821" t="n">
        <v>0.91</v>
      </c>
      <c r="P5821" t="n">
        <v>0</v>
      </c>
      <c r="Q5821" t="n">
        <v>0.08</v>
      </c>
      <c r="R5821" t="n">
        <v>1</v>
      </c>
      <c r="S5821" t="n">
        <v>17200</v>
      </c>
      <c r="T5821" t="n">
        <v>21</v>
      </c>
      <c r="U5821" t="n">
        <v>22</v>
      </c>
      <c r="V5821" t="n">
        <v>30</v>
      </c>
      <c r="W5821" t="n">
        <v>3</v>
      </c>
      <c r="X5821" t="n">
        <v>125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9115</v>
      </c>
      <c r="AG5821" t="n">
        <v>1</v>
      </c>
      <c r="AH5821" t="inlineStr">
        <is>
          <t>PT. BERSAMA DISTRIVERSA INDONESIA (DC CIPUTAT)</t>
        </is>
      </c>
      <c r="AI5821" t="n">
        <v>26</v>
      </c>
      <c r="AJ5821" t="inlineStr">
        <is>
          <t>VICTORIA'S SECRET</t>
        </is>
      </c>
      <c r="AK5821" t="n">
        <v>21</v>
      </c>
      <c r="AL5821" t="inlineStr">
        <is>
          <t>Miss Glam Damar</t>
        </is>
      </c>
      <c r="AM5821" t="n">
        <v>1</v>
      </c>
      <c r="AN5821" t="n">
        <v>500000</v>
      </c>
      <c r="AO5821" t="n">
        <v>0</v>
      </c>
      <c r="AP5821" t="inlineStr"/>
      <c r="AQ5821" t="inlineStr"/>
    </row>
    <row r="5822">
      <c r="A5822" t="inlineStr">
        <is>
          <t>VICTORIA'S SECRET</t>
        </is>
      </c>
      <c r="B5822" s="2">
        <f>"667556489972"</f>
        <v/>
      </c>
      <c r="C5822" t="inlineStr">
        <is>
          <t>VICTORIA'S SECRET Fragrance Mist Pure Seduction 250ml</t>
        </is>
      </c>
      <c r="D5822" t="inlineStr">
        <is>
          <t>Miss Glam Damar</t>
        </is>
      </c>
      <c r="E5822" t="n">
        <v>10</v>
      </c>
      <c r="F5822" t="n">
        <v>0.05</v>
      </c>
      <c r="G5822" t="n">
        <v>1</v>
      </c>
      <c r="H5822" t="n">
        <v>4</v>
      </c>
      <c r="I5822" t="n">
        <v>21</v>
      </c>
      <c r="J5822" t="n">
        <v>3</v>
      </c>
      <c r="K5822" t="n">
        <v>0</v>
      </c>
      <c r="L5822" t="n">
        <v>175100</v>
      </c>
      <c r="M5822" t="n">
        <v>215000</v>
      </c>
      <c r="N5822" t="n">
        <v>91</v>
      </c>
      <c r="O5822" t="n">
        <v>0.91</v>
      </c>
      <c r="P5822" t="n">
        <v>0</v>
      </c>
      <c r="Q5822" t="n">
        <v>0.05</v>
      </c>
      <c r="R5822" t="n">
        <v>1</v>
      </c>
      <c r="S5822" t="n">
        <v>10750</v>
      </c>
      <c r="T5822" t="n">
        <v>21</v>
      </c>
      <c r="U5822" t="n">
        <v>22</v>
      </c>
      <c r="V5822" t="n">
        <v>30</v>
      </c>
      <c r="W5822" t="n">
        <v>2</v>
      </c>
      <c r="X5822" t="n">
        <v>200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9115</v>
      </c>
      <c r="AG5822" t="n">
        <v>1</v>
      </c>
      <c r="AH5822" t="inlineStr">
        <is>
          <t>PT. BERSAMA DISTRIVERSA INDONESIA (DC CIPUTAT)</t>
        </is>
      </c>
      <c r="AI5822" t="n">
        <v>26</v>
      </c>
      <c r="AJ5822" t="inlineStr">
        <is>
          <t>VICTORIA'S SECRET</t>
        </is>
      </c>
      <c r="AK5822" t="n">
        <v>21</v>
      </c>
      <c r="AL5822" t="inlineStr">
        <is>
          <t>Miss Glam Damar</t>
        </is>
      </c>
      <c r="AM5822" t="n">
        <v>1</v>
      </c>
      <c r="AN5822" t="n">
        <v>500000</v>
      </c>
      <c r="AO5822" t="n">
        <v>0</v>
      </c>
      <c r="AP5822" t="inlineStr"/>
      <c r="AQ5822" t="inlineStr"/>
    </row>
    <row r="5823">
      <c r="A5823" t="inlineStr">
        <is>
          <t>VICTORIA'S SECRET</t>
        </is>
      </c>
      <c r="B5823" s="2">
        <f>"667556489989"</f>
        <v/>
      </c>
      <c r="C5823" t="inlineStr">
        <is>
          <t>VICTORIA'S SECRET Fragrance Mist Velvet Petals 250ml</t>
        </is>
      </c>
      <c r="D5823" t="inlineStr">
        <is>
          <t>Miss Glam Damar</t>
        </is>
      </c>
      <c r="E5823" t="n">
        <v>8</v>
      </c>
      <c r="F5823" t="n">
        <v>0.02</v>
      </c>
      <c r="G5823" t="n">
        <v>1</v>
      </c>
      <c r="H5823" t="n">
        <v>4</v>
      </c>
      <c r="I5823" t="n">
        <v>21</v>
      </c>
      <c r="J5823" t="n">
        <v>3</v>
      </c>
      <c r="K5823" t="n">
        <v>0</v>
      </c>
      <c r="L5823" t="n">
        <v>175100</v>
      </c>
      <c r="M5823" t="n">
        <v>215000</v>
      </c>
      <c r="N5823" t="n">
        <v>91</v>
      </c>
      <c r="O5823" t="n">
        <v>0.91</v>
      </c>
      <c r="P5823" t="n">
        <v>0</v>
      </c>
      <c r="Q5823" t="n">
        <v>0.02</v>
      </c>
      <c r="R5823" t="n">
        <v>1</v>
      </c>
      <c r="S5823" t="n">
        <v>4300</v>
      </c>
      <c r="T5823" t="n">
        <v>21</v>
      </c>
      <c r="U5823" t="n">
        <v>22</v>
      </c>
      <c r="V5823" t="n">
        <v>30</v>
      </c>
      <c r="W5823" t="n">
        <v>1</v>
      </c>
      <c r="X5823" t="n">
        <v>400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9115</v>
      </c>
      <c r="AG5823" t="n">
        <v>1</v>
      </c>
      <c r="AH5823" t="inlineStr">
        <is>
          <t>PT. BERSAMA DISTRIVERSA INDONESIA (DC CIPUTAT)</t>
        </is>
      </c>
      <c r="AI5823" t="n">
        <v>26</v>
      </c>
      <c r="AJ5823" t="inlineStr">
        <is>
          <t>VICTORIA'S SECRET</t>
        </is>
      </c>
      <c r="AK5823" t="n">
        <v>21</v>
      </c>
      <c r="AL5823" t="inlineStr">
        <is>
          <t>Miss Glam Damar</t>
        </is>
      </c>
      <c r="AM5823" t="n">
        <v>1</v>
      </c>
      <c r="AN5823" t="n">
        <v>500000</v>
      </c>
      <c r="AO5823" t="n">
        <v>0</v>
      </c>
      <c r="AP5823" t="inlineStr"/>
      <c r="AQ5823" t="inlineStr"/>
    </row>
    <row r="5824">
      <c r="A5824" t="inlineStr">
        <is>
          <t>VICTORIA'S SECRET</t>
        </is>
      </c>
      <c r="B5824" s="2">
        <f>"667556489965"</f>
        <v/>
      </c>
      <c r="C5824" t="inlineStr">
        <is>
          <t>VICTORIA'S SECRET Love Spell Fragrance Mist 250ml</t>
        </is>
      </c>
      <c r="D5824" t="inlineStr">
        <is>
          <t>Miss Glam Damar</t>
        </is>
      </c>
      <c r="E5824" t="n">
        <v>15</v>
      </c>
      <c r="F5824" t="n">
        <v>0.19</v>
      </c>
      <c r="G5824" t="n">
        <v>2</v>
      </c>
      <c r="H5824" t="n">
        <v>4</v>
      </c>
      <c r="I5824" t="n">
        <v>21</v>
      </c>
      <c r="J5824" t="n">
        <v>3</v>
      </c>
      <c r="K5824" t="n">
        <v>0</v>
      </c>
      <c r="L5824" t="n">
        <v>171827</v>
      </c>
      <c r="M5824" t="n">
        <v>220000</v>
      </c>
      <c r="N5824" t="n">
        <v>91</v>
      </c>
      <c r="O5824" t="n">
        <v>0.91</v>
      </c>
      <c r="P5824" t="n">
        <v>0</v>
      </c>
      <c r="Q5824" t="n">
        <v>0.19</v>
      </c>
      <c r="R5824" t="n">
        <v>2</v>
      </c>
      <c r="S5824" t="n">
        <v>41800</v>
      </c>
      <c r="T5824" t="n">
        <v>42</v>
      </c>
      <c r="U5824" t="n">
        <v>43</v>
      </c>
      <c r="V5824" t="n">
        <v>30</v>
      </c>
      <c r="W5824" t="n">
        <v>6</v>
      </c>
      <c r="X5824" t="n">
        <v>78.94736842105263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9115</v>
      </c>
      <c r="AG5824" t="n">
        <v>1</v>
      </c>
      <c r="AH5824" t="inlineStr">
        <is>
          <t>PT. BERSAMA DISTRIVERSA INDONESIA (DC CIPUTAT)</t>
        </is>
      </c>
      <c r="AI5824" t="n">
        <v>26</v>
      </c>
      <c r="AJ5824" t="inlineStr">
        <is>
          <t>VICTORIA'S SECRET</t>
        </is>
      </c>
      <c r="AK5824" t="n">
        <v>21</v>
      </c>
      <c r="AL5824" t="inlineStr">
        <is>
          <t>Miss Glam Damar</t>
        </is>
      </c>
      <c r="AM5824" t="n">
        <v>1</v>
      </c>
      <c r="AN5824" t="n">
        <v>500000</v>
      </c>
      <c r="AO5824" t="n">
        <v>0</v>
      </c>
      <c r="AP5824" t="inlineStr"/>
      <c r="AQ5824" t="inlineStr"/>
    </row>
    <row r="5825">
      <c r="A5825" t="inlineStr">
        <is>
          <t>VICTORIA'S SECRET</t>
        </is>
      </c>
      <c r="B5825" s="2">
        <f>"667555058087"</f>
        <v/>
      </c>
      <c r="C5825" t="inlineStr">
        <is>
          <t>VICTORIA'S SECRET Love Spell Shimmer Fragrance Mist 250ml</t>
        </is>
      </c>
      <c r="D5825" t="inlineStr">
        <is>
          <t>Miss Glam Damar</t>
        </is>
      </c>
      <c r="E5825" t="n">
        <v>1</v>
      </c>
      <c r="F5825" t="n">
        <v>0.1</v>
      </c>
      <c r="G5825" t="n">
        <v>2</v>
      </c>
      <c r="H5825" t="n">
        <v>4</v>
      </c>
      <c r="I5825" t="n">
        <v>21</v>
      </c>
      <c r="J5825" t="n">
        <v>3</v>
      </c>
      <c r="K5825" t="n">
        <v>0</v>
      </c>
      <c r="L5825" t="n">
        <v>171827</v>
      </c>
      <c r="M5825" t="n">
        <v>215000</v>
      </c>
      <c r="N5825" t="n">
        <v>91</v>
      </c>
      <c r="O5825" t="n">
        <v>0.91</v>
      </c>
      <c r="P5825" t="n">
        <v>0</v>
      </c>
      <c r="Q5825" t="n">
        <v>0.1</v>
      </c>
      <c r="R5825" t="n">
        <v>2</v>
      </c>
      <c r="S5825" t="n">
        <v>21500</v>
      </c>
      <c r="T5825" t="n">
        <v>42</v>
      </c>
      <c r="U5825" t="n">
        <v>43</v>
      </c>
      <c r="V5825" t="n">
        <v>30</v>
      </c>
      <c r="W5825" t="n">
        <v>3</v>
      </c>
      <c r="X5825" t="n">
        <v>10</v>
      </c>
      <c r="Y5825" t="n">
        <v>1</v>
      </c>
      <c r="Z5825" t="n">
        <v>2</v>
      </c>
      <c r="AA5825" t="n">
        <v>2</v>
      </c>
      <c r="AB5825" t="n">
        <v>0</v>
      </c>
      <c r="AC5825" t="n">
        <v>0</v>
      </c>
      <c r="AD5825" t="n">
        <v>343654</v>
      </c>
      <c r="AE5825" t="n">
        <v>0</v>
      </c>
      <c r="AF5825" t="n">
        <v>9115</v>
      </c>
      <c r="AG5825" t="n">
        <v>1</v>
      </c>
      <c r="AH5825" t="inlineStr">
        <is>
          <t>PT. BERSAMA DISTRIVERSA INDONESIA (DC CIPUTAT)</t>
        </is>
      </c>
      <c r="AI5825" t="n">
        <v>26</v>
      </c>
      <c r="AJ5825" t="inlineStr">
        <is>
          <t>VICTORIA'S SECRET</t>
        </is>
      </c>
      <c r="AK5825" t="n">
        <v>21</v>
      </c>
      <c r="AL5825" t="inlineStr">
        <is>
          <t>Miss Glam Damar</t>
        </is>
      </c>
      <c r="AM5825" t="n">
        <v>1</v>
      </c>
      <c r="AN5825" t="n">
        <v>500000</v>
      </c>
      <c r="AO5825" t="n">
        <v>0</v>
      </c>
      <c r="AP5825" t="inlineStr"/>
      <c r="AQ5825" t="inlineStr"/>
    </row>
    <row r="5826">
      <c r="A5826" t="inlineStr">
        <is>
          <t>VICTORIA'S SECRET</t>
        </is>
      </c>
      <c r="B5826" s="2">
        <f>"667556605037"</f>
        <v/>
      </c>
      <c r="C5826" t="inlineStr">
        <is>
          <t>VICTORIA'S SECRET Midnight Bloom  250 ml</t>
        </is>
      </c>
      <c r="D5826" t="inlineStr">
        <is>
          <t>Miss Glam Damar</t>
        </is>
      </c>
      <c r="E5826" t="n">
        <v>1</v>
      </c>
      <c r="F5826" t="n">
        <v>0.1</v>
      </c>
      <c r="G5826" t="n">
        <v>2</v>
      </c>
      <c r="H5826" t="n">
        <v>4</v>
      </c>
      <c r="I5826" t="n">
        <v>21</v>
      </c>
      <c r="J5826" t="n">
        <v>3</v>
      </c>
      <c r="K5826" t="n">
        <v>0</v>
      </c>
      <c r="L5826" t="n">
        <v>171827</v>
      </c>
      <c r="M5826" t="n">
        <v>220000</v>
      </c>
      <c r="N5826" t="n">
        <v>91</v>
      </c>
      <c r="O5826" t="n">
        <v>0.91</v>
      </c>
      <c r="P5826" t="n">
        <v>0</v>
      </c>
      <c r="Q5826" t="n">
        <v>0.1</v>
      </c>
      <c r="R5826" t="n">
        <v>2</v>
      </c>
      <c r="S5826" t="n">
        <v>22000</v>
      </c>
      <c r="T5826" t="n">
        <v>42</v>
      </c>
      <c r="U5826" t="n">
        <v>43</v>
      </c>
      <c r="V5826" t="n">
        <v>30</v>
      </c>
      <c r="W5826" t="n">
        <v>3</v>
      </c>
      <c r="X5826" t="n">
        <v>10</v>
      </c>
      <c r="Y5826" t="n">
        <v>1</v>
      </c>
      <c r="Z5826" t="n">
        <v>2</v>
      </c>
      <c r="AA5826" t="n">
        <v>2</v>
      </c>
      <c r="AB5826" t="n">
        <v>0</v>
      </c>
      <c r="AC5826" t="n">
        <v>0</v>
      </c>
      <c r="AD5826" t="n">
        <v>343654</v>
      </c>
      <c r="AE5826" t="n">
        <v>0</v>
      </c>
      <c r="AF5826" t="n">
        <v>9115</v>
      </c>
      <c r="AG5826" t="n">
        <v>1</v>
      </c>
      <c r="AH5826" t="inlineStr">
        <is>
          <t>PT. BERSAMA DISTRIVERSA INDONESIA (DC CIPUTAT)</t>
        </is>
      </c>
      <c r="AI5826" t="n">
        <v>26</v>
      </c>
      <c r="AJ5826" t="inlineStr">
        <is>
          <t>VICTORIA'S SECRET</t>
        </is>
      </c>
      <c r="AK5826" t="n">
        <v>21</v>
      </c>
      <c r="AL5826" t="inlineStr">
        <is>
          <t>Miss Glam Damar</t>
        </is>
      </c>
      <c r="AM5826" t="n">
        <v>1</v>
      </c>
      <c r="AN5826" t="n">
        <v>500000</v>
      </c>
      <c r="AO5826" t="n">
        <v>0</v>
      </c>
      <c r="AP5826" t="inlineStr"/>
      <c r="AQ5826" t="inlineStr"/>
    </row>
    <row r="5827">
      <c r="A5827" t="inlineStr">
        <is>
          <t>VICTORIA'S SECRET</t>
        </is>
      </c>
      <c r="B5827" s="2">
        <f>"667556605068"</f>
        <v/>
      </c>
      <c r="C5827" t="inlineStr">
        <is>
          <t>VICTORIA'S SECRET Rush Fragrance Mist 250ml</t>
        </is>
      </c>
      <c r="D5827" t="inlineStr">
        <is>
          <t>Miss Glam Damar</t>
        </is>
      </c>
      <c r="E5827" t="n">
        <v>5</v>
      </c>
      <c r="F5827" t="n">
        <v>0.0182</v>
      </c>
      <c r="G5827" t="n">
        <v>0.91</v>
      </c>
      <c r="H5827" t="n">
        <v>4</v>
      </c>
      <c r="I5827" t="n">
        <v>21</v>
      </c>
      <c r="J5827" t="n">
        <v>3</v>
      </c>
      <c r="K5827" t="n">
        <v>0</v>
      </c>
      <c r="L5827" t="n">
        <v>177754</v>
      </c>
      <c r="M5827" t="n">
        <v>220000</v>
      </c>
      <c r="N5827" t="n">
        <v>91</v>
      </c>
      <c r="O5827" t="n">
        <v>0.91</v>
      </c>
      <c r="P5827" t="n">
        <v>1</v>
      </c>
      <c r="Q5827" t="n">
        <v>0.02</v>
      </c>
      <c r="R5827" t="n">
        <v>1</v>
      </c>
      <c r="S5827" t="n">
        <v>4004</v>
      </c>
      <c r="T5827" t="n">
        <v>20</v>
      </c>
      <c r="U5827" t="n">
        <v>21</v>
      </c>
      <c r="V5827" t="n">
        <v>30</v>
      </c>
      <c r="W5827" t="n">
        <v>1</v>
      </c>
      <c r="X5827" t="n">
        <v>274.7252747252747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9115</v>
      </c>
      <c r="AG5827" t="n">
        <v>1</v>
      </c>
      <c r="AH5827" t="inlineStr">
        <is>
          <t>PT. BERSAMA DISTRIVERSA INDONESIA (DC CIPUTAT)</t>
        </is>
      </c>
      <c r="AI5827" t="n">
        <v>26</v>
      </c>
      <c r="AJ5827" t="inlineStr">
        <is>
          <t>VICTORIA'S SECRET</t>
        </is>
      </c>
      <c r="AK5827" t="n">
        <v>21</v>
      </c>
      <c r="AL5827" t="inlineStr">
        <is>
          <t>Miss Glam Damar</t>
        </is>
      </c>
      <c r="AM5827" t="n">
        <v>1</v>
      </c>
      <c r="AN5827" t="n">
        <v>500000</v>
      </c>
      <c r="AO5827" t="n">
        <v>0</v>
      </c>
      <c r="AP5827" t="inlineStr"/>
      <c r="AQ5827" t="inlineStr"/>
    </row>
    <row r="5828">
      <c r="A5828" t="inlineStr">
        <is>
          <t>VICTORIA'S SECRET</t>
        </is>
      </c>
      <c r="B5828" s="2">
        <f>"667548099202"</f>
        <v/>
      </c>
      <c r="C5828" t="inlineStr">
        <is>
          <t>VICTORIAS SECRET Fragrance Mist Coconut Passion 250ml</t>
        </is>
      </c>
      <c r="D5828" t="inlineStr">
        <is>
          <t>Miss Glam Damar</t>
        </is>
      </c>
      <c r="E5828" t="n">
        <v>23</v>
      </c>
      <c r="F5828" t="n">
        <v>0.04550000000000001</v>
      </c>
      <c r="G5828" t="n">
        <v>0.91</v>
      </c>
      <c r="H5828" t="n">
        <v>4</v>
      </c>
      <c r="I5828" t="n">
        <v>21</v>
      </c>
      <c r="J5828" t="n">
        <v>3</v>
      </c>
      <c r="K5828" t="n">
        <v>0</v>
      </c>
      <c r="L5828" t="n">
        <v>171732</v>
      </c>
      <c r="M5828" t="n">
        <v>215000</v>
      </c>
      <c r="N5828" t="n">
        <v>91</v>
      </c>
      <c r="O5828" t="n">
        <v>0.91</v>
      </c>
      <c r="P5828" t="n">
        <v>1</v>
      </c>
      <c r="Q5828" t="n">
        <v>0.1</v>
      </c>
      <c r="R5828" t="n">
        <v>2</v>
      </c>
      <c r="S5828" t="n">
        <v>9782.500000000002</v>
      </c>
      <c r="T5828" t="n">
        <v>19</v>
      </c>
      <c r="U5828" t="n">
        <v>20</v>
      </c>
      <c r="V5828" t="n">
        <v>30</v>
      </c>
      <c r="W5828" t="n">
        <v>2</v>
      </c>
      <c r="X5828" t="n">
        <v>505.4945054945054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9115</v>
      </c>
      <c r="AG5828" t="n">
        <v>1</v>
      </c>
      <c r="AH5828" t="inlineStr">
        <is>
          <t>PT. BERSAMA DISTRIVERSA INDONESIA (DC CIPUTAT)</t>
        </is>
      </c>
      <c r="AI5828" t="n">
        <v>26</v>
      </c>
      <c r="AJ5828" t="inlineStr">
        <is>
          <t>VICTORIA'S SECRET</t>
        </is>
      </c>
      <c r="AK5828" t="n">
        <v>21</v>
      </c>
      <c r="AL5828" t="inlineStr">
        <is>
          <t>Miss Glam Damar</t>
        </is>
      </c>
      <c r="AM5828" t="n">
        <v>1</v>
      </c>
      <c r="AN5828" t="n">
        <v>500000</v>
      </c>
      <c r="AO5828" t="n">
        <v>0</v>
      </c>
      <c r="AP5828" t="inlineStr"/>
      <c r="AQ5828" t="inlineStr"/>
    </row>
    <row r="5829">
      <c r="A5829" t="inlineStr">
        <is>
          <t>VICTORIA'S SECRET</t>
        </is>
      </c>
      <c r="B5829" s="2">
        <f>"30400144745"</f>
        <v/>
      </c>
      <c r="C5829" t="inlineStr">
        <is>
          <t>VICTORIAS SECRET Fragrance Mist Love Spell Shimmer 250ml</t>
        </is>
      </c>
      <c r="D5829" t="inlineStr">
        <is>
          <t>Miss Glam Damar</t>
        </is>
      </c>
      <c r="E5829" t="n">
        <v>5</v>
      </c>
      <c r="F5829" t="n">
        <v>0.02</v>
      </c>
      <c r="G5829" t="n">
        <v>1</v>
      </c>
      <c r="H5829" t="n">
        <v>4</v>
      </c>
      <c r="I5829" t="n">
        <v>21</v>
      </c>
      <c r="J5829" t="n">
        <v>3</v>
      </c>
      <c r="K5829" t="n">
        <v>0</v>
      </c>
      <c r="L5829" t="n">
        <v>169000</v>
      </c>
      <c r="M5829" t="n">
        <v>209000</v>
      </c>
      <c r="N5829" t="n">
        <v>91</v>
      </c>
      <c r="O5829" t="n">
        <v>0.91</v>
      </c>
      <c r="P5829" t="n">
        <v>0</v>
      </c>
      <c r="Q5829" t="n">
        <v>0.02</v>
      </c>
      <c r="R5829" t="n">
        <v>1</v>
      </c>
      <c r="S5829" t="n">
        <v>4180</v>
      </c>
      <c r="T5829" t="n">
        <v>21</v>
      </c>
      <c r="U5829" t="n">
        <v>22</v>
      </c>
      <c r="V5829" t="n">
        <v>30</v>
      </c>
      <c r="W5829" t="n">
        <v>1</v>
      </c>
      <c r="X5829" t="n">
        <v>250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9115</v>
      </c>
      <c r="AG5829" t="n">
        <v>1</v>
      </c>
      <c r="AH5829" t="inlineStr">
        <is>
          <t>PT. BERSAMA DISTRIVERSA INDONESIA (DC CIPUTAT)</t>
        </is>
      </c>
      <c r="AI5829" t="n">
        <v>26</v>
      </c>
      <c r="AJ5829" t="inlineStr">
        <is>
          <t>VICTORIA'S SECRET</t>
        </is>
      </c>
      <c r="AK5829" t="n">
        <v>21</v>
      </c>
      <c r="AL5829" t="inlineStr">
        <is>
          <t>Miss Glam Damar</t>
        </is>
      </c>
      <c r="AM5829" t="n">
        <v>1</v>
      </c>
      <c r="AN5829" t="n">
        <v>500000</v>
      </c>
      <c r="AO5829" t="n">
        <v>0</v>
      </c>
      <c r="AP5829" t="inlineStr"/>
      <c r="AQ5829" t="inlineStr"/>
    </row>
    <row r="5830">
      <c r="A5830" t="inlineStr">
        <is>
          <t>VICTORIA'S SECRET</t>
        </is>
      </c>
      <c r="B5830" s="2">
        <f>"667554502963"</f>
        <v/>
      </c>
      <c r="C5830" t="inlineStr">
        <is>
          <t>VICTORIAS SECRET Fragrance Mist Velvet Petals Shimmer 250ml</t>
        </is>
      </c>
      <c r="D5830" t="inlineStr">
        <is>
          <t>Miss Glam Damar</t>
        </is>
      </c>
      <c r="E5830" t="n">
        <v>0</v>
      </c>
      <c r="F5830" t="n">
        <v>0.03</v>
      </c>
      <c r="G5830" t="n">
        <v>1</v>
      </c>
      <c r="H5830" t="n">
        <v>4</v>
      </c>
      <c r="I5830" t="n">
        <v>21</v>
      </c>
      <c r="J5830" t="n">
        <v>3</v>
      </c>
      <c r="K5830" t="n">
        <v>0</v>
      </c>
      <c r="L5830" t="n">
        <v>169000</v>
      </c>
      <c r="M5830" t="n">
        <v>220000</v>
      </c>
      <c r="N5830" t="n">
        <v>91</v>
      </c>
      <c r="O5830" t="n">
        <v>0.91</v>
      </c>
      <c r="P5830" t="n">
        <v>0</v>
      </c>
      <c r="Q5830" t="n">
        <v>0.03</v>
      </c>
      <c r="R5830" t="n">
        <v>1</v>
      </c>
      <c r="S5830" t="n">
        <v>6600</v>
      </c>
      <c r="T5830" t="n">
        <v>21</v>
      </c>
      <c r="U5830" t="n">
        <v>22</v>
      </c>
      <c r="V5830" t="n">
        <v>30</v>
      </c>
      <c r="W5830" t="n">
        <v>1</v>
      </c>
      <c r="X5830" t="n">
        <v>0</v>
      </c>
      <c r="Y5830" t="n">
        <v>1</v>
      </c>
      <c r="Z5830" t="n">
        <v>1</v>
      </c>
      <c r="AA5830" t="n">
        <v>1</v>
      </c>
      <c r="AB5830" t="n">
        <v>0</v>
      </c>
      <c r="AC5830" t="n">
        <v>0</v>
      </c>
      <c r="AD5830" t="n">
        <v>169000</v>
      </c>
      <c r="AE5830" t="n">
        <v>0</v>
      </c>
      <c r="AF5830" t="n">
        <v>9115</v>
      </c>
      <c r="AG5830" t="n">
        <v>1</v>
      </c>
      <c r="AH5830" t="inlineStr">
        <is>
          <t>PT. BERSAMA DISTRIVERSA INDONESIA (DC CIPUTAT)</t>
        </is>
      </c>
      <c r="AI5830" t="n">
        <v>26</v>
      </c>
      <c r="AJ5830" t="inlineStr">
        <is>
          <t>VICTORIA'S SECRET</t>
        </is>
      </c>
      <c r="AK5830" t="n">
        <v>21</v>
      </c>
      <c r="AL5830" t="inlineStr">
        <is>
          <t>Miss Glam Damar</t>
        </is>
      </c>
      <c r="AM5830" t="n">
        <v>1</v>
      </c>
      <c r="AN5830" t="n">
        <v>500000</v>
      </c>
      <c r="AO5830" t="n">
        <v>0</v>
      </c>
      <c r="AP5830" t="inlineStr"/>
      <c r="AQ5830" t="inlineStr"/>
    </row>
    <row r="5831">
      <c r="A5831" t="inlineStr">
        <is>
          <t>VIENNA BEAUTY</t>
        </is>
      </c>
      <c r="B5831" s="2">
        <f>"8994942030503"</f>
        <v/>
      </c>
      <c r="C5831" t="inlineStr">
        <is>
          <t>VIENNA Acne Patch Tea Tree Oil Salicylid Acid Niacinamide 6 Patches</t>
        </is>
      </c>
      <c r="D5831" t="inlineStr">
        <is>
          <t>Miss Glam Damar</t>
        </is>
      </c>
      <c r="E5831" t="n">
        <v>63</v>
      </c>
      <c r="F5831" t="n">
        <v>0.5733</v>
      </c>
      <c r="G5831" t="n">
        <v>3.64</v>
      </c>
      <c r="H5831" t="n">
        <v>7</v>
      </c>
      <c r="I5831" t="n">
        <v>14</v>
      </c>
      <c r="J5831" t="n">
        <v>3</v>
      </c>
      <c r="K5831" t="n">
        <v>0</v>
      </c>
      <c r="L5831" t="n">
        <v>8991</v>
      </c>
      <c r="M5831" t="n">
        <v>12000</v>
      </c>
      <c r="N5831" t="n">
        <v>91</v>
      </c>
      <c r="O5831" t="n">
        <v>0.91</v>
      </c>
      <c r="P5831" t="n">
        <v>1</v>
      </c>
      <c r="Q5831" t="n">
        <v>0.76</v>
      </c>
      <c r="R5831" t="n">
        <v>4</v>
      </c>
      <c r="S5831" t="n">
        <v>6879.6</v>
      </c>
      <c r="T5831" t="n">
        <v>47</v>
      </c>
      <c r="U5831" t="n">
        <v>52</v>
      </c>
      <c r="V5831" t="n">
        <v>30</v>
      </c>
      <c r="W5831" t="n">
        <v>18</v>
      </c>
      <c r="X5831" t="n">
        <v>109.8901098901099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9620</v>
      </c>
      <c r="AG5831" t="n">
        <v>2037</v>
      </c>
      <c r="AH5831" t="inlineStr">
        <is>
          <t>PT. CAKRA DAYA UNGGUL - PPN (PDG)</t>
        </is>
      </c>
      <c r="AI5831" t="n">
        <v>162</v>
      </c>
      <c r="AJ5831" t="inlineStr">
        <is>
          <t>VIENNA BEAUTY</t>
        </is>
      </c>
      <c r="AK5831" t="n">
        <v>21</v>
      </c>
      <c r="AL5831" t="inlineStr">
        <is>
          <t>Miss Glam Damar</t>
        </is>
      </c>
      <c r="AM5831" t="n">
        <v>3</v>
      </c>
      <c r="AN5831" t="n">
        <v>500000</v>
      </c>
      <c r="AO5831" t="n">
        <v>0</v>
      </c>
      <c r="AP5831" t="inlineStr"/>
      <c r="AQ5831" t="inlineStr"/>
    </row>
    <row r="5832">
      <c r="A5832" t="inlineStr">
        <is>
          <t>VIENNA BEAUTY</t>
        </is>
      </c>
      <c r="B5832" s="2">
        <f>"8994942015456"</f>
        <v/>
      </c>
      <c r="C5832" t="inlineStr">
        <is>
          <t>VIENNA BEAUTY Black Head Charcoal 30ml</t>
        </is>
      </c>
      <c r="D5832" t="inlineStr">
        <is>
          <t>Miss Glam Damar</t>
        </is>
      </c>
      <c r="E5832" t="n">
        <v>24</v>
      </c>
      <c r="F5832" t="n">
        <v>0.09100000000000001</v>
      </c>
      <c r="G5832" t="n">
        <v>1.82</v>
      </c>
      <c r="H5832" t="n">
        <v>7</v>
      </c>
      <c r="I5832" t="n">
        <v>14</v>
      </c>
      <c r="J5832" t="n">
        <v>3</v>
      </c>
      <c r="K5832" t="n">
        <v>0</v>
      </c>
      <c r="L5832" t="n">
        <v>18981</v>
      </c>
      <c r="M5832" t="n">
        <v>26200</v>
      </c>
      <c r="N5832" t="n">
        <v>91</v>
      </c>
      <c r="O5832" t="n">
        <v>0.91</v>
      </c>
      <c r="P5832" t="n">
        <v>1</v>
      </c>
      <c r="Q5832" t="n">
        <v>0.31</v>
      </c>
      <c r="R5832" t="n">
        <v>3</v>
      </c>
      <c r="S5832" t="n">
        <v>2384.2</v>
      </c>
      <c r="T5832" t="n">
        <v>25</v>
      </c>
      <c r="U5832" t="n">
        <v>26</v>
      </c>
      <c r="V5832" t="n">
        <v>30</v>
      </c>
      <c r="W5832" t="n">
        <v>3</v>
      </c>
      <c r="X5832" t="n">
        <v>263.7362637362637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9620</v>
      </c>
      <c r="AG5832" t="n">
        <v>2037</v>
      </c>
      <c r="AH5832" t="inlineStr">
        <is>
          <t>PT. CAKRA DAYA UNGGUL - PPN (PDG)</t>
        </is>
      </c>
      <c r="AI5832" t="n">
        <v>162</v>
      </c>
      <c r="AJ5832" t="inlineStr">
        <is>
          <t>VIENNA BEAUTY</t>
        </is>
      </c>
      <c r="AK5832" t="n">
        <v>21</v>
      </c>
      <c r="AL5832" t="inlineStr">
        <is>
          <t>Miss Glam Damar</t>
        </is>
      </c>
      <c r="AM5832" t="n">
        <v>3</v>
      </c>
      <c r="AN5832" t="n">
        <v>500000</v>
      </c>
      <c r="AO5832" t="n">
        <v>0</v>
      </c>
      <c r="AP5832" t="inlineStr"/>
      <c r="AQ5832" t="inlineStr"/>
    </row>
    <row r="5833">
      <c r="A5833" t="inlineStr">
        <is>
          <t>VIENNA BEAUTY</t>
        </is>
      </c>
      <c r="B5833" s="2">
        <f>"8994942006652"</f>
        <v/>
      </c>
      <c r="C5833" t="inlineStr">
        <is>
          <t>VIENNA BEAUTY Blackhead 3 Steps Nose Pack</t>
        </is>
      </c>
      <c r="D5833" t="inlineStr">
        <is>
          <t>Miss Glam Damar</t>
        </is>
      </c>
      <c r="E5833" t="n">
        <v>0</v>
      </c>
      <c r="F5833" t="n">
        <v>0.2002</v>
      </c>
      <c r="G5833" t="n">
        <v>1.82</v>
      </c>
      <c r="H5833" t="n">
        <v>7</v>
      </c>
      <c r="I5833" t="n">
        <v>14</v>
      </c>
      <c r="J5833" t="n">
        <v>3</v>
      </c>
      <c r="K5833" t="n">
        <v>0</v>
      </c>
      <c r="L5833" t="n">
        <v>18981</v>
      </c>
      <c r="M5833" t="n">
        <v>26500</v>
      </c>
      <c r="N5833" t="n">
        <v>91</v>
      </c>
      <c r="O5833" t="n">
        <v>0.91</v>
      </c>
      <c r="P5833" t="n">
        <v>1</v>
      </c>
      <c r="Q5833" t="n">
        <v>0.41</v>
      </c>
      <c r="R5833" t="n">
        <v>3</v>
      </c>
      <c r="S5833" t="n">
        <v>5305.3</v>
      </c>
      <c r="T5833" t="n">
        <v>25</v>
      </c>
      <c r="U5833" t="n">
        <v>27</v>
      </c>
      <c r="V5833" t="n">
        <v>30</v>
      </c>
      <c r="W5833" t="n">
        <v>7</v>
      </c>
      <c r="X5833" t="n">
        <v>0</v>
      </c>
      <c r="Y5833" t="n">
        <v>1</v>
      </c>
      <c r="Z5833" t="n">
        <v>7</v>
      </c>
      <c r="AA5833" t="n">
        <v>3</v>
      </c>
      <c r="AB5833" t="n">
        <v>4</v>
      </c>
      <c r="AC5833" t="n">
        <v>4</v>
      </c>
      <c r="AD5833" t="n">
        <v>56943</v>
      </c>
      <c r="AE5833" t="n">
        <v>75924</v>
      </c>
      <c r="AF5833" t="n">
        <v>9620</v>
      </c>
      <c r="AG5833" t="n">
        <v>2037</v>
      </c>
      <c r="AH5833" t="inlineStr">
        <is>
          <t>PT. CAKRA DAYA UNGGUL - PPN (PDG)</t>
        </is>
      </c>
      <c r="AI5833" t="n">
        <v>162</v>
      </c>
      <c r="AJ5833" t="inlineStr">
        <is>
          <t>VIENNA BEAUTY</t>
        </is>
      </c>
      <c r="AK5833" t="n">
        <v>21</v>
      </c>
      <c r="AL5833" t="inlineStr">
        <is>
          <t>Miss Glam Damar</t>
        </is>
      </c>
      <c r="AM5833" t="n">
        <v>3</v>
      </c>
      <c r="AN5833" t="n">
        <v>500000</v>
      </c>
      <c r="AO5833" t="n">
        <v>0</v>
      </c>
      <c r="AP5833" t="inlineStr"/>
      <c r="AQ5833" t="inlineStr"/>
    </row>
    <row r="5834">
      <c r="A5834" t="inlineStr">
        <is>
          <t>VIENNA BEAUTY</t>
        </is>
      </c>
      <c r="B5834" s="2">
        <f>"8994942016385"</f>
        <v/>
      </c>
      <c r="C5834" t="inlineStr">
        <is>
          <t>VIENNA BEAUTY Blackhead Nosepack Lemon 30ml</t>
        </is>
      </c>
      <c r="D5834" t="inlineStr">
        <is>
          <t>Miss Glam Damar</t>
        </is>
      </c>
      <c r="E5834" t="n">
        <v>5</v>
      </c>
      <c r="F5834" t="n">
        <v>0.1365</v>
      </c>
      <c r="G5834" t="n">
        <v>1.82</v>
      </c>
      <c r="H5834" t="n">
        <v>7</v>
      </c>
      <c r="I5834" t="n">
        <v>14</v>
      </c>
      <c r="J5834" t="n">
        <v>3</v>
      </c>
      <c r="K5834" t="n">
        <v>0</v>
      </c>
      <c r="L5834" t="n">
        <v>18981</v>
      </c>
      <c r="M5834" t="n">
        <v>26200</v>
      </c>
      <c r="N5834" t="n">
        <v>91</v>
      </c>
      <c r="O5834" t="n">
        <v>0.91</v>
      </c>
      <c r="P5834" t="n">
        <v>1</v>
      </c>
      <c r="Q5834" t="n">
        <v>0.07000000000000001</v>
      </c>
      <c r="R5834" t="n">
        <v>1</v>
      </c>
      <c r="S5834" t="n">
        <v>3576.3</v>
      </c>
      <c r="T5834" t="n">
        <v>25</v>
      </c>
      <c r="U5834" t="n">
        <v>26</v>
      </c>
      <c r="V5834" t="n">
        <v>30</v>
      </c>
      <c r="W5834" t="n">
        <v>5</v>
      </c>
      <c r="X5834" t="n">
        <v>36.63003663003663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9620</v>
      </c>
      <c r="AG5834" t="n">
        <v>2037</v>
      </c>
      <c r="AH5834" t="inlineStr">
        <is>
          <t>PT. CAKRA DAYA UNGGUL - PPN (PDG)</t>
        </is>
      </c>
      <c r="AI5834" t="n">
        <v>162</v>
      </c>
      <c r="AJ5834" t="inlineStr">
        <is>
          <t>VIENNA BEAUTY</t>
        </is>
      </c>
      <c r="AK5834" t="n">
        <v>21</v>
      </c>
      <c r="AL5834" t="inlineStr">
        <is>
          <t>Miss Glam Damar</t>
        </is>
      </c>
      <c r="AM5834" t="n">
        <v>3</v>
      </c>
      <c r="AN5834" t="n">
        <v>500000</v>
      </c>
      <c r="AO5834" t="n">
        <v>0</v>
      </c>
      <c r="AP5834" t="inlineStr"/>
      <c r="AQ5834" t="inlineStr"/>
    </row>
    <row r="5835">
      <c r="A5835" t="inlineStr">
        <is>
          <t>VIENNA BEAUTY</t>
        </is>
      </c>
      <c r="B5835" s="2">
        <f>"8994942016392"</f>
        <v/>
      </c>
      <c r="C5835" t="inlineStr">
        <is>
          <t>VIENNA BEAUTY Blackhead Nosepack Tea Tree Oil 30ml</t>
        </is>
      </c>
      <c r="D5835" t="inlineStr">
        <is>
          <t>Miss Glam Damar</t>
        </is>
      </c>
      <c r="E5835" t="n">
        <v>9</v>
      </c>
      <c r="F5835" t="n">
        <v>0.2184</v>
      </c>
      <c r="G5835" t="n">
        <v>2.73</v>
      </c>
      <c r="H5835" t="n">
        <v>7</v>
      </c>
      <c r="I5835" t="n">
        <v>14</v>
      </c>
      <c r="J5835" t="n">
        <v>3</v>
      </c>
      <c r="K5835" t="n">
        <v>0</v>
      </c>
      <c r="L5835" t="n">
        <v>18981</v>
      </c>
      <c r="M5835" t="n">
        <v>26200</v>
      </c>
      <c r="N5835" t="n">
        <v>91</v>
      </c>
      <c r="O5835" t="n">
        <v>0.91</v>
      </c>
      <c r="P5835" t="n">
        <v>1</v>
      </c>
      <c r="Q5835" t="n">
        <v>0.08</v>
      </c>
      <c r="R5835" t="n">
        <v>1</v>
      </c>
      <c r="S5835" t="n">
        <v>5722.08</v>
      </c>
      <c r="T5835" t="n">
        <v>37</v>
      </c>
      <c r="U5835" t="n">
        <v>39</v>
      </c>
      <c r="V5835" t="n">
        <v>30</v>
      </c>
      <c r="W5835" t="n">
        <v>7</v>
      </c>
      <c r="X5835" t="n">
        <v>41.2087912087912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9620</v>
      </c>
      <c r="AG5835" t="n">
        <v>2037</v>
      </c>
      <c r="AH5835" t="inlineStr">
        <is>
          <t>PT. CAKRA DAYA UNGGUL - PPN (PDG)</t>
        </is>
      </c>
      <c r="AI5835" t="n">
        <v>162</v>
      </c>
      <c r="AJ5835" t="inlineStr">
        <is>
          <t>VIENNA BEAUTY</t>
        </is>
      </c>
      <c r="AK5835" t="n">
        <v>21</v>
      </c>
      <c r="AL5835" t="inlineStr">
        <is>
          <t>Miss Glam Damar</t>
        </is>
      </c>
      <c r="AM5835" t="n">
        <v>3</v>
      </c>
      <c r="AN5835" t="n">
        <v>500000</v>
      </c>
      <c r="AO5835" t="n">
        <v>0</v>
      </c>
      <c r="AP5835" t="inlineStr"/>
      <c r="AQ5835" t="inlineStr"/>
    </row>
    <row r="5836">
      <c r="A5836" t="inlineStr">
        <is>
          <t>VIENNA BEAUTY</t>
        </is>
      </c>
      <c r="B5836" s="2">
        <f>"8994942015913"</f>
        <v/>
      </c>
      <c r="C5836" t="inlineStr">
        <is>
          <t>VIENNA BEAUTY Blackhead Tea Tree Oil Nose Pack</t>
        </is>
      </c>
      <c r="D5836" t="inlineStr">
        <is>
          <t>Miss Glam Damar</t>
        </is>
      </c>
      <c r="E5836" t="n">
        <v>23</v>
      </c>
      <c r="F5836" t="n">
        <v>0.7371000000000001</v>
      </c>
      <c r="G5836" t="n">
        <v>5.46</v>
      </c>
      <c r="H5836" t="n">
        <v>7</v>
      </c>
      <c r="I5836" t="n">
        <v>14</v>
      </c>
      <c r="J5836" t="n">
        <v>3</v>
      </c>
      <c r="K5836" t="n">
        <v>0</v>
      </c>
      <c r="L5836" t="n">
        <v>7493</v>
      </c>
      <c r="M5836" t="n">
        <v>10500</v>
      </c>
      <c r="N5836" t="n">
        <v>91</v>
      </c>
      <c r="O5836" t="n">
        <v>0.91</v>
      </c>
      <c r="P5836" t="n">
        <v>1</v>
      </c>
      <c r="Q5836" t="n">
        <v>0.12</v>
      </c>
      <c r="R5836" t="n">
        <v>2</v>
      </c>
      <c r="S5836" t="n">
        <v>7739.550000000001</v>
      </c>
      <c r="T5836" t="n">
        <v>72</v>
      </c>
      <c r="U5836" t="n">
        <v>78</v>
      </c>
      <c r="V5836" t="n">
        <v>30</v>
      </c>
      <c r="W5836" t="n">
        <v>23</v>
      </c>
      <c r="X5836" t="n">
        <v>31.20336453669787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9620</v>
      </c>
      <c r="AG5836" t="n">
        <v>2037</v>
      </c>
      <c r="AH5836" t="inlineStr">
        <is>
          <t>PT. CAKRA DAYA UNGGUL - PPN (PDG)</t>
        </is>
      </c>
      <c r="AI5836" t="n">
        <v>162</v>
      </c>
      <c r="AJ5836" t="inlineStr">
        <is>
          <t>VIENNA BEAUTY</t>
        </is>
      </c>
      <c r="AK5836" t="n">
        <v>21</v>
      </c>
      <c r="AL5836" t="inlineStr">
        <is>
          <t>Miss Glam Damar</t>
        </is>
      </c>
      <c r="AM5836" t="n">
        <v>3</v>
      </c>
      <c r="AN5836" t="n">
        <v>500000</v>
      </c>
      <c r="AO5836" t="n">
        <v>0</v>
      </c>
      <c r="AP5836" t="inlineStr"/>
      <c r="AQ5836" t="inlineStr"/>
    </row>
    <row r="5837">
      <c r="A5837" t="inlineStr">
        <is>
          <t>VIENNA BEAUTY</t>
        </is>
      </c>
      <c r="B5837" s="2">
        <f>"8994942002395"</f>
        <v/>
      </c>
      <c r="C5837" t="inlineStr">
        <is>
          <t>VIENNA BEAUTY Blue Horse Shampoo Hair Fall Controll 350ml</t>
        </is>
      </c>
      <c r="D5837" t="inlineStr">
        <is>
          <t>Miss Glam Damar</t>
        </is>
      </c>
      <c r="E5837" t="n">
        <v>15</v>
      </c>
      <c r="F5837" t="n">
        <v>0.0546</v>
      </c>
      <c r="G5837" t="n">
        <v>0.91</v>
      </c>
      <c r="H5837" t="n">
        <v>7</v>
      </c>
      <c r="I5837" t="n">
        <v>14</v>
      </c>
      <c r="J5837" t="n">
        <v>3</v>
      </c>
      <c r="K5837" t="n">
        <v>0</v>
      </c>
      <c r="L5837" t="n">
        <v>39960</v>
      </c>
      <c r="M5837" t="n">
        <v>53500</v>
      </c>
      <c r="N5837" t="n">
        <v>91</v>
      </c>
      <c r="O5837" t="n">
        <v>0.91</v>
      </c>
      <c r="P5837" t="n">
        <v>1</v>
      </c>
      <c r="Q5837" t="n">
        <v>0.22</v>
      </c>
      <c r="R5837" t="n">
        <v>2</v>
      </c>
      <c r="S5837" t="n">
        <v>2921.1</v>
      </c>
      <c r="T5837" t="n">
        <v>13</v>
      </c>
      <c r="U5837" t="n">
        <v>14</v>
      </c>
      <c r="V5837" t="n">
        <v>30</v>
      </c>
      <c r="W5837" t="n">
        <v>2</v>
      </c>
      <c r="X5837" t="n">
        <v>274.7252747252747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9620</v>
      </c>
      <c r="AG5837" t="n">
        <v>2037</v>
      </c>
      <c r="AH5837" t="inlineStr">
        <is>
          <t>PT. CAKRA DAYA UNGGUL - PPN (PDG)</t>
        </is>
      </c>
      <c r="AI5837" t="n">
        <v>162</v>
      </c>
      <c r="AJ5837" t="inlineStr">
        <is>
          <t>VIENNA BEAUTY</t>
        </is>
      </c>
      <c r="AK5837" t="n">
        <v>21</v>
      </c>
      <c r="AL5837" t="inlineStr">
        <is>
          <t>Miss Glam Damar</t>
        </is>
      </c>
      <c r="AM5837" t="n">
        <v>3</v>
      </c>
      <c r="AN5837" t="n">
        <v>500000</v>
      </c>
      <c r="AO5837" t="n">
        <v>0</v>
      </c>
      <c r="AP5837" t="inlineStr"/>
      <c r="AQ5837" t="inlineStr"/>
    </row>
    <row r="5838">
      <c r="A5838" t="inlineStr">
        <is>
          <t>VIENNA BEAUTY</t>
        </is>
      </c>
      <c r="B5838" s="2">
        <f>"8994942003132"</f>
        <v/>
      </c>
      <c r="C5838" t="inlineStr">
        <is>
          <t>VIENNA BEAUTY Blue Horse Shampoo Herbal Growth 350ml</t>
        </is>
      </c>
      <c r="D5838" t="inlineStr">
        <is>
          <t>Miss Glam Damar</t>
        </is>
      </c>
      <c r="E5838" t="n">
        <v>22</v>
      </c>
      <c r="F5838" t="n">
        <v>0.2457</v>
      </c>
      <c r="G5838" t="n">
        <v>1.82</v>
      </c>
      <c r="H5838" t="n">
        <v>7</v>
      </c>
      <c r="I5838" t="n">
        <v>14</v>
      </c>
      <c r="J5838" t="n">
        <v>3</v>
      </c>
      <c r="K5838" t="n">
        <v>0</v>
      </c>
      <c r="L5838" t="n">
        <v>43956</v>
      </c>
      <c r="M5838" t="n">
        <v>57500</v>
      </c>
      <c r="N5838" t="n">
        <v>91</v>
      </c>
      <c r="O5838" t="n">
        <v>0.91</v>
      </c>
      <c r="P5838" t="n">
        <v>1</v>
      </c>
      <c r="Q5838" t="n">
        <v>0.36</v>
      </c>
      <c r="R5838" t="n">
        <v>2</v>
      </c>
      <c r="S5838" t="n">
        <v>14127.75</v>
      </c>
      <c r="T5838" t="n">
        <v>24</v>
      </c>
      <c r="U5838" t="n">
        <v>26</v>
      </c>
      <c r="V5838" t="n">
        <v>30</v>
      </c>
      <c r="W5838" t="n">
        <v>8</v>
      </c>
      <c r="X5838" t="n">
        <v>89.54008954008953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9620</v>
      </c>
      <c r="AG5838" t="n">
        <v>2037</v>
      </c>
      <c r="AH5838" t="inlineStr">
        <is>
          <t>PT. CAKRA DAYA UNGGUL - PPN (PDG)</t>
        </is>
      </c>
      <c r="AI5838" t="n">
        <v>162</v>
      </c>
      <c r="AJ5838" t="inlineStr">
        <is>
          <t>VIENNA BEAUTY</t>
        </is>
      </c>
      <c r="AK5838" t="n">
        <v>21</v>
      </c>
      <c r="AL5838" t="inlineStr">
        <is>
          <t>Miss Glam Damar</t>
        </is>
      </c>
      <c r="AM5838" t="n">
        <v>3</v>
      </c>
      <c r="AN5838" t="n">
        <v>500000</v>
      </c>
      <c r="AO5838" t="n">
        <v>0</v>
      </c>
      <c r="AP5838" t="inlineStr"/>
      <c r="AQ5838" t="inlineStr"/>
    </row>
    <row r="5839">
      <c r="A5839" t="inlineStr">
        <is>
          <t>VIENNA BEAUTY</t>
        </is>
      </c>
      <c r="B5839" s="2">
        <f>"8994942002418"</f>
        <v/>
      </c>
      <c r="C5839" t="inlineStr">
        <is>
          <t>VIENNA BEAUTY Blue Horse Shampoo Nourish And Repair 350ml</t>
        </is>
      </c>
      <c r="D5839" t="inlineStr">
        <is>
          <t>Miss Glam Damar</t>
        </is>
      </c>
      <c r="E5839" t="n">
        <v>8</v>
      </c>
      <c r="F5839" t="n">
        <v>0.1547</v>
      </c>
      <c r="G5839" t="n">
        <v>1.82</v>
      </c>
      <c r="H5839" t="n">
        <v>7</v>
      </c>
      <c r="I5839" t="n">
        <v>14</v>
      </c>
      <c r="J5839" t="n">
        <v>3</v>
      </c>
      <c r="K5839" t="n">
        <v>0</v>
      </c>
      <c r="L5839" t="n">
        <v>39960</v>
      </c>
      <c r="M5839" t="n">
        <v>53500</v>
      </c>
      <c r="N5839" t="n">
        <v>91</v>
      </c>
      <c r="O5839" t="n">
        <v>0.91</v>
      </c>
      <c r="P5839" t="n">
        <v>1</v>
      </c>
      <c r="Q5839" t="n">
        <v>0.19</v>
      </c>
      <c r="R5839" t="n">
        <v>2</v>
      </c>
      <c r="S5839" t="n">
        <v>8276.450000000001</v>
      </c>
      <c r="T5839" t="n">
        <v>25</v>
      </c>
      <c r="U5839" t="n">
        <v>27</v>
      </c>
      <c r="V5839" t="n">
        <v>30</v>
      </c>
      <c r="W5839" t="n">
        <v>5</v>
      </c>
      <c r="X5839" t="n">
        <v>51.71299288946348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9620</v>
      </c>
      <c r="AG5839" t="n">
        <v>2037</v>
      </c>
      <c r="AH5839" t="inlineStr">
        <is>
          <t>PT. CAKRA DAYA UNGGUL - PPN (PDG)</t>
        </is>
      </c>
      <c r="AI5839" t="n">
        <v>162</v>
      </c>
      <c r="AJ5839" t="inlineStr">
        <is>
          <t>VIENNA BEAUTY</t>
        </is>
      </c>
      <c r="AK5839" t="n">
        <v>21</v>
      </c>
      <c r="AL5839" t="inlineStr">
        <is>
          <t>Miss Glam Damar</t>
        </is>
      </c>
      <c r="AM5839" t="n">
        <v>3</v>
      </c>
      <c r="AN5839" t="n">
        <v>500000</v>
      </c>
      <c r="AO5839" t="n">
        <v>0</v>
      </c>
      <c r="AP5839" t="inlineStr"/>
      <c r="AQ5839" t="inlineStr"/>
    </row>
    <row r="5840">
      <c r="A5840" t="inlineStr">
        <is>
          <t>VIENNA BEAUTY</t>
        </is>
      </c>
      <c r="B5840" s="2">
        <f>"8994942002388"</f>
        <v/>
      </c>
      <c r="C5840" t="inlineStr">
        <is>
          <t>VIENNA BEAUTY Blue Horse Shampoo Silky &amp; Shiny 350ml</t>
        </is>
      </c>
      <c r="D5840" t="inlineStr">
        <is>
          <t>Miss Glam Damar</t>
        </is>
      </c>
      <c r="E5840" t="n">
        <v>8</v>
      </c>
      <c r="F5840" t="n">
        <v>0.06370000000000001</v>
      </c>
      <c r="G5840" t="n">
        <v>0.91</v>
      </c>
      <c r="H5840" t="n">
        <v>7</v>
      </c>
      <c r="I5840" t="n">
        <v>14</v>
      </c>
      <c r="J5840" t="n">
        <v>3</v>
      </c>
      <c r="K5840" t="n">
        <v>0</v>
      </c>
      <c r="L5840" t="n">
        <v>39960</v>
      </c>
      <c r="M5840" t="n">
        <v>53500</v>
      </c>
      <c r="N5840" t="n">
        <v>91</v>
      </c>
      <c r="O5840" t="n">
        <v>0.91</v>
      </c>
      <c r="P5840" t="n">
        <v>1</v>
      </c>
      <c r="Q5840" t="n">
        <v>0.07000000000000001</v>
      </c>
      <c r="R5840" t="n">
        <v>1</v>
      </c>
      <c r="S5840" t="n">
        <v>3407.95</v>
      </c>
      <c r="T5840" t="n">
        <v>13</v>
      </c>
      <c r="U5840" t="n">
        <v>14</v>
      </c>
      <c r="V5840" t="n">
        <v>30</v>
      </c>
      <c r="W5840" t="n">
        <v>2</v>
      </c>
      <c r="X5840" t="n">
        <v>125.5886970172684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9620</v>
      </c>
      <c r="AG5840" t="n">
        <v>2037</v>
      </c>
      <c r="AH5840" t="inlineStr">
        <is>
          <t>PT. CAKRA DAYA UNGGUL - PPN (PDG)</t>
        </is>
      </c>
      <c r="AI5840" t="n">
        <v>162</v>
      </c>
      <c r="AJ5840" t="inlineStr">
        <is>
          <t>VIENNA BEAUTY</t>
        </is>
      </c>
      <c r="AK5840" t="n">
        <v>21</v>
      </c>
      <c r="AL5840" t="inlineStr">
        <is>
          <t>Miss Glam Damar</t>
        </is>
      </c>
      <c r="AM5840" t="n">
        <v>3</v>
      </c>
      <c r="AN5840" t="n">
        <v>500000</v>
      </c>
      <c r="AO5840" t="n">
        <v>0</v>
      </c>
      <c r="AP5840" t="inlineStr"/>
      <c r="AQ5840" t="inlineStr"/>
    </row>
    <row r="5841">
      <c r="A5841" t="inlineStr">
        <is>
          <t>VIENNA BEAUTY</t>
        </is>
      </c>
      <c r="B5841" s="2">
        <f>"8994942016316"</f>
        <v/>
      </c>
      <c r="C5841" t="inlineStr">
        <is>
          <t>VIENNA BEAUTY Body Scrub Bengkoang Milk 250gr Pouch</t>
        </is>
      </c>
      <c r="D5841" t="inlineStr">
        <is>
          <t>Miss Glam Damar</t>
        </is>
      </c>
      <c r="E5841" t="n">
        <v>5</v>
      </c>
      <c r="F5841" t="n">
        <v>0.2184</v>
      </c>
      <c r="G5841" t="n">
        <v>1.82</v>
      </c>
      <c r="H5841" t="n">
        <v>7</v>
      </c>
      <c r="I5841" t="n">
        <v>14</v>
      </c>
      <c r="J5841" t="n">
        <v>3</v>
      </c>
      <c r="K5841" t="n">
        <v>0</v>
      </c>
      <c r="L5841" t="n">
        <v>16983</v>
      </c>
      <c r="M5841" t="n">
        <v>22500</v>
      </c>
      <c r="N5841" t="n">
        <v>91</v>
      </c>
      <c r="O5841" t="n">
        <v>0.91</v>
      </c>
      <c r="P5841" t="n">
        <v>1</v>
      </c>
      <c r="Q5841" t="n">
        <v>0.08</v>
      </c>
      <c r="R5841" t="n">
        <v>2</v>
      </c>
      <c r="S5841" t="n">
        <v>4914</v>
      </c>
      <c r="T5841" t="n">
        <v>24</v>
      </c>
      <c r="U5841" t="n">
        <v>26</v>
      </c>
      <c r="V5841" t="n">
        <v>30</v>
      </c>
      <c r="W5841" t="n">
        <v>7</v>
      </c>
      <c r="X5841" t="n">
        <v>22.89377289377289</v>
      </c>
      <c r="Y5841" t="n">
        <v>1</v>
      </c>
      <c r="Z5841" t="n">
        <v>2</v>
      </c>
      <c r="AA5841" t="n">
        <v>0</v>
      </c>
      <c r="AB5841" t="n">
        <v>2</v>
      </c>
      <c r="AC5841" t="n">
        <v>3</v>
      </c>
      <c r="AD5841" t="n">
        <v>0</v>
      </c>
      <c r="AE5841" t="n">
        <v>50949</v>
      </c>
      <c r="AF5841" t="n">
        <v>9620</v>
      </c>
      <c r="AG5841" t="n">
        <v>2037</v>
      </c>
      <c r="AH5841" t="inlineStr">
        <is>
          <t>PT. CAKRA DAYA UNGGUL - PPN (PDG)</t>
        </is>
      </c>
      <c r="AI5841" t="n">
        <v>162</v>
      </c>
      <c r="AJ5841" t="inlineStr">
        <is>
          <t>VIENNA BEAUTY</t>
        </is>
      </c>
      <c r="AK5841" t="n">
        <v>21</v>
      </c>
      <c r="AL5841" t="inlineStr">
        <is>
          <t>Miss Glam Damar</t>
        </is>
      </c>
      <c r="AM5841" t="n">
        <v>3</v>
      </c>
      <c r="AN5841" t="n">
        <v>500000</v>
      </c>
      <c r="AO5841" t="n">
        <v>0</v>
      </c>
      <c r="AP5841" t="inlineStr"/>
      <c r="AQ5841" t="inlineStr"/>
    </row>
    <row r="5842">
      <c r="A5842" t="inlineStr">
        <is>
          <t>VIENNA BEAUTY</t>
        </is>
      </c>
      <c r="B5842" s="2">
        <f>"8995026300611"</f>
        <v/>
      </c>
      <c r="C5842" t="inlineStr">
        <is>
          <t>VIENNA BEAUTY Body Scrub Colostrum 250gr Jar</t>
        </is>
      </c>
      <c r="D5842" t="inlineStr">
        <is>
          <t>Miss Glam Damar</t>
        </is>
      </c>
      <c r="E5842" t="n">
        <v>6</v>
      </c>
      <c r="F5842" t="n">
        <v>0.0182</v>
      </c>
      <c r="G5842" t="n">
        <v>0.91</v>
      </c>
      <c r="H5842" t="n">
        <v>7</v>
      </c>
      <c r="I5842" t="n">
        <v>14</v>
      </c>
      <c r="J5842" t="n">
        <v>3</v>
      </c>
      <c r="K5842" t="n">
        <v>0</v>
      </c>
      <c r="L5842" t="n">
        <v>26474</v>
      </c>
      <c r="M5842" t="n">
        <v>36000</v>
      </c>
      <c r="N5842" t="n">
        <v>91</v>
      </c>
      <c r="O5842" t="n">
        <v>0.91</v>
      </c>
      <c r="P5842" t="n">
        <v>1</v>
      </c>
      <c r="Q5842" t="n">
        <v>0.02</v>
      </c>
      <c r="R5842" t="n">
        <v>1</v>
      </c>
      <c r="S5842" t="n">
        <v>655.2</v>
      </c>
      <c r="T5842" t="n">
        <v>13</v>
      </c>
      <c r="U5842" t="n">
        <v>14</v>
      </c>
      <c r="V5842" t="n">
        <v>30</v>
      </c>
      <c r="W5842" t="n">
        <v>1</v>
      </c>
      <c r="X5842" t="n">
        <v>329.6703296703296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9620</v>
      </c>
      <c r="AG5842" t="n">
        <v>2037</v>
      </c>
      <c r="AH5842" t="inlineStr">
        <is>
          <t>PT. CAKRA DAYA UNGGUL - PPN (PDG)</t>
        </is>
      </c>
      <c r="AI5842" t="n">
        <v>162</v>
      </c>
      <c r="AJ5842" t="inlineStr">
        <is>
          <t>VIENNA BEAUTY</t>
        </is>
      </c>
      <c r="AK5842" t="n">
        <v>21</v>
      </c>
      <c r="AL5842" t="inlineStr">
        <is>
          <t>Miss Glam Damar</t>
        </is>
      </c>
      <c r="AM5842" t="n">
        <v>3</v>
      </c>
      <c r="AN5842" t="n">
        <v>500000</v>
      </c>
      <c r="AO5842" t="n">
        <v>0</v>
      </c>
      <c r="AP5842" t="inlineStr"/>
      <c r="AQ5842" t="inlineStr"/>
    </row>
    <row r="5843">
      <c r="A5843" t="inlineStr">
        <is>
          <t>VIENNA BEAUTY</t>
        </is>
      </c>
      <c r="B5843" s="2">
        <f>"8995026300260"</f>
        <v/>
      </c>
      <c r="C5843" t="inlineStr">
        <is>
          <t>VIENNA BEAUTY Body Scrub Goat Milk 1Kg</t>
        </is>
      </c>
      <c r="D5843" t="inlineStr">
        <is>
          <t>Miss Glam Damar</t>
        </is>
      </c>
      <c r="E5843" t="n">
        <v>9</v>
      </c>
      <c r="F5843" t="n">
        <v>0.1</v>
      </c>
      <c r="G5843" t="n">
        <v>1</v>
      </c>
      <c r="H5843" t="n">
        <v>7</v>
      </c>
      <c r="I5843" t="n">
        <v>14</v>
      </c>
      <c r="J5843" t="n">
        <v>3</v>
      </c>
      <c r="K5843" t="n">
        <v>0</v>
      </c>
      <c r="L5843" t="n">
        <v>58941</v>
      </c>
      <c r="M5843" t="n">
        <v>82000</v>
      </c>
      <c r="N5843" t="n">
        <v>91</v>
      </c>
      <c r="O5843" t="n">
        <v>0.91</v>
      </c>
      <c r="P5843" t="n">
        <v>0</v>
      </c>
      <c r="Q5843" t="n">
        <v>0.1</v>
      </c>
      <c r="R5843" t="n">
        <v>1</v>
      </c>
      <c r="S5843" t="n">
        <v>8200</v>
      </c>
      <c r="T5843" t="n">
        <v>14</v>
      </c>
      <c r="U5843" t="n">
        <v>15</v>
      </c>
      <c r="V5843" t="n">
        <v>30</v>
      </c>
      <c r="W5843" t="n">
        <v>3</v>
      </c>
      <c r="X5843" t="n">
        <v>90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9620</v>
      </c>
      <c r="AG5843" t="n">
        <v>2037</v>
      </c>
      <c r="AH5843" t="inlineStr">
        <is>
          <t>PT. CAKRA DAYA UNGGUL - PPN (PDG)</t>
        </is>
      </c>
      <c r="AI5843" t="n">
        <v>162</v>
      </c>
      <c r="AJ5843" t="inlineStr">
        <is>
          <t>VIENNA BEAUTY</t>
        </is>
      </c>
      <c r="AK5843" t="n">
        <v>21</v>
      </c>
      <c r="AL5843" t="inlineStr">
        <is>
          <t>Miss Glam Damar</t>
        </is>
      </c>
      <c r="AM5843" t="n">
        <v>3</v>
      </c>
      <c r="AN5843" t="n">
        <v>500000</v>
      </c>
      <c r="AO5843" t="n">
        <v>0</v>
      </c>
      <c r="AP5843" t="inlineStr"/>
      <c r="AQ5843" t="inlineStr"/>
    </row>
    <row r="5844">
      <c r="A5844" t="inlineStr">
        <is>
          <t>VIENNA BEAUTY</t>
        </is>
      </c>
      <c r="B5844" s="2">
        <f>"8994942016293"</f>
        <v/>
      </c>
      <c r="C5844" t="inlineStr">
        <is>
          <t>VIENNA BEAUTY Body Scrub Goats Milk 250gr Pouch</t>
        </is>
      </c>
      <c r="D5844" t="inlineStr">
        <is>
          <t>Miss Glam Damar</t>
        </is>
      </c>
      <c r="E5844" t="n">
        <v>0</v>
      </c>
      <c r="F5844" t="n">
        <v>0.15</v>
      </c>
      <c r="G5844" t="n">
        <v>2</v>
      </c>
      <c r="H5844" t="n">
        <v>7</v>
      </c>
      <c r="I5844" t="n">
        <v>14</v>
      </c>
      <c r="J5844" t="n">
        <v>3</v>
      </c>
      <c r="K5844" t="n">
        <v>0</v>
      </c>
      <c r="L5844" t="n">
        <v>16983</v>
      </c>
      <c r="M5844" t="n">
        <v>24000</v>
      </c>
      <c r="N5844" t="n">
        <v>91</v>
      </c>
      <c r="O5844" t="n">
        <v>0.91</v>
      </c>
      <c r="P5844" t="n">
        <v>0</v>
      </c>
      <c r="Q5844" t="n">
        <v>0.15</v>
      </c>
      <c r="R5844" t="n">
        <v>2</v>
      </c>
      <c r="S5844" t="n">
        <v>3600</v>
      </c>
      <c r="T5844" t="n">
        <v>27</v>
      </c>
      <c r="U5844" t="n">
        <v>29</v>
      </c>
      <c r="V5844" t="n">
        <v>30</v>
      </c>
      <c r="W5844" t="n">
        <v>5</v>
      </c>
      <c r="X5844" t="n">
        <v>0</v>
      </c>
      <c r="Y5844" t="n">
        <v>1</v>
      </c>
      <c r="Z5844" t="n">
        <v>5</v>
      </c>
      <c r="AA5844" t="n">
        <v>3</v>
      </c>
      <c r="AB5844" t="n">
        <v>2</v>
      </c>
      <c r="AC5844" t="n">
        <v>3</v>
      </c>
      <c r="AD5844" t="n">
        <v>50949</v>
      </c>
      <c r="AE5844" t="n">
        <v>50949</v>
      </c>
      <c r="AF5844" t="n">
        <v>9620</v>
      </c>
      <c r="AG5844" t="n">
        <v>2037</v>
      </c>
      <c r="AH5844" t="inlineStr">
        <is>
          <t>PT. CAKRA DAYA UNGGUL - PPN (PDG)</t>
        </is>
      </c>
      <c r="AI5844" t="n">
        <v>162</v>
      </c>
      <c r="AJ5844" t="inlineStr">
        <is>
          <t>VIENNA BEAUTY</t>
        </is>
      </c>
      <c r="AK5844" t="n">
        <v>21</v>
      </c>
      <c r="AL5844" t="inlineStr">
        <is>
          <t>Miss Glam Damar</t>
        </is>
      </c>
      <c r="AM5844" t="n">
        <v>3</v>
      </c>
      <c r="AN5844" t="n">
        <v>500000</v>
      </c>
      <c r="AO5844" t="n">
        <v>0</v>
      </c>
      <c r="AP5844" t="inlineStr"/>
      <c r="AQ5844" t="inlineStr"/>
    </row>
    <row r="5845">
      <c r="A5845" t="inlineStr">
        <is>
          <t>VIENNA BEAUTY</t>
        </is>
      </c>
      <c r="B5845" s="2">
        <f>"8995026306071"</f>
        <v/>
      </c>
      <c r="C5845" t="inlineStr">
        <is>
          <t>VIENNA BEAUTY Body Scrub Refill Goat Milk 1kg</t>
        </is>
      </c>
      <c r="D5845" t="inlineStr">
        <is>
          <t>Miss Glam Damar</t>
        </is>
      </c>
      <c r="E5845" t="n">
        <v>2</v>
      </c>
      <c r="F5845" t="n">
        <v>0.0728</v>
      </c>
      <c r="G5845" t="n">
        <v>0.91</v>
      </c>
      <c r="H5845" t="n">
        <v>7</v>
      </c>
      <c r="I5845" t="n">
        <v>14</v>
      </c>
      <c r="J5845" t="n">
        <v>3</v>
      </c>
      <c r="K5845" t="n">
        <v>0</v>
      </c>
      <c r="L5845" t="n">
        <v>52947</v>
      </c>
      <c r="M5845" t="n">
        <v>80000</v>
      </c>
      <c r="N5845" t="n">
        <v>91</v>
      </c>
      <c r="O5845" t="n">
        <v>0.91</v>
      </c>
      <c r="P5845" t="n">
        <v>1</v>
      </c>
      <c r="Q5845" t="n">
        <v>0.03</v>
      </c>
      <c r="R5845" t="n">
        <v>1</v>
      </c>
      <c r="S5845" t="n">
        <v>5824</v>
      </c>
      <c r="T5845" t="n">
        <v>13</v>
      </c>
      <c r="U5845" t="n">
        <v>14</v>
      </c>
      <c r="V5845" t="n">
        <v>30</v>
      </c>
      <c r="W5845" t="n">
        <v>3</v>
      </c>
      <c r="X5845" t="n">
        <v>27.47252747252747</v>
      </c>
      <c r="Y5845" t="n">
        <v>1</v>
      </c>
      <c r="Z5845" t="n">
        <v>1</v>
      </c>
      <c r="AA5845" t="n">
        <v>0</v>
      </c>
      <c r="AB5845" t="n">
        <v>1</v>
      </c>
      <c r="AC5845" t="n">
        <v>3</v>
      </c>
      <c r="AD5845" t="n">
        <v>0</v>
      </c>
      <c r="AE5845" t="n">
        <v>158841</v>
      </c>
      <c r="AF5845" t="n">
        <v>9620</v>
      </c>
      <c r="AG5845" t="n">
        <v>2037</v>
      </c>
      <c r="AH5845" t="inlineStr">
        <is>
          <t>PT. CAKRA DAYA UNGGUL - PPN (PDG)</t>
        </is>
      </c>
      <c r="AI5845" t="n">
        <v>162</v>
      </c>
      <c r="AJ5845" t="inlineStr">
        <is>
          <t>VIENNA BEAUTY</t>
        </is>
      </c>
      <c r="AK5845" t="n">
        <v>21</v>
      </c>
      <c r="AL5845" t="inlineStr">
        <is>
          <t>Miss Glam Damar</t>
        </is>
      </c>
      <c r="AM5845" t="n">
        <v>3</v>
      </c>
      <c r="AN5845" t="n">
        <v>500000</v>
      </c>
      <c r="AO5845" t="n">
        <v>0</v>
      </c>
      <c r="AP5845" t="inlineStr"/>
      <c r="AQ5845" t="inlineStr"/>
    </row>
    <row r="5846">
      <c r="A5846" t="inlineStr">
        <is>
          <t>VIENNA BEAUTY</t>
        </is>
      </c>
      <c r="B5846" s="2">
        <f>"8994942030244"</f>
        <v/>
      </c>
      <c r="C5846" t="inlineStr">
        <is>
          <t>VIENNA BEAUTY Brightening Pore Strips Lemon Licorice 3 Stips</t>
        </is>
      </c>
      <c r="D5846" t="inlineStr">
        <is>
          <t>Miss Glam Damar</t>
        </is>
      </c>
      <c r="E5846" t="n">
        <v>15</v>
      </c>
      <c r="F5846" t="n">
        <v>1.2376</v>
      </c>
      <c r="G5846" t="n">
        <v>5.46</v>
      </c>
      <c r="H5846" t="n">
        <v>7</v>
      </c>
      <c r="I5846" t="n">
        <v>14</v>
      </c>
      <c r="J5846" t="n">
        <v>3</v>
      </c>
      <c r="K5846" t="n">
        <v>0</v>
      </c>
      <c r="L5846" t="n">
        <v>8991</v>
      </c>
      <c r="M5846" t="n">
        <v>11500</v>
      </c>
      <c r="N5846" t="n">
        <v>91</v>
      </c>
      <c r="O5846" t="n">
        <v>0.91</v>
      </c>
      <c r="P5846" t="n">
        <v>1</v>
      </c>
      <c r="Q5846" t="n">
        <v>0.49</v>
      </c>
      <c r="R5846" t="n">
        <v>5</v>
      </c>
      <c r="S5846" t="n">
        <v>14232.4</v>
      </c>
      <c r="T5846" t="n">
        <v>68</v>
      </c>
      <c r="U5846" t="n">
        <v>77</v>
      </c>
      <c r="V5846" t="n">
        <v>30</v>
      </c>
      <c r="W5846" t="n">
        <v>38</v>
      </c>
      <c r="X5846" t="n">
        <v>12.120232708468</v>
      </c>
      <c r="Y5846" t="n">
        <v>1</v>
      </c>
      <c r="Z5846" t="n">
        <v>23</v>
      </c>
      <c r="AA5846" t="n">
        <v>3</v>
      </c>
      <c r="AB5846" t="n">
        <v>20</v>
      </c>
      <c r="AC5846" t="n">
        <v>20</v>
      </c>
      <c r="AD5846" t="n">
        <v>26973</v>
      </c>
      <c r="AE5846" t="n">
        <v>179820</v>
      </c>
      <c r="AF5846" t="n">
        <v>9620</v>
      </c>
      <c r="AG5846" t="n">
        <v>2037</v>
      </c>
      <c r="AH5846" t="inlineStr">
        <is>
          <t>PT. CAKRA DAYA UNGGUL - PPN (PDG)</t>
        </is>
      </c>
      <c r="AI5846" t="n">
        <v>162</v>
      </c>
      <c r="AJ5846" t="inlineStr">
        <is>
          <t>VIENNA BEAUTY</t>
        </is>
      </c>
      <c r="AK5846" t="n">
        <v>21</v>
      </c>
      <c r="AL5846" t="inlineStr">
        <is>
          <t>Miss Glam Damar</t>
        </is>
      </c>
      <c r="AM5846" t="n">
        <v>3</v>
      </c>
      <c r="AN5846" t="n">
        <v>500000</v>
      </c>
      <c r="AO5846" t="n">
        <v>0</v>
      </c>
      <c r="AP5846" t="inlineStr"/>
      <c r="AQ5846" t="inlineStr"/>
    </row>
    <row r="5847">
      <c r="A5847" t="inlineStr">
        <is>
          <t>VIENNA BEAUTY</t>
        </is>
      </c>
      <c r="B5847" s="2">
        <f>"8994942009547"</f>
        <v/>
      </c>
      <c r="C5847" t="inlineStr">
        <is>
          <t>VIENNA BEAUTY Brightenning Underarm Cream</t>
        </is>
      </c>
      <c r="D5847" t="inlineStr">
        <is>
          <t>Miss Glam Damar</t>
        </is>
      </c>
      <c r="E5847" t="n">
        <v>5</v>
      </c>
      <c r="F5847" t="n">
        <v>0.06370000000000001</v>
      </c>
      <c r="G5847" t="n">
        <v>0.91</v>
      </c>
      <c r="H5847" t="n">
        <v>7</v>
      </c>
      <c r="I5847" t="n">
        <v>14</v>
      </c>
      <c r="J5847" t="n">
        <v>3</v>
      </c>
      <c r="K5847" t="n">
        <v>0</v>
      </c>
      <c r="L5847" t="n">
        <v>11988</v>
      </c>
      <c r="M5847" t="n">
        <v>16500</v>
      </c>
      <c r="N5847" t="n">
        <v>91</v>
      </c>
      <c r="O5847" t="n">
        <v>0.91</v>
      </c>
      <c r="P5847" t="n">
        <v>1</v>
      </c>
      <c r="Q5847" t="n">
        <v>0.02</v>
      </c>
      <c r="R5847" t="n">
        <v>1</v>
      </c>
      <c r="S5847" t="n">
        <v>1051.05</v>
      </c>
      <c r="T5847" t="n">
        <v>13</v>
      </c>
      <c r="U5847" t="n">
        <v>14</v>
      </c>
      <c r="V5847" t="n">
        <v>30</v>
      </c>
      <c r="W5847" t="n">
        <v>2</v>
      </c>
      <c r="X5847" t="n">
        <v>78.49293563579278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9620</v>
      </c>
      <c r="AG5847" t="n">
        <v>2037</v>
      </c>
      <c r="AH5847" t="inlineStr">
        <is>
          <t>PT. CAKRA DAYA UNGGUL - PPN (PDG)</t>
        </is>
      </c>
      <c r="AI5847" t="n">
        <v>162</v>
      </c>
      <c r="AJ5847" t="inlineStr">
        <is>
          <t>VIENNA BEAUTY</t>
        </is>
      </c>
      <c r="AK5847" t="n">
        <v>21</v>
      </c>
      <c r="AL5847" t="inlineStr">
        <is>
          <t>Miss Glam Damar</t>
        </is>
      </c>
      <c r="AM5847" t="n">
        <v>3</v>
      </c>
      <c r="AN5847" t="n">
        <v>500000</v>
      </c>
      <c r="AO5847" t="n">
        <v>0</v>
      </c>
      <c r="AP5847" t="inlineStr"/>
      <c r="AQ5847" t="inlineStr"/>
    </row>
    <row r="5848">
      <c r="A5848" t="inlineStr">
        <is>
          <t>VIENNA BEAUTY</t>
        </is>
      </c>
      <c r="B5848" s="2">
        <f>"8994942017931"</f>
        <v/>
      </c>
      <c r="C5848" t="inlineStr">
        <is>
          <t>VIENNA BEAUTY Cleansing Pore Strips Charcoal+Bamboo</t>
        </is>
      </c>
      <c r="D5848" t="inlineStr">
        <is>
          <t>Miss Glam Damar</t>
        </is>
      </c>
      <c r="E5848" t="n">
        <v>71</v>
      </c>
      <c r="F5848" t="n">
        <v>1.2194</v>
      </c>
      <c r="G5848" t="n">
        <v>10.01</v>
      </c>
      <c r="H5848" t="n">
        <v>7</v>
      </c>
      <c r="I5848" t="n">
        <v>14</v>
      </c>
      <c r="J5848" t="n">
        <v>3</v>
      </c>
      <c r="K5848" t="n">
        <v>0</v>
      </c>
      <c r="L5848" t="n">
        <v>8991</v>
      </c>
      <c r="M5848" t="n">
        <v>12000</v>
      </c>
      <c r="N5848" t="n">
        <v>91</v>
      </c>
      <c r="O5848" t="n">
        <v>0.91</v>
      </c>
      <c r="P5848" t="n">
        <v>1</v>
      </c>
      <c r="Q5848" t="n">
        <v>1.32</v>
      </c>
      <c r="R5848" t="n">
        <v>7</v>
      </c>
      <c r="S5848" t="n">
        <v>14632.8</v>
      </c>
      <c r="T5848" t="n">
        <v>132</v>
      </c>
      <c r="U5848" t="n">
        <v>141</v>
      </c>
      <c r="V5848" t="n">
        <v>30</v>
      </c>
      <c r="W5848" t="n">
        <v>37</v>
      </c>
      <c r="X5848" t="n">
        <v>58.22535673281942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9620</v>
      </c>
      <c r="AG5848" t="n">
        <v>2037</v>
      </c>
      <c r="AH5848" t="inlineStr">
        <is>
          <t>PT. CAKRA DAYA UNGGUL - PPN (PDG)</t>
        </is>
      </c>
      <c r="AI5848" t="n">
        <v>162</v>
      </c>
      <c r="AJ5848" t="inlineStr">
        <is>
          <t>VIENNA BEAUTY</t>
        </is>
      </c>
      <c r="AK5848" t="n">
        <v>21</v>
      </c>
      <c r="AL5848" t="inlineStr">
        <is>
          <t>Miss Glam Damar</t>
        </is>
      </c>
      <c r="AM5848" t="n">
        <v>3</v>
      </c>
      <c r="AN5848" t="n">
        <v>500000</v>
      </c>
      <c r="AO5848" t="n">
        <v>0</v>
      </c>
      <c r="AP5848" t="inlineStr"/>
      <c r="AQ5848" t="inlineStr"/>
    </row>
    <row r="5849">
      <c r="A5849" t="inlineStr">
        <is>
          <t>VIENNA BEAUTY</t>
        </is>
      </c>
      <c r="B5849" s="2">
        <f>"8994942026735"</f>
        <v/>
      </c>
      <c r="C5849" t="inlineStr">
        <is>
          <t>VIENNA BEAUTY Cleansing Pore Strips Tiger Grss Charcoal 3 Strips Sachet</t>
        </is>
      </c>
      <c r="D5849" t="inlineStr">
        <is>
          <t>Miss Glam Damar</t>
        </is>
      </c>
      <c r="E5849" t="n">
        <v>12</v>
      </c>
      <c r="F5849" t="n">
        <v>1.7108</v>
      </c>
      <c r="G5849" t="n">
        <v>4.55</v>
      </c>
      <c r="H5849" t="n">
        <v>7</v>
      </c>
      <c r="I5849" t="n">
        <v>14</v>
      </c>
      <c r="J5849" t="n">
        <v>3</v>
      </c>
      <c r="K5849" t="n">
        <v>0</v>
      </c>
      <c r="L5849" t="n">
        <v>8991</v>
      </c>
      <c r="M5849" t="n">
        <v>12000</v>
      </c>
      <c r="N5849" t="n">
        <v>91</v>
      </c>
      <c r="O5849" t="n">
        <v>0.91</v>
      </c>
      <c r="P5849" t="n">
        <v>1</v>
      </c>
      <c r="Q5849" t="n">
        <v>0.12</v>
      </c>
      <c r="R5849" t="n">
        <v>5</v>
      </c>
      <c r="S5849" t="n">
        <v>20529.6</v>
      </c>
      <c r="T5849" t="n">
        <v>52</v>
      </c>
      <c r="U5849" t="n">
        <v>64</v>
      </c>
      <c r="V5849" t="n">
        <v>30</v>
      </c>
      <c r="W5849" t="n">
        <v>52</v>
      </c>
      <c r="X5849" t="n">
        <v>7.01426233341127</v>
      </c>
      <c r="Y5849" t="n">
        <v>1</v>
      </c>
      <c r="Z5849" t="n">
        <v>40</v>
      </c>
      <c r="AA5849" t="n">
        <v>12</v>
      </c>
      <c r="AB5849" t="n">
        <v>28</v>
      </c>
      <c r="AC5849" t="n">
        <v>28</v>
      </c>
      <c r="AD5849" t="n">
        <v>107892</v>
      </c>
      <c r="AE5849" t="n">
        <v>251748</v>
      </c>
      <c r="AF5849" t="n">
        <v>9620</v>
      </c>
      <c r="AG5849" t="n">
        <v>2037</v>
      </c>
      <c r="AH5849" t="inlineStr">
        <is>
          <t>PT. CAKRA DAYA UNGGUL - PPN (PDG)</t>
        </is>
      </c>
      <c r="AI5849" t="n">
        <v>162</v>
      </c>
      <c r="AJ5849" t="inlineStr">
        <is>
          <t>VIENNA BEAUTY</t>
        </is>
      </c>
      <c r="AK5849" t="n">
        <v>21</v>
      </c>
      <c r="AL5849" t="inlineStr">
        <is>
          <t>Miss Glam Damar</t>
        </is>
      </c>
      <c r="AM5849" t="n">
        <v>3</v>
      </c>
      <c r="AN5849" t="n">
        <v>500000</v>
      </c>
      <c r="AO5849" t="n">
        <v>0</v>
      </c>
      <c r="AP5849" t="inlineStr"/>
      <c r="AQ5849" t="inlineStr"/>
    </row>
    <row r="5850">
      <c r="A5850" t="inlineStr">
        <is>
          <t>VIENNA BEAUTY</t>
        </is>
      </c>
      <c r="B5850" s="2">
        <f>"8994942007253"</f>
        <v/>
      </c>
      <c r="C5850" t="inlineStr">
        <is>
          <t>VIENNA BEAUTY Collagen Eye Pads Revitalizing</t>
        </is>
      </c>
      <c r="D5850" t="inlineStr">
        <is>
          <t>Miss Glam Damar</t>
        </is>
      </c>
      <c r="E5850" t="n">
        <v>11</v>
      </c>
      <c r="F5850" t="n">
        <v>0.1274</v>
      </c>
      <c r="G5850" t="n">
        <v>1.82</v>
      </c>
      <c r="H5850" t="n">
        <v>7</v>
      </c>
      <c r="I5850" t="n">
        <v>14</v>
      </c>
      <c r="J5850" t="n">
        <v>3</v>
      </c>
      <c r="K5850" t="n">
        <v>0</v>
      </c>
      <c r="L5850" t="n">
        <v>15984</v>
      </c>
      <c r="M5850" t="n">
        <v>22000</v>
      </c>
      <c r="N5850" t="n">
        <v>91</v>
      </c>
      <c r="O5850" t="n">
        <v>0.91</v>
      </c>
      <c r="P5850" t="n">
        <v>1</v>
      </c>
      <c r="Q5850" t="n">
        <v>0.02</v>
      </c>
      <c r="R5850" t="n">
        <v>0</v>
      </c>
      <c r="S5850" t="n">
        <v>2802.8</v>
      </c>
      <c r="T5850" t="n">
        <v>25</v>
      </c>
      <c r="U5850" t="n">
        <v>26</v>
      </c>
      <c r="V5850" t="n">
        <v>30</v>
      </c>
      <c r="W5850" t="n">
        <v>4</v>
      </c>
      <c r="X5850" t="n">
        <v>86.34222919937204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9620</v>
      </c>
      <c r="AG5850" t="n">
        <v>2037</v>
      </c>
      <c r="AH5850" t="inlineStr">
        <is>
          <t>PT. CAKRA DAYA UNGGUL - PPN (PDG)</t>
        </is>
      </c>
      <c r="AI5850" t="n">
        <v>162</v>
      </c>
      <c r="AJ5850" t="inlineStr">
        <is>
          <t>VIENNA BEAUTY</t>
        </is>
      </c>
      <c r="AK5850" t="n">
        <v>21</v>
      </c>
      <c r="AL5850" t="inlineStr">
        <is>
          <t>Miss Glam Damar</t>
        </is>
      </c>
      <c r="AM5850" t="n">
        <v>3</v>
      </c>
      <c r="AN5850" t="n">
        <v>500000</v>
      </c>
      <c r="AO5850" t="n">
        <v>0</v>
      </c>
      <c r="AP5850" t="inlineStr"/>
      <c r="AQ5850" t="inlineStr"/>
    </row>
    <row r="5851">
      <c r="A5851" t="inlineStr">
        <is>
          <t>VIENNA BEAUTY</t>
        </is>
      </c>
      <c r="B5851" s="2">
        <f>"8994942007260"</f>
        <v/>
      </c>
      <c r="C5851" t="inlineStr">
        <is>
          <t>VIENNA BEAUTY Cucumber Eye Pads</t>
        </is>
      </c>
      <c r="D5851" t="inlineStr">
        <is>
          <t>Miss Glam Damar</t>
        </is>
      </c>
      <c r="E5851" t="n">
        <v>23</v>
      </c>
      <c r="F5851" t="n">
        <v>0.3549</v>
      </c>
      <c r="G5851" t="n">
        <v>14.56</v>
      </c>
      <c r="H5851" t="n">
        <v>7</v>
      </c>
      <c r="I5851" t="n">
        <v>14</v>
      </c>
      <c r="J5851" t="n">
        <v>3</v>
      </c>
      <c r="K5851" t="n">
        <v>0</v>
      </c>
      <c r="L5851" t="n">
        <v>15984</v>
      </c>
      <c r="M5851" t="n">
        <v>22500</v>
      </c>
      <c r="N5851" t="n">
        <v>91</v>
      </c>
      <c r="O5851" t="n">
        <v>0.91</v>
      </c>
      <c r="P5851" t="n">
        <v>1</v>
      </c>
      <c r="Q5851" t="n">
        <v>0.14</v>
      </c>
      <c r="R5851" t="n">
        <v>2</v>
      </c>
      <c r="S5851" t="n">
        <v>7985.250000000001</v>
      </c>
      <c r="T5851" t="n">
        <v>202</v>
      </c>
      <c r="U5851" t="n">
        <v>205</v>
      </c>
      <c r="V5851" t="n">
        <v>30</v>
      </c>
      <c r="W5851" t="n">
        <v>11</v>
      </c>
      <c r="X5851" t="n">
        <v>64.80698788391095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9620</v>
      </c>
      <c r="AG5851" t="n">
        <v>2037</v>
      </c>
      <c r="AH5851" t="inlineStr">
        <is>
          <t>PT. CAKRA DAYA UNGGUL - PPN (PDG)</t>
        </is>
      </c>
      <c r="AI5851" t="n">
        <v>162</v>
      </c>
      <c r="AJ5851" t="inlineStr">
        <is>
          <t>VIENNA BEAUTY</t>
        </is>
      </c>
      <c r="AK5851" t="n">
        <v>21</v>
      </c>
      <c r="AL5851" t="inlineStr">
        <is>
          <t>Miss Glam Damar</t>
        </is>
      </c>
      <c r="AM5851" t="n">
        <v>3</v>
      </c>
      <c r="AN5851" t="n">
        <v>500000</v>
      </c>
      <c r="AO5851" t="n">
        <v>0</v>
      </c>
      <c r="AP5851" t="inlineStr"/>
      <c r="AQ5851" t="inlineStr"/>
    </row>
    <row r="5852">
      <c r="A5852" t="inlineStr">
        <is>
          <t>VIENNA BEAUTY</t>
        </is>
      </c>
      <c r="B5852" s="2">
        <f>"8994942023048"</f>
        <v/>
      </c>
      <c r="C5852" t="inlineStr">
        <is>
          <t>VIENNA BEAUTY Firming Breast Cream Pust Up 30ml</t>
        </is>
      </c>
      <c r="D5852" t="inlineStr">
        <is>
          <t>Miss Glam Damar</t>
        </is>
      </c>
      <c r="E5852" t="n">
        <v>21</v>
      </c>
      <c r="F5852" t="n">
        <v>0.0273</v>
      </c>
      <c r="G5852" t="n">
        <v>0.91</v>
      </c>
      <c r="H5852" t="n">
        <v>7</v>
      </c>
      <c r="I5852" t="n">
        <v>14</v>
      </c>
      <c r="J5852" t="n">
        <v>3</v>
      </c>
      <c r="K5852" t="n">
        <v>0</v>
      </c>
      <c r="L5852" t="n">
        <v>18981</v>
      </c>
      <c r="M5852" t="n">
        <v>25000</v>
      </c>
      <c r="N5852" t="n">
        <v>91</v>
      </c>
      <c r="O5852" t="n">
        <v>0.91</v>
      </c>
      <c r="P5852" t="n">
        <v>1</v>
      </c>
      <c r="Q5852" t="n">
        <v>0.07000000000000001</v>
      </c>
      <c r="R5852" t="n">
        <v>1</v>
      </c>
      <c r="S5852" t="n">
        <v>682.5</v>
      </c>
      <c r="T5852" t="n">
        <v>13</v>
      </c>
      <c r="U5852" t="n">
        <v>14</v>
      </c>
      <c r="V5852" t="n">
        <v>30</v>
      </c>
      <c r="W5852" t="n">
        <v>1</v>
      </c>
      <c r="X5852" t="n">
        <v>769.2307692307692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9620</v>
      </c>
      <c r="AG5852" t="n">
        <v>2037</v>
      </c>
      <c r="AH5852" t="inlineStr">
        <is>
          <t>PT. CAKRA DAYA UNGGUL - PPN (PDG)</t>
        </is>
      </c>
      <c r="AI5852" t="n">
        <v>162</v>
      </c>
      <c r="AJ5852" t="inlineStr">
        <is>
          <t>VIENNA BEAUTY</t>
        </is>
      </c>
      <c r="AK5852" t="n">
        <v>21</v>
      </c>
      <c r="AL5852" t="inlineStr">
        <is>
          <t>Miss Glam Damar</t>
        </is>
      </c>
      <c r="AM5852" t="n">
        <v>3</v>
      </c>
      <c r="AN5852" t="n">
        <v>500000</v>
      </c>
      <c r="AO5852" t="n">
        <v>0</v>
      </c>
      <c r="AP5852" t="inlineStr"/>
      <c r="AQ5852" t="inlineStr"/>
    </row>
    <row r="5853">
      <c r="A5853" t="inlineStr">
        <is>
          <t>VIENNA BEAUTY</t>
        </is>
      </c>
      <c r="B5853" s="2">
        <f>"8994942009462"</f>
        <v/>
      </c>
      <c r="C5853" t="inlineStr">
        <is>
          <t>VIENNA BEAUTY Herbal Breast Cream</t>
        </is>
      </c>
      <c r="D5853" t="inlineStr">
        <is>
          <t>Miss Glam Damar</t>
        </is>
      </c>
      <c r="E5853" t="n">
        <v>2</v>
      </c>
      <c r="F5853" t="n">
        <v>0.06370000000000001</v>
      </c>
      <c r="G5853" t="n">
        <v>0.91</v>
      </c>
      <c r="H5853" t="n">
        <v>7</v>
      </c>
      <c r="I5853" t="n">
        <v>14</v>
      </c>
      <c r="J5853" t="n">
        <v>3</v>
      </c>
      <c r="K5853" t="n">
        <v>0</v>
      </c>
      <c r="L5853" t="n">
        <v>11988</v>
      </c>
      <c r="M5853" t="n">
        <v>16000</v>
      </c>
      <c r="N5853" t="n">
        <v>91</v>
      </c>
      <c r="O5853" t="n">
        <v>0.91</v>
      </c>
      <c r="P5853" t="n">
        <v>1</v>
      </c>
      <c r="Q5853" t="n">
        <v>0.02</v>
      </c>
      <c r="R5853" t="n">
        <v>1</v>
      </c>
      <c r="S5853" t="n">
        <v>1019.2</v>
      </c>
      <c r="T5853" t="n">
        <v>13</v>
      </c>
      <c r="U5853" t="n">
        <v>14</v>
      </c>
      <c r="V5853" t="n">
        <v>30</v>
      </c>
      <c r="W5853" t="n">
        <v>2</v>
      </c>
      <c r="X5853" t="n">
        <v>31.39717425431711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9620</v>
      </c>
      <c r="AG5853" t="n">
        <v>2037</v>
      </c>
      <c r="AH5853" t="inlineStr">
        <is>
          <t>PT. CAKRA DAYA UNGGUL - PPN (PDG)</t>
        </is>
      </c>
      <c r="AI5853" t="n">
        <v>162</v>
      </c>
      <c r="AJ5853" t="inlineStr">
        <is>
          <t>VIENNA BEAUTY</t>
        </is>
      </c>
      <c r="AK5853" t="n">
        <v>21</v>
      </c>
      <c r="AL5853" t="inlineStr">
        <is>
          <t>Miss Glam Damar</t>
        </is>
      </c>
      <c r="AM5853" t="n">
        <v>3</v>
      </c>
      <c r="AN5853" t="n">
        <v>500000</v>
      </c>
      <c r="AO5853" t="n">
        <v>0</v>
      </c>
      <c r="AP5853" t="inlineStr"/>
      <c r="AQ5853" t="inlineStr"/>
    </row>
    <row r="5854">
      <c r="A5854" t="inlineStr">
        <is>
          <t>VIENNA BEAUTY</t>
        </is>
      </c>
      <c r="B5854" s="2">
        <f>"8995026302240"</f>
        <v/>
      </c>
      <c r="C5854" t="inlineStr">
        <is>
          <t>VIENNA BEAUTY Lulur Bengkoang 250ml</t>
        </is>
      </c>
      <c r="D5854" t="inlineStr">
        <is>
          <t>Miss Glam Damar</t>
        </is>
      </c>
      <c r="E5854" t="n">
        <v>11</v>
      </c>
      <c r="F5854" t="n">
        <v>0.0182</v>
      </c>
      <c r="G5854" t="n">
        <v>0.91</v>
      </c>
      <c r="H5854" t="n">
        <v>7</v>
      </c>
      <c r="I5854" t="n">
        <v>14</v>
      </c>
      <c r="J5854" t="n">
        <v>3</v>
      </c>
      <c r="K5854" t="n">
        <v>0</v>
      </c>
      <c r="L5854" t="n">
        <v>19980</v>
      </c>
      <c r="M5854" t="n">
        <v>27000</v>
      </c>
      <c r="N5854" t="n">
        <v>91</v>
      </c>
      <c r="O5854" t="n">
        <v>0.91</v>
      </c>
      <c r="P5854" t="n">
        <v>1</v>
      </c>
      <c r="Q5854" t="n">
        <v>0.03</v>
      </c>
      <c r="R5854" t="n">
        <v>1</v>
      </c>
      <c r="S5854" t="n">
        <v>491.4</v>
      </c>
      <c r="T5854" t="n">
        <v>13</v>
      </c>
      <c r="U5854" t="n">
        <v>14</v>
      </c>
      <c r="V5854" t="n">
        <v>30</v>
      </c>
      <c r="W5854" t="n">
        <v>1</v>
      </c>
      <c r="X5854" t="n">
        <v>604.3956043956043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9620</v>
      </c>
      <c r="AG5854" t="n">
        <v>2037</v>
      </c>
      <c r="AH5854" t="inlineStr">
        <is>
          <t>PT. CAKRA DAYA UNGGUL - PPN (PDG)</t>
        </is>
      </c>
      <c r="AI5854" t="n">
        <v>162</v>
      </c>
      <c r="AJ5854" t="inlineStr">
        <is>
          <t>VIENNA BEAUTY</t>
        </is>
      </c>
      <c r="AK5854" t="n">
        <v>21</v>
      </c>
      <c r="AL5854" t="inlineStr">
        <is>
          <t>Miss Glam Damar</t>
        </is>
      </c>
      <c r="AM5854" t="n">
        <v>3</v>
      </c>
      <c r="AN5854" t="n">
        <v>500000</v>
      </c>
      <c r="AO5854" t="n">
        <v>0</v>
      </c>
      <c r="AP5854" t="inlineStr"/>
      <c r="AQ5854" t="inlineStr"/>
    </row>
    <row r="5855">
      <c r="A5855" t="inlineStr">
        <is>
          <t>VIENNA BEAUTY</t>
        </is>
      </c>
      <c r="B5855" s="2">
        <f>"8994942003095"</f>
        <v/>
      </c>
      <c r="C5855" t="inlineStr">
        <is>
          <t>VIENNA BEAUTY Lulur Cows Milk 250ml</t>
        </is>
      </c>
      <c r="D5855" t="inlineStr">
        <is>
          <t>Miss Glam Damar</t>
        </is>
      </c>
      <c r="E5855" t="n">
        <v>6</v>
      </c>
      <c r="F5855" t="n">
        <v>0.06370000000000001</v>
      </c>
      <c r="G5855" t="n">
        <v>0.91</v>
      </c>
      <c r="H5855" t="n">
        <v>7</v>
      </c>
      <c r="I5855" t="n">
        <v>14</v>
      </c>
      <c r="J5855" t="n">
        <v>3</v>
      </c>
      <c r="K5855" t="n">
        <v>0</v>
      </c>
      <c r="L5855" t="n">
        <v>19980</v>
      </c>
      <c r="M5855" t="n">
        <v>26500</v>
      </c>
      <c r="N5855" t="n">
        <v>91</v>
      </c>
      <c r="O5855" t="n">
        <v>0.91</v>
      </c>
      <c r="P5855" t="n">
        <v>1</v>
      </c>
      <c r="Q5855" t="n">
        <v>0.1</v>
      </c>
      <c r="R5855" t="n">
        <v>2</v>
      </c>
      <c r="S5855" t="n">
        <v>1688.05</v>
      </c>
      <c r="T5855" t="n">
        <v>13</v>
      </c>
      <c r="U5855" t="n">
        <v>14</v>
      </c>
      <c r="V5855" t="n">
        <v>30</v>
      </c>
      <c r="W5855" t="n">
        <v>2</v>
      </c>
      <c r="X5855" t="n">
        <v>94.19152276295132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9620</v>
      </c>
      <c r="AG5855" t="n">
        <v>2037</v>
      </c>
      <c r="AH5855" t="inlineStr">
        <is>
          <t>PT. CAKRA DAYA UNGGUL - PPN (PDG)</t>
        </is>
      </c>
      <c r="AI5855" t="n">
        <v>162</v>
      </c>
      <c r="AJ5855" t="inlineStr">
        <is>
          <t>VIENNA BEAUTY</t>
        </is>
      </c>
      <c r="AK5855" t="n">
        <v>21</v>
      </c>
      <c r="AL5855" t="inlineStr">
        <is>
          <t>Miss Glam Damar</t>
        </is>
      </c>
      <c r="AM5855" t="n">
        <v>3</v>
      </c>
      <c r="AN5855" t="n">
        <v>500000</v>
      </c>
      <c r="AO5855" t="n">
        <v>0</v>
      </c>
      <c r="AP5855" t="inlineStr"/>
      <c r="AQ5855" t="inlineStr"/>
    </row>
    <row r="5856">
      <c r="A5856" t="inlineStr">
        <is>
          <t>VIENNA BEAUTY</t>
        </is>
      </c>
      <c r="B5856" s="2">
        <f>"8995026309997"</f>
        <v/>
      </c>
      <c r="C5856" t="inlineStr">
        <is>
          <t>VIENNA BEAUTY Lulur Goat Milk 250ml</t>
        </is>
      </c>
      <c r="D5856" t="inlineStr">
        <is>
          <t>Miss Glam Damar</t>
        </is>
      </c>
      <c r="E5856" t="n">
        <v>20</v>
      </c>
      <c r="F5856" t="n">
        <v>0.1092</v>
      </c>
      <c r="G5856" t="n">
        <v>1.82</v>
      </c>
      <c r="H5856" t="n">
        <v>7</v>
      </c>
      <c r="I5856" t="n">
        <v>14</v>
      </c>
      <c r="J5856" t="n">
        <v>3</v>
      </c>
      <c r="K5856" t="n">
        <v>0</v>
      </c>
      <c r="L5856" t="n">
        <v>19980</v>
      </c>
      <c r="M5856" t="n">
        <v>27000</v>
      </c>
      <c r="N5856" t="n">
        <v>91</v>
      </c>
      <c r="O5856" t="n">
        <v>0.91</v>
      </c>
      <c r="P5856" t="n">
        <v>1</v>
      </c>
      <c r="Q5856" t="n">
        <v>0.22</v>
      </c>
      <c r="R5856" t="n">
        <v>3</v>
      </c>
      <c r="S5856" t="n">
        <v>2948.4</v>
      </c>
      <c r="T5856" t="n">
        <v>25</v>
      </c>
      <c r="U5856" t="n">
        <v>26</v>
      </c>
      <c r="V5856" t="n">
        <v>30</v>
      </c>
      <c r="W5856" t="n">
        <v>4</v>
      </c>
      <c r="X5856" t="n">
        <v>183.1501831501832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9620</v>
      </c>
      <c r="AG5856" t="n">
        <v>2037</v>
      </c>
      <c r="AH5856" t="inlineStr">
        <is>
          <t>PT. CAKRA DAYA UNGGUL - PPN (PDG)</t>
        </is>
      </c>
      <c r="AI5856" t="n">
        <v>162</v>
      </c>
      <c r="AJ5856" t="inlineStr">
        <is>
          <t>VIENNA BEAUTY</t>
        </is>
      </c>
      <c r="AK5856" t="n">
        <v>21</v>
      </c>
      <c r="AL5856" t="inlineStr">
        <is>
          <t>Miss Glam Damar</t>
        </is>
      </c>
      <c r="AM5856" t="n">
        <v>3</v>
      </c>
      <c r="AN5856" t="n">
        <v>500000</v>
      </c>
      <c r="AO5856" t="n">
        <v>0</v>
      </c>
      <c r="AP5856" t="inlineStr"/>
      <c r="AQ5856" t="inlineStr"/>
    </row>
    <row r="5857">
      <c r="A5857" t="inlineStr">
        <is>
          <t>VIENNA BEAUTY</t>
        </is>
      </c>
      <c r="B5857" s="2">
        <f>"8994942027510"</f>
        <v/>
      </c>
      <c r="C5857" t="inlineStr">
        <is>
          <t>VIENNA BEAUTY Nutriglow Massage Oil Stress Relief Peppermint Eucaltyptus 250ml</t>
        </is>
      </c>
      <c r="D5857" t="inlineStr">
        <is>
          <t>Miss Glam Damar</t>
        </is>
      </c>
      <c r="E5857" t="n">
        <v>0</v>
      </c>
      <c r="F5857" t="n">
        <v>0.02</v>
      </c>
      <c r="G5857" t="n">
        <v>1</v>
      </c>
      <c r="H5857" t="n">
        <v>7</v>
      </c>
      <c r="I5857" t="n">
        <v>14</v>
      </c>
      <c r="J5857" t="n">
        <v>3</v>
      </c>
      <c r="K5857" t="n">
        <v>0</v>
      </c>
      <c r="L5857" t="n">
        <v>54945</v>
      </c>
      <c r="M5857" t="n">
        <v>73500</v>
      </c>
      <c r="N5857" t="n">
        <v>91</v>
      </c>
      <c r="O5857" t="n">
        <v>0.91</v>
      </c>
      <c r="P5857" t="n">
        <v>0</v>
      </c>
      <c r="Q5857" t="n">
        <v>0.02</v>
      </c>
      <c r="R5857" t="n">
        <v>1</v>
      </c>
      <c r="S5857" t="n">
        <v>1470</v>
      </c>
      <c r="T5857" t="n">
        <v>14</v>
      </c>
      <c r="U5857" t="n">
        <v>15</v>
      </c>
      <c r="V5857" t="n">
        <v>30</v>
      </c>
      <c r="W5857" t="n">
        <v>1</v>
      </c>
      <c r="X5857" t="n">
        <v>0</v>
      </c>
      <c r="Y5857" t="n">
        <v>1</v>
      </c>
      <c r="Z5857" t="n">
        <v>1</v>
      </c>
      <c r="AA5857" t="n">
        <v>1</v>
      </c>
      <c r="AB5857" t="n">
        <v>0</v>
      </c>
      <c r="AC5857" t="n">
        <v>0</v>
      </c>
      <c r="AD5857" t="n">
        <v>54945</v>
      </c>
      <c r="AE5857" t="n">
        <v>0</v>
      </c>
      <c r="AF5857" t="n">
        <v>9620</v>
      </c>
      <c r="AG5857" t="n">
        <v>2037</v>
      </c>
      <c r="AH5857" t="inlineStr">
        <is>
          <t>PT. CAKRA DAYA UNGGUL - PPN (PDG)</t>
        </is>
      </c>
      <c r="AI5857" t="n">
        <v>162</v>
      </c>
      <c r="AJ5857" t="inlineStr">
        <is>
          <t>VIENNA BEAUTY</t>
        </is>
      </c>
      <c r="AK5857" t="n">
        <v>21</v>
      </c>
      <c r="AL5857" t="inlineStr">
        <is>
          <t>Miss Glam Damar</t>
        </is>
      </c>
      <c r="AM5857" t="n">
        <v>3</v>
      </c>
      <c r="AN5857" t="n">
        <v>500000</v>
      </c>
      <c r="AO5857" t="n">
        <v>0</v>
      </c>
      <c r="AP5857" t="inlineStr"/>
      <c r="AQ5857" t="inlineStr"/>
    </row>
    <row r="5858">
      <c r="A5858" t="inlineStr">
        <is>
          <t>VIENNA BEAUTY</t>
        </is>
      </c>
      <c r="B5858" s="2">
        <f>"8994942014695"</f>
        <v/>
      </c>
      <c r="C5858" t="inlineStr">
        <is>
          <t>VIENNA BEAUTY Panda Eye Mask Dark Bircles&amp;Puffiness</t>
        </is>
      </c>
      <c r="D5858" t="inlineStr">
        <is>
          <t>Miss Glam Damar</t>
        </is>
      </c>
      <c r="E5858" t="n">
        <v>34</v>
      </c>
      <c r="F5858" t="n">
        <v>0.3276</v>
      </c>
      <c r="G5858" t="n">
        <v>2.73</v>
      </c>
      <c r="H5858" t="n">
        <v>7</v>
      </c>
      <c r="I5858" t="n">
        <v>14</v>
      </c>
      <c r="J5858" t="n">
        <v>3</v>
      </c>
      <c r="K5858" t="n">
        <v>0</v>
      </c>
      <c r="L5858" t="n">
        <v>14985</v>
      </c>
      <c r="M5858" t="n">
        <v>20000</v>
      </c>
      <c r="N5858" t="n">
        <v>91</v>
      </c>
      <c r="O5858" t="n">
        <v>0.91</v>
      </c>
      <c r="P5858" t="n">
        <v>1</v>
      </c>
      <c r="Q5858" t="n">
        <v>0.22</v>
      </c>
      <c r="R5858" t="n">
        <v>3</v>
      </c>
      <c r="S5858" t="n">
        <v>6552</v>
      </c>
      <c r="T5858" t="n">
        <v>36</v>
      </c>
      <c r="U5858" t="n">
        <v>39</v>
      </c>
      <c r="V5858" t="n">
        <v>30</v>
      </c>
      <c r="W5858" t="n">
        <v>10</v>
      </c>
      <c r="X5858" t="n">
        <v>103.7851037851038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9620</v>
      </c>
      <c r="AG5858" t="n">
        <v>2037</v>
      </c>
      <c r="AH5858" t="inlineStr">
        <is>
          <t>PT. CAKRA DAYA UNGGUL - PPN (PDG)</t>
        </is>
      </c>
      <c r="AI5858" t="n">
        <v>162</v>
      </c>
      <c r="AJ5858" t="inlineStr">
        <is>
          <t>VIENNA BEAUTY</t>
        </is>
      </c>
      <c r="AK5858" t="n">
        <v>21</v>
      </c>
      <c r="AL5858" t="inlineStr">
        <is>
          <t>Miss Glam Damar</t>
        </is>
      </c>
      <c r="AM5858" t="n">
        <v>3</v>
      </c>
      <c r="AN5858" t="n">
        <v>500000</v>
      </c>
      <c r="AO5858" t="n">
        <v>0</v>
      </c>
      <c r="AP5858" t="inlineStr"/>
      <c r="AQ5858" t="inlineStr"/>
    </row>
    <row r="5859">
      <c r="A5859" t="inlineStr">
        <is>
          <t>VIENNA BEAUTY</t>
        </is>
      </c>
      <c r="B5859" s="2">
        <f>"8994942014701"</f>
        <v/>
      </c>
      <c r="C5859" t="inlineStr">
        <is>
          <t>VIENNA BEAUTY Panda Eye Mask Fine Lines&amp;Wrinkle</t>
        </is>
      </c>
      <c r="D5859" t="inlineStr">
        <is>
          <t>Miss Glam Damar</t>
        </is>
      </c>
      <c r="E5859" t="n">
        <v>36</v>
      </c>
      <c r="F5859" t="n">
        <v>0.3549</v>
      </c>
      <c r="G5859" t="n">
        <v>2.73</v>
      </c>
      <c r="H5859" t="n">
        <v>7</v>
      </c>
      <c r="I5859" t="n">
        <v>14</v>
      </c>
      <c r="J5859" t="n">
        <v>3</v>
      </c>
      <c r="K5859" t="n">
        <v>0</v>
      </c>
      <c r="L5859" t="n">
        <v>14985</v>
      </c>
      <c r="M5859" t="n">
        <v>20000</v>
      </c>
      <c r="N5859" t="n">
        <v>91</v>
      </c>
      <c r="O5859" t="n">
        <v>0.91</v>
      </c>
      <c r="P5859" t="n">
        <v>1</v>
      </c>
      <c r="Q5859" t="n">
        <v>0.25</v>
      </c>
      <c r="R5859" t="n">
        <v>3</v>
      </c>
      <c r="S5859" t="n">
        <v>7098.000000000001</v>
      </c>
      <c r="T5859" t="n">
        <v>36</v>
      </c>
      <c r="U5859" t="n">
        <v>39</v>
      </c>
      <c r="V5859" t="n">
        <v>30</v>
      </c>
      <c r="W5859" t="n">
        <v>11</v>
      </c>
      <c r="X5859" t="n">
        <v>101.4370245139476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9620</v>
      </c>
      <c r="AG5859" t="n">
        <v>2037</v>
      </c>
      <c r="AH5859" t="inlineStr">
        <is>
          <t>PT. CAKRA DAYA UNGGUL - PPN (PDG)</t>
        </is>
      </c>
      <c r="AI5859" t="n">
        <v>162</v>
      </c>
      <c r="AJ5859" t="inlineStr">
        <is>
          <t>VIENNA BEAUTY</t>
        </is>
      </c>
      <c r="AK5859" t="n">
        <v>21</v>
      </c>
      <c r="AL5859" t="inlineStr">
        <is>
          <t>Miss Glam Damar</t>
        </is>
      </c>
      <c r="AM5859" t="n">
        <v>3</v>
      </c>
      <c r="AN5859" t="n">
        <v>500000</v>
      </c>
      <c r="AO5859" t="n">
        <v>0</v>
      </c>
      <c r="AP5859" t="inlineStr"/>
      <c r="AQ5859" t="inlineStr"/>
    </row>
    <row r="5860">
      <c r="A5860" t="inlineStr">
        <is>
          <t>VIENNA BEAUTY</t>
        </is>
      </c>
      <c r="B5860" s="2">
        <f>"8994942026797"</f>
        <v/>
      </c>
      <c r="C5860" t="inlineStr">
        <is>
          <t>VIENNA BEAUTY Skin Fruit Pear Glow Body Wash 300ml</t>
        </is>
      </c>
      <c r="D5860" t="inlineStr">
        <is>
          <t>Miss Glam Damar</t>
        </is>
      </c>
      <c r="E5860" t="n">
        <v>10</v>
      </c>
      <c r="F5860" t="n">
        <v>0.03</v>
      </c>
      <c r="G5860" t="n">
        <v>1</v>
      </c>
      <c r="H5860" t="n">
        <v>7</v>
      </c>
      <c r="I5860" t="n">
        <v>14</v>
      </c>
      <c r="J5860" t="n">
        <v>3</v>
      </c>
      <c r="K5860" t="n">
        <v>0</v>
      </c>
      <c r="L5860" t="n">
        <v>34965</v>
      </c>
      <c r="M5860" t="n">
        <v>45000</v>
      </c>
      <c r="N5860" t="n">
        <v>91</v>
      </c>
      <c r="O5860" t="n">
        <v>0.91</v>
      </c>
      <c r="P5860" t="n">
        <v>0</v>
      </c>
      <c r="Q5860" t="n">
        <v>0.03</v>
      </c>
      <c r="R5860" t="n">
        <v>1</v>
      </c>
      <c r="S5860" t="n">
        <v>1350</v>
      </c>
      <c r="T5860" t="n">
        <v>14</v>
      </c>
      <c r="U5860" t="n">
        <v>15</v>
      </c>
      <c r="V5860" t="n">
        <v>30</v>
      </c>
      <c r="W5860" t="n">
        <v>1</v>
      </c>
      <c r="X5860" t="n">
        <v>333.3333333333334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9620</v>
      </c>
      <c r="AG5860" t="n">
        <v>2037</v>
      </c>
      <c r="AH5860" t="inlineStr">
        <is>
          <t>PT. CAKRA DAYA UNGGUL - PPN (PDG)</t>
        </is>
      </c>
      <c r="AI5860" t="n">
        <v>162</v>
      </c>
      <c r="AJ5860" t="inlineStr">
        <is>
          <t>VIENNA BEAUTY</t>
        </is>
      </c>
      <c r="AK5860" t="n">
        <v>21</v>
      </c>
      <c r="AL5860" t="inlineStr">
        <is>
          <t>Miss Glam Damar</t>
        </is>
      </c>
      <c r="AM5860" t="n">
        <v>3</v>
      </c>
      <c r="AN5860" t="n">
        <v>500000</v>
      </c>
      <c r="AO5860" t="n">
        <v>0</v>
      </c>
      <c r="AP5860" t="inlineStr"/>
      <c r="AQ5860" t="inlineStr"/>
    </row>
    <row r="5861">
      <c r="A5861" t="inlineStr">
        <is>
          <t>VIENNA BEAUTY</t>
        </is>
      </c>
      <c r="B5861" s="2">
        <f>"8994942026780"</f>
        <v/>
      </c>
      <c r="C5861" t="inlineStr">
        <is>
          <t>VIENNA BEAUTY Skin Fruit Watermelon Glow Body Wash 300ml</t>
        </is>
      </c>
      <c r="D5861" t="inlineStr">
        <is>
          <t>Miss Glam Damar</t>
        </is>
      </c>
      <c r="E5861" t="n">
        <v>0</v>
      </c>
      <c r="F5861" t="n">
        <v>0.03</v>
      </c>
      <c r="G5861" t="n">
        <v>1</v>
      </c>
      <c r="H5861" t="n">
        <v>7</v>
      </c>
      <c r="I5861" t="n">
        <v>14</v>
      </c>
      <c r="J5861" t="n">
        <v>3</v>
      </c>
      <c r="K5861" t="n">
        <v>0</v>
      </c>
      <c r="L5861" t="n">
        <v>34965</v>
      </c>
      <c r="M5861" t="n">
        <v>45000</v>
      </c>
      <c r="N5861" t="n">
        <v>91</v>
      </c>
      <c r="O5861" t="n">
        <v>0.91</v>
      </c>
      <c r="P5861" t="n">
        <v>0</v>
      </c>
      <c r="Q5861" t="n">
        <v>0.03</v>
      </c>
      <c r="R5861" t="n">
        <v>1</v>
      </c>
      <c r="S5861" t="n">
        <v>1350</v>
      </c>
      <c r="T5861" t="n">
        <v>14</v>
      </c>
      <c r="U5861" t="n">
        <v>15</v>
      </c>
      <c r="V5861" t="n">
        <v>30</v>
      </c>
      <c r="W5861" t="n">
        <v>1</v>
      </c>
      <c r="X5861" t="n">
        <v>0</v>
      </c>
      <c r="Y5861" t="n">
        <v>1</v>
      </c>
      <c r="Z5861" t="n">
        <v>1</v>
      </c>
      <c r="AA5861" t="n">
        <v>1</v>
      </c>
      <c r="AB5861" t="n">
        <v>0</v>
      </c>
      <c r="AC5861" t="n">
        <v>0</v>
      </c>
      <c r="AD5861" t="n">
        <v>34965</v>
      </c>
      <c r="AE5861" t="n">
        <v>0</v>
      </c>
      <c r="AF5861" t="n">
        <v>9620</v>
      </c>
      <c r="AG5861" t="n">
        <v>2037</v>
      </c>
      <c r="AH5861" t="inlineStr">
        <is>
          <t>PT. CAKRA DAYA UNGGUL - PPN (PDG)</t>
        </is>
      </c>
      <c r="AI5861" t="n">
        <v>162</v>
      </c>
      <c r="AJ5861" t="inlineStr">
        <is>
          <t>VIENNA BEAUTY</t>
        </is>
      </c>
      <c r="AK5861" t="n">
        <v>21</v>
      </c>
      <c r="AL5861" t="inlineStr">
        <is>
          <t>Miss Glam Damar</t>
        </is>
      </c>
      <c r="AM5861" t="n">
        <v>3</v>
      </c>
      <c r="AN5861" t="n">
        <v>500000</v>
      </c>
      <c r="AO5861" t="n">
        <v>0</v>
      </c>
      <c r="AP5861" t="inlineStr"/>
      <c r="AQ5861" t="inlineStr"/>
    </row>
    <row r="5862">
      <c r="A5862" t="inlineStr">
        <is>
          <t>VIENNA BEAUTY</t>
        </is>
      </c>
      <c r="B5862" s="2">
        <f>"8994942009509"</f>
        <v/>
      </c>
      <c r="C5862" t="inlineStr">
        <is>
          <t>VIENNA BEAUTY Strech Mark Cream 30ml</t>
        </is>
      </c>
      <c r="D5862" t="inlineStr">
        <is>
          <t>Miss Glam Damar</t>
        </is>
      </c>
      <c r="E5862" t="n">
        <v>12</v>
      </c>
      <c r="F5862" t="n">
        <v>0.0273</v>
      </c>
      <c r="G5862" t="n">
        <v>0.91</v>
      </c>
      <c r="H5862" t="n">
        <v>7</v>
      </c>
      <c r="I5862" t="n">
        <v>14</v>
      </c>
      <c r="J5862" t="n">
        <v>3</v>
      </c>
      <c r="K5862" t="n">
        <v>0</v>
      </c>
      <c r="L5862" t="n">
        <v>11988</v>
      </c>
      <c r="M5862" t="n">
        <v>17500</v>
      </c>
      <c r="N5862" t="n">
        <v>91</v>
      </c>
      <c r="O5862" t="n">
        <v>0.91</v>
      </c>
      <c r="P5862" t="n">
        <v>1</v>
      </c>
      <c r="Q5862" t="n">
        <v>0.02</v>
      </c>
      <c r="R5862" t="n">
        <v>1</v>
      </c>
      <c r="S5862" t="n">
        <v>477.75</v>
      </c>
      <c r="T5862" t="n">
        <v>13</v>
      </c>
      <c r="U5862" t="n">
        <v>14</v>
      </c>
      <c r="V5862" t="n">
        <v>30</v>
      </c>
      <c r="W5862" t="n">
        <v>1</v>
      </c>
      <c r="X5862" t="n">
        <v>439.5604395604395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9620</v>
      </c>
      <c r="AG5862" t="n">
        <v>2037</v>
      </c>
      <c r="AH5862" t="inlineStr">
        <is>
          <t>PT. CAKRA DAYA UNGGUL - PPN (PDG)</t>
        </is>
      </c>
      <c r="AI5862" t="n">
        <v>162</v>
      </c>
      <c r="AJ5862" t="inlineStr">
        <is>
          <t>VIENNA BEAUTY</t>
        </is>
      </c>
      <c r="AK5862" t="n">
        <v>21</v>
      </c>
      <c r="AL5862" t="inlineStr">
        <is>
          <t>Miss Glam Damar</t>
        </is>
      </c>
      <c r="AM5862" t="n">
        <v>3</v>
      </c>
      <c r="AN5862" t="n">
        <v>500000</v>
      </c>
      <c r="AO5862" t="n">
        <v>0</v>
      </c>
      <c r="AP5862" t="inlineStr"/>
      <c r="AQ5862" t="inlineStr"/>
    </row>
    <row r="5863">
      <c r="A5863" t="inlineStr">
        <is>
          <t>VIENNA BEAUTY</t>
        </is>
      </c>
      <c r="B5863" s="2">
        <f>"8994942023031"</f>
        <v/>
      </c>
      <c r="C5863" t="inlineStr">
        <is>
          <t>VIENNA BEAUTY Volume Up Firm Serum 35ml</t>
        </is>
      </c>
      <c r="D5863" t="inlineStr">
        <is>
          <t>Miss Glam Damar</t>
        </is>
      </c>
      <c r="E5863" t="n">
        <v>5</v>
      </c>
      <c r="F5863" t="n">
        <v>0.0182</v>
      </c>
      <c r="G5863" t="n">
        <v>0.91</v>
      </c>
      <c r="H5863" t="n">
        <v>7</v>
      </c>
      <c r="I5863" t="n">
        <v>14</v>
      </c>
      <c r="J5863" t="n">
        <v>3</v>
      </c>
      <c r="K5863" t="n">
        <v>0</v>
      </c>
      <c r="L5863" t="n">
        <v>44955</v>
      </c>
      <c r="M5863" t="n">
        <v>59200</v>
      </c>
      <c r="N5863" t="n">
        <v>91</v>
      </c>
      <c r="O5863" t="n">
        <v>0.91</v>
      </c>
      <c r="P5863" t="n">
        <v>1</v>
      </c>
      <c r="Q5863" t="n">
        <v>0.02</v>
      </c>
      <c r="R5863" t="n">
        <v>1</v>
      </c>
      <c r="S5863" t="n">
        <v>1077.44</v>
      </c>
      <c r="T5863" t="n">
        <v>13</v>
      </c>
      <c r="U5863" t="n">
        <v>14</v>
      </c>
      <c r="V5863" t="n">
        <v>30</v>
      </c>
      <c r="W5863" t="n">
        <v>1</v>
      </c>
      <c r="X5863" t="n">
        <v>274.7252747252747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9620</v>
      </c>
      <c r="AG5863" t="n">
        <v>2037</v>
      </c>
      <c r="AH5863" t="inlineStr">
        <is>
          <t>PT. CAKRA DAYA UNGGUL - PPN (PDG)</t>
        </is>
      </c>
      <c r="AI5863" t="n">
        <v>162</v>
      </c>
      <c r="AJ5863" t="inlineStr">
        <is>
          <t>VIENNA BEAUTY</t>
        </is>
      </c>
      <c r="AK5863" t="n">
        <v>21</v>
      </c>
      <c r="AL5863" t="inlineStr">
        <is>
          <t>Miss Glam Damar</t>
        </is>
      </c>
      <c r="AM5863" t="n">
        <v>3</v>
      </c>
      <c r="AN5863" t="n">
        <v>500000</v>
      </c>
      <c r="AO5863" t="n">
        <v>0</v>
      </c>
      <c r="AP5863" t="inlineStr"/>
      <c r="AQ5863" t="inlineStr"/>
    </row>
    <row r="5864">
      <c r="A5864" t="inlineStr">
        <is>
          <t>VIENNA BEAUTY</t>
        </is>
      </c>
      <c r="B5864" s="2">
        <f>"8994942023055"</f>
        <v/>
      </c>
      <c r="C5864" t="inlineStr">
        <is>
          <t>VIENNA BEAUTY Volume Up Firming Breast Cream</t>
        </is>
      </c>
      <c r="D5864" t="inlineStr">
        <is>
          <t>Miss Glam Damar</t>
        </is>
      </c>
      <c r="E5864" t="n">
        <v>4</v>
      </c>
      <c r="F5864" t="n">
        <v>0.04550000000000001</v>
      </c>
      <c r="G5864" t="n">
        <v>0.91</v>
      </c>
      <c r="H5864" t="n">
        <v>7</v>
      </c>
      <c r="I5864" t="n">
        <v>14</v>
      </c>
      <c r="J5864" t="n">
        <v>3</v>
      </c>
      <c r="K5864" t="n">
        <v>0</v>
      </c>
      <c r="L5864" t="n">
        <v>18981</v>
      </c>
      <c r="M5864" t="n">
        <v>25000</v>
      </c>
      <c r="N5864" t="n">
        <v>91</v>
      </c>
      <c r="O5864" t="n">
        <v>0.91</v>
      </c>
      <c r="P5864" t="n">
        <v>1</v>
      </c>
      <c r="Q5864" t="n">
        <v>0.12</v>
      </c>
      <c r="R5864" t="n">
        <v>2</v>
      </c>
      <c r="S5864" t="n">
        <v>1137.5</v>
      </c>
      <c r="T5864" t="n">
        <v>13</v>
      </c>
      <c r="U5864" t="n">
        <v>14</v>
      </c>
      <c r="V5864" t="n">
        <v>30</v>
      </c>
      <c r="W5864" t="n">
        <v>2</v>
      </c>
      <c r="X5864" t="n">
        <v>87.9120879120879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9620</v>
      </c>
      <c r="AG5864" t="n">
        <v>2037</v>
      </c>
      <c r="AH5864" t="inlineStr">
        <is>
          <t>PT. CAKRA DAYA UNGGUL - PPN (PDG)</t>
        </is>
      </c>
      <c r="AI5864" t="n">
        <v>162</v>
      </c>
      <c r="AJ5864" t="inlineStr">
        <is>
          <t>VIENNA BEAUTY</t>
        </is>
      </c>
      <c r="AK5864" t="n">
        <v>21</v>
      </c>
      <c r="AL5864" t="inlineStr">
        <is>
          <t>Miss Glam Damar</t>
        </is>
      </c>
      <c r="AM5864" t="n">
        <v>3</v>
      </c>
      <c r="AN5864" t="n">
        <v>500000</v>
      </c>
      <c r="AO5864" t="n">
        <v>0</v>
      </c>
      <c r="AP5864" t="inlineStr"/>
      <c r="AQ5864" t="inlineStr"/>
    </row>
    <row r="5865">
      <c r="A5865" t="inlineStr">
        <is>
          <t>VIENNA BEAUTY</t>
        </is>
      </c>
      <c r="B5865" s="2">
        <f>"8994942023123"</f>
        <v/>
      </c>
      <c r="C5865" t="inlineStr">
        <is>
          <t>VIENNA BEAUTY Volume Up Firming Breast Cream</t>
        </is>
      </c>
      <c r="D5865" t="inlineStr">
        <is>
          <t>Miss Glam Damar</t>
        </is>
      </c>
      <c r="E5865" t="n">
        <v>3</v>
      </c>
      <c r="F5865" t="n">
        <v>0.0182</v>
      </c>
      <c r="G5865" t="n">
        <v>0.91</v>
      </c>
      <c r="H5865" t="n">
        <v>7</v>
      </c>
      <c r="I5865" t="n">
        <v>14</v>
      </c>
      <c r="J5865" t="n">
        <v>3</v>
      </c>
      <c r="K5865" t="n">
        <v>0</v>
      </c>
      <c r="L5865" t="n">
        <v>44955</v>
      </c>
      <c r="M5865" t="n">
        <v>62500</v>
      </c>
      <c r="N5865" t="n">
        <v>91</v>
      </c>
      <c r="O5865" t="n">
        <v>0.91</v>
      </c>
      <c r="P5865" t="n">
        <v>1</v>
      </c>
      <c r="Q5865" t="n">
        <v>0.05</v>
      </c>
      <c r="R5865" t="n">
        <v>3</v>
      </c>
      <c r="S5865" t="n">
        <v>1137.5</v>
      </c>
      <c r="T5865" t="n">
        <v>13</v>
      </c>
      <c r="U5865" t="n">
        <v>14</v>
      </c>
      <c r="V5865" t="n">
        <v>30</v>
      </c>
      <c r="W5865" t="n">
        <v>1</v>
      </c>
      <c r="X5865" t="n">
        <v>164.8351648351648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9620</v>
      </c>
      <c r="AG5865" t="n">
        <v>2037</v>
      </c>
      <c r="AH5865" t="inlineStr">
        <is>
          <t>PT. CAKRA DAYA UNGGUL - PPN (PDG)</t>
        </is>
      </c>
      <c r="AI5865" t="n">
        <v>162</v>
      </c>
      <c r="AJ5865" t="inlineStr">
        <is>
          <t>VIENNA BEAUTY</t>
        </is>
      </c>
      <c r="AK5865" t="n">
        <v>21</v>
      </c>
      <c r="AL5865" t="inlineStr">
        <is>
          <t>Miss Glam Damar</t>
        </is>
      </c>
      <c r="AM5865" t="n">
        <v>3</v>
      </c>
      <c r="AN5865" t="n">
        <v>500000</v>
      </c>
      <c r="AO5865" t="n">
        <v>0</v>
      </c>
      <c r="AP5865" t="inlineStr"/>
      <c r="AQ5865" t="inlineStr"/>
    </row>
    <row r="5866">
      <c r="A5866" t="inlineStr">
        <is>
          <t>VIENNA BEAUTY</t>
        </is>
      </c>
      <c r="B5866" s="2">
        <f>"8995026307481"</f>
        <v/>
      </c>
      <c r="C5866" t="inlineStr">
        <is>
          <t>VIENNA BEAUTY White Spa Shower Cream Calm Pouch 500ml</t>
        </is>
      </c>
      <c r="D5866" t="inlineStr">
        <is>
          <t>Miss Glam Damar</t>
        </is>
      </c>
      <c r="E5866" t="n">
        <v>8</v>
      </c>
      <c r="F5866" t="n">
        <v>0.0182</v>
      </c>
      <c r="G5866" t="n">
        <v>0.91</v>
      </c>
      <c r="H5866" t="n">
        <v>7</v>
      </c>
      <c r="I5866" t="n">
        <v>14</v>
      </c>
      <c r="J5866" t="n">
        <v>3</v>
      </c>
      <c r="K5866" t="n">
        <v>0</v>
      </c>
      <c r="L5866" t="n">
        <v>32967</v>
      </c>
      <c r="M5866" t="n">
        <v>45000</v>
      </c>
      <c r="N5866" t="n">
        <v>91</v>
      </c>
      <c r="O5866" t="n">
        <v>0.91</v>
      </c>
      <c r="P5866" t="n">
        <v>1</v>
      </c>
      <c r="Q5866" t="n">
        <v>0.1</v>
      </c>
      <c r="R5866" t="n">
        <v>1</v>
      </c>
      <c r="S5866" t="n">
        <v>819</v>
      </c>
      <c r="T5866" t="n">
        <v>13</v>
      </c>
      <c r="U5866" t="n">
        <v>14</v>
      </c>
      <c r="V5866" t="n">
        <v>30</v>
      </c>
      <c r="W5866" t="n">
        <v>1</v>
      </c>
      <c r="X5866" t="n">
        <v>439.5604395604395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9620</v>
      </c>
      <c r="AG5866" t="n">
        <v>2037</v>
      </c>
      <c r="AH5866" t="inlineStr">
        <is>
          <t>PT. CAKRA DAYA UNGGUL - PPN (PDG)</t>
        </is>
      </c>
      <c r="AI5866" t="n">
        <v>162</v>
      </c>
      <c r="AJ5866" t="inlineStr">
        <is>
          <t>VIENNA BEAUTY</t>
        </is>
      </c>
      <c r="AK5866" t="n">
        <v>21</v>
      </c>
      <c r="AL5866" t="inlineStr">
        <is>
          <t>Miss Glam Damar</t>
        </is>
      </c>
      <c r="AM5866" t="n">
        <v>3</v>
      </c>
      <c r="AN5866" t="n">
        <v>500000</v>
      </c>
      <c r="AO5866" t="n">
        <v>0</v>
      </c>
      <c r="AP5866" t="inlineStr"/>
      <c r="AQ5866" t="inlineStr"/>
    </row>
    <row r="5867">
      <c r="A5867" t="inlineStr">
        <is>
          <t>VIENNA BEAUTY</t>
        </is>
      </c>
      <c r="B5867" s="2">
        <f>"8995026307504"</f>
        <v/>
      </c>
      <c r="C5867" t="inlineStr">
        <is>
          <t>VIENNA BEAUTY White Spa Shower Cream Sensual Pouch 500ml</t>
        </is>
      </c>
      <c r="D5867" t="inlineStr">
        <is>
          <t>Miss Glam Damar</t>
        </is>
      </c>
      <c r="E5867" t="n">
        <v>1</v>
      </c>
      <c r="F5867" t="n">
        <v>0.1092</v>
      </c>
      <c r="G5867" t="n">
        <v>0.91</v>
      </c>
      <c r="H5867" t="n">
        <v>7</v>
      </c>
      <c r="I5867" t="n">
        <v>14</v>
      </c>
      <c r="J5867" t="n">
        <v>3</v>
      </c>
      <c r="K5867" t="n">
        <v>0</v>
      </c>
      <c r="L5867" t="n">
        <v>32967</v>
      </c>
      <c r="M5867" t="n">
        <v>45000</v>
      </c>
      <c r="N5867" t="n">
        <v>91</v>
      </c>
      <c r="O5867" t="n">
        <v>0.91</v>
      </c>
      <c r="P5867" t="n">
        <v>1</v>
      </c>
      <c r="Q5867" t="n">
        <v>0.1</v>
      </c>
      <c r="R5867" t="n">
        <v>1</v>
      </c>
      <c r="S5867" t="n">
        <v>4914</v>
      </c>
      <c r="T5867" t="n">
        <v>12</v>
      </c>
      <c r="U5867" t="n">
        <v>13</v>
      </c>
      <c r="V5867" t="n">
        <v>30</v>
      </c>
      <c r="W5867" t="n">
        <v>4</v>
      </c>
      <c r="X5867" t="n">
        <v>9.157509157509157</v>
      </c>
      <c r="Y5867" t="n">
        <v>1</v>
      </c>
      <c r="Z5867" t="n">
        <v>3</v>
      </c>
      <c r="AA5867" t="n">
        <v>1</v>
      </c>
      <c r="AB5867" t="n">
        <v>2</v>
      </c>
      <c r="AC5867" t="n">
        <v>3</v>
      </c>
      <c r="AD5867" t="n">
        <v>32967</v>
      </c>
      <c r="AE5867" t="n">
        <v>98901</v>
      </c>
      <c r="AF5867" t="n">
        <v>9620</v>
      </c>
      <c r="AG5867" t="n">
        <v>2037</v>
      </c>
      <c r="AH5867" t="inlineStr">
        <is>
          <t>PT. CAKRA DAYA UNGGUL - PPN (PDG)</t>
        </is>
      </c>
      <c r="AI5867" t="n">
        <v>162</v>
      </c>
      <c r="AJ5867" t="inlineStr">
        <is>
          <t>VIENNA BEAUTY</t>
        </is>
      </c>
      <c r="AK5867" t="n">
        <v>21</v>
      </c>
      <c r="AL5867" t="inlineStr">
        <is>
          <t>Miss Glam Damar</t>
        </is>
      </c>
      <c r="AM5867" t="n">
        <v>3</v>
      </c>
      <c r="AN5867" t="n">
        <v>500000</v>
      </c>
      <c r="AO5867" t="n">
        <v>0</v>
      </c>
      <c r="AP5867" t="inlineStr"/>
      <c r="AQ5867" t="inlineStr"/>
    </row>
    <row r="5868">
      <c r="A5868" t="inlineStr">
        <is>
          <t>VIENNA BEAUTY</t>
        </is>
      </c>
      <c r="B5868" s="2">
        <f>"8995026300734"</f>
        <v/>
      </c>
      <c r="C5868" t="inlineStr">
        <is>
          <t>VIENNA BEAUTY White Spa Shower Cream Tranquality Pouch 500ml</t>
        </is>
      </c>
      <c r="D5868" t="inlineStr">
        <is>
          <t>Miss Glam Damar</t>
        </is>
      </c>
      <c r="E5868" t="n">
        <v>9</v>
      </c>
      <c r="F5868" t="n">
        <v>0.04550000000000001</v>
      </c>
      <c r="G5868" t="n">
        <v>0.91</v>
      </c>
      <c r="H5868" t="n">
        <v>7</v>
      </c>
      <c r="I5868" t="n">
        <v>14</v>
      </c>
      <c r="J5868" t="n">
        <v>3</v>
      </c>
      <c r="K5868" t="n">
        <v>0</v>
      </c>
      <c r="L5868" t="n">
        <v>32967</v>
      </c>
      <c r="M5868" t="n">
        <v>45000</v>
      </c>
      <c r="N5868" t="n">
        <v>91</v>
      </c>
      <c r="O5868" t="n">
        <v>0.91</v>
      </c>
      <c r="P5868" t="n">
        <v>1</v>
      </c>
      <c r="Q5868" t="n">
        <v>0.05</v>
      </c>
      <c r="R5868" t="n">
        <v>1</v>
      </c>
      <c r="S5868" t="n">
        <v>2047.5</v>
      </c>
      <c r="T5868" t="n">
        <v>13</v>
      </c>
      <c r="U5868" t="n">
        <v>14</v>
      </c>
      <c r="V5868" t="n">
        <v>30</v>
      </c>
      <c r="W5868" t="n">
        <v>2</v>
      </c>
      <c r="X5868" t="n">
        <v>197.8021978021978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9620</v>
      </c>
      <c r="AG5868" t="n">
        <v>2037</v>
      </c>
      <c r="AH5868" t="inlineStr">
        <is>
          <t>PT. CAKRA DAYA UNGGUL - PPN (PDG)</t>
        </is>
      </c>
      <c r="AI5868" t="n">
        <v>162</v>
      </c>
      <c r="AJ5868" t="inlineStr">
        <is>
          <t>VIENNA BEAUTY</t>
        </is>
      </c>
      <c r="AK5868" t="n">
        <v>21</v>
      </c>
      <c r="AL5868" t="inlineStr">
        <is>
          <t>Miss Glam Damar</t>
        </is>
      </c>
      <c r="AM5868" t="n">
        <v>3</v>
      </c>
      <c r="AN5868" t="n">
        <v>500000</v>
      </c>
      <c r="AO5868" t="n">
        <v>0</v>
      </c>
      <c r="AP5868" t="inlineStr"/>
      <c r="AQ5868" t="inlineStr"/>
    </row>
    <row r="5869">
      <c r="A5869" t="inlineStr">
        <is>
          <t>VIENNA BEAUTY</t>
        </is>
      </c>
      <c r="B5869" s="2">
        <f>"8994942008694"</f>
        <v/>
      </c>
      <c r="C5869" t="inlineStr">
        <is>
          <t>VIENNA BEAUTY White Sparkling</t>
        </is>
      </c>
      <c r="D5869" t="inlineStr">
        <is>
          <t>Miss Glam Damar</t>
        </is>
      </c>
      <c r="E5869" t="n">
        <v>2</v>
      </c>
      <c r="F5869" t="n">
        <v>0.0182</v>
      </c>
      <c r="G5869" t="n">
        <v>0.91</v>
      </c>
      <c r="H5869" t="n">
        <v>7</v>
      </c>
      <c r="I5869" t="n">
        <v>14</v>
      </c>
      <c r="J5869" t="n">
        <v>3</v>
      </c>
      <c r="K5869" t="n">
        <v>0</v>
      </c>
      <c r="L5869" t="n">
        <v>23976</v>
      </c>
      <c r="M5869" t="n">
        <v>32000</v>
      </c>
      <c r="N5869" t="n">
        <v>91</v>
      </c>
      <c r="O5869" t="n">
        <v>0.91</v>
      </c>
      <c r="P5869" t="n">
        <v>1</v>
      </c>
      <c r="Q5869" t="n">
        <v>0.02</v>
      </c>
      <c r="R5869" t="n">
        <v>1</v>
      </c>
      <c r="S5869" t="n">
        <v>582.4</v>
      </c>
      <c r="T5869" t="n">
        <v>13</v>
      </c>
      <c r="U5869" t="n">
        <v>14</v>
      </c>
      <c r="V5869" t="n">
        <v>30</v>
      </c>
      <c r="W5869" t="n">
        <v>1</v>
      </c>
      <c r="X5869" t="n">
        <v>109.8901098901099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9620</v>
      </c>
      <c r="AG5869" t="n">
        <v>2037</v>
      </c>
      <c r="AH5869" t="inlineStr">
        <is>
          <t>PT. CAKRA DAYA UNGGUL - PPN (PDG)</t>
        </is>
      </c>
      <c r="AI5869" t="n">
        <v>162</v>
      </c>
      <c r="AJ5869" t="inlineStr">
        <is>
          <t>VIENNA BEAUTY</t>
        </is>
      </c>
      <c r="AK5869" t="n">
        <v>21</v>
      </c>
      <c r="AL5869" t="inlineStr">
        <is>
          <t>Miss Glam Damar</t>
        </is>
      </c>
      <c r="AM5869" t="n">
        <v>3</v>
      </c>
      <c r="AN5869" t="n">
        <v>500000</v>
      </c>
      <c r="AO5869" t="n">
        <v>0</v>
      </c>
      <c r="AP5869" t="inlineStr"/>
      <c r="AQ5869" t="inlineStr"/>
    </row>
    <row r="5870">
      <c r="A5870" t="inlineStr">
        <is>
          <t>VIENNA BEAUTY</t>
        </is>
      </c>
      <c r="B5870" s="2">
        <f>"8994942029965"</f>
        <v/>
      </c>
      <c r="C5870" t="inlineStr">
        <is>
          <t>VIENNA Body Cleanser Goats Milk Ceramide 500ml</t>
        </is>
      </c>
      <c r="D5870" t="inlineStr">
        <is>
          <t>Miss Glam Damar</t>
        </is>
      </c>
      <c r="E5870" t="n">
        <v>3</v>
      </c>
      <c r="F5870" t="n">
        <v>0.0273</v>
      </c>
      <c r="G5870" t="n">
        <v>0.91</v>
      </c>
      <c r="H5870" t="n">
        <v>7</v>
      </c>
      <c r="I5870" t="n">
        <v>14</v>
      </c>
      <c r="J5870" t="n">
        <v>3</v>
      </c>
      <c r="K5870" t="n">
        <v>0</v>
      </c>
      <c r="L5870" t="n">
        <v>41958</v>
      </c>
      <c r="M5870" t="n">
        <v>52500</v>
      </c>
      <c r="N5870" t="n">
        <v>91</v>
      </c>
      <c r="O5870" t="n">
        <v>0.91</v>
      </c>
      <c r="P5870" t="n">
        <v>1</v>
      </c>
      <c r="Q5870" t="n">
        <v>0.05</v>
      </c>
      <c r="R5870" t="n">
        <v>1</v>
      </c>
      <c r="S5870" t="n">
        <v>1433.25</v>
      </c>
      <c r="T5870" t="n">
        <v>13</v>
      </c>
      <c r="U5870" t="n">
        <v>14</v>
      </c>
      <c r="V5870" t="n">
        <v>30</v>
      </c>
      <c r="W5870" t="n">
        <v>1</v>
      </c>
      <c r="X5870" t="n">
        <v>109.8901098901099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9620</v>
      </c>
      <c r="AG5870" t="n">
        <v>2037</v>
      </c>
      <c r="AH5870" t="inlineStr">
        <is>
          <t>PT. CAKRA DAYA UNGGUL - PPN (PDG)</t>
        </is>
      </c>
      <c r="AI5870" t="n">
        <v>162</v>
      </c>
      <c r="AJ5870" t="inlineStr">
        <is>
          <t>VIENNA BEAUTY</t>
        </is>
      </c>
      <c r="AK5870" t="n">
        <v>21</v>
      </c>
      <c r="AL5870" t="inlineStr">
        <is>
          <t>Miss Glam Damar</t>
        </is>
      </c>
      <c r="AM5870" t="n">
        <v>3</v>
      </c>
      <c r="AN5870" t="n">
        <v>500000</v>
      </c>
      <c r="AO5870" t="n">
        <v>0</v>
      </c>
      <c r="AP5870" t="inlineStr"/>
      <c r="AQ5870" t="inlineStr"/>
    </row>
    <row r="5871">
      <c r="A5871" t="inlineStr">
        <is>
          <t>VIENNA BEAUTY</t>
        </is>
      </c>
      <c r="B5871" s="2">
        <f>"8994942029644"</f>
        <v/>
      </c>
      <c r="C5871" t="inlineStr">
        <is>
          <t>VIENNA Body Cleanser Goats Milk Niacinamide 350ml</t>
        </is>
      </c>
      <c r="D5871" t="inlineStr">
        <is>
          <t>Miss Glam Damar</t>
        </is>
      </c>
      <c r="E5871" t="n">
        <v>3</v>
      </c>
      <c r="F5871" t="n">
        <v>0.0182</v>
      </c>
      <c r="G5871" t="n">
        <v>0.91</v>
      </c>
      <c r="H5871" t="n">
        <v>7</v>
      </c>
      <c r="I5871" t="n">
        <v>14</v>
      </c>
      <c r="J5871" t="n">
        <v>3</v>
      </c>
      <c r="K5871" t="n">
        <v>0</v>
      </c>
      <c r="L5871" t="n">
        <v>25974</v>
      </c>
      <c r="M5871" t="n">
        <v>32500</v>
      </c>
      <c r="N5871" t="n">
        <v>91</v>
      </c>
      <c r="O5871" t="n">
        <v>0.91</v>
      </c>
      <c r="P5871" t="n">
        <v>1</v>
      </c>
      <c r="Q5871" t="n">
        <v>0.02</v>
      </c>
      <c r="R5871" t="n">
        <v>1</v>
      </c>
      <c r="S5871" t="n">
        <v>591.5</v>
      </c>
      <c r="T5871" t="n">
        <v>13</v>
      </c>
      <c r="U5871" t="n">
        <v>14</v>
      </c>
      <c r="V5871" t="n">
        <v>30</v>
      </c>
      <c r="W5871" t="n">
        <v>1</v>
      </c>
      <c r="X5871" t="n">
        <v>164.8351648351648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9620</v>
      </c>
      <c r="AG5871" t="n">
        <v>2037</v>
      </c>
      <c r="AH5871" t="inlineStr">
        <is>
          <t>PT. CAKRA DAYA UNGGUL - PPN (PDG)</t>
        </is>
      </c>
      <c r="AI5871" t="n">
        <v>162</v>
      </c>
      <c r="AJ5871" t="inlineStr">
        <is>
          <t>VIENNA BEAUTY</t>
        </is>
      </c>
      <c r="AK5871" t="n">
        <v>21</v>
      </c>
      <c r="AL5871" t="inlineStr">
        <is>
          <t>Miss Glam Damar</t>
        </is>
      </c>
      <c r="AM5871" t="n">
        <v>3</v>
      </c>
      <c r="AN5871" t="n">
        <v>500000</v>
      </c>
      <c r="AO5871" t="n">
        <v>0</v>
      </c>
      <c r="AP5871" t="inlineStr"/>
      <c r="AQ5871" t="inlineStr"/>
    </row>
    <row r="5872">
      <c r="A5872" t="inlineStr">
        <is>
          <t>VIENNA BEAUTY</t>
        </is>
      </c>
      <c r="B5872" s="2">
        <f>"8994942029941"</f>
        <v/>
      </c>
      <c r="C5872" t="inlineStr">
        <is>
          <t>VIENNA Body Cleanser Hokkaido Milk Ceramide 500ml</t>
        </is>
      </c>
      <c r="D5872" t="inlineStr">
        <is>
          <t>Miss Glam Damar</t>
        </is>
      </c>
      <c r="E5872" t="n">
        <v>1</v>
      </c>
      <c r="F5872" t="n">
        <v>0.03</v>
      </c>
      <c r="G5872" t="n">
        <v>1</v>
      </c>
      <c r="H5872" t="n">
        <v>7</v>
      </c>
      <c r="I5872" t="n">
        <v>14</v>
      </c>
      <c r="J5872" t="n">
        <v>3</v>
      </c>
      <c r="K5872" t="n">
        <v>0</v>
      </c>
      <c r="L5872" t="n">
        <v>41958</v>
      </c>
      <c r="M5872" t="n">
        <v>52500</v>
      </c>
      <c r="N5872" t="n">
        <v>91</v>
      </c>
      <c r="O5872" t="n">
        <v>0.91</v>
      </c>
      <c r="P5872" t="n">
        <v>0</v>
      </c>
      <c r="Q5872" t="n">
        <v>0.03</v>
      </c>
      <c r="R5872" t="n">
        <v>1</v>
      </c>
      <c r="S5872" t="n">
        <v>1575</v>
      </c>
      <c r="T5872" t="n">
        <v>14</v>
      </c>
      <c r="U5872" t="n">
        <v>15</v>
      </c>
      <c r="V5872" t="n">
        <v>30</v>
      </c>
      <c r="W5872" t="n">
        <v>1</v>
      </c>
      <c r="X5872" t="n">
        <v>33.33333333333334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9620</v>
      </c>
      <c r="AG5872" t="n">
        <v>2037</v>
      </c>
      <c r="AH5872" t="inlineStr">
        <is>
          <t>PT. CAKRA DAYA UNGGUL - PPN (PDG)</t>
        </is>
      </c>
      <c r="AI5872" t="n">
        <v>162</v>
      </c>
      <c r="AJ5872" t="inlineStr">
        <is>
          <t>VIENNA BEAUTY</t>
        </is>
      </c>
      <c r="AK5872" t="n">
        <v>21</v>
      </c>
      <c r="AL5872" t="inlineStr">
        <is>
          <t>Miss Glam Damar</t>
        </is>
      </c>
      <c r="AM5872" t="n">
        <v>3</v>
      </c>
      <c r="AN5872" t="n">
        <v>500000</v>
      </c>
      <c r="AO5872" t="n">
        <v>0</v>
      </c>
      <c r="AP5872" t="inlineStr"/>
      <c r="AQ5872" t="inlineStr"/>
    </row>
    <row r="5873">
      <c r="A5873" t="inlineStr">
        <is>
          <t>VIENNA BEAUTY</t>
        </is>
      </c>
      <c r="B5873" s="2">
        <f>"8994942030695"</f>
        <v/>
      </c>
      <c r="C5873" t="inlineStr">
        <is>
          <t>VIENNA Body Cleanser Mango Milk Vitamin C Niacinamide 350ml</t>
        </is>
      </c>
      <c r="D5873" t="inlineStr">
        <is>
          <t>Miss Glam Damar</t>
        </is>
      </c>
      <c r="E5873" t="n">
        <v>4</v>
      </c>
      <c r="F5873" t="n">
        <v>0.04550000000000001</v>
      </c>
      <c r="G5873" t="n">
        <v>0.91</v>
      </c>
      <c r="H5873" t="n">
        <v>7</v>
      </c>
      <c r="I5873" t="n">
        <v>14</v>
      </c>
      <c r="J5873" t="n">
        <v>3</v>
      </c>
      <c r="K5873" t="n">
        <v>0</v>
      </c>
      <c r="L5873" t="n">
        <v>25974</v>
      </c>
      <c r="M5873" t="n">
        <v>32500</v>
      </c>
      <c r="N5873" t="n">
        <v>91</v>
      </c>
      <c r="O5873" t="n">
        <v>0.91</v>
      </c>
      <c r="P5873" t="n">
        <v>1</v>
      </c>
      <c r="Q5873" t="n">
        <v>0.1</v>
      </c>
      <c r="R5873" t="n">
        <v>1</v>
      </c>
      <c r="S5873" t="n">
        <v>1478.75</v>
      </c>
      <c r="T5873" t="n">
        <v>13</v>
      </c>
      <c r="U5873" t="n">
        <v>14</v>
      </c>
      <c r="V5873" t="n">
        <v>30</v>
      </c>
      <c r="W5873" t="n">
        <v>2</v>
      </c>
      <c r="X5873" t="n">
        <v>87.9120879120879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9620</v>
      </c>
      <c r="AG5873" t="n">
        <v>2037</v>
      </c>
      <c r="AH5873" t="inlineStr">
        <is>
          <t>PT. CAKRA DAYA UNGGUL - PPN (PDG)</t>
        </is>
      </c>
      <c r="AI5873" t="n">
        <v>162</v>
      </c>
      <c r="AJ5873" t="inlineStr">
        <is>
          <t>VIENNA BEAUTY</t>
        </is>
      </c>
      <c r="AK5873" t="n">
        <v>21</v>
      </c>
      <c r="AL5873" t="inlineStr">
        <is>
          <t>Miss Glam Damar</t>
        </is>
      </c>
      <c r="AM5873" t="n">
        <v>3</v>
      </c>
      <c r="AN5873" t="n">
        <v>500000</v>
      </c>
      <c r="AO5873" t="n">
        <v>0</v>
      </c>
      <c r="AP5873" t="inlineStr"/>
      <c r="AQ5873" t="inlineStr"/>
    </row>
    <row r="5874">
      <c r="A5874" t="inlineStr">
        <is>
          <t>VIENNA BEAUTY</t>
        </is>
      </c>
      <c r="B5874" s="2">
        <f>"8994942030770"</f>
        <v/>
      </c>
      <c r="C5874" t="inlineStr">
        <is>
          <t>VIENNA Body Cleanser Mango Milk Vitamin C Niacinamide 500ml</t>
        </is>
      </c>
      <c r="D5874" t="inlineStr">
        <is>
          <t>Miss Glam Damar</t>
        </is>
      </c>
      <c r="E5874" t="n">
        <v>9</v>
      </c>
      <c r="F5874" t="n">
        <v>0.02</v>
      </c>
      <c r="G5874" t="n">
        <v>1</v>
      </c>
      <c r="H5874" t="n">
        <v>7</v>
      </c>
      <c r="I5874" t="n">
        <v>14</v>
      </c>
      <c r="J5874" t="n">
        <v>3</v>
      </c>
      <c r="K5874" t="n">
        <v>0</v>
      </c>
      <c r="L5874" t="n">
        <v>41958</v>
      </c>
      <c r="M5874" t="n">
        <v>49500</v>
      </c>
      <c r="N5874" t="n">
        <v>91</v>
      </c>
      <c r="O5874" t="n">
        <v>0.91</v>
      </c>
      <c r="P5874" t="n">
        <v>0</v>
      </c>
      <c r="Q5874" t="n">
        <v>0.02</v>
      </c>
      <c r="R5874" t="n">
        <v>1</v>
      </c>
      <c r="S5874" t="n">
        <v>990</v>
      </c>
      <c r="T5874" t="n">
        <v>14</v>
      </c>
      <c r="U5874" t="n">
        <v>15</v>
      </c>
      <c r="V5874" t="n">
        <v>30</v>
      </c>
      <c r="W5874" t="n">
        <v>1</v>
      </c>
      <c r="X5874" t="n">
        <v>450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9620</v>
      </c>
      <c r="AG5874" t="n">
        <v>2037</v>
      </c>
      <c r="AH5874" t="inlineStr">
        <is>
          <t>PT. CAKRA DAYA UNGGUL - PPN (PDG)</t>
        </is>
      </c>
      <c r="AI5874" t="n">
        <v>162</v>
      </c>
      <c r="AJ5874" t="inlineStr">
        <is>
          <t>VIENNA BEAUTY</t>
        </is>
      </c>
      <c r="AK5874" t="n">
        <v>21</v>
      </c>
      <c r="AL5874" t="inlineStr">
        <is>
          <t>Miss Glam Damar</t>
        </is>
      </c>
      <c r="AM5874" t="n">
        <v>3</v>
      </c>
      <c r="AN5874" t="n">
        <v>500000</v>
      </c>
      <c r="AO5874" t="n">
        <v>0</v>
      </c>
      <c r="AP5874" t="inlineStr"/>
      <c r="AQ5874" t="inlineStr"/>
    </row>
    <row r="5875">
      <c r="A5875" t="inlineStr">
        <is>
          <t>VIENNA BEAUTY</t>
        </is>
      </c>
      <c r="B5875" s="2">
        <f>"8994942029958"</f>
        <v/>
      </c>
      <c r="C5875" t="inlineStr">
        <is>
          <t>VIENNA Body Cleanser Melon Milk Ceramide 500ml</t>
        </is>
      </c>
      <c r="D5875" t="inlineStr">
        <is>
          <t>Miss Glam Damar</t>
        </is>
      </c>
      <c r="E5875" t="n">
        <v>3</v>
      </c>
      <c r="F5875" t="n">
        <v>0.02</v>
      </c>
      <c r="G5875" t="n">
        <v>1</v>
      </c>
      <c r="H5875" t="n">
        <v>7</v>
      </c>
      <c r="I5875" t="n">
        <v>14</v>
      </c>
      <c r="J5875" t="n">
        <v>3</v>
      </c>
      <c r="K5875" t="n">
        <v>0</v>
      </c>
      <c r="L5875" t="n">
        <v>41958</v>
      </c>
      <c r="M5875" t="n">
        <v>52500</v>
      </c>
      <c r="N5875" t="n">
        <v>91</v>
      </c>
      <c r="O5875" t="n">
        <v>0.91</v>
      </c>
      <c r="P5875" t="n">
        <v>0</v>
      </c>
      <c r="Q5875" t="n">
        <v>0.02</v>
      </c>
      <c r="R5875" t="n">
        <v>1</v>
      </c>
      <c r="S5875" t="n">
        <v>1050</v>
      </c>
      <c r="T5875" t="n">
        <v>14</v>
      </c>
      <c r="U5875" t="n">
        <v>15</v>
      </c>
      <c r="V5875" t="n">
        <v>30</v>
      </c>
      <c r="W5875" t="n">
        <v>1</v>
      </c>
      <c r="X5875" t="n">
        <v>150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9620</v>
      </c>
      <c r="AG5875" t="n">
        <v>2037</v>
      </c>
      <c r="AH5875" t="inlineStr">
        <is>
          <t>PT. CAKRA DAYA UNGGUL - PPN (PDG)</t>
        </is>
      </c>
      <c r="AI5875" t="n">
        <v>162</v>
      </c>
      <c r="AJ5875" t="inlineStr">
        <is>
          <t>VIENNA BEAUTY</t>
        </is>
      </c>
      <c r="AK5875" t="n">
        <v>21</v>
      </c>
      <c r="AL5875" t="inlineStr">
        <is>
          <t>Miss Glam Damar</t>
        </is>
      </c>
      <c r="AM5875" t="n">
        <v>3</v>
      </c>
      <c r="AN5875" t="n">
        <v>500000</v>
      </c>
      <c r="AO5875" t="n">
        <v>0</v>
      </c>
      <c r="AP5875" t="inlineStr"/>
      <c r="AQ5875" t="inlineStr"/>
    </row>
    <row r="5876">
      <c r="A5876" t="inlineStr">
        <is>
          <t>VIENNA BEAUTY</t>
        </is>
      </c>
      <c r="B5876" s="2">
        <f>"8994942030718"</f>
        <v/>
      </c>
      <c r="C5876" t="inlineStr">
        <is>
          <t>VIENNA Body Cleanser Strawberry Milk Gluta Arbutin Niacinamide 350ml</t>
        </is>
      </c>
      <c r="D5876" t="inlineStr">
        <is>
          <t>Miss Glam Damar</t>
        </is>
      </c>
      <c r="E5876" t="n">
        <v>7</v>
      </c>
      <c r="F5876" t="n">
        <v>0.14</v>
      </c>
      <c r="G5876" t="n">
        <v>2</v>
      </c>
      <c r="H5876" t="n">
        <v>7</v>
      </c>
      <c r="I5876" t="n">
        <v>14</v>
      </c>
      <c r="J5876" t="n">
        <v>3</v>
      </c>
      <c r="K5876" t="n">
        <v>0</v>
      </c>
      <c r="L5876" t="n">
        <v>25974</v>
      </c>
      <c r="M5876" t="n">
        <v>32500</v>
      </c>
      <c r="N5876" t="n">
        <v>91</v>
      </c>
      <c r="O5876" t="n">
        <v>0.91</v>
      </c>
      <c r="P5876" t="n">
        <v>0</v>
      </c>
      <c r="Q5876" t="n">
        <v>0.14</v>
      </c>
      <c r="R5876" t="n">
        <v>2</v>
      </c>
      <c r="S5876" t="n">
        <v>4550</v>
      </c>
      <c r="T5876" t="n">
        <v>28</v>
      </c>
      <c r="U5876" t="n">
        <v>29</v>
      </c>
      <c r="V5876" t="n">
        <v>30</v>
      </c>
      <c r="W5876" t="n">
        <v>5</v>
      </c>
      <c r="X5876" t="n">
        <v>49.99999999999999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9620</v>
      </c>
      <c r="AG5876" t="n">
        <v>2037</v>
      </c>
      <c r="AH5876" t="inlineStr">
        <is>
          <t>PT. CAKRA DAYA UNGGUL - PPN (PDG)</t>
        </is>
      </c>
      <c r="AI5876" t="n">
        <v>162</v>
      </c>
      <c r="AJ5876" t="inlineStr">
        <is>
          <t>VIENNA BEAUTY</t>
        </is>
      </c>
      <c r="AK5876" t="n">
        <v>21</v>
      </c>
      <c r="AL5876" t="inlineStr">
        <is>
          <t>Miss Glam Damar</t>
        </is>
      </c>
      <c r="AM5876" t="n">
        <v>3</v>
      </c>
      <c r="AN5876" t="n">
        <v>500000</v>
      </c>
      <c r="AO5876" t="n">
        <v>0</v>
      </c>
      <c r="AP5876" t="inlineStr"/>
      <c r="AQ5876" t="inlineStr"/>
    </row>
    <row r="5877">
      <c r="A5877" t="inlineStr">
        <is>
          <t>VIENNA BEAUTY</t>
        </is>
      </c>
      <c r="B5877" s="2">
        <f>"8994942030893"</f>
        <v/>
      </c>
      <c r="C5877" t="inlineStr">
        <is>
          <t>VIENNA Body Cleanser Vanilla Milk Giga White Niacinamide 350ml</t>
        </is>
      </c>
      <c r="D5877" t="inlineStr">
        <is>
          <t>Miss Glam Damar</t>
        </is>
      </c>
      <c r="E5877" t="n">
        <v>8</v>
      </c>
      <c r="F5877" t="n">
        <v>0.1092</v>
      </c>
      <c r="G5877" t="n">
        <v>1.82</v>
      </c>
      <c r="H5877" t="n">
        <v>7</v>
      </c>
      <c r="I5877" t="n">
        <v>14</v>
      </c>
      <c r="J5877" t="n">
        <v>3</v>
      </c>
      <c r="K5877" t="n">
        <v>0</v>
      </c>
      <c r="L5877" t="n">
        <v>25974</v>
      </c>
      <c r="M5877" t="n">
        <v>32500</v>
      </c>
      <c r="N5877" t="n">
        <v>91</v>
      </c>
      <c r="O5877" t="n">
        <v>0.91</v>
      </c>
      <c r="P5877" t="n">
        <v>1</v>
      </c>
      <c r="Q5877" t="n">
        <v>0.07000000000000001</v>
      </c>
      <c r="R5877" t="n">
        <v>2</v>
      </c>
      <c r="S5877" t="n">
        <v>3549</v>
      </c>
      <c r="T5877" t="n">
        <v>25</v>
      </c>
      <c r="U5877" t="n">
        <v>26</v>
      </c>
      <c r="V5877" t="n">
        <v>30</v>
      </c>
      <c r="W5877" t="n">
        <v>4</v>
      </c>
      <c r="X5877" t="n">
        <v>73.26007326007326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9620</v>
      </c>
      <c r="AG5877" t="n">
        <v>2037</v>
      </c>
      <c r="AH5877" t="inlineStr">
        <is>
          <t>PT. CAKRA DAYA UNGGUL - PPN (PDG)</t>
        </is>
      </c>
      <c r="AI5877" t="n">
        <v>162</v>
      </c>
      <c r="AJ5877" t="inlineStr">
        <is>
          <t>VIENNA BEAUTY</t>
        </is>
      </c>
      <c r="AK5877" t="n">
        <v>21</v>
      </c>
      <c r="AL5877" t="inlineStr">
        <is>
          <t>Miss Glam Damar</t>
        </is>
      </c>
      <c r="AM5877" t="n">
        <v>3</v>
      </c>
      <c r="AN5877" t="n">
        <v>500000</v>
      </c>
      <c r="AO5877" t="n">
        <v>0</v>
      </c>
      <c r="AP5877" t="inlineStr"/>
      <c r="AQ5877" t="inlineStr"/>
    </row>
    <row r="5878">
      <c r="A5878" t="inlineStr">
        <is>
          <t>VIENNA BEAUTY</t>
        </is>
      </c>
      <c r="B5878" s="2">
        <f>"8994942015906"</f>
        <v/>
      </c>
      <c r="C5878" t="inlineStr">
        <is>
          <t>VIENNA Bright Peel Off Lemon</t>
        </is>
      </c>
      <c r="D5878" t="inlineStr">
        <is>
          <t>Miss Glam Damar</t>
        </is>
      </c>
      <c r="E5878" t="n">
        <v>7</v>
      </c>
      <c r="F5878" t="n">
        <v>0.2821</v>
      </c>
      <c r="G5878" t="n">
        <v>1.82</v>
      </c>
      <c r="H5878" t="n">
        <v>7</v>
      </c>
      <c r="I5878" t="n">
        <v>14</v>
      </c>
      <c r="J5878" t="n">
        <v>3</v>
      </c>
      <c r="K5878" t="n">
        <v>0</v>
      </c>
      <c r="L5878" t="n">
        <v>7493</v>
      </c>
      <c r="M5878" t="n">
        <v>10500</v>
      </c>
      <c r="N5878" t="n">
        <v>91</v>
      </c>
      <c r="O5878" t="n">
        <v>0.91</v>
      </c>
      <c r="P5878" t="n">
        <v>1</v>
      </c>
      <c r="Q5878" t="n">
        <v>0.19</v>
      </c>
      <c r="R5878" t="n">
        <v>2</v>
      </c>
      <c r="S5878" t="n">
        <v>2962.05</v>
      </c>
      <c r="T5878" t="n">
        <v>24</v>
      </c>
      <c r="U5878" t="n">
        <v>26</v>
      </c>
      <c r="V5878" t="n">
        <v>30</v>
      </c>
      <c r="W5878" t="n">
        <v>9</v>
      </c>
      <c r="X5878" t="n">
        <v>24.81389578163772</v>
      </c>
      <c r="Y5878" t="n">
        <v>1</v>
      </c>
      <c r="Z5878" t="n">
        <v>2</v>
      </c>
      <c r="AA5878" t="n">
        <v>0</v>
      </c>
      <c r="AB5878" t="n">
        <v>2</v>
      </c>
      <c r="AC5878" t="n">
        <v>3</v>
      </c>
      <c r="AD5878" t="n">
        <v>0</v>
      </c>
      <c r="AE5878" t="n">
        <v>22479</v>
      </c>
      <c r="AF5878" t="n">
        <v>9620</v>
      </c>
      <c r="AG5878" t="n">
        <v>2037</v>
      </c>
      <c r="AH5878" t="inlineStr">
        <is>
          <t>PT. CAKRA DAYA UNGGUL - PPN (PDG)</t>
        </is>
      </c>
      <c r="AI5878" t="n">
        <v>162</v>
      </c>
      <c r="AJ5878" t="inlineStr">
        <is>
          <t>VIENNA BEAUTY</t>
        </is>
      </c>
      <c r="AK5878" t="n">
        <v>21</v>
      </c>
      <c r="AL5878" t="inlineStr">
        <is>
          <t>Miss Glam Damar</t>
        </is>
      </c>
      <c r="AM5878" t="n">
        <v>3</v>
      </c>
      <c r="AN5878" t="n">
        <v>500000</v>
      </c>
      <c r="AO5878" t="n">
        <v>0</v>
      </c>
      <c r="AP5878" t="inlineStr"/>
      <c r="AQ5878" t="inlineStr"/>
    </row>
    <row r="5879">
      <c r="A5879" t="inlineStr">
        <is>
          <t>VIENNA BEAUTY</t>
        </is>
      </c>
      <c r="B5879" s="2">
        <f>"8994942008601"</f>
        <v/>
      </c>
      <c r="C5879" t="inlineStr">
        <is>
          <t>VIENNA Face Mask Black Mud 50ml</t>
        </is>
      </c>
      <c r="D5879" t="inlineStr">
        <is>
          <t>Miss Glam Damar</t>
        </is>
      </c>
      <c r="E5879" t="n">
        <v>12</v>
      </c>
      <c r="F5879" t="n">
        <v>0.06370000000000001</v>
      </c>
      <c r="G5879" t="n">
        <v>0.91</v>
      </c>
      <c r="H5879" t="n">
        <v>7</v>
      </c>
      <c r="I5879" t="n">
        <v>14</v>
      </c>
      <c r="J5879" t="n">
        <v>3</v>
      </c>
      <c r="K5879" t="n">
        <v>0</v>
      </c>
      <c r="L5879" t="n">
        <v>20979</v>
      </c>
      <c r="M5879" t="n">
        <v>29000</v>
      </c>
      <c r="N5879" t="n">
        <v>91</v>
      </c>
      <c r="O5879" t="n">
        <v>0.91</v>
      </c>
      <c r="P5879" t="n">
        <v>1</v>
      </c>
      <c r="Q5879" t="n">
        <v>0.12</v>
      </c>
      <c r="R5879" t="n">
        <v>1</v>
      </c>
      <c r="S5879" t="n">
        <v>1847.3</v>
      </c>
      <c r="T5879" t="n">
        <v>13</v>
      </c>
      <c r="U5879" t="n">
        <v>14</v>
      </c>
      <c r="V5879" t="n">
        <v>30</v>
      </c>
      <c r="W5879" t="n">
        <v>2</v>
      </c>
      <c r="X5879" t="n">
        <v>188.3830455259026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9620</v>
      </c>
      <c r="AG5879" t="n">
        <v>2037</v>
      </c>
      <c r="AH5879" t="inlineStr">
        <is>
          <t>PT. CAKRA DAYA UNGGUL - PPN (PDG)</t>
        </is>
      </c>
      <c r="AI5879" t="n">
        <v>162</v>
      </c>
      <c r="AJ5879" t="inlineStr">
        <is>
          <t>VIENNA BEAUTY</t>
        </is>
      </c>
      <c r="AK5879" t="n">
        <v>21</v>
      </c>
      <c r="AL5879" t="inlineStr">
        <is>
          <t>Miss Glam Damar</t>
        </is>
      </c>
      <c r="AM5879" t="n">
        <v>3</v>
      </c>
      <c r="AN5879" t="n">
        <v>500000</v>
      </c>
      <c r="AO5879" t="n">
        <v>0</v>
      </c>
      <c r="AP5879" t="inlineStr"/>
      <c r="AQ5879" t="inlineStr"/>
    </row>
    <row r="5880">
      <c r="A5880" t="inlineStr">
        <is>
          <t>VIENNA BEAUTY</t>
        </is>
      </c>
      <c r="B5880" s="2">
        <f>"8994942029903"</f>
        <v/>
      </c>
      <c r="C5880" t="inlineStr">
        <is>
          <t>VIENNA Goat's Milk Niacinamide Panthenol Body Moisturizer 200ml</t>
        </is>
      </c>
      <c r="D5880" t="inlineStr">
        <is>
          <t>Miss Glam Damar</t>
        </is>
      </c>
      <c r="E5880" t="n">
        <v>5</v>
      </c>
      <c r="F5880" t="n">
        <v>0.04550000000000001</v>
      </c>
      <c r="G5880" t="n">
        <v>1.82</v>
      </c>
      <c r="H5880" t="n">
        <v>7</v>
      </c>
      <c r="I5880" t="n">
        <v>14</v>
      </c>
      <c r="J5880" t="n">
        <v>3</v>
      </c>
      <c r="K5880" t="n">
        <v>0</v>
      </c>
      <c r="L5880" t="n">
        <v>25974</v>
      </c>
      <c r="M5880" t="n">
        <v>35000</v>
      </c>
      <c r="N5880" t="n">
        <v>91</v>
      </c>
      <c r="O5880" t="n">
        <v>0.91</v>
      </c>
      <c r="P5880" t="n">
        <v>1</v>
      </c>
      <c r="Q5880" t="n">
        <v>0.02</v>
      </c>
      <c r="R5880" t="n">
        <v>1</v>
      </c>
      <c r="S5880" t="n">
        <v>1592.5</v>
      </c>
      <c r="T5880" t="n">
        <v>26</v>
      </c>
      <c r="U5880" t="n">
        <v>27</v>
      </c>
      <c r="V5880" t="n">
        <v>30</v>
      </c>
      <c r="W5880" t="n">
        <v>2</v>
      </c>
      <c r="X5880" t="n">
        <v>109.8901098901099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9620</v>
      </c>
      <c r="AG5880" t="n">
        <v>2037</v>
      </c>
      <c r="AH5880" t="inlineStr">
        <is>
          <t>PT. CAKRA DAYA UNGGUL - PPN (PDG)</t>
        </is>
      </c>
      <c r="AI5880" t="n">
        <v>162</v>
      </c>
      <c r="AJ5880" t="inlineStr">
        <is>
          <t>VIENNA BEAUTY</t>
        </is>
      </c>
      <c r="AK5880" t="n">
        <v>21</v>
      </c>
      <c r="AL5880" t="inlineStr">
        <is>
          <t>Miss Glam Damar</t>
        </is>
      </c>
      <c r="AM5880" t="n">
        <v>3</v>
      </c>
      <c r="AN5880" t="n">
        <v>500000</v>
      </c>
      <c r="AO5880" t="n">
        <v>0</v>
      </c>
      <c r="AP5880" t="inlineStr"/>
      <c r="AQ5880" t="inlineStr"/>
    </row>
    <row r="5881">
      <c r="A5881" t="inlineStr">
        <is>
          <t>VIENNA BEAUTY</t>
        </is>
      </c>
      <c r="B5881" s="2">
        <f>"8994942030008"</f>
        <v/>
      </c>
      <c r="C5881" t="inlineStr">
        <is>
          <t>VIENNA Goat's Milk White Spa Shower Cream Sensual 500ml</t>
        </is>
      </c>
      <c r="D5881" t="inlineStr">
        <is>
          <t>Miss Glam Damar</t>
        </is>
      </c>
      <c r="E5881" t="n">
        <v>2</v>
      </c>
      <c r="F5881" t="n">
        <v>0.0728</v>
      </c>
      <c r="G5881" t="n">
        <v>0.91</v>
      </c>
      <c r="H5881" t="n">
        <v>7</v>
      </c>
      <c r="I5881" t="n">
        <v>14</v>
      </c>
      <c r="J5881" t="n">
        <v>3</v>
      </c>
      <c r="K5881" t="n">
        <v>0</v>
      </c>
      <c r="L5881" t="n">
        <v>37962</v>
      </c>
      <c r="M5881" t="n">
        <v>53000</v>
      </c>
      <c r="N5881" t="n">
        <v>91</v>
      </c>
      <c r="O5881" t="n">
        <v>0.91</v>
      </c>
      <c r="P5881" t="n">
        <v>1</v>
      </c>
      <c r="Q5881" t="n">
        <v>0.05</v>
      </c>
      <c r="R5881" t="n">
        <v>1</v>
      </c>
      <c r="S5881" t="n">
        <v>3858.4</v>
      </c>
      <c r="T5881" t="n">
        <v>13</v>
      </c>
      <c r="U5881" t="n">
        <v>14</v>
      </c>
      <c r="V5881" t="n">
        <v>30</v>
      </c>
      <c r="W5881" t="n">
        <v>3</v>
      </c>
      <c r="X5881" t="n">
        <v>27.47252747252747</v>
      </c>
      <c r="Y5881" t="n">
        <v>1</v>
      </c>
      <c r="Z5881" t="n">
        <v>1</v>
      </c>
      <c r="AA5881" t="n">
        <v>0</v>
      </c>
      <c r="AB5881" t="n">
        <v>1</v>
      </c>
      <c r="AC5881" t="n">
        <v>3</v>
      </c>
      <c r="AD5881" t="n">
        <v>0</v>
      </c>
      <c r="AE5881" t="n">
        <v>113886</v>
      </c>
      <c r="AF5881" t="n">
        <v>9620</v>
      </c>
      <c r="AG5881" t="n">
        <v>2037</v>
      </c>
      <c r="AH5881" t="inlineStr">
        <is>
          <t>PT. CAKRA DAYA UNGGUL - PPN (PDG)</t>
        </is>
      </c>
      <c r="AI5881" t="n">
        <v>162</v>
      </c>
      <c r="AJ5881" t="inlineStr">
        <is>
          <t>VIENNA BEAUTY</t>
        </is>
      </c>
      <c r="AK5881" t="n">
        <v>21</v>
      </c>
      <c r="AL5881" t="inlineStr">
        <is>
          <t>Miss Glam Damar</t>
        </is>
      </c>
      <c r="AM5881" t="n">
        <v>3</v>
      </c>
      <c r="AN5881" t="n">
        <v>500000</v>
      </c>
      <c r="AO5881" t="n">
        <v>0</v>
      </c>
      <c r="AP5881" t="inlineStr"/>
      <c r="AQ5881" t="inlineStr"/>
    </row>
    <row r="5882">
      <c r="A5882" t="inlineStr">
        <is>
          <t>VIENNA BEAUTY</t>
        </is>
      </c>
      <c r="B5882" s="2">
        <f>"8994942030022"</f>
        <v/>
      </c>
      <c r="C5882" t="inlineStr">
        <is>
          <t>VIENNA Goat's Milk White Spa Shower Cream Tranquility 500ml</t>
        </is>
      </c>
      <c r="D5882" t="inlineStr">
        <is>
          <t>Miss Glam Damar</t>
        </is>
      </c>
      <c r="E5882" t="n">
        <v>2</v>
      </c>
      <c r="F5882" t="n">
        <v>0.04550000000000001</v>
      </c>
      <c r="G5882" t="n">
        <v>0.91</v>
      </c>
      <c r="H5882" t="n">
        <v>7</v>
      </c>
      <c r="I5882" t="n">
        <v>14</v>
      </c>
      <c r="J5882" t="n">
        <v>3</v>
      </c>
      <c r="K5882" t="n">
        <v>0</v>
      </c>
      <c r="L5882" t="n">
        <v>37962</v>
      </c>
      <c r="M5882" t="n">
        <v>53000</v>
      </c>
      <c r="N5882" t="n">
        <v>91</v>
      </c>
      <c r="O5882" t="n">
        <v>0.91</v>
      </c>
      <c r="P5882" t="n">
        <v>1</v>
      </c>
      <c r="Q5882" t="n">
        <v>0.03</v>
      </c>
      <c r="R5882" t="n">
        <v>2</v>
      </c>
      <c r="S5882" t="n">
        <v>2411.5</v>
      </c>
      <c r="T5882" t="n">
        <v>13</v>
      </c>
      <c r="U5882" t="n">
        <v>14</v>
      </c>
      <c r="V5882" t="n">
        <v>30</v>
      </c>
      <c r="W5882" t="n">
        <v>2</v>
      </c>
      <c r="X5882" t="n">
        <v>43.95604395604395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9620</v>
      </c>
      <c r="AG5882" t="n">
        <v>2037</v>
      </c>
      <c r="AH5882" t="inlineStr">
        <is>
          <t>PT. CAKRA DAYA UNGGUL - PPN (PDG)</t>
        </is>
      </c>
      <c r="AI5882" t="n">
        <v>162</v>
      </c>
      <c r="AJ5882" t="inlineStr">
        <is>
          <t>VIENNA BEAUTY</t>
        </is>
      </c>
      <c r="AK5882" t="n">
        <v>21</v>
      </c>
      <c r="AL5882" t="inlineStr">
        <is>
          <t>Miss Glam Damar</t>
        </is>
      </c>
      <c r="AM5882" t="n">
        <v>3</v>
      </c>
      <c r="AN5882" t="n">
        <v>500000</v>
      </c>
      <c r="AO5882" t="n">
        <v>0</v>
      </c>
      <c r="AP5882" t="inlineStr"/>
      <c r="AQ5882" t="inlineStr"/>
    </row>
    <row r="5883">
      <c r="A5883" t="inlineStr">
        <is>
          <t>VIENNA BEAUTY</t>
        </is>
      </c>
      <c r="B5883" s="2">
        <f>"8995026305029"</f>
        <v/>
      </c>
      <c r="C5883" t="inlineStr">
        <is>
          <t>VIENNA Goats Milk Soap 90gr</t>
        </is>
      </c>
      <c r="D5883" t="inlineStr">
        <is>
          <t>Miss Glam Damar</t>
        </is>
      </c>
      <c r="E5883" t="n">
        <v>2</v>
      </c>
      <c r="F5883" t="n">
        <v>0.04550000000000001</v>
      </c>
      <c r="G5883" t="n">
        <v>0.91</v>
      </c>
      <c r="H5883" t="n">
        <v>7</v>
      </c>
      <c r="I5883" t="n">
        <v>14</v>
      </c>
      <c r="J5883" t="n">
        <v>3</v>
      </c>
      <c r="K5883" t="n">
        <v>0</v>
      </c>
      <c r="L5883" t="n">
        <v>9491</v>
      </c>
      <c r="M5883" t="n">
        <v>13000</v>
      </c>
      <c r="N5883" t="n">
        <v>91</v>
      </c>
      <c r="O5883" t="n">
        <v>0.91</v>
      </c>
      <c r="P5883" t="n">
        <v>1</v>
      </c>
      <c r="Q5883" t="n">
        <v>0.14</v>
      </c>
      <c r="R5883" t="n">
        <v>2</v>
      </c>
      <c r="S5883" t="n">
        <v>591.5000000000001</v>
      </c>
      <c r="T5883" t="n">
        <v>13</v>
      </c>
      <c r="U5883" t="n">
        <v>14</v>
      </c>
      <c r="V5883" t="n">
        <v>30</v>
      </c>
      <c r="W5883" t="n">
        <v>2</v>
      </c>
      <c r="X5883" t="n">
        <v>43.95604395604395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9620</v>
      </c>
      <c r="AG5883" t="n">
        <v>2037</v>
      </c>
      <c r="AH5883" t="inlineStr">
        <is>
          <t>PT. CAKRA DAYA UNGGUL - PPN (PDG)</t>
        </is>
      </c>
      <c r="AI5883" t="n">
        <v>162</v>
      </c>
      <c r="AJ5883" t="inlineStr">
        <is>
          <t>VIENNA BEAUTY</t>
        </is>
      </c>
      <c r="AK5883" t="n">
        <v>21</v>
      </c>
      <c r="AL5883" t="inlineStr">
        <is>
          <t>Miss Glam Damar</t>
        </is>
      </c>
      <c r="AM5883" t="n">
        <v>3</v>
      </c>
      <c r="AN5883" t="n">
        <v>500000</v>
      </c>
      <c r="AO5883" t="n">
        <v>0</v>
      </c>
      <c r="AP5883" t="inlineStr"/>
      <c r="AQ5883" t="inlineStr"/>
    </row>
    <row r="5884">
      <c r="A5884" t="inlineStr">
        <is>
          <t>VIENNA BEAUTY</t>
        </is>
      </c>
      <c r="B5884" s="2">
        <f>"8994942029880"</f>
        <v/>
      </c>
      <c r="C5884" t="inlineStr">
        <is>
          <t>VIENNA Hokkaido Milk Ceramide Panthenol Body Moisturizer 200ml</t>
        </is>
      </c>
      <c r="D5884" t="inlineStr">
        <is>
          <t>Miss Glam Damar</t>
        </is>
      </c>
      <c r="E5884" t="n">
        <v>7</v>
      </c>
      <c r="F5884" t="n">
        <v>0.05</v>
      </c>
      <c r="G5884" t="n">
        <v>1</v>
      </c>
      <c r="H5884" t="n">
        <v>7</v>
      </c>
      <c r="I5884" t="n">
        <v>14</v>
      </c>
      <c r="J5884" t="n">
        <v>3</v>
      </c>
      <c r="K5884" t="n">
        <v>0</v>
      </c>
      <c r="L5884" t="n">
        <v>25974</v>
      </c>
      <c r="M5884" t="n">
        <v>35000</v>
      </c>
      <c r="N5884" t="n">
        <v>91</v>
      </c>
      <c r="O5884" t="n">
        <v>0.91</v>
      </c>
      <c r="P5884" t="n">
        <v>0</v>
      </c>
      <c r="Q5884" t="n">
        <v>0.05</v>
      </c>
      <c r="R5884" t="n">
        <v>1</v>
      </c>
      <c r="S5884" t="n">
        <v>1750</v>
      </c>
      <c r="T5884" t="n">
        <v>14</v>
      </c>
      <c r="U5884" t="n">
        <v>15</v>
      </c>
      <c r="V5884" t="n">
        <v>30</v>
      </c>
      <c r="W5884" t="n">
        <v>2</v>
      </c>
      <c r="X5884" t="n">
        <v>140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9620</v>
      </c>
      <c r="AG5884" t="n">
        <v>2037</v>
      </c>
      <c r="AH5884" t="inlineStr">
        <is>
          <t>PT. CAKRA DAYA UNGGUL - PPN (PDG)</t>
        </is>
      </c>
      <c r="AI5884" t="n">
        <v>162</v>
      </c>
      <c r="AJ5884" t="inlineStr">
        <is>
          <t>VIENNA BEAUTY</t>
        </is>
      </c>
      <c r="AK5884" t="n">
        <v>21</v>
      </c>
      <c r="AL5884" t="inlineStr">
        <is>
          <t>Miss Glam Damar</t>
        </is>
      </c>
      <c r="AM5884" t="n">
        <v>3</v>
      </c>
      <c r="AN5884" t="n">
        <v>500000</v>
      </c>
      <c r="AO5884" t="n">
        <v>0</v>
      </c>
      <c r="AP5884" t="inlineStr"/>
      <c r="AQ5884" t="inlineStr"/>
    </row>
    <row r="5885">
      <c r="A5885" t="inlineStr">
        <is>
          <t>VIENNA BEAUTY</t>
        </is>
      </c>
      <c r="B5885" s="2">
        <f>"8994942030701"</f>
        <v/>
      </c>
      <c r="C5885" t="inlineStr">
        <is>
          <t>VIENNA Mango Milk Vitamin C Niacinamide Body Scrub 200ml</t>
        </is>
      </c>
      <c r="D5885" t="inlineStr">
        <is>
          <t>Miss Glam Damar</t>
        </is>
      </c>
      <c r="E5885" t="n">
        <v>10</v>
      </c>
      <c r="F5885" t="n">
        <v>0.0182</v>
      </c>
      <c r="G5885" t="n">
        <v>0.91</v>
      </c>
      <c r="H5885" t="n">
        <v>7</v>
      </c>
      <c r="I5885" t="n">
        <v>14</v>
      </c>
      <c r="J5885" t="n">
        <v>3</v>
      </c>
      <c r="K5885" t="n">
        <v>0</v>
      </c>
      <c r="L5885" t="n">
        <v>23976</v>
      </c>
      <c r="M5885" t="n">
        <v>33000</v>
      </c>
      <c r="N5885" t="n">
        <v>91</v>
      </c>
      <c r="O5885" t="n">
        <v>0.91</v>
      </c>
      <c r="P5885" t="n">
        <v>1</v>
      </c>
      <c r="Q5885" t="n">
        <v>0.02</v>
      </c>
      <c r="R5885" t="n">
        <v>1</v>
      </c>
      <c r="S5885" t="n">
        <v>600.6</v>
      </c>
      <c r="T5885" t="n">
        <v>13</v>
      </c>
      <c r="U5885" t="n">
        <v>14</v>
      </c>
      <c r="V5885" t="n">
        <v>30</v>
      </c>
      <c r="W5885" t="n">
        <v>1</v>
      </c>
      <c r="X5885" t="n">
        <v>549.4505494505494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9620</v>
      </c>
      <c r="AG5885" t="n">
        <v>2037</v>
      </c>
      <c r="AH5885" t="inlineStr">
        <is>
          <t>PT. CAKRA DAYA UNGGUL - PPN (PDG)</t>
        </is>
      </c>
      <c r="AI5885" t="n">
        <v>162</v>
      </c>
      <c r="AJ5885" t="inlineStr">
        <is>
          <t>VIENNA BEAUTY</t>
        </is>
      </c>
      <c r="AK5885" t="n">
        <v>21</v>
      </c>
      <c r="AL5885" t="inlineStr">
        <is>
          <t>Miss Glam Damar</t>
        </is>
      </c>
      <c r="AM5885" t="n">
        <v>3</v>
      </c>
      <c r="AN5885" t="n">
        <v>500000</v>
      </c>
      <c r="AO5885" t="n">
        <v>0</v>
      </c>
      <c r="AP5885" t="inlineStr"/>
      <c r="AQ5885" t="inlineStr"/>
    </row>
    <row r="5886">
      <c r="A5886" t="inlineStr">
        <is>
          <t>VIENNA BEAUTY</t>
        </is>
      </c>
      <c r="B5886" s="2">
        <f>"8994942029897"</f>
        <v/>
      </c>
      <c r="C5886" t="inlineStr">
        <is>
          <t>VIENNA Melon Milk Collagen Panthenol Body Moisturizer 200ml</t>
        </is>
      </c>
      <c r="D5886" t="inlineStr">
        <is>
          <t>Miss Glam Damar</t>
        </is>
      </c>
      <c r="E5886" t="n">
        <v>5</v>
      </c>
      <c r="F5886" t="n">
        <v>0.03</v>
      </c>
      <c r="G5886" t="n">
        <v>1</v>
      </c>
      <c r="H5886" t="n">
        <v>7</v>
      </c>
      <c r="I5886" t="n">
        <v>14</v>
      </c>
      <c r="J5886" t="n">
        <v>3</v>
      </c>
      <c r="K5886" t="n">
        <v>0</v>
      </c>
      <c r="L5886" t="n">
        <v>25974</v>
      </c>
      <c r="M5886" t="n">
        <v>35000</v>
      </c>
      <c r="N5886" t="n">
        <v>91</v>
      </c>
      <c r="O5886" t="n">
        <v>0.91</v>
      </c>
      <c r="P5886" t="n">
        <v>0</v>
      </c>
      <c r="Q5886" t="n">
        <v>0.03</v>
      </c>
      <c r="R5886" t="n">
        <v>1</v>
      </c>
      <c r="S5886" t="n">
        <v>1050</v>
      </c>
      <c r="T5886" t="n">
        <v>14</v>
      </c>
      <c r="U5886" t="n">
        <v>15</v>
      </c>
      <c r="V5886" t="n">
        <v>30</v>
      </c>
      <c r="W5886" t="n">
        <v>1</v>
      </c>
      <c r="X5886" t="n">
        <v>166.6666666666667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9620</v>
      </c>
      <c r="AG5886" t="n">
        <v>2037</v>
      </c>
      <c r="AH5886" t="inlineStr">
        <is>
          <t>PT. CAKRA DAYA UNGGUL - PPN (PDG)</t>
        </is>
      </c>
      <c r="AI5886" t="n">
        <v>162</v>
      </c>
      <c r="AJ5886" t="inlineStr">
        <is>
          <t>VIENNA BEAUTY</t>
        </is>
      </c>
      <c r="AK5886" t="n">
        <v>21</v>
      </c>
      <c r="AL5886" t="inlineStr">
        <is>
          <t>Miss Glam Damar</t>
        </is>
      </c>
      <c r="AM5886" t="n">
        <v>3</v>
      </c>
      <c r="AN5886" t="n">
        <v>500000</v>
      </c>
      <c r="AO5886" t="n">
        <v>0</v>
      </c>
      <c r="AP5886" t="inlineStr"/>
      <c r="AQ5886" t="inlineStr"/>
    </row>
    <row r="5887">
      <c r="A5887" t="inlineStr">
        <is>
          <t>VIENNA BEAUTY</t>
        </is>
      </c>
      <c r="B5887" s="2">
        <f>"8994942007277"</f>
        <v/>
      </c>
      <c r="C5887" t="inlineStr">
        <is>
          <t>VIENNA Peel Off Charcoal</t>
        </is>
      </c>
      <c r="D5887" t="inlineStr">
        <is>
          <t>Miss Glam Damar</t>
        </is>
      </c>
      <c r="E5887" t="n">
        <v>40</v>
      </c>
      <c r="F5887" t="n">
        <v>1.4196</v>
      </c>
      <c r="G5887" t="n">
        <v>5.46</v>
      </c>
      <c r="H5887" t="n">
        <v>7</v>
      </c>
      <c r="I5887" t="n">
        <v>14</v>
      </c>
      <c r="J5887" t="n">
        <v>3</v>
      </c>
      <c r="K5887" t="n">
        <v>0</v>
      </c>
      <c r="L5887" t="n">
        <v>7493</v>
      </c>
      <c r="M5887" t="n">
        <v>10500</v>
      </c>
      <c r="N5887" t="n">
        <v>91</v>
      </c>
      <c r="O5887" t="n">
        <v>0.91</v>
      </c>
      <c r="P5887" t="n">
        <v>1</v>
      </c>
      <c r="Q5887" t="n">
        <v>0.61</v>
      </c>
      <c r="R5887" t="n">
        <v>3</v>
      </c>
      <c r="S5887" t="n">
        <v>14905.8</v>
      </c>
      <c r="T5887" t="n">
        <v>67</v>
      </c>
      <c r="U5887" t="n">
        <v>77</v>
      </c>
      <c r="V5887" t="n">
        <v>30</v>
      </c>
      <c r="W5887" t="n">
        <v>43</v>
      </c>
      <c r="X5887" t="n">
        <v>28.17695125387433</v>
      </c>
      <c r="Y5887" t="n">
        <v>1</v>
      </c>
      <c r="Z5887" t="n">
        <v>3</v>
      </c>
      <c r="AA5887" t="n">
        <v>0</v>
      </c>
      <c r="AB5887" t="n">
        <v>3</v>
      </c>
      <c r="AC5887" t="n">
        <v>3</v>
      </c>
      <c r="AD5887" t="n">
        <v>0</v>
      </c>
      <c r="AE5887" t="n">
        <v>22479</v>
      </c>
      <c r="AF5887" t="n">
        <v>9620</v>
      </c>
      <c r="AG5887" t="n">
        <v>2037</v>
      </c>
      <c r="AH5887" t="inlineStr">
        <is>
          <t>PT. CAKRA DAYA UNGGUL - PPN (PDG)</t>
        </is>
      </c>
      <c r="AI5887" t="n">
        <v>162</v>
      </c>
      <c r="AJ5887" t="inlineStr">
        <is>
          <t>VIENNA BEAUTY</t>
        </is>
      </c>
      <c r="AK5887" t="n">
        <v>21</v>
      </c>
      <c r="AL5887" t="inlineStr">
        <is>
          <t>Miss Glam Damar</t>
        </is>
      </c>
      <c r="AM5887" t="n">
        <v>3</v>
      </c>
      <c r="AN5887" t="n">
        <v>500000</v>
      </c>
      <c r="AO5887" t="n">
        <v>0</v>
      </c>
      <c r="AP5887" t="inlineStr"/>
      <c r="AQ5887" t="inlineStr"/>
    </row>
    <row r="5888">
      <c r="A5888" t="inlineStr">
        <is>
          <t>VIENNA BEAUTY</t>
        </is>
      </c>
      <c r="B5888" s="2">
        <f>"8994942030671"</f>
        <v/>
      </c>
      <c r="C5888" t="inlineStr">
        <is>
          <t>VIENNA Strawberry Milk Gluta-Arbutin Niacinamide Body Moisturizer 200ml</t>
        </is>
      </c>
      <c r="D5888" t="inlineStr">
        <is>
          <t>Miss Glam Damar</t>
        </is>
      </c>
      <c r="E5888" t="n">
        <v>5</v>
      </c>
      <c r="F5888" t="n">
        <v>0.0182</v>
      </c>
      <c r="G5888" t="n">
        <v>0</v>
      </c>
      <c r="H5888" t="n">
        <v>7</v>
      </c>
      <c r="I5888" t="n">
        <v>14</v>
      </c>
      <c r="J5888" t="n">
        <v>3</v>
      </c>
      <c r="K5888" t="n">
        <v>0</v>
      </c>
      <c r="L5888" t="n">
        <v>25974</v>
      </c>
      <c r="M5888" t="n">
        <v>35000</v>
      </c>
      <c r="N5888" t="n">
        <v>91</v>
      </c>
      <c r="O5888" t="n">
        <v>0.91</v>
      </c>
      <c r="P5888" t="n">
        <v>1</v>
      </c>
      <c r="Q5888" t="n">
        <v>0.05</v>
      </c>
      <c r="R5888" t="n">
        <v>1</v>
      </c>
      <c r="S5888" t="n">
        <v>637</v>
      </c>
      <c r="T5888" t="n">
        <v>0</v>
      </c>
      <c r="U5888" t="n">
        <v>1</v>
      </c>
      <c r="V5888" t="n">
        <v>30</v>
      </c>
      <c r="W5888" t="n">
        <v>1</v>
      </c>
      <c r="X5888" t="n">
        <v>274.7252747252747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9620</v>
      </c>
      <c r="AG5888" t="n">
        <v>2037</v>
      </c>
      <c r="AH5888" t="inlineStr">
        <is>
          <t>PT. CAKRA DAYA UNGGUL - PPN (PDG)</t>
        </is>
      </c>
      <c r="AI5888" t="n">
        <v>162</v>
      </c>
      <c r="AJ5888" t="inlineStr">
        <is>
          <t>VIENNA BEAUTY</t>
        </is>
      </c>
      <c r="AK5888" t="n">
        <v>21</v>
      </c>
      <c r="AL5888" t="inlineStr">
        <is>
          <t>Miss Glam Damar</t>
        </is>
      </c>
      <c r="AM5888" t="n">
        <v>3</v>
      </c>
      <c r="AN5888" t="n">
        <v>500000</v>
      </c>
      <c r="AO5888" t="n">
        <v>0</v>
      </c>
      <c r="AP5888" t="inlineStr"/>
      <c r="AQ5888" t="inlineStr"/>
    </row>
    <row r="5889">
      <c r="A5889" t="inlineStr">
        <is>
          <t>VIENNA BEAUTY</t>
        </is>
      </c>
      <c r="B5889" s="2">
        <f>"8994942030251"</f>
        <v/>
      </c>
      <c r="C5889" t="inlineStr">
        <is>
          <t>VIENNA Tea Tree Oil Panthenol Purifying Pore 3 Strips</t>
        </is>
      </c>
      <c r="D5889" t="inlineStr">
        <is>
          <t>Miss Glam Damar</t>
        </is>
      </c>
      <c r="E5889" t="n">
        <v>0</v>
      </c>
      <c r="F5889" t="n">
        <v>0.8372000000000001</v>
      </c>
      <c r="G5889" t="n">
        <v>4.55</v>
      </c>
      <c r="H5889" t="n">
        <v>7</v>
      </c>
      <c r="I5889" t="n">
        <v>14</v>
      </c>
      <c r="J5889" t="n">
        <v>3</v>
      </c>
      <c r="K5889" t="n">
        <v>0</v>
      </c>
      <c r="L5889" t="n">
        <v>8991</v>
      </c>
      <c r="M5889" t="n">
        <v>12000</v>
      </c>
      <c r="N5889" t="n">
        <v>91</v>
      </c>
      <c r="O5889" t="n">
        <v>0.91</v>
      </c>
      <c r="P5889" t="n">
        <v>1</v>
      </c>
      <c r="Q5889" t="n">
        <v>0.58</v>
      </c>
      <c r="R5889" t="n">
        <v>3</v>
      </c>
      <c r="S5889" t="n">
        <v>10046.4</v>
      </c>
      <c r="T5889" t="n">
        <v>58</v>
      </c>
      <c r="U5889" t="n">
        <v>64</v>
      </c>
      <c r="V5889" t="n">
        <v>30</v>
      </c>
      <c r="W5889" t="n">
        <v>26</v>
      </c>
      <c r="X5889" t="n">
        <v>0</v>
      </c>
      <c r="Y5889" t="n">
        <v>1</v>
      </c>
      <c r="Z5889" t="n">
        <v>26</v>
      </c>
      <c r="AA5889" t="n">
        <v>12</v>
      </c>
      <c r="AB5889" t="n">
        <v>14</v>
      </c>
      <c r="AC5889" t="n">
        <v>14</v>
      </c>
      <c r="AD5889" t="n">
        <v>107892</v>
      </c>
      <c r="AE5889" t="n">
        <v>125874</v>
      </c>
      <c r="AF5889" t="n">
        <v>9620</v>
      </c>
      <c r="AG5889" t="n">
        <v>2037</v>
      </c>
      <c r="AH5889" t="inlineStr">
        <is>
          <t>PT. CAKRA DAYA UNGGUL - PPN (PDG)</t>
        </is>
      </c>
      <c r="AI5889" t="n">
        <v>162</v>
      </c>
      <c r="AJ5889" t="inlineStr">
        <is>
          <t>VIENNA BEAUTY</t>
        </is>
      </c>
      <c r="AK5889" t="n">
        <v>21</v>
      </c>
      <c r="AL5889" t="inlineStr">
        <is>
          <t>Miss Glam Damar</t>
        </is>
      </c>
      <c r="AM5889" t="n">
        <v>3</v>
      </c>
      <c r="AN5889" t="n">
        <v>500000</v>
      </c>
      <c r="AO5889" t="n">
        <v>0</v>
      </c>
      <c r="AP5889" t="inlineStr"/>
      <c r="AQ5889" t="inlineStr"/>
    </row>
    <row r="5890">
      <c r="A5890" t="inlineStr">
        <is>
          <t>VIENNA BEAUTY</t>
        </is>
      </c>
      <c r="B5890" s="2">
        <f>"8994942028951"</f>
        <v/>
      </c>
      <c r="C5890" t="inlineStr">
        <is>
          <t>VIENNA Ume Ichijiku Tranexamic Acid Body Scrub Lulur Pouch 250ml</t>
        </is>
      </c>
      <c r="D5890" t="inlineStr">
        <is>
          <t>Miss Glam Damar</t>
        </is>
      </c>
      <c r="E5890" t="n">
        <v>1</v>
      </c>
      <c r="F5890" t="n">
        <v>0.05</v>
      </c>
      <c r="G5890" t="n">
        <v>1</v>
      </c>
      <c r="H5890" t="n">
        <v>7</v>
      </c>
      <c r="I5890" t="n">
        <v>14</v>
      </c>
      <c r="J5890" t="n">
        <v>3</v>
      </c>
      <c r="K5890" t="n">
        <v>0</v>
      </c>
      <c r="L5890" t="n">
        <v>24975</v>
      </c>
      <c r="M5890" t="n">
        <v>33000</v>
      </c>
      <c r="N5890" t="n">
        <v>91</v>
      </c>
      <c r="O5890" t="n">
        <v>0.91</v>
      </c>
      <c r="P5890" t="n">
        <v>0</v>
      </c>
      <c r="Q5890" t="n">
        <v>0.05</v>
      </c>
      <c r="R5890" t="n">
        <v>1</v>
      </c>
      <c r="S5890" t="n">
        <v>1650</v>
      </c>
      <c r="T5890" t="n">
        <v>14</v>
      </c>
      <c r="U5890" t="n">
        <v>15</v>
      </c>
      <c r="V5890" t="n">
        <v>30</v>
      </c>
      <c r="W5890" t="n">
        <v>2</v>
      </c>
      <c r="X5890" t="n">
        <v>20</v>
      </c>
      <c r="Y5890" t="n">
        <v>1</v>
      </c>
      <c r="Z5890" t="n">
        <v>1</v>
      </c>
      <c r="AA5890" t="n">
        <v>0</v>
      </c>
      <c r="AB5890" t="n">
        <v>1</v>
      </c>
      <c r="AC5890" t="n">
        <v>3</v>
      </c>
      <c r="AD5890" t="n">
        <v>0</v>
      </c>
      <c r="AE5890" t="n">
        <v>74925</v>
      </c>
      <c r="AF5890" t="n">
        <v>9620</v>
      </c>
      <c r="AG5890" t="n">
        <v>2037</v>
      </c>
      <c r="AH5890" t="inlineStr">
        <is>
          <t>PT. CAKRA DAYA UNGGUL - PPN (PDG)</t>
        </is>
      </c>
      <c r="AI5890" t="n">
        <v>162</v>
      </c>
      <c r="AJ5890" t="inlineStr">
        <is>
          <t>VIENNA BEAUTY</t>
        </is>
      </c>
      <c r="AK5890" t="n">
        <v>21</v>
      </c>
      <c r="AL5890" t="inlineStr">
        <is>
          <t>Miss Glam Damar</t>
        </is>
      </c>
      <c r="AM5890" t="n">
        <v>3</v>
      </c>
      <c r="AN5890" t="n">
        <v>500000</v>
      </c>
      <c r="AO5890" t="n">
        <v>0</v>
      </c>
      <c r="AP5890" t="inlineStr"/>
      <c r="AQ5890" t="inlineStr"/>
    </row>
    <row r="5891">
      <c r="A5891" t="inlineStr">
        <is>
          <t>VIENNA BEAUTY</t>
        </is>
      </c>
      <c r="B5891" s="2">
        <f>"8994942030909"</f>
        <v/>
      </c>
      <c r="C5891" t="inlineStr">
        <is>
          <t>VIENNA Vanilla Milk Giga White Niacinamide Body Moisturizer 200ml</t>
        </is>
      </c>
      <c r="D5891" t="inlineStr">
        <is>
          <t>Miss Glam Damar</t>
        </is>
      </c>
      <c r="E5891" t="n">
        <v>4</v>
      </c>
      <c r="F5891" t="n">
        <v>0.03</v>
      </c>
      <c r="G5891" t="n">
        <v>1</v>
      </c>
      <c r="H5891" t="n">
        <v>7</v>
      </c>
      <c r="I5891" t="n">
        <v>14</v>
      </c>
      <c r="J5891" t="n">
        <v>3</v>
      </c>
      <c r="K5891" t="n">
        <v>0</v>
      </c>
      <c r="L5891" t="n">
        <v>25974</v>
      </c>
      <c r="M5891" t="n">
        <v>35000</v>
      </c>
      <c r="N5891" t="n">
        <v>91</v>
      </c>
      <c r="O5891" t="n">
        <v>0.91</v>
      </c>
      <c r="P5891" t="n">
        <v>0</v>
      </c>
      <c r="Q5891" t="n">
        <v>0.03</v>
      </c>
      <c r="R5891" t="n">
        <v>1</v>
      </c>
      <c r="S5891" t="n">
        <v>1050</v>
      </c>
      <c r="T5891" t="n">
        <v>14</v>
      </c>
      <c r="U5891" t="n">
        <v>15</v>
      </c>
      <c r="V5891" t="n">
        <v>30</v>
      </c>
      <c r="W5891" t="n">
        <v>1</v>
      </c>
      <c r="X5891" t="n">
        <v>133.3333333333333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9620</v>
      </c>
      <c r="AG5891" t="n">
        <v>2037</v>
      </c>
      <c r="AH5891" t="inlineStr">
        <is>
          <t>PT. CAKRA DAYA UNGGUL - PPN (PDG)</t>
        </is>
      </c>
      <c r="AI5891" t="n">
        <v>162</v>
      </c>
      <c r="AJ5891" t="inlineStr">
        <is>
          <t>VIENNA BEAUTY</t>
        </is>
      </c>
      <c r="AK5891" t="n">
        <v>21</v>
      </c>
      <c r="AL5891" t="inlineStr">
        <is>
          <t>Miss Glam Damar</t>
        </is>
      </c>
      <c r="AM5891" t="n">
        <v>3</v>
      </c>
      <c r="AN5891" t="n">
        <v>500000</v>
      </c>
      <c r="AO5891" t="n">
        <v>0</v>
      </c>
      <c r="AP5891" t="inlineStr"/>
      <c r="AQ5891" t="inlineStr"/>
    </row>
    <row r="5892">
      <c r="A5892" t="inlineStr">
        <is>
          <t>VIENNA BEAUTY</t>
        </is>
      </c>
      <c r="B5892" s="2">
        <f>"8994942030916"</f>
        <v/>
      </c>
      <c r="C5892" t="inlineStr">
        <is>
          <t>VIENNA Vanilla Milk Giga White Niacinamide Body Scrub 200ml</t>
        </is>
      </c>
      <c r="D5892" t="inlineStr">
        <is>
          <t>Miss Glam Damar</t>
        </is>
      </c>
      <c r="E5892" t="n">
        <v>8</v>
      </c>
      <c r="F5892" t="n">
        <v>0.03</v>
      </c>
      <c r="G5892" t="n">
        <v>1</v>
      </c>
      <c r="H5892" t="n">
        <v>7</v>
      </c>
      <c r="I5892" t="n">
        <v>14</v>
      </c>
      <c r="J5892" t="n">
        <v>3</v>
      </c>
      <c r="K5892" t="n">
        <v>0</v>
      </c>
      <c r="L5892" t="n">
        <v>23976</v>
      </c>
      <c r="M5892" t="n">
        <v>33000</v>
      </c>
      <c r="N5892" t="n">
        <v>91</v>
      </c>
      <c r="O5892" t="n">
        <v>0.91</v>
      </c>
      <c r="P5892" t="n">
        <v>0</v>
      </c>
      <c r="Q5892" t="n">
        <v>0.03</v>
      </c>
      <c r="R5892" t="n">
        <v>1</v>
      </c>
      <c r="S5892" t="n">
        <v>990</v>
      </c>
      <c r="T5892" t="n">
        <v>14</v>
      </c>
      <c r="U5892" t="n">
        <v>15</v>
      </c>
      <c r="V5892" t="n">
        <v>30</v>
      </c>
      <c r="W5892" t="n">
        <v>1</v>
      </c>
      <c r="X5892" t="n">
        <v>266.6666666666667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9620</v>
      </c>
      <c r="AG5892" t="n">
        <v>2037</v>
      </c>
      <c r="AH5892" t="inlineStr">
        <is>
          <t>PT. CAKRA DAYA UNGGUL - PPN (PDG)</t>
        </is>
      </c>
      <c r="AI5892" t="n">
        <v>162</v>
      </c>
      <c r="AJ5892" t="inlineStr">
        <is>
          <t>VIENNA BEAUTY</t>
        </is>
      </c>
      <c r="AK5892" t="n">
        <v>21</v>
      </c>
      <c r="AL5892" t="inlineStr">
        <is>
          <t>Miss Glam Damar</t>
        </is>
      </c>
      <c r="AM5892" t="n">
        <v>3</v>
      </c>
      <c r="AN5892" t="n">
        <v>500000</v>
      </c>
      <c r="AO5892" t="n">
        <v>0</v>
      </c>
      <c r="AP5892" t="inlineStr"/>
      <c r="AQ5892" t="inlineStr"/>
    </row>
    <row r="5893">
      <c r="A5893" t="inlineStr">
        <is>
          <t>VITALIS</t>
        </is>
      </c>
      <c r="B5893" s="2">
        <f>"8992856896550"</f>
        <v/>
      </c>
      <c r="C5893" t="inlineStr">
        <is>
          <t>VITALIS Deo Blossom 40ML</t>
        </is>
      </c>
      <c r="D5893" t="inlineStr">
        <is>
          <t>Miss Glam Damar</t>
        </is>
      </c>
      <c r="E5893" t="n">
        <v>10</v>
      </c>
      <c r="F5893" t="n">
        <v>0.2821</v>
      </c>
      <c r="G5893" t="n">
        <v>2.73</v>
      </c>
      <c r="H5893" t="n">
        <v>2</v>
      </c>
      <c r="I5893" t="n">
        <v>7</v>
      </c>
      <c r="J5893" t="n">
        <v>3</v>
      </c>
      <c r="K5893" t="n">
        <v>0</v>
      </c>
      <c r="L5893" t="n">
        <v>15358</v>
      </c>
      <c r="M5893" t="n">
        <v>21000</v>
      </c>
      <c r="N5893" t="n">
        <v>91</v>
      </c>
      <c r="O5893" t="n">
        <v>0.91</v>
      </c>
      <c r="P5893" t="n">
        <v>1</v>
      </c>
      <c r="Q5893" t="n">
        <v>0.12</v>
      </c>
      <c r="R5893" t="n">
        <v>2</v>
      </c>
      <c r="S5893" t="n">
        <v>5924.1</v>
      </c>
      <c r="T5893" t="n">
        <v>19</v>
      </c>
      <c r="U5893" t="n">
        <v>20</v>
      </c>
      <c r="V5893" t="n">
        <v>30</v>
      </c>
      <c r="W5893" t="n">
        <v>9</v>
      </c>
      <c r="X5893" t="n">
        <v>35.44842254519673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1811</v>
      </c>
      <c r="AG5893" t="n">
        <v>2044</v>
      </c>
      <c r="AH5893" t="inlineStr">
        <is>
          <t>CV. WINEMERI BERKARYA - PPN (PDG)</t>
        </is>
      </c>
      <c r="AI5893" t="n">
        <v>366</v>
      </c>
      <c r="AJ5893" t="inlineStr">
        <is>
          <t>VITALIS</t>
        </is>
      </c>
      <c r="AK5893" t="n">
        <v>21</v>
      </c>
      <c r="AL5893" t="inlineStr">
        <is>
          <t>Miss Glam Damar</t>
        </is>
      </c>
      <c r="AM5893" t="n">
        <v>2</v>
      </c>
      <c r="AN5893" t="n">
        <v>500000</v>
      </c>
      <c r="AO5893" t="n">
        <v>0</v>
      </c>
      <c r="AP5893" t="inlineStr"/>
      <c r="AQ5893" t="inlineStr"/>
    </row>
    <row r="5894">
      <c r="A5894" t="inlineStr">
        <is>
          <t>VITALIS</t>
        </is>
      </c>
      <c r="B5894" s="2">
        <f>"30400263558"</f>
        <v/>
      </c>
      <c r="C5894" t="inlineStr">
        <is>
          <t>VITALIS Eau De Parfum Extra Bloom 50ml</t>
        </is>
      </c>
      <c r="D5894" t="inlineStr">
        <is>
          <t>Miss Glam Damar</t>
        </is>
      </c>
      <c r="E5894" t="n">
        <v>2</v>
      </c>
      <c r="F5894" t="n">
        <v>2.1021</v>
      </c>
      <c r="G5894" t="n">
        <v>6.37</v>
      </c>
      <c r="H5894" t="n">
        <v>2</v>
      </c>
      <c r="I5894" t="n">
        <v>7</v>
      </c>
      <c r="J5894" t="n">
        <v>1</v>
      </c>
      <c r="K5894" t="n">
        <v>0</v>
      </c>
      <c r="L5894" t="n">
        <v>22354</v>
      </c>
      <c r="M5894" t="n">
        <v>26500</v>
      </c>
      <c r="N5894" t="n">
        <v>91</v>
      </c>
      <c r="O5894" t="n">
        <v>0.91</v>
      </c>
      <c r="P5894" t="n">
        <v>1</v>
      </c>
      <c r="Q5894" t="n">
        <v>1.19</v>
      </c>
      <c r="R5894" t="n">
        <v>5</v>
      </c>
      <c r="S5894" t="n">
        <v>55705.65</v>
      </c>
      <c r="T5894" t="n">
        <v>41</v>
      </c>
      <c r="U5894" t="n">
        <v>46</v>
      </c>
      <c r="V5894" t="n">
        <v>30</v>
      </c>
      <c r="W5894" t="n">
        <v>64</v>
      </c>
      <c r="X5894" t="n">
        <v>0.9514295228580942</v>
      </c>
      <c r="Y5894" t="n">
        <v>1</v>
      </c>
      <c r="Z5894" t="n">
        <v>62</v>
      </c>
      <c r="AA5894" t="n">
        <v>13</v>
      </c>
      <c r="AB5894" t="n">
        <v>49</v>
      </c>
      <c r="AC5894" t="n">
        <v>49</v>
      </c>
      <c r="AD5894" t="n">
        <v>290602</v>
      </c>
      <c r="AE5894" t="n">
        <v>1095346</v>
      </c>
      <c r="AF5894" t="n">
        <v>1811</v>
      </c>
      <c r="AG5894" t="n">
        <v>2044</v>
      </c>
      <c r="AH5894" t="inlineStr">
        <is>
          <t>CV. WINEMERI BERKARYA - PPN (PDG)</t>
        </is>
      </c>
      <c r="AI5894" t="n">
        <v>366</v>
      </c>
      <c r="AJ5894" t="inlineStr">
        <is>
          <t>VITALIS</t>
        </is>
      </c>
      <c r="AK5894" t="n">
        <v>21</v>
      </c>
      <c r="AL5894" t="inlineStr">
        <is>
          <t>Miss Glam Damar</t>
        </is>
      </c>
      <c r="AM5894" t="n">
        <v>2</v>
      </c>
      <c r="AN5894" t="n">
        <v>500000</v>
      </c>
      <c r="AO5894" t="n">
        <v>0</v>
      </c>
      <c r="AP5894" t="inlineStr"/>
      <c r="AQ5894" t="inlineStr"/>
    </row>
    <row r="5895">
      <c r="A5895" t="inlineStr">
        <is>
          <t>VITALIS</t>
        </is>
      </c>
      <c r="B5895" s="2">
        <f>"30400361305"</f>
        <v/>
      </c>
      <c r="C5895" t="inlineStr">
        <is>
          <t>VITALIS Eau De Parfum Forbidden Rose 100ml</t>
        </is>
      </c>
      <c r="D5895" t="inlineStr">
        <is>
          <t>Miss Glam Damar</t>
        </is>
      </c>
      <c r="E5895" t="n">
        <v>5</v>
      </c>
      <c r="F5895" t="n">
        <v>0.182</v>
      </c>
      <c r="G5895" t="n">
        <v>1.82</v>
      </c>
      <c r="H5895" t="n">
        <v>2</v>
      </c>
      <c r="I5895" t="n">
        <v>7</v>
      </c>
      <c r="J5895" t="n">
        <v>1</v>
      </c>
      <c r="K5895" t="n">
        <v>0</v>
      </c>
      <c r="L5895" t="n">
        <v>28214</v>
      </c>
      <c r="M5895" t="n">
        <v>35000</v>
      </c>
      <c r="N5895" t="n">
        <v>91</v>
      </c>
      <c r="O5895" t="n">
        <v>0.91</v>
      </c>
      <c r="P5895" t="n">
        <v>1</v>
      </c>
      <c r="Q5895" t="n">
        <v>0.08</v>
      </c>
      <c r="R5895" t="n">
        <v>2</v>
      </c>
      <c r="S5895" t="n">
        <v>6370.000000000001</v>
      </c>
      <c r="T5895" t="n">
        <v>13</v>
      </c>
      <c r="U5895" t="n">
        <v>14</v>
      </c>
      <c r="V5895" t="n">
        <v>30</v>
      </c>
      <c r="W5895" t="n">
        <v>6</v>
      </c>
      <c r="X5895" t="n">
        <v>27.47252747252747</v>
      </c>
      <c r="Y5895" t="n">
        <v>1</v>
      </c>
      <c r="Z5895" t="n">
        <v>1</v>
      </c>
      <c r="AA5895" t="n">
        <v>0</v>
      </c>
      <c r="AB5895" t="n">
        <v>1</v>
      </c>
      <c r="AC5895" t="n">
        <v>1</v>
      </c>
      <c r="AD5895" t="n">
        <v>0</v>
      </c>
      <c r="AE5895" t="n">
        <v>28214</v>
      </c>
      <c r="AF5895" t="n">
        <v>1811</v>
      </c>
      <c r="AG5895" t="n">
        <v>2044</v>
      </c>
      <c r="AH5895" t="inlineStr">
        <is>
          <t>CV. WINEMERI BERKARYA - PPN (PDG)</t>
        </is>
      </c>
      <c r="AI5895" t="n">
        <v>366</v>
      </c>
      <c r="AJ5895" t="inlineStr">
        <is>
          <t>VITALIS</t>
        </is>
      </c>
      <c r="AK5895" t="n">
        <v>21</v>
      </c>
      <c r="AL5895" t="inlineStr">
        <is>
          <t>Miss Glam Damar</t>
        </is>
      </c>
      <c r="AM5895" t="n">
        <v>2</v>
      </c>
      <c r="AN5895" t="n">
        <v>500000</v>
      </c>
      <c r="AO5895" t="n">
        <v>0</v>
      </c>
      <c r="AP5895" t="inlineStr"/>
      <c r="AQ5895" t="inlineStr"/>
    </row>
    <row r="5896">
      <c r="A5896" t="inlineStr">
        <is>
          <t>VITALIS</t>
        </is>
      </c>
      <c r="B5896" s="2">
        <f>"30400263431"</f>
        <v/>
      </c>
      <c r="C5896" t="inlineStr">
        <is>
          <t>VITALIS Eau De Parfum Glam Slay 50ml</t>
        </is>
      </c>
      <c r="D5896" t="inlineStr">
        <is>
          <t>Miss Glam Damar</t>
        </is>
      </c>
      <c r="E5896" t="n">
        <v>0</v>
      </c>
      <c r="F5896" t="n">
        <v>5.3963</v>
      </c>
      <c r="G5896" t="n">
        <v>12.74</v>
      </c>
      <c r="H5896" t="n">
        <v>2</v>
      </c>
      <c r="I5896" t="n">
        <v>7</v>
      </c>
      <c r="J5896" t="n">
        <v>1</v>
      </c>
      <c r="K5896" t="n">
        <v>0</v>
      </c>
      <c r="L5896" t="n">
        <v>22333</v>
      </c>
      <c r="M5896" t="n">
        <v>26500</v>
      </c>
      <c r="N5896" t="n">
        <v>91</v>
      </c>
      <c r="O5896" t="n">
        <v>0.91</v>
      </c>
      <c r="P5896" t="n">
        <v>1</v>
      </c>
      <c r="Q5896" t="n">
        <v>2.79</v>
      </c>
      <c r="R5896" t="n">
        <v>10</v>
      </c>
      <c r="S5896" t="n">
        <v>143001.95</v>
      </c>
      <c r="T5896" t="n">
        <v>79</v>
      </c>
      <c r="U5896" t="n">
        <v>90</v>
      </c>
      <c r="V5896" t="n">
        <v>30</v>
      </c>
      <c r="W5896" t="n">
        <v>162</v>
      </c>
      <c r="X5896" t="n">
        <v>0</v>
      </c>
      <c r="Y5896" t="n">
        <v>1</v>
      </c>
      <c r="Z5896" t="n">
        <v>162</v>
      </c>
      <c r="AA5896" t="n">
        <v>38</v>
      </c>
      <c r="AB5896" t="n">
        <v>124</v>
      </c>
      <c r="AC5896" t="n">
        <v>124</v>
      </c>
      <c r="AD5896" t="n">
        <v>848654</v>
      </c>
      <c r="AE5896" t="n">
        <v>2769292</v>
      </c>
      <c r="AF5896" t="n">
        <v>1811</v>
      </c>
      <c r="AG5896" t="n">
        <v>2044</v>
      </c>
      <c r="AH5896" t="inlineStr">
        <is>
          <t>CV. WINEMERI BERKARYA - PPN (PDG)</t>
        </is>
      </c>
      <c r="AI5896" t="n">
        <v>366</v>
      </c>
      <c r="AJ5896" t="inlineStr">
        <is>
          <t>VITALIS</t>
        </is>
      </c>
      <c r="AK5896" t="n">
        <v>21</v>
      </c>
      <c r="AL5896" t="inlineStr">
        <is>
          <t>Miss Glam Damar</t>
        </is>
      </c>
      <c r="AM5896" t="n">
        <v>2</v>
      </c>
      <c r="AN5896" t="n">
        <v>500000</v>
      </c>
      <c r="AO5896" t="n">
        <v>0</v>
      </c>
      <c r="AP5896" t="inlineStr"/>
      <c r="AQ5896" t="inlineStr"/>
    </row>
    <row r="5897">
      <c r="A5897" t="inlineStr">
        <is>
          <t>VITALIS</t>
        </is>
      </c>
      <c r="B5897" s="2">
        <f>"30400263212"</f>
        <v/>
      </c>
      <c r="C5897" t="inlineStr">
        <is>
          <t>VITALIS Eau De Parfum Glow Up 50ml</t>
        </is>
      </c>
      <c r="D5897" t="inlineStr">
        <is>
          <t>Miss Glam Damar</t>
        </is>
      </c>
      <c r="E5897" t="n">
        <v>8</v>
      </c>
      <c r="F5897" t="n">
        <v>0.5096000000000001</v>
      </c>
      <c r="G5897" t="n">
        <v>4.55</v>
      </c>
      <c r="H5897" t="n">
        <v>2</v>
      </c>
      <c r="I5897" t="n">
        <v>7</v>
      </c>
      <c r="J5897" t="n">
        <v>1</v>
      </c>
      <c r="K5897" t="n">
        <v>0</v>
      </c>
      <c r="L5897" t="n">
        <v>23075</v>
      </c>
      <c r="M5897" t="n">
        <v>27500</v>
      </c>
      <c r="N5897" t="n">
        <v>91</v>
      </c>
      <c r="O5897" t="n">
        <v>0.91</v>
      </c>
      <c r="P5897" t="n">
        <v>1</v>
      </c>
      <c r="Q5897" t="n">
        <v>0.66</v>
      </c>
      <c r="R5897" t="n">
        <v>5</v>
      </c>
      <c r="S5897" t="n">
        <v>14014</v>
      </c>
      <c r="T5897" t="n">
        <v>31</v>
      </c>
      <c r="U5897" t="n">
        <v>33</v>
      </c>
      <c r="V5897" t="n">
        <v>30</v>
      </c>
      <c r="W5897" t="n">
        <v>16</v>
      </c>
      <c r="X5897" t="n">
        <v>15.69858712715855</v>
      </c>
      <c r="Y5897" t="n">
        <v>1</v>
      </c>
      <c r="Z5897" t="n">
        <v>8</v>
      </c>
      <c r="AA5897" t="n">
        <v>0</v>
      </c>
      <c r="AB5897" t="n">
        <v>8</v>
      </c>
      <c r="AC5897" t="n">
        <v>8</v>
      </c>
      <c r="AD5897" t="n">
        <v>0</v>
      </c>
      <c r="AE5897" t="n">
        <v>184600</v>
      </c>
      <c r="AF5897" t="n">
        <v>1811</v>
      </c>
      <c r="AG5897" t="n">
        <v>2044</v>
      </c>
      <c r="AH5897" t="inlineStr">
        <is>
          <t>CV. WINEMERI BERKARYA - PPN (PDG)</t>
        </is>
      </c>
      <c r="AI5897" t="n">
        <v>366</v>
      </c>
      <c r="AJ5897" t="inlineStr">
        <is>
          <t>VITALIS</t>
        </is>
      </c>
      <c r="AK5897" t="n">
        <v>21</v>
      </c>
      <c r="AL5897" t="inlineStr">
        <is>
          <t>Miss Glam Damar</t>
        </is>
      </c>
      <c r="AM5897" t="n">
        <v>2</v>
      </c>
      <c r="AN5897" t="n">
        <v>500000</v>
      </c>
      <c r="AO5897" t="n">
        <v>0</v>
      </c>
      <c r="AP5897" t="inlineStr"/>
      <c r="AQ5897" t="inlineStr"/>
    </row>
    <row r="5898">
      <c r="A5898" t="inlineStr">
        <is>
          <t>VITALIS</t>
        </is>
      </c>
      <c r="B5898" s="2">
        <f>"30400263349"</f>
        <v/>
      </c>
      <c r="C5898" t="inlineStr">
        <is>
          <t>VITALIS Eau De Parfum Juicy Luxy 50ml</t>
        </is>
      </c>
      <c r="D5898" t="inlineStr">
        <is>
          <t>Miss Glam Damar</t>
        </is>
      </c>
      <c r="E5898" t="n">
        <v>10</v>
      </c>
      <c r="F5898" t="n">
        <v>2.0839</v>
      </c>
      <c r="G5898" t="n">
        <v>6.37</v>
      </c>
      <c r="H5898" t="n">
        <v>2</v>
      </c>
      <c r="I5898" t="n">
        <v>7</v>
      </c>
      <c r="J5898" t="n">
        <v>1</v>
      </c>
      <c r="K5898" t="n">
        <v>0</v>
      </c>
      <c r="L5898" t="n">
        <v>23129</v>
      </c>
      <c r="M5898" t="n">
        <v>27500</v>
      </c>
      <c r="N5898" t="n">
        <v>91</v>
      </c>
      <c r="O5898" t="n">
        <v>0.91</v>
      </c>
      <c r="P5898" t="n">
        <v>1</v>
      </c>
      <c r="Q5898" t="n">
        <v>2.37</v>
      </c>
      <c r="R5898" t="n">
        <v>9</v>
      </c>
      <c r="S5898" t="n">
        <v>57307.25000000001</v>
      </c>
      <c r="T5898" t="n">
        <v>41</v>
      </c>
      <c r="U5898" t="n">
        <v>46</v>
      </c>
      <c r="V5898" t="n">
        <v>30</v>
      </c>
      <c r="W5898" t="n">
        <v>63</v>
      </c>
      <c r="X5898" t="n">
        <v>4.798694755026632</v>
      </c>
      <c r="Y5898" t="n">
        <v>1</v>
      </c>
      <c r="Z5898" t="n">
        <v>53</v>
      </c>
      <c r="AA5898" t="n">
        <v>5</v>
      </c>
      <c r="AB5898" t="n">
        <v>48</v>
      </c>
      <c r="AC5898" t="n">
        <v>48</v>
      </c>
      <c r="AD5898" t="n">
        <v>115645</v>
      </c>
      <c r="AE5898" t="n">
        <v>1110192</v>
      </c>
      <c r="AF5898" t="n">
        <v>1811</v>
      </c>
      <c r="AG5898" t="n">
        <v>2044</v>
      </c>
      <c r="AH5898" t="inlineStr">
        <is>
          <t>CV. WINEMERI BERKARYA - PPN (PDG)</t>
        </is>
      </c>
      <c r="AI5898" t="n">
        <v>366</v>
      </c>
      <c r="AJ5898" t="inlineStr">
        <is>
          <t>VITALIS</t>
        </is>
      </c>
      <c r="AK5898" t="n">
        <v>21</v>
      </c>
      <c r="AL5898" t="inlineStr">
        <is>
          <t>Miss Glam Damar</t>
        </is>
      </c>
      <c r="AM5898" t="n">
        <v>2</v>
      </c>
      <c r="AN5898" t="n">
        <v>500000</v>
      </c>
      <c r="AO5898" t="n">
        <v>0</v>
      </c>
      <c r="AP5898" t="inlineStr"/>
      <c r="AQ5898" t="inlineStr"/>
    </row>
    <row r="5899">
      <c r="A5899" t="inlineStr">
        <is>
          <t>VITALIS</t>
        </is>
      </c>
      <c r="B5899" s="2">
        <f>"8992856906280"</f>
        <v/>
      </c>
      <c r="C5899" t="inlineStr">
        <is>
          <t>VITALIS Eau De Royale Her Highness 50ml</t>
        </is>
      </c>
      <c r="D5899" t="inlineStr">
        <is>
          <t>Miss Glam Damar</t>
        </is>
      </c>
      <c r="E5899" t="n">
        <v>4</v>
      </c>
      <c r="F5899" t="n">
        <v>0.0728</v>
      </c>
      <c r="G5899" t="n">
        <v>0.91</v>
      </c>
      <c r="H5899" t="n">
        <v>2</v>
      </c>
      <c r="I5899" t="n">
        <v>7</v>
      </c>
      <c r="J5899" t="n">
        <v>3</v>
      </c>
      <c r="K5899" t="n">
        <v>0</v>
      </c>
      <c r="L5899" t="n">
        <v>42153</v>
      </c>
      <c r="M5899" t="n">
        <v>53000</v>
      </c>
      <c r="N5899" t="n">
        <v>91</v>
      </c>
      <c r="O5899" t="n">
        <v>0.91</v>
      </c>
      <c r="P5899" t="n">
        <v>1</v>
      </c>
      <c r="Q5899" t="n">
        <v>0.05</v>
      </c>
      <c r="R5899" t="n">
        <v>1</v>
      </c>
      <c r="S5899" t="n">
        <v>3858.4</v>
      </c>
      <c r="T5899" t="n">
        <v>7</v>
      </c>
      <c r="U5899" t="n">
        <v>8</v>
      </c>
      <c r="V5899" t="n">
        <v>30</v>
      </c>
      <c r="W5899" t="n">
        <v>3</v>
      </c>
      <c r="X5899" t="n">
        <v>54.94505494505494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1811</v>
      </c>
      <c r="AG5899" t="n">
        <v>2044</v>
      </c>
      <c r="AH5899" t="inlineStr">
        <is>
          <t>CV. WINEMERI BERKARYA - PPN (PDG)</t>
        </is>
      </c>
      <c r="AI5899" t="n">
        <v>366</v>
      </c>
      <c r="AJ5899" t="inlineStr">
        <is>
          <t>VITALIS</t>
        </is>
      </c>
      <c r="AK5899" t="n">
        <v>21</v>
      </c>
      <c r="AL5899" t="inlineStr">
        <is>
          <t>Miss Glam Damar</t>
        </is>
      </c>
      <c r="AM5899" t="n">
        <v>2</v>
      </c>
      <c r="AN5899" t="n">
        <v>500000</v>
      </c>
      <c r="AO5899" t="n">
        <v>0</v>
      </c>
      <c r="AP5899" t="inlineStr"/>
      <c r="AQ5899" t="inlineStr"/>
    </row>
    <row r="5900">
      <c r="A5900" t="inlineStr">
        <is>
          <t>VITALIS</t>
        </is>
      </c>
      <c r="B5900" s="2">
        <f>"8992856905719"</f>
        <v/>
      </c>
      <c r="C5900" t="inlineStr">
        <is>
          <t>VITALIS Eau De Royale Her Majesty  50ml</t>
        </is>
      </c>
      <c r="D5900" t="inlineStr">
        <is>
          <t>Miss Glam Damar</t>
        </is>
      </c>
      <c r="E5900" t="n">
        <v>5</v>
      </c>
      <c r="F5900" t="n">
        <v>0.182</v>
      </c>
      <c r="G5900" t="n">
        <v>1.82</v>
      </c>
      <c r="H5900" t="n">
        <v>2</v>
      </c>
      <c r="I5900" t="n">
        <v>7</v>
      </c>
      <c r="J5900" t="n">
        <v>3</v>
      </c>
      <c r="K5900" t="n">
        <v>0</v>
      </c>
      <c r="L5900" t="n">
        <v>41729</v>
      </c>
      <c r="M5900" t="n">
        <v>53000</v>
      </c>
      <c r="N5900" t="n">
        <v>91</v>
      </c>
      <c r="O5900" t="n">
        <v>0.91</v>
      </c>
      <c r="P5900" t="n">
        <v>1</v>
      </c>
      <c r="Q5900" t="n">
        <v>0.08</v>
      </c>
      <c r="R5900" t="n">
        <v>1</v>
      </c>
      <c r="S5900" t="n">
        <v>9646.000000000002</v>
      </c>
      <c r="T5900" t="n">
        <v>13</v>
      </c>
      <c r="U5900" t="n">
        <v>14</v>
      </c>
      <c r="V5900" t="n">
        <v>30</v>
      </c>
      <c r="W5900" t="n">
        <v>6</v>
      </c>
      <c r="X5900" t="n">
        <v>27.47252747252747</v>
      </c>
      <c r="Y5900" t="n">
        <v>1</v>
      </c>
      <c r="Z5900" t="n">
        <v>1</v>
      </c>
      <c r="AA5900" t="n">
        <v>0</v>
      </c>
      <c r="AB5900" t="n">
        <v>1</v>
      </c>
      <c r="AC5900" t="n">
        <v>3</v>
      </c>
      <c r="AD5900" t="n">
        <v>0</v>
      </c>
      <c r="AE5900" t="n">
        <v>125187</v>
      </c>
      <c r="AF5900" t="n">
        <v>1811</v>
      </c>
      <c r="AG5900" t="n">
        <v>2044</v>
      </c>
      <c r="AH5900" t="inlineStr">
        <is>
          <t>CV. WINEMERI BERKARYA - PPN (PDG)</t>
        </is>
      </c>
      <c r="AI5900" t="n">
        <v>366</v>
      </c>
      <c r="AJ5900" t="inlineStr">
        <is>
          <t>VITALIS</t>
        </is>
      </c>
      <c r="AK5900" t="n">
        <v>21</v>
      </c>
      <c r="AL5900" t="inlineStr">
        <is>
          <t>Miss Glam Damar</t>
        </is>
      </c>
      <c r="AM5900" t="n">
        <v>2</v>
      </c>
      <c r="AN5900" t="n">
        <v>500000</v>
      </c>
      <c r="AO5900" t="n">
        <v>0</v>
      </c>
      <c r="AP5900" t="inlineStr"/>
      <c r="AQ5900" t="inlineStr"/>
    </row>
    <row r="5901">
      <c r="A5901" t="inlineStr">
        <is>
          <t>VITALIS</t>
        </is>
      </c>
      <c r="B5901" s="2">
        <f>"8992856906341"</f>
        <v/>
      </c>
      <c r="C5901" t="inlineStr">
        <is>
          <t>VITALIS Eau de Toilette Sparkle Enjoy The Moment 100 ml</t>
        </is>
      </c>
      <c r="D5901" t="inlineStr">
        <is>
          <t>Miss Glam Damar</t>
        </is>
      </c>
      <c r="E5901" t="n">
        <v>3</v>
      </c>
      <c r="F5901" t="n">
        <v>0.4186</v>
      </c>
      <c r="G5901" t="n">
        <v>2.73</v>
      </c>
      <c r="H5901" t="n">
        <v>2</v>
      </c>
      <c r="I5901" t="n">
        <v>7</v>
      </c>
      <c r="J5901" t="n">
        <v>3</v>
      </c>
      <c r="K5901" t="n">
        <v>0</v>
      </c>
      <c r="L5901" t="n">
        <v>28899</v>
      </c>
      <c r="M5901" t="n">
        <v>36500</v>
      </c>
      <c r="N5901" t="n">
        <v>91</v>
      </c>
      <c r="O5901" t="n">
        <v>0.91</v>
      </c>
      <c r="P5901" t="n">
        <v>1</v>
      </c>
      <c r="Q5901" t="n">
        <v>0.08</v>
      </c>
      <c r="R5901" t="n">
        <v>1</v>
      </c>
      <c r="S5901" t="n">
        <v>15278.9</v>
      </c>
      <c r="T5901" t="n">
        <v>19</v>
      </c>
      <c r="U5901" t="n">
        <v>20</v>
      </c>
      <c r="V5901" t="n">
        <v>30</v>
      </c>
      <c r="W5901" t="n">
        <v>13</v>
      </c>
      <c r="X5901" t="n">
        <v>7.16674629718108</v>
      </c>
      <c r="Y5901" t="n">
        <v>1</v>
      </c>
      <c r="Z5901" t="n">
        <v>10</v>
      </c>
      <c r="AA5901" t="n">
        <v>0</v>
      </c>
      <c r="AB5901" t="n">
        <v>10</v>
      </c>
      <c r="AC5901" t="n">
        <v>10</v>
      </c>
      <c r="AD5901" t="n">
        <v>0</v>
      </c>
      <c r="AE5901" t="n">
        <v>288990</v>
      </c>
      <c r="AF5901" t="n">
        <v>1811</v>
      </c>
      <c r="AG5901" t="n">
        <v>2044</v>
      </c>
      <c r="AH5901" t="inlineStr">
        <is>
          <t>CV. WINEMERI BERKARYA - PPN (PDG)</t>
        </is>
      </c>
      <c r="AI5901" t="n">
        <v>366</v>
      </c>
      <c r="AJ5901" t="inlineStr">
        <is>
          <t>VITALIS</t>
        </is>
      </c>
      <c r="AK5901" t="n">
        <v>21</v>
      </c>
      <c r="AL5901" t="inlineStr">
        <is>
          <t>Miss Glam Damar</t>
        </is>
      </c>
      <c r="AM5901" t="n">
        <v>2</v>
      </c>
      <c r="AN5901" t="n">
        <v>500000</v>
      </c>
      <c r="AO5901" t="n">
        <v>0</v>
      </c>
      <c r="AP5901" t="inlineStr"/>
      <c r="AQ5901" t="inlineStr"/>
    </row>
    <row r="5902">
      <c r="A5902" t="inlineStr">
        <is>
          <t>VITALIS</t>
        </is>
      </c>
      <c r="B5902" s="2">
        <f>"8992856906310"</f>
        <v/>
      </c>
      <c r="C5902" t="inlineStr">
        <is>
          <t>VITALIS Eau de Toilette Sparkle Keep Going 100ml</t>
        </is>
      </c>
      <c r="D5902" t="inlineStr">
        <is>
          <t>Miss Glam Damar</t>
        </is>
      </c>
      <c r="E5902" t="n">
        <v>7</v>
      </c>
      <c r="F5902" t="n">
        <v>0.7735</v>
      </c>
      <c r="G5902" t="n">
        <v>3.64</v>
      </c>
      <c r="H5902" t="n">
        <v>2</v>
      </c>
      <c r="I5902" t="n">
        <v>7</v>
      </c>
      <c r="J5902" t="n">
        <v>3</v>
      </c>
      <c r="K5902" t="n">
        <v>0</v>
      </c>
      <c r="L5902" t="n">
        <v>28923</v>
      </c>
      <c r="M5902" t="n">
        <v>36500</v>
      </c>
      <c r="N5902" t="n">
        <v>91</v>
      </c>
      <c r="O5902" t="n">
        <v>0.91</v>
      </c>
      <c r="P5902" t="n">
        <v>1</v>
      </c>
      <c r="Q5902" t="n">
        <v>0.24</v>
      </c>
      <c r="R5902" t="n">
        <v>2</v>
      </c>
      <c r="S5902" t="n">
        <v>28232.75</v>
      </c>
      <c r="T5902" t="n">
        <v>24</v>
      </c>
      <c r="U5902" t="n">
        <v>26</v>
      </c>
      <c r="V5902" t="n">
        <v>30</v>
      </c>
      <c r="W5902" t="n">
        <v>24</v>
      </c>
      <c r="X5902" t="n">
        <v>9.049773755656108</v>
      </c>
      <c r="Y5902" t="n">
        <v>1</v>
      </c>
      <c r="Z5902" t="n">
        <v>17</v>
      </c>
      <c r="AA5902" t="n">
        <v>0</v>
      </c>
      <c r="AB5902" t="n">
        <v>17</v>
      </c>
      <c r="AC5902" t="n">
        <v>17</v>
      </c>
      <c r="AD5902" t="n">
        <v>0</v>
      </c>
      <c r="AE5902" t="n">
        <v>491691</v>
      </c>
      <c r="AF5902" t="n">
        <v>1811</v>
      </c>
      <c r="AG5902" t="n">
        <v>2044</v>
      </c>
      <c r="AH5902" t="inlineStr">
        <is>
          <t>CV. WINEMERI BERKARYA - PPN (PDG)</t>
        </is>
      </c>
      <c r="AI5902" t="n">
        <v>366</v>
      </c>
      <c r="AJ5902" t="inlineStr">
        <is>
          <t>VITALIS</t>
        </is>
      </c>
      <c r="AK5902" t="n">
        <v>21</v>
      </c>
      <c r="AL5902" t="inlineStr">
        <is>
          <t>Miss Glam Damar</t>
        </is>
      </c>
      <c r="AM5902" t="n">
        <v>2</v>
      </c>
      <c r="AN5902" t="n">
        <v>500000</v>
      </c>
      <c r="AO5902" t="n">
        <v>0</v>
      </c>
      <c r="AP5902" t="inlineStr"/>
      <c r="AQ5902" t="inlineStr"/>
    </row>
    <row r="5903">
      <c r="A5903" t="inlineStr">
        <is>
          <t>VITALIS</t>
        </is>
      </c>
      <c r="B5903" s="2">
        <f>"8992856906327"</f>
        <v/>
      </c>
      <c r="C5903" t="inlineStr">
        <is>
          <t>VITALIS Eau de Toilette Sparkle Make It Happen 100ml</t>
        </is>
      </c>
      <c r="D5903" t="inlineStr">
        <is>
          <t>Miss Glam Damar</t>
        </is>
      </c>
      <c r="E5903" t="n">
        <v>7</v>
      </c>
      <c r="F5903" t="n">
        <v>0.8827</v>
      </c>
      <c r="G5903" t="n">
        <v>3.64</v>
      </c>
      <c r="H5903" t="n">
        <v>2</v>
      </c>
      <c r="I5903" t="n">
        <v>7</v>
      </c>
      <c r="J5903" t="n">
        <v>3</v>
      </c>
      <c r="K5903" t="n">
        <v>0</v>
      </c>
      <c r="L5903" t="n">
        <v>29076</v>
      </c>
      <c r="M5903" t="n">
        <v>36500</v>
      </c>
      <c r="N5903" t="n">
        <v>91</v>
      </c>
      <c r="O5903" t="n">
        <v>0.91</v>
      </c>
      <c r="P5903" t="n">
        <v>1</v>
      </c>
      <c r="Q5903" t="n">
        <v>0.41</v>
      </c>
      <c r="R5903" t="n">
        <v>2</v>
      </c>
      <c r="S5903" t="n">
        <v>32218.55</v>
      </c>
      <c r="T5903" t="n">
        <v>24</v>
      </c>
      <c r="U5903" t="n">
        <v>26</v>
      </c>
      <c r="V5903" t="n">
        <v>30</v>
      </c>
      <c r="W5903" t="n">
        <v>27</v>
      </c>
      <c r="X5903" t="n">
        <v>7.930214115781125</v>
      </c>
      <c r="Y5903" t="n">
        <v>1</v>
      </c>
      <c r="Z5903" t="n">
        <v>20</v>
      </c>
      <c r="AA5903" t="n">
        <v>0</v>
      </c>
      <c r="AB5903" t="n">
        <v>20</v>
      </c>
      <c r="AC5903" t="n">
        <v>20</v>
      </c>
      <c r="AD5903" t="n">
        <v>0</v>
      </c>
      <c r="AE5903" t="n">
        <v>581520</v>
      </c>
      <c r="AF5903" t="n">
        <v>1811</v>
      </c>
      <c r="AG5903" t="n">
        <v>2044</v>
      </c>
      <c r="AH5903" t="inlineStr">
        <is>
          <t>CV. WINEMERI BERKARYA - PPN (PDG)</t>
        </is>
      </c>
      <c r="AI5903" t="n">
        <v>366</v>
      </c>
      <c r="AJ5903" t="inlineStr">
        <is>
          <t>VITALIS</t>
        </is>
      </c>
      <c r="AK5903" t="n">
        <v>21</v>
      </c>
      <c r="AL5903" t="inlineStr">
        <is>
          <t>Miss Glam Damar</t>
        </is>
      </c>
      <c r="AM5903" t="n">
        <v>2</v>
      </c>
      <c r="AN5903" t="n">
        <v>500000</v>
      </c>
      <c r="AO5903" t="n">
        <v>0</v>
      </c>
      <c r="AP5903" t="inlineStr"/>
      <c r="AQ5903" t="inlineStr"/>
    </row>
    <row r="5904">
      <c r="A5904" t="inlineStr">
        <is>
          <t>VITALIS</t>
        </is>
      </c>
      <c r="B5904" s="2">
        <f>"8992856906334"</f>
        <v/>
      </c>
      <c r="C5904" t="inlineStr">
        <is>
          <t>VITALIS Eau de Toilette Sparkle Rise and Shine 100ml</t>
        </is>
      </c>
      <c r="D5904" t="inlineStr">
        <is>
          <t>Miss Glam Damar</t>
        </is>
      </c>
      <c r="E5904" t="n">
        <v>2</v>
      </c>
      <c r="F5904" t="n">
        <v>0.5096000000000001</v>
      </c>
      <c r="G5904" t="n">
        <v>3.64</v>
      </c>
      <c r="H5904" t="n">
        <v>2</v>
      </c>
      <c r="I5904" t="n">
        <v>7</v>
      </c>
      <c r="J5904" t="n">
        <v>3</v>
      </c>
      <c r="K5904" t="n">
        <v>0</v>
      </c>
      <c r="L5904" t="n">
        <v>28746</v>
      </c>
      <c r="M5904" t="n">
        <v>36500</v>
      </c>
      <c r="N5904" t="n">
        <v>91</v>
      </c>
      <c r="O5904" t="n">
        <v>0.91</v>
      </c>
      <c r="P5904" t="n">
        <v>1</v>
      </c>
      <c r="Q5904" t="n">
        <v>0.1</v>
      </c>
      <c r="R5904" t="n">
        <v>1</v>
      </c>
      <c r="S5904" t="n">
        <v>18600.4</v>
      </c>
      <c r="T5904" t="n">
        <v>25</v>
      </c>
      <c r="U5904" t="n">
        <v>27</v>
      </c>
      <c r="V5904" t="n">
        <v>30</v>
      </c>
      <c r="W5904" t="n">
        <v>16</v>
      </c>
      <c r="X5904" t="n">
        <v>3.924646781789638</v>
      </c>
      <c r="Y5904" t="n">
        <v>1</v>
      </c>
      <c r="Z5904" t="n">
        <v>14</v>
      </c>
      <c r="AA5904" t="n">
        <v>2</v>
      </c>
      <c r="AB5904" t="n">
        <v>12</v>
      </c>
      <c r="AC5904" t="n">
        <v>12</v>
      </c>
      <c r="AD5904" t="n">
        <v>57492</v>
      </c>
      <c r="AE5904" t="n">
        <v>344952</v>
      </c>
      <c r="AF5904" t="n">
        <v>1811</v>
      </c>
      <c r="AG5904" t="n">
        <v>2044</v>
      </c>
      <c r="AH5904" t="inlineStr">
        <is>
          <t>CV. WINEMERI BERKARYA - PPN (PDG)</t>
        </is>
      </c>
      <c r="AI5904" t="n">
        <v>366</v>
      </c>
      <c r="AJ5904" t="inlineStr">
        <is>
          <t>VITALIS</t>
        </is>
      </c>
      <c r="AK5904" t="n">
        <v>21</v>
      </c>
      <c r="AL5904" t="inlineStr">
        <is>
          <t>Miss Glam Damar</t>
        </is>
      </c>
      <c r="AM5904" t="n">
        <v>2</v>
      </c>
      <c r="AN5904" t="n">
        <v>500000</v>
      </c>
      <c r="AO5904" t="n">
        <v>0</v>
      </c>
      <c r="AP5904" t="inlineStr"/>
      <c r="AQ5904" t="inlineStr"/>
    </row>
    <row r="5905">
      <c r="A5905" t="inlineStr">
        <is>
          <t>VITALIS</t>
        </is>
      </c>
      <c r="B5905" s="2">
        <f>"8992856901858"</f>
        <v/>
      </c>
      <c r="C5905" t="inlineStr">
        <is>
          <t>VITALIS Edr Celebration 50ml</t>
        </is>
      </c>
      <c r="D5905" t="inlineStr">
        <is>
          <t>Miss Glam Damar</t>
        </is>
      </c>
      <c r="E5905" t="n">
        <v>0</v>
      </c>
      <c r="F5905" t="n">
        <v>0.09100000000000001</v>
      </c>
      <c r="G5905" t="n">
        <v>1.82</v>
      </c>
      <c r="H5905" t="n">
        <v>2</v>
      </c>
      <c r="I5905" t="n">
        <v>7</v>
      </c>
      <c r="J5905" t="n">
        <v>3</v>
      </c>
      <c r="K5905" t="n">
        <v>0</v>
      </c>
      <c r="L5905" t="n">
        <v>41448</v>
      </c>
      <c r="M5905" t="n">
        <v>53000</v>
      </c>
      <c r="N5905" t="n">
        <v>91</v>
      </c>
      <c r="O5905" t="n">
        <v>0.91</v>
      </c>
      <c r="P5905" t="n">
        <v>1</v>
      </c>
      <c r="Q5905" t="n">
        <v>0.05</v>
      </c>
      <c r="R5905" t="n">
        <v>1</v>
      </c>
      <c r="S5905" t="n">
        <v>4823.000000000001</v>
      </c>
      <c r="T5905" t="n">
        <v>13</v>
      </c>
      <c r="U5905" t="n">
        <v>14</v>
      </c>
      <c r="V5905" t="n">
        <v>30</v>
      </c>
      <c r="W5905" t="n">
        <v>3</v>
      </c>
      <c r="X5905" t="n">
        <v>0</v>
      </c>
      <c r="Y5905" t="n">
        <v>1</v>
      </c>
      <c r="Z5905" t="n">
        <v>3</v>
      </c>
      <c r="AA5905" t="n">
        <v>1</v>
      </c>
      <c r="AB5905" t="n">
        <v>2</v>
      </c>
      <c r="AC5905" t="n">
        <v>3</v>
      </c>
      <c r="AD5905" t="n">
        <v>41448</v>
      </c>
      <c r="AE5905" t="n">
        <v>124344</v>
      </c>
      <c r="AF5905" t="n">
        <v>1811</v>
      </c>
      <c r="AG5905" t="n">
        <v>2044</v>
      </c>
      <c r="AH5905" t="inlineStr">
        <is>
          <t>CV. WINEMERI BERKARYA - PPN (PDG)</t>
        </is>
      </c>
      <c r="AI5905" t="n">
        <v>366</v>
      </c>
      <c r="AJ5905" t="inlineStr">
        <is>
          <t>VITALIS</t>
        </is>
      </c>
      <c r="AK5905" t="n">
        <v>21</v>
      </c>
      <c r="AL5905" t="inlineStr">
        <is>
          <t>Miss Glam Damar</t>
        </is>
      </c>
      <c r="AM5905" t="n">
        <v>2</v>
      </c>
      <c r="AN5905" t="n">
        <v>500000</v>
      </c>
      <c r="AO5905" t="n">
        <v>0</v>
      </c>
      <c r="AP5905" t="inlineStr"/>
      <c r="AQ5905" t="inlineStr"/>
    </row>
    <row r="5906">
      <c r="A5906" t="inlineStr">
        <is>
          <t>VITALIS</t>
        </is>
      </c>
      <c r="B5906" s="2">
        <f>"8992856901841"</f>
        <v/>
      </c>
      <c r="C5906" t="inlineStr">
        <is>
          <t>VITALIS Edr Couture 50ml</t>
        </is>
      </c>
      <c r="D5906" t="inlineStr">
        <is>
          <t>Miss Glam Damar</t>
        </is>
      </c>
      <c r="E5906" t="n">
        <v>13</v>
      </c>
      <c r="F5906" t="n">
        <v>0.4641</v>
      </c>
      <c r="G5906" t="n">
        <v>2.73</v>
      </c>
      <c r="H5906" t="n">
        <v>2</v>
      </c>
      <c r="I5906" t="n">
        <v>7</v>
      </c>
      <c r="J5906" t="n">
        <v>3</v>
      </c>
      <c r="K5906" t="n">
        <v>0</v>
      </c>
      <c r="L5906" t="n">
        <v>41271</v>
      </c>
      <c r="M5906" t="n">
        <v>53000</v>
      </c>
      <c r="N5906" t="n">
        <v>91</v>
      </c>
      <c r="O5906" t="n">
        <v>0.91</v>
      </c>
      <c r="P5906" t="n">
        <v>1</v>
      </c>
      <c r="Q5906" t="n">
        <v>0.19</v>
      </c>
      <c r="R5906" t="n">
        <v>3</v>
      </c>
      <c r="S5906" t="n">
        <v>24597.3</v>
      </c>
      <c r="T5906" t="n">
        <v>19</v>
      </c>
      <c r="U5906" t="n">
        <v>20</v>
      </c>
      <c r="V5906" t="n">
        <v>30</v>
      </c>
      <c r="W5906" t="n">
        <v>14</v>
      </c>
      <c r="X5906" t="n">
        <v>28.01120448179272</v>
      </c>
      <c r="Y5906" t="n">
        <v>1</v>
      </c>
      <c r="Z5906" t="n">
        <v>1</v>
      </c>
      <c r="AA5906" t="n">
        <v>0</v>
      </c>
      <c r="AB5906" t="n">
        <v>1</v>
      </c>
      <c r="AC5906" t="n">
        <v>3</v>
      </c>
      <c r="AD5906" t="n">
        <v>0</v>
      </c>
      <c r="AE5906" t="n">
        <v>123813</v>
      </c>
      <c r="AF5906" t="n">
        <v>1811</v>
      </c>
      <c r="AG5906" t="n">
        <v>2044</v>
      </c>
      <c r="AH5906" t="inlineStr">
        <is>
          <t>CV. WINEMERI BERKARYA - PPN (PDG)</t>
        </is>
      </c>
      <c r="AI5906" t="n">
        <v>366</v>
      </c>
      <c r="AJ5906" t="inlineStr">
        <is>
          <t>VITALIS</t>
        </is>
      </c>
      <c r="AK5906" t="n">
        <v>21</v>
      </c>
      <c r="AL5906" t="inlineStr">
        <is>
          <t>Miss Glam Damar</t>
        </is>
      </c>
      <c r="AM5906" t="n">
        <v>2</v>
      </c>
      <c r="AN5906" t="n">
        <v>500000</v>
      </c>
      <c r="AO5906" t="n">
        <v>0</v>
      </c>
      <c r="AP5906" t="inlineStr"/>
      <c r="AQ5906" t="inlineStr"/>
    </row>
    <row r="5907">
      <c r="A5907" t="inlineStr">
        <is>
          <t>VITALIS</t>
        </is>
      </c>
      <c r="B5907" s="2">
        <f>"8992856907997"</f>
        <v/>
      </c>
      <c r="C5907" t="inlineStr">
        <is>
          <t>VITALIS EDT Sparkle Dream And Believe 100ml</t>
        </is>
      </c>
      <c r="D5907" t="inlineStr">
        <is>
          <t>Miss Glam Damar</t>
        </is>
      </c>
      <c r="E5907" t="n">
        <v>2</v>
      </c>
      <c r="F5907" t="n">
        <v>0.2275</v>
      </c>
      <c r="G5907" t="n">
        <v>1.82</v>
      </c>
      <c r="H5907" t="n">
        <v>2</v>
      </c>
      <c r="I5907" t="n">
        <v>7</v>
      </c>
      <c r="J5907" t="n">
        <v>3</v>
      </c>
      <c r="K5907" t="n">
        <v>0</v>
      </c>
      <c r="L5907" t="n">
        <v>28779</v>
      </c>
      <c r="M5907" t="n">
        <v>38000</v>
      </c>
      <c r="N5907" t="n">
        <v>91</v>
      </c>
      <c r="O5907" t="n">
        <v>0.91</v>
      </c>
      <c r="P5907" t="n">
        <v>1</v>
      </c>
      <c r="Q5907" t="n">
        <v>0.07000000000000001</v>
      </c>
      <c r="R5907" t="n">
        <v>1</v>
      </c>
      <c r="S5907" t="n">
        <v>8645</v>
      </c>
      <c r="T5907" t="n">
        <v>13</v>
      </c>
      <c r="U5907" t="n">
        <v>14</v>
      </c>
      <c r="V5907" t="n">
        <v>30</v>
      </c>
      <c r="W5907" t="n">
        <v>7</v>
      </c>
      <c r="X5907" t="n">
        <v>8.79120879120879</v>
      </c>
      <c r="Y5907" t="n">
        <v>1</v>
      </c>
      <c r="Z5907" t="n">
        <v>5</v>
      </c>
      <c r="AA5907" t="n">
        <v>0</v>
      </c>
      <c r="AB5907" t="n">
        <v>5</v>
      </c>
      <c r="AC5907" t="n">
        <v>5</v>
      </c>
      <c r="AD5907" t="n">
        <v>0</v>
      </c>
      <c r="AE5907" t="n">
        <v>143895</v>
      </c>
      <c r="AF5907" t="n">
        <v>1811</v>
      </c>
      <c r="AG5907" t="n">
        <v>2044</v>
      </c>
      <c r="AH5907" t="inlineStr">
        <is>
          <t>CV. WINEMERI BERKARYA - PPN (PDG)</t>
        </is>
      </c>
      <c r="AI5907" t="n">
        <v>366</v>
      </c>
      <c r="AJ5907" t="inlineStr">
        <is>
          <t>VITALIS</t>
        </is>
      </c>
      <c r="AK5907" t="n">
        <v>21</v>
      </c>
      <c r="AL5907" t="inlineStr">
        <is>
          <t>Miss Glam Damar</t>
        </is>
      </c>
      <c r="AM5907" t="n">
        <v>2</v>
      </c>
      <c r="AN5907" t="n">
        <v>500000</v>
      </c>
      <c r="AO5907" t="n">
        <v>0</v>
      </c>
      <c r="AP5907" t="inlineStr"/>
      <c r="AQ5907" t="inlineStr"/>
    </row>
    <row r="5908">
      <c r="A5908" t="inlineStr">
        <is>
          <t>VITALIS</t>
        </is>
      </c>
      <c r="B5908" s="2">
        <f>"30400361134"</f>
        <v/>
      </c>
      <c r="C5908" t="inlineStr">
        <is>
          <t>VITALIS Sparkle EDT Fearless Rose 100ml</t>
        </is>
      </c>
      <c r="D5908" t="inlineStr">
        <is>
          <t>Miss Glam Damar</t>
        </is>
      </c>
      <c r="E5908" t="n">
        <v>4</v>
      </c>
      <c r="F5908" t="n">
        <v>0.0728</v>
      </c>
      <c r="G5908" t="n">
        <v>0.91</v>
      </c>
      <c r="H5908" t="n">
        <v>2</v>
      </c>
      <c r="I5908" t="n">
        <v>7</v>
      </c>
      <c r="J5908" t="n">
        <v>1</v>
      </c>
      <c r="K5908" t="n">
        <v>0</v>
      </c>
      <c r="L5908" t="n">
        <v>27581</v>
      </c>
      <c r="M5908" t="n">
        <v>32500</v>
      </c>
      <c r="N5908" t="n">
        <v>91</v>
      </c>
      <c r="O5908" t="n">
        <v>0.91</v>
      </c>
      <c r="P5908" t="n">
        <v>1</v>
      </c>
      <c r="Q5908" t="n">
        <v>0.05</v>
      </c>
      <c r="R5908" t="n">
        <v>1</v>
      </c>
      <c r="S5908" t="n">
        <v>2366</v>
      </c>
      <c r="T5908" t="n">
        <v>7</v>
      </c>
      <c r="U5908" t="n">
        <v>8</v>
      </c>
      <c r="V5908" t="n">
        <v>30</v>
      </c>
      <c r="W5908" t="n">
        <v>3</v>
      </c>
      <c r="X5908" t="n">
        <v>54.94505494505494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1811</v>
      </c>
      <c r="AG5908" t="n">
        <v>2044</v>
      </c>
      <c r="AH5908" t="inlineStr">
        <is>
          <t>CV. WINEMERI BERKARYA - PPN (PDG)</t>
        </is>
      </c>
      <c r="AI5908" t="n">
        <v>366</v>
      </c>
      <c r="AJ5908" t="inlineStr">
        <is>
          <t>VITALIS</t>
        </is>
      </c>
      <c r="AK5908" t="n">
        <v>21</v>
      </c>
      <c r="AL5908" t="inlineStr">
        <is>
          <t>Miss Glam Damar</t>
        </is>
      </c>
      <c r="AM5908" t="n">
        <v>2</v>
      </c>
      <c r="AN5908" t="n">
        <v>500000</v>
      </c>
      <c r="AO5908" t="n">
        <v>0</v>
      </c>
      <c r="AP5908" t="inlineStr"/>
      <c r="AQ5908" t="inlineStr"/>
    </row>
    <row r="5909">
      <c r="A5909" t="inlineStr">
        <is>
          <t>VIVA</t>
        </is>
      </c>
      <c r="B5909" s="2">
        <f>"8992796011716"</f>
        <v/>
      </c>
      <c r="C5909" t="inlineStr">
        <is>
          <t>VIVA  Acne Gel 15gr</t>
        </is>
      </c>
      <c r="D5909" t="inlineStr">
        <is>
          <t>Miss Glam Damar</t>
        </is>
      </c>
      <c r="E5909" t="n">
        <v>50</v>
      </c>
      <c r="F5909" t="n">
        <v>2.5298</v>
      </c>
      <c r="G5909" t="n">
        <v>7.28</v>
      </c>
      <c r="H5909" t="n">
        <v>2</v>
      </c>
      <c r="I5909" t="n">
        <v>7</v>
      </c>
      <c r="J5909" t="n">
        <v>3</v>
      </c>
      <c r="K5909" t="n">
        <v>0</v>
      </c>
      <c r="L5909" t="n">
        <v>8561</v>
      </c>
      <c r="M5909" t="n">
        <v>10500</v>
      </c>
      <c r="N5909" t="n">
        <v>91</v>
      </c>
      <c r="O5909" t="n">
        <v>0.91</v>
      </c>
      <c r="P5909" t="n">
        <v>1</v>
      </c>
      <c r="Q5909" t="n">
        <v>1.98</v>
      </c>
      <c r="R5909" t="n">
        <v>8</v>
      </c>
      <c r="S5909" t="n">
        <v>26562.9</v>
      </c>
      <c r="T5909" t="n">
        <v>46</v>
      </c>
      <c r="U5909" t="n">
        <v>52</v>
      </c>
      <c r="V5909" t="n">
        <v>30</v>
      </c>
      <c r="W5909" t="n">
        <v>76</v>
      </c>
      <c r="X5909" t="n">
        <v>19.76440825361689</v>
      </c>
      <c r="Y5909" t="n">
        <v>1</v>
      </c>
      <c r="Z5909" t="n">
        <v>26</v>
      </c>
      <c r="AA5909" t="n">
        <v>0</v>
      </c>
      <c r="AB5909" t="n">
        <v>26</v>
      </c>
      <c r="AC5909" t="n">
        <v>26</v>
      </c>
      <c r="AD5909" t="n">
        <v>0</v>
      </c>
      <c r="AE5909" t="n">
        <v>222586</v>
      </c>
      <c r="AF5909" t="n">
        <v>11426</v>
      </c>
      <c r="AG5909" t="n">
        <v>163</v>
      </c>
      <c r="AH5909" t="inlineStr">
        <is>
          <t>PT. PANTI KOSMETIKA BARU - PPN (PDG)</t>
        </is>
      </c>
      <c r="AI5909" t="n">
        <v>163</v>
      </c>
      <c r="AJ5909" t="inlineStr">
        <is>
          <t>VIVA</t>
        </is>
      </c>
      <c r="AK5909" t="n">
        <v>21</v>
      </c>
      <c r="AL5909" t="inlineStr">
        <is>
          <t>Miss Glam Damar</t>
        </is>
      </c>
      <c r="AM5909" t="n">
        <v>2</v>
      </c>
      <c r="AN5909" t="n">
        <v>500000</v>
      </c>
      <c r="AO5909" t="n">
        <v>0</v>
      </c>
      <c r="AP5909" t="inlineStr"/>
      <c r="AQ5909" t="inlineStr"/>
    </row>
    <row r="5910">
      <c r="A5910" t="inlineStr">
        <is>
          <t>VIVA</t>
        </is>
      </c>
      <c r="B5910" s="2">
        <f>"8992796011709"</f>
        <v/>
      </c>
      <c r="C5910" t="inlineStr">
        <is>
          <t>VIVA Acne Lotion 30ml</t>
        </is>
      </c>
      <c r="D5910" t="inlineStr">
        <is>
          <t>Miss Glam Damar</t>
        </is>
      </c>
      <c r="E5910" t="n">
        <v>29</v>
      </c>
      <c r="F5910" t="n">
        <v>1.47</v>
      </c>
      <c r="G5910" t="n">
        <v>6</v>
      </c>
      <c r="H5910" t="n">
        <v>2</v>
      </c>
      <c r="I5910" t="n">
        <v>7</v>
      </c>
      <c r="J5910" t="n">
        <v>3</v>
      </c>
      <c r="K5910" t="n">
        <v>0</v>
      </c>
      <c r="L5910" t="n">
        <v>4400</v>
      </c>
      <c r="M5910" t="n">
        <v>5500</v>
      </c>
      <c r="N5910" t="n">
        <v>91</v>
      </c>
      <c r="O5910" t="n">
        <v>0.91</v>
      </c>
      <c r="P5910" t="n">
        <v>0</v>
      </c>
      <c r="Q5910" t="n">
        <v>1.47</v>
      </c>
      <c r="R5910" t="n">
        <v>6</v>
      </c>
      <c r="S5910" t="n">
        <v>8085</v>
      </c>
      <c r="T5910" t="n">
        <v>40</v>
      </c>
      <c r="U5910" t="n">
        <v>43</v>
      </c>
      <c r="V5910" t="n">
        <v>30</v>
      </c>
      <c r="W5910" t="n">
        <v>45</v>
      </c>
      <c r="X5910" t="n">
        <v>19.72789115646259</v>
      </c>
      <c r="Y5910" t="n">
        <v>1</v>
      </c>
      <c r="Z5910" t="n">
        <v>16</v>
      </c>
      <c r="AA5910" t="n">
        <v>0</v>
      </c>
      <c r="AB5910" t="n">
        <v>16</v>
      </c>
      <c r="AC5910" t="n">
        <v>16</v>
      </c>
      <c r="AD5910" t="n">
        <v>0</v>
      </c>
      <c r="AE5910" t="n">
        <v>70400</v>
      </c>
      <c r="AF5910" t="n">
        <v>11426</v>
      </c>
      <c r="AG5910" t="n">
        <v>163</v>
      </c>
      <c r="AH5910" t="inlineStr">
        <is>
          <t>PT. PANTI KOSMETIKA BARU - PPN (PDG)</t>
        </is>
      </c>
      <c r="AI5910" t="n">
        <v>163</v>
      </c>
      <c r="AJ5910" t="inlineStr">
        <is>
          <t>VIVA</t>
        </is>
      </c>
      <c r="AK5910" t="n">
        <v>21</v>
      </c>
      <c r="AL5910" t="inlineStr">
        <is>
          <t>Miss Glam Damar</t>
        </is>
      </c>
      <c r="AM5910" t="n">
        <v>2</v>
      </c>
      <c r="AN5910" t="n">
        <v>500000</v>
      </c>
      <c r="AO5910" t="n">
        <v>0</v>
      </c>
      <c r="AP5910" t="inlineStr"/>
      <c r="AQ5910" t="inlineStr"/>
    </row>
    <row r="5911">
      <c r="A5911" t="inlineStr">
        <is>
          <t>VIVA</t>
        </is>
      </c>
      <c r="B5911" s="2">
        <f>"8992796011723"</f>
        <v/>
      </c>
      <c r="C5911" t="inlineStr">
        <is>
          <t>VIVA Acne Serum 20ml</t>
        </is>
      </c>
      <c r="D5911" t="inlineStr">
        <is>
          <t>Miss Glam Damar</t>
        </is>
      </c>
      <c r="E5911" t="n">
        <v>14</v>
      </c>
      <c r="F5911" t="n">
        <v>0.4914000000000001</v>
      </c>
      <c r="G5911" t="n">
        <v>1.82</v>
      </c>
      <c r="H5911" t="n">
        <v>2</v>
      </c>
      <c r="I5911" t="n">
        <v>7</v>
      </c>
      <c r="J5911" t="n">
        <v>3</v>
      </c>
      <c r="K5911" t="n">
        <v>0</v>
      </c>
      <c r="L5911" t="n">
        <v>16957</v>
      </c>
      <c r="M5911" t="n">
        <v>22000</v>
      </c>
      <c r="N5911" t="n">
        <v>91</v>
      </c>
      <c r="O5911" t="n">
        <v>0.91</v>
      </c>
      <c r="P5911" t="n">
        <v>1</v>
      </c>
      <c r="Q5911" t="n">
        <v>0.68</v>
      </c>
      <c r="R5911" t="n">
        <v>3</v>
      </c>
      <c r="S5911" t="n">
        <v>10810.8</v>
      </c>
      <c r="T5911" t="n">
        <v>12</v>
      </c>
      <c r="U5911" t="n">
        <v>13</v>
      </c>
      <c r="V5911" t="n">
        <v>30</v>
      </c>
      <c r="W5911" t="n">
        <v>15</v>
      </c>
      <c r="X5911" t="n">
        <v>28.49002849002849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11426</v>
      </c>
      <c r="AG5911" t="n">
        <v>163</v>
      </c>
      <c r="AH5911" t="inlineStr">
        <is>
          <t>PT. PANTI KOSMETIKA BARU - PPN (PDG)</t>
        </is>
      </c>
      <c r="AI5911" t="n">
        <v>163</v>
      </c>
      <c r="AJ5911" t="inlineStr">
        <is>
          <t>VIVA</t>
        </is>
      </c>
      <c r="AK5911" t="n">
        <v>21</v>
      </c>
      <c r="AL5911" t="inlineStr">
        <is>
          <t>Miss Glam Damar</t>
        </is>
      </c>
      <c r="AM5911" t="n">
        <v>2</v>
      </c>
      <c r="AN5911" t="n">
        <v>500000</v>
      </c>
      <c r="AO5911" t="n">
        <v>0</v>
      </c>
      <c r="AP5911" t="inlineStr"/>
      <c r="AQ5911" t="inlineStr"/>
    </row>
    <row r="5912">
      <c r="A5912" t="inlineStr">
        <is>
          <t>VIVA</t>
        </is>
      </c>
      <c r="B5912" s="2">
        <f>"8992796011501"</f>
        <v/>
      </c>
      <c r="C5912" t="inlineStr">
        <is>
          <t>VIVA Air Mawar 100ml</t>
        </is>
      </c>
      <c r="D5912" t="inlineStr">
        <is>
          <t>Miss Glam Damar</t>
        </is>
      </c>
      <c r="E5912" t="n">
        <v>58</v>
      </c>
      <c r="F5912" t="n">
        <v>8.435700000000001</v>
      </c>
      <c r="G5912" t="n">
        <v>22.75</v>
      </c>
      <c r="H5912" t="n">
        <v>2</v>
      </c>
      <c r="I5912" t="n">
        <v>7</v>
      </c>
      <c r="J5912" t="n">
        <v>12</v>
      </c>
      <c r="K5912" t="n">
        <v>0</v>
      </c>
      <c r="L5912" t="n">
        <v>5244</v>
      </c>
      <c r="M5912" t="n">
        <v>6500</v>
      </c>
      <c r="N5912" t="n">
        <v>91</v>
      </c>
      <c r="O5912" t="n">
        <v>0.91</v>
      </c>
      <c r="P5912" t="n">
        <v>1</v>
      </c>
      <c r="Q5912" t="n">
        <v>3.83</v>
      </c>
      <c r="R5912" t="n">
        <v>10</v>
      </c>
      <c r="S5912" t="n">
        <v>54832.05</v>
      </c>
      <c r="T5912" t="n">
        <v>143</v>
      </c>
      <c r="U5912" t="n">
        <v>160</v>
      </c>
      <c r="V5912" t="n">
        <v>30</v>
      </c>
      <c r="W5912" t="n">
        <v>254</v>
      </c>
      <c r="X5912" t="n">
        <v>6.87554085612338</v>
      </c>
      <c r="Y5912" t="n">
        <v>1</v>
      </c>
      <c r="Z5912" t="n">
        <v>196</v>
      </c>
      <c r="AA5912" t="n">
        <v>2</v>
      </c>
      <c r="AB5912" t="n">
        <v>194</v>
      </c>
      <c r="AC5912" t="n">
        <v>194</v>
      </c>
      <c r="AD5912" t="n">
        <v>10488</v>
      </c>
      <c r="AE5912" t="n">
        <v>1017336</v>
      </c>
      <c r="AF5912" t="n">
        <v>11426</v>
      </c>
      <c r="AG5912" t="n">
        <v>163</v>
      </c>
      <c r="AH5912" t="inlineStr">
        <is>
          <t>PT. PANTI KOSMETIKA BARU - PPN (PDG)</t>
        </is>
      </c>
      <c r="AI5912" t="n">
        <v>163</v>
      </c>
      <c r="AJ5912" t="inlineStr">
        <is>
          <t>VIVA</t>
        </is>
      </c>
      <c r="AK5912" t="n">
        <v>21</v>
      </c>
      <c r="AL5912" t="inlineStr">
        <is>
          <t>Miss Glam Damar</t>
        </is>
      </c>
      <c r="AM5912" t="n">
        <v>2</v>
      </c>
      <c r="AN5912" t="n">
        <v>500000</v>
      </c>
      <c r="AO5912" t="n">
        <v>0</v>
      </c>
      <c r="AP5912" t="inlineStr"/>
      <c r="AQ5912" t="inlineStr"/>
    </row>
    <row r="5913">
      <c r="A5913" t="inlineStr">
        <is>
          <t>VIVA</t>
        </is>
      </c>
      <c r="B5913" s="2">
        <f>"8992796011518"</f>
        <v/>
      </c>
      <c r="C5913" t="inlineStr">
        <is>
          <t>VIVA Air Mawar 200ml</t>
        </is>
      </c>
      <c r="D5913" t="inlineStr">
        <is>
          <t>Miss Glam Damar</t>
        </is>
      </c>
      <c r="E5913" t="n">
        <v>91</v>
      </c>
      <c r="F5913" t="n">
        <v>4.08</v>
      </c>
      <c r="G5913" t="n">
        <v>11</v>
      </c>
      <c r="H5913" t="n">
        <v>2</v>
      </c>
      <c r="I5913" t="n">
        <v>7</v>
      </c>
      <c r="J5913" t="n">
        <v>3</v>
      </c>
      <c r="K5913" t="n">
        <v>0</v>
      </c>
      <c r="L5913" t="n">
        <v>8787</v>
      </c>
      <c r="M5913" t="n">
        <v>11000</v>
      </c>
      <c r="N5913" t="n">
        <v>91</v>
      </c>
      <c r="O5913" t="n">
        <v>0.91</v>
      </c>
      <c r="P5913" t="n">
        <v>0</v>
      </c>
      <c r="Q5913" t="n">
        <v>4.08</v>
      </c>
      <c r="R5913" t="n">
        <v>11</v>
      </c>
      <c r="S5913" t="n">
        <v>44880</v>
      </c>
      <c r="T5913" t="n">
        <v>69</v>
      </c>
      <c r="U5913" t="n">
        <v>78</v>
      </c>
      <c r="V5913" t="n">
        <v>30</v>
      </c>
      <c r="W5913" t="n">
        <v>123</v>
      </c>
      <c r="X5913" t="n">
        <v>22.30392156862745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11426</v>
      </c>
      <c r="AG5913" t="n">
        <v>163</v>
      </c>
      <c r="AH5913" t="inlineStr">
        <is>
          <t>PT. PANTI KOSMETIKA BARU - PPN (PDG)</t>
        </is>
      </c>
      <c r="AI5913" t="n">
        <v>163</v>
      </c>
      <c r="AJ5913" t="inlineStr">
        <is>
          <t>VIVA</t>
        </is>
      </c>
      <c r="AK5913" t="n">
        <v>21</v>
      </c>
      <c r="AL5913" t="inlineStr">
        <is>
          <t>Miss Glam Damar</t>
        </is>
      </c>
      <c r="AM5913" t="n">
        <v>2</v>
      </c>
      <c r="AN5913" t="n">
        <v>500000</v>
      </c>
      <c r="AO5913" t="n">
        <v>0</v>
      </c>
      <c r="AP5913" t="inlineStr"/>
      <c r="AQ5913" t="inlineStr"/>
    </row>
    <row r="5914">
      <c r="A5914" t="inlineStr">
        <is>
          <t>VIVA</t>
        </is>
      </c>
      <c r="B5914" s="2">
        <f>"8992796168618"</f>
        <v/>
      </c>
      <c r="C5914" t="inlineStr">
        <is>
          <t>VIVA Anti Aging Serum 20ml</t>
        </is>
      </c>
      <c r="D5914" t="inlineStr">
        <is>
          <t>Miss Glam Damar</t>
        </is>
      </c>
      <c r="E5914" t="n">
        <v>10</v>
      </c>
      <c r="F5914" t="n">
        <v>0.3367</v>
      </c>
      <c r="G5914" t="n">
        <v>1.82</v>
      </c>
      <c r="H5914" t="n">
        <v>2</v>
      </c>
      <c r="I5914" t="n">
        <v>7</v>
      </c>
      <c r="J5914" t="n">
        <v>3</v>
      </c>
      <c r="K5914" t="n">
        <v>0</v>
      </c>
      <c r="L5914" t="n">
        <v>15988</v>
      </c>
      <c r="M5914" t="n">
        <v>22000</v>
      </c>
      <c r="N5914" t="n">
        <v>91</v>
      </c>
      <c r="O5914" t="n">
        <v>0.91</v>
      </c>
      <c r="P5914" t="n">
        <v>1</v>
      </c>
      <c r="Q5914" t="n">
        <v>0.37</v>
      </c>
      <c r="R5914" t="n">
        <v>2</v>
      </c>
      <c r="S5914" t="n">
        <v>7407.4</v>
      </c>
      <c r="T5914" t="n">
        <v>13</v>
      </c>
      <c r="U5914" t="n">
        <v>14</v>
      </c>
      <c r="V5914" t="n">
        <v>30</v>
      </c>
      <c r="W5914" t="n">
        <v>11</v>
      </c>
      <c r="X5914" t="n">
        <v>29.7000297000297</v>
      </c>
      <c r="Y5914" t="n">
        <v>1</v>
      </c>
      <c r="Z5914" t="n">
        <v>1</v>
      </c>
      <c r="AA5914" t="n">
        <v>0</v>
      </c>
      <c r="AB5914" t="n">
        <v>1</v>
      </c>
      <c r="AC5914" t="n">
        <v>3</v>
      </c>
      <c r="AD5914" t="n">
        <v>0</v>
      </c>
      <c r="AE5914" t="n">
        <v>47964</v>
      </c>
      <c r="AF5914" t="n">
        <v>11426</v>
      </c>
      <c r="AG5914" t="n">
        <v>163</v>
      </c>
      <c r="AH5914" t="inlineStr">
        <is>
          <t>PT. PANTI KOSMETIKA BARU - PPN (PDG)</t>
        </is>
      </c>
      <c r="AI5914" t="n">
        <v>163</v>
      </c>
      <c r="AJ5914" t="inlineStr">
        <is>
          <t>VIVA</t>
        </is>
      </c>
      <c r="AK5914" t="n">
        <v>21</v>
      </c>
      <c r="AL5914" t="inlineStr">
        <is>
          <t>Miss Glam Damar</t>
        </is>
      </c>
      <c r="AM5914" t="n">
        <v>2</v>
      </c>
      <c r="AN5914" t="n">
        <v>500000</v>
      </c>
      <c r="AO5914" t="n">
        <v>0</v>
      </c>
      <c r="AP5914" t="inlineStr"/>
      <c r="AQ5914" t="inlineStr"/>
    </row>
    <row r="5915">
      <c r="A5915" t="inlineStr">
        <is>
          <t>VIVA</t>
        </is>
      </c>
      <c r="B5915" s="2">
        <f>"8992796168601"</f>
        <v/>
      </c>
      <c r="C5915" t="inlineStr">
        <is>
          <t>VIVA Anti Wringkle Cream 22gr</t>
        </is>
      </c>
      <c r="D5915" t="inlineStr">
        <is>
          <t>Miss Glam Damar</t>
        </is>
      </c>
      <c r="E5915" t="n">
        <v>3</v>
      </c>
      <c r="F5915" t="n">
        <v>0.25</v>
      </c>
      <c r="G5915" t="n">
        <v>2</v>
      </c>
      <c r="H5915" t="n">
        <v>2</v>
      </c>
      <c r="I5915" t="n">
        <v>7</v>
      </c>
      <c r="J5915" t="n">
        <v>3</v>
      </c>
      <c r="K5915" t="n">
        <v>0</v>
      </c>
      <c r="L5915" t="n">
        <v>10487</v>
      </c>
      <c r="M5915" t="n">
        <v>12500</v>
      </c>
      <c r="N5915" t="n">
        <v>91</v>
      </c>
      <c r="O5915" t="n">
        <v>0.91</v>
      </c>
      <c r="P5915" t="n">
        <v>0</v>
      </c>
      <c r="Q5915" t="n">
        <v>0.25</v>
      </c>
      <c r="R5915" t="n">
        <v>2</v>
      </c>
      <c r="S5915" t="n">
        <v>3125</v>
      </c>
      <c r="T5915" t="n">
        <v>14</v>
      </c>
      <c r="U5915" t="n">
        <v>15</v>
      </c>
      <c r="V5915" t="n">
        <v>30</v>
      </c>
      <c r="W5915" t="n">
        <v>8</v>
      </c>
      <c r="X5915" t="n">
        <v>12</v>
      </c>
      <c r="Y5915" t="n">
        <v>1</v>
      </c>
      <c r="Z5915" t="n">
        <v>5</v>
      </c>
      <c r="AA5915" t="n">
        <v>0</v>
      </c>
      <c r="AB5915" t="n">
        <v>5</v>
      </c>
      <c r="AC5915" t="n">
        <v>5</v>
      </c>
      <c r="AD5915" t="n">
        <v>0</v>
      </c>
      <c r="AE5915" t="n">
        <v>52435</v>
      </c>
      <c r="AF5915" t="n">
        <v>11426</v>
      </c>
      <c r="AG5915" t="n">
        <v>163</v>
      </c>
      <c r="AH5915" t="inlineStr">
        <is>
          <t>PT. PANTI KOSMETIKA BARU - PPN (PDG)</t>
        </is>
      </c>
      <c r="AI5915" t="n">
        <v>163</v>
      </c>
      <c r="AJ5915" t="inlineStr">
        <is>
          <t>VIVA</t>
        </is>
      </c>
      <c r="AK5915" t="n">
        <v>21</v>
      </c>
      <c r="AL5915" t="inlineStr">
        <is>
          <t>Miss Glam Damar</t>
        </is>
      </c>
      <c r="AM5915" t="n">
        <v>2</v>
      </c>
      <c r="AN5915" t="n">
        <v>500000</v>
      </c>
      <c r="AO5915" t="n">
        <v>0</v>
      </c>
      <c r="AP5915" t="inlineStr"/>
      <c r="AQ5915" t="inlineStr"/>
    </row>
    <row r="5916">
      <c r="A5916" t="inlineStr">
        <is>
          <t>VIVA</t>
        </is>
      </c>
      <c r="B5916" s="2">
        <f>"8992796011402"</f>
        <v/>
      </c>
      <c r="C5916" t="inlineStr">
        <is>
          <t>VIVA Astringent Cucumber 100ml</t>
        </is>
      </c>
      <c r="D5916" t="inlineStr">
        <is>
          <t>Miss Glam Damar</t>
        </is>
      </c>
      <c r="E5916" t="n">
        <v>9</v>
      </c>
      <c r="F5916" t="n">
        <v>0.5277999999999999</v>
      </c>
      <c r="G5916" t="n">
        <v>2.73</v>
      </c>
      <c r="H5916" t="n">
        <v>2</v>
      </c>
      <c r="I5916" t="n">
        <v>7</v>
      </c>
      <c r="J5916" t="n">
        <v>3</v>
      </c>
      <c r="K5916" t="n">
        <v>0</v>
      </c>
      <c r="L5916" t="n">
        <v>5639</v>
      </c>
      <c r="M5916" t="n">
        <v>7000</v>
      </c>
      <c r="N5916" t="n">
        <v>91</v>
      </c>
      <c r="O5916" t="n">
        <v>0.91</v>
      </c>
      <c r="P5916" t="n">
        <v>1</v>
      </c>
      <c r="Q5916" t="n">
        <v>0.39</v>
      </c>
      <c r="R5916" t="n">
        <v>2</v>
      </c>
      <c r="S5916" t="n">
        <v>3694.599999999999</v>
      </c>
      <c r="T5916" t="n">
        <v>19</v>
      </c>
      <c r="U5916" t="n">
        <v>21</v>
      </c>
      <c r="V5916" t="n">
        <v>30</v>
      </c>
      <c r="W5916" t="n">
        <v>16</v>
      </c>
      <c r="X5916" t="n">
        <v>17.05191360363774</v>
      </c>
      <c r="Y5916" t="n">
        <v>1</v>
      </c>
      <c r="Z5916" t="n">
        <v>7</v>
      </c>
      <c r="AA5916" t="n">
        <v>0</v>
      </c>
      <c r="AB5916" t="n">
        <v>7</v>
      </c>
      <c r="AC5916" t="n">
        <v>7</v>
      </c>
      <c r="AD5916" t="n">
        <v>0</v>
      </c>
      <c r="AE5916" t="n">
        <v>39473</v>
      </c>
      <c r="AF5916" t="n">
        <v>11426</v>
      </c>
      <c r="AG5916" t="n">
        <v>163</v>
      </c>
      <c r="AH5916" t="inlineStr">
        <is>
          <t>PT. PANTI KOSMETIKA BARU - PPN (PDG)</t>
        </is>
      </c>
      <c r="AI5916" t="n">
        <v>163</v>
      </c>
      <c r="AJ5916" t="inlineStr">
        <is>
          <t>VIVA</t>
        </is>
      </c>
      <c r="AK5916" t="n">
        <v>21</v>
      </c>
      <c r="AL5916" t="inlineStr">
        <is>
          <t>Miss Glam Damar</t>
        </is>
      </c>
      <c r="AM5916" t="n">
        <v>2</v>
      </c>
      <c r="AN5916" t="n">
        <v>500000</v>
      </c>
      <c r="AO5916" t="n">
        <v>0</v>
      </c>
      <c r="AP5916" t="inlineStr"/>
      <c r="AQ5916" t="inlineStr"/>
    </row>
    <row r="5917">
      <c r="A5917" t="inlineStr">
        <is>
          <t>VIVA</t>
        </is>
      </c>
      <c r="B5917" s="2">
        <f>"8992796011464"</f>
        <v/>
      </c>
      <c r="C5917" t="inlineStr">
        <is>
          <t>VIVA Astringent Cucumber 200ml</t>
        </is>
      </c>
      <c r="D5917" t="inlineStr">
        <is>
          <t>Miss Glam Damar</t>
        </is>
      </c>
      <c r="E5917" t="n">
        <v>13</v>
      </c>
      <c r="F5917" t="n">
        <v>0.2275</v>
      </c>
      <c r="G5917" t="n">
        <v>1.82</v>
      </c>
      <c r="H5917" t="n">
        <v>2</v>
      </c>
      <c r="I5917" t="n">
        <v>7</v>
      </c>
      <c r="J5917" t="n">
        <v>3</v>
      </c>
      <c r="K5917" t="n">
        <v>0</v>
      </c>
      <c r="L5917" t="n">
        <v>9421</v>
      </c>
      <c r="M5917" t="n">
        <v>12000</v>
      </c>
      <c r="N5917" t="n">
        <v>91</v>
      </c>
      <c r="O5917" t="n">
        <v>0.91</v>
      </c>
      <c r="P5917" t="n">
        <v>1</v>
      </c>
      <c r="Q5917" t="n">
        <v>0.41</v>
      </c>
      <c r="R5917" t="n">
        <v>3</v>
      </c>
      <c r="S5917" t="n">
        <v>2730</v>
      </c>
      <c r="T5917" t="n">
        <v>13</v>
      </c>
      <c r="U5917" t="n">
        <v>14</v>
      </c>
      <c r="V5917" t="n">
        <v>30</v>
      </c>
      <c r="W5917" t="n">
        <v>7</v>
      </c>
      <c r="X5917" t="n">
        <v>57.14285714285714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11426</v>
      </c>
      <c r="AG5917" t="n">
        <v>163</v>
      </c>
      <c r="AH5917" t="inlineStr">
        <is>
          <t>PT. PANTI KOSMETIKA BARU - PPN (PDG)</t>
        </is>
      </c>
      <c r="AI5917" t="n">
        <v>163</v>
      </c>
      <c r="AJ5917" t="inlineStr">
        <is>
          <t>VIVA</t>
        </is>
      </c>
      <c r="AK5917" t="n">
        <v>21</v>
      </c>
      <c r="AL5917" t="inlineStr">
        <is>
          <t>Miss Glam Damar</t>
        </is>
      </c>
      <c r="AM5917" t="n">
        <v>2</v>
      </c>
      <c r="AN5917" t="n">
        <v>500000</v>
      </c>
      <c r="AO5917" t="n">
        <v>0</v>
      </c>
      <c r="AP5917" t="inlineStr"/>
      <c r="AQ5917" t="inlineStr"/>
    </row>
    <row r="5918">
      <c r="A5918" t="inlineStr">
        <is>
          <t>VIVA</t>
        </is>
      </c>
      <c r="B5918" s="2">
        <f>"8992796058537"</f>
        <v/>
      </c>
      <c r="C5918" t="inlineStr">
        <is>
          <t>VIVA Blush Fin Touch 03</t>
        </is>
      </c>
      <c r="D5918" t="inlineStr">
        <is>
          <t>Miss Glam Damar</t>
        </is>
      </c>
      <c r="E5918" t="n">
        <v>41</v>
      </c>
      <c r="F5918" t="n">
        <v>4.8321</v>
      </c>
      <c r="G5918" t="n">
        <v>14.56</v>
      </c>
      <c r="H5918" t="n">
        <v>2</v>
      </c>
      <c r="I5918" t="n">
        <v>7</v>
      </c>
      <c r="J5918" t="n">
        <v>3</v>
      </c>
      <c r="K5918" t="n">
        <v>0</v>
      </c>
      <c r="L5918" t="n">
        <v>5653</v>
      </c>
      <c r="M5918" t="n">
        <v>7500</v>
      </c>
      <c r="N5918" t="n">
        <v>91</v>
      </c>
      <c r="O5918" t="n">
        <v>0.91</v>
      </c>
      <c r="P5918" t="n">
        <v>1</v>
      </c>
      <c r="Q5918" t="n">
        <v>2.61</v>
      </c>
      <c r="R5918" t="n">
        <v>9</v>
      </c>
      <c r="S5918" t="n">
        <v>36240.75</v>
      </c>
      <c r="T5918" t="n">
        <v>93</v>
      </c>
      <c r="U5918" t="n">
        <v>103</v>
      </c>
      <c r="V5918" t="n">
        <v>30</v>
      </c>
      <c r="W5918" t="n">
        <v>145</v>
      </c>
      <c r="X5918" t="n">
        <v>8.484923739161028</v>
      </c>
      <c r="Y5918" t="n">
        <v>1</v>
      </c>
      <c r="Z5918" t="n">
        <v>104</v>
      </c>
      <c r="AA5918" t="n">
        <v>0</v>
      </c>
      <c r="AB5918" t="n">
        <v>104</v>
      </c>
      <c r="AC5918" t="n">
        <v>104</v>
      </c>
      <c r="AD5918" t="n">
        <v>0</v>
      </c>
      <c r="AE5918" t="n">
        <v>587912</v>
      </c>
      <c r="AF5918" t="n">
        <v>11426</v>
      </c>
      <c r="AG5918" t="n">
        <v>163</v>
      </c>
      <c r="AH5918" t="inlineStr">
        <is>
          <t>PT. PANTI KOSMETIKA BARU - PPN (PDG)</t>
        </is>
      </c>
      <c r="AI5918" t="n">
        <v>163</v>
      </c>
      <c r="AJ5918" t="inlineStr">
        <is>
          <t>VIVA</t>
        </is>
      </c>
      <c r="AK5918" t="n">
        <v>21</v>
      </c>
      <c r="AL5918" t="inlineStr">
        <is>
          <t>Miss Glam Damar</t>
        </is>
      </c>
      <c r="AM5918" t="n">
        <v>2</v>
      </c>
      <c r="AN5918" t="n">
        <v>500000</v>
      </c>
      <c r="AO5918" t="n">
        <v>0</v>
      </c>
      <c r="AP5918" t="inlineStr"/>
      <c r="AQ5918" t="inlineStr"/>
    </row>
    <row r="5919">
      <c r="A5919" t="inlineStr">
        <is>
          <t>VIVA</t>
        </is>
      </c>
      <c r="B5919" s="2">
        <f>"8992796058544"</f>
        <v/>
      </c>
      <c r="C5919" t="inlineStr">
        <is>
          <t>VIVA Blush Fin Touch 04</t>
        </is>
      </c>
      <c r="D5919" t="inlineStr">
        <is>
          <t>Miss Glam Damar</t>
        </is>
      </c>
      <c r="E5919" t="n">
        <v>66</v>
      </c>
      <c r="F5919" t="n">
        <v>6.8159</v>
      </c>
      <c r="G5919" t="n">
        <v>18.2</v>
      </c>
      <c r="H5919" t="n">
        <v>2</v>
      </c>
      <c r="I5919" t="n">
        <v>7</v>
      </c>
      <c r="J5919" t="n">
        <v>3</v>
      </c>
      <c r="K5919" t="n">
        <v>0</v>
      </c>
      <c r="L5919" t="n">
        <v>5609</v>
      </c>
      <c r="M5919" t="n">
        <v>7500</v>
      </c>
      <c r="N5919" t="n">
        <v>91</v>
      </c>
      <c r="O5919" t="n">
        <v>0.91</v>
      </c>
      <c r="P5919" t="n">
        <v>1</v>
      </c>
      <c r="Q5919" t="n">
        <v>2.98</v>
      </c>
      <c r="R5919" t="n">
        <v>9</v>
      </c>
      <c r="S5919" t="n">
        <v>51119.25</v>
      </c>
      <c r="T5919" t="n">
        <v>114</v>
      </c>
      <c r="U5919" t="n">
        <v>128</v>
      </c>
      <c r="V5919" t="n">
        <v>30</v>
      </c>
      <c r="W5919" t="n">
        <v>205</v>
      </c>
      <c r="X5919" t="n">
        <v>9.683240657873501</v>
      </c>
      <c r="Y5919" t="n">
        <v>1</v>
      </c>
      <c r="Z5919" t="n">
        <v>139</v>
      </c>
      <c r="AA5919" t="n">
        <v>0</v>
      </c>
      <c r="AB5919" t="n">
        <v>139</v>
      </c>
      <c r="AC5919" t="n">
        <v>139</v>
      </c>
      <c r="AD5919" t="n">
        <v>0</v>
      </c>
      <c r="AE5919" t="n">
        <v>779651</v>
      </c>
      <c r="AF5919" t="n">
        <v>11426</v>
      </c>
      <c r="AG5919" t="n">
        <v>163</v>
      </c>
      <c r="AH5919" t="inlineStr">
        <is>
          <t>PT. PANTI KOSMETIKA BARU - PPN (PDG)</t>
        </is>
      </c>
      <c r="AI5919" t="n">
        <v>163</v>
      </c>
      <c r="AJ5919" t="inlineStr">
        <is>
          <t>VIVA</t>
        </is>
      </c>
      <c r="AK5919" t="n">
        <v>21</v>
      </c>
      <c r="AL5919" t="inlineStr">
        <is>
          <t>Miss Glam Damar</t>
        </is>
      </c>
      <c r="AM5919" t="n">
        <v>2</v>
      </c>
      <c r="AN5919" t="n">
        <v>500000</v>
      </c>
      <c r="AO5919" t="n">
        <v>0</v>
      </c>
      <c r="AP5919" t="inlineStr"/>
      <c r="AQ5919" t="inlineStr"/>
    </row>
    <row r="5920">
      <c r="A5920" t="inlineStr">
        <is>
          <t>VIVA</t>
        </is>
      </c>
      <c r="B5920" s="2">
        <f>"8992796058551"</f>
        <v/>
      </c>
      <c r="C5920" t="inlineStr">
        <is>
          <t>VIVA Blush Fin Touch 05</t>
        </is>
      </c>
      <c r="D5920" t="inlineStr">
        <is>
          <t>Miss Glam Damar</t>
        </is>
      </c>
      <c r="E5920" t="n">
        <v>19</v>
      </c>
      <c r="F5920" t="n">
        <v>0.7826</v>
      </c>
      <c r="G5920" t="n">
        <v>3.64</v>
      </c>
      <c r="H5920" t="n">
        <v>2</v>
      </c>
      <c r="I5920" t="n">
        <v>7</v>
      </c>
      <c r="J5920" t="n">
        <v>3</v>
      </c>
      <c r="K5920" t="n">
        <v>0</v>
      </c>
      <c r="L5920" t="n">
        <v>5591</v>
      </c>
      <c r="M5920" t="n">
        <v>7500</v>
      </c>
      <c r="N5920" t="n">
        <v>91</v>
      </c>
      <c r="O5920" t="n">
        <v>0.91</v>
      </c>
      <c r="P5920" t="n">
        <v>1</v>
      </c>
      <c r="Q5920" t="n">
        <v>0.41</v>
      </c>
      <c r="R5920" t="n">
        <v>2</v>
      </c>
      <c r="S5920" t="n">
        <v>5869.5</v>
      </c>
      <c r="T5920" t="n">
        <v>24</v>
      </c>
      <c r="U5920" t="n">
        <v>26</v>
      </c>
      <c r="V5920" t="n">
        <v>30</v>
      </c>
      <c r="W5920" t="n">
        <v>24</v>
      </c>
      <c r="X5920" t="n">
        <v>24.27804753386149</v>
      </c>
      <c r="Y5920" t="n">
        <v>1</v>
      </c>
      <c r="Z5920" t="n">
        <v>5</v>
      </c>
      <c r="AA5920" t="n">
        <v>0</v>
      </c>
      <c r="AB5920" t="n">
        <v>5</v>
      </c>
      <c r="AC5920" t="n">
        <v>5</v>
      </c>
      <c r="AD5920" t="n">
        <v>0</v>
      </c>
      <c r="AE5920" t="n">
        <v>27955</v>
      </c>
      <c r="AF5920" t="n">
        <v>11426</v>
      </c>
      <c r="AG5920" t="n">
        <v>163</v>
      </c>
      <c r="AH5920" t="inlineStr">
        <is>
          <t>PT. PANTI KOSMETIKA BARU - PPN (PDG)</t>
        </is>
      </c>
      <c r="AI5920" t="n">
        <v>163</v>
      </c>
      <c r="AJ5920" t="inlineStr">
        <is>
          <t>VIVA</t>
        </is>
      </c>
      <c r="AK5920" t="n">
        <v>21</v>
      </c>
      <c r="AL5920" t="inlineStr">
        <is>
          <t>Miss Glam Damar</t>
        </is>
      </c>
      <c r="AM5920" t="n">
        <v>2</v>
      </c>
      <c r="AN5920" t="n">
        <v>500000</v>
      </c>
      <c r="AO5920" t="n">
        <v>0</v>
      </c>
      <c r="AP5920" t="inlineStr"/>
      <c r="AQ5920" t="inlineStr"/>
    </row>
    <row r="5921">
      <c r="A5921" t="inlineStr">
        <is>
          <t>VIVA</t>
        </is>
      </c>
      <c r="B5921" s="2">
        <f>"8992796211208"</f>
        <v/>
      </c>
      <c r="C5921" t="inlineStr">
        <is>
          <t>VIVA Clean Mask Cleanser 50gr</t>
        </is>
      </c>
      <c r="D5921" t="inlineStr">
        <is>
          <t>Miss Glam Damar</t>
        </is>
      </c>
      <c r="E5921" t="n">
        <v>16</v>
      </c>
      <c r="F5921" t="n">
        <v>0.3276</v>
      </c>
      <c r="G5921" t="n">
        <v>2.73</v>
      </c>
      <c r="H5921" t="n">
        <v>2</v>
      </c>
      <c r="I5921" t="n">
        <v>7</v>
      </c>
      <c r="J5921" t="n">
        <v>12</v>
      </c>
      <c r="K5921" t="n">
        <v>0</v>
      </c>
      <c r="L5921" t="n">
        <v>12347</v>
      </c>
      <c r="M5921" t="n">
        <v>16300</v>
      </c>
      <c r="N5921" t="n">
        <v>91</v>
      </c>
      <c r="O5921" t="n">
        <v>0.91</v>
      </c>
      <c r="P5921" t="n">
        <v>1</v>
      </c>
      <c r="Q5921" t="n">
        <v>0.05</v>
      </c>
      <c r="R5921" t="n">
        <v>1</v>
      </c>
      <c r="S5921" t="n">
        <v>5339.88</v>
      </c>
      <c r="T5921" t="n">
        <v>19</v>
      </c>
      <c r="U5921" t="n">
        <v>20</v>
      </c>
      <c r="V5921" t="n">
        <v>30</v>
      </c>
      <c r="W5921" t="n">
        <v>10</v>
      </c>
      <c r="X5921" t="n">
        <v>48.84004884004884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11426</v>
      </c>
      <c r="AG5921" t="n">
        <v>163</v>
      </c>
      <c r="AH5921" t="inlineStr">
        <is>
          <t>PT. PANTI KOSMETIKA BARU - PPN (PDG)</t>
        </is>
      </c>
      <c r="AI5921" t="n">
        <v>163</v>
      </c>
      <c r="AJ5921" t="inlineStr">
        <is>
          <t>VIVA</t>
        </is>
      </c>
      <c r="AK5921" t="n">
        <v>21</v>
      </c>
      <c r="AL5921" t="inlineStr">
        <is>
          <t>Miss Glam Damar</t>
        </is>
      </c>
      <c r="AM5921" t="n">
        <v>2</v>
      </c>
      <c r="AN5921" t="n">
        <v>500000</v>
      </c>
      <c r="AO5921" t="n">
        <v>0</v>
      </c>
      <c r="AP5921" t="inlineStr"/>
      <c r="AQ5921" t="inlineStr"/>
    </row>
    <row r="5922">
      <c r="A5922" t="inlineStr">
        <is>
          <t>VIVA</t>
        </is>
      </c>
      <c r="B5922" s="2">
        <f>"8992796211222"</f>
        <v/>
      </c>
      <c r="C5922" t="inlineStr">
        <is>
          <t>VIVA Clean Mask Refreshner For Oily  Acne Skin 50g</t>
        </is>
      </c>
      <c r="D5922" t="inlineStr">
        <is>
          <t>Miss Glam Damar</t>
        </is>
      </c>
      <c r="E5922" t="n">
        <v>4</v>
      </c>
      <c r="F5922" t="n">
        <v>0.2912</v>
      </c>
      <c r="G5922" t="n">
        <v>1.82</v>
      </c>
      <c r="H5922" t="n">
        <v>2</v>
      </c>
      <c r="I5922" t="n">
        <v>7</v>
      </c>
      <c r="J5922" t="n">
        <v>3</v>
      </c>
      <c r="K5922" t="n">
        <v>0</v>
      </c>
      <c r="L5922" t="n">
        <v>12382</v>
      </c>
      <c r="M5922" t="n">
        <v>15500</v>
      </c>
      <c r="N5922" t="n">
        <v>91</v>
      </c>
      <c r="O5922" t="n">
        <v>0.91</v>
      </c>
      <c r="P5922" t="n">
        <v>1</v>
      </c>
      <c r="Q5922" t="n">
        <v>0.1</v>
      </c>
      <c r="R5922" t="n">
        <v>2</v>
      </c>
      <c r="S5922" t="n">
        <v>4513.6</v>
      </c>
      <c r="T5922" t="n">
        <v>13</v>
      </c>
      <c r="U5922" t="n">
        <v>14</v>
      </c>
      <c r="V5922" t="n">
        <v>30</v>
      </c>
      <c r="W5922" t="n">
        <v>9</v>
      </c>
      <c r="X5922" t="n">
        <v>13.73626373626374</v>
      </c>
      <c r="Y5922" t="n">
        <v>1</v>
      </c>
      <c r="Z5922" t="n">
        <v>5</v>
      </c>
      <c r="AA5922" t="n">
        <v>0</v>
      </c>
      <c r="AB5922" t="n">
        <v>5</v>
      </c>
      <c r="AC5922" t="n">
        <v>5</v>
      </c>
      <c r="AD5922" t="n">
        <v>0</v>
      </c>
      <c r="AE5922" t="n">
        <v>61910</v>
      </c>
      <c r="AF5922" t="n">
        <v>11426</v>
      </c>
      <c r="AG5922" t="n">
        <v>163</v>
      </c>
      <c r="AH5922" t="inlineStr">
        <is>
          <t>PT. PANTI KOSMETIKA BARU - PPN (PDG)</t>
        </is>
      </c>
      <c r="AI5922" t="n">
        <v>163</v>
      </c>
      <c r="AJ5922" t="inlineStr">
        <is>
          <t>VIVA</t>
        </is>
      </c>
      <c r="AK5922" t="n">
        <v>21</v>
      </c>
      <c r="AL5922" t="inlineStr">
        <is>
          <t>Miss Glam Damar</t>
        </is>
      </c>
      <c r="AM5922" t="n">
        <v>2</v>
      </c>
      <c r="AN5922" t="n">
        <v>500000</v>
      </c>
      <c r="AO5922" t="n">
        <v>0</v>
      </c>
      <c r="AP5922" t="inlineStr"/>
      <c r="AQ5922" t="inlineStr"/>
    </row>
    <row r="5923">
      <c r="A5923" t="inlineStr">
        <is>
          <t>VIVA</t>
        </is>
      </c>
      <c r="B5923" s="2">
        <f>"8992796034494"</f>
        <v/>
      </c>
      <c r="C5923" t="inlineStr">
        <is>
          <t>VIVA Compact Powder Lilac Kuning Langsat 19gr</t>
        </is>
      </c>
      <c r="D5923" t="inlineStr">
        <is>
          <t>Miss Glam Damar</t>
        </is>
      </c>
      <c r="E5923" t="n">
        <v>8</v>
      </c>
      <c r="F5923" t="n">
        <v>0.5369</v>
      </c>
      <c r="G5923" t="n">
        <v>3.64</v>
      </c>
      <c r="H5923" t="n">
        <v>2</v>
      </c>
      <c r="I5923" t="n">
        <v>7</v>
      </c>
      <c r="J5923" t="n">
        <v>3</v>
      </c>
      <c r="K5923" t="n">
        <v>0</v>
      </c>
      <c r="L5923" t="n">
        <v>12631</v>
      </c>
      <c r="M5923" t="n">
        <v>15500</v>
      </c>
      <c r="N5923" t="n">
        <v>91</v>
      </c>
      <c r="O5923" t="n">
        <v>0.91</v>
      </c>
      <c r="P5923" t="n">
        <v>1</v>
      </c>
      <c r="Q5923" t="n">
        <v>0.29</v>
      </c>
      <c r="R5923" t="n">
        <v>2</v>
      </c>
      <c r="S5923" t="n">
        <v>8321.950000000001</v>
      </c>
      <c r="T5923" t="n">
        <v>25</v>
      </c>
      <c r="U5923" t="n">
        <v>27</v>
      </c>
      <c r="V5923" t="n">
        <v>30</v>
      </c>
      <c r="W5923" t="n">
        <v>17</v>
      </c>
      <c r="X5923" t="n">
        <v>14.90035388340473</v>
      </c>
      <c r="Y5923" t="n">
        <v>1</v>
      </c>
      <c r="Z5923" t="n">
        <v>9</v>
      </c>
      <c r="AA5923" t="n">
        <v>0</v>
      </c>
      <c r="AB5923" t="n">
        <v>9</v>
      </c>
      <c r="AC5923" t="n">
        <v>9</v>
      </c>
      <c r="AD5923" t="n">
        <v>0</v>
      </c>
      <c r="AE5923" t="n">
        <v>113679</v>
      </c>
      <c r="AF5923" t="n">
        <v>11426</v>
      </c>
      <c r="AG5923" t="n">
        <v>163</v>
      </c>
      <c r="AH5923" t="inlineStr">
        <is>
          <t>PT. PANTI KOSMETIKA BARU - PPN (PDG)</t>
        </is>
      </c>
      <c r="AI5923" t="n">
        <v>163</v>
      </c>
      <c r="AJ5923" t="inlineStr">
        <is>
          <t>VIVA</t>
        </is>
      </c>
      <c r="AK5923" t="n">
        <v>21</v>
      </c>
      <c r="AL5923" t="inlineStr">
        <is>
          <t>Miss Glam Damar</t>
        </is>
      </c>
      <c r="AM5923" t="n">
        <v>2</v>
      </c>
      <c r="AN5923" t="n">
        <v>500000</v>
      </c>
      <c r="AO5923" t="n">
        <v>0</v>
      </c>
      <c r="AP5923" t="inlineStr"/>
      <c r="AQ5923" t="inlineStr"/>
    </row>
    <row r="5924">
      <c r="A5924" t="inlineStr">
        <is>
          <t>VIVA</t>
        </is>
      </c>
      <c r="B5924" s="2">
        <f>"8992796157308"</f>
        <v/>
      </c>
      <c r="C5924" t="inlineStr">
        <is>
          <t>VIVA Eye Brow Pencil Black Tata Alis</t>
        </is>
      </c>
      <c r="D5924" t="inlineStr">
        <is>
          <t>Miss Glam Damar</t>
        </is>
      </c>
      <c r="E5924" t="n">
        <v>22</v>
      </c>
      <c r="F5924" t="n">
        <v>0.8372000000000001</v>
      </c>
      <c r="G5924" t="n">
        <v>3.64</v>
      </c>
      <c r="H5924" t="n">
        <v>2</v>
      </c>
      <c r="I5924" t="n">
        <v>7</v>
      </c>
      <c r="J5924" t="n">
        <v>3</v>
      </c>
      <c r="K5924" t="n">
        <v>0</v>
      </c>
      <c r="L5924" t="n">
        <v>31654</v>
      </c>
      <c r="M5924" t="n">
        <v>40500</v>
      </c>
      <c r="N5924" t="n">
        <v>91</v>
      </c>
      <c r="O5924" t="n">
        <v>0.91</v>
      </c>
      <c r="P5924" t="n">
        <v>1</v>
      </c>
      <c r="Q5924" t="n">
        <v>1.19</v>
      </c>
      <c r="R5924" t="n">
        <v>4</v>
      </c>
      <c r="S5924" t="n">
        <v>33906.60000000001</v>
      </c>
      <c r="T5924" t="n">
        <v>24</v>
      </c>
      <c r="U5924" t="n">
        <v>26</v>
      </c>
      <c r="V5924" t="n">
        <v>30</v>
      </c>
      <c r="W5924" t="n">
        <v>26</v>
      </c>
      <c r="X5924" t="n">
        <v>26.27806975633062</v>
      </c>
      <c r="Y5924" t="n">
        <v>1</v>
      </c>
      <c r="Z5924" t="n">
        <v>4</v>
      </c>
      <c r="AA5924" t="n">
        <v>0</v>
      </c>
      <c r="AB5924" t="n">
        <v>4</v>
      </c>
      <c r="AC5924" t="n">
        <v>4</v>
      </c>
      <c r="AD5924" t="n">
        <v>0</v>
      </c>
      <c r="AE5924" t="n">
        <v>126616</v>
      </c>
      <c r="AF5924" t="n">
        <v>11426</v>
      </c>
      <c r="AG5924" t="n">
        <v>163</v>
      </c>
      <c r="AH5924" t="inlineStr">
        <is>
          <t>PT. PANTI KOSMETIKA BARU - PPN (PDG)</t>
        </is>
      </c>
      <c r="AI5924" t="n">
        <v>163</v>
      </c>
      <c r="AJ5924" t="inlineStr">
        <is>
          <t>VIVA</t>
        </is>
      </c>
      <c r="AK5924" t="n">
        <v>21</v>
      </c>
      <c r="AL5924" t="inlineStr">
        <is>
          <t>Miss Glam Damar</t>
        </is>
      </c>
      <c r="AM5924" t="n">
        <v>2</v>
      </c>
      <c r="AN5924" t="n">
        <v>500000</v>
      </c>
      <c r="AO5924" t="n">
        <v>0</v>
      </c>
      <c r="AP5924" t="inlineStr"/>
      <c r="AQ5924" t="inlineStr"/>
    </row>
    <row r="5925">
      <c r="A5925" t="inlineStr">
        <is>
          <t>VIVA</t>
        </is>
      </c>
      <c r="B5925" s="2">
        <f>"8992796168809"</f>
        <v/>
      </c>
      <c r="C5925" t="inlineStr">
        <is>
          <t>VIVA Eye Cream 15gr</t>
        </is>
      </c>
      <c r="D5925" t="inlineStr">
        <is>
          <t>Miss Glam Damar</t>
        </is>
      </c>
      <c r="E5925" t="n">
        <v>7</v>
      </c>
      <c r="F5925" t="n">
        <v>0.1729</v>
      </c>
      <c r="G5925" t="n">
        <v>1.82</v>
      </c>
      <c r="H5925" t="n">
        <v>2</v>
      </c>
      <c r="I5925" t="n">
        <v>7</v>
      </c>
      <c r="J5925" t="n">
        <v>3</v>
      </c>
      <c r="K5925" t="n">
        <v>0</v>
      </c>
      <c r="L5925" t="n">
        <v>30699</v>
      </c>
      <c r="M5925" t="n">
        <v>40500</v>
      </c>
      <c r="N5925" t="n">
        <v>91</v>
      </c>
      <c r="O5925" t="n">
        <v>0.91</v>
      </c>
      <c r="P5925" t="n">
        <v>1</v>
      </c>
      <c r="Q5925" t="n">
        <v>0.2</v>
      </c>
      <c r="R5925" t="n">
        <v>2</v>
      </c>
      <c r="S5925" t="n">
        <v>7002.45</v>
      </c>
      <c r="T5925" t="n">
        <v>13</v>
      </c>
      <c r="U5925" t="n">
        <v>14</v>
      </c>
      <c r="V5925" t="n">
        <v>30</v>
      </c>
      <c r="W5925" t="n">
        <v>6</v>
      </c>
      <c r="X5925" t="n">
        <v>40.48582995951417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11426</v>
      </c>
      <c r="AG5925" t="n">
        <v>163</v>
      </c>
      <c r="AH5925" t="inlineStr">
        <is>
          <t>PT. PANTI KOSMETIKA BARU - PPN (PDG)</t>
        </is>
      </c>
      <c r="AI5925" t="n">
        <v>163</v>
      </c>
      <c r="AJ5925" t="inlineStr">
        <is>
          <t>VIVA</t>
        </is>
      </c>
      <c r="AK5925" t="n">
        <v>21</v>
      </c>
      <c r="AL5925" t="inlineStr">
        <is>
          <t>Miss Glam Damar</t>
        </is>
      </c>
      <c r="AM5925" t="n">
        <v>2</v>
      </c>
      <c r="AN5925" t="n">
        <v>500000</v>
      </c>
      <c r="AO5925" t="n">
        <v>0</v>
      </c>
      <c r="AP5925" t="inlineStr"/>
      <c r="AQ5925" t="inlineStr"/>
    </row>
    <row r="5926">
      <c r="A5926" t="inlineStr">
        <is>
          <t>VIVA</t>
        </is>
      </c>
      <c r="B5926" s="2">
        <f>"8992796157315"</f>
        <v/>
      </c>
      <c r="C5926" t="inlineStr">
        <is>
          <t>VIVA Eyebrow Brown</t>
        </is>
      </c>
      <c r="D5926" t="inlineStr">
        <is>
          <t>Miss Glam Damar</t>
        </is>
      </c>
      <c r="E5926" t="n">
        <v>58</v>
      </c>
      <c r="F5926" t="n">
        <v>2.8028</v>
      </c>
      <c r="G5926" t="n">
        <v>7.28</v>
      </c>
      <c r="H5926" t="n">
        <v>2</v>
      </c>
      <c r="I5926" t="n">
        <v>7</v>
      </c>
      <c r="J5926" t="n">
        <v>3</v>
      </c>
      <c r="K5926" t="n">
        <v>0</v>
      </c>
      <c r="L5926" t="n">
        <v>31697</v>
      </c>
      <c r="M5926" t="n">
        <v>40500</v>
      </c>
      <c r="N5926" t="n">
        <v>91</v>
      </c>
      <c r="O5926" t="n">
        <v>0.91</v>
      </c>
      <c r="P5926" t="n">
        <v>1</v>
      </c>
      <c r="Q5926" t="n">
        <v>4.22</v>
      </c>
      <c r="R5926" t="n">
        <v>9</v>
      </c>
      <c r="S5926" t="n">
        <v>113513.4</v>
      </c>
      <c r="T5926" t="n">
        <v>46</v>
      </c>
      <c r="U5926" t="n">
        <v>52</v>
      </c>
      <c r="V5926" t="n">
        <v>30</v>
      </c>
      <c r="W5926" t="n">
        <v>85</v>
      </c>
      <c r="X5926" t="n">
        <v>20.69359212216355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11426</v>
      </c>
      <c r="AG5926" t="n">
        <v>163</v>
      </c>
      <c r="AH5926" t="inlineStr">
        <is>
          <t>PT. PANTI KOSMETIKA BARU - PPN (PDG)</t>
        </is>
      </c>
      <c r="AI5926" t="n">
        <v>163</v>
      </c>
      <c r="AJ5926" t="inlineStr">
        <is>
          <t>VIVA</t>
        </is>
      </c>
      <c r="AK5926" t="n">
        <v>21</v>
      </c>
      <c r="AL5926" t="inlineStr">
        <is>
          <t>Miss Glam Damar</t>
        </is>
      </c>
      <c r="AM5926" t="n">
        <v>2</v>
      </c>
      <c r="AN5926" t="n">
        <v>500000</v>
      </c>
      <c r="AO5926" t="n">
        <v>0</v>
      </c>
      <c r="AP5926" t="inlineStr"/>
      <c r="AQ5926" t="inlineStr"/>
    </row>
    <row r="5927">
      <c r="A5927" t="inlineStr">
        <is>
          <t>VIVA</t>
        </is>
      </c>
      <c r="B5927" s="2">
        <f>"8992796157322"</f>
        <v/>
      </c>
      <c r="C5927" t="inlineStr">
        <is>
          <t>VIVA Eyebrow Dark Brown</t>
        </is>
      </c>
      <c r="D5927" t="inlineStr">
        <is>
          <t>Miss Glam Damar</t>
        </is>
      </c>
      <c r="E5927" t="n">
        <v>0</v>
      </c>
      <c r="F5927" t="n">
        <v>0.0273</v>
      </c>
      <c r="G5927" t="n">
        <v>0.91</v>
      </c>
      <c r="H5927" t="n">
        <v>2</v>
      </c>
      <c r="I5927" t="n">
        <v>7</v>
      </c>
      <c r="J5927" t="n">
        <v>3</v>
      </c>
      <c r="K5927" t="n">
        <v>0</v>
      </c>
      <c r="L5927" t="n">
        <v>29004</v>
      </c>
      <c r="M5927" t="n">
        <v>40500</v>
      </c>
      <c r="N5927" t="n">
        <v>91</v>
      </c>
      <c r="O5927" t="n">
        <v>0.91</v>
      </c>
      <c r="P5927" t="n">
        <v>1</v>
      </c>
      <c r="Q5927" t="n">
        <v>0.03</v>
      </c>
      <c r="R5927" t="n">
        <v>3</v>
      </c>
      <c r="S5927" t="n">
        <v>1105.65</v>
      </c>
      <c r="T5927" t="n">
        <v>7</v>
      </c>
      <c r="U5927" t="n">
        <v>8</v>
      </c>
      <c r="V5927" t="n">
        <v>30</v>
      </c>
      <c r="W5927" t="n">
        <v>1</v>
      </c>
      <c r="X5927" t="n">
        <v>0</v>
      </c>
      <c r="Y5927" t="n">
        <v>1</v>
      </c>
      <c r="Z5927" t="n">
        <v>1</v>
      </c>
      <c r="AA5927" t="n">
        <v>1</v>
      </c>
      <c r="AB5927" t="n">
        <v>0</v>
      </c>
      <c r="AC5927" t="n">
        <v>0</v>
      </c>
      <c r="AD5927" t="n">
        <v>29004</v>
      </c>
      <c r="AE5927" t="n">
        <v>0</v>
      </c>
      <c r="AF5927" t="n">
        <v>11426</v>
      </c>
      <c r="AG5927" t="n">
        <v>163</v>
      </c>
      <c r="AH5927" t="inlineStr">
        <is>
          <t>PT. PANTI KOSMETIKA BARU - PPN (PDG)</t>
        </is>
      </c>
      <c r="AI5927" t="n">
        <v>163</v>
      </c>
      <c r="AJ5927" t="inlineStr">
        <is>
          <t>VIVA</t>
        </is>
      </c>
      <c r="AK5927" t="n">
        <v>21</v>
      </c>
      <c r="AL5927" t="inlineStr">
        <is>
          <t>Miss Glam Damar</t>
        </is>
      </c>
      <c r="AM5927" t="n">
        <v>2</v>
      </c>
      <c r="AN5927" t="n">
        <v>500000</v>
      </c>
      <c r="AO5927" t="n">
        <v>0</v>
      </c>
      <c r="AP5927" t="inlineStr"/>
      <c r="AQ5927" t="inlineStr"/>
    </row>
    <row r="5928">
      <c r="A5928" t="inlineStr">
        <is>
          <t>VIVA</t>
        </is>
      </c>
      <c r="B5928" s="2">
        <f>"8992796011303"</f>
        <v/>
      </c>
      <c r="C5928" t="inlineStr">
        <is>
          <t>VIVA Face Tonic 100ml</t>
        </is>
      </c>
      <c r="D5928" t="inlineStr">
        <is>
          <t>Miss Glam Damar</t>
        </is>
      </c>
      <c r="E5928" t="n">
        <v>28</v>
      </c>
      <c r="F5928" t="n">
        <v>0.91</v>
      </c>
      <c r="G5928" t="n">
        <v>3.64</v>
      </c>
      <c r="H5928" t="n">
        <v>2</v>
      </c>
      <c r="I5928" t="n">
        <v>7</v>
      </c>
      <c r="J5928" t="n">
        <v>12</v>
      </c>
      <c r="K5928" t="n">
        <v>0</v>
      </c>
      <c r="L5928" t="n">
        <v>5618</v>
      </c>
      <c r="M5928" t="n">
        <v>7500</v>
      </c>
      <c r="N5928" t="n">
        <v>91</v>
      </c>
      <c r="O5928" t="n">
        <v>0.91</v>
      </c>
      <c r="P5928" t="n">
        <v>1</v>
      </c>
      <c r="Q5928" t="n">
        <v>0.88</v>
      </c>
      <c r="R5928" t="n">
        <v>3</v>
      </c>
      <c r="S5928" t="n">
        <v>6825</v>
      </c>
      <c r="T5928" t="n">
        <v>24</v>
      </c>
      <c r="U5928" t="n">
        <v>26</v>
      </c>
      <c r="V5928" t="n">
        <v>30</v>
      </c>
      <c r="W5928" t="n">
        <v>28</v>
      </c>
      <c r="X5928" t="n">
        <v>30.76923076923077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11426</v>
      </c>
      <c r="AG5928" t="n">
        <v>163</v>
      </c>
      <c r="AH5928" t="inlineStr">
        <is>
          <t>PT. PANTI KOSMETIKA BARU - PPN (PDG)</t>
        </is>
      </c>
      <c r="AI5928" t="n">
        <v>163</v>
      </c>
      <c r="AJ5928" t="inlineStr">
        <is>
          <t>VIVA</t>
        </is>
      </c>
      <c r="AK5928" t="n">
        <v>21</v>
      </c>
      <c r="AL5928" t="inlineStr">
        <is>
          <t>Miss Glam Damar</t>
        </is>
      </c>
      <c r="AM5928" t="n">
        <v>2</v>
      </c>
      <c r="AN5928" t="n">
        <v>500000</v>
      </c>
      <c r="AO5928" t="n">
        <v>0</v>
      </c>
      <c r="AP5928" t="inlineStr"/>
      <c r="AQ5928" t="inlineStr"/>
    </row>
    <row r="5929">
      <c r="A5929" t="inlineStr">
        <is>
          <t>VIVA</t>
        </is>
      </c>
      <c r="B5929" s="2">
        <f>"8992796011433"</f>
        <v/>
      </c>
      <c r="C5929" t="inlineStr">
        <is>
          <t>VIVA Face Tonic 200ml</t>
        </is>
      </c>
      <c r="D5929" t="inlineStr">
        <is>
          <t>Miss Glam Damar</t>
        </is>
      </c>
      <c r="E5929" t="n">
        <v>22</v>
      </c>
      <c r="F5929" t="n">
        <v>1.3377</v>
      </c>
      <c r="G5929" t="n">
        <v>4.55</v>
      </c>
      <c r="H5929" t="n">
        <v>2</v>
      </c>
      <c r="I5929" t="n">
        <v>7</v>
      </c>
      <c r="J5929" t="n">
        <v>12</v>
      </c>
      <c r="K5929" t="n">
        <v>0</v>
      </c>
      <c r="L5929" t="n">
        <v>9442</v>
      </c>
      <c r="M5929" t="n">
        <v>11500</v>
      </c>
      <c r="N5929" t="n">
        <v>91</v>
      </c>
      <c r="O5929" t="n">
        <v>0.91</v>
      </c>
      <c r="P5929" t="n">
        <v>1</v>
      </c>
      <c r="Q5929" t="n">
        <v>0.97</v>
      </c>
      <c r="R5929" t="n">
        <v>4</v>
      </c>
      <c r="S5929" t="n">
        <v>15383.55</v>
      </c>
      <c r="T5929" t="n">
        <v>30</v>
      </c>
      <c r="U5929" t="n">
        <v>33</v>
      </c>
      <c r="V5929" t="n">
        <v>30</v>
      </c>
      <c r="W5929" t="n">
        <v>41</v>
      </c>
      <c r="X5929" t="n">
        <v>16.44613889511849</v>
      </c>
      <c r="Y5929" t="n">
        <v>1</v>
      </c>
      <c r="Z5929" t="n">
        <v>19</v>
      </c>
      <c r="AA5929" t="n">
        <v>0</v>
      </c>
      <c r="AB5929" t="n">
        <v>19</v>
      </c>
      <c r="AC5929" t="n">
        <v>19</v>
      </c>
      <c r="AD5929" t="n">
        <v>0</v>
      </c>
      <c r="AE5929" t="n">
        <v>179398</v>
      </c>
      <c r="AF5929" t="n">
        <v>11426</v>
      </c>
      <c r="AG5929" t="n">
        <v>163</v>
      </c>
      <c r="AH5929" t="inlineStr">
        <is>
          <t>PT. PANTI KOSMETIKA BARU - PPN (PDG)</t>
        </is>
      </c>
      <c r="AI5929" t="n">
        <v>163</v>
      </c>
      <c r="AJ5929" t="inlineStr">
        <is>
          <t>VIVA</t>
        </is>
      </c>
      <c r="AK5929" t="n">
        <v>21</v>
      </c>
      <c r="AL5929" t="inlineStr">
        <is>
          <t>Miss Glam Damar</t>
        </is>
      </c>
      <c r="AM5929" t="n">
        <v>2</v>
      </c>
      <c r="AN5929" t="n">
        <v>500000</v>
      </c>
      <c r="AO5929" t="n">
        <v>0</v>
      </c>
      <c r="AP5929" t="inlineStr"/>
      <c r="AQ5929" t="inlineStr"/>
    </row>
    <row r="5930">
      <c r="A5930" t="inlineStr">
        <is>
          <t>VIVA</t>
        </is>
      </c>
      <c r="B5930" s="2">
        <f>"8992796011341"</f>
        <v/>
      </c>
      <c r="C5930" t="inlineStr">
        <is>
          <t>VIVA Face Tonic Bengkoang 100ml</t>
        </is>
      </c>
      <c r="D5930" t="inlineStr">
        <is>
          <t>Miss Glam Damar</t>
        </is>
      </c>
      <c r="E5930" t="n">
        <v>45</v>
      </c>
      <c r="F5930" t="n">
        <v>3.5945</v>
      </c>
      <c r="G5930" t="n">
        <v>10.01</v>
      </c>
      <c r="H5930" t="n">
        <v>2</v>
      </c>
      <c r="I5930" t="n">
        <v>7</v>
      </c>
      <c r="J5930" t="n">
        <v>12</v>
      </c>
      <c r="K5930" t="n">
        <v>0</v>
      </c>
      <c r="L5930" t="n">
        <v>6452</v>
      </c>
      <c r="M5930" t="n">
        <v>8000</v>
      </c>
      <c r="N5930" t="n">
        <v>91</v>
      </c>
      <c r="O5930" t="n">
        <v>0.91</v>
      </c>
      <c r="P5930" t="n">
        <v>1</v>
      </c>
      <c r="Q5930" t="n">
        <v>2.66</v>
      </c>
      <c r="R5930" t="n">
        <v>8</v>
      </c>
      <c r="S5930" t="n">
        <v>28756</v>
      </c>
      <c r="T5930" t="n">
        <v>63</v>
      </c>
      <c r="U5930" t="n">
        <v>71</v>
      </c>
      <c r="V5930" t="n">
        <v>30</v>
      </c>
      <c r="W5930" t="n">
        <v>108</v>
      </c>
      <c r="X5930" t="n">
        <v>12.51912644317707</v>
      </c>
      <c r="Y5930" t="n">
        <v>1</v>
      </c>
      <c r="Z5930" t="n">
        <v>63</v>
      </c>
      <c r="AA5930" t="n">
        <v>0</v>
      </c>
      <c r="AB5930" t="n">
        <v>63</v>
      </c>
      <c r="AC5930" t="n">
        <v>63</v>
      </c>
      <c r="AD5930" t="n">
        <v>0</v>
      </c>
      <c r="AE5930" t="n">
        <v>406476</v>
      </c>
      <c r="AF5930" t="n">
        <v>11426</v>
      </c>
      <c r="AG5930" t="n">
        <v>163</v>
      </c>
      <c r="AH5930" t="inlineStr">
        <is>
          <t>PT. PANTI KOSMETIKA BARU - PPN (PDG)</t>
        </is>
      </c>
      <c r="AI5930" t="n">
        <v>163</v>
      </c>
      <c r="AJ5930" t="inlineStr">
        <is>
          <t>VIVA</t>
        </is>
      </c>
      <c r="AK5930" t="n">
        <v>21</v>
      </c>
      <c r="AL5930" t="inlineStr">
        <is>
          <t>Miss Glam Damar</t>
        </is>
      </c>
      <c r="AM5930" t="n">
        <v>2</v>
      </c>
      <c r="AN5930" t="n">
        <v>500000</v>
      </c>
      <c r="AO5930" t="n">
        <v>0</v>
      </c>
      <c r="AP5930" t="inlineStr"/>
      <c r="AQ5930" t="inlineStr"/>
    </row>
    <row r="5931">
      <c r="A5931" t="inlineStr">
        <is>
          <t>VIVA</t>
        </is>
      </c>
      <c r="B5931" s="2">
        <f>"8992796011440"</f>
        <v/>
      </c>
      <c r="C5931" t="inlineStr">
        <is>
          <t>VIVA Face Tonic Bengkuang 200ml</t>
        </is>
      </c>
      <c r="D5931" t="inlineStr">
        <is>
          <t>Miss Glam Damar</t>
        </is>
      </c>
      <c r="E5931" t="n">
        <v>114</v>
      </c>
      <c r="F5931" t="n">
        <v>3.1577</v>
      </c>
      <c r="G5931" t="n">
        <v>7.28</v>
      </c>
      <c r="H5931" t="n">
        <v>2</v>
      </c>
      <c r="I5931" t="n">
        <v>7</v>
      </c>
      <c r="J5931" t="n">
        <v>12</v>
      </c>
      <c r="K5931" t="n">
        <v>0</v>
      </c>
      <c r="L5931" t="n">
        <v>10819</v>
      </c>
      <c r="M5931" t="n">
        <v>13500</v>
      </c>
      <c r="N5931" t="n">
        <v>91</v>
      </c>
      <c r="O5931" t="n">
        <v>0.91</v>
      </c>
      <c r="P5931" t="n">
        <v>1</v>
      </c>
      <c r="Q5931" t="n">
        <v>2.49</v>
      </c>
      <c r="R5931" t="n">
        <v>7</v>
      </c>
      <c r="S5931" t="n">
        <v>42628.95</v>
      </c>
      <c r="T5931" t="n">
        <v>45</v>
      </c>
      <c r="U5931" t="n">
        <v>52</v>
      </c>
      <c r="V5931" t="n">
        <v>30</v>
      </c>
      <c r="W5931" t="n">
        <v>95</v>
      </c>
      <c r="X5931" t="n">
        <v>36.10222630395541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11426</v>
      </c>
      <c r="AG5931" t="n">
        <v>163</v>
      </c>
      <c r="AH5931" t="inlineStr">
        <is>
          <t>PT. PANTI KOSMETIKA BARU - PPN (PDG)</t>
        </is>
      </c>
      <c r="AI5931" t="n">
        <v>163</v>
      </c>
      <c r="AJ5931" t="inlineStr">
        <is>
          <t>VIVA</t>
        </is>
      </c>
      <c r="AK5931" t="n">
        <v>21</v>
      </c>
      <c r="AL5931" t="inlineStr">
        <is>
          <t>Miss Glam Damar</t>
        </is>
      </c>
      <c r="AM5931" t="n">
        <v>2</v>
      </c>
      <c r="AN5931" t="n">
        <v>500000</v>
      </c>
      <c r="AO5931" t="n">
        <v>0</v>
      </c>
      <c r="AP5931" t="inlineStr"/>
      <c r="AQ5931" t="inlineStr"/>
    </row>
    <row r="5932">
      <c r="A5932" t="inlineStr">
        <is>
          <t>VIVA</t>
        </is>
      </c>
      <c r="B5932" s="2">
        <f>"8992796011358"</f>
        <v/>
      </c>
      <c r="C5932" t="inlineStr">
        <is>
          <t>VIVA Face Tonic Green Tea 100ml</t>
        </is>
      </c>
      <c r="D5932" t="inlineStr">
        <is>
          <t>Miss Glam Damar</t>
        </is>
      </c>
      <c r="E5932" t="n">
        <v>30</v>
      </c>
      <c r="F5932" t="n">
        <v>2.639</v>
      </c>
      <c r="G5932" t="n">
        <v>10.01</v>
      </c>
      <c r="H5932" t="n">
        <v>2</v>
      </c>
      <c r="I5932" t="n">
        <v>7</v>
      </c>
      <c r="J5932" t="n">
        <v>12</v>
      </c>
      <c r="K5932" t="n">
        <v>0</v>
      </c>
      <c r="L5932" t="n">
        <v>6448</v>
      </c>
      <c r="M5932" t="n">
        <v>8000</v>
      </c>
      <c r="N5932" t="n">
        <v>91</v>
      </c>
      <c r="O5932" t="n">
        <v>0.91</v>
      </c>
      <c r="P5932" t="n">
        <v>1</v>
      </c>
      <c r="Q5932" t="n">
        <v>1.42</v>
      </c>
      <c r="R5932" t="n">
        <v>5</v>
      </c>
      <c r="S5932" t="n">
        <v>21112</v>
      </c>
      <c r="T5932" t="n">
        <v>65</v>
      </c>
      <c r="U5932" t="n">
        <v>71</v>
      </c>
      <c r="V5932" t="n">
        <v>30</v>
      </c>
      <c r="W5932" t="n">
        <v>80</v>
      </c>
      <c r="X5932" t="n">
        <v>11.36794240242516</v>
      </c>
      <c r="Y5932" t="n">
        <v>1</v>
      </c>
      <c r="Z5932" t="n">
        <v>50</v>
      </c>
      <c r="AA5932" t="n">
        <v>0</v>
      </c>
      <c r="AB5932" t="n">
        <v>50</v>
      </c>
      <c r="AC5932" t="n">
        <v>50</v>
      </c>
      <c r="AD5932" t="n">
        <v>0</v>
      </c>
      <c r="AE5932" t="n">
        <v>322400</v>
      </c>
      <c r="AF5932" t="n">
        <v>11426</v>
      </c>
      <c r="AG5932" t="n">
        <v>163</v>
      </c>
      <c r="AH5932" t="inlineStr">
        <is>
          <t>PT. PANTI KOSMETIKA BARU - PPN (PDG)</t>
        </is>
      </c>
      <c r="AI5932" t="n">
        <v>163</v>
      </c>
      <c r="AJ5932" t="inlineStr">
        <is>
          <t>VIVA</t>
        </is>
      </c>
      <c r="AK5932" t="n">
        <v>21</v>
      </c>
      <c r="AL5932" t="inlineStr">
        <is>
          <t>Miss Glam Damar</t>
        </is>
      </c>
      <c r="AM5932" t="n">
        <v>2</v>
      </c>
      <c r="AN5932" t="n">
        <v>500000</v>
      </c>
      <c r="AO5932" t="n">
        <v>0</v>
      </c>
      <c r="AP5932" t="inlineStr"/>
      <c r="AQ5932" t="inlineStr"/>
    </row>
    <row r="5933">
      <c r="A5933" t="inlineStr">
        <is>
          <t>VIVA</t>
        </is>
      </c>
      <c r="B5933" s="2">
        <f>"8992796011310"</f>
        <v/>
      </c>
      <c r="C5933" t="inlineStr">
        <is>
          <t>VIVA Face Tonic Lemon 100ml</t>
        </is>
      </c>
      <c r="D5933" t="inlineStr">
        <is>
          <t>Miss Glam Damar</t>
        </is>
      </c>
      <c r="E5933" t="n">
        <v>53</v>
      </c>
      <c r="F5933" t="n">
        <v>1.1921</v>
      </c>
      <c r="G5933" t="n">
        <v>3.64</v>
      </c>
      <c r="H5933" t="n">
        <v>2</v>
      </c>
      <c r="I5933" t="n">
        <v>7</v>
      </c>
      <c r="J5933" t="n">
        <v>12</v>
      </c>
      <c r="K5933" t="n">
        <v>0</v>
      </c>
      <c r="L5933" t="n">
        <v>5623</v>
      </c>
      <c r="M5933" t="n">
        <v>7000</v>
      </c>
      <c r="N5933" t="n">
        <v>91</v>
      </c>
      <c r="O5933" t="n">
        <v>0.91</v>
      </c>
      <c r="P5933" t="n">
        <v>1</v>
      </c>
      <c r="Q5933" t="n">
        <v>0.86</v>
      </c>
      <c r="R5933" t="n">
        <v>3</v>
      </c>
      <c r="S5933" t="n">
        <v>8344.700000000001</v>
      </c>
      <c r="T5933" t="n">
        <v>24</v>
      </c>
      <c r="U5933" t="n">
        <v>27</v>
      </c>
      <c r="V5933" t="n">
        <v>30</v>
      </c>
      <c r="W5933" t="n">
        <v>36</v>
      </c>
      <c r="X5933" t="n">
        <v>44.45935743645667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11426</v>
      </c>
      <c r="AG5933" t="n">
        <v>163</v>
      </c>
      <c r="AH5933" t="inlineStr">
        <is>
          <t>PT. PANTI KOSMETIKA BARU - PPN (PDG)</t>
        </is>
      </c>
      <c r="AI5933" t="n">
        <v>163</v>
      </c>
      <c r="AJ5933" t="inlineStr">
        <is>
          <t>VIVA</t>
        </is>
      </c>
      <c r="AK5933" t="n">
        <v>21</v>
      </c>
      <c r="AL5933" t="inlineStr">
        <is>
          <t>Miss Glam Damar</t>
        </is>
      </c>
      <c r="AM5933" t="n">
        <v>2</v>
      </c>
      <c r="AN5933" t="n">
        <v>500000</v>
      </c>
      <c r="AO5933" t="n">
        <v>0</v>
      </c>
      <c r="AP5933" t="inlineStr"/>
      <c r="AQ5933" t="inlineStr"/>
    </row>
    <row r="5934">
      <c r="A5934" t="inlineStr">
        <is>
          <t>VIVA</t>
        </is>
      </c>
      <c r="B5934" s="2">
        <f>"8992796011457"</f>
        <v/>
      </c>
      <c r="C5934" t="inlineStr">
        <is>
          <t>VIVA Face Tonic Lemon 200ml</t>
        </is>
      </c>
      <c r="D5934" t="inlineStr">
        <is>
          <t>Miss Glam Damar</t>
        </is>
      </c>
      <c r="E5934" t="n">
        <v>15</v>
      </c>
      <c r="F5934" t="n">
        <v>1.0192</v>
      </c>
      <c r="G5934" t="n">
        <v>3.64</v>
      </c>
      <c r="H5934" t="n">
        <v>2</v>
      </c>
      <c r="I5934" t="n">
        <v>7</v>
      </c>
      <c r="J5934" t="n">
        <v>12</v>
      </c>
      <c r="K5934" t="n">
        <v>0</v>
      </c>
      <c r="L5934" t="n">
        <v>9421</v>
      </c>
      <c r="M5934" t="n">
        <v>11500</v>
      </c>
      <c r="N5934" t="n">
        <v>91</v>
      </c>
      <c r="O5934" t="n">
        <v>0.91</v>
      </c>
      <c r="P5934" t="n">
        <v>1</v>
      </c>
      <c r="Q5934" t="n">
        <v>0.8</v>
      </c>
      <c r="R5934" t="n">
        <v>3</v>
      </c>
      <c r="S5934" t="n">
        <v>11720.8</v>
      </c>
      <c r="T5934" t="n">
        <v>24</v>
      </c>
      <c r="U5934" t="n">
        <v>27</v>
      </c>
      <c r="V5934" t="n">
        <v>30</v>
      </c>
      <c r="W5934" t="n">
        <v>31</v>
      </c>
      <c r="X5934" t="n">
        <v>14.71742543171114</v>
      </c>
      <c r="Y5934" t="n">
        <v>1</v>
      </c>
      <c r="Z5934" t="n">
        <v>16</v>
      </c>
      <c r="AA5934" t="n">
        <v>0</v>
      </c>
      <c r="AB5934" t="n">
        <v>16</v>
      </c>
      <c r="AC5934" t="n">
        <v>16</v>
      </c>
      <c r="AD5934" t="n">
        <v>0</v>
      </c>
      <c r="AE5934" t="n">
        <v>150736</v>
      </c>
      <c r="AF5934" t="n">
        <v>11426</v>
      </c>
      <c r="AG5934" t="n">
        <v>163</v>
      </c>
      <c r="AH5934" t="inlineStr">
        <is>
          <t>PT. PANTI KOSMETIKA BARU - PPN (PDG)</t>
        </is>
      </c>
      <c r="AI5934" t="n">
        <v>163</v>
      </c>
      <c r="AJ5934" t="inlineStr">
        <is>
          <t>VIVA</t>
        </is>
      </c>
      <c r="AK5934" t="n">
        <v>21</v>
      </c>
      <c r="AL5934" t="inlineStr">
        <is>
          <t>Miss Glam Damar</t>
        </is>
      </c>
      <c r="AM5934" t="n">
        <v>2</v>
      </c>
      <c r="AN5934" t="n">
        <v>500000</v>
      </c>
      <c r="AO5934" t="n">
        <v>0</v>
      </c>
      <c r="AP5934" t="inlineStr"/>
      <c r="AQ5934" t="inlineStr"/>
    </row>
    <row r="5935">
      <c r="A5935" t="inlineStr">
        <is>
          <t>VIVA</t>
        </is>
      </c>
      <c r="B5935" s="2">
        <f>"8992796011365"</f>
        <v/>
      </c>
      <c r="C5935" t="inlineStr">
        <is>
          <t>VIVA Face Tonic Spirulina 100ml</t>
        </is>
      </c>
      <c r="D5935" t="inlineStr">
        <is>
          <t>Miss Glam Damar</t>
        </is>
      </c>
      <c r="E5935" t="n">
        <v>20</v>
      </c>
      <c r="F5935" t="n">
        <v>1.2467</v>
      </c>
      <c r="G5935" t="n">
        <v>4.55</v>
      </c>
      <c r="H5935" t="n">
        <v>2</v>
      </c>
      <c r="I5935" t="n">
        <v>7</v>
      </c>
      <c r="J5935" t="n">
        <v>12</v>
      </c>
      <c r="K5935" t="n">
        <v>0</v>
      </c>
      <c r="L5935" t="n">
        <v>6388</v>
      </c>
      <c r="M5935" t="n">
        <v>8000</v>
      </c>
      <c r="N5935" t="n">
        <v>91</v>
      </c>
      <c r="O5935" t="n">
        <v>0.91</v>
      </c>
      <c r="P5935" t="n">
        <v>1</v>
      </c>
      <c r="Q5935" t="n">
        <v>0.9</v>
      </c>
      <c r="R5935" t="n">
        <v>4</v>
      </c>
      <c r="S5935" t="n">
        <v>9973.6</v>
      </c>
      <c r="T5935" t="n">
        <v>30</v>
      </c>
      <c r="U5935" t="n">
        <v>33</v>
      </c>
      <c r="V5935" t="n">
        <v>30</v>
      </c>
      <c r="W5935" t="n">
        <v>38</v>
      </c>
      <c r="X5935" t="n">
        <v>16.04235180877517</v>
      </c>
      <c r="Y5935" t="n">
        <v>1</v>
      </c>
      <c r="Z5935" t="n">
        <v>18</v>
      </c>
      <c r="AA5935" t="n">
        <v>0</v>
      </c>
      <c r="AB5935" t="n">
        <v>18</v>
      </c>
      <c r="AC5935" t="n">
        <v>18</v>
      </c>
      <c r="AD5935" t="n">
        <v>0</v>
      </c>
      <c r="AE5935" t="n">
        <v>114984</v>
      </c>
      <c r="AF5935" t="n">
        <v>11426</v>
      </c>
      <c r="AG5935" t="n">
        <v>163</v>
      </c>
      <c r="AH5935" t="inlineStr">
        <is>
          <t>PT. PANTI KOSMETIKA BARU - PPN (PDG)</t>
        </is>
      </c>
      <c r="AI5935" t="n">
        <v>163</v>
      </c>
      <c r="AJ5935" t="inlineStr">
        <is>
          <t>VIVA</t>
        </is>
      </c>
      <c r="AK5935" t="n">
        <v>21</v>
      </c>
      <c r="AL5935" t="inlineStr">
        <is>
          <t>Miss Glam Damar</t>
        </is>
      </c>
      <c r="AM5935" t="n">
        <v>2</v>
      </c>
      <c r="AN5935" t="n">
        <v>500000</v>
      </c>
      <c r="AO5935" t="n">
        <v>0</v>
      </c>
      <c r="AP5935" t="inlineStr"/>
      <c r="AQ5935" t="inlineStr"/>
    </row>
    <row r="5936">
      <c r="A5936" t="inlineStr">
        <is>
          <t>VIVA</t>
        </is>
      </c>
      <c r="B5936" s="2">
        <f>"8992796068420"</f>
        <v/>
      </c>
      <c r="C5936" t="inlineStr">
        <is>
          <t>VIVA Glowing Serum 20ml</t>
        </is>
      </c>
      <c r="D5936" t="inlineStr">
        <is>
          <t>Miss Glam Damar</t>
        </is>
      </c>
      <c r="E5936" t="n">
        <v>25</v>
      </c>
      <c r="F5936" t="n">
        <v>0.7735</v>
      </c>
      <c r="G5936" t="n">
        <v>4.55</v>
      </c>
      <c r="H5936" t="n">
        <v>2</v>
      </c>
      <c r="I5936" t="n">
        <v>7</v>
      </c>
      <c r="J5936" t="n">
        <v>3</v>
      </c>
      <c r="K5936" t="n">
        <v>0</v>
      </c>
      <c r="L5936" t="n">
        <v>15893</v>
      </c>
      <c r="M5936" t="n">
        <v>22000</v>
      </c>
      <c r="N5936" t="n">
        <v>91</v>
      </c>
      <c r="O5936" t="n">
        <v>0.91</v>
      </c>
      <c r="P5936" t="n">
        <v>1</v>
      </c>
      <c r="Q5936" t="n">
        <v>0.98</v>
      </c>
      <c r="R5936" t="n">
        <v>4</v>
      </c>
      <c r="S5936" t="n">
        <v>17017</v>
      </c>
      <c r="T5936" t="n">
        <v>31</v>
      </c>
      <c r="U5936" t="n">
        <v>33</v>
      </c>
      <c r="V5936" t="n">
        <v>30</v>
      </c>
      <c r="W5936" t="n">
        <v>24</v>
      </c>
      <c r="X5936" t="n">
        <v>32.32062055591467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11426</v>
      </c>
      <c r="AG5936" t="n">
        <v>163</v>
      </c>
      <c r="AH5936" t="inlineStr">
        <is>
          <t>PT. PANTI KOSMETIKA BARU - PPN (PDG)</t>
        </is>
      </c>
      <c r="AI5936" t="n">
        <v>163</v>
      </c>
      <c r="AJ5936" t="inlineStr">
        <is>
          <t>VIVA</t>
        </is>
      </c>
      <c r="AK5936" t="n">
        <v>21</v>
      </c>
      <c r="AL5936" t="inlineStr">
        <is>
          <t>Miss Glam Damar</t>
        </is>
      </c>
      <c r="AM5936" t="n">
        <v>2</v>
      </c>
      <c r="AN5936" t="n">
        <v>500000</v>
      </c>
      <c r="AO5936" t="n">
        <v>0</v>
      </c>
      <c r="AP5936" t="inlineStr"/>
      <c r="AQ5936" t="inlineStr"/>
    </row>
    <row r="5937">
      <c r="A5937" t="inlineStr">
        <is>
          <t>VIVA</t>
        </is>
      </c>
      <c r="B5937" s="2">
        <f>"11200148755"</f>
        <v/>
      </c>
      <c r="C5937" t="inlineStr">
        <is>
          <t>VIVA Gold Whitening Serum With Triple Brightening Power 20ml</t>
        </is>
      </c>
      <c r="D5937" t="inlineStr">
        <is>
          <t>Miss Glam Damar</t>
        </is>
      </c>
      <c r="E5937" t="n">
        <v>27</v>
      </c>
      <c r="F5937" t="n">
        <v>0.91</v>
      </c>
      <c r="G5937" t="n">
        <v>3.64</v>
      </c>
      <c r="H5937" t="n">
        <v>2</v>
      </c>
      <c r="I5937" t="n">
        <v>7</v>
      </c>
      <c r="J5937" t="n">
        <v>1</v>
      </c>
      <c r="K5937" t="n">
        <v>0</v>
      </c>
      <c r="L5937" t="n">
        <v>17742</v>
      </c>
      <c r="M5937" t="n">
        <v>22500</v>
      </c>
      <c r="N5937" t="n">
        <v>91</v>
      </c>
      <c r="O5937" t="n">
        <v>0.91</v>
      </c>
      <c r="P5937" t="n">
        <v>1</v>
      </c>
      <c r="Q5937" t="n">
        <v>0.97</v>
      </c>
      <c r="R5937" t="n">
        <v>5</v>
      </c>
      <c r="S5937" t="n">
        <v>20475</v>
      </c>
      <c r="T5937" t="n">
        <v>24</v>
      </c>
      <c r="U5937" t="n">
        <v>26</v>
      </c>
      <c r="V5937" t="n">
        <v>30</v>
      </c>
      <c r="W5937" t="n">
        <v>28</v>
      </c>
      <c r="X5937" t="n">
        <v>29.67032967032967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11426</v>
      </c>
      <c r="AG5937" t="n">
        <v>163</v>
      </c>
      <c r="AH5937" t="inlineStr">
        <is>
          <t>PT. PANTI KOSMETIKA BARU - PPN (PDG)</t>
        </is>
      </c>
      <c r="AI5937" t="n">
        <v>163</v>
      </c>
      <c r="AJ5937" t="inlineStr">
        <is>
          <t>VIVA</t>
        </is>
      </c>
      <c r="AK5937" t="n">
        <v>21</v>
      </c>
      <c r="AL5937" t="inlineStr">
        <is>
          <t>Miss Glam Damar</t>
        </is>
      </c>
      <c r="AM5937" t="n">
        <v>2</v>
      </c>
      <c r="AN5937" t="n">
        <v>500000</v>
      </c>
      <c r="AO5937" t="n">
        <v>0</v>
      </c>
      <c r="AP5937" t="inlineStr"/>
      <c r="AQ5937" t="inlineStr"/>
    </row>
    <row r="5938">
      <c r="A5938" t="inlineStr">
        <is>
          <t>VIVA</t>
        </is>
      </c>
      <c r="B5938" s="2">
        <f>"8992796079204"</f>
        <v/>
      </c>
      <c r="C5938" t="inlineStr">
        <is>
          <t>VIVA Hair Oil Hijau 60ml</t>
        </is>
      </c>
      <c r="D5938" t="inlineStr">
        <is>
          <t>Miss Glam Damar</t>
        </is>
      </c>
      <c r="E5938" t="n">
        <v>22</v>
      </c>
      <c r="F5938" t="n">
        <v>1.2922</v>
      </c>
      <c r="G5938" t="n">
        <v>4.55</v>
      </c>
      <c r="H5938" t="n">
        <v>2</v>
      </c>
      <c r="I5938" t="n">
        <v>7</v>
      </c>
      <c r="J5938" t="n">
        <v>3</v>
      </c>
      <c r="K5938" t="n">
        <v>0</v>
      </c>
      <c r="L5938" t="n">
        <v>7382</v>
      </c>
      <c r="M5938" t="n">
        <v>9500</v>
      </c>
      <c r="N5938" t="n">
        <v>91</v>
      </c>
      <c r="O5938" t="n">
        <v>0.91</v>
      </c>
      <c r="P5938" t="n">
        <v>1</v>
      </c>
      <c r="Q5938" t="n">
        <v>0.53</v>
      </c>
      <c r="R5938" t="n">
        <v>2</v>
      </c>
      <c r="S5938" t="n">
        <v>12275.9</v>
      </c>
      <c r="T5938" t="n">
        <v>30</v>
      </c>
      <c r="U5938" t="n">
        <v>33</v>
      </c>
      <c r="V5938" t="n">
        <v>30</v>
      </c>
      <c r="W5938" t="n">
        <v>39</v>
      </c>
      <c r="X5938" t="n">
        <v>17.02522829283393</v>
      </c>
      <c r="Y5938" t="n">
        <v>1</v>
      </c>
      <c r="Z5938" t="n">
        <v>17</v>
      </c>
      <c r="AA5938" t="n">
        <v>0</v>
      </c>
      <c r="AB5938" t="n">
        <v>17</v>
      </c>
      <c r="AC5938" t="n">
        <v>17</v>
      </c>
      <c r="AD5938" t="n">
        <v>0</v>
      </c>
      <c r="AE5938" t="n">
        <v>125494</v>
      </c>
      <c r="AF5938" t="n">
        <v>11426</v>
      </c>
      <c r="AG5938" t="n">
        <v>163</v>
      </c>
      <c r="AH5938" t="inlineStr">
        <is>
          <t>PT. PANTI KOSMETIKA BARU - PPN (PDG)</t>
        </is>
      </c>
      <c r="AI5938" t="n">
        <v>163</v>
      </c>
      <c r="AJ5938" t="inlineStr">
        <is>
          <t>VIVA</t>
        </is>
      </c>
      <c r="AK5938" t="n">
        <v>21</v>
      </c>
      <c r="AL5938" t="inlineStr">
        <is>
          <t>Miss Glam Damar</t>
        </is>
      </c>
      <c r="AM5938" t="n">
        <v>2</v>
      </c>
      <c r="AN5938" t="n">
        <v>500000</v>
      </c>
      <c r="AO5938" t="n">
        <v>0</v>
      </c>
      <c r="AP5938" t="inlineStr"/>
      <c r="AQ5938" t="inlineStr"/>
    </row>
    <row r="5939">
      <c r="A5939" t="inlineStr">
        <is>
          <t>VIVA</t>
        </is>
      </c>
      <c r="B5939" s="2">
        <f>"8992796079303"</f>
        <v/>
      </c>
      <c r="C5939" t="inlineStr">
        <is>
          <t>VIVA Hair Tonic 60ml</t>
        </is>
      </c>
      <c r="D5939" t="inlineStr">
        <is>
          <t>Miss Glam Damar</t>
        </is>
      </c>
      <c r="E5939" t="n">
        <v>34</v>
      </c>
      <c r="F5939" t="n">
        <v>2.5298</v>
      </c>
      <c r="G5939" t="n">
        <v>7.28</v>
      </c>
      <c r="H5939" t="n">
        <v>2</v>
      </c>
      <c r="I5939" t="n">
        <v>7</v>
      </c>
      <c r="J5939" t="n">
        <v>12</v>
      </c>
      <c r="K5939" t="n">
        <v>0</v>
      </c>
      <c r="L5939" t="n">
        <v>7319</v>
      </c>
      <c r="M5939" t="n">
        <v>9500</v>
      </c>
      <c r="N5939" t="n">
        <v>91</v>
      </c>
      <c r="O5939" t="n">
        <v>0.91</v>
      </c>
      <c r="P5939" t="n">
        <v>1</v>
      </c>
      <c r="Q5939" t="n">
        <v>1.19</v>
      </c>
      <c r="R5939" t="n">
        <v>6</v>
      </c>
      <c r="S5939" t="n">
        <v>24033.1</v>
      </c>
      <c r="T5939" t="n">
        <v>46</v>
      </c>
      <c r="U5939" t="n">
        <v>52</v>
      </c>
      <c r="V5939" t="n">
        <v>30</v>
      </c>
      <c r="W5939" t="n">
        <v>76</v>
      </c>
      <c r="X5939" t="n">
        <v>13.43979761245948</v>
      </c>
      <c r="Y5939" t="n">
        <v>1</v>
      </c>
      <c r="Z5939" t="n">
        <v>42</v>
      </c>
      <c r="AA5939" t="n">
        <v>0</v>
      </c>
      <c r="AB5939" t="n">
        <v>42</v>
      </c>
      <c r="AC5939" t="n">
        <v>42</v>
      </c>
      <c r="AD5939" t="n">
        <v>0</v>
      </c>
      <c r="AE5939" t="n">
        <v>307398</v>
      </c>
      <c r="AF5939" t="n">
        <v>11426</v>
      </c>
      <c r="AG5939" t="n">
        <v>163</v>
      </c>
      <c r="AH5939" t="inlineStr">
        <is>
          <t>PT. PANTI KOSMETIKA BARU - PPN (PDG)</t>
        </is>
      </c>
      <c r="AI5939" t="n">
        <v>163</v>
      </c>
      <c r="AJ5939" t="inlineStr">
        <is>
          <t>VIVA</t>
        </is>
      </c>
      <c r="AK5939" t="n">
        <v>21</v>
      </c>
      <c r="AL5939" t="inlineStr">
        <is>
          <t>Miss Glam Damar</t>
        </is>
      </c>
      <c r="AM5939" t="n">
        <v>2</v>
      </c>
      <c r="AN5939" t="n">
        <v>500000</v>
      </c>
      <c r="AO5939" t="n">
        <v>0</v>
      </c>
      <c r="AP5939" t="inlineStr"/>
      <c r="AQ5939" t="inlineStr"/>
    </row>
    <row r="5940">
      <c r="A5940" t="inlineStr">
        <is>
          <t>VIVA</t>
        </is>
      </c>
      <c r="B5940" s="2">
        <f>"8992796068802"</f>
        <v/>
      </c>
      <c r="C5940" t="inlineStr">
        <is>
          <t>VIVA Hand &amp; Nail Cream 40gr</t>
        </is>
      </c>
      <c r="D5940" t="inlineStr">
        <is>
          <t>Miss Glam Damar</t>
        </is>
      </c>
      <c r="E5940" t="n">
        <v>15</v>
      </c>
      <c r="F5940" t="n">
        <v>0.2821</v>
      </c>
      <c r="G5940" t="n">
        <v>2.73</v>
      </c>
      <c r="H5940" t="n">
        <v>2</v>
      </c>
      <c r="I5940" t="n">
        <v>7</v>
      </c>
      <c r="J5940" t="n">
        <v>3</v>
      </c>
      <c r="K5940" t="n">
        <v>0</v>
      </c>
      <c r="L5940" t="n">
        <v>8309</v>
      </c>
      <c r="M5940" t="n">
        <v>11000</v>
      </c>
      <c r="N5940" t="n">
        <v>91</v>
      </c>
      <c r="O5940" t="n">
        <v>0.91</v>
      </c>
      <c r="P5940" t="n">
        <v>1</v>
      </c>
      <c r="Q5940" t="n">
        <v>0.63</v>
      </c>
      <c r="R5940" t="n">
        <v>3</v>
      </c>
      <c r="S5940" t="n">
        <v>3103.1</v>
      </c>
      <c r="T5940" t="n">
        <v>19</v>
      </c>
      <c r="U5940" t="n">
        <v>20</v>
      </c>
      <c r="V5940" t="n">
        <v>30</v>
      </c>
      <c r="W5940" t="n">
        <v>9</v>
      </c>
      <c r="X5940" t="n">
        <v>53.1726338177951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11426</v>
      </c>
      <c r="AG5940" t="n">
        <v>163</v>
      </c>
      <c r="AH5940" t="inlineStr">
        <is>
          <t>PT. PANTI KOSMETIKA BARU - PPN (PDG)</t>
        </is>
      </c>
      <c r="AI5940" t="n">
        <v>163</v>
      </c>
      <c r="AJ5940" t="inlineStr">
        <is>
          <t>VIVA</t>
        </is>
      </c>
      <c r="AK5940" t="n">
        <v>21</v>
      </c>
      <c r="AL5940" t="inlineStr">
        <is>
          <t>Miss Glam Damar</t>
        </is>
      </c>
      <c r="AM5940" t="n">
        <v>2</v>
      </c>
      <c r="AN5940" t="n">
        <v>500000</v>
      </c>
      <c r="AO5940" t="n">
        <v>0</v>
      </c>
      <c r="AP5940" t="inlineStr"/>
      <c r="AQ5940" t="inlineStr"/>
    </row>
    <row r="5941">
      <c r="A5941" t="inlineStr">
        <is>
          <t>VIVA</t>
        </is>
      </c>
      <c r="B5941" s="2">
        <f>"8992796079815"</f>
        <v/>
      </c>
      <c r="C5941" t="inlineStr">
        <is>
          <t>VIVA Herbacare Conditioner Smooth &amp; Shine Revival 180gr</t>
        </is>
      </c>
      <c r="D5941" t="inlineStr">
        <is>
          <t>Miss Glam Damar</t>
        </is>
      </c>
      <c r="E5941" t="n">
        <v>9</v>
      </c>
      <c r="F5941" t="n">
        <v>0.29</v>
      </c>
      <c r="G5941" t="n">
        <v>2</v>
      </c>
      <c r="H5941" t="n">
        <v>2</v>
      </c>
      <c r="I5941" t="n">
        <v>7</v>
      </c>
      <c r="J5941" t="n">
        <v>3</v>
      </c>
      <c r="K5941" t="n">
        <v>0</v>
      </c>
      <c r="L5941" t="n">
        <v>20771</v>
      </c>
      <c r="M5941" t="n">
        <v>27000</v>
      </c>
      <c r="N5941" t="n">
        <v>91</v>
      </c>
      <c r="O5941" t="n">
        <v>0.91</v>
      </c>
      <c r="P5941" t="n">
        <v>0</v>
      </c>
      <c r="Q5941" t="n">
        <v>0.29</v>
      </c>
      <c r="R5941" t="n">
        <v>2</v>
      </c>
      <c r="S5941" t="n">
        <v>7829.999999999999</v>
      </c>
      <c r="T5941" t="n">
        <v>14</v>
      </c>
      <c r="U5941" t="n">
        <v>15</v>
      </c>
      <c r="V5941" t="n">
        <v>30</v>
      </c>
      <c r="W5941" t="n">
        <v>9</v>
      </c>
      <c r="X5941" t="n">
        <v>31.03448275862069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11426</v>
      </c>
      <c r="AG5941" t="n">
        <v>163</v>
      </c>
      <c r="AH5941" t="inlineStr">
        <is>
          <t>PT. PANTI KOSMETIKA BARU - PPN (PDG)</t>
        </is>
      </c>
      <c r="AI5941" t="n">
        <v>163</v>
      </c>
      <c r="AJ5941" t="inlineStr">
        <is>
          <t>VIVA</t>
        </is>
      </c>
      <c r="AK5941" t="n">
        <v>21</v>
      </c>
      <c r="AL5941" t="inlineStr">
        <is>
          <t>Miss Glam Damar</t>
        </is>
      </c>
      <c r="AM5941" t="n">
        <v>2</v>
      </c>
      <c r="AN5941" t="n">
        <v>500000</v>
      </c>
      <c r="AO5941" t="n">
        <v>0</v>
      </c>
      <c r="AP5941" t="inlineStr"/>
      <c r="AQ5941" t="inlineStr"/>
    </row>
    <row r="5942">
      <c r="A5942" t="inlineStr">
        <is>
          <t>VIVA</t>
        </is>
      </c>
      <c r="B5942" s="2">
        <f>"8992796022415"</f>
        <v/>
      </c>
      <c r="C5942" t="inlineStr">
        <is>
          <t>VIVA Lulur Mandi Brightening and Moisturizing Bengkoang 225gr</t>
        </is>
      </c>
      <c r="D5942" t="inlineStr">
        <is>
          <t>Miss Glam Damar</t>
        </is>
      </c>
      <c r="E5942" t="n">
        <v>15</v>
      </c>
      <c r="F5942" t="n">
        <v>0.4641</v>
      </c>
      <c r="G5942" t="n">
        <v>2.73</v>
      </c>
      <c r="H5942" t="n">
        <v>2</v>
      </c>
      <c r="I5942" t="n">
        <v>7</v>
      </c>
      <c r="J5942" t="n">
        <v>3</v>
      </c>
      <c r="K5942" t="n">
        <v>0</v>
      </c>
      <c r="L5942" t="n">
        <v>10592</v>
      </c>
      <c r="M5942" t="n">
        <v>13500</v>
      </c>
      <c r="N5942" t="n">
        <v>91</v>
      </c>
      <c r="O5942" t="n">
        <v>0.91</v>
      </c>
      <c r="P5942" t="n">
        <v>1</v>
      </c>
      <c r="Q5942" t="n">
        <v>0.61</v>
      </c>
      <c r="R5942" t="n">
        <v>4</v>
      </c>
      <c r="S5942" t="n">
        <v>6265.35</v>
      </c>
      <c r="T5942" t="n">
        <v>19</v>
      </c>
      <c r="U5942" t="n">
        <v>20</v>
      </c>
      <c r="V5942" t="n">
        <v>30</v>
      </c>
      <c r="W5942" t="n">
        <v>14</v>
      </c>
      <c r="X5942" t="n">
        <v>32.32062055591467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11426</v>
      </c>
      <c r="AG5942" t="n">
        <v>163</v>
      </c>
      <c r="AH5942" t="inlineStr">
        <is>
          <t>PT. PANTI KOSMETIKA BARU - PPN (PDG)</t>
        </is>
      </c>
      <c r="AI5942" t="n">
        <v>163</v>
      </c>
      <c r="AJ5942" t="inlineStr">
        <is>
          <t>VIVA</t>
        </is>
      </c>
      <c r="AK5942" t="n">
        <v>21</v>
      </c>
      <c r="AL5942" t="inlineStr">
        <is>
          <t>Miss Glam Damar</t>
        </is>
      </c>
      <c r="AM5942" t="n">
        <v>2</v>
      </c>
      <c r="AN5942" t="n">
        <v>500000</v>
      </c>
      <c r="AO5942" t="n">
        <v>0</v>
      </c>
      <c r="AP5942" t="inlineStr"/>
      <c r="AQ5942" t="inlineStr"/>
    </row>
    <row r="5943">
      <c r="A5943" t="inlineStr">
        <is>
          <t>VIVA</t>
        </is>
      </c>
      <c r="B5943" s="2">
        <f>"8992796022439"</f>
        <v/>
      </c>
      <c r="C5943" t="inlineStr">
        <is>
          <t>VIVA Lulur Mandi Brightening and moisturizing Soybean 225g</t>
        </is>
      </c>
      <c r="D5943" t="inlineStr">
        <is>
          <t>Miss Glam Damar</t>
        </is>
      </c>
      <c r="E5943" t="n">
        <v>3</v>
      </c>
      <c r="F5943" t="n">
        <v>0.05</v>
      </c>
      <c r="G5943" t="n">
        <v>1</v>
      </c>
      <c r="H5943" t="n">
        <v>2</v>
      </c>
      <c r="I5943" t="n">
        <v>7</v>
      </c>
      <c r="J5943" t="n">
        <v>3</v>
      </c>
      <c r="K5943" t="n">
        <v>0</v>
      </c>
      <c r="L5943" t="n">
        <v>11083</v>
      </c>
      <c r="M5943" t="n">
        <v>13700</v>
      </c>
      <c r="N5943" t="n">
        <v>91</v>
      </c>
      <c r="O5943" t="n">
        <v>0.91</v>
      </c>
      <c r="P5943" t="n">
        <v>0</v>
      </c>
      <c r="Q5943" t="n">
        <v>0.05</v>
      </c>
      <c r="R5943" t="n">
        <v>1</v>
      </c>
      <c r="S5943" t="n">
        <v>685</v>
      </c>
      <c r="T5943" t="n">
        <v>7</v>
      </c>
      <c r="U5943" t="n">
        <v>8</v>
      </c>
      <c r="V5943" t="n">
        <v>30</v>
      </c>
      <c r="W5943" t="n">
        <v>2</v>
      </c>
      <c r="X5943" t="n">
        <v>60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11426</v>
      </c>
      <c r="AG5943" t="n">
        <v>163</v>
      </c>
      <c r="AH5943" t="inlineStr">
        <is>
          <t>PT. PANTI KOSMETIKA BARU - PPN (PDG)</t>
        </is>
      </c>
      <c r="AI5943" t="n">
        <v>163</v>
      </c>
      <c r="AJ5943" t="inlineStr">
        <is>
          <t>VIVA</t>
        </is>
      </c>
      <c r="AK5943" t="n">
        <v>21</v>
      </c>
      <c r="AL5943" t="inlineStr">
        <is>
          <t>Miss Glam Damar</t>
        </is>
      </c>
      <c r="AM5943" t="n">
        <v>2</v>
      </c>
      <c r="AN5943" t="n">
        <v>500000</v>
      </c>
      <c r="AO5943" t="n">
        <v>0</v>
      </c>
      <c r="AP5943" t="inlineStr"/>
      <c r="AQ5943" t="inlineStr"/>
    </row>
    <row r="5944">
      <c r="A5944" t="inlineStr">
        <is>
          <t>VIVA</t>
        </is>
      </c>
      <c r="B5944" s="2">
        <f>"8992796022446"</f>
        <v/>
      </c>
      <c r="C5944" t="inlineStr">
        <is>
          <t>VIVA Lulur Mandi Yogurt 225gr</t>
        </is>
      </c>
      <c r="D5944" t="inlineStr">
        <is>
          <t>Miss Glam Damar</t>
        </is>
      </c>
      <c r="E5944" t="n">
        <v>3</v>
      </c>
      <c r="F5944" t="n">
        <v>0.4641</v>
      </c>
      <c r="G5944" t="n">
        <v>1.82</v>
      </c>
      <c r="H5944" t="n">
        <v>2</v>
      </c>
      <c r="I5944" t="n">
        <v>7</v>
      </c>
      <c r="J5944" t="n">
        <v>3</v>
      </c>
      <c r="K5944" t="n">
        <v>0</v>
      </c>
      <c r="L5944" t="n">
        <v>11079</v>
      </c>
      <c r="M5944" t="n">
        <v>14000</v>
      </c>
      <c r="N5944" t="n">
        <v>91</v>
      </c>
      <c r="O5944" t="n">
        <v>0.91</v>
      </c>
      <c r="P5944" t="n">
        <v>1</v>
      </c>
      <c r="Q5944" t="n">
        <v>0.46</v>
      </c>
      <c r="R5944" t="n">
        <v>3</v>
      </c>
      <c r="S5944" t="n">
        <v>6497.400000000001</v>
      </c>
      <c r="T5944" t="n">
        <v>12</v>
      </c>
      <c r="U5944" t="n">
        <v>13</v>
      </c>
      <c r="V5944" t="n">
        <v>30</v>
      </c>
      <c r="W5944" t="n">
        <v>14</v>
      </c>
      <c r="X5944" t="n">
        <v>6.464124111182935</v>
      </c>
      <c r="Y5944" t="n">
        <v>1</v>
      </c>
      <c r="Z5944" t="n">
        <v>11</v>
      </c>
      <c r="AA5944" t="n">
        <v>1</v>
      </c>
      <c r="AB5944" t="n">
        <v>10</v>
      </c>
      <c r="AC5944" t="n">
        <v>10</v>
      </c>
      <c r="AD5944" t="n">
        <v>11079</v>
      </c>
      <c r="AE5944" t="n">
        <v>110790</v>
      </c>
      <c r="AF5944" t="n">
        <v>11426</v>
      </c>
      <c r="AG5944" t="n">
        <v>163</v>
      </c>
      <c r="AH5944" t="inlineStr">
        <is>
          <t>PT. PANTI KOSMETIKA BARU - PPN (PDG)</t>
        </is>
      </c>
      <c r="AI5944" t="n">
        <v>163</v>
      </c>
      <c r="AJ5944" t="inlineStr">
        <is>
          <t>VIVA</t>
        </is>
      </c>
      <c r="AK5944" t="n">
        <v>21</v>
      </c>
      <c r="AL5944" t="inlineStr">
        <is>
          <t>Miss Glam Damar</t>
        </is>
      </c>
      <c r="AM5944" t="n">
        <v>2</v>
      </c>
      <c r="AN5944" t="n">
        <v>500000</v>
      </c>
      <c r="AO5944" t="n">
        <v>0</v>
      </c>
      <c r="AP5944" t="inlineStr"/>
      <c r="AQ5944" t="inlineStr"/>
    </row>
    <row r="5945">
      <c r="A5945" t="inlineStr">
        <is>
          <t>VIVA</t>
        </is>
      </c>
      <c r="B5945" s="2">
        <f>"8992796011259"</f>
        <v/>
      </c>
      <c r="C5945" t="inlineStr">
        <is>
          <t>VIVA Milk Cleanser  Lemon 200ml</t>
        </is>
      </c>
      <c r="D5945" t="inlineStr">
        <is>
          <t>Miss Glam Damar</t>
        </is>
      </c>
      <c r="E5945" t="n">
        <v>23</v>
      </c>
      <c r="F5945" t="n">
        <v>0.83</v>
      </c>
      <c r="G5945" t="n">
        <v>3</v>
      </c>
      <c r="H5945" t="n">
        <v>2</v>
      </c>
      <c r="I5945" t="n">
        <v>7</v>
      </c>
      <c r="J5945" t="n">
        <v>12</v>
      </c>
      <c r="K5945" t="n">
        <v>0</v>
      </c>
      <c r="L5945" t="n">
        <v>10391</v>
      </c>
      <c r="M5945" t="n">
        <v>12500</v>
      </c>
      <c r="N5945" t="n">
        <v>91</v>
      </c>
      <c r="O5945" t="n">
        <v>0.91</v>
      </c>
      <c r="P5945" t="n">
        <v>0</v>
      </c>
      <c r="Q5945" t="n">
        <v>0.83</v>
      </c>
      <c r="R5945" t="n">
        <v>3</v>
      </c>
      <c r="S5945" t="n">
        <v>10375</v>
      </c>
      <c r="T5945" t="n">
        <v>20</v>
      </c>
      <c r="U5945" t="n">
        <v>22</v>
      </c>
      <c r="V5945" t="n">
        <v>30</v>
      </c>
      <c r="W5945" t="n">
        <v>25</v>
      </c>
      <c r="X5945" t="n">
        <v>27.71084337349398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11426</v>
      </c>
      <c r="AG5945" t="n">
        <v>163</v>
      </c>
      <c r="AH5945" t="inlineStr">
        <is>
          <t>PT. PANTI KOSMETIKA BARU - PPN (PDG)</t>
        </is>
      </c>
      <c r="AI5945" t="n">
        <v>163</v>
      </c>
      <c r="AJ5945" t="inlineStr">
        <is>
          <t>VIVA</t>
        </is>
      </c>
      <c r="AK5945" t="n">
        <v>21</v>
      </c>
      <c r="AL5945" t="inlineStr">
        <is>
          <t>Miss Glam Damar</t>
        </is>
      </c>
      <c r="AM5945" t="n">
        <v>2</v>
      </c>
      <c r="AN5945" t="n">
        <v>500000</v>
      </c>
      <c r="AO5945" t="n">
        <v>0</v>
      </c>
      <c r="AP5945" t="inlineStr"/>
      <c r="AQ5945" t="inlineStr"/>
    </row>
    <row r="5946">
      <c r="A5946" t="inlineStr">
        <is>
          <t>VIVA</t>
        </is>
      </c>
      <c r="B5946" s="2">
        <f>"8992796011105"</f>
        <v/>
      </c>
      <c r="C5946" t="inlineStr">
        <is>
          <t>VIVA Milk Cleanser 100ml</t>
        </is>
      </c>
      <c r="D5946" t="inlineStr">
        <is>
          <t>Miss Glam Damar</t>
        </is>
      </c>
      <c r="E5946" t="n">
        <v>37</v>
      </c>
      <c r="F5946" t="n">
        <v>2.5116</v>
      </c>
      <c r="G5946" t="n">
        <v>5.46</v>
      </c>
      <c r="H5946" t="n">
        <v>2</v>
      </c>
      <c r="I5946" t="n">
        <v>7</v>
      </c>
      <c r="J5946" t="n">
        <v>12</v>
      </c>
      <c r="K5946" t="n">
        <v>0</v>
      </c>
      <c r="L5946" t="n">
        <v>6046</v>
      </c>
      <c r="M5946" t="n">
        <v>7500</v>
      </c>
      <c r="N5946" t="n">
        <v>91</v>
      </c>
      <c r="O5946" t="n">
        <v>0.91</v>
      </c>
      <c r="P5946" t="n">
        <v>1</v>
      </c>
      <c r="Q5946" t="n">
        <v>1.73</v>
      </c>
      <c r="R5946" t="n">
        <v>5</v>
      </c>
      <c r="S5946" t="n">
        <v>18837</v>
      </c>
      <c r="T5946" t="n">
        <v>34</v>
      </c>
      <c r="U5946" t="n">
        <v>40</v>
      </c>
      <c r="V5946" t="n">
        <v>30</v>
      </c>
      <c r="W5946" t="n">
        <v>76</v>
      </c>
      <c r="X5946" t="n">
        <v>14.73164516642777</v>
      </c>
      <c r="Y5946" t="n">
        <v>1</v>
      </c>
      <c r="Z5946" t="n">
        <v>39</v>
      </c>
      <c r="AA5946" t="n">
        <v>0</v>
      </c>
      <c r="AB5946" t="n">
        <v>39</v>
      </c>
      <c r="AC5946" t="n">
        <v>39</v>
      </c>
      <c r="AD5946" t="n">
        <v>0</v>
      </c>
      <c r="AE5946" t="n">
        <v>235794</v>
      </c>
      <c r="AF5946" t="n">
        <v>11426</v>
      </c>
      <c r="AG5946" t="n">
        <v>163</v>
      </c>
      <c r="AH5946" t="inlineStr">
        <is>
          <t>PT. PANTI KOSMETIKA BARU - PPN (PDG)</t>
        </is>
      </c>
      <c r="AI5946" t="n">
        <v>163</v>
      </c>
      <c r="AJ5946" t="inlineStr">
        <is>
          <t>VIVA</t>
        </is>
      </c>
      <c r="AK5946" t="n">
        <v>21</v>
      </c>
      <c r="AL5946" t="inlineStr">
        <is>
          <t>Miss Glam Damar</t>
        </is>
      </c>
      <c r="AM5946" t="n">
        <v>2</v>
      </c>
      <c r="AN5946" t="n">
        <v>500000</v>
      </c>
      <c r="AO5946" t="n">
        <v>0</v>
      </c>
      <c r="AP5946" t="inlineStr"/>
      <c r="AQ5946" t="inlineStr"/>
    </row>
    <row r="5947">
      <c r="A5947" t="inlineStr">
        <is>
          <t>VIVA</t>
        </is>
      </c>
      <c r="B5947" s="2">
        <f>"8992796011235"</f>
        <v/>
      </c>
      <c r="C5947" t="inlineStr">
        <is>
          <t>VIVA Milk Cleanser 200ml</t>
        </is>
      </c>
      <c r="D5947" t="inlineStr">
        <is>
          <t>Miss Glam Damar</t>
        </is>
      </c>
      <c r="E5947" t="n">
        <v>29</v>
      </c>
      <c r="F5947" t="n">
        <v>1.9292</v>
      </c>
      <c r="G5947" t="n">
        <v>4.55</v>
      </c>
      <c r="H5947" t="n">
        <v>2</v>
      </c>
      <c r="I5947" t="n">
        <v>7</v>
      </c>
      <c r="J5947" t="n">
        <v>12</v>
      </c>
      <c r="K5947" t="n">
        <v>0</v>
      </c>
      <c r="L5947" t="n">
        <v>10242</v>
      </c>
      <c r="M5947" t="n">
        <v>12500</v>
      </c>
      <c r="N5947" t="n">
        <v>91</v>
      </c>
      <c r="O5947" t="n">
        <v>0.91</v>
      </c>
      <c r="P5947" t="n">
        <v>1</v>
      </c>
      <c r="Q5947" t="n">
        <v>0.71</v>
      </c>
      <c r="R5947" t="n">
        <v>3</v>
      </c>
      <c r="S5947" t="n">
        <v>24115</v>
      </c>
      <c r="T5947" t="n">
        <v>28</v>
      </c>
      <c r="U5947" t="n">
        <v>32</v>
      </c>
      <c r="V5947" t="n">
        <v>30</v>
      </c>
      <c r="W5947" t="n">
        <v>58</v>
      </c>
      <c r="X5947" t="n">
        <v>15.0321376736471</v>
      </c>
      <c r="Y5947" t="n">
        <v>1</v>
      </c>
      <c r="Z5947" t="n">
        <v>29</v>
      </c>
      <c r="AA5947" t="n">
        <v>0</v>
      </c>
      <c r="AB5947" t="n">
        <v>29</v>
      </c>
      <c r="AC5947" t="n">
        <v>29</v>
      </c>
      <c r="AD5947" t="n">
        <v>0</v>
      </c>
      <c r="AE5947" t="n">
        <v>297018</v>
      </c>
      <c r="AF5947" t="n">
        <v>11426</v>
      </c>
      <c r="AG5947" t="n">
        <v>163</v>
      </c>
      <c r="AH5947" t="inlineStr">
        <is>
          <t>PT. PANTI KOSMETIKA BARU - PPN (PDG)</t>
        </is>
      </c>
      <c r="AI5947" t="n">
        <v>163</v>
      </c>
      <c r="AJ5947" t="inlineStr">
        <is>
          <t>VIVA</t>
        </is>
      </c>
      <c r="AK5947" t="n">
        <v>21</v>
      </c>
      <c r="AL5947" t="inlineStr">
        <is>
          <t>Miss Glam Damar</t>
        </is>
      </c>
      <c r="AM5947" t="n">
        <v>2</v>
      </c>
      <c r="AN5947" t="n">
        <v>500000</v>
      </c>
      <c r="AO5947" t="n">
        <v>0</v>
      </c>
      <c r="AP5947" t="inlineStr"/>
      <c r="AQ5947" t="inlineStr"/>
    </row>
    <row r="5948">
      <c r="A5948" t="inlineStr">
        <is>
          <t>VIVA</t>
        </is>
      </c>
      <c r="B5948" s="2">
        <f>"8992796011136"</f>
        <v/>
      </c>
      <c r="C5948" t="inlineStr">
        <is>
          <t>VIVA Milk Cleanser Bengkuang 100ml</t>
        </is>
      </c>
      <c r="D5948" t="inlineStr">
        <is>
          <t>Miss Glam Damar</t>
        </is>
      </c>
      <c r="E5948" t="n">
        <v>72</v>
      </c>
      <c r="F5948" t="n">
        <v>6.633900000000001</v>
      </c>
      <c r="G5948" t="n">
        <v>12.74</v>
      </c>
      <c r="H5948" t="n">
        <v>2</v>
      </c>
      <c r="I5948" t="n">
        <v>7</v>
      </c>
      <c r="J5948" t="n">
        <v>12</v>
      </c>
      <c r="K5948" t="n">
        <v>0</v>
      </c>
      <c r="L5948" t="n">
        <v>6779</v>
      </c>
      <c r="M5948" t="n">
        <v>8500</v>
      </c>
      <c r="N5948" t="n">
        <v>91</v>
      </c>
      <c r="O5948" t="n">
        <v>0.91</v>
      </c>
      <c r="P5948" t="n">
        <v>1</v>
      </c>
      <c r="Q5948" t="n">
        <v>3.69</v>
      </c>
      <c r="R5948" t="n">
        <v>8</v>
      </c>
      <c r="S5948" t="n">
        <v>56388.15</v>
      </c>
      <c r="T5948" t="n">
        <v>76</v>
      </c>
      <c r="U5948" t="n">
        <v>90</v>
      </c>
      <c r="V5948" t="n">
        <v>30</v>
      </c>
      <c r="W5948" t="n">
        <v>200</v>
      </c>
      <c r="X5948" t="n">
        <v>10.85334418667752</v>
      </c>
      <c r="Y5948" t="n">
        <v>1</v>
      </c>
      <c r="Z5948" t="n">
        <v>128</v>
      </c>
      <c r="AA5948" t="n">
        <v>0</v>
      </c>
      <c r="AB5948" t="n">
        <v>128</v>
      </c>
      <c r="AC5948" t="n">
        <v>128</v>
      </c>
      <c r="AD5948" t="n">
        <v>0</v>
      </c>
      <c r="AE5948" t="n">
        <v>867712</v>
      </c>
      <c r="AF5948" t="n">
        <v>11426</v>
      </c>
      <c r="AG5948" t="n">
        <v>163</v>
      </c>
      <c r="AH5948" t="inlineStr">
        <is>
          <t>PT. PANTI KOSMETIKA BARU - PPN (PDG)</t>
        </is>
      </c>
      <c r="AI5948" t="n">
        <v>163</v>
      </c>
      <c r="AJ5948" t="inlineStr">
        <is>
          <t>VIVA</t>
        </is>
      </c>
      <c r="AK5948" t="n">
        <v>21</v>
      </c>
      <c r="AL5948" t="inlineStr">
        <is>
          <t>Miss Glam Damar</t>
        </is>
      </c>
      <c r="AM5948" t="n">
        <v>2</v>
      </c>
      <c r="AN5948" t="n">
        <v>500000</v>
      </c>
      <c r="AO5948" t="n">
        <v>0</v>
      </c>
      <c r="AP5948" t="inlineStr"/>
      <c r="AQ5948" t="inlineStr"/>
    </row>
    <row r="5949">
      <c r="A5949" t="inlineStr">
        <is>
          <t>VIVA</t>
        </is>
      </c>
      <c r="B5949" s="2">
        <f>"8992796011242"</f>
        <v/>
      </c>
      <c r="C5949" t="inlineStr">
        <is>
          <t>VIVA Milk Cleanser Bengkuang 200ml</t>
        </is>
      </c>
      <c r="D5949" t="inlineStr">
        <is>
          <t>Miss Glam Damar</t>
        </is>
      </c>
      <c r="E5949" t="n">
        <v>52</v>
      </c>
      <c r="F5949" t="n">
        <v>4.1951</v>
      </c>
      <c r="G5949" t="n">
        <v>10.92</v>
      </c>
      <c r="H5949" t="n">
        <v>2</v>
      </c>
      <c r="I5949" t="n">
        <v>7</v>
      </c>
      <c r="J5949" t="n">
        <v>12</v>
      </c>
      <c r="K5949" t="n">
        <v>0</v>
      </c>
      <c r="L5949" t="n">
        <v>11311</v>
      </c>
      <c r="M5949" t="n">
        <v>14000</v>
      </c>
      <c r="N5949" t="n">
        <v>91</v>
      </c>
      <c r="O5949" t="n">
        <v>0.91</v>
      </c>
      <c r="P5949" t="n">
        <v>1</v>
      </c>
      <c r="Q5949" t="n">
        <v>2.98</v>
      </c>
      <c r="R5949" t="n">
        <v>11</v>
      </c>
      <c r="S5949" t="n">
        <v>58731.4</v>
      </c>
      <c r="T5949" t="n">
        <v>69</v>
      </c>
      <c r="U5949" t="n">
        <v>78</v>
      </c>
      <c r="V5949" t="n">
        <v>30</v>
      </c>
      <c r="W5949" t="n">
        <v>126</v>
      </c>
      <c r="X5949" t="n">
        <v>12.39541369693213</v>
      </c>
      <c r="Y5949" t="n">
        <v>1</v>
      </c>
      <c r="Z5949" t="n">
        <v>74</v>
      </c>
      <c r="AA5949" t="n">
        <v>0</v>
      </c>
      <c r="AB5949" t="n">
        <v>74</v>
      </c>
      <c r="AC5949" t="n">
        <v>74</v>
      </c>
      <c r="AD5949" t="n">
        <v>0</v>
      </c>
      <c r="AE5949" t="n">
        <v>837014</v>
      </c>
      <c r="AF5949" t="n">
        <v>11426</v>
      </c>
      <c r="AG5949" t="n">
        <v>163</v>
      </c>
      <c r="AH5949" t="inlineStr">
        <is>
          <t>PT. PANTI KOSMETIKA BARU - PPN (PDG)</t>
        </is>
      </c>
      <c r="AI5949" t="n">
        <v>163</v>
      </c>
      <c r="AJ5949" t="inlineStr">
        <is>
          <t>VIVA</t>
        </is>
      </c>
      <c r="AK5949" t="n">
        <v>21</v>
      </c>
      <c r="AL5949" t="inlineStr">
        <is>
          <t>Miss Glam Damar</t>
        </is>
      </c>
      <c r="AM5949" t="n">
        <v>2</v>
      </c>
      <c r="AN5949" t="n">
        <v>500000</v>
      </c>
      <c r="AO5949" t="n">
        <v>0</v>
      </c>
      <c r="AP5949" t="inlineStr"/>
      <c r="AQ5949" t="inlineStr"/>
    </row>
    <row r="5950">
      <c r="A5950" t="inlineStr">
        <is>
          <t>VIVA</t>
        </is>
      </c>
      <c r="B5950" s="2">
        <f>"8992796011204"</f>
        <v/>
      </c>
      <c r="C5950" t="inlineStr">
        <is>
          <t>VIVA Milk Cleanser Cucumber 100ml</t>
        </is>
      </c>
      <c r="D5950" t="inlineStr">
        <is>
          <t>Miss Glam Damar</t>
        </is>
      </c>
      <c r="E5950" t="n">
        <v>15</v>
      </c>
      <c r="F5950" t="n">
        <v>0.6006</v>
      </c>
      <c r="G5950" t="n">
        <v>2.73</v>
      </c>
      <c r="H5950" t="n">
        <v>2</v>
      </c>
      <c r="I5950" t="n">
        <v>7</v>
      </c>
      <c r="J5950" t="n">
        <v>12</v>
      </c>
      <c r="K5950" t="n">
        <v>0</v>
      </c>
      <c r="L5950" t="n">
        <v>6016</v>
      </c>
      <c r="M5950" t="n">
        <v>7500</v>
      </c>
      <c r="N5950" t="n">
        <v>91</v>
      </c>
      <c r="O5950" t="n">
        <v>0.91</v>
      </c>
      <c r="P5950" t="n">
        <v>1</v>
      </c>
      <c r="Q5950" t="n">
        <v>0.47</v>
      </c>
      <c r="R5950" t="n">
        <v>3</v>
      </c>
      <c r="S5950" t="n">
        <v>4504.5</v>
      </c>
      <c r="T5950" t="n">
        <v>18</v>
      </c>
      <c r="U5950" t="n">
        <v>20</v>
      </c>
      <c r="V5950" t="n">
        <v>30</v>
      </c>
      <c r="W5950" t="n">
        <v>19</v>
      </c>
      <c r="X5950" t="n">
        <v>24.97502497502498</v>
      </c>
      <c r="Y5950" t="n">
        <v>1</v>
      </c>
      <c r="Z5950" t="n">
        <v>4</v>
      </c>
      <c r="AA5950" t="n">
        <v>0</v>
      </c>
      <c r="AB5950" t="n">
        <v>4</v>
      </c>
      <c r="AC5950" t="n">
        <v>12</v>
      </c>
      <c r="AD5950" t="n">
        <v>0</v>
      </c>
      <c r="AE5950" t="n">
        <v>72192</v>
      </c>
      <c r="AF5950" t="n">
        <v>11426</v>
      </c>
      <c r="AG5950" t="n">
        <v>163</v>
      </c>
      <c r="AH5950" t="inlineStr">
        <is>
          <t>PT. PANTI KOSMETIKA BARU - PPN (PDG)</t>
        </is>
      </c>
      <c r="AI5950" t="n">
        <v>163</v>
      </c>
      <c r="AJ5950" t="inlineStr">
        <is>
          <t>VIVA</t>
        </is>
      </c>
      <c r="AK5950" t="n">
        <v>21</v>
      </c>
      <c r="AL5950" t="inlineStr">
        <is>
          <t>Miss Glam Damar</t>
        </is>
      </c>
      <c r="AM5950" t="n">
        <v>2</v>
      </c>
      <c r="AN5950" t="n">
        <v>500000</v>
      </c>
      <c r="AO5950" t="n">
        <v>0</v>
      </c>
      <c r="AP5950" t="inlineStr"/>
      <c r="AQ5950" t="inlineStr"/>
    </row>
    <row r="5951">
      <c r="A5951" t="inlineStr">
        <is>
          <t>VIVA</t>
        </is>
      </c>
      <c r="B5951" s="2">
        <f>"8992796011266"</f>
        <v/>
      </c>
      <c r="C5951" t="inlineStr">
        <is>
          <t>VIVA Milk Cleanser Cucumber 200ml</t>
        </is>
      </c>
      <c r="D5951" t="inlineStr">
        <is>
          <t>Miss Glam Damar</t>
        </is>
      </c>
      <c r="E5951" t="n">
        <v>13</v>
      </c>
      <c r="F5951" t="n">
        <v>0.7735</v>
      </c>
      <c r="G5951" t="n">
        <v>3.64</v>
      </c>
      <c r="H5951" t="n">
        <v>2</v>
      </c>
      <c r="I5951" t="n">
        <v>7</v>
      </c>
      <c r="J5951" t="n">
        <v>12</v>
      </c>
      <c r="K5951" t="n">
        <v>0</v>
      </c>
      <c r="L5951" t="n">
        <v>10410</v>
      </c>
      <c r="M5951" t="n">
        <v>12500</v>
      </c>
      <c r="N5951" t="n">
        <v>91</v>
      </c>
      <c r="O5951" t="n">
        <v>0.91</v>
      </c>
      <c r="P5951" t="n">
        <v>1</v>
      </c>
      <c r="Q5951" t="n">
        <v>0.42</v>
      </c>
      <c r="R5951" t="n">
        <v>2</v>
      </c>
      <c r="S5951" t="n">
        <v>9668.75</v>
      </c>
      <c r="T5951" t="n">
        <v>24</v>
      </c>
      <c r="U5951" t="n">
        <v>26</v>
      </c>
      <c r="V5951" t="n">
        <v>30</v>
      </c>
      <c r="W5951" t="n">
        <v>24</v>
      </c>
      <c r="X5951" t="n">
        <v>16.80672268907563</v>
      </c>
      <c r="Y5951" t="n">
        <v>1</v>
      </c>
      <c r="Z5951" t="n">
        <v>11</v>
      </c>
      <c r="AA5951" t="n">
        <v>0</v>
      </c>
      <c r="AB5951" t="n">
        <v>11</v>
      </c>
      <c r="AC5951" t="n">
        <v>12</v>
      </c>
      <c r="AD5951" t="n">
        <v>0</v>
      </c>
      <c r="AE5951" t="n">
        <v>124920</v>
      </c>
      <c r="AF5951" t="n">
        <v>11426</v>
      </c>
      <c r="AG5951" t="n">
        <v>163</v>
      </c>
      <c r="AH5951" t="inlineStr">
        <is>
          <t>PT. PANTI KOSMETIKA BARU - PPN (PDG)</t>
        </is>
      </c>
      <c r="AI5951" t="n">
        <v>163</v>
      </c>
      <c r="AJ5951" t="inlineStr">
        <is>
          <t>VIVA</t>
        </is>
      </c>
      <c r="AK5951" t="n">
        <v>21</v>
      </c>
      <c r="AL5951" t="inlineStr">
        <is>
          <t>Miss Glam Damar</t>
        </is>
      </c>
      <c r="AM5951" t="n">
        <v>2</v>
      </c>
      <c r="AN5951" t="n">
        <v>500000</v>
      </c>
      <c r="AO5951" t="n">
        <v>0</v>
      </c>
      <c r="AP5951" t="inlineStr"/>
      <c r="AQ5951" t="inlineStr"/>
    </row>
    <row r="5952">
      <c r="A5952" t="inlineStr">
        <is>
          <t>VIVA</t>
        </is>
      </c>
      <c r="B5952" s="2">
        <f>"8992796011143"</f>
        <v/>
      </c>
      <c r="C5952" t="inlineStr">
        <is>
          <t>VIVA Milk Cleanser Grean Tea 100ml</t>
        </is>
      </c>
      <c r="D5952" t="inlineStr">
        <is>
          <t>Miss Glam Damar</t>
        </is>
      </c>
      <c r="E5952" t="n">
        <v>35</v>
      </c>
      <c r="F5952" t="n">
        <v>3.8129</v>
      </c>
      <c r="G5952" t="n">
        <v>9.1</v>
      </c>
      <c r="H5952" t="n">
        <v>2</v>
      </c>
      <c r="I5952" t="n">
        <v>7</v>
      </c>
      <c r="J5952" t="n">
        <v>12</v>
      </c>
      <c r="K5952" t="n">
        <v>0</v>
      </c>
      <c r="L5952" t="n">
        <v>6817</v>
      </c>
      <c r="M5952" t="n">
        <v>8500</v>
      </c>
      <c r="N5952" t="n">
        <v>91</v>
      </c>
      <c r="O5952" t="n">
        <v>0.91</v>
      </c>
      <c r="P5952" t="n">
        <v>1</v>
      </c>
      <c r="Q5952" t="n">
        <v>1.64</v>
      </c>
      <c r="R5952" t="n">
        <v>6</v>
      </c>
      <c r="S5952" t="n">
        <v>32409.65000000001</v>
      </c>
      <c r="T5952" t="n">
        <v>57</v>
      </c>
      <c r="U5952" t="n">
        <v>65</v>
      </c>
      <c r="V5952" t="n">
        <v>30</v>
      </c>
      <c r="W5952" t="n">
        <v>115</v>
      </c>
      <c r="X5952" t="n">
        <v>9.179364787956672</v>
      </c>
      <c r="Y5952" t="n">
        <v>1</v>
      </c>
      <c r="Z5952" t="n">
        <v>80</v>
      </c>
      <c r="AA5952" t="n">
        <v>0</v>
      </c>
      <c r="AB5952" t="n">
        <v>80</v>
      </c>
      <c r="AC5952" t="n">
        <v>80</v>
      </c>
      <c r="AD5952" t="n">
        <v>0</v>
      </c>
      <c r="AE5952" t="n">
        <v>545360</v>
      </c>
      <c r="AF5952" t="n">
        <v>11426</v>
      </c>
      <c r="AG5952" t="n">
        <v>163</v>
      </c>
      <c r="AH5952" t="inlineStr">
        <is>
          <t>PT. PANTI KOSMETIKA BARU - PPN (PDG)</t>
        </is>
      </c>
      <c r="AI5952" t="n">
        <v>163</v>
      </c>
      <c r="AJ5952" t="inlineStr">
        <is>
          <t>VIVA</t>
        </is>
      </c>
      <c r="AK5952" t="n">
        <v>21</v>
      </c>
      <c r="AL5952" t="inlineStr">
        <is>
          <t>Miss Glam Damar</t>
        </is>
      </c>
      <c r="AM5952" t="n">
        <v>2</v>
      </c>
      <c r="AN5952" t="n">
        <v>500000</v>
      </c>
      <c r="AO5952" t="n">
        <v>0</v>
      </c>
      <c r="AP5952" t="inlineStr"/>
      <c r="AQ5952" t="inlineStr"/>
    </row>
    <row r="5953">
      <c r="A5953" t="inlineStr">
        <is>
          <t>VIVA</t>
        </is>
      </c>
      <c r="B5953" s="2">
        <f>"8992796011112"</f>
        <v/>
      </c>
      <c r="C5953" t="inlineStr">
        <is>
          <t>VIVA Milk Cleanser Lemon 100ml</t>
        </is>
      </c>
      <c r="D5953" t="inlineStr">
        <is>
          <t>Miss Glam Damar</t>
        </is>
      </c>
      <c r="E5953" t="n">
        <v>82</v>
      </c>
      <c r="F5953" t="n">
        <v>2.2477</v>
      </c>
      <c r="G5953" t="n">
        <v>6.37</v>
      </c>
      <c r="H5953" t="n">
        <v>2</v>
      </c>
      <c r="I5953" t="n">
        <v>7</v>
      </c>
      <c r="J5953" t="n">
        <v>12</v>
      </c>
      <c r="K5953" t="n">
        <v>0</v>
      </c>
      <c r="L5953" t="n">
        <v>6067</v>
      </c>
      <c r="M5953" t="n">
        <v>7500</v>
      </c>
      <c r="N5953" t="n">
        <v>91</v>
      </c>
      <c r="O5953" t="n">
        <v>0.91</v>
      </c>
      <c r="P5953" t="n">
        <v>1</v>
      </c>
      <c r="Q5953" t="n">
        <v>0.97</v>
      </c>
      <c r="R5953" t="n">
        <v>4</v>
      </c>
      <c r="S5953" t="n">
        <v>16857.75</v>
      </c>
      <c r="T5953" t="n">
        <v>41</v>
      </c>
      <c r="U5953" t="n">
        <v>46</v>
      </c>
      <c r="V5953" t="n">
        <v>30</v>
      </c>
      <c r="W5953" t="n">
        <v>68</v>
      </c>
      <c r="X5953" t="n">
        <v>36.48173688659518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11426</v>
      </c>
      <c r="AG5953" t="n">
        <v>163</v>
      </c>
      <c r="AH5953" t="inlineStr">
        <is>
          <t>PT. PANTI KOSMETIKA BARU - PPN (PDG)</t>
        </is>
      </c>
      <c r="AI5953" t="n">
        <v>163</v>
      </c>
      <c r="AJ5953" t="inlineStr">
        <is>
          <t>VIVA</t>
        </is>
      </c>
      <c r="AK5953" t="n">
        <v>21</v>
      </c>
      <c r="AL5953" t="inlineStr">
        <is>
          <t>Miss Glam Damar</t>
        </is>
      </c>
      <c r="AM5953" t="n">
        <v>2</v>
      </c>
      <c r="AN5953" t="n">
        <v>500000</v>
      </c>
      <c r="AO5953" t="n">
        <v>0</v>
      </c>
      <c r="AP5953" t="inlineStr"/>
      <c r="AQ5953" t="inlineStr"/>
    </row>
    <row r="5954">
      <c r="A5954" t="inlineStr">
        <is>
          <t>VIVA</t>
        </is>
      </c>
      <c r="B5954" s="2">
        <f>"10100407549"</f>
        <v/>
      </c>
      <c r="C5954" t="inlineStr">
        <is>
          <t>VIVA Milk Cleanser Mawar 100ml</t>
        </is>
      </c>
      <c r="D5954" t="inlineStr">
        <is>
          <t>Miss Glam Damar</t>
        </is>
      </c>
      <c r="E5954" t="n">
        <v>24</v>
      </c>
      <c r="F5954" t="n">
        <v>2.3023</v>
      </c>
      <c r="G5954" t="n">
        <v>7.28</v>
      </c>
      <c r="H5954" t="n">
        <v>2</v>
      </c>
      <c r="I5954" t="n">
        <v>7</v>
      </c>
      <c r="J5954" t="n">
        <v>1</v>
      </c>
      <c r="K5954" t="n">
        <v>0</v>
      </c>
      <c r="L5954" t="n">
        <v>5982</v>
      </c>
      <c r="M5954" t="n">
        <v>7500</v>
      </c>
      <c r="N5954" t="n">
        <v>91</v>
      </c>
      <c r="O5954" t="n">
        <v>0.91</v>
      </c>
      <c r="P5954" t="n">
        <v>1</v>
      </c>
      <c r="Q5954" t="n">
        <v>1.19</v>
      </c>
      <c r="R5954" t="n">
        <v>5</v>
      </c>
      <c r="S5954" t="n">
        <v>17267.25</v>
      </c>
      <c r="T5954" t="n">
        <v>47</v>
      </c>
      <c r="U5954" t="n">
        <v>52</v>
      </c>
      <c r="V5954" t="n">
        <v>30</v>
      </c>
      <c r="W5954" t="n">
        <v>70</v>
      </c>
      <c r="X5954" t="n">
        <v>10.42435825044521</v>
      </c>
      <c r="Y5954" t="n">
        <v>1</v>
      </c>
      <c r="Z5954" t="n">
        <v>46</v>
      </c>
      <c r="AA5954" t="n">
        <v>0</v>
      </c>
      <c r="AB5954" t="n">
        <v>46</v>
      </c>
      <c r="AC5954" t="n">
        <v>46</v>
      </c>
      <c r="AD5954" t="n">
        <v>0</v>
      </c>
      <c r="AE5954" t="n">
        <v>275172</v>
      </c>
      <c r="AF5954" t="n">
        <v>11426</v>
      </c>
      <c r="AG5954" t="n">
        <v>163</v>
      </c>
      <c r="AH5954" t="inlineStr">
        <is>
          <t>PT. PANTI KOSMETIKA BARU - PPN (PDG)</t>
        </is>
      </c>
      <c r="AI5954" t="n">
        <v>163</v>
      </c>
      <c r="AJ5954" t="inlineStr">
        <is>
          <t>VIVA</t>
        </is>
      </c>
      <c r="AK5954" t="n">
        <v>21</v>
      </c>
      <c r="AL5954" t="inlineStr">
        <is>
          <t>Miss Glam Damar</t>
        </is>
      </c>
      <c r="AM5954" t="n">
        <v>2</v>
      </c>
      <c r="AN5954" t="n">
        <v>500000</v>
      </c>
      <c r="AO5954" t="n">
        <v>0</v>
      </c>
      <c r="AP5954" t="inlineStr"/>
      <c r="AQ5954" t="inlineStr"/>
    </row>
    <row r="5955">
      <c r="A5955" t="inlineStr">
        <is>
          <t>VIVA</t>
        </is>
      </c>
      <c r="B5955" s="2">
        <f>"10100407627"</f>
        <v/>
      </c>
      <c r="C5955" t="inlineStr">
        <is>
          <t>VIVA Milk Cleanser Mawar 200ml</t>
        </is>
      </c>
      <c r="D5955" t="inlineStr">
        <is>
          <t>Miss Glam Damar</t>
        </is>
      </c>
      <c r="E5955" t="n">
        <v>24</v>
      </c>
      <c r="F5955" t="n">
        <v>1.7927</v>
      </c>
      <c r="G5955" t="n">
        <v>5.46</v>
      </c>
      <c r="H5955" t="n">
        <v>2</v>
      </c>
      <c r="I5955" t="n">
        <v>7</v>
      </c>
      <c r="J5955" t="n">
        <v>1</v>
      </c>
      <c r="K5955" t="n">
        <v>0</v>
      </c>
      <c r="L5955" t="n">
        <v>10178</v>
      </c>
      <c r="M5955" t="n">
        <v>13000</v>
      </c>
      <c r="N5955" t="n">
        <v>91</v>
      </c>
      <c r="O5955" t="n">
        <v>0.91</v>
      </c>
      <c r="P5955" t="n">
        <v>1</v>
      </c>
      <c r="Q5955" t="n">
        <v>0.86</v>
      </c>
      <c r="R5955" t="n">
        <v>4</v>
      </c>
      <c r="S5955" t="n">
        <v>23305.1</v>
      </c>
      <c r="T5955" t="n">
        <v>35</v>
      </c>
      <c r="U5955" t="n">
        <v>39</v>
      </c>
      <c r="V5955" t="n">
        <v>30</v>
      </c>
      <c r="W5955" t="n">
        <v>54</v>
      </c>
      <c r="X5955" t="n">
        <v>13.38762760082557</v>
      </c>
      <c r="Y5955" t="n">
        <v>1</v>
      </c>
      <c r="Z5955" t="n">
        <v>30</v>
      </c>
      <c r="AA5955" t="n">
        <v>0</v>
      </c>
      <c r="AB5955" t="n">
        <v>30</v>
      </c>
      <c r="AC5955" t="n">
        <v>30</v>
      </c>
      <c r="AD5955" t="n">
        <v>0</v>
      </c>
      <c r="AE5955" t="n">
        <v>305340</v>
      </c>
      <c r="AF5955" t="n">
        <v>11426</v>
      </c>
      <c r="AG5955" t="n">
        <v>163</v>
      </c>
      <c r="AH5955" t="inlineStr">
        <is>
          <t>PT. PANTI KOSMETIKA BARU - PPN (PDG)</t>
        </is>
      </c>
      <c r="AI5955" t="n">
        <v>163</v>
      </c>
      <c r="AJ5955" t="inlineStr">
        <is>
          <t>VIVA</t>
        </is>
      </c>
      <c r="AK5955" t="n">
        <v>21</v>
      </c>
      <c r="AL5955" t="inlineStr">
        <is>
          <t>Miss Glam Damar</t>
        </is>
      </c>
      <c r="AM5955" t="n">
        <v>2</v>
      </c>
      <c r="AN5955" t="n">
        <v>500000</v>
      </c>
      <c r="AO5955" t="n">
        <v>0</v>
      </c>
      <c r="AP5955" t="inlineStr"/>
      <c r="AQ5955" t="inlineStr"/>
    </row>
    <row r="5956">
      <c r="A5956" t="inlineStr">
        <is>
          <t>VIVA</t>
        </is>
      </c>
      <c r="B5956" s="2">
        <f>"8992796011150"</f>
        <v/>
      </c>
      <c r="C5956" t="inlineStr">
        <is>
          <t>VIVA Milk Cleanser Spirulina 100ml</t>
        </is>
      </c>
      <c r="D5956" t="inlineStr">
        <is>
          <t>Miss Glam Damar</t>
        </is>
      </c>
      <c r="E5956" t="n">
        <v>26</v>
      </c>
      <c r="F5956" t="n">
        <v>1.2649</v>
      </c>
      <c r="G5956" t="n">
        <v>4.55</v>
      </c>
      <c r="H5956" t="n">
        <v>2</v>
      </c>
      <c r="I5956" t="n">
        <v>7</v>
      </c>
      <c r="J5956" t="n">
        <v>12</v>
      </c>
      <c r="K5956" t="n">
        <v>0</v>
      </c>
      <c r="L5956" t="n">
        <v>6778</v>
      </c>
      <c r="M5956" t="n">
        <v>8500</v>
      </c>
      <c r="N5956" t="n">
        <v>91</v>
      </c>
      <c r="O5956" t="n">
        <v>0.91</v>
      </c>
      <c r="P5956" t="n">
        <v>1</v>
      </c>
      <c r="Q5956" t="n">
        <v>1.12</v>
      </c>
      <c r="R5956" t="n">
        <v>5</v>
      </c>
      <c r="S5956" t="n">
        <v>10751.65</v>
      </c>
      <c r="T5956" t="n">
        <v>30</v>
      </c>
      <c r="U5956" t="n">
        <v>33</v>
      </c>
      <c r="V5956" t="n">
        <v>30</v>
      </c>
      <c r="W5956" t="n">
        <v>38</v>
      </c>
      <c r="X5956" t="n">
        <v>20.55498458376156</v>
      </c>
      <c r="Y5956" t="n">
        <v>1</v>
      </c>
      <c r="Z5956" t="n">
        <v>12</v>
      </c>
      <c r="AA5956" t="n">
        <v>0</v>
      </c>
      <c r="AB5956" t="n">
        <v>12</v>
      </c>
      <c r="AC5956" t="n">
        <v>12</v>
      </c>
      <c r="AD5956" t="n">
        <v>0</v>
      </c>
      <c r="AE5956" t="n">
        <v>81336</v>
      </c>
      <c r="AF5956" t="n">
        <v>11426</v>
      </c>
      <c r="AG5956" t="n">
        <v>163</v>
      </c>
      <c r="AH5956" t="inlineStr">
        <is>
          <t>PT. PANTI KOSMETIKA BARU - PPN (PDG)</t>
        </is>
      </c>
      <c r="AI5956" t="n">
        <v>163</v>
      </c>
      <c r="AJ5956" t="inlineStr">
        <is>
          <t>VIVA</t>
        </is>
      </c>
      <c r="AK5956" t="n">
        <v>21</v>
      </c>
      <c r="AL5956" t="inlineStr">
        <is>
          <t>Miss Glam Damar</t>
        </is>
      </c>
      <c r="AM5956" t="n">
        <v>2</v>
      </c>
      <c r="AN5956" t="n">
        <v>500000</v>
      </c>
      <c r="AO5956" t="n">
        <v>0</v>
      </c>
      <c r="AP5956" t="inlineStr"/>
      <c r="AQ5956" t="inlineStr"/>
    </row>
    <row r="5957">
      <c r="A5957" t="inlineStr">
        <is>
          <t>VIVA</t>
        </is>
      </c>
      <c r="B5957" s="2">
        <f>"8992796168007"</f>
        <v/>
      </c>
      <c r="C5957" t="inlineStr">
        <is>
          <t>VIVA Moist Cream 22gr</t>
        </is>
      </c>
      <c r="D5957" t="inlineStr">
        <is>
          <t>Miss Glam Damar</t>
        </is>
      </c>
      <c r="E5957" t="n">
        <v>8</v>
      </c>
      <c r="F5957" t="n">
        <v>0.5369</v>
      </c>
      <c r="G5957" t="n">
        <v>2.73</v>
      </c>
      <c r="H5957" t="n">
        <v>2</v>
      </c>
      <c r="I5957" t="n">
        <v>7</v>
      </c>
      <c r="J5957" t="n">
        <v>3</v>
      </c>
      <c r="K5957" t="n">
        <v>0</v>
      </c>
      <c r="L5957" t="n">
        <v>8454</v>
      </c>
      <c r="M5957" t="n">
        <v>10500</v>
      </c>
      <c r="N5957" t="n">
        <v>91</v>
      </c>
      <c r="O5957" t="n">
        <v>0.91</v>
      </c>
      <c r="P5957" t="n">
        <v>1</v>
      </c>
      <c r="Q5957" t="n">
        <v>0.49</v>
      </c>
      <c r="R5957" t="n">
        <v>3</v>
      </c>
      <c r="S5957" t="n">
        <v>5637.450000000001</v>
      </c>
      <c r="T5957" t="n">
        <v>19</v>
      </c>
      <c r="U5957" t="n">
        <v>21</v>
      </c>
      <c r="V5957" t="n">
        <v>30</v>
      </c>
      <c r="W5957" t="n">
        <v>17</v>
      </c>
      <c r="X5957" t="n">
        <v>14.90035388340473</v>
      </c>
      <c r="Y5957" t="n">
        <v>1</v>
      </c>
      <c r="Z5957" t="n">
        <v>9</v>
      </c>
      <c r="AA5957" t="n">
        <v>0</v>
      </c>
      <c r="AB5957" t="n">
        <v>9</v>
      </c>
      <c r="AC5957" t="n">
        <v>9</v>
      </c>
      <c r="AD5957" t="n">
        <v>0</v>
      </c>
      <c r="AE5957" t="n">
        <v>76086</v>
      </c>
      <c r="AF5957" t="n">
        <v>11426</v>
      </c>
      <c r="AG5957" t="n">
        <v>163</v>
      </c>
      <c r="AH5957" t="inlineStr">
        <is>
          <t>PT. PANTI KOSMETIKA BARU - PPN (PDG)</t>
        </is>
      </c>
      <c r="AI5957" t="n">
        <v>163</v>
      </c>
      <c r="AJ5957" t="inlineStr">
        <is>
          <t>VIVA</t>
        </is>
      </c>
      <c r="AK5957" t="n">
        <v>21</v>
      </c>
      <c r="AL5957" t="inlineStr">
        <is>
          <t>Miss Glam Damar</t>
        </is>
      </c>
      <c r="AM5957" t="n">
        <v>2</v>
      </c>
      <c r="AN5957" t="n">
        <v>500000</v>
      </c>
      <c r="AO5957" t="n">
        <v>0</v>
      </c>
      <c r="AP5957" t="inlineStr"/>
      <c r="AQ5957" t="inlineStr"/>
    </row>
    <row r="5958">
      <c r="A5958" t="inlineStr">
        <is>
          <t>VIVA</t>
        </is>
      </c>
      <c r="B5958" s="2">
        <f>"8992796168502"</f>
        <v/>
      </c>
      <c r="C5958" t="inlineStr">
        <is>
          <t>VIVA Peeling Cream 22gr</t>
        </is>
      </c>
      <c r="D5958" t="inlineStr">
        <is>
          <t>Miss Glam Damar</t>
        </is>
      </c>
      <c r="E5958" t="n">
        <v>5</v>
      </c>
      <c r="F5958" t="n">
        <v>0.3276</v>
      </c>
      <c r="G5958" t="n">
        <v>3.64</v>
      </c>
      <c r="H5958" t="n">
        <v>2</v>
      </c>
      <c r="I5958" t="n">
        <v>7</v>
      </c>
      <c r="J5958" t="n">
        <v>3</v>
      </c>
      <c r="K5958" t="n">
        <v>0</v>
      </c>
      <c r="L5958" t="n">
        <v>6082</v>
      </c>
      <c r="M5958" t="n">
        <v>7500</v>
      </c>
      <c r="N5958" t="n">
        <v>91</v>
      </c>
      <c r="O5958" t="n">
        <v>0.91</v>
      </c>
      <c r="P5958" t="n">
        <v>1</v>
      </c>
      <c r="Q5958" t="n">
        <v>0.51</v>
      </c>
      <c r="R5958" t="n">
        <v>3</v>
      </c>
      <c r="S5958" t="n">
        <v>2457</v>
      </c>
      <c r="T5958" t="n">
        <v>25</v>
      </c>
      <c r="U5958" t="n">
        <v>26</v>
      </c>
      <c r="V5958" t="n">
        <v>30</v>
      </c>
      <c r="W5958" t="n">
        <v>10</v>
      </c>
      <c r="X5958" t="n">
        <v>15.26251526251526</v>
      </c>
      <c r="Y5958" t="n">
        <v>1</v>
      </c>
      <c r="Z5958" t="n">
        <v>5</v>
      </c>
      <c r="AA5958" t="n">
        <v>0</v>
      </c>
      <c r="AB5958" t="n">
        <v>5</v>
      </c>
      <c r="AC5958" t="n">
        <v>5</v>
      </c>
      <c r="AD5958" t="n">
        <v>0</v>
      </c>
      <c r="AE5958" t="n">
        <v>30410</v>
      </c>
      <c r="AF5958" t="n">
        <v>11426</v>
      </c>
      <c r="AG5958" t="n">
        <v>163</v>
      </c>
      <c r="AH5958" t="inlineStr">
        <is>
          <t>PT. PANTI KOSMETIKA BARU - PPN (PDG)</t>
        </is>
      </c>
      <c r="AI5958" t="n">
        <v>163</v>
      </c>
      <c r="AJ5958" t="inlineStr">
        <is>
          <t>VIVA</t>
        </is>
      </c>
      <c r="AK5958" t="n">
        <v>21</v>
      </c>
      <c r="AL5958" t="inlineStr">
        <is>
          <t>Miss Glam Damar</t>
        </is>
      </c>
      <c r="AM5958" t="n">
        <v>2</v>
      </c>
      <c r="AN5958" t="n">
        <v>500000</v>
      </c>
      <c r="AO5958" t="n">
        <v>0</v>
      </c>
      <c r="AP5958" t="inlineStr"/>
      <c r="AQ5958" t="inlineStr"/>
    </row>
    <row r="5959">
      <c r="A5959" t="inlineStr">
        <is>
          <t>VIVA</t>
        </is>
      </c>
      <c r="B5959" s="2">
        <f>"8992796168526"</f>
        <v/>
      </c>
      <c r="C5959" t="inlineStr">
        <is>
          <t>VIVA Peeling Serum 20ml</t>
        </is>
      </c>
      <c r="D5959" t="inlineStr">
        <is>
          <t>Miss Glam Damar</t>
        </is>
      </c>
      <c r="E5959" t="n">
        <v>16</v>
      </c>
      <c r="F5959" t="n">
        <v>0.5096000000000001</v>
      </c>
      <c r="G5959" t="n">
        <v>3.64</v>
      </c>
      <c r="H5959" t="n">
        <v>2</v>
      </c>
      <c r="I5959" t="n">
        <v>7</v>
      </c>
      <c r="J5959" t="n">
        <v>3</v>
      </c>
      <c r="K5959" t="n">
        <v>0</v>
      </c>
      <c r="L5959" t="n">
        <v>15829</v>
      </c>
      <c r="M5959" t="n">
        <v>22000</v>
      </c>
      <c r="N5959" t="n">
        <v>91</v>
      </c>
      <c r="O5959" t="n">
        <v>0.91</v>
      </c>
      <c r="P5959" t="n">
        <v>1</v>
      </c>
      <c r="Q5959" t="n">
        <v>0.5600000000000001</v>
      </c>
      <c r="R5959" t="n">
        <v>3</v>
      </c>
      <c r="S5959" t="n">
        <v>11211.2</v>
      </c>
      <c r="T5959" t="n">
        <v>25</v>
      </c>
      <c r="U5959" t="n">
        <v>27</v>
      </c>
      <c r="V5959" t="n">
        <v>30</v>
      </c>
      <c r="W5959" t="n">
        <v>16</v>
      </c>
      <c r="X5959" t="n">
        <v>31.39717425431711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11426</v>
      </c>
      <c r="AG5959" t="n">
        <v>163</v>
      </c>
      <c r="AH5959" t="inlineStr">
        <is>
          <t>PT. PANTI KOSMETIKA BARU - PPN (PDG)</t>
        </is>
      </c>
      <c r="AI5959" t="n">
        <v>163</v>
      </c>
      <c r="AJ5959" t="inlineStr">
        <is>
          <t>VIVA</t>
        </is>
      </c>
      <c r="AK5959" t="n">
        <v>21</v>
      </c>
      <c r="AL5959" t="inlineStr">
        <is>
          <t>Miss Glam Damar</t>
        </is>
      </c>
      <c r="AM5959" t="n">
        <v>2</v>
      </c>
      <c r="AN5959" t="n">
        <v>500000</v>
      </c>
      <c r="AO5959" t="n">
        <v>0</v>
      </c>
      <c r="AP5959" t="inlineStr"/>
      <c r="AQ5959" t="inlineStr"/>
    </row>
    <row r="5960">
      <c r="A5960" t="inlineStr">
        <is>
          <t>VIVA</t>
        </is>
      </c>
      <c r="B5960" s="2">
        <f>"8992796011815"</f>
        <v/>
      </c>
      <c r="C5960" t="inlineStr">
        <is>
          <t>VIVA Pelembab Bengkoang 30ml</t>
        </is>
      </c>
      <c r="D5960" t="inlineStr">
        <is>
          <t>Miss Glam Damar</t>
        </is>
      </c>
      <c r="E5960" t="n">
        <v>42</v>
      </c>
      <c r="F5960" t="n">
        <v>1.4924</v>
      </c>
      <c r="G5960" t="n">
        <v>5.46</v>
      </c>
      <c r="H5960" t="n">
        <v>2</v>
      </c>
      <c r="I5960" t="n">
        <v>7</v>
      </c>
      <c r="J5960" t="n">
        <v>3</v>
      </c>
      <c r="K5960" t="n">
        <v>0</v>
      </c>
      <c r="L5960" t="n">
        <v>6749</v>
      </c>
      <c r="M5960" t="n">
        <v>9000</v>
      </c>
      <c r="N5960" t="n">
        <v>91</v>
      </c>
      <c r="O5960" t="n">
        <v>0.91</v>
      </c>
      <c r="P5960" t="n">
        <v>1</v>
      </c>
      <c r="Q5960" t="n">
        <v>1.41</v>
      </c>
      <c r="R5960" t="n">
        <v>6</v>
      </c>
      <c r="S5960" t="n">
        <v>13431.6</v>
      </c>
      <c r="T5960" t="n">
        <v>36</v>
      </c>
      <c r="U5960" t="n">
        <v>39</v>
      </c>
      <c r="V5960" t="n">
        <v>30</v>
      </c>
      <c r="W5960" t="n">
        <v>45</v>
      </c>
      <c r="X5960" t="n">
        <v>28.14258911819887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11426</v>
      </c>
      <c r="AG5960" t="n">
        <v>163</v>
      </c>
      <c r="AH5960" t="inlineStr">
        <is>
          <t>PT. PANTI KOSMETIKA BARU - PPN (PDG)</t>
        </is>
      </c>
      <c r="AI5960" t="n">
        <v>163</v>
      </c>
      <c r="AJ5960" t="inlineStr">
        <is>
          <t>VIVA</t>
        </is>
      </c>
      <c r="AK5960" t="n">
        <v>21</v>
      </c>
      <c r="AL5960" t="inlineStr">
        <is>
          <t>Miss Glam Damar</t>
        </is>
      </c>
      <c r="AM5960" t="n">
        <v>2</v>
      </c>
      <c r="AN5960" t="n">
        <v>500000</v>
      </c>
      <c r="AO5960" t="n">
        <v>0</v>
      </c>
      <c r="AP5960" t="inlineStr"/>
      <c r="AQ5960" t="inlineStr"/>
    </row>
    <row r="5961">
      <c r="A5961" t="inlineStr">
        <is>
          <t>VIVA</t>
        </is>
      </c>
      <c r="B5961" s="2">
        <f>"8992796011808"</f>
        <v/>
      </c>
      <c r="C5961" t="inlineStr">
        <is>
          <t>VIVA Pelembab Under Make Up 30ml</t>
        </is>
      </c>
      <c r="D5961" t="inlineStr">
        <is>
          <t>Miss Glam Damar</t>
        </is>
      </c>
      <c r="E5961" t="n">
        <v>14</v>
      </c>
      <c r="F5961" t="n">
        <v>0.3822</v>
      </c>
      <c r="G5961" t="n">
        <v>3.64</v>
      </c>
      <c r="H5961" t="n">
        <v>2</v>
      </c>
      <c r="I5961" t="n">
        <v>7</v>
      </c>
      <c r="J5961" t="n">
        <v>3</v>
      </c>
      <c r="K5961" t="n">
        <v>0</v>
      </c>
      <c r="L5961" t="n">
        <v>6283</v>
      </c>
      <c r="M5961" t="n">
        <v>8000</v>
      </c>
      <c r="N5961" t="n">
        <v>91</v>
      </c>
      <c r="O5961" t="n">
        <v>0.91</v>
      </c>
      <c r="P5961" t="n">
        <v>1</v>
      </c>
      <c r="Q5961" t="n">
        <v>0.58</v>
      </c>
      <c r="R5961" t="n">
        <v>6</v>
      </c>
      <c r="S5961" t="n">
        <v>3057.6</v>
      </c>
      <c r="T5961" t="n">
        <v>25</v>
      </c>
      <c r="U5961" t="n">
        <v>26</v>
      </c>
      <c r="V5961" t="n">
        <v>30</v>
      </c>
      <c r="W5961" t="n">
        <v>12</v>
      </c>
      <c r="X5961" t="n">
        <v>36.63003663003663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11426</v>
      </c>
      <c r="AG5961" t="n">
        <v>163</v>
      </c>
      <c r="AH5961" t="inlineStr">
        <is>
          <t>PT. PANTI KOSMETIKA BARU - PPN (PDG)</t>
        </is>
      </c>
      <c r="AI5961" t="n">
        <v>163</v>
      </c>
      <c r="AJ5961" t="inlineStr">
        <is>
          <t>VIVA</t>
        </is>
      </c>
      <c r="AK5961" t="n">
        <v>21</v>
      </c>
      <c r="AL5961" t="inlineStr">
        <is>
          <t>Miss Glam Damar</t>
        </is>
      </c>
      <c r="AM5961" t="n">
        <v>2</v>
      </c>
      <c r="AN5961" t="n">
        <v>500000</v>
      </c>
      <c r="AO5961" t="n">
        <v>0</v>
      </c>
      <c r="AP5961" t="inlineStr"/>
      <c r="AQ5961" t="inlineStr"/>
    </row>
    <row r="5962">
      <c r="A5962" t="inlineStr">
        <is>
          <t>VIVA</t>
        </is>
      </c>
      <c r="B5962" s="2">
        <f>"8992796011839"</f>
        <v/>
      </c>
      <c r="C5962" t="inlineStr">
        <is>
          <t>VIVA Pelembab With UV Filter &amp; Green Tea Extract 30ml</t>
        </is>
      </c>
      <c r="D5962" t="inlineStr">
        <is>
          <t>Miss Glam Damar</t>
        </is>
      </c>
      <c r="E5962" t="n">
        <v>6</v>
      </c>
      <c r="F5962" t="n">
        <v>0.3822</v>
      </c>
      <c r="G5962" t="n">
        <v>2.73</v>
      </c>
      <c r="H5962" t="n">
        <v>2</v>
      </c>
      <c r="I5962" t="n">
        <v>7</v>
      </c>
      <c r="J5962" t="n">
        <v>3</v>
      </c>
      <c r="K5962" t="n">
        <v>0</v>
      </c>
      <c r="L5962" t="n">
        <v>6433</v>
      </c>
      <c r="M5962" t="n">
        <v>9000</v>
      </c>
      <c r="N5962" t="n">
        <v>91</v>
      </c>
      <c r="O5962" t="n">
        <v>0.91</v>
      </c>
      <c r="P5962" t="n">
        <v>1</v>
      </c>
      <c r="Q5962" t="n">
        <v>0.63</v>
      </c>
      <c r="R5962" t="n">
        <v>5</v>
      </c>
      <c r="S5962" t="n">
        <v>3439.8</v>
      </c>
      <c r="T5962" t="n">
        <v>19</v>
      </c>
      <c r="U5962" t="n">
        <v>20</v>
      </c>
      <c r="V5962" t="n">
        <v>30</v>
      </c>
      <c r="W5962" t="n">
        <v>12</v>
      </c>
      <c r="X5962" t="n">
        <v>15.69858712715856</v>
      </c>
      <c r="Y5962" t="n">
        <v>1</v>
      </c>
      <c r="Z5962" t="n">
        <v>6</v>
      </c>
      <c r="AA5962" t="n">
        <v>0</v>
      </c>
      <c r="AB5962" t="n">
        <v>6</v>
      </c>
      <c r="AC5962" t="n">
        <v>6</v>
      </c>
      <c r="AD5962" t="n">
        <v>0</v>
      </c>
      <c r="AE5962" t="n">
        <v>38598</v>
      </c>
      <c r="AF5962" t="n">
        <v>11426</v>
      </c>
      <c r="AG5962" t="n">
        <v>163</v>
      </c>
      <c r="AH5962" t="inlineStr">
        <is>
          <t>PT. PANTI KOSMETIKA BARU - PPN (PDG)</t>
        </is>
      </c>
      <c r="AI5962" t="n">
        <v>163</v>
      </c>
      <c r="AJ5962" t="inlineStr">
        <is>
          <t>VIVA</t>
        </is>
      </c>
      <c r="AK5962" t="n">
        <v>21</v>
      </c>
      <c r="AL5962" t="inlineStr">
        <is>
          <t>Miss Glam Damar</t>
        </is>
      </c>
      <c r="AM5962" t="n">
        <v>2</v>
      </c>
      <c r="AN5962" t="n">
        <v>500000</v>
      </c>
      <c r="AO5962" t="n">
        <v>0</v>
      </c>
      <c r="AP5962" t="inlineStr"/>
      <c r="AQ5962" t="inlineStr"/>
    </row>
    <row r="5963">
      <c r="A5963" t="inlineStr">
        <is>
          <t>VIVA</t>
        </is>
      </c>
      <c r="B5963" s="2">
        <f>"8992796111904"</f>
        <v/>
      </c>
      <c r="C5963" t="inlineStr">
        <is>
          <t>VIVA Pro-Age Advance Moisturizer 30gr</t>
        </is>
      </c>
      <c r="D5963" t="inlineStr">
        <is>
          <t>Miss Glam Damar</t>
        </is>
      </c>
      <c r="E5963" t="n">
        <v>7</v>
      </c>
      <c r="F5963" t="n">
        <v>0.09100000000000001</v>
      </c>
      <c r="G5963" t="n">
        <v>0.91</v>
      </c>
      <c r="H5963" t="n">
        <v>2</v>
      </c>
      <c r="I5963" t="n">
        <v>7</v>
      </c>
      <c r="J5963" t="n">
        <v>3</v>
      </c>
      <c r="K5963" t="n">
        <v>0</v>
      </c>
      <c r="L5963" t="n">
        <v>44056</v>
      </c>
      <c r="M5963" t="n">
        <v>58000</v>
      </c>
      <c r="N5963" t="n">
        <v>91</v>
      </c>
      <c r="O5963" t="n">
        <v>0.91</v>
      </c>
      <c r="P5963" t="n">
        <v>1</v>
      </c>
      <c r="Q5963" t="n">
        <v>0.12</v>
      </c>
      <c r="R5963" t="n">
        <v>1</v>
      </c>
      <c r="S5963" t="n">
        <v>5278.000000000001</v>
      </c>
      <c r="T5963" t="n">
        <v>7</v>
      </c>
      <c r="U5963" t="n">
        <v>8</v>
      </c>
      <c r="V5963" t="n">
        <v>30</v>
      </c>
      <c r="W5963" t="n">
        <v>3</v>
      </c>
      <c r="X5963" t="n">
        <v>76.92307692307692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11426</v>
      </c>
      <c r="AG5963" t="n">
        <v>163</v>
      </c>
      <c r="AH5963" t="inlineStr">
        <is>
          <t>PT. PANTI KOSMETIKA BARU - PPN (PDG)</t>
        </is>
      </c>
      <c r="AI5963" t="n">
        <v>163</v>
      </c>
      <c r="AJ5963" t="inlineStr">
        <is>
          <t>VIVA</t>
        </is>
      </c>
      <c r="AK5963" t="n">
        <v>21</v>
      </c>
      <c r="AL5963" t="inlineStr">
        <is>
          <t>Miss Glam Damar</t>
        </is>
      </c>
      <c r="AM5963" t="n">
        <v>2</v>
      </c>
      <c r="AN5963" t="n">
        <v>500000</v>
      </c>
      <c r="AO5963" t="n">
        <v>0</v>
      </c>
      <c r="AP5963" t="inlineStr"/>
      <c r="AQ5963" t="inlineStr"/>
    </row>
    <row r="5964">
      <c r="A5964" t="inlineStr">
        <is>
          <t>VIVA</t>
        </is>
      </c>
      <c r="B5964" s="2">
        <f>"8992796168120"</f>
        <v/>
      </c>
      <c r="C5964" t="inlineStr">
        <is>
          <t>VIVA Pro-Age Night Cream 25gr</t>
        </is>
      </c>
      <c r="D5964" t="inlineStr">
        <is>
          <t>Miss Glam Damar</t>
        </is>
      </c>
      <c r="E5964" t="n">
        <v>0</v>
      </c>
      <c r="F5964" t="n">
        <v>0.1092</v>
      </c>
      <c r="G5964" t="n">
        <v>0.91</v>
      </c>
      <c r="H5964" t="n">
        <v>2</v>
      </c>
      <c r="I5964" t="n">
        <v>7</v>
      </c>
      <c r="J5964" t="n">
        <v>3</v>
      </c>
      <c r="K5964" t="n">
        <v>0</v>
      </c>
      <c r="L5964" t="n">
        <v>48449</v>
      </c>
      <c r="M5964" t="n">
        <v>64000</v>
      </c>
      <c r="N5964" t="n">
        <v>91</v>
      </c>
      <c r="O5964" t="n">
        <v>0.91</v>
      </c>
      <c r="P5964" t="n">
        <v>1</v>
      </c>
      <c r="Q5964" t="n">
        <v>0.1</v>
      </c>
      <c r="R5964" t="n">
        <v>2</v>
      </c>
      <c r="S5964" t="n">
        <v>6988.8</v>
      </c>
      <c r="T5964" t="n">
        <v>7</v>
      </c>
      <c r="U5964" t="n">
        <v>8</v>
      </c>
      <c r="V5964" t="n">
        <v>30</v>
      </c>
      <c r="W5964" t="n">
        <v>4</v>
      </c>
      <c r="X5964" t="n">
        <v>0</v>
      </c>
      <c r="Y5964" t="n">
        <v>1</v>
      </c>
      <c r="Z5964" t="n">
        <v>4</v>
      </c>
      <c r="AA5964" t="n">
        <v>1</v>
      </c>
      <c r="AB5964" t="n">
        <v>3</v>
      </c>
      <c r="AC5964" t="n">
        <v>3</v>
      </c>
      <c r="AD5964" t="n">
        <v>48449</v>
      </c>
      <c r="AE5964" t="n">
        <v>145347</v>
      </c>
      <c r="AF5964" t="n">
        <v>11426</v>
      </c>
      <c r="AG5964" t="n">
        <v>163</v>
      </c>
      <c r="AH5964" t="inlineStr">
        <is>
          <t>PT. PANTI KOSMETIKA BARU - PPN (PDG)</t>
        </is>
      </c>
      <c r="AI5964" t="n">
        <v>163</v>
      </c>
      <c r="AJ5964" t="inlineStr">
        <is>
          <t>VIVA</t>
        </is>
      </c>
      <c r="AK5964" t="n">
        <v>21</v>
      </c>
      <c r="AL5964" t="inlineStr">
        <is>
          <t>Miss Glam Damar</t>
        </is>
      </c>
      <c r="AM5964" t="n">
        <v>2</v>
      </c>
      <c r="AN5964" t="n">
        <v>500000</v>
      </c>
      <c r="AO5964" t="n">
        <v>0</v>
      </c>
      <c r="AP5964" t="inlineStr"/>
      <c r="AQ5964" t="inlineStr"/>
    </row>
    <row r="5965">
      <c r="A5965" t="inlineStr">
        <is>
          <t>VIVA</t>
        </is>
      </c>
      <c r="B5965" s="2">
        <f>"10100722518"</f>
        <v/>
      </c>
      <c r="C5965" t="inlineStr">
        <is>
          <t>VIVA Queen Advanced Cleanse Micellar Sensitive Care 100ml</t>
        </is>
      </c>
      <c r="D5965" t="inlineStr">
        <is>
          <t>Miss Glam Damar</t>
        </is>
      </c>
      <c r="E5965" t="n">
        <v>3</v>
      </c>
      <c r="F5965" t="n">
        <v>0.1092</v>
      </c>
      <c r="G5965" t="n">
        <v>1.82</v>
      </c>
      <c r="H5965" t="n">
        <v>2</v>
      </c>
      <c r="I5965" t="n">
        <v>7</v>
      </c>
      <c r="J5965" t="n">
        <v>1</v>
      </c>
      <c r="K5965" t="n">
        <v>0</v>
      </c>
      <c r="L5965" t="n">
        <v>16559</v>
      </c>
      <c r="M5965" t="n">
        <v>20000</v>
      </c>
      <c r="N5965" t="n">
        <v>91</v>
      </c>
      <c r="O5965" t="n">
        <v>0.91</v>
      </c>
      <c r="P5965" t="n">
        <v>1</v>
      </c>
      <c r="Q5965" t="n">
        <v>0.14</v>
      </c>
      <c r="R5965" t="n">
        <v>1</v>
      </c>
      <c r="S5965" t="n">
        <v>2184</v>
      </c>
      <c r="T5965" t="n">
        <v>13</v>
      </c>
      <c r="U5965" t="n">
        <v>14</v>
      </c>
      <c r="V5965" t="n">
        <v>30</v>
      </c>
      <c r="W5965" t="n">
        <v>4</v>
      </c>
      <c r="X5965" t="n">
        <v>27.47252747252747</v>
      </c>
      <c r="Y5965" t="n">
        <v>1</v>
      </c>
      <c r="Z5965" t="n">
        <v>1</v>
      </c>
      <c r="AA5965" t="n">
        <v>0</v>
      </c>
      <c r="AB5965" t="n">
        <v>1</v>
      </c>
      <c r="AC5965" t="n">
        <v>1</v>
      </c>
      <c r="AD5965" t="n">
        <v>0</v>
      </c>
      <c r="AE5965" t="n">
        <v>16559</v>
      </c>
      <c r="AF5965" t="n">
        <v>11426</v>
      </c>
      <c r="AG5965" t="n">
        <v>163</v>
      </c>
      <c r="AH5965" t="inlineStr">
        <is>
          <t>PT. PANTI KOSMETIKA BARU - PPN (PDG)</t>
        </is>
      </c>
      <c r="AI5965" t="n">
        <v>163</v>
      </c>
      <c r="AJ5965" t="inlineStr">
        <is>
          <t>VIVA</t>
        </is>
      </c>
      <c r="AK5965" t="n">
        <v>21</v>
      </c>
      <c r="AL5965" t="inlineStr">
        <is>
          <t>Miss Glam Damar</t>
        </is>
      </c>
      <c r="AM5965" t="n">
        <v>2</v>
      </c>
      <c r="AN5965" t="n">
        <v>500000</v>
      </c>
      <c r="AO5965" t="n">
        <v>0</v>
      </c>
      <c r="AP5965" t="inlineStr"/>
      <c r="AQ5965" t="inlineStr"/>
    </row>
    <row r="5966">
      <c r="A5966" t="inlineStr">
        <is>
          <t>VIVA</t>
        </is>
      </c>
      <c r="B5966" s="2">
        <f>"10100722438"</f>
        <v/>
      </c>
      <c r="C5966" t="inlineStr">
        <is>
          <t>VIVA Queen Micellar Rose Water Collagen 100ml</t>
        </is>
      </c>
      <c r="D5966" t="inlineStr">
        <is>
          <t>Miss Glam Damar</t>
        </is>
      </c>
      <c r="E5966" t="n">
        <v>4</v>
      </c>
      <c r="F5966" t="n">
        <v>0.29</v>
      </c>
      <c r="G5966" t="n">
        <v>3</v>
      </c>
      <c r="H5966" t="n">
        <v>2</v>
      </c>
      <c r="I5966" t="n">
        <v>7</v>
      </c>
      <c r="J5966" t="n">
        <v>1</v>
      </c>
      <c r="K5966" t="n">
        <v>0</v>
      </c>
      <c r="L5966" t="n">
        <v>16699</v>
      </c>
      <c r="M5966" t="n">
        <v>20000</v>
      </c>
      <c r="N5966" t="n">
        <v>91</v>
      </c>
      <c r="O5966" t="n">
        <v>0.91</v>
      </c>
      <c r="P5966" t="n">
        <v>0</v>
      </c>
      <c r="Q5966" t="n">
        <v>0.29</v>
      </c>
      <c r="R5966" t="n">
        <v>3</v>
      </c>
      <c r="S5966" t="n">
        <v>5800</v>
      </c>
      <c r="T5966" t="n">
        <v>21</v>
      </c>
      <c r="U5966" t="n">
        <v>22</v>
      </c>
      <c r="V5966" t="n">
        <v>30</v>
      </c>
      <c r="W5966" t="n">
        <v>9</v>
      </c>
      <c r="X5966" t="n">
        <v>13.79310344827586</v>
      </c>
      <c r="Y5966" t="n">
        <v>1</v>
      </c>
      <c r="Z5966" t="n">
        <v>5</v>
      </c>
      <c r="AA5966" t="n">
        <v>0</v>
      </c>
      <c r="AB5966" t="n">
        <v>5</v>
      </c>
      <c r="AC5966" t="n">
        <v>5</v>
      </c>
      <c r="AD5966" t="n">
        <v>0</v>
      </c>
      <c r="AE5966" t="n">
        <v>83495</v>
      </c>
      <c r="AF5966" t="n">
        <v>11426</v>
      </c>
      <c r="AG5966" t="n">
        <v>163</v>
      </c>
      <c r="AH5966" t="inlineStr">
        <is>
          <t>PT. PANTI KOSMETIKA BARU - PPN (PDG)</t>
        </is>
      </c>
      <c r="AI5966" t="n">
        <v>163</v>
      </c>
      <c r="AJ5966" t="inlineStr">
        <is>
          <t>VIVA</t>
        </is>
      </c>
      <c r="AK5966" t="n">
        <v>21</v>
      </c>
      <c r="AL5966" t="inlineStr">
        <is>
          <t>Miss Glam Damar</t>
        </is>
      </c>
      <c r="AM5966" t="n">
        <v>2</v>
      </c>
      <c r="AN5966" t="n">
        <v>500000</v>
      </c>
      <c r="AO5966" t="n">
        <v>0</v>
      </c>
      <c r="AP5966" t="inlineStr"/>
      <c r="AQ5966" t="inlineStr"/>
    </row>
    <row r="5967">
      <c r="A5967" t="inlineStr">
        <is>
          <t>VIVA</t>
        </is>
      </c>
      <c r="B5967" s="2">
        <f>"10100722214"</f>
        <v/>
      </c>
      <c r="C5967" t="inlineStr">
        <is>
          <t>VIVA Queen Micellar Water Acne Care 100ml</t>
        </is>
      </c>
      <c r="D5967" t="inlineStr">
        <is>
          <t>Miss Glam Damar</t>
        </is>
      </c>
      <c r="E5967" t="n">
        <v>9</v>
      </c>
      <c r="F5967" t="n">
        <v>0.2457</v>
      </c>
      <c r="G5967" t="n">
        <v>1.82</v>
      </c>
      <c r="H5967" t="n">
        <v>2</v>
      </c>
      <c r="I5967" t="n">
        <v>7</v>
      </c>
      <c r="J5967" t="n">
        <v>1</v>
      </c>
      <c r="K5967" t="n">
        <v>0</v>
      </c>
      <c r="L5967" t="n">
        <v>16546</v>
      </c>
      <c r="M5967" t="n">
        <v>20000</v>
      </c>
      <c r="N5967" t="n">
        <v>91</v>
      </c>
      <c r="O5967" t="n">
        <v>0.91</v>
      </c>
      <c r="P5967" t="n">
        <v>1</v>
      </c>
      <c r="Q5967" t="n">
        <v>0.2</v>
      </c>
      <c r="R5967" t="n">
        <v>2</v>
      </c>
      <c r="S5967" t="n">
        <v>4914.000000000001</v>
      </c>
      <c r="T5967" t="n">
        <v>13</v>
      </c>
      <c r="U5967" t="n">
        <v>14</v>
      </c>
      <c r="V5967" t="n">
        <v>30</v>
      </c>
      <c r="W5967" t="n">
        <v>8</v>
      </c>
      <c r="X5967" t="n">
        <v>36.63003663003663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11426</v>
      </c>
      <c r="AG5967" t="n">
        <v>163</v>
      </c>
      <c r="AH5967" t="inlineStr">
        <is>
          <t>PT. PANTI KOSMETIKA BARU - PPN (PDG)</t>
        </is>
      </c>
      <c r="AI5967" t="n">
        <v>163</v>
      </c>
      <c r="AJ5967" t="inlineStr">
        <is>
          <t>VIVA</t>
        </is>
      </c>
      <c r="AK5967" t="n">
        <v>21</v>
      </c>
      <c r="AL5967" t="inlineStr">
        <is>
          <t>Miss Glam Damar</t>
        </is>
      </c>
      <c r="AM5967" t="n">
        <v>2</v>
      </c>
      <c r="AN5967" t="n">
        <v>500000</v>
      </c>
      <c r="AO5967" t="n">
        <v>0</v>
      </c>
      <c r="AP5967" t="inlineStr"/>
      <c r="AQ5967" t="inlineStr"/>
    </row>
    <row r="5968">
      <c r="A5968" t="inlineStr">
        <is>
          <t>VIVA</t>
        </is>
      </c>
      <c r="B5968" s="2">
        <f>"10100722353"</f>
        <v/>
      </c>
      <c r="C5968" t="inlineStr">
        <is>
          <t>VIVA Queen Micellar Water Bright &amp; Glow 100ml</t>
        </is>
      </c>
      <c r="D5968" t="inlineStr">
        <is>
          <t>Miss Glam Damar</t>
        </is>
      </c>
      <c r="E5968" t="n">
        <v>1</v>
      </c>
      <c r="F5968" t="n">
        <v>0.1547</v>
      </c>
      <c r="G5968" t="n">
        <v>1.82</v>
      </c>
      <c r="H5968" t="n">
        <v>2</v>
      </c>
      <c r="I5968" t="n">
        <v>7</v>
      </c>
      <c r="J5968" t="n">
        <v>1</v>
      </c>
      <c r="K5968" t="n">
        <v>0</v>
      </c>
      <c r="L5968" t="n">
        <v>16894</v>
      </c>
      <c r="M5968" t="n">
        <v>20000</v>
      </c>
      <c r="N5968" t="n">
        <v>91</v>
      </c>
      <c r="O5968" t="n">
        <v>0.91</v>
      </c>
      <c r="P5968" t="n">
        <v>1</v>
      </c>
      <c r="Q5968" t="n">
        <v>0.07000000000000001</v>
      </c>
      <c r="R5968" t="n">
        <v>1</v>
      </c>
      <c r="S5968" t="n">
        <v>3094</v>
      </c>
      <c r="T5968" t="n">
        <v>13</v>
      </c>
      <c r="U5968" t="n">
        <v>14</v>
      </c>
      <c r="V5968" t="n">
        <v>30</v>
      </c>
      <c r="W5968" t="n">
        <v>5</v>
      </c>
      <c r="X5968" t="n">
        <v>6.464124111182935</v>
      </c>
      <c r="Y5968" t="n">
        <v>1</v>
      </c>
      <c r="Z5968" t="n">
        <v>4</v>
      </c>
      <c r="AA5968" t="n">
        <v>1</v>
      </c>
      <c r="AB5968" t="n">
        <v>3</v>
      </c>
      <c r="AC5968" t="n">
        <v>3</v>
      </c>
      <c r="AD5968" t="n">
        <v>16894</v>
      </c>
      <c r="AE5968" t="n">
        <v>50682</v>
      </c>
      <c r="AF5968" t="n">
        <v>11426</v>
      </c>
      <c r="AG5968" t="n">
        <v>163</v>
      </c>
      <c r="AH5968" t="inlineStr">
        <is>
          <t>PT. PANTI KOSMETIKA BARU - PPN (PDG)</t>
        </is>
      </c>
      <c r="AI5968" t="n">
        <v>163</v>
      </c>
      <c r="AJ5968" t="inlineStr">
        <is>
          <t>VIVA</t>
        </is>
      </c>
      <c r="AK5968" t="n">
        <v>21</v>
      </c>
      <c r="AL5968" t="inlineStr">
        <is>
          <t>Miss Glam Damar</t>
        </is>
      </c>
      <c r="AM5968" t="n">
        <v>2</v>
      </c>
      <c r="AN5968" t="n">
        <v>500000</v>
      </c>
      <c r="AO5968" t="n">
        <v>0</v>
      </c>
      <c r="AP5968" t="inlineStr"/>
      <c r="AQ5968" t="inlineStr"/>
    </row>
    <row r="5969">
      <c r="A5969" t="inlineStr">
        <is>
          <t>VIVA</t>
        </is>
      </c>
      <c r="B5969" s="2">
        <f>"8992796111706"</f>
        <v/>
      </c>
      <c r="C5969" t="inlineStr">
        <is>
          <t>VIVA Queen Perfect Cleanse Make Up Remover  65ml</t>
        </is>
      </c>
      <c r="D5969" t="inlineStr">
        <is>
          <t>Miss Glam Damar</t>
        </is>
      </c>
      <c r="E5969" t="n">
        <v>3</v>
      </c>
      <c r="F5969" t="n">
        <v>0.2821</v>
      </c>
      <c r="G5969" t="n">
        <v>1.82</v>
      </c>
      <c r="H5969" t="n">
        <v>2</v>
      </c>
      <c r="I5969" t="n">
        <v>7</v>
      </c>
      <c r="J5969" t="n">
        <v>12</v>
      </c>
      <c r="K5969" t="n">
        <v>0</v>
      </c>
      <c r="L5969" t="n">
        <v>17528</v>
      </c>
      <c r="M5969" t="n">
        <v>21300</v>
      </c>
      <c r="N5969" t="n">
        <v>91</v>
      </c>
      <c r="O5969" t="n">
        <v>0.91</v>
      </c>
      <c r="P5969" t="n">
        <v>1</v>
      </c>
      <c r="Q5969" t="n">
        <v>0.37</v>
      </c>
      <c r="R5969" t="n">
        <v>5</v>
      </c>
      <c r="S5969" t="n">
        <v>6008.73</v>
      </c>
      <c r="T5969" t="n">
        <v>13</v>
      </c>
      <c r="U5969" t="n">
        <v>14</v>
      </c>
      <c r="V5969" t="n">
        <v>30</v>
      </c>
      <c r="W5969" t="n">
        <v>9</v>
      </c>
      <c r="X5969" t="n">
        <v>10.63452676355902</v>
      </c>
      <c r="Y5969" t="n">
        <v>1</v>
      </c>
      <c r="Z5969" t="n">
        <v>6</v>
      </c>
      <c r="AA5969" t="n">
        <v>0</v>
      </c>
      <c r="AB5969" t="n">
        <v>6</v>
      </c>
      <c r="AC5969" t="n">
        <v>12</v>
      </c>
      <c r="AD5969" t="n">
        <v>0</v>
      </c>
      <c r="AE5969" t="n">
        <v>210336</v>
      </c>
      <c r="AF5969" t="n">
        <v>11426</v>
      </c>
      <c r="AG5969" t="n">
        <v>163</v>
      </c>
      <c r="AH5969" t="inlineStr">
        <is>
          <t>PT. PANTI KOSMETIKA BARU - PPN (PDG)</t>
        </is>
      </c>
      <c r="AI5969" t="n">
        <v>163</v>
      </c>
      <c r="AJ5969" t="inlineStr">
        <is>
          <t>VIVA</t>
        </is>
      </c>
      <c r="AK5969" t="n">
        <v>21</v>
      </c>
      <c r="AL5969" t="inlineStr">
        <is>
          <t>Miss Glam Damar</t>
        </is>
      </c>
      <c r="AM5969" t="n">
        <v>2</v>
      </c>
      <c r="AN5969" t="n">
        <v>500000</v>
      </c>
      <c r="AO5969" t="n">
        <v>0</v>
      </c>
      <c r="AP5969" t="inlineStr"/>
      <c r="AQ5969" t="inlineStr"/>
    </row>
    <row r="5970">
      <c r="A5970" t="inlineStr">
        <is>
          <t>VIVA</t>
        </is>
      </c>
      <c r="B5970" s="2">
        <f>"8992796079044"</f>
        <v/>
      </c>
      <c r="C5970" t="inlineStr">
        <is>
          <t>VIVA Shampo Lidah Buaya Aloe Vera Extract &amp;Ginseng 400ml</t>
        </is>
      </c>
      <c r="D5970" t="inlineStr">
        <is>
          <t>Miss Glam Damar</t>
        </is>
      </c>
      <c r="E5970" t="n">
        <v>29</v>
      </c>
      <c r="F5970" t="n">
        <v>0.6279</v>
      </c>
      <c r="G5970" t="n">
        <v>2.73</v>
      </c>
      <c r="H5970" t="n">
        <v>2</v>
      </c>
      <c r="I5970" t="n">
        <v>7</v>
      </c>
      <c r="J5970" t="n">
        <v>3</v>
      </c>
      <c r="K5970" t="n">
        <v>0</v>
      </c>
      <c r="L5970" t="n">
        <v>14010</v>
      </c>
      <c r="M5970" t="n">
        <v>17500</v>
      </c>
      <c r="N5970" t="n">
        <v>91</v>
      </c>
      <c r="O5970" t="n">
        <v>0.91</v>
      </c>
      <c r="P5970" t="n">
        <v>1</v>
      </c>
      <c r="Q5970" t="n">
        <v>0.64</v>
      </c>
      <c r="R5970" t="n">
        <v>5</v>
      </c>
      <c r="S5970" t="n">
        <v>10988.25</v>
      </c>
      <c r="T5970" t="n">
        <v>18</v>
      </c>
      <c r="U5970" t="n">
        <v>20</v>
      </c>
      <c r="V5970" t="n">
        <v>30</v>
      </c>
      <c r="W5970" t="n">
        <v>19</v>
      </c>
      <c r="X5970" t="n">
        <v>46.1856983596114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11426</v>
      </c>
      <c r="AG5970" t="n">
        <v>163</v>
      </c>
      <c r="AH5970" t="inlineStr">
        <is>
          <t>PT. PANTI KOSMETIKA BARU - PPN (PDG)</t>
        </is>
      </c>
      <c r="AI5970" t="n">
        <v>163</v>
      </c>
      <c r="AJ5970" t="inlineStr">
        <is>
          <t>VIVA</t>
        </is>
      </c>
      <c r="AK5970" t="n">
        <v>21</v>
      </c>
      <c r="AL5970" t="inlineStr">
        <is>
          <t>Miss Glam Damar</t>
        </is>
      </c>
      <c r="AM5970" t="n">
        <v>2</v>
      </c>
      <c r="AN5970" t="n">
        <v>500000</v>
      </c>
      <c r="AO5970" t="n">
        <v>0</v>
      </c>
      <c r="AP5970" t="inlineStr"/>
      <c r="AQ5970" t="inlineStr"/>
    </row>
    <row r="5971">
      <c r="A5971" t="inlineStr">
        <is>
          <t>VIVA</t>
        </is>
      </c>
      <c r="B5971" s="2">
        <f>"8992796079037"</f>
        <v/>
      </c>
      <c r="C5971" t="inlineStr">
        <is>
          <t>VIVA Shampo Lidah Buaya Extract Aloe Vera 400ml</t>
        </is>
      </c>
      <c r="D5971" t="inlineStr">
        <is>
          <t>Miss Glam Damar</t>
        </is>
      </c>
      <c r="E5971" t="n">
        <v>12</v>
      </c>
      <c r="F5971" t="n">
        <v>0.17</v>
      </c>
      <c r="G5971" t="n">
        <v>2</v>
      </c>
      <c r="H5971" t="n">
        <v>2</v>
      </c>
      <c r="I5971" t="n">
        <v>7</v>
      </c>
      <c r="J5971" t="n">
        <v>3</v>
      </c>
      <c r="K5971" t="n">
        <v>0</v>
      </c>
      <c r="L5971" t="n">
        <v>14039</v>
      </c>
      <c r="M5971" t="n">
        <v>17000</v>
      </c>
      <c r="N5971" t="n">
        <v>91</v>
      </c>
      <c r="O5971" t="n">
        <v>0.91</v>
      </c>
      <c r="P5971" t="n">
        <v>0</v>
      </c>
      <c r="Q5971" t="n">
        <v>0.17</v>
      </c>
      <c r="R5971" t="n">
        <v>2</v>
      </c>
      <c r="S5971" t="n">
        <v>2890</v>
      </c>
      <c r="T5971" t="n">
        <v>14</v>
      </c>
      <c r="U5971" t="n">
        <v>15</v>
      </c>
      <c r="V5971" t="n">
        <v>30</v>
      </c>
      <c r="W5971" t="n">
        <v>6</v>
      </c>
      <c r="X5971" t="n">
        <v>70.58823529411764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11426</v>
      </c>
      <c r="AG5971" t="n">
        <v>163</v>
      </c>
      <c r="AH5971" t="inlineStr">
        <is>
          <t>PT. PANTI KOSMETIKA BARU - PPN (PDG)</t>
        </is>
      </c>
      <c r="AI5971" t="n">
        <v>163</v>
      </c>
      <c r="AJ5971" t="inlineStr">
        <is>
          <t>VIVA</t>
        </is>
      </c>
      <c r="AK5971" t="n">
        <v>21</v>
      </c>
      <c r="AL5971" t="inlineStr">
        <is>
          <t>Miss Glam Damar</t>
        </is>
      </c>
      <c r="AM5971" t="n">
        <v>2</v>
      </c>
      <c r="AN5971" t="n">
        <v>500000</v>
      </c>
      <c r="AO5971" t="n">
        <v>0</v>
      </c>
      <c r="AP5971" t="inlineStr"/>
      <c r="AQ5971" t="inlineStr"/>
    </row>
    <row r="5972">
      <c r="A5972" t="inlineStr">
        <is>
          <t>VIVA</t>
        </is>
      </c>
      <c r="B5972" s="2">
        <f>"8992796068024"</f>
        <v/>
      </c>
      <c r="C5972" t="inlineStr">
        <is>
          <t>VIVA Skin Food 30gr</t>
        </is>
      </c>
      <c r="D5972" t="inlineStr">
        <is>
          <t>Miss Glam Damar</t>
        </is>
      </c>
      <c r="E5972" t="n">
        <v>17</v>
      </c>
      <c r="F5972" t="n">
        <v>0.5824</v>
      </c>
      <c r="G5972" t="n">
        <v>4.55</v>
      </c>
      <c r="H5972" t="n">
        <v>2</v>
      </c>
      <c r="I5972" t="n">
        <v>7</v>
      </c>
      <c r="J5972" t="n">
        <v>3</v>
      </c>
      <c r="K5972" t="n">
        <v>0</v>
      </c>
      <c r="L5972" t="n">
        <v>7874</v>
      </c>
      <c r="M5972" t="n">
        <v>9500</v>
      </c>
      <c r="N5972" t="n">
        <v>91</v>
      </c>
      <c r="O5972" t="n">
        <v>0.91</v>
      </c>
      <c r="P5972" t="n">
        <v>1</v>
      </c>
      <c r="Q5972" t="n">
        <v>0.98</v>
      </c>
      <c r="R5972" t="n">
        <v>4</v>
      </c>
      <c r="S5972" t="n">
        <v>5532.8</v>
      </c>
      <c r="T5972" t="n">
        <v>31</v>
      </c>
      <c r="U5972" t="n">
        <v>33</v>
      </c>
      <c r="V5972" t="n">
        <v>30</v>
      </c>
      <c r="W5972" t="n">
        <v>18</v>
      </c>
      <c r="X5972" t="n">
        <v>29.18956043956044</v>
      </c>
      <c r="Y5972" t="n">
        <v>1</v>
      </c>
      <c r="Z5972" t="n">
        <v>1</v>
      </c>
      <c r="AA5972" t="n">
        <v>0</v>
      </c>
      <c r="AB5972" t="n">
        <v>1</v>
      </c>
      <c r="AC5972" t="n">
        <v>3</v>
      </c>
      <c r="AD5972" t="n">
        <v>0</v>
      </c>
      <c r="AE5972" t="n">
        <v>23622</v>
      </c>
      <c r="AF5972" t="n">
        <v>11426</v>
      </c>
      <c r="AG5972" t="n">
        <v>163</v>
      </c>
      <c r="AH5972" t="inlineStr">
        <is>
          <t>PT. PANTI KOSMETIKA BARU - PPN (PDG)</t>
        </is>
      </c>
      <c r="AI5972" t="n">
        <v>163</v>
      </c>
      <c r="AJ5972" t="inlineStr">
        <is>
          <t>VIVA</t>
        </is>
      </c>
      <c r="AK5972" t="n">
        <v>21</v>
      </c>
      <c r="AL5972" t="inlineStr">
        <is>
          <t>Miss Glam Damar</t>
        </is>
      </c>
      <c r="AM5972" t="n">
        <v>2</v>
      </c>
      <c r="AN5972" t="n">
        <v>500000</v>
      </c>
      <c r="AO5972" t="n">
        <v>0</v>
      </c>
      <c r="AP5972" t="inlineStr"/>
      <c r="AQ5972" t="inlineStr"/>
    </row>
    <row r="5973">
      <c r="A5973" t="inlineStr">
        <is>
          <t>VIVA</t>
        </is>
      </c>
      <c r="B5973" s="2">
        <f>"8992796231107"</f>
        <v/>
      </c>
      <c r="C5973" t="inlineStr">
        <is>
          <t>VIVA Soothing Aloevera Gel 80g</t>
        </is>
      </c>
      <c r="D5973" t="inlineStr">
        <is>
          <t>Miss Glam Damar</t>
        </is>
      </c>
      <c r="E5973" t="n">
        <v>16</v>
      </c>
      <c r="F5973" t="n">
        <v>1.82</v>
      </c>
      <c r="G5973" t="n">
        <v>6.37</v>
      </c>
      <c r="H5973" t="n">
        <v>2</v>
      </c>
      <c r="I5973" t="n">
        <v>7</v>
      </c>
      <c r="J5973" t="n">
        <v>3</v>
      </c>
      <c r="K5973" t="n">
        <v>0</v>
      </c>
      <c r="L5973" t="n">
        <v>16934</v>
      </c>
      <c r="M5973" t="n">
        <v>22000</v>
      </c>
      <c r="N5973" t="n">
        <v>91</v>
      </c>
      <c r="O5973" t="n">
        <v>0.91</v>
      </c>
      <c r="P5973" t="n">
        <v>1</v>
      </c>
      <c r="Q5973" t="n">
        <v>0.58</v>
      </c>
      <c r="R5973" t="n">
        <v>3</v>
      </c>
      <c r="S5973" t="n">
        <v>40040</v>
      </c>
      <c r="T5973" t="n">
        <v>41</v>
      </c>
      <c r="U5973" t="n">
        <v>45</v>
      </c>
      <c r="V5973" t="n">
        <v>30</v>
      </c>
      <c r="W5973" t="n">
        <v>55</v>
      </c>
      <c r="X5973" t="n">
        <v>8.79120879120879</v>
      </c>
      <c r="Y5973" t="n">
        <v>1</v>
      </c>
      <c r="Z5973" t="n">
        <v>39</v>
      </c>
      <c r="AA5973" t="n">
        <v>0</v>
      </c>
      <c r="AB5973" t="n">
        <v>39</v>
      </c>
      <c r="AC5973" t="n">
        <v>39</v>
      </c>
      <c r="AD5973" t="n">
        <v>0</v>
      </c>
      <c r="AE5973" t="n">
        <v>660426</v>
      </c>
      <c r="AF5973" t="n">
        <v>11426</v>
      </c>
      <c r="AG5973" t="n">
        <v>163</v>
      </c>
      <c r="AH5973" t="inlineStr">
        <is>
          <t>PT. PANTI KOSMETIKA BARU - PPN (PDG)</t>
        </is>
      </c>
      <c r="AI5973" t="n">
        <v>163</v>
      </c>
      <c r="AJ5973" t="inlineStr">
        <is>
          <t>VIVA</t>
        </is>
      </c>
      <c r="AK5973" t="n">
        <v>21</v>
      </c>
      <c r="AL5973" t="inlineStr">
        <is>
          <t>Miss Glam Damar</t>
        </is>
      </c>
      <c r="AM5973" t="n">
        <v>2</v>
      </c>
      <c r="AN5973" t="n">
        <v>500000</v>
      </c>
      <c r="AO5973" t="n">
        <v>0</v>
      </c>
      <c r="AP5973" t="inlineStr"/>
      <c r="AQ5973" t="inlineStr"/>
    </row>
    <row r="5974">
      <c r="A5974" t="inlineStr">
        <is>
          <t>VIVA</t>
        </is>
      </c>
      <c r="B5974" s="2">
        <f>"8992796068208"</f>
        <v/>
      </c>
      <c r="C5974" t="inlineStr">
        <is>
          <t>VIVA Suncreen Foundation 22gr</t>
        </is>
      </c>
      <c r="D5974" t="inlineStr">
        <is>
          <t>Miss Glam Damar</t>
        </is>
      </c>
      <c r="E5974" t="n">
        <v>26</v>
      </c>
      <c r="F5974" t="n">
        <v>1.0465</v>
      </c>
      <c r="G5974" t="n">
        <v>3.64</v>
      </c>
      <c r="H5974" t="n">
        <v>2</v>
      </c>
      <c r="I5974" t="n">
        <v>7</v>
      </c>
      <c r="J5974" t="n">
        <v>3</v>
      </c>
      <c r="K5974" t="n">
        <v>0</v>
      </c>
      <c r="L5974" t="n">
        <v>7135</v>
      </c>
      <c r="M5974" t="n">
        <v>8500</v>
      </c>
      <c r="N5974" t="n">
        <v>91</v>
      </c>
      <c r="O5974" t="n">
        <v>0.91</v>
      </c>
      <c r="P5974" t="n">
        <v>1</v>
      </c>
      <c r="Q5974" t="n">
        <v>1.14</v>
      </c>
      <c r="R5974" t="n">
        <v>4</v>
      </c>
      <c r="S5974" t="n">
        <v>8895.25</v>
      </c>
      <c r="T5974" t="n">
        <v>24</v>
      </c>
      <c r="U5974" t="n">
        <v>27</v>
      </c>
      <c r="V5974" t="n">
        <v>30</v>
      </c>
      <c r="W5974" t="n">
        <v>32</v>
      </c>
      <c r="X5974" t="n">
        <v>24.84472049689441</v>
      </c>
      <c r="Y5974" t="n">
        <v>1</v>
      </c>
      <c r="Z5974" t="n">
        <v>6</v>
      </c>
      <c r="AA5974" t="n">
        <v>0</v>
      </c>
      <c r="AB5974" t="n">
        <v>6</v>
      </c>
      <c r="AC5974" t="n">
        <v>6</v>
      </c>
      <c r="AD5974" t="n">
        <v>0</v>
      </c>
      <c r="AE5974" t="n">
        <v>42810</v>
      </c>
      <c r="AF5974" t="n">
        <v>11426</v>
      </c>
      <c r="AG5974" t="n">
        <v>163</v>
      </c>
      <c r="AH5974" t="inlineStr">
        <is>
          <t>PT. PANTI KOSMETIKA BARU - PPN (PDG)</t>
        </is>
      </c>
      <c r="AI5974" t="n">
        <v>163</v>
      </c>
      <c r="AJ5974" t="inlineStr">
        <is>
          <t>VIVA</t>
        </is>
      </c>
      <c r="AK5974" t="n">
        <v>21</v>
      </c>
      <c r="AL5974" t="inlineStr">
        <is>
          <t>Miss Glam Damar</t>
        </is>
      </c>
      <c r="AM5974" t="n">
        <v>2</v>
      </c>
      <c r="AN5974" t="n">
        <v>500000</v>
      </c>
      <c r="AO5974" t="n">
        <v>0</v>
      </c>
      <c r="AP5974" t="inlineStr"/>
      <c r="AQ5974" t="inlineStr"/>
    </row>
    <row r="5975">
      <c r="A5975" t="inlineStr">
        <is>
          <t>VIVA</t>
        </is>
      </c>
      <c r="B5975" s="2">
        <f>"11200148845"</f>
        <v/>
      </c>
      <c r="C5975" t="inlineStr">
        <is>
          <t>VIVA Vitamin C Collagen Serum With Triple Brightening Power 20ml</t>
        </is>
      </c>
      <c r="D5975" t="inlineStr">
        <is>
          <t>Miss Glam Damar</t>
        </is>
      </c>
      <c r="E5975" t="n">
        <v>21</v>
      </c>
      <c r="F5975" t="n">
        <v>0.5277999999999999</v>
      </c>
      <c r="G5975" t="n">
        <v>1.82</v>
      </c>
      <c r="H5975" t="n">
        <v>2</v>
      </c>
      <c r="I5975" t="n">
        <v>7</v>
      </c>
      <c r="J5975" t="n">
        <v>1</v>
      </c>
      <c r="K5975" t="n">
        <v>0</v>
      </c>
      <c r="L5975" t="n">
        <v>17947</v>
      </c>
      <c r="M5975" t="n">
        <v>22500</v>
      </c>
      <c r="N5975" t="n">
        <v>91</v>
      </c>
      <c r="O5975" t="n">
        <v>0.91</v>
      </c>
      <c r="P5975" t="n">
        <v>1</v>
      </c>
      <c r="Q5975" t="n">
        <v>0.71</v>
      </c>
      <c r="R5975" t="n">
        <v>5</v>
      </c>
      <c r="S5975" t="n">
        <v>11875.5</v>
      </c>
      <c r="T5975" t="n">
        <v>12</v>
      </c>
      <c r="U5975" t="n">
        <v>14</v>
      </c>
      <c r="V5975" t="n">
        <v>30</v>
      </c>
      <c r="W5975" t="n">
        <v>16</v>
      </c>
      <c r="X5975" t="n">
        <v>39.78779840848807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11426</v>
      </c>
      <c r="AG5975" t="n">
        <v>163</v>
      </c>
      <c r="AH5975" t="inlineStr">
        <is>
          <t>PT. PANTI KOSMETIKA BARU - PPN (PDG)</t>
        </is>
      </c>
      <c r="AI5975" t="n">
        <v>163</v>
      </c>
      <c r="AJ5975" t="inlineStr">
        <is>
          <t>VIVA</t>
        </is>
      </c>
      <c r="AK5975" t="n">
        <v>21</v>
      </c>
      <c r="AL5975" t="inlineStr">
        <is>
          <t>Miss Glam Damar</t>
        </is>
      </c>
      <c r="AM5975" t="n">
        <v>2</v>
      </c>
      <c r="AN5975" t="n">
        <v>500000</v>
      </c>
      <c r="AO5975" t="n">
        <v>0</v>
      </c>
      <c r="AP5975" t="inlineStr"/>
      <c r="AQ5975" t="inlineStr"/>
    </row>
    <row r="5976">
      <c r="A5976" t="inlineStr">
        <is>
          <t>VIVA</t>
        </is>
      </c>
      <c r="B5976" s="2">
        <f>"8992796211307"</f>
        <v/>
      </c>
      <c r="C5976" t="inlineStr">
        <is>
          <t>VIVA Waterdrop Sleeping Mask</t>
        </is>
      </c>
      <c r="D5976" t="inlineStr">
        <is>
          <t>Miss Glam Damar</t>
        </is>
      </c>
      <c r="E5976" t="n">
        <v>13</v>
      </c>
      <c r="F5976" t="n">
        <v>1.6653</v>
      </c>
      <c r="G5976" t="n">
        <v>4.55</v>
      </c>
      <c r="H5976" t="n">
        <v>2</v>
      </c>
      <c r="I5976" t="n">
        <v>7</v>
      </c>
      <c r="J5976" t="n">
        <v>3</v>
      </c>
      <c r="K5976" t="n">
        <v>0</v>
      </c>
      <c r="L5976" t="n">
        <v>23616</v>
      </c>
      <c r="M5976" t="n">
        <v>31000</v>
      </c>
      <c r="N5976" t="n">
        <v>91</v>
      </c>
      <c r="O5976" t="n">
        <v>0.91</v>
      </c>
      <c r="P5976" t="n">
        <v>1</v>
      </c>
      <c r="Q5976" t="n">
        <v>0.58</v>
      </c>
      <c r="R5976" t="n">
        <v>3</v>
      </c>
      <c r="S5976" t="n">
        <v>51624.30000000001</v>
      </c>
      <c r="T5976" t="n">
        <v>29</v>
      </c>
      <c r="U5976" t="n">
        <v>33</v>
      </c>
      <c r="V5976" t="n">
        <v>30</v>
      </c>
      <c r="W5976" t="n">
        <v>50</v>
      </c>
      <c r="X5976" t="n">
        <v>7.806401249024199</v>
      </c>
      <c r="Y5976" t="n">
        <v>1</v>
      </c>
      <c r="Z5976" t="n">
        <v>37</v>
      </c>
      <c r="AA5976" t="n">
        <v>0</v>
      </c>
      <c r="AB5976" t="n">
        <v>37</v>
      </c>
      <c r="AC5976" t="n">
        <v>37</v>
      </c>
      <c r="AD5976" t="n">
        <v>0</v>
      </c>
      <c r="AE5976" t="n">
        <v>873792</v>
      </c>
      <c r="AF5976" t="n">
        <v>11426</v>
      </c>
      <c r="AG5976" t="n">
        <v>163</v>
      </c>
      <c r="AH5976" t="inlineStr">
        <is>
          <t>PT. PANTI KOSMETIKA BARU - PPN (PDG)</t>
        </is>
      </c>
      <c r="AI5976" t="n">
        <v>163</v>
      </c>
      <c r="AJ5976" t="inlineStr">
        <is>
          <t>VIVA</t>
        </is>
      </c>
      <c r="AK5976" t="n">
        <v>21</v>
      </c>
      <c r="AL5976" t="inlineStr">
        <is>
          <t>Miss Glam Damar</t>
        </is>
      </c>
      <c r="AM5976" t="n">
        <v>2</v>
      </c>
      <c r="AN5976" t="n">
        <v>500000</v>
      </c>
      <c r="AO5976" t="n">
        <v>0</v>
      </c>
      <c r="AP5976" t="inlineStr"/>
      <c r="AQ5976" t="inlineStr"/>
    </row>
    <row r="5977">
      <c r="A5977" t="inlineStr">
        <is>
          <t>VIVA</t>
        </is>
      </c>
      <c r="B5977" s="2">
        <f>"8992796250030"</f>
        <v/>
      </c>
      <c r="C5977" t="inlineStr">
        <is>
          <t>VIVA White Chic On Lip Choco Dreamer 4.2G</t>
        </is>
      </c>
      <c r="D5977" t="inlineStr">
        <is>
          <t>Miss Glam Damar</t>
        </is>
      </c>
      <c r="E5977" t="n">
        <v>4</v>
      </c>
      <c r="F5977" t="n">
        <v>0.3367</v>
      </c>
      <c r="G5977" t="n">
        <v>2.73</v>
      </c>
      <c r="H5977" t="n">
        <v>2</v>
      </c>
      <c r="I5977" t="n">
        <v>7</v>
      </c>
      <c r="J5977" t="n">
        <v>3</v>
      </c>
      <c r="K5977" t="n">
        <v>0</v>
      </c>
      <c r="L5977" t="n">
        <v>11521</v>
      </c>
      <c r="M5977" t="n">
        <v>15000</v>
      </c>
      <c r="N5977" t="n">
        <v>91</v>
      </c>
      <c r="O5977" t="n">
        <v>0.91</v>
      </c>
      <c r="P5977" t="n">
        <v>1</v>
      </c>
      <c r="Q5977" t="n">
        <v>0.08</v>
      </c>
      <c r="R5977" t="n">
        <v>1</v>
      </c>
      <c r="S5977" t="n">
        <v>5050.5</v>
      </c>
      <c r="T5977" t="n">
        <v>19</v>
      </c>
      <c r="U5977" t="n">
        <v>20</v>
      </c>
      <c r="V5977" t="n">
        <v>30</v>
      </c>
      <c r="W5977" t="n">
        <v>11</v>
      </c>
      <c r="X5977" t="n">
        <v>11.88001188001188</v>
      </c>
      <c r="Y5977" t="n">
        <v>1</v>
      </c>
      <c r="Z5977" t="n">
        <v>7</v>
      </c>
      <c r="AA5977" t="n">
        <v>0</v>
      </c>
      <c r="AB5977" t="n">
        <v>7</v>
      </c>
      <c r="AC5977" t="n">
        <v>7</v>
      </c>
      <c r="AD5977" t="n">
        <v>0</v>
      </c>
      <c r="AE5977" t="n">
        <v>80647</v>
      </c>
      <c r="AF5977" t="n">
        <v>11426</v>
      </c>
      <c r="AG5977" t="n">
        <v>163</v>
      </c>
      <c r="AH5977" t="inlineStr">
        <is>
          <t>PT. PANTI KOSMETIKA BARU - PPN (PDG)</t>
        </is>
      </c>
      <c r="AI5977" t="n">
        <v>163</v>
      </c>
      <c r="AJ5977" t="inlineStr">
        <is>
          <t>VIVA</t>
        </is>
      </c>
      <c r="AK5977" t="n">
        <v>21</v>
      </c>
      <c r="AL5977" t="inlineStr">
        <is>
          <t>Miss Glam Damar</t>
        </is>
      </c>
      <c r="AM5977" t="n">
        <v>2</v>
      </c>
      <c r="AN5977" t="n">
        <v>500000</v>
      </c>
      <c r="AO5977" t="n">
        <v>0</v>
      </c>
      <c r="AP5977" t="inlineStr"/>
      <c r="AQ5977" t="inlineStr"/>
    </row>
    <row r="5978">
      <c r="A5978" t="inlineStr">
        <is>
          <t>VIVA</t>
        </is>
      </c>
      <c r="B5978" s="2">
        <f>"8992796250047"</f>
        <v/>
      </c>
      <c r="C5978" t="inlineStr">
        <is>
          <t>VIVA White Chic On Lips Lip Balm Aloe Secret 4.2gr</t>
        </is>
      </c>
      <c r="D5978" t="inlineStr">
        <is>
          <t>Miss Glam Damar</t>
        </is>
      </c>
      <c r="E5978" t="n">
        <v>7</v>
      </c>
      <c r="F5978" t="n">
        <v>0.2184</v>
      </c>
      <c r="G5978" t="n">
        <v>4.55</v>
      </c>
      <c r="H5978" t="n">
        <v>2</v>
      </c>
      <c r="I5978" t="n">
        <v>7</v>
      </c>
      <c r="J5978" t="n">
        <v>3</v>
      </c>
      <c r="K5978" t="n">
        <v>0</v>
      </c>
      <c r="L5978" t="n">
        <v>11432</v>
      </c>
      <c r="M5978" t="n">
        <v>15000</v>
      </c>
      <c r="N5978" t="n">
        <v>91</v>
      </c>
      <c r="O5978" t="n">
        <v>0.91</v>
      </c>
      <c r="P5978" t="n">
        <v>1</v>
      </c>
      <c r="Q5978" t="n">
        <v>0.19</v>
      </c>
      <c r="R5978" t="n">
        <v>1</v>
      </c>
      <c r="S5978" t="n">
        <v>3276</v>
      </c>
      <c r="T5978" t="n">
        <v>32</v>
      </c>
      <c r="U5978" t="n">
        <v>33</v>
      </c>
      <c r="V5978" t="n">
        <v>30</v>
      </c>
      <c r="W5978" t="n">
        <v>7</v>
      </c>
      <c r="X5978" t="n">
        <v>32.05128205128205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11426</v>
      </c>
      <c r="AG5978" t="n">
        <v>163</v>
      </c>
      <c r="AH5978" t="inlineStr">
        <is>
          <t>PT. PANTI KOSMETIKA BARU - PPN (PDG)</t>
        </is>
      </c>
      <c r="AI5978" t="n">
        <v>163</v>
      </c>
      <c r="AJ5978" t="inlineStr">
        <is>
          <t>VIVA</t>
        </is>
      </c>
      <c r="AK5978" t="n">
        <v>21</v>
      </c>
      <c r="AL5978" t="inlineStr">
        <is>
          <t>Miss Glam Damar</t>
        </is>
      </c>
      <c r="AM5978" t="n">
        <v>2</v>
      </c>
      <c r="AN5978" t="n">
        <v>500000</v>
      </c>
      <c r="AO5978" t="n">
        <v>0</v>
      </c>
      <c r="AP5978" t="inlineStr"/>
      <c r="AQ5978" t="inlineStr"/>
    </row>
    <row r="5979">
      <c r="A5979" t="inlineStr">
        <is>
          <t>VIVA</t>
        </is>
      </c>
      <c r="B5979" s="2">
        <f>"8992796250016"</f>
        <v/>
      </c>
      <c r="C5979" t="inlineStr">
        <is>
          <t>VIVA White Chic On Lips Strawberry Inside 4.2 gr</t>
        </is>
      </c>
      <c r="D5979" t="inlineStr">
        <is>
          <t>Miss Glam Damar</t>
        </is>
      </c>
      <c r="E5979" t="n">
        <v>21</v>
      </c>
      <c r="F5979" t="n">
        <v>2.1749</v>
      </c>
      <c r="G5979" t="n">
        <v>8.19</v>
      </c>
      <c r="H5979" t="n">
        <v>2</v>
      </c>
      <c r="I5979" t="n">
        <v>7</v>
      </c>
      <c r="J5979" t="n">
        <v>3</v>
      </c>
      <c r="K5979" t="n">
        <v>0</v>
      </c>
      <c r="L5979" t="n">
        <v>11341</v>
      </c>
      <c r="M5979" t="n">
        <v>15000</v>
      </c>
      <c r="N5979" t="n">
        <v>91</v>
      </c>
      <c r="O5979" t="n">
        <v>0.91</v>
      </c>
      <c r="P5979" t="n">
        <v>1</v>
      </c>
      <c r="Q5979" t="n">
        <v>1.08</v>
      </c>
      <c r="R5979" t="n">
        <v>5</v>
      </c>
      <c r="S5979" t="n">
        <v>32623.5</v>
      </c>
      <c r="T5979" t="n">
        <v>53</v>
      </c>
      <c r="U5979" t="n">
        <v>58</v>
      </c>
      <c r="V5979" t="n">
        <v>30</v>
      </c>
      <c r="W5979" t="n">
        <v>66</v>
      </c>
      <c r="X5979" t="n">
        <v>9.65561635017702</v>
      </c>
      <c r="Y5979" t="n">
        <v>1</v>
      </c>
      <c r="Z5979" t="n">
        <v>45</v>
      </c>
      <c r="AA5979" t="n">
        <v>0</v>
      </c>
      <c r="AB5979" t="n">
        <v>45</v>
      </c>
      <c r="AC5979" t="n">
        <v>45</v>
      </c>
      <c r="AD5979" t="n">
        <v>0</v>
      </c>
      <c r="AE5979" t="n">
        <v>510345</v>
      </c>
      <c r="AF5979" t="n">
        <v>11426</v>
      </c>
      <c r="AG5979" t="n">
        <v>163</v>
      </c>
      <c r="AH5979" t="inlineStr">
        <is>
          <t>PT. PANTI KOSMETIKA BARU - PPN (PDG)</t>
        </is>
      </c>
      <c r="AI5979" t="n">
        <v>163</v>
      </c>
      <c r="AJ5979" t="inlineStr">
        <is>
          <t>VIVA</t>
        </is>
      </c>
      <c r="AK5979" t="n">
        <v>21</v>
      </c>
      <c r="AL5979" t="inlineStr">
        <is>
          <t>Miss Glam Damar</t>
        </is>
      </c>
      <c r="AM5979" t="n">
        <v>2</v>
      </c>
      <c r="AN5979" t="n">
        <v>500000</v>
      </c>
      <c r="AO5979" t="n">
        <v>0</v>
      </c>
      <c r="AP5979" t="inlineStr"/>
      <c r="AQ5979" t="inlineStr"/>
    </row>
    <row r="5980">
      <c r="A5980" t="inlineStr">
        <is>
          <t>VIVA</t>
        </is>
      </c>
      <c r="B5980" s="2">
        <f>"8992796250023"</f>
        <v/>
      </c>
      <c r="C5980" t="inlineStr">
        <is>
          <t>VIVA White Moisture Balm Chic On Lips Orange Blast 4.2gr</t>
        </is>
      </c>
      <c r="D5980" t="inlineStr">
        <is>
          <t>Miss Glam Damar</t>
        </is>
      </c>
      <c r="E5980" t="n">
        <v>6</v>
      </c>
      <c r="F5980" t="n">
        <v>0.4004</v>
      </c>
      <c r="G5980" t="n">
        <v>3.64</v>
      </c>
      <c r="H5980" t="n">
        <v>2</v>
      </c>
      <c r="I5980" t="n">
        <v>7</v>
      </c>
      <c r="J5980" t="n">
        <v>3</v>
      </c>
      <c r="K5980" t="n">
        <v>0</v>
      </c>
      <c r="L5980" t="n">
        <v>11284</v>
      </c>
      <c r="M5980" t="n">
        <v>15000</v>
      </c>
      <c r="N5980" t="n">
        <v>91</v>
      </c>
      <c r="O5980" t="n">
        <v>0.91</v>
      </c>
      <c r="P5980" t="n">
        <v>1</v>
      </c>
      <c r="Q5980" t="n">
        <v>0.02</v>
      </c>
      <c r="R5980" t="n">
        <v>1</v>
      </c>
      <c r="S5980" t="n">
        <v>6006.000000000001</v>
      </c>
      <c r="T5980" t="n">
        <v>25</v>
      </c>
      <c r="U5980" t="n">
        <v>26</v>
      </c>
      <c r="V5980" t="n">
        <v>30</v>
      </c>
      <c r="W5980" t="n">
        <v>13</v>
      </c>
      <c r="X5980" t="n">
        <v>14.98501498501498</v>
      </c>
      <c r="Y5980" t="n">
        <v>1</v>
      </c>
      <c r="Z5980" t="n">
        <v>7</v>
      </c>
      <c r="AA5980" t="n">
        <v>0</v>
      </c>
      <c r="AB5980" t="n">
        <v>7</v>
      </c>
      <c r="AC5980" t="n">
        <v>7</v>
      </c>
      <c r="AD5980" t="n">
        <v>0</v>
      </c>
      <c r="AE5980" t="n">
        <v>78988</v>
      </c>
      <c r="AF5980" t="n">
        <v>11426</v>
      </c>
      <c r="AG5980" t="n">
        <v>163</v>
      </c>
      <c r="AH5980" t="inlineStr">
        <is>
          <t>PT. PANTI KOSMETIKA BARU - PPN (PDG)</t>
        </is>
      </c>
      <c r="AI5980" t="n">
        <v>163</v>
      </c>
      <c r="AJ5980" t="inlineStr">
        <is>
          <t>VIVA</t>
        </is>
      </c>
      <c r="AK5980" t="n">
        <v>21</v>
      </c>
      <c r="AL5980" t="inlineStr">
        <is>
          <t>Miss Glam Damar</t>
        </is>
      </c>
      <c r="AM5980" t="n">
        <v>2</v>
      </c>
      <c r="AN5980" t="n">
        <v>500000</v>
      </c>
      <c r="AO5980" t="n">
        <v>0</v>
      </c>
      <c r="AP5980" t="inlineStr"/>
      <c r="AQ5980" t="inlineStr"/>
    </row>
    <row r="5981">
      <c r="A5981" t="inlineStr">
        <is>
          <t>VIVA</t>
        </is>
      </c>
      <c r="B5981" s="2">
        <f>"8992796068413"</f>
        <v/>
      </c>
      <c r="C5981" t="inlineStr">
        <is>
          <t>VIVA Whitening Cream 15G</t>
        </is>
      </c>
      <c r="D5981" t="inlineStr">
        <is>
          <t>Miss Glam Damar</t>
        </is>
      </c>
      <c r="E5981" t="n">
        <v>142</v>
      </c>
      <c r="F5981" t="n">
        <v>5.0869</v>
      </c>
      <c r="G5981" t="n">
        <v>10.01</v>
      </c>
      <c r="H5981" t="n">
        <v>2</v>
      </c>
      <c r="I5981" t="n">
        <v>7</v>
      </c>
      <c r="J5981" t="n">
        <v>3</v>
      </c>
      <c r="K5981" t="n">
        <v>0</v>
      </c>
      <c r="L5981" t="n">
        <v>8663</v>
      </c>
      <c r="M5981" t="n">
        <v>11000</v>
      </c>
      <c r="N5981" t="n">
        <v>91</v>
      </c>
      <c r="O5981" t="n">
        <v>0.91</v>
      </c>
      <c r="P5981" t="n">
        <v>1</v>
      </c>
      <c r="Q5981" t="n">
        <v>4.88</v>
      </c>
      <c r="R5981" t="n">
        <v>19</v>
      </c>
      <c r="S5981" t="n">
        <v>55955.9</v>
      </c>
      <c r="T5981" t="n">
        <v>60</v>
      </c>
      <c r="U5981" t="n">
        <v>71</v>
      </c>
      <c r="V5981" t="n">
        <v>30</v>
      </c>
      <c r="W5981" t="n">
        <v>153</v>
      </c>
      <c r="X5981" t="n">
        <v>27.91484007941969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11426</v>
      </c>
      <c r="AG5981" t="n">
        <v>163</v>
      </c>
      <c r="AH5981" t="inlineStr">
        <is>
          <t>PT. PANTI KOSMETIKA BARU - PPN (PDG)</t>
        </is>
      </c>
      <c r="AI5981" t="n">
        <v>163</v>
      </c>
      <c r="AJ5981" t="inlineStr">
        <is>
          <t>VIVA</t>
        </is>
      </c>
      <c r="AK5981" t="n">
        <v>21</v>
      </c>
      <c r="AL5981" t="inlineStr">
        <is>
          <t>Miss Glam Damar</t>
        </is>
      </c>
      <c r="AM5981" t="n">
        <v>2</v>
      </c>
      <c r="AN5981" t="n">
        <v>500000</v>
      </c>
      <c r="AO5981" t="n">
        <v>0</v>
      </c>
      <c r="AP5981" t="inlineStr"/>
      <c r="AQ5981" t="inlineStr"/>
    </row>
    <row r="5982">
      <c r="A5982" t="inlineStr">
        <is>
          <t>VIVELLE</t>
        </is>
      </c>
      <c r="B5982" s="2">
        <f>"8993044751125"</f>
        <v/>
      </c>
      <c r="C5982" t="inlineStr">
        <is>
          <t>VIVELLE Extra Perfume Anti Perspirant Deodorant Green 50ml</t>
        </is>
      </c>
      <c r="D5982" t="inlineStr">
        <is>
          <t>Miss Glam Damar</t>
        </is>
      </c>
      <c r="E5982" t="n">
        <v>13</v>
      </c>
      <c r="F5982" t="n">
        <v>0.1092</v>
      </c>
      <c r="G5982" t="n">
        <v>1.82</v>
      </c>
      <c r="H5982" t="n">
        <v>7</v>
      </c>
      <c r="I5982" t="n">
        <v>19</v>
      </c>
      <c r="J5982" t="n">
        <v>3</v>
      </c>
      <c r="K5982" t="n">
        <v>0</v>
      </c>
      <c r="L5982" t="n">
        <v>13050</v>
      </c>
      <c r="M5982" t="n">
        <v>19000</v>
      </c>
      <c r="N5982" t="n">
        <v>91</v>
      </c>
      <c r="O5982" t="n">
        <v>0.91</v>
      </c>
      <c r="P5982" t="n">
        <v>1</v>
      </c>
      <c r="Q5982" t="n">
        <v>0.08</v>
      </c>
      <c r="R5982" t="n">
        <v>2</v>
      </c>
      <c r="S5982" t="n">
        <v>2074.8</v>
      </c>
      <c r="T5982" t="n">
        <v>34</v>
      </c>
      <c r="U5982" t="n">
        <v>35</v>
      </c>
      <c r="V5982" t="n">
        <v>30</v>
      </c>
      <c r="W5982" t="n">
        <v>4</v>
      </c>
      <c r="X5982" t="n">
        <v>119.047619047619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2575</v>
      </c>
      <c r="AG5982" t="n">
        <v>2015</v>
      </c>
      <c r="AH5982" t="inlineStr">
        <is>
          <t>PT. ANUGRAH BUDIMAN PRATAMA - PPN (PKU)</t>
        </is>
      </c>
      <c r="AI5982" t="n">
        <v>1589</v>
      </c>
      <c r="AJ5982" t="inlineStr">
        <is>
          <t>VIVELLE</t>
        </is>
      </c>
      <c r="AK5982" t="n">
        <v>21</v>
      </c>
      <c r="AL5982" t="inlineStr">
        <is>
          <t>Miss Glam Damar</t>
        </is>
      </c>
      <c r="AM5982" t="n">
        <v>3</v>
      </c>
      <c r="AN5982" t="n">
        <v>500000</v>
      </c>
      <c r="AO5982" t="n">
        <v>0</v>
      </c>
      <c r="AP5982" t="inlineStr"/>
      <c r="AQ5982" t="inlineStr"/>
    </row>
    <row r="5983">
      <c r="A5983" t="inlineStr">
        <is>
          <t>VIVELLE</t>
        </is>
      </c>
      <c r="B5983" s="2">
        <f>"8993044751262"</f>
        <v/>
      </c>
      <c r="C5983" t="inlineStr">
        <is>
          <t>VIVELLE Extra Perfume Anti Perspirant Deodorant Yellow 50ml</t>
        </is>
      </c>
      <c r="D5983" t="inlineStr">
        <is>
          <t>Miss Glam Damar</t>
        </is>
      </c>
      <c r="E5983" t="n">
        <v>6</v>
      </c>
      <c r="F5983" t="n">
        <v>0.05</v>
      </c>
      <c r="G5983" t="n">
        <v>1</v>
      </c>
      <c r="H5983" t="n">
        <v>7</v>
      </c>
      <c r="I5983" t="n">
        <v>19</v>
      </c>
      <c r="J5983" t="n">
        <v>3</v>
      </c>
      <c r="K5983" t="n">
        <v>0</v>
      </c>
      <c r="L5983" t="n">
        <v>13050</v>
      </c>
      <c r="M5983" t="n">
        <v>19000</v>
      </c>
      <c r="N5983" t="n">
        <v>91</v>
      </c>
      <c r="O5983" t="n">
        <v>0.91</v>
      </c>
      <c r="P5983" t="n">
        <v>0</v>
      </c>
      <c r="Q5983" t="n">
        <v>0.05</v>
      </c>
      <c r="R5983" t="n">
        <v>1</v>
      </c>
      <c r="S5983" t="n">
        <v>950</v>
      </c>
      <c r="T5983" t="n">
        <v>19</v>
      </c>
      <c r="U5983" t="n">
        <v>20</v>
      </c>
      <c r="V5983" t="n">
        <v>30</v>
      </c>
      <c r="W5983" t="n">
        <v>2</v>
      </c>
      <c r="X5983" t="n">
        <v>120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2575</v>
      </c>
      <c r="AG5983" t="n">
        <v>2015</v>
      </c>
      <c r="AH5983" t="inlineStr">
        <is>
          <t>PT. ANUGRAH BUDIMAN PRATAMA - PPN (PKU)</t>
        </is>
      </c>
      <c r="AI5983" t="n">
        <v>1589</v>
      </c>
      <c r="AJ5983" t="inlineStr">
        <is>
          <t>VIVELLE</t>
        </is>
      </c>
      <c r="AK5983" t="n">
        <v>21</v>
      </c>
      <c r="AL5983" t="inlineStr">
        <is>
          <t>Miss Glam Damar</t>
        </is>
      </c>
      <c r="AM5983" t="n">
        <v>3</v>
      </c>
      <c r="AN5983" t="n">
        <v>500000</v>
      </c>
      <c r="AO5983" t="n">
        <v>0</v>
      </c>
      <c r="AP5983" t="inlineStr"/>
      <c r="AQ5983" t="inlineStr"/>
    </row>
    <row r="5984">
      <c r="A5984" t="inlineStr">
        <is>
          <t>VIVELLE</t>
        </is>
      </c>
      <c r="B5984" s="2">
        <f>"8993044801103"</f>
        <v/>
      </c>
      <c r="C5984" t="inlineStr">
        <is>
          <t>VIVELLE Extra Strong Anti Perspirant Deodorant Pink 50ml</t>
        </is>
      </c>
      <c r="D5984" t="inlineStr">
        <is>
          <t>Miss Glam Damar</t>
        </is>
      </c>
      <c r="E5984" t="n">
        <v>4</v>
      </c>
      <c r="F5984" t="n">
        <v>0.0546</v>
      </c>
      <c r="G5984" t="n">
        <v>1.82</v>
      </c>
      <c r="H5984" t="n">
        <v>7</v>
      </c>
      <c r="I5984" t="n">
        <v>19</v>
      </c>
      <c r="J5984" t="n">
        <v>3</v>
      </c>
      <c r="K5984" t="n">
        <v>0</v>
      </c>
      <c r="L5984" t="n">
        <v>13050</v>
      </c>
      <c r="M5984" t="n">
        <v>19000</v>
      </c>
      <c r="N5984" t="n">
        <v>91</v>
      </c>
      <c r="O5984" t="n">
        <v>0.91</v>
      </c>
      <c r="P5984" t="n">
        <v>1</v>
      </c>
      <c r="Q5984" t="n">
        <v>0.08</v>
      </c>
      <c r="R5984" t="n">
        <v>1</v>
      </c>
      <c r="S5984" t="n">
        <v>1037.4</v>
      </c>
      <c r="T5984" t="n">
        <v>35</v>
      </c>
      <c r="U5984" t="n">
        <v>36</v>
      </c>
      <c r="V5984" t="n">
        <v>30</v>
      </c>
      <c r="W5984" t="n">
        <v>2</v>
      </c>
      <c r="X5984" t="n">
        <v>73.26007326007326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2575</v>
      </c>
      <c r="AG5984" t="n">
        <v>2015</v>
      </c>
      <c r="AH5984" t="inlineStr">
        <is>
          <t>PT. ANUGRAH BUDIMAN PRATAMA - PPN (PKU)</t>
        </is>
      </c>
      <c r="AI5984" t="n">
        <v>1589</v>
      </c>
      <c r="AJ5984" t="inlineStr">
        <is>
          <t>VIVELLE</t>
        </is>
      </c>
      <c r="AK5984" t="n">
        <v>21</v>
      </c>
      <c r="AL5984" t="inlineStr">
        <is>
          <t>Miss Glam Damar</t>
        </is>
      </c>
      <c r="AM5984" t="n">
        <v>3</v>
      </c>
      <c r="AN5984" t="n">
        <v>500000</v>
      </c>
      <c r="AO5984" t="n">
        <v>0</v>
      </c>
      <c r="AP5984" t="inlineStr"/>
      <c r="AQ5984" t="inlineStr"/>
    </row>
    <row r="5985">
      <c r="A5985" t="inlineStr">
        <is>
          <t>VIVELLE</t>
        </is>
      </c>
      <c r="B5985" s="2">
        <f>"8993044801110"</f>
        <v/>
      </c>
      <c r="C5985" t="inlineStr">
        <is>
          <t>VIVELLE Whitening Anti Perspirant Deodorant Blue 50ml</t>
        </is>
      </c>
      <c r="D5985" t="inlineStr">
        <is>
          <t>Miss Glam Damar</t>
        </is>
      </c>
      <c r="E5985" t="n">
        <v>21</v>
      </c>
      <c r="F5985" t="n">
        <v>0.1001</v>
      </c>
      <c r="G5985" t="n">
        <v>0.91</v>
      </c>
      <c r="H5985" t="n">
        <v>7</v>
      </c>
      <c r="I5985" t="n">
        <v>19</v>
      </c>
      <c r="J5985" t="n">
        <v>3</v>
      </c>
      <c r="K5985" t="n">
        <v>0</v>
      </c>
      <c r="L5985" t="n">
        <v>13050</v>
      </c>
      <c r="M5985" t="n">
        <v>16500</v>
      </c>
      <c r="N5985" t="n">
        <v>91</v>
      </c>
      <c r="O5985" t="n">
        <v>0.91</v>
      </c>
      <c r="P5985" t="n">
        <v>1</v>
      </c>
      <c r="Q5985" t="n">
        <v>0.1</v>
      </c>
      <c r="R5985" t="n">
        <v>1</v>
      </c>
      <c r="S5985" t="n">
        <v>1651.65</v>
      </c>
      <c r="T5985" t="n">
        <v>17</v>
      </c>
      <c r="U5985" t="n">
        <v>18</v>
      </c>
      <c r="V5985" t="n">
        <v>30</v>
      </c>
      <c r="W5985" t="n">
        <v>4</v>
      </c>
      <c r="X5985" t="n">
        <v>209.7902097902098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2575</v>
      </c>
      <c r="AG5985" t="n">
        <v>2015</v>
      </c>
      <c r="AH5985" t="inlineStr">
        <is>
          <t>PT. ANUGRAH BUDIMAN PRATAMA - PPN (PKU)</t>
        </is>
      </c>
      <c r="AI5985" t="n">
        <v>1589</v>
      </c>
      <c r="AJ5985" t="inlineStr">
        <is>
          <t>VIVELLE</t>
        </is>
      </c>
      <c r="AK5985" t="n">
        <v>21</v>
      </c>
      <c r="AL5985" t="inlineStr">
        <is>
          <t>Miss Glam Damar</t>
        </is>
      </c>
      <c r="AM5985" t="n">
        <v>3</v>
      </c>
      <c r="AN5985" t="n">
        <v>500000</v>
      </c>
      <c r="AO5985" t="n">
        <v>0</v>
      </c>
      <c r="AP5985" t="inlineStr"/>
      <c r="AQ5985" t="inlineStr"/>
    </row>
    <row r="5986">
      <c r="A5986" t="inlineStr">
        <is>
          <t>VIVELLE</t>
        </is>
      </c>
      <c r="B5986" s="2">
        <f>"8993044050358"</f>
        <v/>
      </c>
      <c r="C5986" t="inlineStr">
        <is>
          <t>VIVELLE With Anti Bacterial Perfumed Deodorant Body Spray Blue 150ml</t>
        </is>
      </c>
      <c r="D5986" t="inlineStr">
        <is>
          <t>Miss Glam Damar</t>
        </is>
      </c>
      <c r="E5986" t="n">
        <v>16</v>
      </c>
      <c r="F5986" t="n">
        <v>0.19</v>
      </c>
      <c r="G5986" t="n">
        <v>2</v>
      </c>
      <c r="H5986" t="n">
        <v>7</v>
      </c>
      <c r="I5986" t="n">
        <v>19</v>
      </c>
      <c r="J5986" t="n">
        <v>3</v>
      </c>
      <c r="K5986" t="n">
        <v>0</v>
      </c>
      <c r="L5986" t="n">
        <v>17415</v>
      </c>
      <c r="M5986" t="n">
        <v>24000</v>
      </c>
      <c r="N5986" t="n">
        <v>91</v>
      </c>
      <c r="O5986" t="n">
        <v>0.91</v>
      </c>
      <c r="P5986" t="n">
        <v>0</v>
      </c>
      <c r="Q5986" t="n">
        <v>0.19</v>
      </c>
      <c r="R5986" t="n">
        <v>2</v>
      </c>
      <c r="S5986" t="n">
        <v>4560</v>
      </c>
      <c r="T5986" t="n">
        <v>37</v>
      </c>
      <c r="U5986" t="n">
        <v>39</v>
      </c>
      <c r="V5986" t="n">
        <v>30</v>
      </c>
      <c r="W5986" t="n">
        <v>6</v>
      </c>
      <c r="X5986" t="n">
        <v>84.21052631578948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2575</v>
      </c>
      <c r="AG5986" t="n">
        <v>2015</v>
      </c>
      <c r="AH5986" t="inlineStr">
        <is>
          <t>PT. ANUGRAH BUDIMAN PRATAMA - PPN (PKU)</t>
        </is>
      </c>
      <c r="AI5986" t="n">
        <v>1589</v>
      </c>
      <c r="AJ5986" t="inlineStr">
        <is>
          <t>VIVELLE</t>
        </is>
      </c>
      <c r="AK5986" t="n">
        <v>21</v>
      </c>
      <c r="AL5986" t="inlineStr">
        <is>
          <t>Miss Glam Damar</t>
        </is>
      </c>
      <c r="AM5986" t="n">
        <v>3</v>
      </c>
      <c r="AN5986" t="n">
        <v>500000</v>
      </c>
      <c r="AO5986" t="n">
        <v>0</v>
      </c>
      <c r="AP5986" t="inlineStr"/>
      <c r="AQ5986" t="inlineStr"/>
    </row>
    <row r="5987">
      <c r="A5987" t="inlineStr">
        <is>
          <t>VIVELLE</t>
        </is>
      </c>
      <c r="B5987" s="2">
        <f>"8993044050198"</f>
        <v/>
      </c>
      <c r="C5987" t="inlineStr">
        <is>
          <t>VIVELLE With Anti Bacterial Perfumed Deodorant Body Spray Green 150ml</t>
        </is>
      </c>
      <c r="D5987" t="inlineStr">
        <is>
          <t>Miss Glam Damar</t>
        </is>
      </c>
      <c r="E5987" t="n">
        <v>1</v>
      </c>
      <c r="F5987" t="n">
        <v>0.19</v>
      </c>
      <c r="G5987" t="n">
        <v>1</v>
      </c>
      <c r="H5987" t="n">
        <v>7</v>
      </c>
      <c r="I5987" t="n">
        <v>19</v>
      </c>
      <c r="J5987" t="n">
        <v>3</v>
      </c>
      <c r="K5987" t="n">
        <v>0</v>
      </c>
      <c r="L5987" t="n">
        <v>17415</v>
      </c>
      <c r="M5987" t="n">
        <v>24000</v>
      </c>
      <c r="N5987" t="n">
        <v>91</v>
      </c>
      <c r="O5987" t="n">
        <v>0.91</v>
      </c>
      <c r="P5987" t="n">
        <v>0</v>
      </c>
      <c r="Q5987" t="n">
        <v>0.19</v>
      </c>
      <c r="R5987" t="n">
        <v>1</v>
      </c>
      <c r="S5987" t="n">
        <v>4560</v>
      </c>
      <c r="T5987" t="n">
        <v>18</v>
      </c>
      <c r="U5987" t="n">
        <v>20</v>
      </c>
      <c r="V5987" t="n">
        <v>30</v>
      </c>
      <c r="W5987" t="n">
        <v>6</v>
      </c>
      <c r="X5987" t="n">
        <v>5.263157894736842</v>
      </c>
      <c r="Y5987" t="n">
        <v>1</v>
      </c>
      <c r="Z5987" t="n">
        <v>5</v>
      </c>
      <c r="AA5987" t="n">
        <v>3</v>
      </c>
      <c r="AB5987" t="n">
        <v>2</v>
      </c>
      <c r="AC5987" t="n">
        <v>3</v>
      </c>
      <c r="AD5987" t="n">
        <v>52245</v>
      </c>
      <c r="AE5987" t="n">
        <v>52245</v>
      </c>
      <c r="AF5987" t="n">
        <v>2575</v>
      </c>
      <c r="AG5987" t="n">
        <v>2015</v>
      </c>
      <c r="AH5987" t="inlineStr">
        <is>
          <t>PT. ANUGRAH BUDIMAN PRATAMA - PPN (PKU)</t>
        </is>
      </c>
      <c r="AI5987" t="n">
        <v>1589</v>
      </c>
      <c r="AJ5987" t="inlineStr">
        <is>
          <t>VIVELLE</t>
        </is>
      </c>
      <c r="AK5987" t="n">
        <v>21</v>
      </c>
      <c r="AL5987" t="inlineStr">
        <is>
          <t>Miss Glam Damar</t>
        </is>
      </c>
      <c r="AM5987" t="n">
        <v>3</v>
      </c>
      <c r="AN5987" t="n">
        <v>500000</v>
      </c>
      <c r="AO5987" t="n">
        <v>0</v>
      </c>
      <c r="AP5987" t="inlineStr"/>
      <c r="AQ5987" t="inlineStr"/>
    </row>
    <row r="5988">
      <c r="A5988" t="inlineStr">
        <is>
          <t>VIVELLE</t>
        </is>
      </c>
      <c r="B5988" s="2">
        <f>"8993044050327"</f>
        <v/>
      </c>
      <c r="C5988" t="inlineStr">
        <is>
          <t>VIVELLE With Anti Bacterial Perfumed Deodorant Body Spray Pink 150ml</t>
        </is>
      </c>
      <c r="D5988" t="inlineStr">
        <is>
          <t>Miss Glam Damar</t>
        </is>
      </c>
      <c r="E5988" t="n">
        <v>8</v>
      </c>
      <c r="F5988" t="n">
        <v>0.22</v>
      </c>
      <c r="G5988" t="n">
        <v>2</v>
      </c>
      <c r="H5988" t="n">
        <v>7</v>
      </c>
      <c r="I5988" t="n">
        <v>19</v>
      </c>
      <c r="J5988" t="n">
        <v>3</v>
      </c>
      <c r="K5988" t="n">
        <v>0</v>
      </c>
      <c r="L5988" t="n">
        <v>17415</v>
      </c>
      <c r="M5988" t="n">
        <v>24000</v>
      </c>
      <c r="N5988" t="n">
        <v>91</v>
      </c>
      <c r="O5988" t="n">
        <v>0.91</v>
      </c>
      <c r="P5988" t="n">
        <v>0</v>
      </c>
      <c r="Q5988" t="n">
        <v>0.22</v>
      </c>
      <c r="R5988" t="n">
        <v>2</v>
      </c>
      <c r="S5988" t="n">
        <v>5280</v>
      </c>
      <c r="T5988" t="n">
        <v>37</v>
      </c>
      <c r="U5988" t="n">
        <v>39</v>
      </c>
      <c r="V5988" t="n">
        <v>30</v>
      </c>
      <c r="W5988" t="n">
        <v>7</v>
      </c>
      <c r="X5988" t="n">
        <v>36.36363636363637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2575</v>
      </c>
      <c r="AG5988" t="n">
        <v>2015</v>
      </c>
      <c r="AH5988" t="inlineStr">
        <is>
          <t>PT. ANUGRAH BUDIMAN PRATAMA - PPN (PKU)</t>
        </is>
      </c>
      <c r="AI5988" t="n">
        <v>1589</v>
      </c>
      <c r="AJ5988" t="inlineStr">
        <is>
          <t>VIVELLE</t>
        </is>
      </c>
      <c r="AK5988" t="n">
        <v>21</v>
      </c>
      <c r="AL5988" t="inlineStr">
        <is>
          <t>Miss Glam Damar</t>
        </is>
      </c>
      <c r="AM5988" t="n">
        <v>3</v>
      </c>
      <c r="AN5988" t="n">
        <v>500000</v>
      </c>
      <c r="AO5988" t="n">
        <v>0</v>
      </c>
      <c r="AP5988" t="inlineStr"/>
      <c r="AQ5988" t="inlineStr"/>
    </row>
    <row r="5989">
      <c r="A5989" t="inlineStr">
        <is>
          <t>VIVELLE</t>
        </is>
      </c>
      <c r="B5989" s="2">
        <f>"8993044050211"</f>
        <v/>
      </c>
      <c r="C5989" t="inlineStr">
        <is>
          <t>VIVELLE With Anti Bacterial Perfumed Deodorant Body Spray Violet 150ml</t>
        </is>
      </c>
      <c r="D5989" t="inlineStr">
        <is>
          <t>Miss Glam Damar</t>
        </is>
      </c>
      <c r="E5989" t="n">
        <v>20</v>
      </c>
      <c r="F5989" t="n">
        <v>0.17</v>
      </c>
      <c r="G5989" t="n">
        <v>2</v>
      </c>
      <c r="H5989" t="n">
        <v>7</v>
      </c>
      <c r="I5989" t="n">
        <v>19</v>
      </c>
      <c r="J5989" t="n">
        <v>3</v>
      </c>
      <c r="K5989" t="n">
        <v>0</v>
      </c>
      <c r="L5989" t="n">
        <v>17415</v>
      </c>
      <c r="M5989" t="n">
        <v>24000</v>
      </c>
      <c r="N5989" t="n">
        <v>91</v>
      </c>
      <c r="O5989" t="n">
        <v>0.91</v>
      </c>
      <c r="P5989" t="n">
        <v>0</v>
      </c>
      <c r="Q5989" t="n">
        <v>0.17</v>
      </c>
      <c r="R5989" t="n">
        <v>2</v>
      </c>
      <c r="S5989" t="n">
        <v>4080</v>
      </c>
      <c r="T5989" t="n">
        <v>37</v>
      </c>
      <c r="U5989" t="n">
        <v>39</v>
      </c>
      <c r="V5989" t="n">
        <v>30</v>
      </c>
      <c r="W5989" t="n">
        <v>6</v>
      </c>
      <c r="X5989" t="n">
        <v>117.6470588235294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2575</v>
      </c>
      <c r="AG5989" t="n">
        <v>2015</v>
      </c>
      <c r="AH5989" t="inlineStr">
        <is>
          <t>PT. ANUGRAH BUDIMAN PRATAMA - PPN (PKU)</t>
        </is>
      </c>
      <c r="AI5989" t="n">
        <v>1589</v>
      </c>
      <c r="AJ5989" t="inlineStr">
        <is>
          <t>VIVELLE</t>
        </is>
      </c>
      <c r="AK5989" t="n">
        <v>21</v>
      </c>
      <c r="AL5989" t="inlineStr">
        <is>
          <t>Miss Glam Damar</t>
        </is>
      </c>
      <c r="AM5989" t="n">
        <v>3</v>
      </c>
      <c r="AN5989" t="n">
        <v>500000</v>
      </c>
      <c r="AO5989" t="n">
        <v>0</v>
      </c>
      <c r="AP5989" t="inlineStr"/>
      <c r="AQ5989" t="inlineStr"/>
    </row>
    <row r="5990">
      <c r="A5990" t="inlineStr">
        <is>
          <t>VIVELLE</t>
        </is>
      </c>
      <c r="B5990" s="2">
        <f>"8993044751279"</f>
        <v/>
      </c>
      <c r="C5990" t="inlineStr">
        <is>
          <t>VIVELLE With Anti Bacterial Perfumed Deodorant Body Spray Yellow 150ml</t>
        </is>
      </c>
      <c r="D5990" t="inlineStr">
        <is>
          <t>Miss Glam Damar</t>
        </is>
      </c>
      <c r="E5990" t="n">
        <v>20</v>
      </c>
      <c r="F5990" t="n">
        <v>0.27</v>
      </c>
      <c r="G5990" t="n">
        <v>4</v>
      </c>
      <c r="H5990" t="n">
        <v>7</v>
      </c>
      <c r="I5990" t="n">
        <v>19</v>
      </c>
      <c r="J5990" t="n">
        <v>3</v>
      </c>
      <c r="K5990" t="n">
        <v>0</v>
      </c>
      <c r="L5990" t="n">
        <v>17415</v>
      </c>
      <c r="M5990" t="n">
        <v>24000</v>
      </c>
      <c r="N5990" t="n">
        <v>91</v>
      </c>
      <c r="O5990" t="n">
        <v>0.91</v>
      </c>
      <c r="P5990" t="n">
        <v>0</v>
      </c>
      <c r="Q5990" t="n">
        <v>0.27</v>
      </c>
      <c r="R5990" t="n">
        <v>4</v>
      </c>
      <c r="S5990" t="n">
        <v>6480</v>
      </c>
      <c r="T5990" t="n">
        <v>75</v>
      </c>
      <c r="U5990" t="n">
        <v>77</v>
      </c>
      <c r="V5990" t="n">
        <v>30</v>
      </c>
      <c r="W5990" t="n">
        <v>9</v>
      </c>
      <c r="X5990" t="n">
        <v>74.07407407407408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2575</v>
      </c>
      <c r="AG5990" t="n">
        <v>2015</v>
      </c>
      <c r="AH5990" t="inlineStr">
        <is>
          <t>PT. ANUGRAH BUDIMAN PRATAMA - PPN (PKU)</t>
        </is>
      </c>
      <c r="AI5990" t="n">
        <v>1589</v>
      </c>
      <c r="AJ5990" t="inlineStr">
        <is>
          <t>VIVELLE</t>
        </is>
      </c>
      <c r="AK5990" t="n">
        <v>21</v>
      </c>
      <c r="AL5990" t="inlineStr">
        <is>
          <t>Miss Glam Damar</t>
        </is>
      </c>
      <c r="AM5990" t="n">
        <v>3</v>
      </c>
      <c r="AN5990" t="n">
        <v>500000</v>
      </c>
      <c r="AO5990" t="n">
        <v>0</v>
      </c>
      <c r="AP5990" t="inlineStr"/>
      <c r="AQ5990" t="inlineStr"/>
    </row>
    <row r="5991">
      <c r="A5991" t="inlineStr">
        <is>
          <t>WARDAH</t>
        </is>
      </c>
      <c r="B5991" s="2">
        <f>"8993137003223"</f>
        <v/>
      </c>
      <c r="C5991" t="inlineStr">
        <is>
          <t>WARDAH 10% Vitamin C Ferulic Acid Radiant Charge Serum 20ml</t>
        </is>
      </c>
      <c r="D5991" t="inlineStr">
        <is>
          <t>Miss Glam Damar</t>
        </is>
      </c>
      <c r="E5991" t="n">
        <v>16</v>
      </c>
      <c r="F5991" t="n">
        <v>0.1729</v>
      </c>
      <c r="G5991" t="n">
        <v>1.82</v>
      </c>
      <c r="H5991" t="n">
        <v>2</v>
      </c>
      <c r="I5991" t="n">
        <v>6</v>
      </c>
      <c r="J5991" t="n">
        <v>3</v>
      </c>
      <c r="K5991" t="n">
        <v>0</v>
      </c>
      <c r="L5991" t="n">
        <v>91190</v>
      </c>
      <c r="M5991" t="n">
        <v>111500</v>
      </c>
      <c r="N5991" t="n">
        <v>91</v>
      </c>
      <c r="O5991" t="n">
        <v>0.91</v>
      </c>
      <c r="P5991" t="n">
        <v>1</v>
      </c>
      <c r="Q5991" t="n">
        <v>0.29</v>
      </c>
      <c r="R5991" t="n">
        <v>2</v>
      </c>
      <c r="S5991" t="n">
        <v>19278.35</v>
      </c>
      <c r="T5991" t="n">
        <v>11</v>
      </c>
      <c r="U5991" t="n">
        <v>12</v>
      </c>
      <c r="V5991" t="n">
        <v>30</v>
      </c>
      <c r="W5991" t="n">
        <v>6</v>
      </c>
      <c r="X5991" t="n">
        <v>92.53903990746096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11727</v>
      </c>
      <c r="AG5991" t="n">
        <v>63</v>
      </c>
      <c r="AH5991" t="inlineStr">
        <is>
          <t>PT. PARAMA GLOBAL INSPIRA - PPN (PDG)</t>
        </is>
      </c>
      <c r="AI5991" t="n">
        <v>164</v>
      </c>
      <c r="AJ5991" t="inlineStr">
        <is>
          <t>WARDAH</t>
        </is>
      </c>
      <c r="AK5991" t="n">
        <v>21</v>
      </c>
      <c r="AL5991" t="inlineStr">
        <is>
          <t>Miss Glam Damar</t>
        </is>
      </c>
      <c r="AM5991" t="n">
        <v>1</v>
      </c>
      <c r="AN5991" t="n">
        <v>500000</v>
      </c>
      <c r="AO5991" t="n">
        <v>0</v>
      </c>
      <c r="AP5991" t="inlineStr"/>
      <c r="AQ5991" t="inlineStr"/>
    </row>
    <row r="5992">
      <c r="A5992" t="inlineStr">
        <is>
          <t>WARDAH</t>
        </is>
      </c>
      <c r="B5992" s="2">
        <f>"8993137003780"</f>
        <v/>
      </c>
      <c r="C5992" t="inlineStr">
        <is>
          <t>WARDAH 14x Hyaluron Pentavitin 30gr</t>
        </is>
      </c>
      <c r="D5992" t="inlineStr">
        <is>
          <t>Miss Glam Damar</t>
        </is>
      </c>
      <c r="E5992" t="n">
        <v>9</v>
      </c>
      <c r="F5992" t="n">
        <v>0.5551</v>
      </c>
      <c r="G5992" t="n">
        <v>1.82</v>
      </c>
      <c r="H5992" t="n">
        <v>2</v>
      </c>
      <c r="I5992" t="n">
        <v>6</v>
      </c>
      <c r="J5992" t="n">
        <v>3</v>
      </c>
      <c r="K5992" t="n">
        <v>0</v>
      </c>
      <c r="L5992" t="n">
        <v>82760</v>
      </c>
      <c r="M5992" t="n">
        <v>101000</v>
      </c>
      <c r="N5992" t="n">
        <v>91</v>
      </c>
      <c r="O5992" t="n">
        <v>0.91</v>
      </c>
      <c r="P5992" t="n">
        <v>1</v>
      </c>
      <c r="Q5992" t="n">
        <v>0.46</v>
      </c>
      <c r="R5992" t="n">
        <v>3</v>
      </c>
      <c r="S5992" t="n">
        <v>56065.10000000001</v>
      </c>
      <c r="T5992" t="n">
        <v>10</v>
      </c>
      <c r="U5992" t="n">
        <v>12</v>
      </c>
      <c r="V5992" t="n">
        <v>30</v>
      </c>
      <c r="W5992" t="n">
        <v>17</v>
      </c>
      <c r="X5992" t="n">
        <v>16.21329490181949</v>
      </c>
      <c r="Y5992" t="n">
        <v>1</v>
      </c>
      <c r="Z5992" t="n">
        <v>8</v>
      </c>
      <c r="AA5992" t="n">
        <v>0</v>
      </c>
      <c r="AB5992" t="n">
        <v>8</v>
      </c>
      <c r="AC5992" t="n">
        <v>8</v>
      </c>
      <c r="AD5992" t="n">
        <v>0</v>
      </c>
      <c r="AE5992" t="n">
        <v>662080</v>
      </c>
      <c r="AF5992" t="n">
        <v>11727</v>
      </c>
      <c r="AG5992" t="n">
        <v>63</v>
      </c>
      <c r="AH5992" t="inlineStr">
        <is>
          <t>PT. PARAMA GLOBAL INSPIRA - PPN (PDG)</t>
        </is>
      </c>
      <c r="AI5992" t="n">
        <v>164</v>
      </c>
      <c r="AJ5992" t="inlineStr">
        <is>
          <t>WARDAH</t>
        </is>
      </c>
      <c r="AK5992" t="n">
        <v>21</v>
      </c>
      <c r="AL5992" t="inlineStr">
        <is>
          <t>Miss Glam Damar</t>
        </is>
      </c>
      <c r="AM5992" t="n">
        <v>1</v>
      </c>
      <c r="AN5992" t="n">
        <v>500000</v>
      </c>
      <c r="AO5992" t="n">
        <v>0</v>
      </c>
      <c r="AP5992" t="inlineStr"/>
      <c r="AQ5992" t="inlineStr"/>
    </row>
    <row r="5993">
      <c r="A5993" t="inlineStr">
        <is>
          <t>WARDAH</t>
        </is>
      </c>
      <c r="B5993" s="2">
        <f>"8993137693653"</f>
        <v/>
      </c>
      <c r="C5993" t="inlineStr">
        <is>
          <t>WARDAH 2% Argireline Peptide MatrixylTM 3000 Firm &amp; Lift Essence Toner 100ml</t>
        </is>
      </c>
      <c r="D5993" t="inlineStr">
        <is>
          <t>Miss Glam Damar</t>
        </is>
      </c>
      <c r="E5993" t="n">
        <v>6</v>
      </c>
      <c r="F5993" t="n">
        <v>0.04550000000000001</v>
      </c>
      <c r="G5993" t="n">
        <v>0.91</v>
      </c>
      <c r="H5993" t="n">
        <v>2</v>
      </c>
      <c r="I5993" t="n">
        <v>6</v>
      </c>
      <c r="J5993" t="n">
        <v>3</v>
      </c>
      <c r="K5993" t="n">
        <v>0</v>
      </c>
      <c r="L5993" t="n">
        <v>121075</v>
      </c>
      <c r="M5993" t="n">
        <v>148500</v>
      </c>
      <c r="N5993" t="n">
        <v>91</v>
      </c>
      <c r="O5993" t="n">
        <v>0.91</v>
      </c>
      <c r="P5993" t="n">
        <v>1</v>
      </c>
      <c r="Q5993" t="n">
        <v>0.05</v>
      </c>
      <c r="R5993" t="n">
        <v>1</v>
      </c>
      <c r="S5993" t="n">
        <v>6756.750000000001</v>
      </c>
      <c r="T5993" t="n">
        <v>6</v>
      </c>
      <c r="U5993" t="n">
        <v>7</v>
      </c>
      <c r="V5993" t="n">
        <v>30</v>
      </c>
      <c r="W5993" t="n">
        <v>2</v>
      </c>
      <c r="X5993" t="n">
        <v>131.8681318681319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11727</v>
      </c>
      <c r="AG5993" t="n">
        <v>63</v>
      </c>
      <c r="AH5993" t="inlineStr">
        <is>
          <t>PT. PARAMA GLOBAL INSPIRA - PPN (PDG)</t>
        </is>
      </c>
      <c r="AI5993" t="n">
        <v>164</v>
      </c>
      <c r="AJ5993" t="inlineStr">
        <is>
          <t>WARDAH</t>
        </is>
      </c>
      <c r="AK5993" t="n">
        <v>21</v>
      </c>
      <c r="AL5993" t="inlineStr">
        <is>
          <t>Miss Glam Damar</t>
        </is>
      </c>
      <c r="AM5993" t="n">
        <v>1</v>
      </c>
      <c r="AN5993" t="n">
        <v>500000</v>
      </c>
      <c r="AO5993" t="n">
        <v>0</v>
      </c>
      <c r="AP5993" t="inlineStr"/>
      <c r="AQ5993" t="inlineStr"/>
    </row>
    <row r="5994">
      <c r="A5994" t="inlineStr">
        <is>
          <t>WARDAH</t>
        </is>
      </c>
      <c r="B5994" s="2">
        <f>"8993137704175"</f>
        <v/>
      </c>
      <c r="C5994" t="inlineStr">
        <is>
          <t>WARDAH 2% Argireline Peptide MatrixylTM 3000 Firm &amp; Lift Essence Toner 50ml</t>
        </is>
      </c>
      <c r="D5994" t="inlineStr">
        <is>
          <t>Miss Glam Damar</t>
        </is>
      </c>
      <c r="E5994" t="n">
        <v>8</v>
      </c>
      <c r="F5994" t="n">
        <v>0.1092</v>
      </c>
      <c r="G5994" t="n">
        <v>0.91</v>
      </c>
      <c r="H5994" t="n">
        <v>2</v>
      </c>
      <c r="I5994" t="n">
        <v>6</v>
      </c>
      <c r="J5994" t="n">
        <v>3</v>
      </c>
      <c r="K5994" t="n">
        <v>0</v>
      </c>
      <c r="L5994" t="n">
        <v>72415</v>
      </c>
      <c r="M5994" t="n">
        <v>88500</v>
      </c>
      <c r="N5994" t="n">
        <v>91</v>
      </c>
      <c r="O5994" t="n">
        <v>0.91</v>
      </c>
      <c r="P5994" t="n">
        <v>1</v>
      </c>
      <c r="Q5994" t="n">
        <v>0.22</v>
      </c>
      <c r="R5994" t="n">
        <v>2</v>
      </c>
      <c r="S5994" t="n">
        <v>9664.200000000001</v>
      </c>
      <c r="T5994" t="n">
        <v>6</v>
      </c>
      <c r="U5994" t="n">
        <v>7</v>
      </c>
      <c r="V5994" t="n">
        <v>30</v>
      </c>
      <c r="W5994" t="n">
        <v>4</v>
      </c>
      <c r="X5994" t="n">
        <v>73.26007326007326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11727</v>
      </c>
      <c r="AG5994" t="n">
        <v>63</v>
      </c>
      <c r="AH5994" t="inlineStr">
        <is>
          <t>PT. PARAMA GLOBAL INSPIRA - PPN (PDG)</t>
        </is>
      </c>
      <c r="AI5994" t="n">
        <v>164</v>
      </c>
      <c r="AJ5994" t="inlineStr">
        <is>
          <t>WARDAH</t>
        </is>
      </c>
      <c r="AK5994" t="n">
        <v>21</v>
      </c>
      <c r="AL5994" t="inlineStr">
        <is>
          <t>Miss Glam Damar</t>
        </is>
      </c>
      <c r="AM5994" t="n">
        <v>1</v>
      </c>
      <c r="AN5994" t="n">
        <v>500000</v>
      </c>
      <c r="AO5994" t="n">
        <v>0</v>
      </c>
      <c r="AP5994" t="inlineStr"/>
      <c r="AQ5994" t="inlineStr"/>
    </row>
    <row r="5995">
      <c r="A5995" t="inlineStr">
        <is>
          <t>WARDAH</t>
        </is>
      </c>
      <c r="B5995" s="2">
        <f>"11200314337"</f>
        <v/>
      </c>
      <c r="C5995" t="inlineStr">
        <is>
          <t>WARDAH 5% Glycolic Acid 3% Maltabionic Acid 2% Succinic Acid Micro Peeling Serum 20ml</t>
        </is>
      </c>
      <c r="D5995" t="inlineStr">
        <is>
          <t>Miss Glam Damar</t>
        </is>
      </c>
      <c r="E5995" t="n">
        <v>5</v>
      </c>
      <c r="F5995" t="n">
        <v>0.0728</v>
      </c>
      <c r="G5995" t="n">
        <v>1.82</v>
      </c>
      <c r="H5995" t="n">
        <v>2</v>
      </c>
      <c r="I5995" t="n">
        <v>6</v>
      </c>
      <c r="J5995" t="n">
        <v>1</v>
      </c>
      <c r="K5995" t="n">
        <v>0</v>
      </c>
      <c r="L5995" t="n">
        <v>94254</v>
      </c>
      <c r="M5995" t="n">
        <v>115000</v>
      </c>
      <c r="N5995" t="n">
        <v>91</v>
      </c>
      <c r="O5995" t="n">
        <v>0.91</v>
      </c>
      <c r="P5995" t="n">
        <v>1</v>
      </c>
      <c r="Q5995" t="n">
        <v>0.05</v>
      </c>
      <c r="R5995" t="n">
        <v>1</v>
      </c>
      <c r="S5995" t="n">
        <v>8372</v>
      </c>
      <c r="T5995" t="n">
        <v>11</v>
      </c>
      <c r="U5995" t="n">
        <v>12</v>
      </c>
      <c r="V5995" t="n">
        <v>30</v>
      </c>
      <c r="W5995" t="n">
        <v>3</v>
      </c>
      <c r="X5995" t="n">
        <v>68.68131868131867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11727</v>
      </c>
      <c r="AG5995" t="n">
        <v>63</v>
      </c>
      <c r="AH5995" t="inlineStr">
        <is>
          <t>PT. PARAMA GLOBAL INSPIRA - PPN (PDG)</t>
        </is>
      </c>
      <c r="AI5995" t="n">
        <v>164</v>
      </c>
      <c r="AJ5995" t="inlineStr">
        <is>
          <t>WARDAH</t>
        </is>
      </c>
      <c r="AK5995" t="n">
        <v>21</v>
      </c>
      <c r="AL5995" t="inlineStr">
        <is>
          <t>Miss Glam Damar</t>
        </is>
      </c>
      <c r="AM5995" t="n">
        <v>1</v>
      </c>
      <c r="AN5995" t="n">
        <v>500000</v>
      </c>
      <c r="AO5995" t="n">
        <v>0</v>
      </c>
      <c r="AP5995" t="inlineStr"/>
      <c r="AQ5995" t="inlineStr"/>
    </row>
    <row r="5996">
      <c r="A5996" t="inlineStr">
        <is>
          <t>WARDAH</t>
        </is>
      </c>
      <c r="B5996" s="2">
        <f>"8993137005838"</f>
        <v/>
      </c>
      <c r="C5996" t="inlineStr">
        <is>
          <t>WARDAH Acne Care Mecellar Water 400ml</t>
        </is>
      </c>
      <c r="D5996" t="inlineStr">
        <is>
          <t>Miss Glam Damar</t>
        </is>
      </c>
      <c r="E5996" t="n">
        <v>14</v>
      </c>
      <c r="F5996" t="n">
        <v>0.2002</v>
      </c>
      <c r="G5996" t="n">
        <v>1.82</v>
      </c>
      <c r="H5996" t="n">
        <v>2</v>
      </c>
      <c r="I5996" t="n">
        <v>6</v>
      </c>
      <c r="J5996" t="n">
        <v>3</v>
      </c>
      <c r="K5996" t="n">
        <v>0</v>
      </c>
      <c r="L5996" t="n">
        <v>84676</v>
      </c>
      <c r="M5996" t="n">
        <v>103500</v>
      </c>
      <c r="N5996" t="n">
        <v>91</v>
      </c>
      <c r="O5996" t="n">
        <v>0.91</v>
      </c>
      <c r="P5996" t="n">
        <v>1</v>
      </c>
      <c r="Q5996" t="n">
        <v>0.41</v>
      </c>
      <c r="R5996" t="n">
        <v>4</v>
      </c>
      <c r="S5996" t="n">
        <v>20720.7</v>
      </c>
      <c r="T5996" t="n">
        <v>11</v>
      </c>
      <c r="U5996" t="n">
        <v>12</v>
      </c>
      <c r="V5996" t="n">
        <v>30</v>
      </c>
      <c r="W5996" t="n">
        <v>7</v>
      </c>
      <c r="X5996" t="n">
        <v>69.93006993006992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11727</v>
      </c>
      <c r="AG5996" t="n">
        <v>63</v>
      </c>
      <c r="AH5996" t="inlineStr">
        <is>
          <t>PT. PARAMA GLOBAL INSPIRA - PPN (PDG)</t>
        </is>
      </c>
      <c r="AI5996" t="n">
        <v>164</v>
      </c>
      <c r="AJ5996" t="inlineStr">
        <is>
          <t>WARDAH</t>
        </is>
      </c>
      <c r="AK5996" t="n">
        <v>21</v>
      </c>
      <c r="AL5996" t="inlineStr">
        <is>
          <t>Miss Glam Damar</t>
        </is>
      </c>
      <c r="AM5996" t="n">
        <v>1</v>
      </c>
      <c r="AN5996" t="n">
        <v>500000</v>
      </c>
      <c r="AO5996" t="n">
        <v>0</v>
      </c>
      <c r="AP5996" t="inlineStr"/>
      <c r="AQ5996" t="inlineStr"/>
    </row>
    <row r="5997">
      <c r="A5997" t="inlineStr">
        <is>
          <t>WARDAH</t>
        </is>
      </c>
      <c r="B5997" s="2">
        <f>"8993137005821"</f>
        <v/>
      </c>
      <c r="C5997" t="inlineStr">
        <is>
          <t>WARDAH Acnedem Acne Care Micellar Water 240ml</t>
        </is>
      </c>
      <c r="D5997" t="inlineStr">
        <is>
          <t>Miss Glam Damar</t>
        </is>
      </c>
      <c r="E5997" t="n">
        <v>15</v>
      </c>
      <c r="F5997" t="n">
        <v>0.9737000000000001</v>
      </c>
      <c r="G5997" t="n">
        <v>4.55</v>
      </c>
      <c r="H5997" t="n">
        <v>2</v>
      </c>
      <c r="I5997" t="n">
        <v>6</v>
      </c>
      <c r="J5997" t="n">
        <v>3</v>
      </c>
      <c r="K5997" t="n">
        <v>0</v>
      </c>
      <c r="L5997" t="n">
        <v>47510</v>
      </c>
      <c r="M5997" t="n">
        <v>58000</v>
      </c>
      <c r="N5997" t="n">
        <v>91</v>
      </c>
      <c r="O5997" t="n">
        <v>0.91</v>
      </c>
      <c r="P5997" t="n">
        <v>1</v>
      </c>
      <c r="Q5997" t="n">
        <v>0.53</v>
      </c>
      <c r="R5997" t="n">
        <v>3</v>
      </c>
      <c r="S5997" t="n">
        <v>56474.60000000001</v>
      </c>
      <c r="T5997" t="n">
        <v>26</v>
      </c>
      <c r="U5997" t="n">
        <v>28</v>
      </c>
      <c r="V5997" t="n">
        <v>30</v>
      </c>
      <c r="W5997" t="n">
        <v>30</v>
      </c>
      <c r="X5997" t="n">
        <v>15.40515559207148</v>
      </c>
      <c r="Y5997" t="n">
        <v>1</v>
      </c>
      <c r="Z5997" t="n">
        <v>15</v>
      </c>
      <c r="AA5997" t="n">
        <v>0</v>
      </c>
      <c r="AB5997" t="n">
        <v>15</v>
      </c>
      <c r="AC5997" t="n">
        <v>15</v>
      </c>
      <c r="AD5997" t="n">
        <v>0</v>
      </c>
      <c r="AE5997" t="n">
        <v>712650</v>
      </c>
      <c r="AF5997" t="n">
        <v>11727</v>
      </c>
      <c r="AG5997" t="n">
        <v>63</v>
      </c>
      <c r="AH5997" t="inlineStr">
        <is>
          <t>PT. PARAMA GLOBAL INSPIRA - PPN (PDG)</t>
        </is>
      </c>
      <c r="AI5997" t="n">
        <v>164</v>
      </c>
      <c r="AJ5997" t="inlineStr">
        <is>
          <t>WARDAH</t>
        </is>
      </c>
      <c r="AK5997" t="n">
        <v>21</v>
      </c>
      <c r="AL5997" t="inlineStr">
        <is>
          <t>Miss Glam Damar</t>
        </is>
      </c>
      <c r="AM5997" t="n">
        <v>1</v>
      </c>
      <c r="AN5997" t="n">
        <v>500000</v>
      </c>
      <c r="AO5997" t="n">
        <v>0</v>
      </c>
      <c r="AP5997" t="inlineStr"/>
      <c r="AQ5997" t="inlineStr"/>
    </row>
    <row r="5998">
      <c r="A5998" t="inlineStr">
        <is>
          <t>WARDAH</t>
        </is>
      </c>
      <c r="B5998" s="2">
        <f>"8993137716413"</f>
        <v/>
      </c>
      <c r="C5998" t="inlineStr">
        <is>
          <t>WARDAH Acnederm Acne Care Serum 15ml</t>
        </is>
      </c>
      <c r="D5998" t="inlineStr">
        <is>
          <t>Miss Glam Damar</t>
        </is>
      </c>
      <c r="E5998" t="n">
        <v>12</v>
      </c>
      <c r="F5998" t="n">
        <v>0.2639</v>
      </c>
      <c r="G5998" t="n">
        <v>1.82</v>
      </c>
      <c r="H5998" t="n">
        <v>2</v>
      </c>
      <c r="I5998" t="n">
        <v>6</v>
      </c>
      <c r="J5998" t="n">
        <v>3</v>
      </c>
      <c r="K5998" t="n">
        <v>0</v>
      </c>
      <c r="L5998" t="n">
        <v>54790</v>
      </c>
      <c r="M5998" t="n">
        <v>67000</v>
      </c>
      <c r="N5998" t="n">
        <v>91</v>
      </c>
      <c r="O5998" t="n">
        <v>0.91</v>
      </c>
      <c r="P5998" t="n">
        <v>1</v>
      </c>
      <c r="Q5998" t="n">
        <v>0.27</v>
      </c>
      <c r="R5998" t="n">
        <v>3</v>
      </c>
      <c r="S5998" t="n">
        <v>17681.3</v>
      </c>
      <c r="T5998" t="n">
        <v>11</v>
      </c>
      <c r="U5998" t="n">
        <v>12</v>
      </c>
      <c r="V5998" t="n">
        <v>30</v>
      </c>
      <c r="W5998" t="n">
        <v>8</v>
      </c>
      <c r="X5998" t="n">
        <v>45.47176960970065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11727</v>
      </c>
      <c r="AG5998" t="n">
        <v>63</v>
      </c>
      <c r="AH5998" t="inlineStr">
        <is>
          <t>PT. PARAMA GLOBAL INSPIRA - PPN (PDG)</t>
        </is>
      </c>
      <c r="AI5998" t="n">
        <v>164</v>
      </c>
      <c r="AJ5998" t="inlineStr">
        <is>
          <t>WARDAH</t>
        </is>
      </c>
      <c r="AK5998" t="n">
        <v>21</v>
      </c>
      <c r="AL5998" t="inlineStr">
        <is>
          <t>Miss Glam Damar</t>
        </is>
      </c>
      <c r="AM5998" t="n">
        <v>1</v>
      </c>
      <c r="AN5998" t="n">
        <v>500000</v>
      </c>
      <c r="AO5998" t="n">
        <v>0</v>
      </c>
      <c r="AP5998" t="inlineStr"/>
      <c r="AQ5998" t="inlineStr"/>
    </row>
    <row r="5999">
      <c r="A5999" t="inlineStr">
        <is>
          <t>WARDAH</t>
        </is>
      </c>
      <c r="B5999" s="2">
        <f>"8993137576031"</f>
        <v/>
      </c>
      <c r="C5999" t="inlineStr">
        <is>
          <t>WARDAH Acnederm Acne Spot Treatment Gel 15ml</t>
        </is>
      </c>
      <c r="D5999" t="inlineStr">
        <is>
          <t>Miss Glam Damar</t>
        </is>
      </c>
      <c r="E5999" t="n">
        <v>10</v>
      </c>
      <c r="F5999" t="n">
        <v>0.2002</v>
      </c>
      <c r="G5999" t="n">
        <v>1.82</v>
      </c>
      <c r="H5999" t="n">
        <v>2</v>
      </c>
      <c r="I5999" t="n">
        <v>6</v>
      </c>
      <c r="J5999" t="n">
        <v>3</v>
      </c>
      <c r="K5999" t="n">
        <v>0</v>
      </c>
      <c r="L5999" t="n">
        <v>21839</v>
      </c>
      <c r="M5999" t="n">
        <v>27000</v>
      </c>
      <c r="N5999" t="n">
        <v>91</v>
      </c>
      <c r="O5999" t="n">
        <v>0.91</v>
      </c>
      <c r="P5999" t="n">
        <v>1</v>
      </c>
      <c r="Q5999" t="n">
        <v>0.25</v>
      </c>
      <c r="R5999" t="n">
        <v>2</v>
      </c>
      <c r="S5999" t="n">
        <v>5405.400000000001</v>
      </c>
      <c r="T5999" t="n">
        <v>11</v>
      </c>
      <c r="U5999" t="n">
        <v>12</v>
      </c>
      <c r="V5999" t="n">
        <v>30</v>
      </c>
      <c r="W5999" t="n">
        <v>7</v>
      </c>
      <c r="X5999" t="n">
        <v>49.95004995004994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11727</v>
      </c>
      <c r="AG5999" t="n">
        <v>63</v>
      </c>
      <c r="AH5999" t="inlineStr">
        <is>
          <t>PT. PARAMA GLOBAL INSPIRA - PPN (PDG)</t>
        </is>
      </c>
      <c r="AI5999" t="n">
        <v>164</v>
      </c>
      <c r="AJ5999" t="inlineStr">
        <is>
          <t>WARDAH</t>
        </is>
      </c>
      <c r="AK5999" t="n">
        <v>21</v>
      </c>
      <c r="AL5999" t="inlineStr">
        <is>
          <t>Miss Glam Damar</t>
        </is>
      </c>
      <c r="AM5999" t="n">
        <v>1</v>
      </c>
      <c r="AN5999" t="n">
        <v>500000</v>
      </c>
      <c r="AO5999" t="n">
        <v>0</v>
      </c>
      <c r="AP5999" t="inlineStr"/>
      <c r="AQ5999" t="inlineStr"/>
    </row>
    <row r="6000">
      <c r="A6000" t="inlineStr">
        <is>
          <t>WARDAH</t>
        </is>
      </c>
      <c r="B6000" s="2">
        <f>"8993137576024"</f>
        <v/>
      </c>
      <c r="C6000" t="inlineStr">
        <is>
          <t>WARDAH Acnederm Day Moisturizer 40ml</t>
        </is>
      </c>
      <c r="D6000" t="inlineStr">
        <is>
          <t>Miss Glam Damar</t>
        </is>
      </c>
      <c r="E6000" t="n">
        <v>0</v>
      </c>
      <c r="F6000" t="n">
        <v>0.2275</v>
      </c>
      <c r="G6000" t="n">
        <v>1.82</v>
      </c>
      <c r="H6000" t="n">
        <v>2</v>
      </c>
      <c r="I6000" t="n">
        <v>6</v>
      </c>
      <c r="J6000" t="n">
        <v>3</v>
      </c>
      <c r="K6000" t="n">
        <v>0</v>
      </c>
      <c r="L6000" t="n">
        <v>32784</v>
      </c>
      <c r="M6000" t="n">
        <v>40500</v>
      </c>
      <c r="N6000" t="n">
        <v>91</v>
      </c>
      <c r="O6000" t="n">
        <v>0.91</v>
      </c>
      <c r="P6000" t="n">
        <v>1</v>
      </c>
      <c r="Q6000" t="n">
        <v>0.27</v>
      </c>
      <c r="R6000" t="n">
        <v>2</v>
      </c>
      <c r="S6000" t="n">
        <v>9213.75</v>
      </c>
      <c r="T6000" t="n">
        <v>11</v>
      </c>
      <c r="U6000" t="n">
        <v>12</v>
      </c>
      <c r="V6000" t="n">
        <v>30</v>
      </c>
      <c r="W6000" t="n">
        <v>7</v>
      </c>
      <c r="X6000" t="n">
        <v>0</v>
      </c>
      <c r="Y6000" t="n">
        <v>1</v>
      </c>
      <c r="Z6000" t="n">
        <v>7</v>
      </c>
      <c r="AA6000" t="n">
        <v>2</v>
      </c>
      <c r="AB6000" t="n">
        <v>5</v>
      </c>
      <c r="AC6000" t="n">
        <v>5</v>
      </c>
      <c r="AD6000" t="n">
        <v>65568</v>
      </c>
      <c r="AE6000" t="n">
        <v>163920</v>
      </c>
      <c r="AF6000" t="n">
        <v>11727</v>
      </c>
      <c r="AG6000" t="n">
        <v>63</v>
      </c>
      <c r="AH6000" t="inlineStr">
        <is>
          <t>PT. PARAMA GLOBAL INSPIRA - PPN (PDG)</t>
        </is>
      </c>
      <c r="AI6000" t="n">
        <v>164</v>
      </c>
      <c r="AJ6000" t="inlineStr">
        <is>
          <t>WARDAH</t>
        </is>
      </c>
      <c r="AK6000" t="n">
        <v>21</v>
      </c>
      <c r="AL6000" t="inlineStr">
        <is>
          <t>Miss Glam Damar</t>
        </is>
      </c>
      <c r="AM6000" t="n">
        <v>1</v>
      </c>
      <c r="AN6000" t="n">
        <v>500000</v>
      </c>
      <c r="AO6000" t="n">
        <v>0</v>
      </c>
      <c r="AP6000" t="inlineStr"/>
      <c r="AQ6000" t="inlineStr"/>
    </row>
    <row r="6001">
      <c r="A6001" t="inlineStr">
        <is>
          <t>WARDAH</t>
        </is>
      </c>
      <c r="B6001" s="2">
        <f>"8993137678728"</f>
        <v/>
      </c>
      <c r="C6001" t="inlineStr">
        <is>
          <t>WARDAH Acnederm Face Powder 20gr</t>
        </is>
      </c>
      <c r="D6001" t="inlineStr">
        <is>
          <t>Miss Glam Damar</t>
        </is>
      </c>
      <c r="E6001" t="n">
        <v>6</v>
      </c>
      <c r="F6001" t="n">
        <v>0.2002</v>
      </c>
      <c r="G6001" t="n">
        <v>0.91</v>
      </c>
      <c r="H6001" t="n">
        <v>2</v>
      </c>
      <c r="I6001" t="n">
        <v>6</v>
      </c>
      <c r="J6001" t="n">
        <v>3</v>
      </c>
      <c r="K6001" t="n">
        <v>0</v>
      </c>
      <c r="L6001" t="n">
        <v>40994</v>
      </c>
      <c r="M6001" t="n">
        <v>50000</v>
      </c>
      <c r="N6001" t="n">
        <v>91</v>
      </c>
      <c r="O6001" t="n">
        <v>0.91</v>
      </c>
      <c r="P6001" t="n">
        <v>1</v>
      </c>
      <c r="Q6001" t="n">
        <v>0.22</v>
      </c>
      <c r="R6001" t="n">
        <v>1</v>
      </c>
      <c r="S6001" t="n">
        <v>10010</v>
      </c>
      <c r="T6001" t="n">
        <v>6</v>
      </c>
      <c r="U6001" t="n">
        <v>7</v>
      </c>
      <c r="V6001" t="n">
        <v>30</v>
      </c>
      <c r="W6001" t="n">
        <v>7</v>
      </c>
      <c r="X6001" t="n">
        <v>29.97002997002997</v>
      </c>
      <c r="Y6001" t="n">
        <v>1</v>
      </c>
      <c r="Z6001" t="n">
        <v>1</v>
      </c>
      <c r="AA6001" t="n">
        <v>0</v>
      </c>
      <c r="AB6001" t="n">
        <v>1</v>
      </c>
      <c r="AC6001" t="n">
        <v>3</v>
      </c>
      <c r="AD6001" t="n">
        <v>0</v>
      </c>
      <c r="AE6001" t="n">
        <v>122982</v>
      </c>
      <c r="AF6001" t="n">
        <v>11727</v>
      </c>
      <c r="AG6001" t="n">
        <v>63</v>
      </c>
      <c r="AH6001" t="inlineStr">
        <is>
          <t>PT. PARAMA GLOBAL INSPIRA - PPN (PDG)</t>
        </is>
      </c>
      <c r="AI6001" t="n">
        <v>164</v>
      </c>
      <c r="AJ6001" t="inlineStr">
        <is>
          <t>WARDAH</t>
        </is>
      </c>
      <c r="AK6001" t="n">
        <v>21</v>
      </c>
      <c r="AL6001" t="inlineStr">
        <is>
          <t>Miss Glam Damar</t>
        </is>
      </c>
      <c r="AM6001" t="n">
        <v>1</v>
      </c>
      <c r="AN6001" t="n">
        <v>500000</v>
      </c>
      <c r="AO6001" t="n">
        <v>0</v>
      </c>
      <c r="AP6001" t="inlineStr"/>
      <c r="AQ6001" t="inlineStr"/>
    </row>
    <row r="6002">
      <c r="A6002" t="inlineStr">
        <is>
          <t>WARDAH</t>
        </is>
      </c>
      <c r="B6002" s="2">
        <f>"8993137698832"</f>
        <v/>
      </c>
      <c r="C6002" t="inlineStr">
        <is>
          <t>WARDAH Acnederm Night Treatment Moisturizer 40ml</t>
        </is>
      </c>
      <c r="D6002" t="inlineStr">
        <is>
          <t>Miss Glam Damar</t>
        </is>
      </c>
      <c r="E6002" t="n">
        <v>6</v>
      </c>
      <c r="F6002" t="n">
        <v>0.19</v>
      </c>
      <c r="G6002" t="n">
        <v>2</v>
      </c>
      <c r="H6002" t="n">
        <v>2</v>
      </c>
      <c r="I6002" t="n">
        <v>6</v>
      </c>
      <c r="J6002" t="n">
        <v>3</v>
      </c>
      <c r="K6002" t="n">
        <v>0</v>
      </c>
      <c r="L6002" t="n">
        <v>34100</v>
      </c>
      <c r="M6002" t="n">
        <v>41500</v>
      </c>
      <c r="N6002" t="n">
        <v>91</v>
      </c>
      <c r="O6002" t="n">
        <v>0.91</v>
      </c>
      <c r="P6002" t="n">
        <v>0</v>
      </c>
      <c r="Q6002" t="n">
        <v>0.19</v>
      </c>
      <c r="R6002" t="n">
        <v>2</v>
      </c>
      <c r="S6002" t="n">
        <v>7885</v>
      </c>
      <c r="T6002" t="n">
        <v>12</v>
      </c>
      <c r="U6002" t="n">
        <v>13</v>
      </c>
      <c r="V6002" t="n">
        <v>30</v>
      </c>
      <c r="W6002" t="n">
        <v>6</v>
      </c>
      <c r="X6002" t="n">
        <v>31.57894736842105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11727</v>
      </c>
      <c r="AG6002" t="n">
        <v>63</v>
      </c>
      <c r="AH6002" t="inlineStr">
        <is>
          <t>PT. PARAMA GLOBAL INSPIRA - PPN (PDG)</t>
        </is>
      </c>
      <c r="AI6002" t="n">
        <v>164</v>
      </c>
      <c r="AJ6002" t="inlineStr">
        <is>
          <t>WARDAH</t>
        </is>
      </c>
      <c r="AK6002" t="n">
        <v>21</v>
      </c>
      <c r="AL6002" t="inlineStr">
        <is>
          <t>Miss Glam Damar</t>
        </is>
      </c>
      <c r="AM6002" t="n">
        <v>1</v>
      </c>
      <c r="AN6002" t="n">
        <v>500000</v>
      </c>
      <c r="AO6002" t="n">
        <v>0</v>
      </c>
      <c r="AP6002" t="inlineStr"/>
      <c r="AQ6002" t="inlineStr"/>
    </row>
    <row r="6003">
      <c r="A6003" t="inlineStr">
        <is>
          <t>WARDAH</t>
        </is>
      </c>
      <c r="B6003" s="2">
        <f>"8993137572422"</f>
        <v/>
      </c>
      <c r="C6003" t="inlineStr">
        <is>
          <t>WARDAH Acnederm Pore Refiner Toner 100ml</t>
        </is>
      </c>
      <c r="D6003" t="inlineStr">
        <is>
          <t>Miss Glam Damar</t>
        </is>
      </c>
      <c r="E6003" t="n">
        <v>3</v>
      </c>
      <c r="F6003" t="n">
        <v>0.1729</v>
      </c>
      <c r="G6003" t="n">
        <v>1.82</v>
      </c>
      <c r="H6003" t="n">
        <v>2</v>
      </c>
      <c r="I6003" t="n">
        <v>6</v>
      </c>
      <c r="J6003" t="n">
        <v>3</v>
      </c>
      <c r="K6003" t="n">
        <v>0</v>
      </c>
      <c r="L6003" t="n">
        <v>25671</v>
      </c>
      <c r="M6003" t="n">
        <v>31500</v>
      </c>
      <c r="N6003" t="n">
        <v>91</v>
      </c>
      <c r="O6003" t="n">
        <v>0.91</v>
      </c>
      <c r="P6003" t="n">
        <v>1</v>
      </c>
      <c r="Q6003" t="n">
        <v>0.12</v>
      </c>
      <c r="R6003" t="n">
        <v>1</v>
      </c>
      <c r="S6003" t="n">
        <v>5446.35</v>
      </c>
      <c r="T6003" t="n">
        <v>11</v>
      </c>
      <c r="U6003" t="n">
        <v>12</v>
      </c>
      <c r="V6003" t="n">
        <v>30</v>
      </c>
      <c r="W6003" t="n">
        <v>6</v>
      </c>
      <c r="X6003" t="n">
        <v>17.35106998264893</v>
      </c>
      <c r="Y6003" t="n">
        <v>1</v>
      </c>
      <c r="Z6003" t="n">
        <v>3</v>
      </c>
      <c r="AA6003" t="n">
        <v>0</v>
      </c>
      <c r="AB6003" t="n">
        <v>3</v>
      </c>
      <c r="AC6003" t="n">
        <v>3</v>
      </c>
      <c r="AD6003" t="n">
        <v>0</v>
      </c>
      <c r="AE6003" t="n">
        <v>77013</v>
      </c>
      <c r="AF6003" t="n">
        <v>11727</v>
      </c>
      <c r="AG6003" t="n">
        <v>63</v>
      </c>
      <c r="AH6003" t="inlineStr">
        <is>
          <t>PT. PARAMA GLOBAL INSPIRA - PPN (PDG)</t>
        </is>
      </c>
      <c r="AI6003" t="n">
        <v>164</v>
      </c>
      <c r="AJ6003" t="inlineStr">
        <is>
          <t>WARDAH</t>
        </is>
      </c>
      <c r="AK6003" t="n">
        <v>21</v>
      </c>
      <c r="AL6003" t="inlineStr">
        <is>
          <t>Miss Glam Damar</t>
        </is>
      </c>
      <c r="AM6003" t="n">
        <v>1</v>
      </c>
      <c r="AN6003" t="n">
        <v>500000</v>
      </c>
      <c r="AO6003" t="n">
        <v>0</v>
      </c>
      <c r="AP6003" t="inlineStr"/>
      <c r="AQ6003" t="inlineStr"/>
    </row>
    <row r="6004">
      <c r="A6004" t="inlineStr">
        <is>
          <t>WARDAH</t>
        </is>
      </c>
      <c r="B6004" s="2">
        <f>"8993137008815"</f>
        <v/>
      </c>
      <c r="C6004" t="inlineStr">
        <is>
          <t>WARDAH Acnederm Salicylic Acid Zinc Acne Clearing Low PH Foaming Cleanser 100ml</t>
        </is>
      </c>
      <c r="D6004" t="inlineStr">
        <is>
          <t>Miss Glam Damar</t>
        </is>
      </c>
      <c r="E6004" t="n">
        <v>29</v>
      </c>
      <c r="F6004" t="n">
        <v>2.2022</v>
      </c>
      <c r="G6004" t="n">
        <v>9.1</v>
      </c>
      <c r="H6004" t="n">
        <v>2</v>
      </c>
      <c r="I6004" t="n">
        <v>6</v>
      </c>
      <c r="J6004" t="n">
        <v>3</v>
      </c>
      <c r="K6004" t="n">
        <v>0</v>
      </c>
      <c r="L6004" t="n">
        <v>28733</v>
      </c>
      <c r="M6004" t="n">
        <v>35500</v>
      </c>
      <c r="N6004" t="n">
        <v>91</v>
      </c>
      <c r="O6004" t="n">
        <v>0.91</v>
      </c>
      <c r="P6004" t="n">
        <v>1</v>
      </c>
      <c r="Q6004" t="n">
        <v>1.44</v>
      </c>
      <c r="R6004" t="n">
        <v>5</v>
      </c>
      <c r="S6004" t="n">
        <v>78178.09999999999</v>
      </c>
      <c r="T6004" t="n">
        <v>51</v>
      </c>
      <c r="U6004" t="n">
        <v>56</v>
      </c>
      <c r="V6004" t="n">
        <v>30</v>
      </c>
      <c r="W6004" t="n">
        <v>67</v>
      </c>
      <c r="X6004" t="n">
        <v>13.1686495322859</v>
      </c>
      <c r="Y6004" t="n">
        <v>1</v>
      </c>
      <c r="Z6004" t="n">
        <v>38</v>
      </c>
      <c r="AA6004" t="n">
        <v>0</v>
      </c>
      <c r="AB6004" t="n">
        <v>38</v>
      </c>
      <c r="AC6004" t="n">
        <v>38</v>
      </c>
      <c r="AD6004" t="n">
        <v>0</v>
      </c>
      <c r="AE6004" t="n">
        <v>1091854</v>
      </c>
      <c r="AF6004" t="n">
        <v>11727</v>
      </c>
      <c r="AG6004" t="n">
        <v>63</v>
      </c>
      <c r="AH6004" t="inlineStr">
        <is>
          <t>PT. PARAMA GLOBAL INSPIRA - PPN (PDG)</t>
        </is>
      </c>
      <c r="AI6004" t="n">
        <v>164</v>
      </c>
      <c r="AJ6004" t="inlineStr">
        <is>
          <t>WARDAH</t>
        </is>
      </c>
      <c r="AK6004" t="n">
        <v>21</v>
      </c>
      <c r="AL6004" t="inlineStr">
        <is>
          <t>Miss Glam Damar</t>
        </is>
      </c>
      <c r="AM6004" t="n">
        <v>1</v>
      </c>
      <c r="AN6004" t="n">
        <v>500000</v>
      </c>
      <c r="AO6004" t="n">
        <v>0</v>
      </c>
      <c r="AP6004" t="inlineStr"/>
      <c r="AQ6004" t="inlineStr"/>
    </row>
    <row r="6005">
      <c r="A6005" t="inlineStr">
        <is>
          <t>WARDAH</t>
        </is>
      </c>
      <c r="B6005" s="2">
        <f>"8993137576000"</f>
        <v/>
      </c>
      <c r="C6005" t="inlineStr">
        <is>
          <t>WARDAH Acnederm Salicylic Acid Zinc Acne Clearing Low pH Foaming Cleanser 50ml</t>
        </is>
      </c>
      <c r="D6005" t="inlineStr">
        <is>
          <t>Miss Glam Damar</t>
        </is>
      </c>
      <c r="E6005" t="n">
        <v>16</v>
      </c>
      <c r="F6005" t="n">
        <v>0.7735</v>
      </c>
      <c r="G6005" t="n">
        <v>3.64</v>
      </c>
      <c r="H6005" t="n">
        <v>2</v>
      </c>
      <c r="I6005" t="n">
        <v>6</v>
      </c>
      <c r="J6005" t="n">
        <v>3</v>
      </c>
      <c r="K6005" t="n">
        <v>0</v>
      </c>
      <c r="L6005" t="n">
        <v>18927</v>
      </c>
      <c r="M6005" t="n">
        <v>23500</v>
      </c>
      <c r="N6005" t="n">
        <v>91</v>
      </c>
      <c r="O6005" t="n">
        <v>0.91</v>
      </c>
      <c r="P6005" t="n">
        <v>1</v>
      </c>
      <c r="Q6005" t="n">
        <v>0.59</v>
      </c>
      <c r="R6005" t="n">
        <v>2</v>
      </c>
      <c r="S6005" t="n">
        <v>18177.25</v>
      </c>
      <c r="T6005" t="n">
        <v>21</v>
      </c>
      <c r="U6005" t="n">
        <v>23</v>
      </c>
      <c r="V6005" t="n">
        <v>30</v>
      </c>
      <c r="W6005" t="n">
        <v>24</v>
      </c>
      <c r="X6005" t="n">
        <v>20.68519715578539</v>
      </c>
      <c r="Y6005" t="n">
        <v>1</v>
      </c>
      <c r="Z6005" t="n">
        <v>8</v>
      </c>
      <c r="AA6005" t="n">
        <v>0</v>
      </c>
      <c r="AB6005" t="n">
        <v>8</v>
      </c>
      <c r="AC6005" t="n">
        <v>8</v>
      </c>
      <c r="AD6005" t="n">
        <v>0</v>
      </c>
      <c r="AE6005" t="n">
        <v>151416</v>
      </c>
      <c r="AF6005" t="n">
        <v>11727</v>
      </c>
      <c r="AG6005" t="n">
        <v>63</v>
      </c>
      <c r="AH6005" t="inlineStr">
        <is>
          <t>PT. PARAMA GLOBAL INSPIRA - PPN (PDG)</t>
        </is>
      </c>
      <c r="AI6005" t="n">
        <v>164</v>
      </c>
      <c r="AJ6005" t="inlineStr">
        <is>
          <t>WARDAH</t>
        </is>
      </c>
      <c r="AK6005" t="n">
        <v>21</v>
      </c>
      <c r="AL6005" t="inlineStr">
        <is>
          <t>Miss Glam Damar</t>
        </is>
      </c>
      <c r="AM6005" t="n">
        <v>1</v>
      </c>
      <c r="AN6005" t="n">
        <v>500000</v>
      </c>
      <c r="AO6005" t="n">
        <v>0</v>
      </c>
      <c r="AP6005" t="inlineStr"/>
      <c r="AQ6005" t="inlineStr"/>
    </row>
    <row r="6006">
      <c r="A6006" t="inlineStr">
        <is>
          <t>WARDAH</t>
        </is>
      </c>
      <c r="B6006" s="2">
        <f>"203003107213"</f>
        <v/>
      </c>
      <c r="C6006" t="inlineStr">
        <is>
          <t>WARDAH Airbrush Lip Tint 01 Roseivy 3g</t>
        </is>
      </c>
      <c r="D6006" t="inlineStr">
        <is>
          <t>Miss Glam Damar</t>
        </is>
      </c>
      <c r="E6006" t="n">
        <v>4</v>
      </c>
      <c r="F6006" t="n">
        <v>0.04550000000000001</v>
      </c>
      <c r="G6006" t="n">
        <v>0.91</v>
      </c>
      <c r="H6006" t="n">
        <v>2</v>
      </c>
      <c r="I6006" t="n">
        <v>6</v>
      </c>
      <c r="J6006" t="n">
        <v>1</v>
      </c>
      <c r="K6006" t="n">
        <v>0</v>
      </c>
      <c r="L6006" t="n">
        <v>52491</v>
      </c>
      <c r="M6006" t="n">
        <v>64500</v>
      </c>
      <c r="N6006" t="n">
        <v>91</v>
      </c>
      <c r="O6006" t="n">
        <v>0.91</v>
      </c>
      <c r="P6006" t="n">
        <v>1</v>
      </c>
      <c r="Q6006" t="n">
        <v>0.25</v>
      </c>
      <c r="R6006" t="n">
        <v>2</v>
      </c>
      <c r="S6006" t="n">
        <v>2934.75</v>
      </c>
      <c r="T6006" t="n">
        <v>6</v>
      </c>
      <c r="U6006" t="n">
        <v>7</v>
      </c>
      <c r="V6006" t="n">
        <v>30</v>
      </c>
      <c r="W6006" t="n">
        <v>2</v>
      </c>
      <c r="X6006" t="n">
        <v>87.9120879120879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11727</v>
      </c>
      <c r="AG6006" t="n">
        <v>63</v>
      </c>
      <c r="AH6006" t="inlineStr">
        <is>
          <t>PT. PARAMA GLOBAL INSPIRA - PPN (PDG)</t>
        </is>
      </c>
      <c r="AI6006" t="n">
        <v>164</v>
      </c>
      <c r="AJ6006" t="inlineStr">
        <is>
          <t>WARDAH</t>
        </is>
      </c>
      <c r="AK6006" t="n">
        <v>21</v>
      </c>
      <c r="AL6006" t="inlineStr">
        <is>
          <t>Miss Glam Damar</t>
        </is>
      </c>
      <c r="AM6006" t="n">
        <v>1</v>
      </c>
      <c r="AN6006" t="n">
        <v>500000</v>
      </c>
      <c r="AO6006" t="n">
        <v>0</v>
      </c>
      <c r="AP6006" t="inlineStr"/>
      <c r="AQ6006" t="inlineStr"/>
    </row>
    <row r="6007">
      <c r="A6007" t="inlineStr">
        <is>
          <t>WARDAH</t>
        </is>
      </c>
      <c r="B6007" s="2">
        <f>"203003107356"</f>
        <v/>
      </c>
      <c r="C6007" t="inlineStr">
        <is>
          <t>WARDAH Airbrush Lip Tint 02 Persimoon 3g</t>
        </is>
      </c>
      <c r="D6007" t="inlineStr">
        <is>
          <t>Miss Glam Damar</t>
        </is>
      </c>
      <c r="E6007" t="n">
        <v>6</v>
      </c>
      <c r="F6007" t="n">
        <v>0.0182</v>
      </c>
      <c r="G6007" t="n">
        <v>0.91</v>
      </c>
      <c r="H6007" t="n">
        <v>2</v>
      </c>
      <c r="I6007" t="n">
        <v>6</v>
      </c>
      <c r="J6007" t="n">
        <v>1</v>
      </c>
      <c r="K6007" t="n">
        <v>0</v>
      </c>
      <c r="L6007" t="n">
        <v>52491</v>
      </c>
      <c r="M6007" t="n">
        <v>64500</v>
      </c>
      <c r="N6007" t="n">
        <v>91</v>
      </c>
      <c r="O6007" t="n">
        <v>0.91</v>
      </c>
      <c r="P6007" t="n">
        <v>1</v>
      </c>
      <c r="Q6007" t="n">
        <v>0.19</v>
      </c>
      <c r="R6007" t="n">
        <v>2</v>
      </c>
      <c r="S6007" t="n">
        <v>1173.9</v>
      </c>
      <c r="T6007" t="n">
        <v>6</v>
      </c>
      <c r="U6007" t="n">
        <v>7</v>
      </c>
      <c r="V6007" t="n">
        <v>30</v>
      </c>
      <c r="W6007" t="n">
        <v>1</v>
      </c>
      <c r="X6007" t="n">
        <v>329.6703296703296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11727</v>
      </c>
      <c r="AG6007" t="n">
        <v>63</v>
      </c>
      <c r="AH6007" t="inlineStr">
        <is>
          <t>PT. PARAMA GLOBAL INSPIRA - PPN (PDG)</t>
        </is>
      </c>
      <c r="AI6007" t="n">
        <v>164</v>
      </c>
      <c r="AJ6007" t="inlineStr">
        <is>
          <t>WARDAH</t>
        </is>
      </c>
      <c r="AK6007" t="n">
        <v>21</v>
      </c>
      <c r="AL6007" t="inlineStr">
        <is>
          <t>Miss Glam Damar</t>
        </is>
      </c>
      <c r="AM6007" t="n">
        <v>1</v>
      </c>
      <c r="AN6007" t="n">
        <v>500000</v>
      </c>
      <c r="AO6007" t="n">
        <v>0</v>
      </c>
      <c r="AP6007" t="inlineStr"/>
      <c r="AQ6007" t="inlineStr"/>
    </row>
    <row r="6008">
      <c r="A6008" t="inlineStr">
        <is>
          <t>WARDAH</t>
        </is>
      </c>
      <c r="B6008" s="2">
        <f>"203003107417"</f>
        <v/>
      </c>
      <c r="C6008" t="inlineStr">
        <is>
          <t>WARDAH Airbrush Lip Tint 03 Peachsun 3g</t>
        </is>
      </c>
      <c r="D6008" t="inlineStr">
        <is>
          <t>Miss Glam Damar</t>
        </is>
      </c>
      <c r="E6008" t="n">
        <v>2</v>
      </c>
      <c r="F6008" t="n">
        <v>0.1365</v>
      </c>
      <c r="G6008" t="n">
        <v>1.82</v>
      </c>
      <c r="H6008" t="n">
        <v>2</v>
      </c>
      <c r="I6008" t="n">
        <v>6</v>
      </c>
      <c r="J6008" t="n">
        <v>1</v>
      </c>
      <c r="K6008" t="n">
        <v>0</v>
      </c>
      <c r="L6008" t="n">
        <v>52491</v>
      </c>
      <c r="M6008" t="n">
        <v>64500</v>
      </c>
      <c r="N6008" t="n">
        <v>91</v>
      </c>
      <c r="O6008" t="n">
        <v>0.91</v>
      </c>
      <c r="P6008" t="n">
        <v>1</v>
      </c>
      <c r="Q6008" t="n">
        <v>0.1</v>
      </c>
      <c r="R6008" t="n">
        <v>1</v>
      </c>
      <c r="S6008" t="n">
        <v>8804.25</v>
      </c>
      <c r="T6008" t="n">
        <v>11</v>
      </c>
      <c r="U6008" t="n">
        <v>12</v>
      </c>
      <c r="V6008" t="n">
        <v>30</v>
      </c>
      <c r="W6008" t="n">
        <v>5</v>
      </c>
      <c r="X6008" t="n">
        <v>14.65201465201465</v>
      </c>
      <c r="Y6008" t="n">
        <v>1</v>
      </c>
      <c r="Z6008" t="n">
        <v>3</v>
      </c>
      <c r="AA6008" t="n">
        <v>0</v>
      </c>
      <c r="AB6008" t="n">
        <v>3</v>
      </c>
      <c r="AC6008" t="n">
        <v>3</v>
      </c>
      <c r="AD6008" t="n">
        <v>0</v>
      </c>
      <c r="AE6008" t="n">
        <v>157473</v>
      </c>
      <c r="AF6008" t="n">
        <v>11727</v>
      </c>
      <c r="AG6008" t="n">
        <v>63</v>
      </c>
      <c r="AH6008" t="inlineStr">
        <is>
          <t>PT. PARAMA GLOBAL INSPIRA - PPN (PDG)</t>
        </is>
      </c>
      <c r="AI6008" t="n">
        <v>164</v>
      </c>
      <c r="AJ6008" t="inlineStr">
        <is>
          <t>WARDAH</t>
        </is>
      </c>
      <c r="AK6008" t="n">
        <v>21</v>
      </c>
      <c r="AL6008" t="inlineStr">
        <is>
          <t>Miss Glam Damar</t>
        </is>
      </c>
      <c r="AM6008" t="n">
        <v>1</v>
      </c>
      <c r="AN6008" t="n">
        <v>500000</v>
      </c>
      <c r="AO6008" t="n">
        <v>0</v>
      </c>
      <c r="AP6008" t="inlineStr"/>
      <c r="AQ6008" t="inlineStr"/>
    </row>
    <row r="6009">
      <c r="A6009" t="inlineStr">
        <is>
          <t>WARDAH</t>
        </is>
      </c>
      <c r="B6009" s="2">
        <f>"203003107406"</f>
        <v/>
      </c>
      <c r="C6009" t="inlineStr">
        <is>
          <t>WARDAH Airbrush Lip Tint 04 Rouges 3g</t>
        </is>
      </c>
      <c r="D6009" t="inlineStr">
        <is>
          <t>Miss Glam Damar</t>
        </is>
      </c>
      <c r="E6009" t="n">
        <v>6</v>
      </c>
      <c r="F6009" t="n">
        <v>0.04550000000000001</v>
      </c>
      <c r="G6009" t="n">
        <v>0.91</v>
      </c>
      <c r="H6009" t="n">
        <v>2</v>
      </c>
      <c r="I6009" t="n">
        <v>6</v>
      </c>
      <c r="J6009" t="n">
        <v>1</v>
      </c>
      <c r="K6009" t="n">
        <v>0</v>
      </c>
      <c r="L6009" t="n">
        <v>52491</v>
      </c>
      <c r="M6009" t="n">
        <v>64500</v>
      </c>
      <c r="N6009" t="n">
        <v>91</v>
      </c>
      <c r="O6009" t="n">
        <v>0.91</v>
      </c>
      <c r="P6009" t="n">
        <v>1</v>
      </c>
      <c r="Q6009" t="n">
        <v>0.02</v>
      </c>
      <c r="R6009" t="n">
        <v>1</v>
      </c>
      <c r="S6009" t="n">
        <v>2934.75</v>
      </c>
      <c r="T6009" t="n">
        <v>6</v>
      </c>
      <c r="U6009" t="n">
        <v>7</v>
      </c>
      <c r="V6009" t="n">
        <v>30</v>
      </c>
      <c r="W6009" t="n">
        <v>2</v>
      </c>
      <c r="X6009" t="n">
        <v>131.8681318681319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11727</v>
      </c>
      <c r="AG6009" t="n">
        <v>63</v>
      </c>
      <c r="AH6009" t="inlineStr">
        <is>
          <t>PT. PARAMA GLOBAL INSPIRA - PPN (PDG)</t>
        </is>
      </c>
      <c r="AI6009" t="n">
        <v>164</v>
      </c>
      <c r="AJ6009" t="inlineStr">
        <is>
          <t>WARDAH</t>
        </is>
      </c>
      <c r="AK6009" t="n">
        <v>21</v>
      </c>
      <c r="AL6009" t="inlineStr">
        <is>
          <t>Miss Glam Damar</t>
        </is>
      </c>
      <c r="AM6009" t="n">
        <v>1</v>
      </c>
      <c r="AN6009" t="n">
        <v>500000</v>
      </c>
      <c r="AO6009" t="n">
        <v>0</v>
      </c>
      <c r="AP6009" t="inlineStr"/>
      <c r="AQ6009" t="inlineStr"/>
    </row>
    <row r="6010">
      <c r="A6010" t="inlineStr">
        <is>
          <t>WARDAH</t>
        </is>
      </c>
      <c r="B6010" s="2">
        <f>"203003107617"</f>
        <v/>
      </c>
      <c r="C6010" t="inlineStr">
        <is>
          <t>WARDAH Airbrush Lip Tint 05 Gingerbread 3g</t>
        </is>
      </c>
      <c r="D6010" t="inlineStr">
        <is>
          <t>Miss Glam Damar</t>
        </is>
      </c>
      <c r="E6010" t="n">
        <v>5</v>
      </c>
      <c r="F6010" t="n">
        <v>0.04550000000000001</v>
      </c>
      <c r="G6010" t="n">
        <v>0.91</v>
      </c>
      <c r="H6010" t="n">
        <v>2</v>
      </c>
      <c r="I6010" t="n">
        <v>6</v>
      </c>
      <c r="J6010" t="n">
        <v>1</v>
      </c>
      <c r="K6010" t="n">
        <v>0</v>
      </c>
      <c r="L6010" t="n">
        <v>52491</v>
      </c>
      <c r="M6010" t="n">
        <v>64500</v>
      </c>
      <c r="N6010" t="n">
        <v>91</v>
      </c>
      <c r="O6010" t="n">
        <v>0.91</v>
      </c>
      <c r="P6010" t="n">
        <v>1</v>
      </c>
      <c r="Q6010" t="n">
        <v>0.07000000000000001</v>
      </c>
      <c r="R6010" t="n">
        <v>2</v>
      </c>
      <c r="S6010" t="n">
        <v>2934.75</v>
      </c>
      <c r="T6010" t="n">
        <v>6</v>
      </c>
      <c r="U6010" t="n">
        <v>7</v>
      </c>
      <c r="V6010" t="n">
        <v>30</v>
      </c>
      <c r="W6010" t="n">
        <v>2</v>
      </c>
      <c r="X6010" t="n">
        <v>109.8901098901099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11727</v>
      </c>
      <c r="AG6010" t="n">
        <v>63</v>
      </c>
      <c r="AH6010" t="inlineStr">
        <is>
          <t>PT. PARAMA GLOBAL INSPIRA - PPN (PDG)</t>
        </is>
      </c>
      <c r="AI6010" t="n">
        <v>164</v>
      </c>
      <c r="AJ6010" t="inlineStr">
        <is>
          <t>WARDAH</t>
        </is>
      </c>
      <c r="AK6010" t="n">
        <v>21</v>
      </c>
      <c r="AL6010" t="inlineStr">
        <is>
          <t>Miss Glam Damar</t>
        </is>
      </c>
      <c r="AM6010" t="n">
        <v>1</v>
      </c>
      <c r="AN6010" t="n">
        <v>500000</v>
      </c>
      <c r="AO6010" t="n">
        <v>0</v>
      </c>
      <c r="AP6010" t="inlineStr"/>
      <c r="AQ6010" t="inlineStr"/>
    </row>
    <row r="6011">
      <c r="A6011" t="inlineStr">
        <is>
          <t>WARDAH</t>
        </is>
      </c>
      <c r="B6011" s="2">
        <f>"203003107744"</f>
        <v/>
      </c>
      <c r="C6011" t="inlineStr">
        <is>
          <t>WARDAH Airbrush Lip Tint 06 Cherrie 3g</t>
        </is>
      </c>
      <c r="D6011" t="inlineStr">
        <is>
          <t>Miss Glam Damar</t>
        </is>
      </c>
      <c r="E6011" t="n">
        <v>3</v>
      </c>
      <c r="F6011" t="n">
        <v>0.0273</v>
      </c>
      <c r="G6011" t="n">
        <v>0.91</v>
      </c>
      <c r="H6011" t="n">
        <v>2</v>
      </c>
      <c r="I6011" t="n">
        <v>6</v>
      </c>
      <c r="J6011" t="n">
        <v>1</v>
      </c>
      <c r="K6011" t="n">
        <v>0</v>
      </c>
      <c r="L6011" t="n">
        <v>52491</v>
      </c>
      <c r="M6011" t="n">
        <v>64500</v>
      </c>
      <c r="N6011" t="n">
        <v>91</v>
      </c>
      <c r="O6011" t="n">
        <v>0.91</v>
      </c>
      <c r="P6011" t="n">
        <v>1</v>
      </c>
      <c r="Q6011" t="n">
        <v>0.12</v>
      </c>
      <c r="R6011" t="n">
        <v>2</v>
      </c>
      <c r="S6011" t="n">
        <v>1760.85</v>
      </c>
      <c r="T6011" t="n">
        <v>6</v>
      </c>
      <c r="U6011" t="n">
        <v>7</v>
      </c>
      <c r="V6011" t="n">
        <v>30</v>
      </c>
      <c r="W6011" t="n">
        <v>1</v>
      </c>
      <c r="X6011" t="n">
        <v>109.8901098901099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11727</v>
      </c>
      <c r="AG6011" t="n">
        <v>63</v>
      </c>
      <c r="AH6011" t="inlineStr">
        <is>
          <t>PT. PARAMA GLOBAL INSPIRA - PPN (PDG)</t>
        </is>
      </c>
      <c r="AI6011" t="n">
        <v>164</v>
      </c>
      <c r="AJ6011" t="inlineStr">
        <is>
          <t>WARDAH</t>
        </is>
      </c>
      <c r="AK6011" t="n">
        <v>21</v>
      </c>
      <c r="AL6011" t="inlineStr">
        <is>
          <t>Miss Glam Damar</t>
        </is>
      </c>
      <c r="AM6011" t="n">
        <v>1</v>
      </c>
      <c r="AN6011" t="n">
        <v>500000</v>
      </c>
      <c r="AO6011" t="n">
        <v>0</v>
      </c>
      <c r="AP6011" t="inlineStr"/>
      <c r="AQ6011" t="inlineStr"/>
    </row>
    <row r="6012">
      <c r="A6012" t="inlineStr">
        <is>
          <t>WARDAH</t>
        </is>
      </c>
      <c r="B6012" s="2">
        <f>"203003107859"</f>
        <v/>
      </c>
      <c r="C6012" t="inlineStr">
        <is>
          <t>WARDAH Airbrush Lip Tint 07 Crimsoul 3g</t>
        </is>
      </c>
      <c r="D6012" t="inlineStr">
        <is>
          <t>Miss Glam Damar</t>
        </is>
      </c>
      <c r="E6012" t="n">
        <v>5</v>
      </c>
      <c r="F6012" t="n">
        <v>0.04550000000000001</v>
      </c>
      <c r="G6012" t="n">
        <v>0.91</v>
      </c>
      <c r="H6012" t="n">
        <v>2</v>
      </c>
      <c r="I6012" t="n">
        <v>6</v>
      </c>
      <c r="J6012" t="n">
        <v>1</v>
      </c>
      <c r="K6012" t="n">
        <v>0</v>
      </c>
      <c r="L6012" t="n">
        <v>52491</v>
      </c>
      <c r="M6012" t="n">
        <v>64500</v>
      </c>
      <c r="N6012" t="n">
        <v>91</v>
      </c>
      <c r="O6012" t="n">
        <v>0.91</v>
      </c>
      <c r="P6012" t="n">
        <v>1</v>
      </c>
      <c r="Q6012" t="n">
        <v>0.02</v>
      </c>
      <c r="R6012" t="n">
        <v>1</v>
      </c>
      <c r="S6012" t="n">
        <v>2934.75</v>
      </c>
      <c r="T6012" t="n">
        <v>6</v>
      </c>
      <c r="U6012" t="n">
        <v>7</v>
      </c>
      <c r="V6012" t="n">
        <v>30</v>
      </c>
      <c r="W6012" t="n">
        <v>2</v>
      </c>
      <c r="X6012" t="n">
        <v>109.8901098901099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11727</v>
      </c>
      <c r="AG6012" t="n">
        <v>63</v>
      </c>
      <c r="AH6012" t="inlineStr">
        <is>
          <t>PT. PARAMA GLOBAL INSPIRA - PPN (PDG)</t>
        </is>
      </c>
      <c r="AI6012" t="n">
        <v>164</v>
      </c>
      <c r="AJ6012" t="inlineStr">
        <is>
          <t>WARDAH</t>
        </is>
      </c>
      <c r="AK6012" t="n">
        <v>21</v>
      </c>
      <c r="AL6012" t="inlineStr">
        <is>
          <t>Miss Glam Damar</t>
        </is>
      </c>
      <c r="AM6012" t="n">
        <v>1</v>
      </c>
      <c r="AN6012" t="n">
        <v>500000</v>
      </c>
      <c r="AO6012" t="n">
        <v>0</v>
      </c>
      <c r="AP6012" t="inlineStr"/>
      <c r="AQ6012" t="inlineStr"/>
    </row>
    <row r="6013">
      <c r="A6013" t="inlineStr">
        <is>
          <t>WARDAH</t>
        </is>
      </c>
      <c r="B6013" s="2">
        <f>"203003107901"</f>
        <v/>
      </c>
      <c r="C6013" t="inlineStr">
        <is>
          <t>WARDAH Airbrush Lip Tint 08 Mauver 3g</t>
        </is>
      </c>
      <c r="D6013" t="inlineStr">
        <is>
          <t>Miss Glam Damar</t>
        </is>
      </c>
      <c r="E6013" t="n">
        <v>4</v>
      </c>
      <c r="F6013" t="n">
        <v>0.0273</v>
      </c>
      <c r="G6013" t="n">
        <v>0.91</v>
      </c>
      <c r="H6013" t="n">
        <v>2</v>
      </c>
      <c r="I6013" t="n">
        <v>6</v>
      </c>
      <c r="J6013" t="n">
        <v>1</v>
      </c>
      <c r="K6013" t="n">
        <v>0</v>
      </c>
      <c r="L6013" t="n">
        <v>52491</v>
      </c>
      <c r="M6013" t="n">
        <v>64500</v>
      </c>
      <c r="N6013" t="n">
        <v>91</v>
      </c>
      <c r="O6013" t="n">
        <v>0.91</v>
      </c>
      <c r="P6013" t="n">
        <v>1</v>
      </c>
      <c r="Q6013" t="n">
        <v>0.12</v>
      </c>
      <c r="R6013" t="n">
        <v>1</v>
      </c>
      <c r="S6013" t="n">
        <v>1760.85</v>
      </c>
      <c r="T6013" t="n">
        <v>6</v>
      </c>
      <c r="U6013" t="n">
        <v>7</v>
      </c>
      <c r="V6013" t="n">
        <v>30</v>
      </c>
      <c r="W6013" t="n">
        <v>1</v>
      </c>
      <c r="X6013" t="n">
        <v>146.5201465201465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11727</v>
      </c>
      <c r="AG6013" t="n">
        <v>63</v>
      </c>
      <c r="AH6013" t="inlineStr">
        <is>
          <t>PT. PARAMA GLOBAL INSPIRA - PPN (PDG)</t>
        </is>
      </c>
      <c r="AI6013" t="n">
        <v>164</v>
      </c>
      <c r="AJ6013" t="inlineStr">
        <is>
          <t>WARDAH</t>
        </is>
      </c>
      <c r="AK6013" t="n">
        <v>21</v>
      </c>
      <c r="AL6013" t="inlineStr">
        <is>
          <t>Miss Glam Damar</t>
        </is>
      </c>
      <c r="AM6013" t="n">
        <v>1</v>
      </c>
      <c r="AN6013" t="n">
        <v>500000</v>
      </c>
      <c r="AO6013" t="n">
        <v>0</v>
      </c>
      <c r="AP6013" t="inlineStr"/>
      <c r="AQ6013" t="inlineStr"/>
    </row>
    <row r="6014">
      <c r="A6014" t="inlineStr">
        <is>
          <t>WARDAH</t>
        </is>
      </c>
      <c r="B6014" s="2">
        <f>"8993137704168"</f>
        <v/>
      </c>
      <c r="C6014" t="inlineStr">
        <is>
          <t>WARDAH Alpha Arbutin TranslussenceTM Illuminating Essence Toner 50ml</t>
        </is>
      </c>
      <c r="D6014" t="inlineStr">
        <is>
          <t>Miss Glam Damar</t>
        </is>
      </c>
      <c r="E6014" t="n">
        <v>4</v>
      </c>
      <c r="F6014" t="n">
        <v>0.1365</v>
      </c>
      <c r="G6014" t="n">
        <v>0.91</v>
      </c>
      <c r="H6014" t="n">
        <v>2</v>
      </c>
      <c r="I6014" t="n">
        <v>6</v>
      </c>
      <c r="J6014" t="n">
        <v>3</v>
      </c>
      <c r="K6014" t="n">
        <v>0</v>
      </c>
      <c r="L6014" t="n">
        <v>63602</v>
      </c>
      <c r="M6014" t="n">
        <v>78000</v>
      </c>
      <c r="N6014" t="n">
        <v>91</v>
      </c>
      <c r="O6014" t="n">
        <v>0.91</v>
      </c>
      <c r="P6014" t="n">
        <v>1</v>
      </c>
      <c r="Q6014" t="n">
        <v>0.22</v>
      </c>
      <c r="R6014" t="n">
        <v>4</v>
      </c>
      <c r="S6014" t="n">
        <v>10647</v>
      </c>
      <c r="T6014" t="n">
        <v>6</v>
      </c>
      <c r="U6014" t="n">
        <v>7</v>
      </c>
      <c r="V6014" t="n">
        <v>30</v>
      </c>
      <c r="W6014" t="n">
        <v>5</v>
      </c>
      <c r="X6014" t="n">
        <v>29.3040293040293</v>
      </c>
      <c r="Y6014" t="n">
        <v>1</v>
      </c>
      <c r="Z6014" t="n">
        <v>1</v>
      </c>
      <c r="AA6014" t="n">
        <v>0</v>
      </c>
      <c r="AB6014" t="n">
        <v>1</v>
      </c>
      <c r="AC6014" t="n">
        <v>3</v>
      </c>
      <c r="AD6014" t="n">
        <v>0</v>
      </c>
      <c r="AE6014" t="n">
        <v>190806</v>
      </c>
      <c r="AF6014" t="n">
        <v>11727</v>
      </c>
      <c r="AG6014" t="n">
        <v>63</v>
      </c>
      <c r="AH6014" t="inlineStr">
        <is>
          <t>PT. PARAMA GLOBAL INSPIRA - PPN (PDG)</t>
        </is>
      </c>
      <c r="AI6014" t="n">
        <v>164</v>
      </c>
      <c r="AJ6014" t="inlineStr">
        <is>
          <t>WARDAH</t>
        </is>
      </c>
      <c r="AK6014" t="n">
        <v>21</v>
      </c>
      <c r="AL6014" t="inlineStr">
        <is>
          <t>Miss Glam Damar</t>
        </is>
      </c>
      <c r="AM6014" t="n">
        <v>1</v>
      </c>
      <c r="AN6014" t="n">
        <v>500000</v>
      </c>
      <c r="AO6014" t="n">
        <v>0</v>
      </c>
      <c r="AP6014" t="inlineStr"/>
      <c r="AQ6014" t="inlineStr"/>
    </row>
    <row r="6015">
      <c r="A6015" t="inlineStr">
        <is>
          <t>WARDAH</t>
        </is>
      </c>
      <c r="B6015" s="2">
        <f>"8993137698436"</f>
        <v/>
      </c>
      <c r="C6015" t="inlineStr">
        <is>
          <t>WARDAH Anti Dandruff Shampoo 170ml</t>
        </is>
      </c>
      <c r="D6015" t="inlineStr">
        <is>
          <t>Miss Glam Damar</t>
        </is>
      </c>
      <c r="E6015" t="n">
        <v>17</v>
      </c>
      <c r="F6015" t="n">
        <v>0.4459</v>
      </c>
      <c r="G6015" t="n">
        <v>2.73</v>
      </c>
      <c r="H6015" t="n">
        <v>2</v>
      </c>
      <c r="I6015" t="n">
        <v>6</v>
      </c>
      <c r="J6015" t="n">
        <v>3</v>
      </c>
      <c r="K6015" t="n">
        <v>0</v>
      </c>
      <c r="L6015" t="n">
        <v>19923</v>
      </c>
      <c r="M6015" t="n">
        <v>24500</v>
      </c>
      <c r="N6015" t="n">
        <v>91</v>
      </c>
      <c r="O6015" t="n">
        <v>0.91</v>
      </c>
      <c r="P6015" t="n">
        <v>1</v>
      </c>
      <c r="Q6015" t="n">
        <v>0.75</v>
      </c>
      <c r="R6015" t="n">
        <v>6</v>
      </c>
      <c r="S6015" t="n">
        <v>10924.55</v>
      </c>
      <c r="T6015" t="n">
        <v>16</v>
      </c>
      <c r="U6015" t="n">
        <v>17</v>
      </c>
      <c r="V6015" t="n">
        <v>30</v>
      </c>
      <c r="W6015" t="n">
        <v>14</v>
      </c>
      <c r="X6015" t="n">
        <v>38.12514016595649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11727</v>
      </c>
      <c r="AG6015" t="n">
        <v>63</v>
      </c>
      <c r="AH6015" t="inlineStr">
        <is>
          <t>PT. PARAMA GLOBAL INSPIRA - PPN (PDG)</t>
        </is>
      </c>
      <c r="AI6015" t="n">
        <v>164</v>
      </c>
      <c r="AJ6015" t="inlineStr">
        <is>
          <t>WARDAH</t>
        </is>
      </c>
      <c r="AK6015" t="n">
        <v>21</v>
      </c>
      <c r="AL6015" t="inlineStr">
        <is>
          <t>Miss Glam Damar</t>
        </is>
      </c>
      <c r="AM6015" t="n">
        <v>1</v>
      </c>
      <c r="AN6015" t="n">
        <v>500000</v>
      </c>
      <c r="AO6015" t="n">
        <v>0</v>
      </c>
      <c r="AP6015" t="inlineStr"/>
      <c r="AQ6015" t="inlineStr"/>
    </row>
    <row r="6016">
      <c r="A6016" t="inlineStr">
        <is>
          <t>WARDAH</t>
        </is>
      </c>
      <c r="B6016" s="2">
        <f>"20200220846"</f>
        <v/>
      </c>
      <c r="C6016" t="inlineStr">
        <is>
          <t>WARDAH Anti-Gravity Iron Mascara 3gr</t>
        </is>
      </c>
      <c r="D6016" t="inlineStr">
        <is>
          <t>Miss Glam Damar</t>
        </is>
      </c>
      <c r="E6016" t="n">
        <v>10</v>
      </c>
      <c r="F6016" t="n">
        <v>1.2376</v>
      </c>
      <c r="G6016" t="n">
        <v>33.67</v>
      </c>
      <c r="H6016" t="n">
        <v>2</v>
      </c>
      <c r="I6016" t="n">
        <v>6</v>
      </c>
      <c r="J6016" t="n">
        <v>1</v>
      </c>
      <c r="K6016" t="n">
        <v>0</v>
      </c>
      <c r="L6016" t="n">
        <v>62069</v>
      </c>
      <c r="M6016" t="n">
        <v>76000</v>
      </c>
      <c r="N6016" t="n">
        <v>91</v>
      </c>
      <c r="O6016" t="n">
        <v>0.91</v>
      </c>
      <c r="P6016" t="n">
        <v>1</v>
      </c>
      <c r="Q6016" t="n">
        <v>0.63</v>
      </c>
      <c r="R6016" t="n">
        <v>2</v>
      </c>
      <c r="S6016" t="n">
        <v>94057.60000000001</v>
      </c>
      <c r="T6016" t="n">
        <v>200</v>
      </c>
      <c r="U6016" t="n">
        <v>203</v>
      </c>
      <c r="V6016" t="n">
        <v>30</v>
      </c>
      <c r="W6016" t="n">
        <v>38</v>
      </c>
      <c r="X6016" t="n">
        <v>8.080155138978668</v>
      </c>
      <c r="Y6016" t="n">
        <v>1</v>
      </c>
      <c r="Z6016" t="n">
        <v>28</v>
      </c>
      <c r="AA6016" t="n">
        <v>0</v>
      </c>
      <c r="AB6016" t="n">
        <v>28</v>
      </c>
      <c r="AC6016" t="n">
        <v>28</v>
      </c>
      <c r="AD6016" t="n">
        <v>0</v>
      </c>
      <c r="AE6016" t="n">
        <v>1737932</v>
      </c>
      <c r="AF6016" t="n">
        <v>11727</v>
      </c>
      <c r="AG6016" t="n">
        <v>63</v>
      </c>
      <c r="AH6016" t="inlineStr">
        <is>
          <t>PT. PARAMA GLOBAL INSPIRA - PPN (PDG)</t>
        </is>
      </c>
      <c r="AI6016" t="n">
        <v>164</v>
      </c>
      <c r="AJ6016" t="inlineStr">
        <is>
          <t>WARDAH</t>
        </is>
      </c>
      <c r="AK6016" t="n">
        <v>21</v>
      </c>
      <c r="AL6016" t="inlineStr">
        <is>
          <t>Miss Glam Damar</t>
        </is>
      </c>
      <c r="AM6016" t="n">
        <v>1</v>
      </c>
      <c r="AN6016" t="n">
        <v>500000</v>
      </c>
      <c r="AO6016" t="n">
        <v>0</v>
      </c>
      <c r="AP6016" t="inlineStr"/>
      <c r="AQ6016" t="inlineStr"/>
    </row>
    <row r="6017">
      <c r="A6017" t="inlineStr">
        <is>
          <t>WARDAH</t>
        </is>
      </c>
      <c r="B6017" s="2">
        <f>"8993137691895"</f>
        <v/>
      </c>
      <c r="C6017" t="inlineStr">
        <is>
          <t>WARDAH B.Butter Passion 50ml</t>
        </is>
      </c>
      <c r="D6017" t="inlineStr">
        <is>
          <t>Miss Glam Damar</t>
        </is>
      </c>
      <c r="E6017" t="n">
        <v>7</v>
      </c>
      <c r="F6017" t="n">
        <v>0.36</v>
      </c>
      <c r="G6017" t="n">
        <v>3</v>
      </c>
      <c r="H6017" t="n">
        <v>2</v>
      </c>
      <c r="I6017" t="n">
        <v>6</v>
      </c>
      <c r="J6017" t="n">
        <v>3</v>
      </c>
      <c r="K6017" t="n">
        <v>0</v>
      </c>
      <c r="L6017" t="n">
        <v>18314</v>
      </c>
      <c r="M6017" t="n">
        <v>22500</v>
      </c>
      <c r="N6017" t="n">
        <v>91</v>
      </c>
      <c r="O6017" t="n">
        <v>0.91</v>
      </c>
      <c r="P6017" t="n">
        <v>0</v>
      </c>
      <c r="Q6017" t="n">
        <v>0.36</v>
      </c>
      <c r="R6017" t="n">
        <v>3</v>
      </c>
      <c r="S6017" t="n">
        <v>8100</v>
      </c>
      <c r="T6017" t="n">
        <v>18</v>
      </c>
      <c r="U6017" t="n">
        <v>19</v>
      </c>
      <c r="V6017" t="n">
        <v>30</v>
      </c>
      <c r="W6017" t="n">
        <v>11</v>
      </c>
      <c r="X6017" t="n">
        <v>19.44444444444445</v>
      </c>
      <c r="Y6017" t="n">
        <v>1</v>
      </c>
      <c r="Z6017" t="n">
        <v>4</v>
      </c>
      <c r="AA6017" t="n">
        <v>0</v>
      </c>
      <c r="AB6017" t="n">
        <v>4</v>
      </c>
      <c r="AC6017" t="n">
        <v>4</v>
      </c>
      <c r="AD6017" t="n">
        <v>0</v>
      </c>
      <c r="AE6017" t="n">
        <v>73256</v>
      </c>
      <c r="AF6017" t="n">
        <v>11727</v>
      </c>
      <c r="AG6017" t="n">
        <v>63</v>
      </c>
      <c r="AH6017" t="inlineStr">
        <is>
          <t>PT. PARAMA GLOBAL INSPIRA - PPN (PDG)</t>
        </is>
      </c>
      <c r="AI6017" t="n">
        <v>164</v>
      </c>
      <c r="AJ6017" t="inlineStr">
        <is>
          <t>WARDAH</t>
        </is>
      </c>
      <c r="AK6017" t="n">
        <v>21</v>
      </c>
      <c r="AL6017" t="inlineStr">
        <is>
          <t>Miss Glam Damar</t>
        </is>
      </c>
      <c r="AM6017" t="n">
        <v>1</v>
      </c>
      <c r="AN6017" t="n">
        <v>500000</v>
      </c>
      <c r="AO6017" t="n">
        <v>0</v>
      </c>
      <c r="AP6017" t="inlineStr"/>
      <c r="AQ6017" t="inlineStr"/>
    </row>
    <row r="6018">
      <c r="A6018" t="inlineStr">
        <is>
          <t>WARDAH</t>
        </is>
      </c>
      <c r="B6018" s="2">
        <f>"8993137690867"</f>
        <v/>
      </c>
      <c r="C6018" t="inlineStr">
        <is>
          <t>WARDAH BB Light Cream Natural Spf 32 15ml</t>
        </is>
      </c>
      <c r="D6018" t="inlineStr">
        <is>
          <t>Miss Glam Damar</t>
        </is>
      </c>
      <c r="E6018" t="n">
        <v>44</v>
      </c>
      <c r="F6018" t="n">
        <v>3.3306</v>
      </c>
      <c r="G6018" t="n">
        <v>9.1</v>
      </c>
      <c r="H6018" t="n">
        <v>2</v>
      </c>
      <c r="I6018" t="n">
        <v>6</v>
      </c>
      <c r="J6018" t="n">
        <v>3</v>
      </c>
      <c r="K6018" t="n">
        <v>0</v>
      </c>
      <c r="L6018" t="n">
        <v>26866</v>
      </c>
      <c r="M6018" t="n">
        <v>33000</v>
      </c>
      <c r="N6018" t="n">
        <v>91</v>
      </c>
      <c r="O6018" t="n">
        <v>0.91</v>
      </c>
      <c r="P6018" t="n">
        <v>1</v>
      </c>
      <c r="Q6018" t="n">
        <v>2.1</v>
      </c>
      <c r="R6018" t="n">
        <v>6</v>
      </c>
      <c r="S6018" t="n">
        <v>109909.8</v>
      </c>
      <c r="T6018" t="n">
        <v>48</v>
      </c>
      <c r="U6018" t="n">
        <v>55</v>
      </c>
      <c r="V6018" t="n">
        <v>30</v>
      </c>
      <c r="W6018" t="n">
        <v>100</v>
      </c>
      <c r="X6018" t="n">
        <v>13.21083288296403</v>
      </c>
      <c r="Y6018" t="n">
        <v>1</v>
      </c>
      <c r="Z6018" t="n">
        <v>56</v>
      </c>
      <c r="AA6018" t="n">
        <v>0</v>
      </c>
      <c r="AB6018" t="n">
        <v>56</v>
      </c>
      <c r="AC6018" t="n">
        <v>56</v>
      </c>
      <c r="AD6018" t="n">
        <v>0</v>
      </c>
      <c r="AE6018" t="n">
        <v>1504496</v>
      </c>
      <c r="AF6018" t="n">
        <v>11727</v>
      </c>
      <c r="AG6018" t="n">
        <v>63</v>
      </c>
      <c r="AH6018" t="inlineStr">
        <is>
          <t>PT. PARAMA GLOBAL INSPIRA - PPN (PDG)</t>
        </is>
      </c>
      <c r="AI6018" t="n">
        <v>164</v>
      </c>
      <c r="AJ6018" t="inlineStr">
        <is>
          <t>WARDAH</t>
        </is>
      </c>
      <c r="AK6018" t="n">
        <v>21</v>
      </c>
      <c r="AL6018" t="inlineStr">
        <is>
          <t>Miss Glam Damar</t>
        </is>
      </c>
      <c r="AM6018" t="n">
        <v>1</v>
      </c>
      <c r="AN6018" t="n">
        <v>500000</v>
      </c>
      <c r="AO6018" t="n">
        <v>0</v>
      </c>
      <c r="AP6018" t="inlineStr"/>
      <c r="AQ6018" t="inlineStr"/>
    </row>
    <row r="6019">
      <c r="A6019" t="inlineStr">
        <is>
          <t>WARDAH</t>
        </is>
      </c>
      <c r="B6019" s="2">
        <f>"8993137698146"</f>
        <v/>
      </c>
      <c r="C6019" t="inlineStr">
        <is>
          <t>WARDAH Bliss Body Mist 100ml</t>
        </is>
      </c>
      <c r="D6019" t="inlineStr">
        <is>
          <t>Miss Glam Damar</t>
        </is>
      </c>
      <c r="E6019" t="n">
        <v>6</v>
      </c>
      <c r="F6019" t="n">
        <v>0.2639</v>
      </c>
      <c r="G6019" t="n">
        <v>1.82</v>
      </c>
      <c r="H6019" t="n">
        <v>2</v>
      </c>
      <c r="I6019" t="n">
        <v>6</v>
      </c>
      <c r="J6019" t="n">
        <v>3</v>
      </c>
      <c r="K6019" t="n">
        <v>0</v>
      </c>
      <c r="L6019" t="n">
        <v>30652</v>
      </c>
      <c r="M6019" t="n">
        <v>37500</v>
      </c>
      <c r="N6019" t="n">
        <v>91</v>
      </c>
      <c r="O6019" t="n">
        <v>0.91</v>
      </c>
      <c r="P6019" t="n">
        <v>1</v>
      </c>
      <c r="Q6019" t="n">
        <v>0.17</v>
      </c>
      <c r="R6019" t="n">
        <v>2</v>
      </c>
      <c r="S6019" t="n">
        <v>9896.249999999998</v>
      </c>
      <c r="T6019" t="n">
        <v>11</v>
      </c>
      <c r="U6019" t="n">
        <v>12</v>
      </c>
      <c r="V6019" t="n">
        <v>30</v>
      </c>
      <c r="W6019" t="n">
        <v>8</v>
      </c>
      <c r="X6019" t="n">
        <v>22.73588480485033</v>
      </c>
      <c r="Y6019" t="n">
        <v>1</v>
      </c>
      <c r="Z6019" t="n">
        <v>2</v>
      </c>
      <c r="AA6019" t="n">
        <v>0</v>
      </c>
      <c r="AB6019" t="n">
        <v>2</v>
      </c>
      <c r="AC6019" t="n">
        <v>3</v>
      </c>
      <c r="AD6019" t="n">
        <v>0</v>
      </c>
      <c r="AE6019" t="n">
        <v>91956</v>
      </c>
      <c r="AF6019" t="n">
        <v>11727</v>
      </c>
      <c r="AG6019" t="n">
        <v>63</v>
      </c>
      <c r="AH6019" t="inlineStr">
        <is>
          <t>PT. PARAMA GLOBAL INSPIRA - PPN (PDG)</t>
        </is>
      </c>
      <c r="AI6019" t="n">
        <v>164</v>
      </c>
      <c r="AJ6019" t="inlineStr">
        <is>
          <t>WARDAH</t>
        </is>
      </c>
      <c r="AK6019" t="n">
        <v>21</v>
      </c>
      <c r="AL6019" t="inlineStr">
        <is>
          <t>Miss Glam Damar</t>
        </is>
      </c>
      <c r="AM6019" t="n">
        <v>1</v>
      </c>
      <c r="AN6019" t="n">
        <v>500000</v>
      </c>
      <c r="AO6019" t="n">
        <v>0</v>
      </c>
      <c r="AP6019" t="inlineStr"/>
      <c r="AQ6019" t="inlineStr"/>
    </row>
    <row r="6020">
      <c r="A6020" t="inlineStr">
        <is>
          <t>WARDAH</t>
        </is>
      </c>
      <c r="B6020" s="2">
        <f>"8993137691918"</f>
        <v/>
      </c>
      <c r="C6020" t="inlineStr">
        <is>
          <t>WARDAH Body Butter Milk &amp; Pearl 50ml</t>
        </is>
      </c>
      <c r="D6020" t="inlineStr">
        <is>
          <t>Miss Glam Damar</t>
        </is>
      </c>
      <c r="E6020" t="n">
        <v>28</v>
      </c>
      <c r="F6020" t="n">
        <v>0.6899999999999999</v>
      </c>
      <c r="G6020" t="n">
        <v>4</v>
      </c>
      <c r="H6020" t="n">
        <v>2</v>
      </c>
      <c r="I6020" t="n">
        <v>6</v>
      </c>
      <c r="J6020" t="n">
        <v>3</v>
      </c>
      <c r="K6020" t="n">
        <v>0</v>
      </c>
      <c r="L6020" t="n">
        <v>18314</v>
      </c>
      <c r="M6020" t="n">
        <v>22500</v>
      </c>
      <c r="N6020" t="n">
        <v>91</v>
      </c>
      <c r="O6020" t="n">
        <v>0.91</v>
      </c>
      <c r="P6020" t="n">
        <v>0</v>
      </c>
      <c r="Q6020" t="n">
        <v>0.6899999999999999</v>
      </c>
      <c r="R6020" t="n">
        <v>4</v>
      </c>
      <c r="S6020" t="n">
        <v>15525</v>
      </c>
      <c r="T6020" t="n">
        <v>23</v>
      </c>
      <c r="U6020" t="n">
        <v>25</v>
      </c>
      <c r="V6020" t="n">
        <v>30</v>
      </c>
      <c r="W6020" t="n">
        <v>21</v>
      </c>
      <c r="X6020" t="n">
        <v>40.57971014492754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11727</v>
      </c>
      <c r="AG6020" t="n">
        <v>63</v>
      </c>
      <c r="AH6020" t="inlineStr">
        <is>
          <t>PT. PARAMA GLOBAL INSPIRA - PPN (PDG)</t>
        </is>
      </c>
      <c r="AI6020" t="n">
        <v>164</v>
      </c>
      <c r="AJ6020" t="inlineStr">
        <is>
          <t>WARDAH</t>
        </is>
      </c>
      <c r="AK6020" t="n">
        <v>21</v>
      </c>
      <c r="AL6020" t="inlineStr">
        <is>
          <t>Miss Glam Damar</t>
        </is>
      </c>
      <c r="AM6020" t="n">
        <v>1</v>
      </c>
      <c r="AN6020" t="n">
        <v>500000</v>
      </c>
      <c r="AO6020" t="n">
        <v>0</v>
      </c>
      <c r="AP6020" t="inlineStr"/>
      <c r="AQ6020" t="inlineStr"/>
    </row>
    <row r="6021">
      <c r="A6021" t="inlineStr">
        <is>
          <t>WARDAH</t>
        </is>
      </c>
      <c r="B6021" s="2">
        <f>"8993137698184"</f>
        <v/>
      </c>
      <c r="C6021" t="inlineStr">
        <is>
          <t>WARDAH Body Mist Purity 100ml</t>
        </is>
      </c>
      <c r="D6021" t="inlineStr">
        <is>
          <t>Miss Glam Damar</t>
        </is>
      </c>
      <c r="E6021" t="n">
        <v>6</v>
      </c>
      <c r="F6021" t="n">
        <v>0.3367</v>
      </c>
      <c r="G6021" t="n">
        <v>1.82</v>
      </c>
      <c r="H6021" t="n">
        <v>2</v>
      </c>
      <c r="I6021" t="n">
        <v>6</v>
      </c>
      <c r="J6021" t="n">
        <v>3</v>
      </c>
      <c r="K6021" t="n">
        <v>0</v>
      </c>
      <c r="L6021" t="n">
        <v>30652</v>
      </c>
      <c r="M6021" t="n">
        <v>37500</v>
      </c>
      <c r="N6021" t="n">
        <v>91</v>
      </c>
      <c r="O6021" t="n">
        <v>0.91</v>
      </c>
      <c r="P6021" t="n">
        <v>1</v>
      </c>
      <c r="Q6021" t="n">
        <v>0.34</v>
      </c>
      <c r="R6021" t="n">
        <v>3</v>
      </c>
      <c r="S6021" t="n">
        <v>12626.25</v>
      </c>
      <c r="T6021" t="n">
        <v>11</v>
      </c>
      <c r="U6021" t="n">
        <v>12</v>
      </c>
      <c r="V6021" t="n">
        <v>30</v>
      </c>
      <c r="W6021" t="n">
        <v>11</v>
      </c>
      <c r="X6021" t="n">
        <v>17.82001782001782</v>
      </c>
      <c r="Y6021" t="n">
        <v>1</v>
      </c>
      <c r="Z6021" t="n">
        <v>5</v>
      </c>
      <c r="AA6021" t="n">
        <v>0</v>
      </c>
      <c r="AB6021" t="n">
        <v>5</v>
      </c>
      <c r="AC6021" t="n">
        <v>5</v>
      </c>
      <c r="AD6021" t="n">
        <v>0</v>
      </c>
      <c r="AE6021" t="n">
        <v>153260</v>
      </c>
      <c r="AF6021" t="n">
        <v>11727</v>
      </c>
      <c r="AG6021" t="n">
        <v>63</v>
      </c>
      <c r="AH6021" t="inlineStr">
        <is>
          <t>PT. PARAMA GLOBAL INSPIRA - PPN (PDG)</t>
        </is>
      </c>
      <c r="AI6021" t="n">
        <v>164</v>
      </c>
      <c r="AJ6021" t="inlineStr">
        <is>
          <t>WARDAH</t>
        </is>
      </c>
      <c r="AK6021" t="n">
        <v>21</v>
      </c>
      <c r="AL6021" t="inlineStr">
        <is>
          <t>Miss Glam Damar</t>
        </is>
      </c>
      <c r="AM6021" t="n">
        <v>1</v>
      </c>
      <c r="AN6021" t="n">
        <v>500000</v>
      </c>
      <c r="AO6021" t="n">
        <v>0</v>
      </c>
      <c r="AP6021" t="inlineStr"/>
      <c r="AQ6021" t="inlineStr"/>
    </row>
    <row r="6022">
      <c r="A6022" t="inlineStr">
        <is>
          <t>WARDAH</t>
        </is>
      </c>
      <c r="B6022" s="2">
        <f>"8993137575140"</f>
        <v/>
      </c>
      <c r="C6022" t="inlineStr">
        <is>
          <t>WARDAH Body Scrub Olive 240 ml</t>
        </is>
      </c>
      <c r="D6022" t="inlineStr">
        <is>
          <t>Miss Glam Damar</t>
        </is>
      </c>
      <c r="E6022" t="n">
        <v>6</v>
      </c>
      <c r="F6022" t="n">
        <v>0.0728</v>
      </c>
      <c r="G6022" t="n">
        <v>0.91</v>
      </c>
      <c r="H6022" t="n">
        <v>2</v>
      </c>
      <c r="I6022" t="n">
        <v>6</v>
      </c>
      <c r="J6022" t="n">
        <v>3</v>
      </c>
      <c r="K6022" t="n">
        <v>0</v>
      </c>
      <c r="L6022" t="n">
        <v>44062</v>
      </c>
      <c r="M6022" t="n">
        <v>54000</v>
      </c>
      <c r="N6022" t="n">
        <v>91</v>
      </c>
      <c r="O6022" t="n">
        <v>0.91</v>
      </c>
      <c r="P6022" t="n">
        <v>1</v>
      </c>
      <c r="Q6022" t="n">
        <v>0.1</v>
      </c>
      <c r="R6022" t="n">
        <v>2</v>
      </c>
      <c r="S6022" t="n">
        <v>3931.2</v>
      </c>
      <c r="T6022" t="n">
        <v>6</v>
      </c>
      <c r="U6022" t="n">
        <v>7</v>
      </c>
      <c r="V6022" t="n">
        <v>30</v>
      </c>
      <c r="W6022" t="n">
        <v>3</v>
      </c>
      <c r="X6022" t="n">
        <v>82.41758241758241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11727</v>
      </c>
      <c r="AG6022" t="n">
        <v>63</v>
      </c>
      <c r="AH6022" t="inlineStr">
        <is>
          <t>PT. PARAMA GLOBAL INSPIRA - PPN (PDG)</t>
        </is>
      </c>
      <c r="AI6022" t="n">
        <v>164</v>
      </c>
      <c r="AJ6022" t="inlineStr">
        <is>
          <t>WARDAH</t>
        </is>
      </c>
      <c r="AK6022" t="n">
        <v>21</v>
      </c>
      <c r="AL6022" t="inlineStr">
        <is>
          <t>Miss Glam Damar</t>
        </is>
      </c>
      <c r="AM6022" t="n">
        <v>1</v>
      </c>
      <c r="AN6022" t="n">
        <v>500000</v>
      </c>
      <c r="AO6022" t="n">
        <v>0</v>
      </c>
      <c r="AP6022" t="inlineStr"/>
      <c r="AQ6022" t="inlineStr"/>
    </row>
    <row r="6023">
      <c r="A6023" t="inlineStr">
        <is>
          <t>WARDAH</t>
        </is>
      </c>
      <c r="B6023" s="2">
        <f>"8993137575133"</f>
        <v/>
      </c>
      <c r="C6023" t="inlineStr">
        <is>
          <t>WARDAH Body Scrub With Olive 150 ml</t>
        </is>
      </c>
      <c r="D6023" t="inlineStr">
        <is>
          <t>Miss Glam Damar</t>
        </is>
      </c>
      <c r="E6023" t="n">
        <v>4</v>
      </c>
      <c r="F6023" t="n">
        <v>0.03</v>
      </c>
      <c r="G6023" t="n">
        <v>1</v>
      </c>
      <c r="H6023" t="n">
        <v>2</v>
      </c>
      <c r="I6023" t="n">
        <v>6</v>
      </c>
      <c r="J6023" t="n">
        <v>3</v>
      </c>
      <c r="K6023" t="n">
        <v>0</v>
      </c>
      <c r="L6023" t="n">
        <v>36660</v>
      </c>
      <c r="M6023" t="n">
        <v>44000</v>
      </c>
      <c r="N6023" t="n">
        <v>91</v>
      </c>
      <c r="O6023" t="n">
        <v>0.91</v>
      </c>
      <c r="P6023" t="n">
        <v>0</v>
      </c>
      <c r="Q6023" t="n">
        <v>0.03</v>
      </c>
      <c r="R6023" t="n">
        <v>1</v>
      </c>
      <c r="S6023" t="n">
        <v>1320</v>
      </c>
      <c r="T6023" t="n">
        <v>6</v>
      </c>
      <c r="U6023" t="n">
        <v>7</v>
      </c>
      <c r="V6023" t="n">
        <v>30</v>
      </c>
      <c r="W6023" t="n">
        <v>1</v>
      </c>
      <c r="X6023" t="n">
        <v>133.3333333333333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11727</v>
      </c>
      <c r="AG6023" t="n">
        <v>63</v>
      </c>
      <c r="AH6023" t="inlineStr">
        <is>
          <t>PT. PARAMA GLOBAL INSPIRA - PPN (PDG)</t>
        </is>
      </c>
      <c r="AI6023" t="n">
        <v>164</v>
      </c>
      <c r="AJ6023" t="inlineStr">
        <is>
          <t>WARDAH</t>
        </is>
      </c>
      <c r="AK6023" t="n">
        <v>21</v>
      </c>
      <c r="AL6023" t="inlineStr">
        <is>
          <t>Miss Glam Damar</t>
        </is>
      </c>
      <c r="AM6023" t="n">
        <v>1</v>
      </c>
      <c r="AN6023" t="n">
        <v>500000</v>
      </c>
      <c r="AO6023" t="n">
        <v>0</v>
      </c>
      <c r="AP6023" t="inlineStr"/>
      <c r="AQ6023" t="inlineStr"/>
    </row>
    <row r="6024">
      <c r="A6024" t="inlineStr">
        <is>
          <t>WARDAH</t>
        </is>
      </c>
      <c r="B6024" s="2">
        <f>"11200148641"</f>
        <v/>
      </c>
      <c r="C6024" t="inlineStr">
        <is>
          <t>WARDAH Bright &amp; Barrier Repair Serum 30ml</t>
        </is>
      </c>
      <c r="D6024" t="inlineStr">
        <is>
          <t>Miss Glam Damar</t>
        </is>
      </c>
      <c r="E6024" t="n">
        <v>14</v>
      </c>
      <c r="F6024" t="n">
        <v>0.5096000000000001</v>
      </c>
      <c r="G6024" t="n">
        <v>2.73</v>
      </c>
      <c r="H6024" t="n">
        <v>2</v>
      </c>
      <c r="I6024" t="n">
        <v>6</v>
      </c>
      <c r="J6024" t="n">
        <v>1</v>
      </c>
      <c r="K6024" t="n">
        <v>0</v>
      </c>
      <c r="L6024" t="n">
        <v>64752</v>
      </c>
      <c r="M6024" t="n">
        <v>79000</v>
      </c>
      <c r="N6024" t="n">
        <v>91</v>
      </c>
      <c r="O6024" t="n">
        <v>0.91</v>
      </c>
      <c r="P6024" t="n">
        <v>1</v>
      </c>
      <c r="Q6024" t="n">
        <v>0.44</v>
      </c>
      <c r="R6024" t="n">
        <v>2</v>
      </c>
      <c r="S6024" t="n">
        <v>40258.4</v>
      </c>
      <c r="T6024" t="n">
        <v>16</v>
      </c>
      <c r="U6024" t="n">
        <v>18</v>
      </c>
      <c r="V6024" t="n">
        <v>30</v>
      </c>
      <c r="W6024" t="n">
        <v>16</v>
      </c>
      <c r="X6024" t="n">
        <v>27.47252747252747</v>
      </c>
      <c r="Y6024" t="n">
        <v>1</v>
      </c>
      <c r="Z6024" t="n">
        <v>2</v>
      </c>
      <c r="AA6024" t="n">
        <v>0</v>
      </c>
      <c r="AB6024" t="n">
        <v>2</v>
      </c>
      <c r="AC6024" t="n">
        <v>2</v>
      </c>
      <c r="AD6024" t="n">
        <v>0</v>
      </c>
      <c r="AE6024" t="n">
        <v>129504</v>
      </c>
      <c r="AF6024" t="n">
        <v>11727</v>
      </c>
      <c r="AG6024" t="n">
        <v>63</v>
      </c>
      <c r="AH6024" t="inlineStr">
        <is>
          <t>PT. PARAMA GLOBAL INSPIRA - PPN (PDG)</t>
        </is>
      </c>
      <c r="AI6024" t="n">
        <v>164</v>
      </c>
      <c r="AJ6024" t="inlineStr">
        <is>
          <t>WARDAH</t>
        </is>
      </c>
      <c r="AK6024" t="n">
        <v>21</v>
      </c>
      <c r="AL6024" t="inlineStr">
        <is>
          <t>Miss Glam Damar</t>
        </is>
      </c>
      <c r="AM6024" t="n">
        <v>1</v>
      </c>
      <c r="AN6024" t="n">
        <v>500000</v>
      </c>
      <c r="AO6024" t="n">
        <v>0</v>
      </c>
      <c r="AP6024" t="inlineStr"/>
      <c r="AQ6024" t="inlineStr"/>
    </row>
    <row r="6025">
      <c r="A6025" t="inlineStr">
        <is>
          <t>WARDAH</t>
        </is>
      </c>
      <c r="B6025" s="2">
        <f>"8993137695190"</f>
        <v/>
      </c>
      <c r="C6025" t="inlineStr">
        <is>
          <t>WARDAH C  Defense Energizing Cream Wash 100ml</t>
        </is>
      </c>
      <c r="D6025" t="inlineStr">
        <is>
          <t>Miss Glam Damar</t>
        </is>
      </c>
      <c r="E6025" t="n">
        <v>11</v>
      </c>
      <c r="F6025" t="n">
        <v>0.22</v>
      </c>
      <c r="G6025" t="n">
        <v>3</v>
      </c>
      <c r="H6025" t="n">
        <v>2</v>
      </c>
      <c r="I6025" t="n">
        <v>6</v>
      </c>
      <c r="J6025" t="n">
        <v>3</v>
      </c>
      <c r="K6025" t="n">
        <v>0</v>
      </c>
      <c r="L6025" t="n">
        <v>28736</v>
      </c>
      <c r="M6025" t="n">
        <v>35500</v>
      </c>
      <c r="N6025" t="n">
        <v>91</v>
      </c>
      <c r="O6025" t="n">
        <v>0.91</v>
      </c>
      <c r="P6025" t="n">
        <v>0</v>
      </c>
      <c r="Q6025" t="n">
        <v>0.22</v>
      </c>
      <c r="R6025" t="n">
        <v>3</v>
      </c>
      <c r="S6025" t="n">
        <v>7810</v>
      </c>
      <c r="T6025" t="n">
        <v>18</v>
      </c>
      <c r="U6025" t="n">
        <v>19</v>
      </c>
      <c r="V6025" t="n">
        <v>30</v>
      </c>
      <c r="W6025" t="n">
        <v>7</v>
      </c>
      <c r="X6025" t="n">
        <v>50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11727</v>
      </c>
      <c r="AG6025" t="n">
        <v>63</v>
      </c>
      <c r="AH6025" t="inlineStr">
        <is>
          <t>PT. PARAMA GLOBAL INSPIRA - PPN (PDG)</t>
        </is>
      </c>
      <c r="AI6025" t="n">
        <v>164</v>
      </c>
      <c r="AJ6025" t="inlineStr">
        <is>
          <t>WARDAH</t>
        </is>
      </c>
      <c r="AK6025" t="n">
        <v>21</v>
      </c>
      <c r="AL6025" t="inlineStr">
        <is>
          <t>Miss Glam Damar</t>
        </is>
      </c>
      <c r="AM6025" t="n">
        <v>1</v>
      </c>
      <c r="AN6025" t="n">
        <v>500000</v>
      </c>
      <c r="AO6025" t="n">
        <v>0</v>
      </c>
      <c r="AP6025" t="inlineStr"/>
      <c r="AQ6025" t="inlineStr"/>
    </row>
    <row r="6026">
      <c r="A6026" t="inlineStr">
        <is>
          <t>WARDAH</t>
        </is>
      </c>
      <c r="B6026" s="2">
        <f>"8993137693721"</f>
        <v/>
      </c>
      <c r="C6026" t="inlineStr">
        <is>
          <t>WARDAH C-Defense Energizing Creamy Wash 60ml</t>
        </is>
      </c>
      <c r="D6026" t="inlineStr">
        <is>
          <t>Miss Glam Damar</t>
        </is>
      </c>
      <c r="E6026" t="n">
        <v>11</v>
      </c>
      <c r="F6026" t="n">
        <v>0.17</v>
      </c>
      <c r="G6026" t="n">
        <v>2</v>
      </c>
      <c r="H6026" t="n">
        <v>2</v>
      </c>
      <c r="I6026" t="n">
        <v>6</v>
      </c>
      <c r="J6026" t="n">
        <v>3</v>
      </c>
      <c r="K6026" t="n">
        <v>0</v>
      </c>
      <c r="L6026" t="n">
        <v>18927</v>
      </c>
      <c r="M6026" t="n">
        <v>23500</v>
      </c>
      <c r="N6026" t="n">
        <v>91</v>
      </c>
      <c r="O6026" t="n">
        <v>0.91</v>
      </c>
      <c r="P6026" t="n">
        <v>0</v>
      </c>
      <c r="Q6026" t="n">
        <v>0.17</v>
      </c>
      <c r="R6026" t="n">
        <v>2</v>
      </c>
      <c r="S6026" t="n">
        <v>3995</v>
      </c>
      <c r="T6026" t="n">
        <v>12</v>
      </c>
      <c r="U6026" t="n">
        <v>13</v>
      </c>
      <c r="V6026" t="n">
        <v>30</v>
      </c>
      <c r="W6026" t="n">
        <v>6</v>
      </c>
      <c r="X6026" t="n">
        <v>64.70588235294117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11727</v>
      </c>
      <c r="AG6026" t="n">
        <v>63</v>
      </c>
      <c r="AH6026" t="inlineStr">
        <is>
          <t>PT. PARAMA GLOBAL INSPIRA - PPN (PDG)</t>
        </is>
      </c>
      <c r="AI6026" t="n">
        <v>164</v>
      </c>
      <c r="AJ6026" t="inlineStr">
        <is>
          <t>WARDAH</t>
        </is>
      </c>
      <c r="AK6026" t="n">
        <v>21</v>
      </c>
      <c r="AL6026" t="inlineStr">
        <is>
          <t>Miss Glam Damar</t>
        </is>
      </c>
      <c r="AM6026" t="n">
        <v>1</v>
      </c>
      <c r="AN6026" t="n">
        <v>500000</v>
      </c>
      <c r="AO6026" t="n">
        <v>0</v>
      </c>
      <c r="AP6026" t="inlineStr"/>
      <c r="AQ6026" t="inlineStr"/>
    </row>
    <row r="6027">
      <c r="A6027" t="inlineStr">
        <is>
          <t>WARDAH</t>
        </is>
      </c>
      <c r="B6027" s="2">
        <f>"8993137695244"</f>
        <v/>
      </c>
      <c r="C6027" t="inlineStr">
        <is>
          <t>WARDAH Cica Aloe Low pH Hydramild Facial Wash 100ml</t>
        </is>
      </c>
      <c r="D6027" t="inlineStr">
        <is>
          <t>Miss Glam Damar</t>
        </is>
      </c>
      <c r="E6027" t="n">
        <v>16</v>
      </c>
      <c r="F6027" t="n">
        <v>1.6653</v>
      </c>
      <c r="G6027" t="n">
        <v>5.46</v>
      </c>
      <c r="H6027" t="n">
        <v>2</v>
      </c>
      <c r="I6027" t="n">
        <v>6</v>
      </c>
      <c r="J6027" t="n">
        <v>3</v>
      </c>
      <c r="K6027" t="n">
        <v>0</v>
      </c>
      <c r="L6027" t="n">
        <v>25287</v>
      </c>
      <c r="M6027" t="n">
        <v>31000</v>
      </c>
      <c r="N6027" t="n">
        <v>91</v>
      </c>
      <c r="O6027" t="n">
        <v>0.91</v>
      </c>
      <c r="P6027" t="n">
        <v>1</v>
      </c>
      <c r="Q6027" t="n">
        <v>0.54</v>
      </c>
      <c r="R6027" t="n">
        <v>5</v>
      </c>
      <c r="S6027" t="n">
        <v>51624.30000000001</v>
      </c>
      <c r="T6027" t="n">
        <v>30</v>
      </c>
      <c r="U6027" t="n">
        <v>34</v>
      </c>
      <c r="V6027" t="n">
        <v>30</v>
      </c>
      <c r="W6027" t="n">
        <v>50</v>
      </c>
      <c r="X6027" t="n">
        <v>9.607878460337476</v>
      </c>
      <c r="Y6027" t="n">
        <v>1</v>
      </c>
      <c r="Z6027" t="n">
        <v>34</v>
      </c>
      <c r="AA6027" t="n">
        <v>0</v>
      </c>
      <c r="AB6027" t="n">
        <v>34</v>
      </c>
      <c r="AC6027" t="n">
        <v>34</v>
      </c>
      <c r="AD6027" t="n">
        <v>0</v>
      </c>
      <c r="AE6027" t="n">
        <v>859758</v>
      </c>
      <c r="AF6027" t="n">
        <v>11727</v>
      </c>
      <c r="AG6027" t="n">
        <v>63</v>
      </c>
      <c r="AH6027" t="inlineStr">
        <is>
          <t>PT. PARAMA GLOBAL INSPIRA - PPN (PDG)</t>
        </is>
      </c>
      <c r="AI6027" t="n">
        <v>164</v>
      </c>
      <c r="AJ6027" t="inlineStr">
        <is>
          <t>WARDAH</t>
        </is>
      </c>
      <c r="AK6027" t="n">
        <v>21</v>
      </c>
      <c r="AL6027" t="inlineStr">
        <is>
          <t>Miss Glam Damar</t>
        </is>
      </c>
      <c r="AM6027" t="n">
        <v>1</v>
      </c>
      <c r="AN6027" t="n">
        <v>500000</v>
      </c>
      <c r="AO6027" t="n">
        <v>0</v>
      </c>
      <c r="AP6027" t="inlineStr"/>
      <c r="AQ6027" t="inlineStr"/>
    </row>
    <row r="6028">
      <c r="A6028" t="inlineStr">
        <is>
          <t>WARDAH</t>
        </is>
      </c>
      <c r="B6028" s="2">
        <f>"8993137003797"</f>
        <v/>
      </c>
      <c r="C6028" t="inlineStr">
        <is>
          <t>WARDAH Cica Complex Panthenol Ceramide 30gr</t>
        </is>
      </c>
      <c r="D6028" t="inlineStr">
        <is>
          <t>Miss Glam Damar</t>
        </is>
      </c>
      <c r="E6028" t="n">
        <v>10</v>
      </c>
      <c r="F6028" t="n">
        <v>0.6279</v>
      </c>
      <c r="G6028" t="n">
        <v>3.64</v>
      </c>
      <c r="H6028" t="n">
        <v>2</v>
      </c>
      <c r="I6028" t="n">
        <v>6</v>
      </c>
      <c r="J6028" t="n">
        <v>3</v>
      </c>
      <c r="K6028" t="n">
        <v>0</v>
      </c>
      <c r="L6028" t="n">
        <v>82760</v>
      </c>
      <c r="M6028" t="n">
        <v>101000</v>
      </c>
      <c r="N6028" t="n">
        <v>91</v>
      </c>
      <c r="O6028" t="n">
        <v>0.91</v>
      </c>
      <c r="P6028" t="n">
        <v>1</v>
      </c>
      <c r="Q6028" t="n">
        <v>0.53</v>
      </c>
      <c r="R6028" t="n">
        <v>2</v>
      </c>
      <c r="S6028" t="n">
        <v>63417.9</v>
      </c>
      <c r="T6028" t="n">
        <v>21</v>
      </c>
      <c r="U6028" t="n">
        <v>23</v>
      </c>
      <c r="V6028" t="n">
        <v>30</v>
      </c>
      <c r="W6028" t="n">
        <v>19</v>
      </c>
      <c r="X6028" t="n">
        <v>15.92610288262462</v>
      </c>
      <c r="Y6028" t="n">
        <v>1</v>
      </c>
      <c r="Z6028" t="n">
        <v>9</v>
      </c>
      <c r="AA6028" t="n">
        <v>0</v>
      </c>
      <c r="AB6028" t="n">
        <v>9</v>
      </c>
      <c r="AC6028" t="n">
        <v>9</v>
      </c>
      <c r="AD6028" t="n">
        <v>0</v>
      </c>
      <c r="AE6028" t="n">
        <v>744840</v>
      </c>
      <c r="AF6028" t="n">
        <v>11727</v>
      </c>
      <c r="AG6028" t="n">
        <v>63</v>
      </c>
      <c r="AH6028" t="inlineStr">
        <is>
          <t>PT. PARAMA GLOBAL INSPIRA - PPN (PDG)</t>
        </is>
      </c>
      <c r="AI6028" t="n">
        <v>164</v>
      </c>
      <c r="AJ6028" t="inlineStr">
        <is>
          <t>WARDAH</t>
        </is>
      </c>
      <c r="AK6028" t="n">
        <v>21</v>
      </c>
      <c r="AL6028" t="inlineStr">
        <is>
          <t>Miss Glam Damar</t>
        </is>
      </c>
      <c r="AM6028" t="n">
        <v>1</v>
      </c>
      <c r="AN6028" t="n">
        <v>500000</v>
      </c>
      <c r="AO6028" t="n">
        <v>0</v>
      </c>
      <c r="AP6028" t="inlineStr"/>
      <c r="AQ6028" t="inlineStr"/>
    </row>
    <row r="6029">
      <c r="A6029" t="inlineStr">
        <is>
          <t>WARDAH</t>
        </is>
      </c>
      <c r="B6029" s="2">
        <f>"8993137710800"</f>
        <v/>
      </c>
      <c r="C6029" t="inlineStr">
        <is>
          <t>WARDAH Color Fit Cream Blush 01 Sand Coral 5gr</t>
        </is>
      </c>
      <c r="D6029" t="inlineStr">
        <is>
          <t>Miss Glam Damar</t>
        </is>
      </c>
      <c r="E6029" t="n">
        <v>15</v>
      </c>
      <c r="F6029" t="n">
        <v>0.3549</v>
      </c>
      <c r="G6029" t="n">
        <v>4.55</v>
      </c>
      <c r="H6029" t="n">
        <v>2</v>
      </c>
      <c r="I6029" t="n">
        <v>6</v>
      </c>
      <c r="J6029" t="n">
        <v>3</v>
      </c>
      <c r="K6029" t="n">
        <v>0</v>
      </c>
      <c r="L6029" t="n">
        <v>42912</v>
      </c>
      <c r="M6029" t="n">
        <v>52500</v>
      </c>
      <c r="N6029" t="n">
        <v>91</v>
      </c>
      <c r="O6029" t="n">
        <v>0.91</v>
      </c>
      <c r="P6029" t="n">
        <v>1</v>
      </c>
      <c r="Q6029" t="n">
        <v>0.83</v>
      </c>
      <c r="R6029" t="n">
        <v>2</v>
      </c>
      <c r="S6029" t="n">
        <v>18632.25</v>
      </c>
      <c r="T6029" t="n">
        <v>27</v>
      </c>
      <c r="U6029" t="n">
        <v>28</v>
      </c>
      <c r="V6029" t="n">
        <v>30</v>
      </c>
      <c r="W6029" t="n">
        <v>11</v>
      </c>
      <c r="X6029" t="n">
        <v>42.26542688081149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11727</v>
      </c>
      <c r="AG6029" t="n">
        <v>63</v>
      </c>
      <c r="AH6029" t="inlineStr">
        <is>
          <t>PT. PARAMA GLOBAL INSPIRA - PPN (PDG)</t>
        </is>
      </c>
      <c r="AI6029" t="n">
        <v>164</v>
      </c>
      <c r="AJ6029" t="inlineStr">
        <is>
          <t>WARDAH</t>
        </is>
      </c>
      <c r="AK6029" t="n">
        <v>21</v>
      </c>
      <c r="AL6029" t="inlineStr">
        <is>
          <t>Miss Glam Damar</t>
        </is>
      </c>
      <c r="AM6029" t="n">
        <v>1</v>
      </c>
      <c r="AN6029" t="n">
        <v>500000</v>
      </c>
      <c r="AO6029" t="n">
        <v>0</v>
      </c>
      <c r="AP6029" t="inlineStr"/>
      <c r="AQ6029" t="inlineStr"/>
    </row>
    <row r="6030">
      <c r="A6030" t="inlineStr">
        <is>
          <t>WARDAH</t>
        </is>
      </c>
      <c r="B6030" s="2">
        <f>"8993137710824"</f>
        <v/>
      </c>
      <c r="C6030" t="inlineStr">
        <is>
          <t>WARDAH Color Fit Cream Blush 02 Merry Mauve 3gr</t>
        </is>
      </c>
      <c r="D6030" t="inlineStr">
        <is>
          <t>Miss Glam Damar</t>
        </is>
      </c>
      <c r="E6030" t="n">
        <v>17</v>
      </c>
      <c r="F6030" t="n">
        <v>1.1284</v>
      </c>
      <c r="G6030" t="n">
        <v>4.55</v>
      </c>
      <c r="H6030" t="n">
        <v>2</v>
      </c>
      <c r="I6030" t="n">
        <v>6</v>
      </c>
      <c r="J6030" t="n">
        <v>3</v>
      </c>
      <c r="K6030" t="n">
        <v>0</v>
      </c>
      <c r="L6030" t="n">
        <v>42912</v>
      </c>
      <c r="M6030" t="n">
        <v>52500</v>
      </c>
      <c r="N6030" t="n">
        <v>91</v>
      </c>
      <c r="O6030" t="n">
        <v>0.91</v>
      </c>
      <c r="P6030" t="n">
        <v>1</v>
      </c>
      <c r="Q6030" t="n">
        <v>1.02</v>
      </c>
      <c r="R6030" t="n">
        <v>3</v>
      </c>
      <c r="S6030" t="n">
        <v>59241.00000000001</v>
      </c>
      <c r="T6030" t="n">
        <v>26</v>
      </c>
      <c r="U6030" t="n">
        <v>29</v>
      </c>
      <c r="V6030" t="n">
        <v>30</v>
      </c>
      <c r="W6030" t="n">
        <v>34</v>
      </c>
      <c r="X6030" t="n">
        <v>15.06557958170861</v>
      </c>
      <c r="Y6030" t="n">
        <v>1</v>
      </c>
      <c r="Z6030" t="n">
        <v>17</v>
      </c>
      <c r="AA6030" t="n">
        <v>0</v>
      </c>
      <c r="AB6030" t="n">
        <v>17</v>
      </c>
      <c r="AC6030" t="n">
        <v>17</v>
      </c>
      <c r="AD6030" t="n">
        <v>0</v>
      </c>
      <c r="AE6030" t="n">
        <v>729504</v>
      </c>
      <c r="AF6030" t="n">
        <v>11727</v>
      </c>
      <c r="AG6030" t="n">
        <v>63</v>
      </c>
      <c r="AH6030" t="inlineStr">
        <is>
          <t>PT. PARAMA GLOBAL INSPIRA - PPN (PDG)</t>
        </is>
      </c>
      <c r="AI6030" t="n">
        <v>164</v>
      </c>
      <c r="AJ6030" t="inlineStr">
        <is>
          <t>WARDAH</t>
        </is>
      </c>
      <c r="AK6030" t="n">
        <v>21</v>
      </c>
      <c r="AL6030" t="inlineStr">
        <is>
          <t>Miss Glam Damar</t>
        </is>
      </c>
      <c r="AM6030" t="n">
        <v>1</v>
      </c>
      <c r="AN6030" t="n">
        <v>500000</v>
      </c>
      <c r="AO6030" t="n">
        <v>0</v>
      </c>
      <c r="AP6030" t="inlineStr"/>
      <c r="AQ6030" t="inlineStr"/>
    </row>
    <row r="6031">
      <c r="A6031" t="inlineStr">
        <is>
          <t>WARDAH</t>
        </is>
      </c>
      <c r="B6031" s="2">
        <f>"8993137710831"</f>
        <v/>
      </c>
      <c r="C6031" t="inlineStr">
        <is>
          <t>WARDAH Color Fit Cream Blush 03 Summer Peach 3gr</t>
        </is>
      </c>
      <c r="D6031" t="inlineStr">
        <is>
          <t>Miss Glam Damar</t>
        </is>
      </c>
      <c r="E6031" t="n">
        <v>3</v>
      </c>
      <c r="F6031" t="n">
        <v>0.1729</v>
      </c>
      <c r="G6031" t="n">
        <v>1.82</v>
      </c>
      <c r="H6031" t="n">
        <v>2</v>
      </c>
      <c r="I6031" t="n">
        <v>6</v>
      </c>
      <c r="J6031" t="n">
        <v>3</v>
      </c>
      <c r="K6031" t="n">
        <v>0</v>
      </c>
      <c r="L6031" t="n">
        <v>42912</v>
      </c>
      <c r="M6031" t="n">
        <v>52500</v>
      </c>
      <c r="N6031" t="n">
        <v>91</v>
      </c>
      <c r="O6031" t="n">
        <v>0.91</v>
      </c>
      <c r="P6031" t="n">
        <v>1</v>
      </c>
      <c r="Q6031" t="n">
        <v>0.25</v>
      </c>
      <c r="R6031" t="n">
        <v>2</v>
      </c>
      <c r="S6031" t="n">
        <v>9077.25</v>
      </c>
      <c r="T6031" t="n">
        <v>11</v>
      </c>
      <c r="U6031" t="n">
        <v>12</v>
      </c>
      <c r="V6031" t="n">
        <v>30</v>
      </c>
      <c r="W6031" t="n">
        <v>6</v>
      </c>
      <c r="X6031" t="n">
        <v>17.35106998264893</v>
      </c>
      <c r="Y6031" t="n">
        <v>1</v>
      </c>
      <c r="Z6031" t="n">
        <v>3</v>
      </c>
      <c r="AA6031" t="n">
        <v>0</v>
      </c>
      <c r="AB6031" t="n">
        <v>3</v>
      </c>
      <c r="AC6031" t="n">
        <v>3</v>
      </c>
      <c r="AD6031" t="n">
        <v>0</v>
      </c>
      <c r="AE6031" t="n">
        <v>128736</v>
      </c>
      <c r="AF6031" t="n">
        <v>11727</v>
      </c>
      <c r="AG6031" t="n">
        <v>63</v>
      </c>
      <c r="AH6031" t="inlineStr">
        <is>
          <t>PT. PARAMA GLOBAL INSPIRA - PPN (PDG)</t>
        </is>
      </c>
      <c r="AI6031" t="n">
        <v>164</v>
      </c>
      <c r="AJ6031" t="inlineStr">
        <is>
          <t>WARDAH</t>
        </is>
      </c>
      <c r="AK6031" t="n">
        <v>21</v>
      </c>
      <c r="AL6031" t="inlineStr">
        <is>
          <t>Miss Glam Damar</t>
        </is>
      </c>
      <c r="AM6031" t="n">
        <v>1</v>
      </c>
      <c r="AN6031" t="n">
        <v>500000</v>
      </c>
      <c r="AO6031" t="n">
        <v>0</v>
      </c>
      <c r="AP6031" t="inlineStr"/>
      <c r="AQ6031" t="inlineStr"/>
    </row>
    <row r="6032">
      <c r="A6032" t="inlineStr">
        <is>
          <t>WARDAH</t>
        </is>
      </c>
      <c r="B6032" s="2">
        <f>"8993137712378"</f>
        <v/>
      </c>
      <c r="C6032" t="inlineStr">
        <is>
          <t>WARDAH Color Fit Ultra Mate Lipstik 13</t>
        </is>
      </c>
      <c r="D6032" t="inlineStr">
        <is>
          <t>Miss Glam Damar</t>
        </is>
      </c>
      <c r="E6032" t="n">
        <v>8</v>
      </c>
      <c r="F6032" t="n">
        <v>0.1092</v>
      </c>
      <c r="G6032" t="n">
        <v>0.91</v>
      </c>
      <c r="H6032" t="n">
        <v>2</v>
      </c>
      <c r="I6032" t="n">
        <v>6</v>
      </c>
      <c r="J6032" t="n">
        <v>3</v>
      </c>
      <c r="K6032" t="n">
        <v>0</v>
      </c>
      <c r="L6032" t="n">
        <v>36398</v>
      </c>
      <c r="M6032" t="n">
        <v>44500</v>
      </c>
      <c r="N6032" t="n">
        <v>91</v>
      </c>
      <c r="O6032" t="n">
        <v>0.91</v>
      </c>
      <c r="P6032" t="n">
        <v>1</v>
      </c>
      <c r="Q6032" t="n">
        <v>0.37</v>
      </c>
      <c r="R6032" t="n">
        <v>4</v>
      </c>
      <c r="S6032" t="n">
        <v>4859.400000000001</v>
      </c>
      <c r="T6032" t="n">
        <v>6</v>
      </c>
      <c r="U6032" t="n">
        <v>7</v>
      </c>
      <c r="V6032" t="n">
        <v>30</v>
      </c>
      <c r="W6032" t="n">
        <v>4</v>
      </c>
      <c r="X6032" t="n">
        <v>73.26007326007326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11727</v>
      </c>
      <c r="AG6032" t="n">
        <v>63</v>
      </c>
      <c r="AH6032" t="inlineStr">
        <is>
          <t>PT. PARAMA GLOBAL INSPIRA - PPN (PDG)</t>
        </is>
      </c>
      <c r="AI6032" t="n">
        <v>164</v>
      </c>
      <c r="AJ6032" t="inlineStr">
        <is>
          <t>WARDAH</t>
        </is>
      </c>
      <c r="AK6032" t="n">
        <v>21</v>
      </c>
      <c r="AL6032" t="inlineStr">
        <is>
          <t>Miss Glam Damar</t>
        </is>
      </c>
      <c r="AM6032" t="n">
        <v>1</v>
      </c>
      <c r="AN6032" t="n">
        <v>500000</v>
      </c>
      <c r="AO6032" t="n">
        <v>0</v>
      </c>
      <c r="AP6032" t="inlineStr"/>
      <c r="AQ6032" t="inlineStr"/>
    </row>
    <row r="6033">
      <c r="A6033" t="inlineStr">
        <is>
          <t>WARDAH</t>
        </is>
      </c>
      <c r="B6033" s="2">
        <f>"8993137711227"</f>
        <v/>
      </c>
      <c r="C6033" t="inlineStr">
        <is>
          <t>WARDAH Color Fit Velvet Powder Foundation 33W Olive Beige</t>
        </is>
      </c>
      <c r="D6033" t="inlineStr">
        <is>
          <t>Miss Glam Damar</t>
        </is>
      </c>
      <c r="E6033" t="n">
        <v>2</v>
      </c>
      <c r="F6033" t="n">
        <v>0.2184</v>
      </c>
      <c r="G6033" t="n">
        <v>1.82</v>
      </c>
      <c r="H6033" t="n">
        <v>2</v>
      </c>
      <c r="I6033" t="n">
        <v>6</v>
      </c>
      <c r="J6033" t="n">
        <v>3</v>
      </c>
      <c r="K6033" t="n">
        <v>0</v>
      </c>
      <c r="L6033" t="n">
        <v>64514</v>
      </c>
      <c r="M6033" t="n">
        <v>78500</v>
      </c>
      <c r="N6033" t="n">
        <v>91</v>
      </c>
      <c r="O6033" t="n">
        <v>0.91</v>
      </c>
      <c r="P6033" t="n">
        <v>1</v>
      </c>
      <c r="Q6033" t="n">
        <v>0.19</v>
      </c>
      <c r="R6033" t="n">
        <v>2</v>
      </c>
      <c r="S6033" t="n">
        <v>17144.4</v>
      </c>
      <c r="T6033" t="n">
        <v>11</v>
      </c>
      <c r="U6033" t="n">
        <v>12</v>
      </c>
      <c r="V6033" t="n">
        <v>30</v>
      </c>
      <c r="W6033" t="n">
        <v>7</v>
      </c>
      <c r="X6033" t="n">
        <v>9.157509157509157</v>
      </c>
      <c r="Y6033" t="n">
        <v>1</v>
      </c>
      <c r="Z6033" t="n">
        <v>5</v>
      </c>
      <c r="AA6033" t="n">
        <v>0</v>
      </c>
      <c r="AB6033" t="n">
        <v>5</v>
      </c>
      <c r="AC6033" t="n">
        <v>5</v>
      </c>
      <c r="AD6033" t="n">
        <v>0</v>
      </c>
      <c r="AE6033" t="n">
        <v>322570</v>
      </c>
      <c r="AF6033" t="n">
        <v>11727</v>
      </c>
      <c r="AG6033" t="n">
        <v>63</v>
      </c>
      <c r="AH6033" t="inlineStr">
        <is>
          <t>PT. PARAMA GLOBAL INSPIRA - PPN (PDG)</t>
        </is>
      </c>
      <c r="AI6033" t="n">
        <v>164</v>
      </c>
      <c r="AJ6033" t="inlineStr">
        <is>
          <t>WARDAH</t>
        </is>
      </c>
      <c r="AK6033" t="n">
        <v>21</v>
      </c>
      <c r="AL6033" t="inlineStr">
        <is>
          <t>Miss Glam Damar</t>
        </is>
      </c>
      <c r="AM6033" t="n">
        <v>1</v>
      </c>
      <c r="AN6033" t="n">
        <v>500000</v>
      </c>
      <c r="AO6033" t="n">
        <v>0</v>
      </c>
      <c r="AP6033" t="inlineStr"/>
      <c r="AQ6033" t="inlineStr"/>
    </row>
    <row r="6034">
      <c r="A6034" t="inlineStr">
        <is>
          <t>WARDAH</t>
        </is>
      </c>
      <c r="B6034" s="2">
        <f>"8993137711685"</f>
        <v/>
      </c>
      <c r="C6034" t="inlineStr">
        <is>
          <t>WARDAH Colorfit  Matte Foundation 23W Warm Ivory 25 ml</t>
        </is>
      </c>
      <c r="D6034" t="inlineStr">
        <is>
          <t>Miss Glam Damar</t>
        </is>
      </c>
      <c r="E6034" t="n">
        <v>8</v>
      </c>
      <c r="F6034" t="n">
        <v>0.09100000000000001</v>
      </c>
      <c r="G6034" t="n">
        <v>0.91</v>
      </c>
      <c r="H6034" t="n">
        <v>2</v>
      </c>
      <c r="I6034" t="n">
        <v>6</v>
      </c>
      <c r="J6034" t="n">
        <v>3</v>
      </c>
      <c r="K6034" t="n">
        <v>0</v>
      </c>
      <c r="L6034" t="n">
        <v>56925</v>
      </c>
      <c r="M6034" t="n">
        <v>70000</v>
      </c>
      <c r="N6034" t="n">
        <v>91</v>
      </c>
      <c r="O6034" t="n">
        <v>0.91</v>
      </c>
      <c r="P6034" t="n">
        <v>1</v>
      </c>
      <c r="Q6034" t="n">
        <v>0.12</v>
      </c>
      <c r="R6034" t="n">
        <v>1</v>
      </c>
      <c r="S6034" t="n">
        <v>6370.000000000001</v>
      </c>
      <c r="T6034" t="n">
        <v>6</v>
      </c>
      <c r="U6034" t="n">
        <v>7</v>
      </c>
      <c r="V6034" t="n">
        <v>30</v>
      </c>
      <c r="W6034" t="n">
        <v>3</v>
      </c>
      <c r="X6034" t="n">
        <v>87.9120879120879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11727</v>
      </c>
      <c r="AG6034" t="n">
        <v>63</v>
      </c>
      <c r="AH6034" t="inlineStr">
        <is>
          <t>PT. PARAMA GLOBAL INSPIRA - PPN (PDG)</t>
        </is>
      </c>
      <c r="AI6034" t="n">
        <v>164</v>
      </c>
      <c r="AJ6034" t="inlineStr">
        <is>
          <t>WARDAH</t>
        </is>
      </c>
      <c r="AK6034" t="n">
        <v>21</v>
      </c>
      <c r="AL6034" t="inlineStr">
        <is>
          <t>Miss Glam Damar</t>
        </is>
      </c>
      <c r="AM6034" t="n">
        <v>1</v>
      </c>
      <c r="AN6034" t="n">
        <v>500000</v>
      </c>
      <c r="AO6034" t="n">
        <v>0</v>
      </c>
      <c r="AP6034" t="inlineStr"/>
      <c r="AQ6034" t="inlineStr"/>
    </row>
    <row r="6035">
      <c r="A6035" t="inlineStr">
        <is>
          <t>WARDAH</t>
        </is>
      </c>
      <c r="B6035" s="2">
        <f>"8993137711197"</f>
        <v/>
      </c>
      <c r="C6035" t="inlineStr">
        <is>
          <t>WARDAH Colorfit  Velvet Powder Foundation 22N Light Ivory 11gr</t>
        </is>
      </c>
      <c r="D6035" t="inlineStr">
        <is>
          <t>Miss Glam Damar</t>
        </is>
      </c>
      <c r="E6035" t="n">
        <v>9</v>
      </c>
      <c r="F6035" t="n">
        <v>0.6825</v>
      </c>
      <c r="G6035" t="n">
        <v>2.73</v>
      </c>
      <c r="H6035" t="n">
        <v>2</v>
      </c>
      <c r="I6035" t="n">
        <v>6</v>
      </c>
      <c r="J6035" t="n">
        <v>3</v>
      </c>
      <c r="K6035" t="n">
        <v>0</v>
      </c>
      <c r="L6035" t="n">
        <v>64751</v>
      </c>
      <c r="M6035" t="n">
        <v>79000</v>
      </c>
      <c r="N6035" t="n">
        <v>91</v>
      </c>
      <c r="O6035" t="n">
        <v>0.91</v>
      </c>
      <c r="P6035" t="n">
        <v>1</v>
      </c>
      <c r="Q6035" t="n">
        <v>0.34</v>
      </c>
      <c r="R6035" t="n">
        <v>2</v>
      </c>
      <c r="S6035" t="n">
        <v>53917.5</v>
      </c>
      <c r="T6035" t="n">
        <v>16</v>
      </c>
      <c r="U6035" t="n">
        <v>18</v>
      </c>
      <c r="V6035" t="n">
        <v>30</v>
      </c>
      <c r="W6035" t="n">
        <v>21</v>
      </c>
      <c r="X6035" t="n">
        <v>13.18681318681319</v>
      </c>
      <c r="Y6035" t="n">
        <v>1</v>
      </c>
      <c r="Z6035" t="n">
        <v>12</v>
      </c>
      <c r="AA6035" t="n">
        <v>0</v>
      </c>
      <c r="AB6035" t="n">
        <v>12</v>
      </c>
      <c r="AC6035" t="n">
        <v>12</v>
      </c>
      <c r="AD6035" t="n">
        <v>0</v>
      </c>
      <c r="AE6035" t="n">
        <v>777012</v>
      </c>
      <c r="AF6035" t="n">
        <v>11727</v>
      </c>
      <c r="AG6035" t="n">
        <v>63</v>
      </c>
      <c r="AH6035" t="inlineStr">
        <is>
          <t>PT. PARAMA GLOBAL INSPIRA - PPN (PDG)</t>
        </is>
      </c>
      <c r="AI6035" t="n">
        <v>164</v>
      </c>
      <c r="AJ6035" t="inlineStr">
        <is>
          <t>WARDAH</t>
        </is>
      </c>
      <c r="AK6035" t="n">
        <v>21</v>
      </c>
      <c r="AL6035" t="inlineStr">
        <is>
          <t>Miss Glam Damar</t>
        </is>
      </c>
      <c r="AM6035" t="n">
        <v>1</v>
      </c>
      <c r="AN6035" t="n">
        <v>500000</v>
      </c>
      <c r="AO6035" t="n">
        <v>0</v>
      </c>
      <c r="AP6035" t="inlineStr"/>
      <c r="AQ6035" t="inlineStr"/>
    </row>
    <row r="6036">
      <c r="A6036" t="inlineStr">
        <is>
          <t>WARDAH</t>
        </is>
      </c>
      <c r="B6036" s="2">
        <f>"20100466114"</f>
        <v/>
      </c>
      <c r="C6036" t="inlineStr">
        <is>
          <t>WARDAH Colorfit 5D Blur Cloud Cushion 21C Shell 15gr</t>
        </is>
      </c>
      <c r="D6036" t="inlineStr">
        <is>
          <t>Miss Glam Damar</t>
        </is>
      </c>
      <c r="E6036" t="n">
        <v>3</v>
      </c>
      <c r="F6036" t="n">
        <v>0.1365</v>
      </c>
      <c r="G6036" t="n">
        <v>1.82</v>
      </c>
      <c r="H6036" t="n">
        <v>2</v>
      </c>
      <c r="I6036" t="n">
        <v>6</v>
      </c>
      <c r="J6036" t="n">
        <v>3</v>
      </c>
      <c r="K6036" t="n">
        <v>0</v>
      </c>
      <c r="L6036" t="n">
        <v>111113</v>
      </c>
      <c r="M6036" t="n">
        <v>136000</v>
      </c>
      <c r="N6036" t="n">
        <v>91</v>
      </c>
      <c r="O6036" t="n">
        <v>0.91</v>
      </c>
      <c r="P6036" t="n">
        <v>1</v>
      </c>
      <c r="Q6036" t="n">
        <v>0.14</v>
      </c>
      <c r="R6036" t="n">
        <v>1</v>
      </c>
      <c r="S6036" t="n">
        <v>18564</v>
      </c>
      <c r="T6036" t="n">
        <v>11</v>
      </c>
      <c r="U6036" t="n">
        <v>12</v>
      </c>
      <c r="V6036" t="n">
        <v>30</v>
      </c>
      <c r="W6036" t="n">
        <v>5</v>
      </c>
      <c r="X6036" t="n">
        <v>21.97802197802198</v>
      </c>
      <c r="Y6036" t="n">
        <v>1</v>
      </c>
      <c r="Z6036" t="n">
        <v>2</v>
      </c>
      <c r="AA6036" t="n">
        <v>0</v>
      </c>
      <c r="AB6036" t="n">
        <v>2</v>
      </c>
      <c r="AC6036" t="n">
        <v>3</v>
      </c>
      <c r="AD6036" t="n">
        <v>0</v>
      </c>
      <c r="AE6036" t="n">
        <v>333339</v>
      </c>
      <c r="AF6036" t="n">
        <v>11727</v>
      </c>
      <c r="AG6036" t="n">
        <v>63</v>
      </c>
      <c r="AH6036" t="inlineStr">
        <is>
          <t>PT. PARAMA GLOBAL INSPIRA - PPN (PDG)</t>
        </is>
      </c>
      <c r="AI6036" t="n">
        <v>164</v>
      </c>
      <c r="AJ6036" t="inlineStr">
        <is>
          <t>WARDAH</t>
        </is>
      </c>
      <c r="AK6036" t="n">
        <v>21</v>
      </c>
      <c r="AL6036" t="inlineStr">
        <is>
          <t>Miss Glam Damar</t>
        </is>
      </c>
      <c r="AM6036" t="n">
        <v>1</v>
      </c>
      <c r="AN6036" t="n">
        <v>500000</v>
      </c>
      <c r="AO6036" t="n">
        <v>0</v>
      </c>
      <c r="AP6036" t="inlineStr"/>
      <c r="AQ6036" t="inlineStr"/>
    </row>
    <row r="6037">
      <c r="A6037" t="inlineStr">
        <is>
          <t>WARDAH</t>
        </is>
      </c>
      <c r="B6037" s="2">
        <f>"20100466332"</f>
        <v/>
      </c>
      <c r="C6037" t="inlineStr">
        <is>
          <t>WARDAH Colorfit 5D Blur Cloud Cushion 21W Linen 15gr</t>
        </is>
      </c>
      <c r="D6037" t="inlineStr">
        <is>
          <t>Miss Glam Damar</t>
        </is>
      </c>
      <c r="E6037" t="n">
        <v>8</v>
      </c>
      <c r="F6037" t="n">
        <v>0.2184</v>
      </c>
      <c r="G6037" t="n">
        <v>2.73</v>
      </c>
      <c r="H6037" t="n">
        <v>2</v>
      </c>
      <c r="I6037" t="n">
        <v>6</v>
      </c>
      <c r="J6037" t="n">
        <v>3</v>
      </c>
      <c r="K6037" t="n">
        <v>0</v>
      </c>
      <c r="L6037" t="n">
        <v>114555</v>
      </c>
      <c r="M6037" t="n">
        <v>136000</v>
      </c>
      <c r="N6037" t="n">
        <v>91</v>
      </c>
      <c r="O6037" t="n">
        <v>0.91</v>
      </c>
      <c r="P6037" t="n">
        <v>1</v>
      </c>
      <c r="Q6037" t="n">
        <v>0.32</v>
      </c>
      <c r="R6037" t="n">
        <v>2</v>
      </c>
      <c r="S6037" t="n">
        <v>29702.4</v>
      </c>
      <c r="T6037" t="n">
        <v>16</v>
      </c>
      <c r="U6037" t="n">
        <v>17</v>
      </c>
      <c r="V6037" t="n">
        <v>30</v>
      </c>
      <c r="W6037" t="n">
        <v>7</v>
      </c>
      <c r="X6037" t="n">
        <v>36.63003663003663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11727</v>
      </c>
      <c r="AG6037" t="n">
        <v>63</v>
      </c>
      <c r="AH6037" t="inlineStr">
        <is>
          <t>PT. PARAMA GLOBAL INSPIRA - PPN (PDG)</t>
        </is>
      </c>
      <c r="AI6037" t="n">
        <v>164</v>
      </c>
      <c r="AJ6037" t="inlineStr">
        <is>
          <t>WARDAH</t>
        </is>
      </c>
      <c r="AK6037" t="n">
        <v>21</v>
      </c>
      <c r="AL6037" t="inlineStr">
        <is>
          <t>Miss Glam Damar</t>
        </is>
      </c>
      <c r="AM6037" t="n">
        <v>1</v>
      </c>
      <c r="AN6037" t="n">
        <v>500000</v>
      </c>
      <c r="AO6037" t="n">
        <v>0</v>
      </c>
      <c r="AP6037" t="inlineStr"/>
      <c r="AQ6037" t="inlineStr"/>
    </row>
    <row r="6038">
      <c r="A6038" t="inlineStr">
        <is>
          <t>WARDAH</t>
        </is>
      </c>
      <c r="B6038" s="2">
        <f>"20100466246"</f>
        <v/>
      </c>
      <c r="C6038" t="inlineStr">
        <is>
          <t>WARDAH Colorfit 5D Blur Cloud Cushion 22N Light Ivory 15gr</t>
        </is>
      </c>
      <c r="D6038" t="inlineStr">
        <is>
          <t>Miss Glam Damar</t>
        </is>
      </c>
      <c r="E6038" t="n">
        <v>16</v>
      </c>
      <c r="F6038" t="n">
        <v>0.7098000000000001</v>
      </c>
      <c r="G6038" t="n">
        <v>2.73</v>
      </c>
      <c r="H6038" t="n">
        <v>2</v>
      </c>
      <c r="I6038" t="n">
        <v>6</v>
      </c>
      <c r="J6038" t="n">
        <v>3</v>
      </c>
      <c r="K6038" t="n">
        <v>0</v>
      </c>
      <c r="L6038" t="n">
        <v>111113</v>
      </c>
      <c r="M6038" t="n">
        <v>136000</v>
      </c>
      <c r="N6038" t="n">
        <v>91</v>
      </c>
      <c r="O6038" t="n">
        <v>0.91</v>
      </c>
      <c r="P6038" t="n">
        <v>1</v>
      </c>
      <c r="Q6038" t="n">
        <v>0.66</v>
      </c>
      <c r="R6038" t="n">
        <v>4</v>
      </c>
      <c r="S6038" t="n">
        <v>96532.80000000002</v>
      </c>
      <c r="T6038" t="n">
        <v>15</v>
      </c>
      <c r="U6038" t="n">
        <v>17</v>
      </c>
      <c r="V6038" t="n">
        <v>30</v>
      </c>
      <c r="W6038" t="n">
        <v>22</v>
      </c>
      <c r="X6038" t="n">
        <v>22.54156100309946</v>
      </c>
      <c r="Y6038" t="n">
        <v>1</v>
      </c>
      <c r="Z6038" t="n">
        <v>6</v>
      </c>
      <c r="AA6038" t="n">
        <v>0</v>
      </c>
      <c r="AB6038" t="n">
        <v>6</v>
      </c>
      <c r="AC6038" t="n">
        <v>6</v>
      </c>
      <c r="AD6038" t="n">
        <v>0</v>
      </c>
      <c r="AE6038" t="n">
        <v>666678</v>
      </c>
      <c r="AF6038" t="n">
        <v>11727</v>
      </c>
      <c r="AG6038" t="n">
        <v>63</v>
      </c>
      <c r="AH6038" t="inlineStr">
        <is>
          <t>PT. PARAMA GLOBAL INSPIRA - PPN (PDG)</t>
        </is>
      </c>
      <c r="AI6038" t="n">
        <v>164</v>
      </c>
      <c r="AJ6038" t="inlineStr">
        <is>
          <t>WARDAH</t>
        </is>
      </c>
      <c r="AK6038" t="n">
        <v>21</v>
      </c>
      <c r="AL6038" t="inlineStr">
        <is>
          <t>Miss Glam Damar</t>
        </is>
      </c>
      <c r="AM6038" t="n">
        <v>1</v>
      </c>
      <c r="AN6038" t="n">
        <v>500000</v>
      </c>
      <c r="AO6038" t="n">
        <v>0</v>
      </c>
      <c r="AP6038" t="inlineStr"/>
      <c r="AQ6038" t="inlineStr"/>
    </row>
    <row r="6039">
      <c r="A6039" t="inlineStr">
        <is>
          <t>WARDAH</t>
        </is>
      </c>
      <c r="B6039" s="2">
        <f>"20100466402"</f>
        <v/>
      </c>
      <c r="C6039" t="inlineStr">
        <is>
          <t>WARDAH Colorfit 5D Blur Cloud Cushion 23W Warm Ivory 15gr</t>
        </is>
      </c>
      <c r="D6039" t="inlineStr">
        <is>
          <t>Miss Glam Damar</t>
        </is>
      </c>
      <c r="E6039" t="n">
        <v>12</v>
      </c>
      <c r="F6039" t="n">
        <v>0.3731</v>
      </c>
      <c r="G6039" t="n">
        <v>1.82</v>
      </c>
      <c r="H6039" t="n">
        <v>2</v>
      </c>
      <c r="I6039" t="n">
        <v>6</v>
      </c>
      <c r="J6039" t="n">
        <v>3</v>
      </c>
      <c r="K6039" t="n">
        <v>0</v>
      </c>
      <c r="L6039" t="n">
        <v>111113</v>
      </c>
      <c r="M6039" t="n">
        <v>136000</v>
      </c>
      <c r="N6039" t="n">
        <v>91</v>
      </c>
      <c r="O6039" t="n">
        <v>0.91</v>
      </c>
      <c r="P6039" t="n">
        <v>1</v>
      </c>
      <c r="Q6039" t="n">
        <v>0.22</v>
      </c>
      <c r="R6039" t="n">
        <v>2</v>
      </c>
      <c r="S6039" t="n">
        <v>50741.6</v>
      </c>
      <c r="T6039" t="n">
        <v>11</v>
      </c>
      <c r="U6039" t="n">
        <v>12</v>
      </c>
      <c r="V6039" t="n">
        <v>30</v>
      </c>
      <c r="W6039" t="n">
        <v>12</v>
      </c>
      <c r="X6039" t="n">
        <v>32.16295899222729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11727</v>
      </c>
      <c r="AG6039" t="n">
        <v>63</v>
      </c>
      <c r="AH6039" t="inlineStr">
        <is>
          <t>PT. PARAMA GLOBAL INSPIRA - PPN (PDG)</t>
        </is>
      </c>
      <c r="AI6039" t="n">
        <v>164</v>
      </c>
      <c r="AJ6039" t="inlineStr">
        <is>
          <t>WARDAH</t>
        </is>
      </c>
      <c r="AK6039" t="n">
        <v>21</v>
      </c>
      <c r="AL6039" t="inlineStr">
        <is>
          <t>Miss Glam Damar</t>
        </is>
      </c>
      <c r="AM6039" t="n">
        <v>1</v>
      </c>
      <c r="AN6039" t="n">
        <v>500000</v>
      </c>
      <c r="AO6039" t="n">
        <v>0</v>
      </c>
      <c r="AP6039" t="inlineStr"/>
      <c r="AQ6039" t="inlineStr"/>
    </row>
    <row r="6040">
      <c r="A6040" t="inlineStr">
        <is>
          <t>WARDAH</t>
        </is>
      </c>
      <c r="B6040" s="2">
        <f>"20100466613"</f>
        <v/>
      </c>
      <c r="C6040" t="inlineStr">
        <is>
          <t>WARDAH Colorfit 5D Blur Cloud Cushion 31W Creme Beige 15gr</t>
        </is>
      </c>
      <c r="D6040" t="inlineStr">
        <is>
          <t>Miss Glam Damar</t>
        </is>
      </c>
      <c r="E6040" t="n">
        <v>6</v>
      </c>
      <c r="F6040" t="n">
        <v>0.2639</v>
      </c>
      <c r="G6040" t="n">
        <v>1.82</v>
      </c>
      <c r="H6040" t="n">
        <v>2</v>
      </c>
      <c r="I6040" t="n">
        <v>6</v>
      </c>
      <c r="J6040" t="n">
        <v>3</v>
      </c>
      <c r="K6040" t="n">
        <v>0</v>
      </c>
      <c r="L6040" t="n">
        <v>111113</v>
      </c>
      <c r="M6040" t="n">
        <v>136000</v>
      </c>
      <c r="N6040" t="n">
        <v>91</v>
      </c>
      <c r="O6040" t="n">
        <v>0.91</v>
      </c>
      <c r="P6040" t="n">
        <v>1</v>
      </c>
      <c r="Q6040" t="n">
        <v>0.27</v>
      </c>
      <c r="R6040" t="n">
        <v>3</v>
      </c>
      <c r="S6040" t="n">
        <v>35890.39999999999</v>
      </c>
      <c r="T6040" t="n">
        <v>11</v>
      </c>
      <c r="U6040" t="n">
        <v>12</v>
      </c>
      <c r="V6040" t="n">
        <v>30</v>
      </c>
      <c r="W6040" t="n">
        <v>8</v>
      </c>
      <c r="X6040" t="n">
        <v>22.73588480485033</v>
      </c>
      <c r="Y6040" t="n">
        <v>1</v>
      </c>
      <c r="Z6040" t="n">
        <v>2</v>
      </c>
      <c r="AA6040" t="n">
        <v>0</v>
      </c>
      <c r="AB6040" t="n">
        <v>2</v>
      </c>
      <c r="AC6040" t="n">
        <v>3</v>
      </c>
      <c r="AD6040" t="n">
        <v>0</v>
      </c>
      <c r="AE6040" t="n">
        <v>333339</v>
      </c>
      <c r="AF6040" t="n">
        <v>11727</v>
      </c>
      <c r="AG6040" t="n">
        <v>63</v>
      </c>
      <c r="AH6040" t="inlineStr">
        <is>
          <t>PT. PARAMA GLOBAL INSPIRA - PPN (PDG)</t>
        </is>
      </c>
      <c r="AI6040" t="n">
        <v>164</v>
      </c>
      <c r="AJ6040" t="inlineStr">
        <is>
          <t>WARDAH</t>
        </is>
      </c>
      <c r="AK6040" t="n">
        <v>21</v>
      </c>
      <c r="AL6040" t="inlineStr">
        <is>
          <t>Miss Glam Damar</t>
        </is>
      </c>
      <c r="AM6040" t="n">
        <v>1</v>
      </c>
      <c r="AN6040" t="n">
        <v>500000</v>
      </c>
      <c r="AO6040" t="n">
        <v>0</v>
      </c>
      <c r="AP6040" t="inlineStr"/>
      <c r="AQ6040" t="inlineStr"/>
    </row>
    <row r="6041">
      <c r="A6041" t="inlineStr">
        <is>
          <t>WARDAH</t>
        </is>
      </c>
      <c r="B6041" s="2">
        <f>"20100466538"</f>
        <v/>
      </c>
      <c r="C6041" t="inlineStr">
        <is>
          <t>WARDAH Colorfit 5D Blur Cloud Cushion 32N Neutral Beige 15gr</t>
        </is>
      </c>
      <c r="D6041" t="inlineStr">
        <is>
          <t>Miss Glam Damar</t>
        </is>
      </c>
      <c r="E6041" t="n">
        <v>8</v>
      </c>
      <c r="F6041" t="n">
        <v>0.7826</v>
      </c>
      <c r="G6041" t="n">
        <v>3.64</v>
      </c>
      <c r="H6041" t="n">
        <v>2</v>
      </c>
      <c r="I6041" t="n">
        <v>6</v>
      </c>
      <c r="J6041" t="n">
        <v>3</v>
      </c>
      <c r="K6041" t="n">
        <v>0</v>
      </c>
      <c r="L6041" t="n">
        <v>111256</v>
      </c>
      <c r="M6041" t="n">
        <v>136000</v>
      </c>
      <c r="N6041" t="n">
        <v>91</v>
      </c>
      <c r="O6041" t="n">
        <v>0.91</v>
      </c>
      <c r="P6041" t="n">
        <v>1</v>
      </c>
      <c r="Q6041" t="n">
        <v>0.37</v>
      </c>
      <c r="R6041" t="n">
        <v>3</v>
      </c>
      <c r="S6041" t="n">
        <v>106433.6</v>
      </c>
      <c r="T6041" t="n">
        <v>21</v>
      </c>
      <c r="U6041" t="n">
        <v>23</v>
      </c>
      <c r="V6041" t="n">
        <v>30</v>
      </c>
      <c r="W6041" t="n">
        <v>24</v>
      </c>
      <c r="X6041" t="n">
        <v>10.22233580373115</v>
      </c>
      <c r="Y6041" t="n">
        <v>1</v>
      </c>
      <c r="Z6041" t="n">
        <v>16</v>
      </c>
      <c r="AA6041" t="n">
        <v>0</v>
      </c>
      <c r="AB6041" t="n">
        <v>16</v>
      </c>
      <c r="AC6041" t="n">
        <v>16</v>
      </c>
      <c r="AD6041" t="n">
        <v>0</v>
      </c>
      <c r="AE6041" t="n">
        <v>1780096</v>
      </c>
      <c r="AF6041" t="n">
        <v>11727</v>
      </c>
      <c r="AG6041" t="n">
        <v>63</v>
      </c>
      <c r="AH6041" t="inlineStr">
        <is>
          <t>PT. PARAMA GLOBAL INSPIRA - PPN (PDG)</t>
        </is>
      </c>
      <c r="AI6041" t="n">
        <v>164</v>
      </c>
      <c r="AJ6041" t="inlineStr">
        <is>
          <t>WARDAH</t>
        </is>
      </c>
      <c r="AK6041" t="n">
        <v>21</v>
      </c>
      <c r="AL6041" t="inlineStr">
        <is>
          <t>Miss Glam Damar</t>
        </is>
      </c>
      <c r="AM6041" t="n">
        <v>1</v>
      </c>
      <c r="AN6041" t="n">
        <v>500000</v>
      </c>
      <c r="AO6041" t="n">
        <v>0</v>
      </c>
      <c r="AP6041" t="inlineStr"/>
      <c r="AQ6041" t="inlineStr"/>
    </row>
    <row r="6042">
      <c r="A6042" t="inlineStr">
        <is>
          <t>WARDAH</t>
        </is>
      </c>
      <c r="B6042" s="2">
        <f>"20100466744"</f>
        <v/>
      </c>
      <c r="C6042" t="inlineStr">
        <is>
          <t>WARDAH Colorfit 5D Blur Cloud Cushion 33W Olive Beige 15gr</t>
        </is>
      </c>
      <c r="D6042" t="inlineStr">
        <is>
          <t>Miss Glam Damar</t>
        </is>
      </c>
      <c r="E6042" t="n">
        <v>8</v>
      </c>
      <c r="F6042" t="n">
        <v>0.1365</v>
      </c>
      <c r="G6042" t="n">
        <v>1.82</v>
      </c>
      <c r="H6042" t="n">
        <v>2</v>
      </c>
      <c r="I6042" t="n">
        <v>6</v>
      </c>
      <c r="J6042" t="n">
        <v>3</v>
      </c>
      <c r="K6042" t="n">
        <v>0</v>
      </c>
      <c r="L6042" t="n">
        <v>111113</v>
      </c>
      <c r="M6042" t="n">
        <v>136000</v>
      </c>
      <c r="N6042" t="n">
        <v>91</v>
      </c>
      <c r="O6042" t="n">
        <v>0.91</v>
      </c>
      <c r="P6042" t="n">
        <v>1</v>
      </c>
      <c r="Q6042" t="n">
        <v>0.19</v>
      </c>
      <c r="R6042" t="n">
        <v>2</v>
      </c>
      <c r="S6042" t="n">
        <v>18564</v>
      </c>
      <c r="T6042" t="n">
        <v>11</v>
      </c>
      <c r="U6042" t="n">
        <v>12</v>
      </c>
      <c r="V6042" t="n">
        <v>30</v>
      </c>
      <c r="W6042" t="n">
        <v>5</v>
      </c>
      <c r="X6042" t="n">
        <v>58.60805860805861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11727</v>
      </c>
      <c r="AG6042" t="n">
        <v>63</v>
      </c>
      <c r="AH6042" t="inlineStr">
        <is>
          <t>PT. PARAMA GLOBAL INSPIRA - PPN (PDG)</t>
        </is>
      </c>
      <c r="AI6042" t="n">
        <v>164</v>
      </c>
      <c r="AJ6042" t="inlineStr">
        <is>
          <t>WARDAH</t>
        </is>
      </c>
      <c r="AK6042" t="n">
        <v>21</v>
      </c>
      <c r="AL6042" t="inlineStr">
        <is>
          <t>Miss Glam Damar</t>
        </is>
      </c>
      <c r="AM6042" t="n">
        <v>1</v>
      </c>
      <c r="AN6042" t="n">
        <v>500000</v>
      </c>
      <c r="AO6042" t="n">
        <v>0</v>
      </c>
      <c r="AP6042" t="inlineStr"/>
      <c r="AQ6042" t="inlineStr"/>
    </row>
    <row r="6043">
      <c r="A6043" t="inlineStr">
        <is>
          <t>WARDAH</t>
        </is>
      </c>
      <c r="B6043" s="2">
        <f>"20100466822"</f>
        <v/>
      </c>
      <c r="C6043" t="inlineStr">
        <is>
          <t>WARDAH Colorfit 5D Blur Cloud Cushion 42N Neutral Sand 15gr</t>
        </is>
      </c>
      <c r="D6043" t="inlineStr">
        <is>
          <t>Miss Glam Damar</t>
        </is>
      </c>
      <c r="E6043" t="n">
        <v>8</v>
      </c>
      <c r="F6043" t="n">
        <v>0.2275</v>
      </c>
      <c r="G6043" t="n">
        <v>1.82</v>
      </c>
      <c r="H6043" t="n">
        <v>2</v>
      </c>
      <c r="I6043" t="n">
        <v>6</v>
      </c>
      <c r="J6043" t="n">
        <v>3</v>
      </c>
      <c r="K6043" t="n">
        <v>0</v>
      </c>
      <c r="L6043" t="n">
        <v>111113</v>
      </c>
      <c r="M6043" t="n">
        <v>136000</v>
      </c>
      <c r="N6043" t="n">
        <v>91</v>
      </c>
      <c r="O6043" t="n">
        <v>0.91</v>
      </c>
      <c r="P6043" t="n">
        <v>1</v>
      </c>
      <c r="Q6043" t="n">
        <v>0.15</v>
      </c>
      <c r="R6043" t="n">
        <v>2</v>
      </c>
      <c r="S6043" t="n">
        <v>30940</v>
      </c>
      <c r="T6043" t="n">
        <v>11</v>
      </c>
      <c r="U6043" t="n">
        <v>12</v>
      </c>
      <c r="V6043" t="n">
        <v>30</v>
      </c>
      <c r="W6043" t="n">
        <v>7</v>
      </c>
      <c r="X6043" t="n">
        <v>35.16483516483516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11727</v>
      </c>
      <c r="AG6043" t="n">
        <v>63</v>
      </c>
      <c r="AH6043" t="inlineStr">
        <is>
          <t>PT. PARAMA GLOBAL INSPIRA - PPN (PDG)</t>
        </is>
      </c>
      <c r="AI6043" t="n">
        <v>164</v>
      </c>
      <c r="AJ6043" t="inlineStr">
        <is>
          <t>WARDAH</t>
        </is>
      </c>
      <c r="AK6043" t="n">
        <v>21</v>
      </c>
      <c r="AL6043" t="inlineStr">
        <is>
          <t>Miss Glam Damar</t>
        </is>
      </c>
      <c r="AM6043" t="n">
        <v>1</v>
      </c>
      <c r="AN6043" t="n">
        <v>500000</v>
      </c>
      <c r="AO6043" t="n">
        <v>0</v>
      </c>
      <c r="AP6043" t="inlineStr"/>
      <c r="AQ6043" t="inlineStr"/>
    </row>
    <row r="6044">
      <c r="A6044" t="inlineStr">
        <is>
          <t>WARDAH</t>
        </is>
      </c>
      <c r="B6044" s="2">
        <f>"8993137002035"</f>
        <v/>
      </c>
      <c r="C6044" t="inlineStr">
        <is>
          <t>WARDAH Colorfit Cream Blush 04 Ethereal Rose 3gr</t>
        </is>
      </c>
      <c r="D6044" t="inlineStr">
        <is>
          <t>Miss Glam Damar</t>
        </is>
      </c>
      <c r="E6044" t="n">
        <v>23</v>
      </c>
      <c r="F6044" t="n">
        <v>0.6188</v>
      </c>
      <c r="G6044" t="n">
        <v>2.73</v>
      </c>
      <c r="H6044" t="n">
        <v>2</v>
      </c>
      <c r="I6044" t="n">
        <v>6</v>
      </c>
      <c r="J6044" t="n">
        <v>3</v>
      </c>
      <c r="K6044" t="n">
        <v>0</v>
      </c>
      <c r="L6044" t="n">
        <v>42912</v>
      </c>
      <c r="M6044" t="n">
        <v>52500</v>
      </c>
      <c r="N6044" t="n">
        <v>91</v>
      </c>
      <c r="O6044" t="n">
        <v>0.91</v>
      </c>
      <c r="P6044" t="n">
        <v>1</v>
      </c>
      <c r="Q6044" t="n">
        <v>0.76</v>
      </c>
      <c r="R6044" t="n">
        <v>4</v>
      </c>
      <c r="S6044" t="n">
        <v>32487</v>
      </c>
      <c r="T6044" t="n">
        <v>16</v>
      </c>
      <c r="U6044" t="n">
        <v>18</v>
      </c>
      <c r="V6044" t="n">
        <v>30</v>
      </c>
      <c r="W6044" t="n">
        <v>19</v>
      </c>
      <c r="X6044" t="n">
        <v>37.16871363930187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11727</v>
      </c>
      <c r="AG6044" t="n">
        <v>63</v>
      </c>
      <c r="AH6044" t="inlineStr">
        <is>
          <t>PT. PARAMA GLOBAL INSPIRA - PPN (PDG)</t>
        </is>
      </c>
      <c r="AI6044" t="n">
        <v>164</v>
      </c>
      <c r="AJ6044" t="inlineStr">
        <is>
          <t>WARDAH</t>
        </is>
      </c>
      <c r="AK6044" t="n">
        <v>21</v>
      </c>
      <c r="AL6044" t="inlineStr">
        <is>
          <t>Miss Glam Damar</t>
        </is>
      </c>
      <c r="AM6044" t="n">
        <v>1</v>
      </c>
      <c r="AN6044" t="n">
        <v>500000</v>
      </c>
      <c r="AO6044" t="n">
        <v>0</v>
      </c>
      <c r="AP6044" t="inlineStr"/>
      <c r="AQ6044" t="inlineStr"/>
    </row>
    <row r="6045">
      <c r="A6045" t="inlineStr">
        <is>
          <t>WARDAH</t>
        </is>
      </c>
      <c r="B6045" s="2">
        <f>"8993137002042"</f>
        <v/>
      </c>
      <c r="C6045" t="inlineStr">
        <is>
          <t>WARDAH Colorfit Cream Blush 05 Peaceful Plum 3gr</t>
        </is>
      </c>
      <c r="D6045" t="inlineStr">
        <is>
          <t>Miss Glam Damar</t>
        </is>
      </c>
      <c r="E6045" t="n">
        <v>6</v>
      </c>
      <c r="F6045" t="n">
        <v>0.2275</v>
      </c>
      <c r="G6045" t="n">
        <v>1.82</v>
      </c>
      <c r="H6045" t="n">
        <v>2</v>
      </c>
      <c r="I6045" t="n">
        <v>6</v>
      </c>
      <c r="J6045" t="n">
        <v>3</v>
      </c>
      <c r="K6045" t="n">
        <v>0</v>
      </c>
      <c r="L6045" t="n">
        <v>42913</v>
      </c>
      <c r="M6045" t="n">
        <v>52500</v>
      </c>
      <c r="N6045" t="n">
        <v>91</v>
      </c>
      <c r="O6045" t="n">
        <v>0.91</v>
      </c>
      <c r="P6045" t="n">
        <v>1</v>
      </c>
      <c r="Q6045" t="n">
        <v>0.24</v>
      </c>
      <c r="R6045" t="n">
        <v>2</v>
      </c>
      <c r="S6045" t="n">
        <v>11943.75</v>
      </c>
      <c r="T6045" t="n">
        <v>11</v>
      </c>
      <c r="U6045" t="n">
        <v>12</v>
      </c>
      <c r="V6045" t="n">
        <v>30</v>
      </c>
      <c r="W6045" t="n">
        <v>7</v>
      </c>
      <c r="X6045" t="n">
        <v>26.37362637362637</v>
      </c>
      <c r="Y6045" t="n">
        <v>1</v>
      </c>
      <c r="Z6045" t="n">
        <v>1</v>
      </c>
      <c r="AA6045" t="n">
        <v>0</v>
      </c>
      <c r="AB6045" t="n">
        <v>1</v>
      </c>
      <c r="AC6045" t="n">
        <v>3</v>
      </c>
      <c r="AD6045" t="n">
        <v>0</v>
      </c>
      <c r="AE6045" t="n">
        <v>128739</v>
      </c>
      <c r="AF6045" t="n">
        <v>11727</v>
      </c>
      <c r="AG6045" t="n">
        <v>63</v>
      </c>
      <c r="AH6045" t="inlineStr">
        <is>
          <t>PT. PARAMA GLOBAL INSPIRA - PPN (PDG)</t>
        </is>
      </c>
      <c r="AI6045" t="n">
        <v>164</v>
      </c>
      <c r="AJ6045" t="inlineStr">
        <is>
          <t>WARDAH</t>
        </is>
      </c>
      <c r="AK6045" t="n">
        <v>21</v>
      </c>
      <c r="AL6045" t="inlineStr">
        <is>
          <t>Miss Glam Damar</t>
        </is>
      </c>
      <c r="AM6045" t="n">
        <v>1</v>
      </c>
      <c r="AN6045" t="n">
        <v>500000</v>
      </c>
      <c r="AO6045" t="n">
        <v>0</v>
      </c>
      <c r="AP6045" t="inlineStr"/>
      <c r="AQ6045" t="inlineStr"/>
    </row>
    <row r="6046">
      <c r="A6046" t="inlineStr">
        <is>
          <t>WARDAH</t>
        </is>
      </c>
      <c r="B6046" s="2">
        <f>"8993137002059"</f>
        <v/>
      </c>
      <c r="C6046" t="inlineStr">
        <is>
          <t>WARDAH Colorfit Cream Blush 06 Soulful Brick 3gr</t>
        </is>
      </c>
      <c r="D6046" t="inlineStr">
        <is>
          <t>Miss Glam Damar</t>
        </is>
      </c>
      <c r="E6046" t="n">
        <v>12</v>
      </c>
      <c r="F6046" t="n">
        <v>0.4186</v>
      </c>
      <c r="G6046" t="n">
        <v>1.82</v>
      </c>
      <c r="H6046" t="n">
        <v>2</v>
      </c>
      <c r="I6046" t="n">
        <v>6</v>
      </c>
      <c r="J6046" t="n">
        <v>3</v>
      </c>
      <c r="K6046" t="n">
        <v>0</v>
      </c>
      <c r="L6046" t="n">
        <v>42912</v>
      </c>
      <c r="M6046" t="n">
        <v>52500</v>
      </c>
      <c r="N6046" t="n">
        <v>91</v>
      </c>
      <c r="O6046" t="n">
        <v>0.91</v>
      </c>
      <c r="P6046" t="n">
        <v>1</v>
      </c>
      <c r="Q6046" t="n">
        <v>0.36</v>
      </c>
      <c r="R6046" t="n">
        <v>3</v>
      </c>
      <c r="S6046" t="n">
        <v>21976.5</v>
      </c>
      <c r="T6046" t="n">
        <v>11</v>
      </c>
      <c r="U6046" t="n">
        <v>12</v>
      </c>
      <c r="V6046" t="n">
        <v>30</v>
      </c>
      <c r="W6046" t="n">
        <v>13</v>
      </c>
      <c r="X6046" t="n">
        <v>28.66698518872432</v>
      </c>
      <c r="Y6046" t="n">
        <v>1</v>
      </c>
      <c r="Z6046" t="n">
        <v>1</v>
      </c>
      <c r="AA6046" t="n">
        <v>0</v>
      </c>
      <c r="AB6046" t="n">
        <v>1</v>
      </c>
      <c r="AC6046" t="n">
        <v>3</v>
      </c>
      <c r="AD6046" t="n">
        <v>0</v>
      </c>
      <c r="AE6046" t="n">
        <v>128736</v>
      </c>
      <c r="AF6046" t="n">
        <v>11727</v>
      </c>
      <c r="AG6046" t="n">
        <v>63</v>
      </c>
      <c r="AH6046" t="inlineStr">
        <is>
          <t>PT. PARAMA GLOBAL INSPIRA - PPN (PDG)</t>
        </is>
      </c>
      <c r="AI6046" t="n">
        <v>164</v>
      </c>
      <c r="AJ6046" t="inlineStr">
        <is>
          <t>WARDAH</t>
        </is>
      </c>
      <c r="AK6046" t="n">
        <v>21</v>
      </c>
      <c r="AL6046" t="inlineStr">
        <is>
          <t>Miss Glam Damar</t>
        </is>
      </c>
      <c r="AM6046" t="n">
        <v>1</v>
      </c>
      <c r="AN6046" t="n">
        <v>500000</v>
      </c>
      <c r="AO6046" t="n">
        <v>0</v>
      </c>
      <c r="AP6046" t="inlineStr"/>
      <c r="AQ6046" t="inlineStr"/>
    </row>
    <row r="6047">
      <c r="A6047" t="inlineStr">
        <is>
          <t>WARDAH</t>
        </is>
      </c>
      <c r="B6047" s="2">
        <f>"20100643128"</f>
        <v/>
      </c>
      <c r="C6047" t="inlineStr">
        <is>
          <t>WARDAH Colorfit HD Blurify Loose Powder 00 Translucent 15g</t>
        </is>
      </c>
      <c r="D6047" t="inlineStr">
        <is>
          <t>Miss Glam Damar</t>
        </is>
      </c>
      <c r="E6047" t="n">
        <v>4</v>
      </c>
      <c r="F6047" t="n">
        <v>0.06370000000000001</v>
      </c>
      <c r="G6047" t="n">
        <v>0.91</v>
      </c>
      <c r="H6047" t="n">
        <v>2</v>
      </c>
      <c r="I6047" t="n">
        <v>6</v>
      </c>
      <c r="J6047" t="n">
        <v>1</v>
      </c>
      <c r="K6047" t="n">
        <v>0</v>
      </c>
      <c r="L6047" t="n">
        <v>68201</v>
      </c>
      <c r="M6047" t="n">
        <v>80500</v>
      </c>
      <c r="N6047" t="n">
        <v>91</v>
      </c>
      <c r="O6047" t="n">
        <v>0.91</v>
      </c>
      <c r="P6047" t="n">
        <v>1</v>
      </c>
      <c r="Q6047" t="n">
        <v>0.03</v>
      </c>
      <c r="R6047" t="n">
        <v>0</v>
      </c>
      <c r="S6047" t="n">
        <v>5127.85</v>
      </c>
      <c r="T6047" t="n">
        <v>6</v>
      </c>
      <c r="U6047" t="n">
        <v>7</v>
      </c>
      <c r="V6047" t="n">
        <v>30</v>
      </c>
      <c r="W6047" t="n">
        <v>2</v>
      </c>
      <c r="X6047" t="n">
        <v>62.79434850863422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11727</v>
      </c>
      <c r="AG6047" t="n">
        <v>63</v>
      </c>
      <c r="AH6047" t="inlineStr">
        <is>
          <t>PT. PARAMA GLOBAL INSPIRA - PPN (PDG)</t>
        </is>
      </c>
      <c r="AI6047" t="n">
        <v>164</v>
      </c>
      <c r="AJ6047" t="inlineStr">
        <is>
          <t>WARDAH</t>
        </is>
      </c>
      <c r="AK6047" t="n">
        <v>21</v>
      </c>
      <c r="AL6047" t="inlineStr">
        <is>
          <t>Miss Glam Damar</t>
        </is>
      </c>
      <c r="AM6047" t="n">
        <v>1</v>
      </c>
      <c r="AN6047" t="n">
        <v>500000</v>
      </c>
      <c r="AO6047" t="n">
        <v>0</v>
      </c>
      <c r="AP6047" t="inlineStr"/>
      <c r="AQ6047" t="inlineStr"/>
    </row>
    <row r="6048">
      <c r="A6048" t="inlineStr">
        <is>
          <t>WARDAH</t>
        </is>
      </c>
      <c r="B6048" s="2">
        <f>"20100643209"</f>
        <v/>
      </c>
      <c r="C6048" t="inlineStr">
        <is>
          <t>WARDAH Colorfit HD Blurify Loose Powder 22N Light Ivory 15g</t>
        </is>
      </c>
      <c r="D6048" t="inlineStr">
        <is>
          <t>Miss Glam Damar</t>
        </is>
      </c>
      <c r="E6048" t="n">
        <v>16</v>
      </c>
      <c r="F6048" t="n">
        <v>0.06370000000000001</v>
      </c>
      <c r="G6048" t="n">
        <v>0</v>
      </c>
      <c r="H6048" t="n">
        <v>2</v>
      </c>
      <c r="I6048" t="n">
        <v>6</v>
      </c>
      <c r="J6048" t="n">
        <v>1</v>
      </c>
      <c r="K6048" t="n">
        <v>0</v>
      </c>
      <c r="L6048" t="n">
        <v>68201</v>
      </c>
      <c r="M6048" t="n">
        <v>80500</v>
      </c>
      <c r="N6048" t="n">
        <v>91</v>
      </c>
      <c r="O6048" t="n">
        <v>0.91</v>
      </c>
      <c r="P6048" t="n">
        <v>1</v>
      </c>
      <c r="Q6048" t="n">
        <v>0.03</v>
      </c>
      <c r="R6048" t="n">
        <v>1</v>
      </c>
      <c r="S6048" t="n">
        <v>5127.85</v>
      </c>
      <c r="T6048" t="n">
        <v>0</v>
      </c>
      <c r="U6048" t="n">
        <v>1</v>
      </c>
      <c r="V6048" t="n">
        <v>30</v>
      </c>
      <c r="W6048" t="n">
        <v>2</v>
      </c>
      <c r="X6048" t="n">
        <v>251.1773940345369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11727</v>
      </c>
      <c r="AG6048" t="n">
        <v>63</v>
      </c>
      <c r="AH6048" t="inlineStr">
        <is>
          <t>PT. PARAMA GLOBAL INSPIRA - PPN (PDG)</t>
        </is>
      </c>
      <c r="AI6048" t="n">
        <v>164</v>
      </c>
      <c r="AJ6048" t="inlineStr">
        <is>
          <t>WARDAH</t>
        </is>
      </c>
      <c r="AK6048" t="n">
        <v>21</v>
      </c>
      <c r="AL6048" t="inlineStr">
        <is>
          <t>Miss Glam Damar</t>
        </is>
      </c>
      <c r="AM6048" t="n">
        <v>1</v>
      </c>
      <c r="AN6048" t="n">
        <v>500000</v>
      </c>
      <c r="AO6048" t="n">
        <v>0</v>
      </c>
      <c r="AP6048" t="inlineStr"/>
      <c r="AQ6048" t="inlineStr"/>
    </row>
    <row r="6049">
      <c r="A6049" t="inlineStr">
        <is>
          <t>WARDAH</t>
        </is>
      </c>
      <c r="B6049" s="2">
        <f>"20100643532"</f>
        <v/>
      </c>
      <c r="C6049" t="inlineStr">
        <is>
          <t>WARDAH Colorfit HD Blurify Loose Powder 23W Warm Ivory 15g</t>
        </is>
      </c>
      <c r="D6049" t="inlineStr">
        <is>
          <t>Miss Glam Damar</t>
        </is>
      </c>
      <c r="E6049" t="n">
        <v>2</v>
      </c>
      <c r="F6049" t="n">
        <v>0.0273</v>
      </c>
      <c r="G6049" t="n">
        <v>0.91</v>
      </c>
      <c r="H6049" t="n">
        <v>2</v>
      </c>
      <c r="I6049" t="n">
        <v>6</v>
      </c>
      <c r="J6049" t="n">
        <v>1</v>
      </c>
      <c r="K6049" t="n">
        <v>0</v>
      </c>
      <c r="L6049" t="n">
        <v>68201</v>
      </c>
      <c r="M6049" t="n">
        <v>80500</v>
      </c>
      <c r="N6049" t="n">
        <v>91</v>
      </c>
      <c r="O6049" t="n">
        <v>0.91</v>
      </c>
      <c r="P6049" t="n">
        <v>1</v>
      </c>
      <c r="Q6049" t="n">
        <v>0.07000000000000001</v>
      </c>
      <c r="R6049" t="n">
        <v>2</v>
      </c>
      <c r="S6049" t="n">
        <v>2197.65</v>
      </c>
      <c r="T6049" t="n">
        <v>6</v>
      </c>
      <c r="U6049" t="n">
        <v>7</v>
      </c>
      <c r="V6049" t="n">
        <v>30</v>
      </c>
      <c r="W6049" t="n">
        <v>1</v>
      </c>
      <c r="X6049" t="n">
        <v>73.26007326007326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11727</v>
      </c>
      <c r="AG6049" t="n">
        <v>63</v>
      </c>
      <c r="AH6049" t="inlineStr">
        <is>
          <t>PT. PARAMA GLOBAL INSPIRA - PPN (PDG)</t>
        </is>
      </c>
      <c r="AI6049" t="n">
        <v>164</v>
      </c>
      <c r="AJ6049" t="inlineStr">
        <is>
          <t>WARDAH</t>
        </is>
      </c>
      <c r="AK6049" t="n">
        <v>21</v>
      </c>
      <c r="AL6049" t="inlineStr">
        <is>
          <t>Miss Glam Damar</t>
        </is>
      </c>
      <c r="AM6049" t="n">
        <v>1</v>
      </c>
      <c r="AN6049" t="n">
        <v>500000</v>
      </c>
      <c r="AO6049" t="n">
        <v>0</v>
      </c>
      <c r="AP6049" t="inlineStr"/>
      <c r="AQ6049" t="inlineStr"/>
    </row>
    <row r="6050">
      <c r="A6050" t="inlineStr">
        <is>
          <t>WARDAH</t>
        </is>
      </c>
      <c r="B6050" s="2">
        <f>"20100643409"</f>
        <v/>
      </c>
      <c r="C6050" t="inlineStr">
        <is>
          <t>WARDAH Colorfit HD Blurify Loose Powder 32N Neutral Beige 15g</t>
        </is>
      </c>
      <c r="D6050" t="inlineStr">
        <is>
          <t>Miss Glam Damar</t>
        </is>
      </c>
      <c r="E6050" t="n">
        <v>19</v>
      </c>
      <c r="F6050" t="n">
        <v>0.06370000000000001</v>
      </c>
      <c r="G6050" t="n">
        <v>1.82</v>
      </c>
      <c r="H6050" t="n">
        <v>2</v>
      </c>
      <c r="I6050" t="n">
        <v>6</v>
      </c>
      <c r="J6050" t="n">
        <v>1</v>
      </c>
      <c r="K6050" t="n">
        <v>0</v>
      </c>
      <c r="L6050" t="n">
        <v>68201</v>
      </c>
      <c r="M6050" t="n">
        <v>80500</v>
      </c>
      <c r="N6050" t="n">
        <v>91</v>
      </c>
      <c r="O6050" t="n">
        <v>0.91</v>
      </c>
      <c r="P6050" t="n">
        <v>1</v>
      </c>
      <c r="Q6050" t="n">
        <v>0.05</v>
      </c>
      <c r="R6050" t="n">
        <v>2</v>
      </c>
      <c r="S6050" t="n">
        <v>5127.85</v>
      </c>
      <c r="T6050" t="n">
        <v>11</v>
      </c>
      <c r="U6050" t="n">
        <v>12</v>
      </c>
      <c r="V6050" t="n">
        <v>30</v>
      </c>
      <c r="W6050" t="n">
        <v>2</v>
      </c>
      <c r="X6050" t="n">
        <v>298.2731554160125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11727</v>
      </c>
      <c r="AG6050" t="n">
        <v>63</v>
      </c>
      <c r="AH6050" t="inlineStr">
        <is>
          <t>PT. PARAMA GLOBAL INSPIRA - PPN (PDG)</t>
        </is>
      </c>
      <c r="AI6050" t="n">
        <v>164</v>
      </c>
      <c r="AJ6050" t="inlineStr">
        <is>
          <t>WARDAH</t>
        </is>
      </c>
      <c r="AK6050" t="n">
        <v>21</v>
      </c>
      <c r="AL6050" t="inlineStr">
        <is>
          <t>Miss Glam Damar</t>
        </is>
      </c>
      <c r="AM6050" t="n">
        <v>1</v>
      </c>
      <c r="AN6050" t="n">
        <v>500000</v>
      </c>
      <c r="AO6050" t="n">
        <v>0</v>
      </c>
      <c r="AP6050" t="inlineStr"/>
      <c r="AQ6050" t="inlineStr"/>
    </row>
    <row r="6051">
      <c r="A6051" t="inlineStr">
        <is>
          <t>WARDAH</t>
        </is>
      </c>
      <c r="B6051" s="2">
        <f>"8993137715966"</f>
        <v/>
      </c>
      <c r="C6051" t="inlineStr">
        <is>
          <t>WARDAH Colorfit Highlight Contour Palette 01 Light</t>
        </is>
      </c>
      <c r="D6051" t="inlineStr">
        <is>
          <t>Miss Glam Damar</t>
        </is>
      </c>
      <c r="E6051" t="n">
        <v>3</v>
      </c>
      <c r="F6051" t="n">
        <v>0.04550000000000001</v>
      </c>
      <c r="G6051" t="n">
        <v>0.91</v>
      </c>
      <c r="H6051" t="n">
        <v>2</v>
      </c>
      <c r="I6051" t="n">
        <v>6</v>
      </c>
      <c r="J6051" t="n">
        <v>3</v>
      </c>
      <c r="K6051" t="n">
        <v>0</v>
      </c>
      <c r="L6051" t="n">
        <v>71649</v>
      </c>
      <c r="M6051" t="n">
        <v>85500</v>
      </c>
      <c r="N6051" t="n">
        <v>91</v>
      </c>
      <c r="O6051" t="n">
        <v>0.91</v>
      </c>
      <c r="P6051" t="n">
        <v>1</v>
      </c>
      <c r="Q6051" t="n">
        <v>0.1</v>
      </c>
      <c r="R6051" t="n">
        <v>1</v>
      </c>
      <c r="S6051" t="n">
        <v>3890.25</v>
      </c>
      <c r="T6051" t="n">
        <v>6</v>
      </c>
      <c r="U6051" t="n">
        <v>7</v>
      </c>
      <c r="V6051" t="n">
        <v>30</v>
      </c>
      <c r="W6051" t="n">
        <v>2</v>
      </c>
      <c r="X6051" t="n">
        <v>65.93406593406593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11727</v>
      </c>
      <c r="AG6051" t="n">
        <v>63</v>
      </c>
      <c r="AH6051" t="inlineStr">
        <is>
          <t>PT. PARAMA GLOBAL INSPIRA - PPN (PDG)</t>
        </is>
      </c>
      <c r="AI6051" t="n">
        <v>164</v>
      </c>
      <c r="AJ6051" t="inlineStr">
        <is>
          <t>WARDAH</t>
        </is>
      </c>
      <c r="AK6051" t="n">
        <v>21</v>
      </c>
      <c r="AL6051" t="inlineStr">
        <is>
          <t>Miss Glam Damar</t>
        </is>
      </c>
      <c r="AM6051" t="n">
        <v>1</v>
      </c>
      <c r="AN6051" t="n">
        <v>500000</v>
      </c>
      <c r="AO6051" t="n">
        <v>0</v>
      </c>
      <c r="AP6051" t="inlineStr"/>
      <c r="AQ6051" t="inlineStr"/>
    </row>
    <row r="6052">
      <c r="A6052" t="inlineStr">
        <is>
          <t>WARDAH</t>
        </is>
      </c>
      <c r="B6052" s="2">
        <f>"8993137711661"</f>
        <v/>
      </c>
      <c r="C6052" t="inlineStr">
        <is>
          <t>WARDAH Colorfit Matte Foundation 11C Pink Fair 25ml</t>
        </is>
      </c>
      <c r="D6052" t="inlineStr">
        <is>
          <t>Miss Glam Damar</t>
        </is>
      </c>
      <c r="E6052" t="n">
        <v>3</v>
      </c>
      <c r="F6052" t="n">
        <v>0.0182</v>
      </c>
      <c r="G6052" t="n">
        <v>0.91</v>
      </c>
      <c r="H6052" t="n">
        <v>2</v>
      </c>
      <c r="I6052" t="n">
        <v>6</v>
      </c>
      <c r="J6052" t="n">
        <v>3</v>
      </c>
      <c r="K6052" t="n">
        <v>0</v>
      </c>
      <c r="L6052" t="n">
        <v>57090</v>
      </c>
      <c r="M6052" t="n">
        <v>70000</v>
      </c>
      <c r="N6052" t="n">
        <v>91</v>
      </c>
      <c r="O6052" t="n">
        <v>0.91</v>
      </c>
      <c r="P6052" t="n">
        <v>1</v>
      </c>
      <c r="Q6052" t="n">
        <v>0.03</v>
      </c>
      <c r="R6052" t="n">
        <v>1</v>
      </c>
      <c r="S6052" t="n">
        <v>1274</v>
      </c>
      <c r="T6052" t="n">
        <v>6</v>
      </c>
      <c r="U6052" t="n">
        <v>7</v>
      </c>
      <c r="V6052" t="n">
        <v>30</v>
      </c>
      <c r="W6052" t="n">
        <v>1</v>
      </c>
      <c r="X6052" t="n">
        <v>164.8351648351648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11727</v>
      </c>
      <c r="AG6052" t="n">
        <v>63</v>
      </c>
      <c r="AH6052" t="inlineStr">
        <is>
          <t>PT. PARAMA GLOBAL INSPIRA - PPN (PDG)</t>
        </is>
      </c>
      <c r="AI6052" t="n">
        <v>164</v>
      </c>
      <c r="AJ6052" t="inlineStr">
        <is>
          <t>WARDAH</t>
        </is>
      </c>
      <c r="AK6052" t="n">
        <v>21</v>
      </c>
      <c r="AL6052" t="inlineStr">
        <is>
          <t>Miss Glam Damar</t>
        </is>
      </c>
      <c r="AM6052" t="n">
        <v>1</v>
      </c>
      <c r="AN6052" t="n">
        <v>500000</v>
      </c>
      <c r="AO6052" t="n">
        <v>0</v>
      </c>
      <c r="AP6052" t="inlineStr"/>
      <c r="AQ6052" t="inlineStr"/>
    </row>
    <row r="6053">
      <c r="A6053" t="inlineStr">
        <is>
          <t>WARDAH</t>
        </is>
      </c>
      <c r="B6053" s="2">
        <f>"8993137715744"</f>
        <v/>
      </c>
      <c r="C6053" t="inlineStr">
        <is>
          <t>WARDAH Colorfit Perfect Glow Cushion 11C Pink Fair 15 g</t>
        </is>
      </c>
      <c r="D6053" t="inlineStr">
        <is>
          <t>Miss Glam Damar</t>
        </is>
      </c>
      <c r="E6053" t="n">
        <v>6</v>
      </c>
      <c r="F6053" t="n">
        <v>0.1365</v>
      </c>
      <c r="G6053" t="n">
        <v>2.73</v>
      </c>
      <c r="H6053" t="n">
        <v>2</v>
      </c>
      <c r="I6053" t="n">
        <v>6</v>
      </c>
      <c r="J6053" t="n">
        <v>3</v>
      </c>
      <c r="K6053" t="n">
        <v>0</v>
      </c>
      <c r="L6053" t="n">
        <v>98012</v>
      </c>
      <c r="M6053" t="n">
        <v>120500</v>
      </c>
      <c r="N6053" t="n">
        <v>91</v>
      </c>
      <c r="O6053" t="n">
        <v>0.91</v>
      </c>
      <c r="P6053" t="n">
        <v>1</v>
      </c>
      <c r="Q6053" t="n">
        <v>0.19</v>
      </c>
      <c r="R6053" t="n">
        <v>2</v>
      </c>
      <c r="S6053" t="n">
        <v>16448.25</v>
      </c>
      <c r="T6053" t="n">
        <v>17</v>
      </c>
      <c r="U6053" t="n">
        <v>18</v>
      </c>
      <c r="V6053" t="n">
        <v>30</v>
      </c>
      <c r="W6053" t="n">
        <v>5</v>
      </c>
      <c r="X6053" t="n">
        <v>43.95604395604396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11727</v>
      </c>
      <c r="AG6053" t="n">
        <v>63</v>
      </c>
      <c r="AH6053" t="inlineStr">
        <is>
          <t>PT. PARAMA GLOBAL INSPIRA - PPN (PDG)</t>
        </is>
      </c>
      <c r="AI6053" t="n">
        <v>164</v>
      </c>
      <c r="AJ6053" t="inlineStr">
        <is>
          <t>WARDAH</t>
        </is>
      </c>
      <c r="AK6053" t="n">
        <v>21</v>
      </c>
      <c r="AL6053" t="inlineStr">
        <is>
          <t>Miss Glam Damar</t>
        </is>
      </c>
      <c r="AM6053" t="n">
        <v>1</v>
      </c>
      <c r="AN6053" t="n">
        <v>500000</v>
      </c>
      <c r="AO6053" t="n">
        <v>0</v>
      </c>
      <c r="AP6053" t="inlineStr"/>
      <c r="AQ6053" t="inlineStr"/>
    </row>
    <row r="6054">
      <c r="A6054" t="inlineStr">
        <is>
          <t>WARDAH</t>
        </is>
      </c>
      <c r="B6054" s="2">
        <f>"20100466914"</f>
        <v/>
      </c>
      <c r="C6054" t="inlineStr">
        <is>
          <t>WARDAH Colorfit Perfect Glow Cushion 21C Shell 15gr</t>
        </is>
      </c>
      <c r="D6054" t="inlineStr">
        <is>
          <t>Miss Glam Damar</t>
        </is>
      </c>
      <c r="E6054" t="n">
        <v>6</v>
      </c>
      <c r="F6054" t="n">
        <v>0.06370000000000001</v>
      </c>
      <c r="G6054" t="n">
        <v>0.91</v>
      </c>
      <c r="H6054" t="n">
        <v>2</v>
      </c>
      <c r="I6054" t="n">
        <v>6</v>
      </c>
      <c r="J6054" t="n">
        <v>3</v>
      </c>
      <c r="K6054" t="n">
        <v>0</v>
      </c>
      <c r="L6054" t="n">
        <v>95404</v>
      </c>
      <c r="M6054" t="n">
        <v>120500</v>
      </c>
      <c r="N6054" t="n">
        <v>91</v>
      </c>
      <c r="O6054" t="n">
        <v>0.91</v>
      </c>
      <c r="P6054" t="n">
        <v>1</v>
      </c>
      <c r="Q6054" t="n">
        <v>0.03</v>
      </c>
      <c r="R6054" t="n">
        <v>1</v>
      </c>
      <c r="S6054" t="n">
        <v>7675.85</v>
      </c>
      <c r="T6054" t="n">
        <v>6</v>
      </c>
      <c r="U6054" t="n">
        <v>7</v>
      </c>
      <c r="V6054" t="n">
        <v>30</v>
      </c>
      <c r="W6054" t="n">
        <v>2</v>
      </c>
      <c r="X6054" t="n">
        <v>94.19152276295132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11727</v>
      </c>
      <c r="AG6054" t="n">
        <v>63</v>
      </c>
      <c r="AH6054" t="inlineStr">
        <is>
          <t>PT. PARAMA GLOBAL INSPIRA - PPN (PDG)</t>
        </is>
      </c>
      <c r="AI6054" t="n">
        <v>164</v>
      </c>
      <c r="AJ6054" t="inlineStr">
        <is>
          <t>WARDAH</t>
        </is>
      </c>
      <c r="AK6054" t="n">
        <v>21</v>
      </c>
      <c r="AL6054" t="inlineStr">
        <is>
          <t>Miss Glam Damar</t>
        </is>
      </c>
      <c r="AM6054" t="n">
        <v>1</v>
      </c>
      <c r="AN6054" t="n">
        <v>500000</v>
      </c>
      <c r="AO6054" t="n">
        <v>0</v>
      </c>
      <c r="AP6054" t="inlineStr"/>
      <c r="AQ6054" t="inlineStr"/>
    </row>
    <row r="6055">
      <c r="A6055" t="inlineStr">
        <is>
          <t>WARDAH</t>
        </is>
      </c>
      <c r="B6055" s="2">
        <f>"20100467046"</f>
        <v/>
      </c>
      <c r="C6055" t="inlineStr">
        <is>
          <t>WARDAH Colorfit Perfect Glow Cushion 21W Linen 15gr</t>
        </is>
      </c>
      <c r="D6055" t="inlineStr">
        <is>
          <t>Miss Glam Damar</t>
        </is>
      </c>
      <c r="E6055" t="n">
        <v>8</v>
      </c>
      <c r="F6055" t="n">
        <v>0.2184</v>
      </c>
      <c r="G6055" t="n">
        <v>0.91</v>
      </c>
      <c r="H6055" t="n">
        <v>2</v>
      </c>
      <c r="I6055" t="n">
        <v>6</v>
      </c>
      <c r="J6055" t="n">
        <v>3</v>
      </c>
      <c r="K6055" t="n">
        <v>0</v>
      </c>
      <c r="L6055" t="n">
        <v>98187</v>
      </c>
      <c r="M6055" t="n">
        <v>120500</v>
      </c>
      <c r="N6055" t="n">
        <v>91</v>
      </c>
      <c r="O6055" t="n">
        <v>0.91</v>
      </c>
      <c r="P6055" t="n">
        <v>1</v>
      </c>
      <c r="Q6055" t="n">
        <v>0.1</v>
      </c>
      <c r="R6055" t="n">
        <v>2</v>
      </c>
      <c r="S6055" t="n">
        <v>26317.2</v>
      </c>
      <c r="T6055" t="n">
        <v>6</v>
      </c>
      <c r="U6055" t="n">
        <v>7</v>
      </c>
      <c r="V6055" t="n">
        <v>30</v>
      </c>
      <c r="W6055" t="n">
        <v>7</v>
      </c>
      <c r="X6055" t="n">
        <v>36.63003663003663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11727</v>
      </c>
      <c r="AG6055" t="n">
        <v>63</v>
      </c>
      <c r="AH6055" t="inlineStr">
        <is>
          <t>PT. PARAMA GLOBAL INSPIRA - PPN (PDG)</t>
        </is>
      </c>
      <c r="AI6055" t="n">
        <v>164</v>
      </c>
      <c r="AJ6055" t="inlineStr">
        <is>
          <t>WARDAH</t>
        </is>
      </c>
      <c r="AK6055" t="n">
        <v>21</v>
      </c>
      <c r="AL6055" t="inlineStr">
        <is>
          <t>Miss Glam Damar</t>
        </is>
      </c>
      <c r="AM6055" t="n">
        <v>1</v>
      </c>
      <c r="AN6055" t="n">
        <v>500000</v>
      </c>
      <c r="AO6055" t="n">
        <v>0</v>
      </c>
      <c r="AP6055" t="inlineStr"/>
      <c r="AQ6055" t="inlineStr"/>
    </row>
    <row r="6056">
      <c r="A6056" t="inlineStr">
        <is>
          <t>WARDAH</t>
        </is>
      </c>
      <c r="B6056" s="2">
        <f>"8993137715751"</f>
        <v/>
      </c>
      <c r="C6056" t="inlineStr">
        <is>
          <t>WARDAH Colorfit Perfect Glow Cushion 22N Light Ivory 15gr</t>
        </is>
      </c>
      <c r="D6056" t="inlineStr">
        <is>
          <t>Miss Glam Damar</t>
        </is>
      </c>
      <c r="E6056" t="n">
        <v>13</v>
      </c>
      <c r="F6056" t="n">
        <v>0.6279</v>
      </c>
      <c r="G6056" t="n">
        <v>4.55</v>
      </c>
      <c r="H6056" t="n">
        <v>2</v>
      </c>
      <c r="I6056" t="n">
        <v>6</v>
      </c>
      <c r="J6056" t="n">
        <v>3</v>
      </c>
      <c r="K6056" t="n">
        <v>0</v>
      </c>
      <c r="L6056" t="n">
        <v>99187</v>
      </c>
      <c r="M6056" t="n">
        <v>120500</v>
      </c>
      <c r="N6056" t="n">
        <v>91</v>
      </c>
      <c r="O6056" t="n">
        <v>0.91</v>
      </c>
      <c r="P6056" t="n">
        <v>1</v>
      </c>
      <c r="Q6056" t="n">
        <v>0.34</v>
      </c>
      <c r="R6056" t="n">
        <v>3</v>
      </c>
      <c r="S6056" t="n">
        <v>75661.95</v>
      </c>
      <c r="T6056" t="n">
        <v>27</v>
      </c>
      <c r="U6056" t="n">
        <v>29</v>
      </c>
      <c r="V6056" t="n">
        <v>30</v>
      </c>
      <c r="W6056" t="n">
        <v>19</v>
      </c>
      <c r="X6056" t="n">
        <v>20.70393374741201</v>
      </c>
      <c r="Y6056" t="n">
        <v>1</v>
      </c>
      <c r="Z6056" t="n">
        <v>6</v>
      </c>
      <c r="AA6056" t="n">
        <v>0</v>
      </c>
      <c r="AB6056" t="n">
        <v>6</v>
      </c>
      <c r="AC6056" t="n">
        <v>6</v>
      </c>
      <c r="AD6056" t="n">
        <v>0</v>
      </c>
      <c r="AE6056" t="n">
        <v>595122</v>
      </c>
      <c r="AF6056" t="n">
        <v>11727</v>
      </c>
      <c r="AG6056" t="n">
        <v>63</v>
      </c>
      <c r="AH6056" t="inlineStr">
        <is>
          <t>PT. PARAMA GLOBAL INSPIRA - PPN (PDG)</t>
        </is>
      </c>
      <c r="AI6056" t="n">
        <v>164</v>
      </c>
      <c r="AJ6056" t="inlineStr">
        <is>
          <t>WARDAH</t>
        </is>
      </c>
      <c r="AK6056" t="n">
        <v>21</v>
      </c>
      <c r="AL6056" t="inlineStr">
        <is>
          <t>Miss Glam Damar</t>
        </is>
      </c>
      <c r="AM6056" t="n">
        <v>1</v>
      </c>
      <c r="AN6056" t="n">
        <v>500000</v>
      </c>
      <c r="AO6056" t="n">
        <v>0</v>
      </c>
      <c r="AP6056" t="inlineStr"/>
      <c r="AQ6056" t="inlineStr"/>
    </row>
    <row r="6057">
      <c r="A6057" t="inlineStr">
        <is>
          <t>WARDAH</t>
        </is>
      </c>
      <c r="B6057" s="2">
        <f>"8993137715768"</f>
        <v/>
      </c>
      <c r="C6057" t="inlineStr">
        <is>
          <t>WARDAH Colorfit Perfect Glow Cushion 23W Warm Ivory 15gr</t>
        </is>
      </c>
      <c r="D6057" t="inlineStr">
        <is>
          <t>Miss Glam Damar</t>
        </is>
      </c>
      <c r="E6057" t="n">
        <v>13</v>
      </c>
      <c r="F6057" t="n">
        <v>0.2002</v>
      </c>
      <c r="G6057" t="n">
        <v>1.82</v>
      </c>
      <c r="H6057" t="n">
        <v>2</v>
      </c>
      <c r="I6057" t="n">
        <v>6</v>
      </c>
      <c r="J6057" t="n">
        <v>3</v>
      </c>
      <c r="K6057" t="n">
        <v>0</v>
      </c>
      <c r="L6057" t="n">
        <v>98428</v>
      </c>
      <c r="M6057" t="n">
        <v>120500</v>
      </c>
      <c r="N6057" t="n">
        <v>91</v>
      </c>
      <c r="O6057" t="n">
        <v>0.91</v>
      </c>
      <c r="P6057" t="n">
        <v>1</v>
      </c>
      <c r="Q6057" t="n">
        <v>0.32</v>
      </c>
      <c r="R6057" t="n">
        <v>2</v>
      </c>
      <c r="S6057" t="n">
        <v>24124.1</v>
      </c>
      <c r="T6057" t="n">
        <v>11</v>
      </c>
      <c r="U6057" t="n">
        <v>12</v>
      </c>
      <c r="V6057" t="n">
        <v>30</v>
      </c>
      <c r="W6057" t="n">
        <v>7</v>
      </c>
      <c r="X6057" t="n">
        <v>64.93506493506493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11727</v>
      </c>
      <c r="AG6057" t="n">
        <v>63</v>
      </c>
      <c r="AH6057" t="inlineStr">
        <is>
          <t>PT. PARAMA GLOBAL INSPIRA - PPN (PDG)</t>
        </is>
      </c>
      <c r="AI6057" t="n">
        <v>164</v>
      </c>
      <c r="AJ6057" t="inlineStr">
        <is>
          <t>WARDAH</t>
        </is>
      </c>
      <c r="AK6057" t="n">
        <v>21</v>
      </c>
      <c r="AL6057" t="inlineStr">
        <is>
          <t>Miss Glam Damar</t>
        </is>
      </c>
      <c r="AM6057" t="n">
        <v>1</v>
      </c>
      <c r="AN6057" t="n">
        <v>500000</v>
      </c>
      <c r="AO6057" t="n">
        <v>0</v>
      </c>
      <c r="AP6057" t="inlineStr"/>
      <c r="AQ6057" t="inlineStr"/>
    </row>
    <row r="6058">
      <c r="A6058" t="inlineStr">
        <is>
          <t>WARDAH</t>
        </is>
      </c>
      <c r="B6058" s="2">
        <f>"20100467129"</f>
        <v/>
      </c>
      <c r="C6058" t="inlineStr">
        <is>
          <t>WARDAH Colorfit Perfect Glow Cushion 31C Parfait 15gr</t>
        </is>
      </c>
      <c r="D6058" t="inlineStr">
        <is>
          <t>Miss Glam Damar</t>
        </is>
      </c>
      <c r="E6058" t="n">
        <v>5</v>
      </c>
      <c r="F6058" t="n">
        <v>0.0182</v>
      </c>
      <c r="G6058" t="n">
        <v>0.91</v>
      </c>
      <c r="H6058" t="n">
        <v>2</v>
      </c>
      <c r="I6058" t="n">
        <v>6</v>
      </c>
      <c r="J6058" t="n">
        <v>3</v>
      </c>
      <c r="K6058" t="n">
        <v>0</v>
      </c>
      <c r="L6058" t="n">
        <v>95842</v>
      </c>
      <c r="M6058" t="n">
        <v>120500</v>
      </c>
      <c r="N6058" t="n">
        <v>91</v>
      </c>
      <c r="O6058" t="n">
        <v>0.91</v>
      </c>
      <c r="P6058" t="n">
        <v>1</v>
      </c>
      <c r="Q6058" t="n">
        <v>0.03</v>
      </c>
      <c r="R6058" t="n">
        <v>1</v>
      </c>
      <c r="S6058" t="n">
        <v>2193.1</v>
      </c>
      <c r="T6058" t="n">
        <v>6</v>
      </c>
      <c r="U6058" t="n">
        <v>7</v>
      </c>
      <c r="V6058" t="n">
        <v>30</v>
      </c>
      <c r="W6058" t="n">
        <v>1</v>
      </c>
      <c r="X6058" t="n">
        <v>274.7252747252747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11727</v>
      </c>
      <c r="AG6058" t="n">
        <v>63</v>
      </c>
      <c r="AH6058" t="inlineStr">
        <is>
          <t>PT. PARAMA GLOBAL INSPIRA - PPN (PDG)</t>
        </is>
      </c>
      <c r="AI6058" t="n">
        <v>164</v>
      </c>
      <c r="AJ6058" t="inlineStr">
        <is>
          <t>WARDAH</t>
        </is>
      </c>
      <c r="AK6058" t="n">
        <v>21</v>
      </c>
      <c r="AL6058" t="inlineStr">
        <is>
          <t>Miss Glam Damar</t>
        </is>
      </c>
      <c r="AM6058" t="n">
        <v>1</v>
      </c>
      <c r="AN6058" t="n">
        <v>500000</v>
      </c>
      <c r="AO6058" t="n">
        <v>0</v>
      </c>
      <c r="AP6058" t="inlineStr"/>
      <c r="AQ6058" t="inlineStr"/>
    </row>
    <row r="6059">
      <c r="A6059" t="inlineStr">
        <is>
          <t>WARDAH</t>
        </is>
      </c>
      <c r="B6059" s="2">
        <f>"20100467257"</f>
        <v/>
      </c>
      <c r="C6059" t="inlineStr">
        <is>
          <t>WARDAH Colorfit Perfect Glow Cushion 31W Creme Beige 15gr</t>
        </is>
      </c>
      <c r="D6059" t="inlineStr">
        <is>
          <t>Miss Glam Damar</t>
        </is>
      </c>
      <c r="E6059" t="n">
        <v>6</v>
      </c>
      <c r="F6059" t="n">
        <v>0.1092</v>
      </c>
      <c r="G6059" t="n">
        <v>0.91</v>
      </c>
      <c r="H6059" t="n">
        <v>2</v>
      </c>
      <c r="I6059" t="n">
        <v>6</v>
      </c>
      <c r="J6059" t="n">
        <v>3</v>
      </c>
      <c r="K6059" t="n">
        <v>0</v>
      </c>
      <c r="L6059" t="n">
        <v>103493</v>
      </c>
      <c r="M6059" t="n">
        <v>120500</v>
      </c>
      <c r="N6059" t="n">
        <v>91</v>
      </c>
      <c r="O6059" t="n">
        <v>0.91</v>
      </c>
      <c r="P6059" t="n">
        <v>1</v>
      </c>
      <c r="Q6059" t="n">
        <v>0.12</v>
      </c>
      <c r="R6059" t="n">
        <v>2</v>
      </c>
      <c r="S6059" t="n">
        <v>13158.6</v>
      </c>
      <c r="T6059" t="n">
        <v>6</v>
      </c>
      <c r="U6059" t="n">
        <v>7</v>
      </c>
      <c r="V6059" t="n">
        <v>30</v>
      </c>
      <c r="W6059" t="n">
        <v>4</v>
      </c>
      <c r="X6059" t="n">
        <v>54.94505494505494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11727</v>
      </c>
      <c r="AG6059" t="n">
        <v>63</v>
      </c>
      <c r="AH6059" t="inlineStr">
        <is>
          <t>PT. PARAMA GLOBAL INSPIRA - PPN (PDG)</t>
        </is>
      </c>
      <c r="AI6059" t="n">
        <v>164</v>
      </c>
      <c r="AJ6059" t="inlineStr">
        <is>
          <t>WARDAH</t>
        </is>
      </c>
      <c r="AK6059" t="n">
        <v>21</v>
      </c>
      <c r="AL6059" t="inlineStr">
        <is>
          <t>Miss Glam Damar</t>
        </is>
      </c>
      <c r="AM6059" t="n">
        <v>1</v>
      </c>
      <c r="AN6059" t="n">
        <v>500000</v>
      </c>
      <c r="AO6059" t="n">
        <v>0</v>
      </c>
      <c r="AP6059" t="inlineStr"/>
      <c r="AQ6059" t="inlineStr"/>
    </row>
    <row r="6060">
      <c r="A6060" t="inlineStr">
        <is>
          <t>WARDAH</t>
        </is>
      </c>
      <c r="B6060" s="2">
        <f>"8993137715775"</f>
        <v/>
      </c>
      <c r="C6060" t="inlineStr">
        <is>
          <t>WARDAH Colorfit Perfect Glow Cushion 32N Neutral Beige 15gr</t>
        </is>
      </c>
      <c r="D6060" t="inlineStr">
        <is>
          <t>Miss Glam Damar</t>
        </is>
      </c>
      <c r="E6060" t="n">
        <v>7</v>
      </c>
      <c r="F6060" t="n">
        <v>0.3731</v>
      </c>
      <c r="G6060" t="n">
        <v>2.73</v>
      </c>
      <c r="H6060" t="n">
        <v>2</v>
      </c>
      <c r="I6060" t="n">
        <v>6</v>
      </c>
      <c r="J6060" t="n">
        <v>3</v>
      </c>
      <c r="K6060" t="n">
        <v>0</v>
      </c>
      <c r="L6060" t="n">
        <v>98331</v>
      </c>
      <c r="M6060" t="n">
        <v>120500</v>
      </c>
      <c r="N6060" t="n">
        <v>91</v>
      </c>
      <c r="O6060" t="n">
        <v>0.91</v>
      </c>
      <c r="P6060" t="n">
        <v>1</v>
      </c>
      <c r="Q6060" t="n">
        <v>0.27</v>
      </c>
      <c r="R6060" t="n">
        <v>2</v>
      </c>
      <c r="S6060" t="n">
        <v>44958.55</v>
      </c>
      <c r="T6060" t="n">
        <v>16</v>
      </c>
      <c r="U6060" t="n">
        <v>17</v>
      </c>
      <c r="V6060" t="n">
        <v>30</v>
      </c>
      <c r="W6060" t="n">
        <v>12</v>
      </c>
      <c r="X6060" t="n">
        <v>18.76172607879925</v>
      </c>
      <c r="Y6060" t="n">
        <v>1</v>
      </c>
      <c r="Z6060" t="n">
        <v>5</v>
      </c>
      <c r="AA6060" t="n">
        <v>0</v>
      </c>
      <c r="AB6060" t="n">
        <v>5</v>
      </c>
      <c r="AC6060" t="n">
        <v>5</v>
      </c>
      <c r="AD6060" t="n">
        <v>0</v>
      </c>
      <c r="AE6060" t="n">
        <v>491655</v>
      </c>
      <c r="AF6060" t="n">
        <v>11727</v>
      </c>
      <c r="AG6060" t="n">
        <v>63</v>
      </c>
      <c r="AH6060" t="inlineStr">
        <is>
          <t>PT. PARAMA GLOBAL INSPIRA - PPN (PDG)</t>
        </is>
      </c>
      <c r="AI6060" t="n">
        <v>164</v>
      </c>
      <c r="AJ6060" t="inlineStr">
        <is>
          <t>WARDAH</t>
        </is>
      </c>
      <c r="AK6060" t="n">
        <v>21</v>
      </c>
      <c r="AL6060" t="inlineStr">
        <is>
          <t>Miss Glam Damar</t>
        </is>
      </c>
      <c r="AM6060" t="n">
        <v>1</v>
      </c>
      <c r="AN6060" t="n">
        <v>500000</v>
      </c>
      <c r="AO6060" t="n">
        <v>0</v>
      </c>
      <c r="AP6060" t="inlineStr"/>
      <c r="AQ6060" t="inlineStr"/>
    </row>
    <row r="6061">
      <c r="A6061" t="inlineStr">
        <is>
          <t>WARDAH</t>
        </is>
      </c>
      <c r="B6061" s="2">
        <f>"8993137715782"</f>
        <v/>
      </c>
      <c r="C6061" t="inlineStr">
        <is>
          <t>WARDAH Colorfit Perfect Glow Cushion 33W Olive Beige 15gr</t>
        </is>
      </c>
      <c r="D6061" t="inlineStr">
        <is>
          <t>Miss Glam Damar</t>
        </is>
      </c>
      <c r="E6061" t="n">
        <v>6</v>
      </c>
      <c r="F6061" t="n">
        <v>0.1092</v>
      </c>
      <c r="G6061" t="n">
        <v>0.91</v>
      </c>
      <c r="H6061" t="n">
        <v>2</v>
      </c>
      <c r="I6061" t="n">
        <v>6</v>
      </c>
      <c r="J6061" t="n">
        <v>3</v>
      </c>
      <c r="K6061" t="n">
        <v>0</v>
      </c>
      <c r="L6061" t="n">
        <v>98469</v>
      </c>
      <c r="M6061" t="n">
        <v>120500</v>
      </c>
      <c r="N6061" t="n">
        <v>91</v>
      </c>
      <c r="O6061" t="n">
        <v>0.91</v>
      </c>
      <c r="P6061" t="n">
        <v>1</v>
      </c>
      <c r="Q6061" t="n">
        <v>0.02</v>
      </c>
      <c r="R6061" t="n">
        <v>1</v>
      </c>
      <c r="S6061" t="n">
        <v>13158.6</v>
      </c>
      <c r="T6061" t="n">
        <v>6</v>
      </c>
      <c r="U6061" t="n">
        <v>7</v>
      </c>
      <c r="V6061" t="n">
        <v>30</v>
      </c>
      <c r="W6061" t="n">
        <v>4</v>
      </c>
      <c r="X6061" t="n">
        <v>54.94505494505494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11727</v>
      </c>
      <c r="AG6061" t="n">
        <v>63</v>
      </c>
      <c r="AH6061" t="inlineStr">
        <is>
          <t>PT. PARAMA GLOBAL INSPIRA - PPN (PDG)</t>
        </is>
      </c>
      <c r="AI6061" t="n">
        <v>164</v>
      </c>
      <c r="AJ6061" t="inlineStr">
        <is>
          <t>WARDAH</t>
        </is>
      </c>
      <c r="AK6061" t="n">
        <v>21</v>
      </c>
      <c r="AL6061" t="inlineStr">
        <is>
          <t>Miss Glam Damar</t>
        </is>
      </c>
      <c r="AM6061" t="n">
        <v>1</v>
      </c>
      <c r="AN6061" t="n">
        <v>500000</v>
      </c>
      <c r="AO6061" t="n">
        <v>0</v>
      </c>
      <c r="AP6061" t="inlineStr"/>
      <c r="AQ6061" t="inlineStr"/>
    </row>
    <row r="6062">
      <c r="A6062" t="inlineStr">
        <is>
          <t>WARDAH</t>
        </is>
      </c>
      <c r="B6062" s="2">
        <f>"20100467454"</f>
        <v/>
      </c>
      <c r="C6062" t="inlineStr">
        <is>
          <t>WARDAH Colorfit Perfect Glow Cushion 41W Olive Sand 15gr</t>
        </is>
      </c>
      <c r="D6062" t="inlineStr">
        <is>
          <t>Miss Glam Damar</t>
        </is>
      </c>
      <c r="E6062" t="n">
        <v>6</v>
      </c>
      <c r="F6062" t="n">
        <v>0.04550000000000001</v>
      </c>
      <c r="G6062" t="n">
        <v>0.91</v>
      </c>
      <c r="H6062" t="n">
        <v>2</v>
      </c>
      <c r="I6062" t="n">
        <v>6</v>
      </c>
      <c r="J6062" t="n">
        <v>3</v>
      </c>
      <c r="K6062" t="n">
        <v>0</v>
      </c>
      <c r="L6062" t="n">
        <v>98469</v>
      </c>
      <c r="M6062" t="n">
        <v>120500</v>
      </c>
      <c r="N6062" t="n">
        <v>91</v>
      </c>
      <c r="O6062" t="n">
        <v>0.91</v>
      </c>
      <c r="P6062" t="n">
        <v>1</v>
      </c>
      <c r="Q6062" t="n">
        <v>0.03</v>
      </c>
      <c r="R6062" t="n">
        <v>1</v>
      </c>
      <c r="S6062" t="n">
        <v>5482.750000000001</v>
      </c>
      <c r="T6062" t="n">
        <v>6</v>
      </c>
      <c r="U6062" t="n">
        <v>7</v>
      </c>
      <c r="V6062" t="n">
        <v>30</v>
      </c>
      <c r="W6062" t="n">
        <v>2</v>
      </c>
      <c r="X6062" t="n">
        <v>131.8681318681319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11727</v>
      </c>
      <c r="AG6062" t="n">
        <v>63</v>
      </c>
      <c r="AH6062" t="inlineStr">
        <is>
          <t>PT. PARAMA GLOBAL INSPIRA - PPN (PDG)</t>
        </is>
      </c>
      <c r="AI6062" t="n">
        <v>164</v>
      </c>
      <c r="AJ6062" t="inlineStr">
        <is>
          <t>WARDAH</t>
        </is>
      </c>
      <c r="AK6062" t="n">
        <v>21</v>
      </c>
      <c r="AL6062" t="inlineStr">
        <is>
          <t>Miss Glam Damar</t>
        </is>
      </c>
      <c r="AM6062" t="n">
        <v>1</v>
      </c>
      <c r="AN6062" t="n">
        <v>500000</v>
      </c>
      <c r="AO6062" t="n">
        <v>0</v>
      </c>
      <c r="AP6062" t="inlineStr"/>
      <c r="AQ6062" t="inlineStr"/>
    </row>
    <row r="6063">
      <c r="A6063" t="inlineStr">
        <is>
          <t>WARDAH</t>
        </is>
      </c>
      <c r="B6063" s="2">
        <f>"8993137715805"</f>
        <v/>
      </c>
      <c r="C6063" t="inlineStr">
        <is>
          <t>WARDAH Colorfit Perfect Glow Cushion 42N Neutral Sand 15gr</t>
        </is>
      </c>
      <c r="D6063" t="inlineStr">
        <is>
          <t>Miss Glam Damar</t>
        </is>
      </c>
      <c r="E6063" t="n">
        <v>3</v>
      </c>
      <c r="F6063" t="n">
        <v>0.1365</v>
      </c>
      <c r="G6063" t="n">
        <v>0.91</v>
      </c>
      <c r="H6063" t="n">
        <v>2</v>
      </c>
      <c r="I6063" t="n">
        <v>6</v>
      </c>
      <c r="J6063" t="n">
        <v>3</v>
      </c>
      <c r="K6063" t="n">
        <v>0</v>
      </c>
      <c r="L6063" t="n">
        <v>96736</v>
      </c>
      <c r="M6063" t="n">
        <v>120500</v>
      </c>
      <c r="N6063" t="n">
        <v>91</v>
      </c>
      <c r="O6063" t="n">
        <v>0.91</v>
      </c>
      <c r="P6063" t="n">
        <v>1</v>
      </c>
      <c r="Q6063" t="n">
        <v>0.08</v>
      </c>
      <c r="R6063" t="n">
        <v>1</v>
      </c>
      <c r="S6063" t="n">
        <v>16448.25</v>
      </c>
      <c r="T6063" t="n">
        <v>6</v>
      </c>
      <c r="U6063" t="n">
        <v>7</v>
      </c>
      <c r="V6063" t="n">
        <v>30</v>
      </c>
      <c r="W6063" t="n">
        <v>5</v>
      </c>
      <c r="X6063" t="n">
        <v>21.97802197802198</v>
      </c>
      <c r="Y6063" t="n">
        <v>1</v>
      </c>
      <c r="Z6063" t="n">
        <v>2</v>
      </c>
      <c r="AA6063" t="n">
        <v>0</v>
      </c>
      <c r="AB6063" t="n">
        <v>2</v>
      </c>
      <c r="AC6063" t="n">
        <v>3</v>
      </c>
      <c r="AD6063" t="n">
        <v>0</v>
      </c>
      <c r="AE6063" t="n">
        <v>290208</v>
      </c>
      <c r="AF6063" t="n">
        <v>11727</v>
      </c>
      <c r="AG6063" t="n">
        <v>63</v>
      </c>
      <c r="AH6063" t="inlineStr">
        <is>
          <t>PT. PARAMA GLOBAL INSPIRA - PPN (PDG)</t>
        </is>
      </c>
      <c r="AI6063" t="n">
        <v>164</v>
      </c>
      <c r="AJ6063" t="inlineStr">
        <is>
          <t>WARDAH</t>
        </is>
      </c>
      <c r="AK6063" t="n">
        <v>21</v>
      </c>
      <c r="AL6063" t="inlineStr">
        <is>
          <t>Miss Glam Damar</t>
        </is>
      </c>
      <c r="AM6063" t="n">
        <v>1</v>
      </c>
      <c r="AN6063" t="n">
        <v>500000</v>
      </c>
      <c r="AO6063" t="n">
        <v>0</v>
      </c>
      <c r="AP6063" t="inlineStr"/>
      <c r="AQ6063" t="inlineStr"/>
    </row>
    <row r="6064">
      <c r="A6064" t="inlineStr">
        <is>
          <t>WARDAH</t>
        </is>
      </c>
      <c r="B6064" s="2">
        <f>"8993137715799"</f>
        <v/>
      </c>
      <c r="C6064" t="inlineStr">
        <is>
          <t>WARDAH Colorfit Perfect Glow Cushion 43W 15gr</t>
        </is>
      </c>
      <c r="D6064" t="inlineStr">
        <is>
          <t>Miss Glam Damar</t>
        </is>
      </c>
      <c r="E6064" t="n">
        <v>5</v>
      </c>
      <c r="F6064" t="n">
        <v>0.06370000000000001</v>
      </c>
      <c r="G6064" t="n">
        <v>0.91</v>
      </c>
      <c r="H6064" t="n">
        <v>2</v>
      </c>
      <c r="I6064" t="n">
        <v>6</v>
      </c>
      <c r="J6064" t="n">
        <v>3</v>
      </c>
      <c r="K6064" t="n">
        <v>0</v>
      </c>
      <c r="L6064" t="n">
        <v>97243</v>
      </c>
      <c r="M6064" t="n">
        <v>120500</v>
      </c>
      <c r="N6064" t="n">
        <v>91</v>
      </c>
      <c r="O6064" t="n">
        <v>0.91</v>
      </c>
      <c r="P6064" t="n">
        <v>1</v>
      </c>
      <c r="Q6064" t="n">
        <v>0.03</v>
      </c>
      <c r="R6064" t="n">
        <v>1</v>
      </c>
      <c r="S6064" t="n">
        <v>7675.85</v>
      </c>
      <c r="T6064" t="n">
        <v>6</v>
      </c>
      <c r="U6064" t="n">
        <v>7</v>
      </c>
      <c r="V6064" t="n">
        <v>30</v>
      </c>
      <c r="W6064" t="n">
        <v>2</v>
      </c>
      <c r="X6064" t="n">
        <v>78.49293563579278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11727</v>
      </c>
      <c r="AG6064" t="n">
        <v>63</v>
      </c>
      <c r="AH6064" t="inlineStr">
        <is>
          <t>PT. PARAMA GLOBAL INSPIRA - PPN (PDG)</t>
        </is>
      </c>
      <c r="AI6064" t="n">
        <v>164</v>
      </c>
      <c r="AJ6064" t="inlineStr">
        <is>
          <t>WARDAH</t>
        </is>
      </c>
      <c r="AK6064" t="n">
        <v>21</v>
      </c>
      <c r="AL6064" t="inlineStr">
        <is>
          <t>Miss Glam Damar</t>
        </is>
      </c>
      <c r="AM6064" t="n">
        <v>1</v>
      </c>
      <c r="AN6064" t="n">
        <v>500000</v>
      </c>
      <c r="AO6064" t="n">
        <v>0</v>
      </c>
      <c r="AP6064" t="inlineStr"/>
      <c r="AQ6064" t="inlineStr"/>
    </row>
    <row r="6065">
      <c r="A6065" t="inlineStr">
        <is>
          <t>WARDAH</t>
        </is>
      </c>
      <c r="B6065" s="2">
        <f>"8993137715812"</f>
        <v/>
      </c>
      <c r="C6065" t="inlineStr">
        <is>
          <t>WARDAH Colorfit Perfect Glow Cushion 52N 15 g</t>
        </is>
      </c>
      <c r="D6065" t="inlineStr">
        <is>
          <t>Miss Glam Damar</t>
        </is>
      </c>
      <c r="E6065" t="n">
        <v>2</v>
      </c>
      <c r="F6065" t="n">
        <v>0.03</v>
      </c>
      <c r="G6065" t="n">
        <v>1</v>
      </c>
      <c r="H6065" t="n">
        <v>2</v>
      </c>
      <c r="I6065" t="n">
        <v>6</v>
      </c>
      <c r="J6065" t="n">
        <v>3</v>
      </c>
      <c r="K6065" t="n">
        <v>0</v>
      </c>
      <c r="L6065" t="n">
        <v>98470</v>
      </c>
      <c r="M6065" t="n">
        <v>120500</v>
      </c>
      <c r="N6065" t="n">
        <v>91</v>
      </c>
      <c r="O6065" t="n">
        <v>0.91</v>
      </c>
      <c r="P6065" t="n">
        <v>0</v>
      </c>
      <c r="Q6065" t="n">
        <v>0.03</v>
      </c>
      <c r="R6065" t="n">
        <v>1</v>
      </c>
      <c r="S6065" t="n">
        <v>3615</v>
      </c>
      <c r="T6065" t="n">
        <v>6</v>
      </c>
      <c r="U6065" t="n">
        <v>7</v>
      </c>
      <c r="V6065" t="n">
        <v>30</v>
      </c>
      <c r="W6065" t="n">
        <v>1</v>
      </c>
      <c r="X6065" t="n">
        <v>66.66666666666667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11727</v>
      </c>
      <c r="AG6065" t="n">
        <v>63</v>
      </c>
      <c r="AH6065" t="inlineStr">
        <is>
          <t>PT. PARAMA GLOBAL INSPIRA - PPN (PDG)</t>
        </is>
      </c>
      <c r="AI6065" t="n">
        <v>164</v>
      </c>
      <c r="AJ6065" t="inlineStr">
        <is>
          <t>WARDAH</t>
        </is>
      </c>
      <c r="AK6065" t="n">
        <v>21</v>
      </c>
      <c r="AL6065" t="inlineStr">
        <is>
          <t>Miss Glam Damar</t>
        </is>
      </c>
      <c r="AM6065" t="n">
        <v>1</v>
      </c>
      <c r="AN6065" t="n">
        <v>500000</v>
      </c>
      <c r="AO6065" t="n">
        <v>0</v>
      </c>
      <c r="AP6065" t="inlineStr"/>
      <c r="AQ6065" t="inlineStr"/>
    </row>
    <row r="6066">
      <c r="A6066" t="inlineStr">
        <is>
          <t>WARDAH</t>
        </is>
      </c>
      <c r="B6066" s="2">
        <f>"8993137715935"</f>
        <v/>
      </c>
      <c r="C6066" t="inlineStr">
        <is>
          <t>WARDAH Colorfit Quad Eye Palette 01 Brunette Dawn 6gr</t>
        </is>
      </c>
      <c r="D6066" t="inlineStr">
        <is>
          <t>Miss Glam Damar</t>
        </is>
      </c>
      <c r="E6066" t="n">
        <v>6</v>
      </c>
      <c r="F6066" t="n">
        <v>0.2457</v>
      </c>
      <c r="G6066" t="n">
        <v>2.73</v>
      </c>
      <c r="H6066" t="n">
        <v>2</v>
      </c>
      <c r="I6066" t="n">
        <v>6</v>
      </c>
      <c r="J6066" t="n">
        <v>3</v>
      </c>
      <c r="K6066" t="n">
        <v>0</v>
      </c>
      <c r="L6066" t="n">
        <v>66645</v>
      </c>
      <c r="M6066" t="n">
        <v>81500</v>
      </c>
      <c r="N6066" t="n">
        <v>91</v>
      </c>
      <c r="O6066" t="n">
        <v>0.91</v>
      </c>
      <c r="P6066" t="n">
        <v>1</v>
      </c>
      <c r="Q6066" t="n">
        <v>0.29</v>
      </c>
      <c r="R6066" t="n">
        <v>1</v>
      </c>
      <c r="S6066" t="n">
        <v>20024.55</v>
      </c>
      <c r="T6066" t="n">
        <v>16</v>
      </c>
      <c r="U6066" t="n">
        <v>17</v>
      </c>
      <c r="V6066" t="n">
        <v>30</v>
      </c>
      <c r="W6066" t="n">
        <v>8</v>
      </c>
      <c r="X6066" t="n">
        <v>24.42002442002442</v>
      </c>
      <c r="Y6066" t="n">
        <v>1</v>
      </c>
      <c r="Z6066" t="n">
        <v>2</v>
      </c>
      <c r="AA6066" t="n">
        <v>0</v>
      </c>
      <c r="AB6066" t="n">
        <v>2</v>
      </c>
      <c r="AC6066" t="n">
        <v>3</v>
      </c>
      <c r="AD6066" t="n">
        <v>0</v>
      </c>
      <c r="AE6066" t="n">
        <v>199935</v>
      </c>
      <c r="AF6066" t="n">
        <v>11727</v>
      </c>
      <c r="AG6066" t="n">
        <v>63</v>
      </c>
      <c r="AH6066" t="inlineStr">
        <is>
          <t>PT. PARAMA GLOBAL INSPIRA - PPN (PDG)</t>
        </is>
      </c>
      <c r="AI6066" t="n">
        <v>164</v>
      </c>
      <c r="AJ6066" t="inlineStr">
        <is>
          <t>WARDAH</t>
        </is>
      </c>
      <c r="AK6066" t="n">
        <v>21</v>
      </c>
      <c r="AL6066" t="inlineStr">
        <is>
          <t>Miss Glam Damar</t>
        </is>
      </c>
      <c r="AM6066" t="n">
        <v>1</v>
      </c>
      <c r="AN6066" t="n">
        <v>500000</v>
      </c>
      <c r="AO6066" t="n">
        <v>0</v>
      </c>
      <c r="AP6066" t="inlineStr"/>
      <c r="AQ6066" t="inlineStr"/>
    </row>
    <row r="6067">
      <c r="A6067" t="inlineStr">
        <is>
          <t>WARDAH</t>
        </is>
      </c>
      <c r="B6067" s="2">
        <f>"8993137715942"</f>
        <v/>
      </c>
      <c r="C6067" t="inlineStr">
        <is>
          <t>WARDAH Colorfit Quad Eye Palette 02 Rose Aurora 6gr</t>
        </is>
      </c>
      <c r="D6067" t="inlineStr">
        <is>
          <t>Miss Glam Damar</t>
        </is>
      </c>
      <c r="E6067" t="n">
        <v>7</v>
      </c>
      <c r="F6067" t="n">
        <v>0.2093</v>
      </c>
      <c r="G6067" t="n">
        <v>1.82</v>
      </c>
      <c r="H6067" t="n">
        <v>2</v>
      </c>
      <c r="I6067" t="n">
        <v>6</v>
      </c>
      <c r="J6067" t="n">
        <v>3</v>
      </c>
      <c r="K6067" t="n">
        <v>0</v>
      </c>
      <c r="L6067" t="n">
        <v>66668</v>
      </c>
      <c r="M6067" t="n">
        <v>81500</v>
      </c>
      <c r="N6067" t="n">
        <v>91</v>
      </c>
      <c r="O6067" t="n">
        <v>0.91</v>
      </c>
      <c r="P6067" t="n">
        <v>1</v>
      </c>
      <c r="Q6067" t="n">
        <v>0.44</v>
      </c>
      <c r="R6067" t="n">
        <v>4</v>
      </c>
      <c r="S6067" t="n">
        <v>17057.95</v>
      </c>
      <c r="T6067" t="n">
        <v>11</v>
      </c>
      <c r="U6067" t="n">
        <v>12</v>
      </c>
      <c r="V6067" t="n">
        <v>30</v>
      </c>
      <c r="W6067" t="n">
        <v>7</v>
      </c>
      <c r="X6067" t="n">
        <v>33.4448160535117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11727</v>
      </c>
      <c r="AG6067" t="n">
        <v>63</v>
      </c>
      <c r="AH6067" t="inlineStr">
        <is>
          <t>PT. PARAMA GLOBAL INSPIRA - PPN (PDG)</t>
        </is>
      </c>
      <c r="AI6067" t="n">
        <v>164</v>
      </c>
      <c r="AJ6067" t="inlineStr">
        <is>
          <t>WARDAH</t>
        </is>
      </c>
      <c r="AK6067" t="n">
        <v>21</v>
      </c>
      <c r="AL6067" t="inlineStr">
        <is>
          <t>Miss Glam Damar</t>
        </is>
      </c>
      <c r="AM6067" t="n">
        <v>1</v>
      </c>
      <c r="AN6067" t="n">
        <v>500000</v>
      </c>
      <c r="AO6067" t="n">
        <v>0</v>
      </c>
      <c r="AP6067" t="inlineStr"/>
      <c r="AQ6067" t="inlineStr"/>
    </row>
    <row r="6068">
      <c r="A6068" t="inlineStr">
        <is>
          <t>WARDAH</t>
        </is>
      </c>
      <c r="B6068" s="2">
        <f>"8993137715959"</f>
        <v/>
      </c>
      <c r="C6068" t="inlineStr">
        <is>
          <t>WARDAH Colorfit Quad Eye Palette 03 Sunlit Blaze 6gr</t>
        </is>
      </c>
      <c r="D6068" t="inlineStr">
        <is>
          <t>Miss Glam Damar</t>
        </is>
      </c>
      <c r="E6068" t="n">
        <v>6</v>
      </c>
      <c r="F6068" t="n">
        <v>0.0728</v>
      </c>
      <c r="G6068" t="n">
        <v>0.91</v>
      </c>
      <c r="H6068" t="n">
        <v>2</v>
      </c>
      <c r="I6068" t="n">
        <v>6</v>
      </c>
      <c r="J6068" t="n">
        <v>3</v>
      </c>
      <c r="K6068" t="n">
        <v>0</v>
      </c>
      <c r="L6068" t="n">
        <v>66668</v>
      </c>
      <c r="M6068" t="n">
        <v>81500</v>
      </c>
      <c r="N6068" t="n">
        <v>91</v>
      </c>
      <c r="O6068" t="n">
        <v>0.91</v>
      </c>
      <c r="P6068" t="n">
        <v>1</v>
      </c>
      <c r="Q6068" t="n">
        <v>0.2</v>
      </c>
      <c r="R6068" t="n">
        <v>2</v>
      </c>
      <c r="S6068" t="n">
        <v>5933.200000000001</v>
      </c>
      <c r="T6068" t="n">
        <v>6</v>
      </c>
      <c r="U6068" t="n">
        <v>7</v>
      </c>
      <c r="V6068" t="n">
        <v>30</v>
      </c>
      <c r="W6068" t="n">
        <v>3</v>
      </c>
      <c r="X6068" t="n">
        <v>82.41758241758241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11727</v>
      </c>
      <c r="AG6068" t="n">
        <v>63</v>
      </c>
      <c r="AH6068" t="inlineStr">
        <is>
          <t>PT. PARAMA GLOBAL INSPIRA - PPN (PDG)</t>
        </is>
      </c>
      <c r="AI6068" t="n">
        <v>164</v>
      </c>
      <c r="AJ6068" t="inlineStr">
        <is>
          <t>WARDAH</t>
        </is>
      </c>
      <c r="AK6068" t="n">
        <v>21</v>
      </c>
      <c r="AL6068" t="inlineStr">
        <is>
          <t>Miss Glam Damar</t>
        </is>
      </c>
      <c r="AM6068" t="n">
        <v>1</v>
      </c>
      <c r="AN6068" t="n">
        <v>500000</v>
      </c>
      <c r="AO6068" t="n">
        <v>0</v>
      </c>
      <c r="AP6068" t="inlineStr"/>
      <c r="AQ6068" t="inlineStr"/>
    </row>
    <row r="6069">
      <c r="A6069" t="inlineStr">
        <is>
          <t>WARDAH</t>
        </is>
      </c>
      <c r="B6069" s="2">
        <f>"8993137715553"</f>
        <v/>
      </c>
      <c r="C6069" t="inlineStr">
        <is>
          <t>WARDAH Colorfit Refill Perfect Glow Cushion Light Ivory 22N 15gr</t>
        </is>
      </c>
      <c r="D6069" t="inlineStr">
        <is>
          <t>Miss Glam Damar</t>
        </is>
      </c>
      <c r="E6069" t="n">
        <v>8</v>
      </c>
      <c r="F6069" t="n">
        <v>0.5369</v>
      </c>
      <c r="G6069" t="n">
        <v>1.82</v>
      </c>
      <c r="H6069" t="n">
        <v>2</v>
      </c>
      <c r="I6069" t="n">
        <v>6</v>
      </c>
      <c r="J6069" t="n">
        <v>3</v>
      </c>
      <c r="K6069" t="n">
        <v>0</v>
      </c>
      <c r="L6069" t="n">
        <v>74714</v>
      </c>
      <c r="M6069" t="n">
        <v>91500</v>
      </c>
      <c r="N6069" t="n">
        <v>91</v>
      </c>
      <c r="O6069" t="n">
        <v>0.91</v>
      </c>
      <c r="P6069" t="n">
        <v>1</v>
      </c>
      <c r="Q6069" t="n">
        <v>0.54</v>
      </c>
      <c r="R6069" t="n">
        <v>5</v>
      </c>
      <c r="S6069" t="n">
        <v>49126.35000000001</v>
      </c>
      <c r="T6069" t="n">
        <v>10</v>
      </c>
      <c r="U6069" t="n">
        <v>12</v>
      </c>
      <c r="V6069" t="n">
        <v>30</v>
      </c>
      <c r="W6069" t="n">
        <v>17</v>
      </c>
      <c r="X6069" t="n">
        <v>14.90035388340473</v>
      </c>
      <c r="Y6069" t="n">
        <v>1</v>
      </c>
      <c r="Z6069" t="n">
        <v>9</v>
      </c>
      <c r="AA6069" t="n">
        <v>0</v>
      </c>
      <c r="AB6069" t="n">
        <v>9</v>
      </c>
      <c r="AC6069" t="n">
        <v>9</v>
      </c>
      <c r="AD6069" t="n">
        <v>0</v>
      </c>
      <c r="AE6069" t="n">
        <v>672426</v>
      </c>
      <c r="AF6069" t="n">
        <v>11727</v>
      </c>
      <c r="AG6069" t="n">
        <v>63</v>
      </c>
      <c r="AH6069" t="inlineStr">
        <is>
          <t>PT. PARAMA GLOBAL INSPIRA - PPN (PDG)</t>
        </is>
      </c>
      <c r="AI6069" t="n">
        <v>164</v>
      </c>
      <c r="AJ6069" t="inlineStr">
        <is>
          <t>WARDAH</t>
        </is>
      </c>
      <c r="AK6069" t="n">
        <v>21</v>
      </c>
      <c r="AL6069" t="inlineStr">
        <is>
          <t>Miss Glam Damar</t>
        </is>
      </c>
      <c r="AM6069" t="n">
        <v>1</v>
      </c>
      <c r="AN6069" t="n">
        <v>500000</v>
      </c>
      <c r="AO6069" t="n">
        <v>0</v>
      </c>
      <c r="AP6069" t="inlineStr"/>
      <c r="AQ6069" t="inlineStr"/>
    </row>
    <row r="6070">
      <c r="A6070" t="inlineStr">
        <is>
          <t>WARDAH</t>
        </is>
      </c>
      <c r="B6070" s="2">
        <f>"8993137715577"</f>
        <v/>
      </c>
      <c r="C6070" t="inlineStr">
        <is>
          <t>WARDAH Colorfit Refill Perfect Glow Cushion Neutral Beige 32N 15gr</t>
        </is>
      </c>
      <c r="D6070" t="inlineStr">
        <is>
          <t>Miss Glam Damar</t>
        </is>
      </c>
      <c r="E6070" t="n">
        <v>11</v>
      </c>
      <c r="F6070" t="n">
        <v>0.2821</v>
      </c>
      <c r="G6070" t="n">
        <v>1.82</v>
      </c>
      <c r="H6070" t="n">
        <v>2</v>
      </c>
      <c r="I6070" t="n">
        <v>6</v>
      </c>
      <c r="J6070" t="n">
        <v>3</v>
      </c>
      <c r="K6070" t="n">
        <v>0</v>
      </c>
      <c r="L6070" t="n">
        <v>74850</v>
      </c>
      <c r="M6070" t="n">
        <v>91500</v>
      </c>
      <c r="N6070" t="n">
        <v>91</v>
      </c>
      <c r="O6070" t="n">
        <v>0.91</v>
      </c>
      <c r="P6070" t="n">
        <v>1</v>
      </c>
      <c r="Q6070" t="n">
        <v>0.44</v>
      </c>
      <c r="R6070" t="n">
        <v>2</v>
      </c>
      <c r="S6070" t="n">
        <v>25812.15</v>
      </c>
      <c r="T6070" t="n">
        <v>11</v>
      </c>
      <c r="U6070" t="n">
        <v>12</v>
      </c>
      <c r="V6070" t="n">
        <v>30</v>
      </c>
      <c r="W6070" t="n">
        <v>9</v>
      </c>
      <c r="X6070" t="n">
        <v>38.99326479971641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11727</v>
      </c>
      <c r="AG6070" t="n">
        <v>63</v>
      </c>
      <c r="AH6070" t="inlineStr">
        <is>
          <t>PT. PARAMA GLOBAL INSPIRA - PPN (PDG)</t>
        </is>
      </c>
      <c r="AI6070" t="n">
        <v>164</v>
      </c>
      <c r="AJ6070" t="inlineStr">
        <is>
          <t>WARDAH</t>
        </is>
      </c>
      <c r="AK6070" t="n">
        <v>21</v>
      </c>
      <c r="AL6070" t="inlineStr">
        <is>
          <t>Miss Glam Damar</t>
        </is>
      </c>
      <c r="AM6070" t="n">
        <v>1</v>
      </c>
      <c r="AN6070" t="n">
        <v>500000</v>
      </c>
      <c r="AO6070" t="n">
        <v>0</v>
      </c>
      <c r="AP6070" t="inlineStr"/>
      <c r="AQ6070" t="inlineStr"/>
    </row>
    <row r="6071">
      <c r="A6071" t="inlineStr">
        <is>
          <t>WARDAH</t>
        </is>
      </c>
      <c r="B6071" s="2">
        <f>"8993137715546"</f>
        <v/>
      </c>
      <c r="C6071" t="inlineStr">
        <is>
          <t>WARDAH Colorfit Refill Perfect Glow Cushion Pink Fair 11C 15gr</t>
        </is>
      </c>
      <c r="D6071" t="inlineStr">
        <is>
          <t>Miss Glam Damar</t>
        </is>
      </c>
      <c r="E6071" t="n">
        <v>3</v>
      </c>
      <c r="F6071" t="n">
        <v>0.0728</v>
      </c>
      <c r="G6071" t="n">
        <v>1.82</v>
      </c>
      <c r="H6071" t="n">
        <v>2</v>
      </c>
      <c r="I6071" t="n">
        <v>6</v>
      </c>
      <c r="J6071" t="n">
        <v>3</v>
      </c>
      <c r="K6071" t="n">
        <v>0</v>
      </c>
      <c r="L6071" t="n">
        <v>74714</v>
      </c>
      <c r="M6071" t="n">
        <v>91500</v>
      </c>
      <c r="N6071" t="n">
        <v>91</v>
      </c>
      <c r="O6071" t="n">
        <v>0.91</v>
      </c>
      <c r="P6071" t="n">
        <v>1</v>
      </c>
      <c r="Q6071" t="n">
        <v>0.1</v>
      </c>
      <c r="R6071" t="n">
        <v>1</v>
      </c>
      <c r="S6071" t="n">
        <v>6661.200000000001</v>
      </c>
      <c r="T6071" t="n">
        <v>11</v>
      </c>
      <c r="U6071" t="n">
        <v>12</v>
      </c>
      <c r="V6071" t="n">
        <v>30</v>
      </c>
      <c r="W6071" t="n">
        <v>3</v>
      </c>
      <c r="X6071" t="n">
        <v>41.2087912087912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11727</v>
      </c>
      <c r="AG6071" t="n">
        <v>63</v>
      </c>
      <c r="AH6071" t="inlineStr">
        <is>
          <t>PT. PARAMA GLOBAL INSPIRA - PPN (PDG)</t>
        </is>
      </c>
      <c r="AI6071" t="n">
        <v>164</v>
      </c>
      <c r="AJ6071" t="inlineStr">
        <is>
          <t>WARDAH</t>
        </is>
      </c>
      <c r="AK6071" t="n">
        <v>21</v>
      </c>
      <c r="AL6071" t="inlineStr">
        <is>
          <t>Miss Glam Damar</t>
        </is>
      </c>
      <c r="AM6071" t="n">
        <v>1</v>
      </c>
      <c r="AN6071" t="n">
        <v>500000</v>
      </c>
      <c r="AO6071" t="n">
        <v>0</v>
      </c>
      <c r="AP6071" t="inlineStr"/>
      <c r="AQ6071" t="inlineStr"/>
    </row>
    <row r="6072">
      <c r="A6072" t="inlineStr">
        <is>
          <t>WARDAH</t>
        </is>
      </c>
      <c r="B6072" s="2">
        <f>"8993137715560"</f>
        <v/>
      </c>
      <c r="C6072" t="inlineStr">
        <is>
          <t>WARDAH Colorfit Refill Perfect Glow Cushion Warm Ivory 23W 15gr</t>
        </is>
      </c>
      <c r="D6072" t="inlineStr">
        <is>
          <t>Miss Glam Damar</t>
        </is>
      </c>
      <c r="E6072" t="n">
        <v>5</v>
      </c>
      <c r="F6072" t="n">
        <v>0.2639</v>
      </c>
      <c r="G6072" t="n">
        <v>1.82</v>
      </c>
      <c r="H6072" t="n">
        <v>2</v>
      </c>
      <c r="I6072" t="n">
        <v>6</v>
      </c>
      <c r="J6072" t="n">
        <v>3</v>
      </c>
      <c r="K6072" t="n">
        <v>0</v>
      </c>
      <c r="L6072" t="n">
        <v>74714</v>
      </c>
      <c r="M6072" t="n">
        <v>91500</v>
      </c>
      <c r="N6072" t="n">
        <v>91</v>
      </c>
      <c r="O6072" t="n">
        <v>0.91</v>
      </c>
      <c r="P6072" t="n">
        <v>1</v>
      </c>
      <c r="Q6072" t="n">
        <v>0.14</v>
      </c>
      <c r="R6072" t="n">
        <v>1</v>
      </c>
      <c r="S6072" t="n">
        <v>24146.85</v>
      </c>
      <c r="T6072" t="n">
        <v>11</v>
      </c>
      <c r="U6072" t="n">
        <v>12</v>
      </c>
      <c r="V6072" t="n">
        <v>30</v>
      </c>
      <c r="W6072" t="n">
        <v>8</v>
      </c>
      <c r="X6072" t="n">
        <v>18.9465706707086</v>
      </c>
      <c r="Y6072" t="n">
        <v>1</v>
      </c>
      <c r="Z6072" t="n">
        <v>3</v>
      </c>
      <c r="AA6072" t="n">
        <v>0</v>
      </c>
      <c r="AB6072" t="n">
        <v>3</v>
      </c>
      <c r="AC6072" t="n">
        <v>3</v>
      </c>
      <c r="AD6072" t="n">
        <v>0</v>
      </c>
      <c r="AE6072" t="n">
        <v>224142</v>
      </c>
      <c r="AF6072" t="n">
        <v>11727</v>
      </c>
      <c r="AG6072" t="n">
        <v>63</v>
      </c>
      <c r="AH6072" t="inlineStr">
        <is>
          <t>PT. PARAMA GLOBAL INSPIRA - PPN (PDG)</t>
        </is>
      </c>
      <c r="AI6072" t="n">
        <v>164</v>
      </c>
      <c r="AJ6072" t="inlineStr">
        <is>
          <t>WARDAH</t>
        </is>
      </c>
      <c r="AK6072" t="n">
        <v>21</v>
      </c>
      <c r="AL6072" t="inlineStr">
        <is>
          <t>Miss Glam Damar</t>
        </is>
      </c>
      <c r="AM6072" t="n">
        <v>1</v>
      </c>
      <c r="AN6072" t="n">
        <v>500000</v>
      </c>
      <c r="AO6072" t="n">
        <v>0</v>
      </c>
      <c r="AP6072" t="inlineStr"/>
      <c r="AQ6072" t="inlineStr"/>
    </row>
    <row r="6073">
      <c r="A6073" t="inlineStr">
        <is>
          <t>WARDAH</t>
        </is>
      </c>
      <c r="B6073" s="2">
        <f>"8993137713467"</f>
        <v/>
      </c>
      <c r="C6073" t="inlineStr">
        <is>
          <t>WARDAH Colorfit Refill Velvet Powder Foundation Light Ivory 22N 11gr</t>
        </is>
      </c>
      <c r="D6073" t="inlineStr">
        <is>
          <t>Miss Glam Damar</t>
        </is>
      </c>
      <c r="E6073" t="n">
        <v>0</v>
      </c>
      <c r="F6073" t="n">
        <v>0.5369</v>
      </c>
      <c r="G6073" t="n">
        <v>2.73</v>
      </c>
      <c r="H6073" t="n">
        <v>2</v>
      </c>
      <c r="I6073" t="n">
        <v>6</v>
      </c>
      <c r="J6073" t="n">
        <v>3</v>
      </c>
      <c r="K6073" t="n">
        <v>0</v>
      </c>
      <c r="L6073" t="n">
        <v>43192</v>
      </c>
      <c r="M6073" t="n">
        <v>53000</v>
      </c>
      <c r="N6073" t="n">
        <v>91</v>
      </c>
      <c r="O6073" t="n">
        <v>0.91</v>
      </c>
      <c r="P6073" t="n">
        <v>1</v>
      </c>
      <c r="Q6073" t="n">
        <v>0.25</v>
      </c>
      <c r="R6073" t="n">
        <v>2</v>
      </c>
      <c r="S6073" t="n">
        <v>28455.7</v>
      </c>
      <c r="T6073" t="n">
        <v>16</v>
      </c>
      <c r="U6073" t="n">
        <v>18</v>
      </c>
      <c r="V6073" t="n">
        <v>30</v>
      </c>
      <c r="W6073" t="n">
        <v>17</v>
      </c>
      <c r="X6073" t="n">
        <v>0</v>
      </c>
      <c r="Y6073" t="n">
        <v>1</v>
      </c>
      <c r="Z6073" t="n">
        <v>17</v>
      </c>
      <c r="AA6073" t="n">
        <v>4</v>
      </c>
      <c r="AB6073" t="n">
        <v>13</v>
      </c>
      <c r="AC6073" t="n">
        <v>13</v>
      </c>
      <c r="AD6073" t="n">
        <v>172768</v>
      </c>
      <c r="AE6073" t="n">
        <v>561496</v>
      </c>
      <c r="AF6073" t="n">
        <v>11727</v>
      </c>
      <c r="AG6073" t="n">
        <v>63</v>
      </c>
      <c r="AH6073" t="inlineStr">
        <is>
          <t>PT. PARAMA GLOBAL INSPIRA - PPN (PDG)</t>
        </is>
      </c>
      <c r="AI6073" t="n">
        <v>164</v>
      </c>
      <c r="AJ6073" t="inlineStr">
        <is>
          <t>WARDAH</t>
        </is>
      </c>
      <c r="AK6073" t="n">
        <v>21</v>
      </c>
      <c r="AL6073" t="inlineStr">
        <is>
          <t>Miss Glam Damar</t>
        </is>
      </c>
      <c r="AM6073" t="n">
        <v>1</v>
      </c>
      <c r="AN6073" t="n">
        <v>500000</v>
      </c>
      <c r="AO6073" t="n">
        <v>0</v>
      </c>
      <c r="AP6073" t="inlineStr"/>
      <c r="AQ6073" t="inlineStr"/>
    </row>
    <row r="6074">
      <c r="A6074" t="inlineStr">
        <is>
          <t>WARDAH</t>
        </is>
      </c>
      <c r="B6074" s="2">
        <f>"8993137713481"</f>
        <v/>
      </c>
      <c r="C6074" t="inlineStr">
        <is>
          <t>WARDAH Colorfit Refill Velvet Powder Foundation Neutral Beige 32N 11gr</t>
        </is>
      </c>
      <c r="D6074" t="inlineStr">
        <is>
          <t>Miss Glam Damar</t>
        </is>
      </c>
      <c r="E6074" t="n">
        <v>0</v>
      </c>
      <c r="F6074" t="n">
        <v>0.8644999999999999</v>
      </c>
      <c r="G6074" t="n">
        <v>3.64</v>
      </c>
      <c r="H6074" t="n">
        <v>2</v>
      </c>
      <c r="I6074" t="n">
        <v>6</v>
      </c>
      <c r="J6074" t="n">
        <v>3</v>
      </c>
      <c r="K6074" t="n">
        <v>0</v>
      </c>
      <c r="L6074" t="n">
        <v>43289</v>
      </c>
      <c r="M6074" t="n">
        <v>53000</v>
      </c>
      <c r="N6074" t="n">
        <v>91</v>
      </c>
      <c r="O6074" t="n">
        <v>0.91</v>
      </c>
      <c r="P6074" t="n">
        <v>1</v>
      </c>
      <c r="Q6074" t="n">
        <v>0.61</v>
      </c>
      <c r="R6074" t="n">
        <v>2</v>
      </c>
      <c r="S6074" t="n">
        <v>45818.5</v>
      </c>
      <c r="T6074" t="n">
        <v>21</v>
      </c>
      <c r="U6074" t="n">
        <v>23</v>
      </c>
      <c r="V6074" t="n">
        <v>30</v>
      </c>
      <c r="W6074" t="n">
        <v>26</v>
      </c>
      <c r="X6074" t="n">
        <v>0</v>
      </c>
      <c r="Y6074" t="n">
        <v>1</v>
      </c>
      <c r="Z6074" t="n">
        <v>26</v>
      </c>
      <c r="AA6074" t="n">
        <v>6</v>
      </c>
      <c r="AB6074" t="n">
        <v>20</v>
      </c>
      <c r="AC6074" t="n">
        <v>20</v>
      </c>
      <c r="AD6074" t="n">
        <v>259734</v>
      </c>
      <c r="AE6074" t="n">
        <v>865780</v>
      </c>
      <c r="AF6074" t="n">
        <v>11727</v>
      </c>
      <c r="AG6074" t="n">
        <v>63</v>
      </c>
      <c r="AH6074" t="inlineStr">
        <is>
          <t>PT. PARAMA GLOBAL INSPIRA - PPN (PDG)</t>
        </is>
      </c>
      <c r="AI6074" t="n">
        <v>164</v>
      </c>
      <c r="AJ6074" t="inlineStr">
        <is>
          <t>WARDAH</t>
        </is>
      </c>
      <c r="AK6074" t="n">
        <v>21</v>
      </c>
      <c r="AL6074" t="inlineStr">
        <is>
          <t>Miss Glam Damar</t>
        </is>
      </c>
      <c r="AM6074" t="n">
        <v>1</v>
      </c>
      <c r="AN6074" t="n">
        <v>500000</v>
      </c>
      <c r="AO6074" t="n">
        <v>0</v>
      </c>
      <c r="AP6074" t="inlineStr"/>
      <c r="AQ6074" t="inlineStr"/>
    </row>
    <row r="6075">
      <c r="A6075" t="inlineStr">
        <is>
          <t>WARDAH</t>
        </is>
      </c>
      <c r="B6075" s="2">
        <f>"8993137713474"</f>
        <v/>
      </c>
      <c r="C6075" t="inlineStr">
        <is>
          <t>WARDAH Colorfit Refill Velvet Powder Foundation Warn Ivory 23W 11gr</t>
        </is>
      </c>
      <c r="D6075" t="inlineStr">
        <is>
          <t>Miss Glam Damar</t>
        </is>
      </c>
      <c r="E6075" t="n">
        <v>3</v>
      </c>
      <c r="F6075" t="n">
        <v>0.8736</v>
      </c>
      <c r="G6075" t="n">
        <v>2.73</v>
      </c>
      <c r="H6075" t="n">
        <v>2</v>
      </c>
      <c r="I6075" t="n">
        <v>6</v>
      </c>
      <c r="J6075" t="n">
        <v>3</v>
      </c>
      <c r="K6075" t="n">
        <v>0</v>
      </c>
      <c r="L6075" t="n">
        <v>43295</v>
      </c>
      <c r="M6075" t="n">
        <v>53000</v>
      </c>
      <c r="N6075" t="n">
        <v>91</v>
      </c>
      <c r="O6075" t="n">
        <v>0.91</v>
      </c>
      <c r="P6075" t="n">
        <v>1</v>
      </c>
      <c r="Q6075" t="n">
        <v>0.39</v>
      </c>
      <c r="R6075" t="n">
        <v>3</v>
      </c>
      <c r="S6075" t="n">
        <v>46300.8</v>
      </c>
      <c r="T6075" t="n">
        <v>15</v>
      </c>
      <c r="U6075" t="n">
        <v>17</v>
      </c>
      <c r="V6075" t="n">
        <v>30</v>
      </c>
      <c r="W6075" t="n">
        <v>27</v>
      </c>
      <c r="X6075" t="n">
        <v>3.434065934065934</v>
      </c>
      <c r="Y6075" t="n">
        <v>1</v>
      </c>
      <c r="Z6075" t="n">
        <v>24</v>
      </c>
      <c r="AA6075" t="n">
        <v>3</v>
      </c>
      <c r="AB6075" t="n">
        <v>21</v>
      </c>
      <c r="AC6075" t="n">
        <v>21</v>
      </c>
      <c r="AD6075" t="n">
        <v>129885</v>
      </c>
      <c r="AE6075" t="n">
        <v>909195</v>
      </c>
      <c r="AF6075" t="n">
        <v>11727</v>
      </c>
      <c r="AG6075" t="n">
        <v>63</v>
      </c>
      <c r="AH6075" t="inlineStr">
        <is>
          <t>PT. PARAMA GLOBAL INSPIRA - PPN (PDG)</t>
        </is>
      </c>
      <c r="AI6075" t="n">
        <v>164</v>
      </c>
      <c r="AJ6075" t="inlineStr">
        <is>
          <t>WARDAH</t>
        </is>
      </c>
      <c r="AK6075" t="n">
        <v>21</v>
      </c>
      <c r="AL6075" t="inlineStr">
        <is>
          <t>Miss Glam Damar</t>
        </is>
      </c>
      <c r="AM6075" t="n">
        <v>1</v>
      </c>
      <c r="AN6075" t="n">
        <v>500000</v>
      </c>
      <c r="AO6075" t="n">
        <v>0</v>
      </c>
      <c r="AP6075" t="inlineStr"/>
      <c r="AQ6075" t="inlineStr"/>
    </row>
    <row r="6076">
      <c r="A6076" t="inlineStr">
        <is>
          <t>WARDAH</t>
        </is>
      </c>
      <c r="B6076" s="2">
        <f>"8993137705912"</f>
        <v/>
      </c>
      <c r="C6076" t="inlineStr">
        <is>
          <t>WARDAH Colorfit Ultra Light Matte 02 3,6gr</t>
        </is>
      </c>
      <c r="D6076" t="inlineStr">
        <is>
          <t>Miss Glam Damar</t>
        </is>
      </c>
      <c r="E6076" t="n">
        <v>6</v>
      </c>
      <c r="F6076" t="n">
        <v>0.0728</v>
      </c>
      <c r="G6076" t="n">
        <v>1.82</v>
      </c>
      <c r="H6076" t="n">
        <v>2</v>
      </c>
      <c r="I6076" t="n">
        <v>6</v>
      </c>
      <c r="J6076" t="n">
        <v>3</v>
      </c>
      <c r="K6076" t="n">
        <v>0</v>
      </c>
      <c r="L6076" t="n">
        <v>36399</v>
      </c>
      <c r="M6076" t="n">
        <v>44500</v>
      </c>
      <c r="N6076" t="n">
        <v>91</v>
      </c>
      <c r="O6076" t="n">
        <v>0.91</v>
      </c>
      <c r="P6076" t="n">
        <v>1</v>
      </c>
      <c r="Q6076" t="n">
        <v>0.15</v>
      </c>
      <c r="R6076" t="n">
        <v>2</v>
      </c>
      <c r="S6076" t="n">
        <v>3239.6</v>
      </c>
      <c r="T6076" t="n">
        <v>11</v>
      </c>
      <c r="U6076" t="n">
        <v>12</v>
      </c>
      <c r="V6076" t="n">
        <v>30</v>
      </c>
      <c r="W6076" t="n">
        <v>3</v>
      </c>
      <c r="X6076" t="n">
        <v>82.41758241758241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11727</v>
      </c>
      <c r="AG6076" t="n">
        <v>63</v>
      </c>
      <c r="AH6076" t="inlineStr">
        <is>
          <t>PT. PARAMA GLOBAL INSPIRA - PPN (PDG)</t>
        </is>
      </c>
      <c r="AI6076" t="n">
        <v>164</v>
      </c>
      <c r="AJ6076" t="inlineStr">
        <is>
          <t>WARDAH</t>
        </is>
      </c>
      <c r="AK6076" t="n">
        <v>21</v>
      </c>
      <c r="AL6076" t="inlineStr">
        <is>
          <t>Miss Glam Damar</t>
        </is>
      </c>
      <c r="AM6076" t="n">
        <v>1</v>
      </c>
      <c r="AN6076" t="n">
        <v>500000</v>
      </c>
      <c r="AO6076" t="n">
        <v>0</v>
      </c>
      <c r="AP6076" t="inlineStr"/>
      <c r="AQ6076" t="inlineStr"/>
    </row>
    <row r="6077">
      <c r="A6077" t="inlineStr">
        <is>
          <t>WARDAH</t>
        </is>
      </c>
      <c r="B6077" s="2">
        <f>"8993137705950"</f>
        <v/>
      </c>
      <c r="C6077" t="inlineStr">
        <is>
          <t>WARDAH Colorfit Ultra Light Matte 06 3,6gr</t>
        </is>
      </c>
      <c r="D6077" t="inlineStr">
        <is>
          <t>Miss Glam Damar</t>
        </is>
      </c>
      <c r="E6077" t="n">
        <v>12</v>
      </c>
      <c r="F6077" t="n">
        <v>0.17</v>
      </c>
      <c r="G6077" t="n">
        <v>2</v>
      </c>
      <c r="H6077" t="n">
        <v>2</v>
      </c>
      <c r="I6077" t="n">
        <v>6</v>
      </c>
      <c r="J6077" t="n">
        <v>3</v>
      </c>
      <c r="K6077" t="n">
        <v>0</v>
      </c>
      <c r="L6077" t="n">
        <v>36399</v>
      </c>
      <c r="M6077" t="n">
        <v>44500</v>
      </c>
      <c r="N6077" t="n">
        <v>91</v>
      </c>
      <c r="O6077" t="n">
        <v>0.91</v>
      </c>
      <c r="P6077" t="n">
        <v>0</v>
      </c>
      <c r="Q6077" t="n">
        <v>0.17</v>
      </c>
      <c r="R6077" t="n">
        <v>2</v>
      </c>
      <c r="S6077" t="n">
        <v>7565.000000000001</v>
      </c>
      <c r="T6077" t="n">
        <v>12</v>
      </c>
      <c r="U6077" t="n">
        <v>13</v>
      </c>
      <c r="V6077" t="n">
        <v>30</v>
      </c>
      <c r="W6077" t="n">
        <v>6</v>
      </c>
      <c r="X6077" t="n">
        <v>70.58823529411764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11727</v>
      </c>
      <c r="AG6077" t="n">
        <v>63</v>
      </c>
      <c r="AH6077" t="inlineStr">
        <is>
          <t>PT. PARAMA GLOBAL INSPIRA - PPN (PDG)</t>
        </is>
      </c>
      <c r="AI6077" t="n">
        <v>164</v>
      </c>
      <c r="AJ6077" t="inlineStr">
        <is>
          <t>WARDAH</t>
        </is>
      </c>
      <c r="AK6077" t="n">
        <v>21</v>
      </c>
      <c r="AL6077" t="inlineStr">
        <is>
          <t>Miss Glam Damar</t>
        </is>
      </c>
      <c r="AM6077" t="n">
        <v>1</v>
      </c>
      <c r="AN6077" t="n">
        <v>500000</v>
      </c>
      <c r="AO6077" t="n">
        <v>0</v>
      </c>
      <c r="AP6077" t="inlineStr"/>
      <c r="AQ6077" t="inlineStr"/>
    </row>
    <row r="6078">
      <c r="A6078" t="inlineStr">
        <is>
          <t>WARDAH</t>
        </is>
      </c>
      <c r="B6078" s="2">
        <f>"8993137705967"</f>
        <v/>
      </c>
      <c r="C6078" t="inlineStr">
        <is>
          <t>WARDAH Colorfit Ultra Light Matte 07 3,6gr</t>
        </is>
      </c>
      <c r="D6078" t="inlineStr">
        <is>
          <t>Miss Glam Damar</t>
        </is>
      </c>
      <c r="E6078" t="n">
        <v>12</v>
      </c>
      <c r="F6078" t="n">
        <v>0.1365</v>
      </c>
      <c r="G6078" t="n">
        <v>1.82</v>
      </c>
      <c r="H6078" t="n">
        <v>2</v>
      </c>
      <c r="I6078" t="n">
        <v>6</v>
      </c>
      <c r="J6078" t="n">
        <v>3</v>
      </c>
      <c r="K6078" t="n">
        <v>0</v>
      </c>
      <c r="L6078" t="n">
        <v>36399</v>
      </c>
      <c r="M6078" t="n">
        <v>44500</v>
      </c>
      <c r="N6078" t="n">
        <v>91</v>
      </c>
      <c r="O6078" t="n">
        <v>0.91</v>
      </c>
      <c r="P6078" t="n">
        <v>1</v>
      </c>
      <c r="Q6078" t="n">
        <v>0.5600000000000001</v>
      </c>
      <c r="R6078" t="n">
        <v>3</v>
      </c>
      <c r="S6078" t="n">
        <v>6074.25</v>
      </c>
      <c r="T6078" t="n">
        <v>11</v>
      </c>
      <c r="U6078" t="n">
        <v>12</v>
      </c>
      <c r="V6078" t="n">
        <v>30</v>
      </c>
      <c r="W6078" t="n">
        <v>5</v>
      </c>
      <c r="X6078" t="n">
        <v>87.91208791208791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11727</v>
      </c>
      <c r="AG6078" t="n">
        <v>63</v>
      </c>
      <c r="AH6078" t="inlineStr">
        <is>
          <t>PT. PARAMA GLOBAL INSPIRA - PPN (PDG)</t>
        </is>
      </c>
      <c r="AI6078" t="n">
        <v>164</v>
      </c>
      <c r="AJ6078" t="inlineStr">
        <is>
          <t>WARDAH</t>
        </is>
      </c>
      <c r="AK6078" t="n">
        <v>21</v>
      </c>
      <c r="AL6078" t="inlineStr">
        <is>
          <t>Miss Glam Damar</t>
        </is>
      </c>
      <c r="AM6078" t="n">
        <v>1</v>
      </c>
      <c r="AN6078" t="n">
        <v>500000</v>
      </c>
      <c r="AO6078" t="n">
        <v>0</v>
      </c>
      <c r="AP6078" t="inlineStr"/>
      <c r="AQ6078" t="inlineStr"/>
    </row>
    <row r="6079">
      <c r="A6079" t="inlineStr">
        <is>
          <t>WARDAH</t>
        </is>
      </c>
      <c r="B6079" s="2">
        <f>"8993137705332"</f>
        <v/>
      </c>
      <c r="C6079" t="inlineStr">
        <is>
          <t>WARDAH Colorfit Velvet Matte Lip Mousse 01 Brown Dreamer 4gr</t>
        </is>
      </c>
      <c r="D6079" t="inlineStr">
        <is>
          <t>Miss Glam Damar</t>
        </is>
      </c>
      <c r="E6079" t="n">
        <v>3</v>
      </c>
      <c r="F6079" t="n">
        <v>0.0728</v>
      </c>
      <c r="G6079" t="n">
        <v>0.91</v>
      </c>
      <c r="H6079" t="n">
        <v>2</v>
      </c>
      <c r="I6079" t="n">
        <v>6</v>
      </c>
      <c r="J6079" t="n">
        <v>3</v>
      </c>
      <c r="K6079" t="n">
        <v>0</v>
      </c>
      <c r="L6079" t="n">
        <v>58162</v>
      </c>
      <c r="M6079" t="n">
        <v>71000</v>
      </c>
      <c r="N6079" t="n">
        <v>91</v>
      </c>
      <c r="O6079" t="n">
        <v>0.91</v>
      </c>
      <c r="P6079" t="n">
        <v>1</v>
      </c>
      <c r="Q6079" t="n">
        <v>0.03</v>
      </c>
      <c r="R6079" t="n">
        <v>1</v>
      </c>
      <c r="S6079" t="n">
        <v>5168.8</v>
      </c>
      <c r="T6079" t="n">
        <v>6</v>
      </c>
      <c r="U6079" t="n">
        <v>7</v>
      </c>
      <c r="V6079" t="n">
        <v>30</v>
      </c>
      <c r="W6079" t="n">
        <v>3</v>
      </c>
      <c r="X6079" t="n">
        <v>41.2087912087912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11727</v>
      </c>
      <c r="AG6079" t="n">
        <v>63</v>
      </c>
      <c r="AH6079" t="inlineStr">
        <is>
          <t>PT. PARAMA GLOBAL INSPIRA - PPN (PDG)</t>
        </is>
      </c>
      <c r="AI6079" t="n">
        <v>164</v>
      </c>
      <c r="AJ6079" t="inlineStr">
        <is>
          <t>WARDAH</t>
        </is>
      </c>
      <c r="AK6079" t="n">
        <v>21</v>
      </c>
      <c r="AL6079" t="inlineStr">
        <is>
          <t>Miss Glam Damar</t>
        </is>
      </c>
      <c r="AM6079" t="n">
        <v>1</v>
      </c>
      <c r="AN6079" t="n">
        <v>500000</v>
      </c>
      <c r="AO6079" t="n">
        <v>0</v>
      </c>
      <c r="AP6079" t="inlineStr"/>
      <c r="AQ6079" t="inlineStr"/>
    </row>
    <row r="6080">
      <c r="A6080" t="inlineStr">
        <is>
          <t>WARDAH</t>
        </is>
      </c>
      <c r="B6080" s="2">
        <f>"8993137705349"</f>
        <v/>
      </c>
      <c r="C6080" t="inlineStr">
        <is>
          <t>WARDAH Colorfit Velvet Matte Lip Mousse 02 Joyful Orange 4gr</t>
        </is>
      </c>
      <c r="D6080" t="inlineStr">
        <is>
          <t>Miss Glam Damar</t>
        </is>
      </c>
      <c r="E6080" t="n">
        <v>3</v>
      </c>
      <c r="F6080" t="n">
        <v>0.0182</v>
      </c>
      <c r="G6080" t="n">
        <v>0.91</v>
      </c>
      <c r="H6080" t="n">
        <v>2</v>
      </c>
      <c r="I6080" t="n">
        <v>6</v>
      </c>
      <c r="J6080" t="n">
        <v>3</v>
      </c>
      <c r="K6080" t="n">
        <v>0</v>
      </c>
      <c r="L6080" t="n">
        <v>58162</v>
      </c>
      <c r="M6080" t="n">
        <v>71000</v>
      </c>
      <c r="N6080" t="n">
        <v>91</v>
      </c>
      <c r="O6080" t="n">
        <v>0.91</v>
      </c>
      <c r="P6080" t="n">
        <v>1</v>
      </c>
      <c r="Q6080" t="n">
        <v>0.08</v>
      </c>
      <c r="R6080" t="n">
        <v>1</v>
      </c>
      <c r="S6080" t="n">
        <v>1292.2</v>
      </c>
      <c r="T6080" t="n">
        <v>6</v>
      </c>
      <c r="U6080" t="n">
        <v>7</v>
      </c>
      <c r="V6080" t="n">
        <v>30</v>
      </c>
      <c r="W6080" t="n">
        <v>1</v>
      </c>
      <c r="X6080" t="n">
        <v>164.8351648351648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11727</v>
      </c>
      <c r="AG6080" t="n">
        <v>63</v>
      </c>
      <c r="AH6080" t="inlineStr">
        <is>
          <t>PT. PARAMA GLOBAL INSPIRA - PPN (PDG)</t>
        </is>
      </c>
      <c r="AI6080" t="n">
        <v>164</v>
      </c>
      <c r="AJ6080" t="inlineStr">
        <is>
          <t>WARDAH</t>
        </is>
      </c>
      <c r="AK6080" t="n">
        <v>21</v>
      </c>
      <c r="AL6080" t="inlineStr">
        <is>
          <t>Miss Glam Damar</t>
        </is>
      </c>
      <c r="AM6080" t="n">
        <v>1</v>
      </c>
      <c r="AN6080" t="n">
        <v>500000</v>
      </c>
      <c r="AO6080" t="n">
        <v>0</v>
      </c>
      <c r="AP6080" t="inlineStr"/>
      <c r="AQ6080" t="inlineStr"/>
    </row>
    <row r="6081">
      <c r="A6081" t="inlineStr">
        <is>
          <t>WARDAH</t>
        </is>
      </c>
      <c r="B6081" s="2">
        <f>"8993137705356"</f>
        <v/>
      </c>
      <c r="C6081" t="inlineStr">
        <is>
          <t>WARDAH Colorfit Velvet Matte Lip Mousse 03 Rose Ballerina 4gr</t>
        </is>
      </c>
      <c r="D6081" t="inlineStr">
        <is>
          <t>Miss Glam Damar</t>
        </is>
      </c>
      <c r="E6081" t="n">
        <v>2</v>
      </c>
      <c r="F6081" t="n">
        <v>0.0182</v>
      </c>
      <c r="G6081" t="n">
        <v>0.91</v>
      </c>
      <c r="H6081" t="n">
        <v>2</v>
      </c>
      <c r="I6081" t="n">
        <v>6</v>
      </c>
      <c r="J6081" t="n">
        <v>3</v>
      </c>
      <c r="K6081" t="n">
        <v>0</v>
      </c>
      <c r="L6081" t="n">
        <v>58162</v>
      </c>
      <c r="M6081" t="n">
        <v>71000</v>
      </c>
      <c r="N6081" t="n">
        <v>91</v>
      </c>
      <c r="O6081" t="n">
        <v>0.91</v>
      </c>
      <c r="P6081" t="n">
        <v>1</v>
      </c>
      <c r="Q6081" t="n">
        <v>0.1</v>
      </c>
      <c r="R6081" t="n">
        <v>1</v>
      </c>
      <c r="S6081" t="n">
        <v>1292.2</v>
      </c>
      <c r="T6081" t="n">
        <v>6</v>
      </c>
      <c r="U6081" t="n">
        <v>7</v>
      </c>
      <c r="V6081" t="n">
        <v>30</v>
      </c>
      <c r="W6081" t="n">
        <v>1</v>
      </c>
      <c r="X6081" t="n">
        <v>109.8901098901099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11727</v>
      </c>
      <c r="AG6081" t="n">
        <v>63</v>
      </c>
      <c r="AH6081" t="inlineStr">
        <is>
          <t>PT. PARAMA GLOBAL INSPIRA - PPN (PDG)</t>
        </is>
      </c>
      <c r="AI6081" t="n">
        <v>164</v>
      </c>
      <c r="AJ6081" t="inlineStr">
        <is>
          <t>WARDAH</t>
        </is>
      </c>
      <c r="AK6081" t="n">
        <v>21</v>
      </c>
      <c r="AL6081" t="inlineStr">
        <is>
          <t>Miss Glam Damar</t>
        </is>
      </c>
      <c r="AM6081" t="n">
        <v>1</v>
      </c>
      <c r="AN6081" t="n">
        <v>500000</v>
      </c>
      <c r="AO6081" t="n">
        <v>0</v>
      </c>
      <c r="AP6081" t="inlineStr"/>
      <c r="AQ6081" t="inlineStr"/>
    </row>
    <row r="6082">
      <c r="A6082" t="inlineStr">
        <is>
          <t>WARDAH</t>
        </is>
      </c>
      <c r="B6082" s="2">
        <f>"8993137705363"</f>
        <v/>
      </c>
      <c r="C6082" t="inlineStr">
        <is>
          <t>WARDAH Colorfit Velvet Matte Lip Mousse 04 Pink Sweetheart 4gr</t>
        </is>
      </c>
      <c r="D6082" t="inlineStr">
        <is>
          <t>Miss Glam Damar</t>
        </is>
      </c>
      <c r="E6082" t="n">
        <v>0</v>
      </c>
      <c r="F6082" t="n">
        <v>0.06370000000000001</v>
      </c>
      <c r="G6082" t="n">
        <v>0.91</v>
      </c>
      <c r="H6082" t="n">
        <v>2</v>
      </c>
      <c r="I6082" t="n">
        <v>6</v>
      </c>
      <c r="J6082" t="n">
        <v>3</v>
      </c>
      <c r="K6082" t="n">
        <v>0</v>
      </c>
      <c r="L6082" t="n">
        <v>58162</v>
      </c>
      <c r="M6082" t="n">
        <v>71000</v>
      </c>
      <c r="N6082" t="n">
        <v>91</v>
      </c>
      <c r="O6082" t="n">
        <v>0.91</v>
      </c>
      <c r="P6082" t="n">
        <v>1</v>
      </c>
      <c r="Q6082" t="n">
        <v>0.17</v>
      </c>
      <c r="R6082" t="n">
        <v>2</v>
      </c>
      <c r="S6082" t="n">
        <v>4522.700000000001</v>
      </c>
      <c r="T6082" t="n">
        <v>6</v>
      </c>
      <c r="U6082" t="n">
        <v>7</v>
      </c>
      <c r="V6082" t="n">
        <v>30</v>
      </c>
      <c r="W6082" t="n">
        <v>2</v>
      </c>
      <c r="X6082" t="n">
        <v>0</v>
      </c>
      <c r="Y6082" t="n">
        <v>1</v>
      </c>
      <c r="Z6082" t="n">
        <v>2</v>
      </c>
      <c r="AA6082" t="n">
        <v>1</v>
      </c>
      <c r="AB6082" t="n">
        <v>1</v>
      </c>
      <c r="AC6082" t="n">
        <v>3</v>
      </c>
      <c r="AD6082" t="n">
        <v>58162</v>
      </c>
      <c r="AE6082" t="n">
        <v>174486</v>
      </c>
      <c r="AF6082" t="n">
        <v>11727</v>
      </c>
      <c r="AG6082" t="n">
        <v>63</v>
      </c>
      <c r="AH6082" t="inlineStr">
        <is>
          <t>PT. PARAMA GLOBAL INSPIRA - PPN (PDG)</t>
        </is>
      </c>
      <c r="AI6082" t="n">
        <v>164</v>
      </c>
      <c r="AJ6082" t="inlineStr">
        <is>
          <t>WARDAH</t>
        </is>
      </c>
      <c r="AK6082" t="n">
        <v>21</v>
      </c>
      <c r="AL6082" t="inlineStr">
        <is>
          <t>Miss Glam Damar</t>
        </is>
      </c>
      <c r="AM6082" t="n">
        <v>1</v>
      </c>
      <c r="AN6082" t="n">
        <v>500000</v>
      </c>
      <c r="AO6082" t="n">
        <v>0</v>
      </c>
      <c r="AP6082" t="inlineStr"/>
      <c r="AQ6082" t="inlineStr"/>
    </row>
    <row r="6083">
      <c r="A6083" t="inlineStr">
        <is>
          <t>WARDAH</t>
        </is>
      </c>
      <c r="B6083" s="2">
        <f>"8993137705370"</f>
        <v/>
      </c>
      <c r="C6083" t="inlineStr">
        <is>
          <t>WARDAH Colorfit Velvet Matte Lip Mousse 05 Artisan Mauve 4gr</t>
        </is>
      </c>
      <c r="D6083" t="inlineStr">
        <is>
          <t>Miss Glam Damar</t>
        </is>
      </c>
      <c r="E6083" t="n">
        <v>4</v>
      </c>
      <c r="F6083" t="n">
        <v>0.1092</v>
      </c>
      <c r="G6083" t="n">
        <v>0.91</v>
      </c>
      <c r="H6083" t="n">
        <v>2</v>
      </c>
      <c r="I6083" t="n">
        <v>6</v>
      </c>
      <c r="J6083" t="n">
        <v>3</v>
      </c>
      <c r="K6083" t="n">
        <v>0</v>
      </c>
      <c r="L6083" t="n">
        <v>58162</v>
      </c>
      <c r="M6083" t="n">
        <v>71000</v>
      </c>
      <c r="N6083" t="n">
        <v>91</v>
      </c>
      <c r="O6083" t="n">
        <v>0.91</v>
      </c>
      <c r="P6083" t="n">
        <v>1</v>
      </c>
      <c r="Q6083" t="n">
        <v>0.07000000000000001</v>
      </c>
      <c r="R6083" t="n">
        <v>1</v>
      </c>
      <c r="S6083" t="n">
        <v>7753.200000000001</v>
      </c>
      <c r="T6083" t="n">
        <v>6</v>
      </c>
      <c r="U6083" t="n">
        <v>7</v>
      </c>
      <c r="V6083" t="n">
        <v>30</v>
      </c>
      <c r="W6083" t="n">
        <v>4</v>
      </c>
      <c r="X6083" t="n">
        <v>36.63003663003663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11727</v>
      </c>
      <c r="AG6083" t="n">
        <v>63</v>
      </c>
      <c r="AH6083" t="inlineStr">
        <is>
          <t>PT. PARAMA GLOBAL INSPIRA - PPN (PDG)</t>
        </is>
      </c>
      <c r="AI6083" t="n">
        <v>164</v>
      </c>
      <c r="AJ6083" t="inlineStr">
        <is>
          <t>WARDAH</t>
        </is>
      </c>
      <c r="AK6083" t="n">
        <v>21</v>
      </c>
      <c r="AL6083" t="inlineStr">
        <is>
          <t>Miss Glam Damar</t>
        </is>
      </c>
      <c r="AM6083" t="n">
        <v>1</v>
      </c>
      <c r="AN6083" t="n">
        <v>500000</v>
      </c>
      <c r="AO6083" t="n">
        <v>0</v>
      </c>
      <c r="AP6083" t="inlineStr"/>
      <c r="AQ6083" t="inlineStr"/>
    </row>
    <row r="6084">
      <c r="A6084" t="inlineStr">
        <is>
          <t>WARDAH</t>
        </is>
      </c>
      <c r="B6084" s="2">
        <f>"8993137705387"</f>
        <v/>
      </c>
      <c r="C6084" t="inlineStr">
        <is>
          <t>WARDAH Colorfit Velvet Matte Lip Mousse 06 Fuchsia Lover 4gr</t>
        </is>
      </c>
      <c r="D6084" t="inlineStr">
        <is>
          <t>Miss Glam Damar</t>
        </is>
      </c>
      <c r="E6084" t="n">
        <v>4</v>
      </c>
      <c r="F6084" t="n">
        <v>0.09100000000000001</v>
      </c>
      <c r="G6084" t="n">
        <v>1.82</v>
      </c>
      <c r="H6084" t="n">
        <v>2</v>
      </c>
      <c r="I6084" t="n">
        <v>6</v>
      </c>
      <c r="J6084" t="n">
        <v>3</v>
      </c>
      <c r="K6084" t="n">
        <v>0</v>
      </c>
      <c r="L6084" t="n">
        <v>58162</v>
      </c>
      <c r="M6084" t="n">
        <v>71000</v>
      </c>
      <c r="N6084" t="n">
        <v>91</v>
      </c>
      <c r="O6084" t="n">
        <v>0.91</v>
      </c>
      <c r="P6084" t="n">
        <v>1</v>
      </c>
      <c r="Q6084" t="n">
        <v>0.1</v>
      </c>
      <c r="R6084" t="n">
        <v>1</v>
      </c>
      <c r="S6084" t="n">
        <v>6461.000000000001</v>
      </c>
      <c r="T6084" t="n">
        <v>11</v>
      </c>
      <c r="U6084" t="n">
        <v>12</v>
      </c>
      <c r="V6084" t="n">
        <v>30</v>
      </c>
      <c r="W6084" t="n">
        <v>3</v>
      </c>
      <c r="X6084" t="n">
        <v>43.95604395604395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11727</v>
      </c>
      <c r="AG6084" t="n">
        <v>63</v>
      </c>
      <c r="AH6084" t="inlineStr">
        <is>
          <t>PT. PARAMA GLOBAL INSPIRA - PPN (PDG)</t>
        </is>
      </c>
      <c r="AI6084" t="n">
        <v>164</v>
      </c>
      <c r="AJ6084" t="inlineStr">
        <is>
          <t>WARDAH</t>
        </is>
      </c>
      <c r="AK6084" t="n">
        <v>21</v>
      </c>
      <c r="AL6084" t="inlineStr">
        <is>
          <t>Miss Glam Damar</t>
        </is>
      </c>
      <c r="AM6084" t="n">
        <v>1</v>
      </c>
      <c r="AN6084" t="n">
        <v>500000</v>
      </c>
      <c r="AO6084" t="n">
        <v>0</v>
      </c>
      <c r="AP6084" t="inlineStr"/>
      <c r="AQ6084" t="inlineStr"/>
    </row>
    <row r="6085">
      <c r="A6085" t="inlineStr">
        <is>
          <t>WARDAH</t>
        </is>
      </c>
      <c r="B6085" s="2">
        <f>"8993137705394"</f>
        <v/>
      </c>
      <c r="C6085" t="inlineStr">
        <is>
          <t>WARDAH Colorfit Velvet Matte Lip Mousse 07 Red Pioneer 4gr</t>
        </is>
      </c>
      <c r="D6085" t="inlineStr">
        <is>
          <t>Miss Glam Damar</t>
        </is>
      </c>
      <c r="E6085" t="n">
        <v>3</v>
      </c>
      <c r="F6085" t="n">
        <v>0.06370000000000001</v>
      </c>
      <c r="G6085" t="n">
        <v>1.82</v>
      </c>
      <c r="H6085" t="n">
        <v>2</v>
      </c>
      <c r="I6085" t="n">
        <v>6</v>
      </c>
      <c r="J6085" t="n">
        <v>3</v>
      </c>
      <c r="K6085" t="n">
        <v>0</v>
      </c>
      <c r="L6085" t="n">
        <v>58162</v>
      </c>
      <c r="M6085" t="n">
        <v>71000</v>
      </c>
      <c r="N6085" t="n">
        <v>91</v>
      </c>
      <c r="O6085" t="n">
        <v>0.91</v>
      </c>
      <c r="P6085" t="n">
        <v>1</v>
      </c>
      <c r="Q6085" t="n">
        <v>0.08</v>
      </c>
      <c r="R6085" t="n">
        <v>1</v>
      </c>
      <c r="S6085" t="n">
        <v>4522.700000000001</v>
      </c>
      <c r="T6085" t="n">
        <v>11</v>
      </c>
      <c r="U6085" t="n">
        <v>12</v>
      </c>
      <c r="V6085" t="n">
        <v>30</v>
      </c>
      <c r="W6085" t="n">
        <v>2</v>
      </c>
      <c r="X6085" t="n">
        <v>47.09576138147566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11727</v>
      </c>
      <c r="AG6085" t="n">
        <v>63</v>
      </c>
      <c r="AH6085" t="inlineStr">
        <is>
          <t>PT. PARAMA GLOBAL INSPIRA - PPN (PDG)</t>
        </is>
      </c>
      <c r="AI6085" t="n">
        <v>164</v>
      </c>
      <c r="AJ6085" t="inlineStr">
        <is>
          <t>WARDAH</t>
        </is>
      </c>
      <c r="AK6085" t="n">
        <v>21</v>
      </c>
      <c r="AL6085" t="inlineStr">
        <is>
          <t>Miss Glam Damar</t>
        </is>
      </c>
      <c r="AM6085" t="n">
        <v>1</v>
      </c>
      <c r="AN6085" t="n">
        <v>500000</v>
      </c>
      <c r="AO6085" t="n">
        <v>0</v>
      </c>
      <c r="AP6085" t="inlineStr"/>
      <c r="AQ6085" t="inlineStr"/>
    </row>
    <row r="6086">
      <c r="A6086" t="inlineStr">
        <is>
          <t>WARDAH</t>
        </is>
      </c>
      <c r="B6086" s="2">
        <f>"8993137705400"</f>
        <v/>
      </c>
      <c r="C6086" t="inlineStr">
        <is>
          <t>WARDAH Colorfit Velvet Matte Lip Mousse 08 Brown Creator 4gr</t>
        </is>
      </c>
      <c r="D6086" t="inlineStr">
        <is>
          <t>Miss Glam Damar</t>
        </is>
      </c>
      <c r="E6086" t="n">
        <v>4</v>
      </c>
      <c r="F6086" t="n">
        <v>0.1365</v>
      </c>
      <c r="G6086" t="n">
        <v>0.91</v>
      </c>
      <c r="H6086" t="n">
        <v>2</v>
      </c>
      <c r="I6086" t="n">
        <v>6</v>
      </c>
      <c r="J6086" t="n">
        <v>3</v>
      </c>
      <c r="K6086" t="n">
        <v>0</v>
      </c>
      <c r="L6086" t="n">
        <v>58162</v>
      </c>
      <c r="M6086" t="n">
        <v>71000</v>
      </c>
      <c r="N6086" t="n">
        <v>91</v>
      </c>
      <c r="O6086" t="n">
        <v>0.91</v>
      </c>
      <c r="P6086" t="n">
        <v>1</v>
      </c>
      <c r="Q6086" t="n">
        <v>0.07000000000000001</v>
      </c>
      <c r="R6086" t="n">
        <v>2</v>
      </c>
      <c r="S6086" t="n">
        <v>9691.5</v>
      </c>
      <c r="T6086" t="n">
        <v>6</v>
      </c>
      <c r="U6086" t="n">
        <v>7</v>
      </c>
      <c r="V6086" t="n">
        <v>30</v>
      </c>
      <c r="W6086" t="n">
        <v>5</v>
      </c>
      <c r="X6086" t="n">
        <v>29.3040293040293</v>
      </c>
      <c r="Y6086" t="n">
        <v>1</v>
      </c>
      <c r="Z6086" t="n">
        <v>1</v>
      </c>
      <c r="AA6086" t="n">
        <v>0</v>
      </c>
      <c r="AB6086" t="n">
        <v>1</v>
      </c>
      <c r="AC6086" t="n">
        <v>3</v>
      </c>
      <c r="AD6086" t="n">
        <v>0</v>
      </c>
      <c r="AE6086" t="n">
        <v>174486</v>
      </c>
      <c r="AF6086" t="n">
        <v>11727</v>
      </c>
      <c r="AG6086" t="n">
        <v>63</v>
      </c>
      <c r="AH6086" t="inlineStr">
        <is>
          <t>PT. PARAMA GLOBAL INSPIRA - PPN (PDG)</t>
        </is>
      </c>
      <c r="AI6086" t="n">
        <v>164</v>
      </c>
      <c r="AJ6086" t="inlineStr">
        <is>
          <t>WARDAH</t>
        </is>
      </c>
      <c r="AK6086" t="n">
        <v>21</v>
      </c>
      <c r="AL6086" t="inlineStr">
        <is>
          <t>Miss Glam Damar</t>
        </is>
      </c>
      <c r="AM6086" t="n">
        <v>1</v>
      </c>
      <c r="AN6086" t="n">
        <v>500000</v>
      </c>
      <c r="AO6086" t="n">
        <v>0</v>
      </c>
      <c r="AP6086" t="inlineStr"/>
      <c r="AQ6086" t="inlineStr"/>
    </row>
    <row r="6087">
      <c r="A6087" t="inlineStr">
        <is>
          <t>WARDAH</t>
        </is>
      </c>
      <c r="B6087" s="2">
        <f>"8993137707787"</f>
        <v/>
      </c>
      <c r="C6087" t="inlineStr">
        <is>
          <t>WARDAH Colorfit Velvet Matte Lip Mousse 09 Ombre Charmer 4gr</t>
        </is>
      </c>
      <c r="D6087" t="inlineStr">
        <is>
          <t>Miss Glam Damar</t>
        </is>
      </c>
      <c r="E6087" t="n">
        <v>8</v>
      </c>
      <c r="F6087" t="n">
        <v>0.3367</v>
      </c>
      <c r="G6087" t="n">
        <v>2.73</v>
      </c>
      <c r="H6087" t="n">
        <v>2</v>
      </c>
      <c r="I6087" t="n">
        <v>6</v>
      </c>
      <c r="J6087" t="n">
        <v>3</v>
      </c>
      <c r="K6087" t="n">
        <v>0</v>
      </c>
      <c r="L6087" t="n">
        <v>58162</v>
      </c>
      <c r="M6087" t="n">
        <v>71000</v>
      </c>
      <c r="N6087" t="n">
        <v>91</v>
      </c>
      <c r="O6087" t="n">
        <v>0.91</v>
      </c>
      <c r="P6087" t="n">
        <v>1</v>
      </c>
      <c r="Q6087" t="n">
        <v>0.32</v>
      </c>
      <c r="R6087" t="n">
        <v>3</v>
      </c>
      <c r="S6087" t="n">
        <v>23905.7</v>
      </c>
      <c r="T6087" t="n">
        <v>16</v>
      </c>
      <c r="U6087" t="n">
        <v>17</v>
      </c>
      <c r="V6087" t="n">
        <v>30</v>
      </c>
      <c r="W6087" t="n">
        <v>11</v>
      </c>
      <c r="X6087" t="n">
        <v>23.76002376002376</v>
      </c>
      <c r="Y6087" t="n">
        <v>1</v>
      </c>
      <c r="Z6087" t="n">
        <v>3</v>
      </c>
      <c r="AA6087" t="n">
        <v>0</v>
      </c>
      <c r="AB6087" t="n">
        <v>3</v>
      </c>
      <c r="AC6087" t="n">
        <v>3</v>
      </c>
      <c r="AD6087" t="n">
        <v>0</v>
      </c>
      <c r="AE6087" t="n">
        <v>174486</v>
      </c>
      <c r="AF6087" t="n">
        <v>11727</v>
      </c>
      <c r="AG6087" t="n">
        <v>63</v>
      </c>
      <c r="AH6087" t="inlineStr">
        <is>
          <t>PT. PARAMA GLOBAL INSPIRA - PPN (PDG)</t>
        </is>
      </c>
      <c r="AI6087" t="n">
        <v>164</v>
      </c>
      <c r="AJ6087" t="inlineStr">
        <is>
          <t>WARDAH</t>
        </is>
      </c>
      <c r="AK6087" t="n">
        <v>21</v>
      </c>
      <c r="AL6087" t="inlineStr">
        <is>
          <t>Miss Glam Damar</t>
        </is>
      </c>
      <c r="AM6087" t="n">
        <v>1</v>
      </c>
      <c r="AN6087" t="n">
        <v>500000</v>
      </c>
      <c r="AO6087" t="n">
        <v>0</v>
      </c>
      <c r="AP6087" t="inlineStr"/>
      <c r="AQ6087" t="inlineStr"/>
    </row>
    <row r="6088">
      <c r="A6088" t="inlineStr">
        <is>
          <t>WARDAH</t>
        </is>
      </c>
      <c r="B6088" s="2">
        <f>"8993137707794"</f>
        <v/>
      </c>
      <c r="C6088" t="inlineStr">
        <is>
          <t>WARDAH Colorfit Velvet Matte Lip Mousse 10 Lively Coral 4gr</t>
        </is>
      </c>
      <c r="D6088" t="inlineStr">
        <is>
          <t>Miss Glam Damar</t>
        </is>
      </c>
      <c r="E6088" t="n">
        <v>13</v>
      </c>
      <c r="F6088" t="n">
        <v>0.1729</v>
      </c>
      <c r="G6088" t="n">
        <v>1.82</v>
      </c>
      <c r="H6088" t="n">
        <v>2</v>
      </c>
      <c r="I6088" t="n">
        <v>6</v>
      </c>
      <c r="J6088" t="n">
        <v>3</v>
      </c>
      <c r="K6088" t="n">
        <v>0</v>
      </c>
      <c r="L6088" t="n">
        <v>58162</v>
      </c>
      <c r="M6088" t="n">
        <v>71000</v>
      </c>
      <c r="N6088" t="n">
        <v>91</v>
      </c>
      <c r="O6088" t="n">
        <v>0.91</v>
      </c>
      <c r="P6088" t="n">
        <v>1</v>
      </c>
      <c r="Q6088" t="n">
        <v>0.31</v>
      </c>
      <c r="R6088" t="n">
        <v>2</v>
      </c>
      <c r="S6088" t="n">
        <v>12275.9</v>
      </c>
      <c r="T6088" t="n">
        <v>11</v>
      </c>
      <c r="U6088" t="n">
        <v>12</v>
      </c>
      <c r="V6088" t="n">
        <v>30</v>
      </c>
      <c r="W6088" t="n">
        <v>6</v>
      </c>
      <c r="X6088" t="n">
        <v>75.18796992481204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11727</v>
      </c>
      <c r="AG6088" t="n">
        <v>63</v>
      </c>
      <c r="AH6088" t="inlineStr">
        <is>
          <t>PT. PARAMA GLOBAL INSPIRA - PPN (PDG)</t>
        </is>
      </c>
      <c r="AI6088" t="n">
        <v>164</v>
      </c>
      <c r="AJ6088" t="inlineStr">
        <is>
          <t>WARDAH</t>
        </is>
      </c>
      <c r="AK6088" t="n">
        <v>21</v>
      </c>
      <c r="AL6088" t="inlineStr">
        <is>
          <t>Miss Glam Damar</t>
        </is>
      </c>
      <c r="AM6088" t="n">
        <v>1</v>
      </c>
      <c r="AN6088" t="n">
        <v>500000</v>
      </c>
      <c r="AO6088" t="n">
        <v>0</v>
      </c>
      <c r="AP6088" t="inlineStr"/>
      <c r="AQ6088" t="inlineStr"/>
    </row>
    <row r="6089">
      <c r="A6089" t="inlineStr">
        <is>
          <t>WARDAH</t>
        </is>
      </c>
      <c r="B6089" s="2">
        <f>"8993137707800"</f>
        <v/>
      </c>
      <c r="C6089" t="inlineStr">
        <is>
          <t>WARDAH Colorfit Velvet Matte Lip Mousse 11 Cherish Marmalade 4gr</t>
        </is>
      </c>
      <c r="D6089" t="inlineStr">
        <is>
          <t>Miss Glam Damar</t>
        </is>
      </c>
      <c r="E6089" t="n">
        <v>5</v>
      </c>
      <c r="F6089" t="n">
        <v>0.2184</v>
      </c>
      <c r="G6089" t="n">
        <v>2.73</v>
      </c>
      <c r="H6089" t="n">
        <v>2</v>
      </c>
      <c r="I6089" t="n">
        <v>6</v>
      </c>
      <c r="J6089" t="n">
        <v>3</v>
      </c>
      <c r="K6089" t="n">
        <v>0</v>
      </c>
      <c r="L6089" t="n">
        <v>58162</v>
      </c>
      <c r="M6089" t="n">
        <v>71000</v>
      </c>
      <c r="N6089" t="n">
        <v>91</v>
      </c>
      <c r="O6089" t="n">
        <v>0.91</v>
      </c>
      <c r="P6089" t="n">
        <v>1</v>
      </c>
      <c r="Q6089" t="n">
        <v>0.24</v>
      </c>
      <c r="R6089" t="n">
        <v>2</v>
      </c>
      <c r="S6089" t="n">
        <v>15506.4</v>
      </c>
      <c r="T6089" t="n">
        <v>16</v>
      </c>
      <c r="U6089" t="n">
        <v>17</v>
      </c>
      <c r="V6089" t="n">
        <v>30</v>
      </c>
      <c r="W6089" t="n">
        <v>7</v>
      </c>
      <c r="X6089" t="n">
        <v>22.89377289377289</v>
      </c>
      <c r="Y6089" t="n">
        <v>1</v>
      </c>
      <c r="Z6089" t="n">
        <v>2</v>
      </c>
      <c r="AA6089" t="n">
        <v>0</v>
      </c>
      <c r="AB6089" t="n">
        <v>2</v>
      </c>
      <c r="AC6089" t="n">
        <v>3</v>
      </c>
      <c r="AD6089" t="n">
        <v>0</v>
      </c>
      <c r="AE6089" t="n">
        <v>174486</v>
      </c>
      <c r="AF6089" t="n">
        <v>11727</v>
      </c>
      <c r="AG6089" t="n">
        <v>63</v>
      </c>
      <c r="AH6089" t="inlineStr">
        <is>
          <t>PT. PARAMA GLOBAL INSPIRA - PPN (PDG)</t>
        </is>
      </c>
      <c r="AI6089" t="n">
        <v>164</v>
      </c>
      <c r="AJ6089" t="inlineStr">
        <is>
          <t>WARDAH</t>
        </is>
      </c>
      <c r="AK6089" t="n">
        <v>21</v>
      </c>
      <c r="AL6089" t="inlineStr">
        <is>
          <t>Miss Glam Damar</t>
        </is>
      </c>
      <c r="AM6089" t="n">
        <v>1</v>
      </c>
      <c r="AN6089" t="n">
        <v>500000</v>
      </c>
      <c r="AO6089" t="n">
        <v>0</v>
      </c>
      <c r="AP6089" t="inlineStr"/>
      <c r="AQ6089" t="inlineStr"/>
    </row>
    <row r="6090">
      <c r="A6090" t="inlineStr">
        <is>
          <t>WARDAH</t>
        </is>
      </c>
      <c r="B6090" s="2">
        <f>"8993137739900"</f>
        <v/>
      </c>
      <c r="C6090" t="inlineStr">
        <is>
          <t>WARDAH Colorfit Velvet Matte Lip Mousse 15 Tranquil Hazel 4gr</t>
        </is>
      </c>
      <c r="D6090" t="inlineStr">
        <is>
          <t>Miss Glam Damar</t>
        </is>
      </c>
      <c r="E6090" t="n">
        <v>8</v>
      </c>
      <c r="F6090" t="n">
        <v>0.0182</v>
      </c>
      <c r="G6090" t="n">
        <v>0.91</v>
      </c>
      <c r="H6090" t="n">
        <v>2</v>
      </c>
      <c r="I6090" t="n">
        <v>6</v>
      </c>
      <c r="J6090" t="n">
        <v>3</v>
      </c>
      <c r="K6090" t="n">
        <v>0</v>
      </c>
      <c r="L6090" t="n">
        <v>58162</v>
      </c>
      <c r="M6090" t="n">
        <v>71000</v>
      </c>
      <c r="N6090" t="n">
        <v>91</v>
      </c>
      <c r="O6090" t="n">
        <v>0.91</v>
      </c>
      <c r="P6090" t="n">
        <v>1</v>
      </c>
      <c r="Q6090" t="n">
        <v>0.02</v>
      </c>
      <c r="R6090" t="n">
        <v>1</v>
      </c>
      <c r="S6090" t="n">
        <v>1292.2</v>
      </c>
      <c r="T6090" t="n">
        <v>6</v>
      </c>
      <c r="U6090" t="n">
        <v>7</v>
      </c>
      <c r="V6090" t="n">
        <v>30</v>
      </c>
      <c r="W6090" t="n">
        <v>1</v>
      </c>
      <c r="X6090" t="n">
        <v>439.5604395604395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11727</v>
      </c>
      <c r="AG6090" t="n">
        <v>63</v>
      </c>
      <c r="AH6090" t="inlineStr">
        <is>
          <t>PT. PARAMA GLOBAL INSPIRA - PPN (PDG)</t>
        </is>
      </c>
      <c r="AI6090" t="n">
        <v>164</v>
      </c>
      <c r="AJ6090" t="inlineStr">
        <is>
          <t>WARDAH</t>
        </is>
      </c>
      <c r="AK6090" t="n">
        <v>21</v>
      </c>
      <c r="AL6090" t="inlineStr">
        <is>
          <t>Miss Glam Damar</t>
        </is>
      </c>
      <c r="AM6090" t="n">
        <v>1</v>
      </c>
      <c r="AN6090" t="n">
        <v>500000</v>
      </c>
      <c r="AO6090" t="n">
        <v>0</v>
      </c>
      <c r="AP6090" t="inlineStr"/>
      <c r="AQ6090" t="inlineStr"/>
    </row>
    <row r="6091">
      <c r="A6091" t="inlineStr">
        <is>
          <t>WARDAH</t>
        </is>
      </c>
      <c r="B6091" s="2">
        <f>"8993137739917"</f>
        <v/>
      </c>
      <c r="C6091" t="inlineStr">
        <is>
          <t>WARDAH Colorfit Velvet Matte Lip Mousse 16 Rouge Passion 4gr</t>
        </is>
      </c>
      <c r="D6091" t="inlineStr">
        <is>
          <t>Miss Glam Damar</t>
        </is>
      </c>
      <c r="E6091" t="n">
        <v>6</v>
      </c>
      <c r="F6091" t="n">
        <v>0.0273</v>
      </c>
      <c r="G6091" t="n">
        <v>0.91</v>
      </c>
      <c r="H6091" t="n">
        <v>2</v>
      </c>
      <c r="I6091" t="n">
        <v>6</v>
      </c>
      <c r="J6091" t="n">
        <v>3</v>
      </c>
      <c r="K6091" t="n">
        <v>0</v>
      </c>
      <c r="L6091" t="n">
        <v>58162</v>
      </c>
      <c r="M6091" t="n">
        <v>71000</v>
      </c>
      <c r="N6091" t="n">
        <v>91</v>
      </c>
      <c r="O6091" t="n">
        <v>0.91</v>
      </c>
      <c r="P6091" t="n">
        <v>1</v>
      </c>
      <c r="Q6091" t="n">
        <v>0.07000000000000001</v>
      </c>
      <c r="R6091" t="n">
        <v>1</v>
      </c>
      <c r="S6091" t="n">
        <v>1938.3</v>
      </c>
      <c r="T6091" t="n">
        <v>6</v>
      </c>
      <c r="U6091" t="n">
        <v>7</v>
      </c>
      <c r="V6091" t="n">
        <v>30</v>
      </c>
      <c r="W6091" t="n">
        <v>1</v>
      </c>
      <c r="X6091" t="n">
        <v>219.7802197802198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11727</v>
      </c>
      <c r="AG6091" t="n">
        <v>63</v>
      </c>
      <c r="AH6091" t="inlineStr">
        <is>
          <t>PT. PARAMA GLOBAL INSPIRA - PPN (PDG)</t>
        </is>
      </c>
      <c r="AI6091" t="n">
        <v>164</v>
      </c>
      <c r="AJ6091" t="inlineStr">
        <is>
          <t>WARDAH</t>
        </is>
      </c>
      <c r="AK6091" t="n">
        <v>21</v>
      </c>
      <c r="AL6091" t="inlineStr">
        <is>
          <t>Miss Glam Damar</t>
        </is>
      </c>
      <c r="AM6091" t="n">
        <v>1</v>
      </c>
      <c r="AN6091" t="n">
        <v>500000</v>
      </c>
      <c r="AO6091" t="n">
        <v>0</v>
      </c>
      <c r="AP6091" t="inlineStr"/>
      <c r="AQ6091" t="inlineStr"/>
    </row>
    <row r="6092">
      <c r="A6092" t="inlineStr">
        <is>
          <t>WARDAH</t>
        </is>
      </c>
      <c r="B6092" s="2">
        <f>"8993137739924"</f>
        <v/>
      </c>
      <c r="C6092" t="inlineStr">
        <is>
          <t>WARDAH Colorfit Velvet Matte Lip Mousse 17 Beyond Sunset 4gr</t>
        </is>
      </c>
      <c r="D6092" t="inlineStr">
        <is>
          <t>Miss Glam Damar</t>
        </is>
      </c>
      <c r="E6092" t="n">
        <v>4</v>
      </c>
      <c r="F6092" t="n">
        <v>0.0182</v>
      </c>
      <c r="G6092" t="n">
        <v>0.91</v>
      </c>
      <c r="H6092" t="n">
        <v>2</v>
      </c>
      <c r="I6092" t="n">
        <v>6</v>
      </c>
      <c r="J6092" t="n">
        <v>3</v>
      </c>
      <c r="K6092" t="n">
        <v>0</v>
      </c>
      <c r="L6092" t="n">
        <v>58162</v>
      </c>
      <c r="M6092" t="n">
        <v>71000</v>
      </c>
      <c r="N6092" t="n">
        <v>91</v>
      </c>
      <c r="O6092" t="n">
        <v>0.91</v>
      </c>
      <c r="P6092" t="n">
        <v>1</v>
      </c>
      <c r="Q6092" t="n">
        <v>0.19</v>
      </c>
      <c r="R6092" t="n">
        <v>3</v>
      </c>
      <c r="S6092" t="n">
        <v>1292.2</v>
      </c>
      <c r="T6092" t="n">
        <v>6</v>
      </c>
      <c r="U6092" t="n">
        <v>7</v>
      </c>
      <c r="V6092" t="n">
        <v>30</v>
      </c>
      <c r="W6092" t="n">
        <v>1</v>
      </c>
      <c r="X6092" t="n">
        <v>219.7802197802198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11727</v>
      </c>
      <c r="AG6092" t="n">
        <v>63</v>
      </c>
      <c r="AH6092" t="inlineStr">
        <is>
          <t>PT. PARAMA GLOBAL INSPIRA - PPN (PDG)</t>
        </is>
      </c>
      <c r="AI6092" t="n">
        <v>164</v>
      </c>
      <c r="AJ6092" t="inlineStr">
        <is>
          <t>WARDAH</t>
        </is>
      </c>
      <c r="AK6092" t="n">
        <v>21</v>
      </c>
      <c r="AL6092" t="inlineStr">
        <is>
          <t>Miss Glam Damar</t>
        </is>
      </c>
      <c r="AM6092" t="n">
        <v>1</v>
      </c>
      <c r="AN6092" t="n">
        <v>500000</v>
      </c>
      <c r="AO6092" t="n">
        <v>0</v>
      </c>
      <c r="AP6092" t="inlineStr"/>
      <c r="AQ6092" t="inlineStr"/>
    </row>
    <row r="6093">
      <c r="A6093" t="inlineStr">
        <is>
          <t>WARDAH</t>
        </is>
      </c>
      <c r="B6093" s="2">
        <f>"8993137739962"</f>
        <v/>
      </c>
      <c r="C6093" t="inlineStr">
        <is>
          <t>WARDAH Colorfit Velvet Matte Lip Mousse 21 Magnetic Red 4gr</t>
        </is>
      </c>
      <c r="D6093" t="inlineStr">
        <is>
          <t>Miss Glam Damar</t>
        </is>
      </c>
      <c r="E6093" t="n">
        <v>3</v>
      </c>
      <c r="F6093" t="n">
        <v>0.0182</v>
      </c>
      <c r="G6093" t="n">
        <v>0.91</v>
      </c>
      <c r="H6093" t="n">
        <v>2</v>
      </c>
      <c r="I6093" t="n">
        <v>6</v>
      </c>
      <c r="J6093" t="n">
        <v>3</v>
      </c>
      <c r="K6093" t="n">
        <v>0</v>
      </c>
      <c r="L6093" t="n">
        <v>58162</v>
      </c>
      <c r="M6093" t="n">
        <v>71000</v>
      </c>
      <c r="N6093" t="n">
        <v>91</v>
      </c>
      <c r="O6093" t="n">
        <v>0.91</v>
      </c>
      <c r="P6093" t="n">
        <v>1</v>
      </c>
      <c r="Q6093" t="n">
        <v>0.02</v>
      </c>
      <c r="R6093" t="n">
        <v>1</v>
      </c>
      <c r="S6093" t="n">
        <v>1292.2</v>
      </c>
      <c r="T6093" t="n">
        <v>6</v>
      </c>
      <c r="U6093" t="n">
        <v>7</v>
      </c>
      <c r="V6093" t="n">
        <v>30</v>
      </c>
      <c r="W6093" t="n">
        <v>1</v>
      </c>
      <c r="X6093" t="n">
        <v>164.8351648351648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11727</v>
      </c>
      <c r="AG6093" t="n">
        <v>63</v>
      </c>
      <c r="AH6093" t="inlineStr">
        <is>
          <t>PT. PARAMA GLOBAL INSPIRA - PPN (PDG)</t>
        </is>
      </c>
      <c r="AI6093" t="n">
        <v>164</v>
      </c>
      <c r="AJ6093" t="inlineStr">
        <is>
          <t>WARDAH</t>
        </is>
      </c>
      <c r="AK6093" t="n">
        <v>21</v>
      </c>
      <c r="AL6093" t="inlineStr">
        <is>
          <t>Miss Glam Damar</t>
        </is>
      </c>
      <c r="AM6093" t="n">
        <v>1</v>
      </c>
      <c r="AN6093" t="n">
        <v>500000</v>
      </c>
      <c r="AO6093" t="n">
        <v>0</v>
      </c>
      <c r="AP6093" t="inlineStr"/>
      <c r="AQ6093" t="inlineStr"/>
    </row>
    <row r="6094">
      <c r="A6094" t="inlineStr">
        <is>
          <t>WARDAH</t>
        </is>
      </c>
      <c r="B6094" s="2">
        <f>"8993137711180"</f>
        <v/>
      </c>
      <c r="C6094" t="inlineStr">
        <is>
          <t>WARDAH Colorfit Velvet Powder Foundation 11C Pink Fair 11gr</t>
        </is>
      </c>
      <c r="D6094" t="inlineStr">
        <is>
          <t>Miss Glam Damar</t>
        </is>
      </c>
      <c r="E6094" t="n">
        <v>3</v>
      </c>
      <c r="F6094" t="n">
        <v>0.1365</v>
      </c>
      <c r="G6094" t="n">
        <v>1.82</v>
      </c>
      <c r="H6094" t="n">
        <v>2</v>
      </c>
      <c r="I6094" t="n">
        <v>6</v>
      </c>
      <c r="J6094" t="n">
        <v>3</v>
      </c>
      <c r="K6094" t="n">
        <v>0</v>
      </c>
      <c r="L6094" t="n">
        <v>64691</v>
      </c>
      <c r="M6094" t="n">
        <v>79000</v>
      </c>
      <c r="N6094" t="n">
        <v>91</v>
      </c>
      <c r="O6094" t="n">
        <v>0.91</v>
      </c>
      <c r="P6094" t="n">
        <v>1</v>
      </c>
      <c r="Q6094" t="n">
        <v>0.1</v>
      </c>
      <c r="R6094" t="n">
        <v>1</v>
      </c>
      <c r="S6094" t="n">
        <v>10783.5</v>
      </c>
      <c r="T6094" t="n">
        <v>11</v>
      </c>
      <c r="U6094" t="n">
        <v>12</v>
      </c>
      <c r="V6094" t="n">
        <v>30</v>
      </c>
      <c r="W6094" t="n">
        <v>5</v>
      </c>
      <c r="X6094" t="n">
        <v>21.97802197802198</v>
      </c>
      <c r="Y6094" t="n">
        <v>1</v>
      </c>
      <c r="Z6094" t="n">
        <v>2</v>
      </c>
      <c r="AA6094" t="n">
        <v>0</v>
      </c>
      <c r="AB6094" t="n">
        <v>2</v>
      </c>
      <c r="AC6094" t="n">
        <v>3</v>
      </c>
      <c r="AD6094" t="n">
        <v>0</v>
      </c>
      <c r="AE6094" t="n">
        <v>194073</v>
      </c>
      <c r="AF6094" t="n">
        <v>11727</v>
      </c>
      <c r="AG6094" t="n">
        <v>63</v>
      </c>
      <c r="AH6094" t="inlineStr">
        <is>
          <t>PT. PARAMA GLOBAL INSPIRA - PPN (PDG)</t>
        </is>
      </c>
      <c r="AI6094" t="n">
        <v>164</v>
      </c>
      <c r="AJ6094" t="inlineStr">
        <is>
          <t>WARDAH</t>
        </is>
      </c>
      <c r="AK6094" t="n">
        <v>21</v>
      </c>
      <c r="AL6094" t="inlineStr">
        <is>
          <t>Miss Glam Damar</t>
        </is>
      </c>
      <c r="AM6094" t="n">
        <v>1</v>
      </c>
      <c r="AN6094" t="n">
        <v>500000</v>
      </c>
      <c r="AO6094" t="n">
        <v>0</v>
      </c>
      <c r="AP6094" t="inlineStr"/>
      <c r="AQ6094" t="inlineStr"/>
    </row>
    <row r="6095">
      <c r="A6095" t="inlineStr">
        <is>
          <t>WARDAH</t>
        </is>
      </c>
      <c r="B6095" s="2">
        <f>"8993137711203"</f>
        <v/>
      </c>
      <c r="C6095" t="inlineStr">
        <is>
          <t>WARDAH Colorfit Velvet Powder Foundation 23W Warm Ivory 11gr</t>
        </is>
      </c>
      <c r="D6095" t="inlineStr">
        <is>
          <t>Miss Glam Damar</t>
        </is>
      </c>
      <c r="E6095" t="n">
        <v>5</v>
      </c>
      <c r="F6095" t="n">
        <v>0.6188</v>
      </c>
      <c r="G6095" t="n">
        <v>2.73</v>
      </c>
      <c r="H6095" t="n">
        <v>2</v>
      </c>
      <c r="I6095" t="n">
        <v>6</v>
      </c>
      <c r="J6095" t="n">
        <v>3</v>
      </c>
      <c r="K6095" t="n">
        <v>0</v>
      </c>
      <c r="L6095" t="n">
        <v>64750</v>
      </c>
      <c r="M6095" t="n">
        <v>79000</v>
      </c>
      <c r="N6095" t="n">
        <v>91</v>
      </c>
      <c r="O6095" t="n">
        <v>0.91</v>
      </c>
      <c r="P6095" t="n">
        <v>1</v>
      </c>
      <c r="Q6095" t="n">
        <v>0.47</v>
      </c>
      <c r="R6095" t="n">
        <v>3</v>
      </c>
      <c r="S6095" t="n">
        <v>48885.2</v>
      </c>
      <c r="T6095" t="n">
        <v>16</v>
      </c>
      <c r="U6095" t="n">
        <v>18</v>
      </c>
      <c r="V6095" t="n">
        <v>30</v>
      </c>
      <c r="W6095" t="n">
        <v>19</v>
      </c>
      <c r="X6095" t="n">
        <v>8.080155138978668</v>
      </c>
      <c r="Y6095" t="n">
        <v>1</v>
      </c>
      <c r="Z6095" t="n">
        <v>14</v>
      </c>
      <c r="AA6095" t="n">
        <v>0</v>
      </c>
      <c r="AB6095" t="n">
        <v>14</v>
      </c>
      <c r="AC6095" t="n">
        <v>14</v>
      </c>
      <c r="AD6095" t="n">
        <v>0</v>
      </c>
      <c r="AE6095" t="n">
        <v>906500</v>
      </c>
      <c r="AF6095" t="n">
        <v>11727</v>
      </c>
      <c r="AG6095" t="n">
        <v>63</v>
      </c>
      <c r="AH6095" t="inlineStr">
        <is>
          <t>PT. PARAMA GLOBAL INSPIRA - PPN (PDG)</t>
        </is>
      </c>
      <c r="AI6095" t="n">
        <v>164</v>
      </c>
      <c r="AJ6095" t="inlineStr">
        <is>
          <t>WARDAH</t>
        </is>
      </c>
      <c r="AK6095" t="n">
        <v>21</v>
      </c>
      <c r="AL6095" t="inlineStr">
        <is>
          <t>Miss Glam Damar</t>
        </is>
      </c>
      <c r="AM6095" t="n">
        <v>1</v>
      </c>
      <c r="AN6095" t="n">
        <v>500000</v>
      </c>
      <c r="AO6095" t="n">
        <v>0</v>
      </c>
      <c r="AP6095" t="inlineStr"/>
      <c r="AQ6095" t="inlineStr"/>
    </row>
    <row r="6096">
      <c r="A6096" t="inlineStr">
        <is>
          <t>WARDAH</t>
        </is>
      </c>
      <c r="B6096" s="2">
        <f>"8993137711210"</f>
        <v/>
      </c>
      <c r="C6096" t="inlineStr">
        <is>
          <t>WARDAH Colorfit Velvet Powder Foundation 32N Natural Beige 11gr</t>
        </is>
      </c>
      <c r="D6096" t="inlineStr">
        <is>
          <t>Miss Glam Damar</t>
        </is>
      </c>
      <c r="E6096" t="n">
        <v>11</v>
      </c>
      <c r="F6096" t="n">
        <v>0.8918</v>
      </c>
      <c r="G6096" t="n">
        <v>3.64</v>
      </c>
      <c r="H6096" t="n">
        <v>2</v>
      </c>
      <c r="I6096" t="n">
        <v>6</v>
      </c>
      <c r="J6096" t="n">
        <v>3</v>
      </c>
      <c r="K6096" t="n">
        <v>0</v>
      </c>
      <c r="L6096" t="n">
        <v>64752</v>
      </c>
      <c r="M6096" t="n">
        <v>79000</v>
      </c>
      <c r="N6096" t="n">
        <v>91</v>
      </c>
      <c r="O6096" t="n">
        <v>0.91</v>
      </c>
      <c r="P6096" t="n">
        <v>1</v>
      </c>
      <c r="Q6096" t="n">
        <v>0.78</v>
      </c>
      <c r="R6096" t="n">
        <v>3</v>
      </c>
      <c r="S6096" t="n">
        <v>70452.2</v>
      </c>
      <c r="T6096" t="n">
        <v>21</v>
      </c>
      <c r="U6096" t="n">
        <v>23</v>
      </c>
      <c r="V6096" t="n">
        <v>30</v>
      </c>
      <c r="W6096" t="n">
        <v>27</v>
      </c>
      <c r="X6096" t="n">
        <v>12.33460417133887</v>
      </c>
      <c r="Y6096" t="n">
        <v>1</v>
      </c>
      <c r="Z6096" t="n">
        <v>16</v>
      </c>
      <c r="AA6096" t="n">
        <v>0</v>
      </c>
      <c r="AB6096" t="n">
        <v>16</v>
      </c>
      <c r="AC6096" t="n">
        <v>16</v>
      </c>
      <c r="AD6096" t="n">
        <v>0</v>
      </c>
      <c r="AE6096" t="n">
        <v>1036032</v>
      </c>
      <c r="AF6096" t="n">
        <v>11727</v>
      </c>
      <c r="AG6096" t="n">
        <v>63</v>
      </c>
      <c r="AH6096" t="inlineStr">
        <is>
          <t>PT. PARAMA GLOBAL INSPIRA - PPN (PDG)</t>
        </is>
      </c>
      <c r="AI6096" t="n">
        <v>164</v>
      </c>
      <c r="AJ6096" t="inlineStr">
        <is>
          <t>WARDAH</t>
        </is>
      </c>
      <c r="AK6096" t="n">
        <v>21</v>
      </c>
      <c r="AL6096" t="inlineStr">
        <is>
          <t>Miss Glam Damar</t>
        </is>
      </c>
      <c r="AM6096" t="n">
        <v>1</v>
      </c>
      <c r="AN6096" t="n">
        <v>500000</v>
      </c>
      <c r="AO6096" t="n">
        <v>0</v>
      </c>
      <c r="AP6096" t="inlineStr"/>
      <c r="AQ6096" t="inlineStr"/>
    </row>
    <row r="6097">
      <c r="A6097" t="inlineStr">
        <is>
          <t>WARDAH</t>
        </is>
      </c>
      <c r="B6097" s="2">
        <f>"8993137699570"</f>
        <v/>
      </c>
      <c r="C6097" t="inlineStr">
        <is>
          <t>WARDAH Conditioner Nutri Shine 170ml</t>
        </is>
      </c>
      <c r="D6097" t="inlineStr">
        <is>
          <t>Miss Glam Damar</t>
        </is>
      </c>
      <c r="E6097" t="n">
        <v>9</v>
      </c>
      <c r="F6097" t="n">
        <v>0.1547</v>
      </c>
      <c r="G6097" t="n">
        <v>1.82</v>
      </c>
      <c r="H6097" t="n">
        <v>2</v>
      </c>
      <c r="I6097" t="n">
        <v>6</v>
      </c>
      <c r="J6097" t="n">
        <v>3</v>
      </c>
      <c r="K6097" t="n">
        <v>0</v>
      </c>
      <c r="L6097" t="n">
        <v>19923</v>
      </c>
      <c r="M6097" t="n">
        <v>24500</v>
      </c>
      <c r="N6097" t="n">
        <v>91</v>
      </c>
      <c r="O6097" t="n">
        <v>0.91</v>
      </c>
      <c r="P6097" t="n">
        <v>1</v>
      </c>
      <c r="Q6097" t="n">
        <v>0.24</v>
      </c>
      <c r="R6097" t="n">
        <v>3</v>
      </c>
      <c r="S6097" t="n">
        <v>3790.15</v>
      </c>
      <c r="T6097" t="n">
        <v>11</v>
      </c>
      <c r="U6097" t="n">
        <v>12</v>
      </c>
      <c r="V6097" t="n">
        <v>30</v>
      </c>
      <c r="W6097" t="n">
        <v>5</v>
      </c>
      <c r="X6097" t="n">
        <v>58.17711700064641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11727</v>
      </c>
      <c r="AG6097" t="n">
        <v>63</v>
      </c>
      <c r="AH6097" t="inlineStr">
        <is>
          <t>PT. PARAMA GLOBAL INSPIRA - PPN (PDG)</t>
        </is>
      </c>
      <c r="AI6097" t="n">
        <v>164</v>
      </c>
      <c r="AJ6097" t="inlineStr">
        <is>
          <t>WARDAH</t>
        </is>
      </c>
      <c r="AK6097" t="n">
        <v>21</v>
      </c>
      <c r="AL6097" t="inlineStr">
        <is>
          <t>Miss Glam Damar</t>
        </is>
      </c>
      <c r="AM6097" t="n">
        <v>1</v>
      </c>
      <c r="AN6097" t="n">
        <v>500000</v>
      </c>
      <c r="AO6097" t="n">
        <v>0</v>
      </c>
      <c r="AP6097" t="inlineStr"/>
      <c r="AQ6097" t="inlineStr"/>
    </row>
    <row r="6098">
      <c r="A6098" t="inlineStr">
        <is>
          <t>WARDAH</t>
        </is>
      </c>
      <c r="B6098" s="2">
        <f>"8993137692526"</f>
        <v/>
      </c>
      <c r="C6098" t="inlineStr">
        <is>
          <t>WARDAH Crystal Secret  Brightening Day Cream 15ml</t>
        </is>
      </c>
      <c r="D6098" t="inlineStr">
        <is>
          <t>Miss Glam Damar</t>
        </is>
      </c>
      <c r="E6098" t="n">
        <v>18</v>
      </c>
      <c r="F6098" t="n">
        <v>1.3377</v>
      </c>
      <c r="G6098" t="n">
        <v>3.64</v>
      </c>
      <c r="H6098" t="n">
        <v>2</v>
      </c>
      <c r="I6098" t="n">
        <v>6</v>
      </c>
      <c r="J6098" t="n">
        <v>3</v>
      </c>
      <c r="K6098" t="n">
        <v>0</v>
      </c>
      <c r="L6098" t="n">
        <v>42527</v>
      </c>
      <c r="M6098" t="n">
        <v>52000</v>
      </c>
      <c r="N6098" t="n">
        <v>91</v>
      </c>
      <c r="O6098" t="n">
        <v>0.91</v>
      </c>
      <c r="P6098" t="n">
        <v>1</v>
      </c>
      <c r="Q6098" t="n">
        <v>1.24</v>
      </c>
      <c r="R6098" t="n">
        <v>6</v>
      </c>
      <c r="S6098" t="n">
        <v>69560.40000000001</v>
      </c>
      <c r="T6098" t="n">
        <v>20</v>
      </c>
      <c r="U6098" t="n">
        <v>23</v>
      </c>
      <c r="V6098" t="n">
        <v>30</v>
      </c>
      <c r="W6098" t="n">
        <v>41</v>
      </c>
      <c r="X6098" t="n">
        <v>13.45593182327876</v>
      </c>
      <c r="Y6098" t="n">
        <v>1</v>
      </c>
      <c r="Z6098" t="n">
        <v>23</v>
      </c>
      <c r="AA6098" t="n">
        <v>0</v>
      </c>
      <c r="AB6098" t="n">
        <v>23</v>
      </c>
      <c r="AC6098" t="n">
        <v>23</v>
      </c>
      <c r="AD6098" t="n">
        <v>0</v>
      </c>
      <c r="AE6098" t="n">
        <v>978121</v>
      </c>
      <c r="AF6098" t="n">
        <v>11727</v>
      </c>
      <c r="AG6098" t="n">
        <v>63</v>
      </c>
      <c r="AH6098" t="inlineStr">
        <is>
          <t>PT. PARAMA GLOBAL INSPIRA - PPN (PDG)</t>
        </is>
      </c>
      <c r="AI6098" t="n">
        <v>164</v>
      </c>
      <c r="AJ6098" t="inlineStr">
        <is>
          <t>WARDAH</t>
        </is>
      </c>
      <c r="AK6098" t="n">
        <v>21</v>
      </c>
      <c r="AL6098" t="inlineStr">
        <is>
          <t>Miss Glam Damar</t>
        </is>
      </c>
      <c r="AM6098" t="n">
        <v>1</v>
      </c>
      <c r="AN6098" t="n">
        <v>500000</v>
      </c>
      <c r="AO6098" t="n">
        <v>0</v>
      </c>
      <c r="AP6098" t="inlineStr"/>
      <c r="AQ6098" t="inlineStr"/>
    </row>
    <row r="6099">
      <c r="A6099" t="inlineStr">
        <is>
          <t>WARDAH</t>
        </is>
      </c>
      <c r="B6099" s="2">
        <f>"8993137692533"</f>
        <v/>
      </c>
      <c r="C6099" t="inlineStr">
        <is>
          <t>WARDAH Crystal Secret Bright Activating Night Cream 15ml</t>
        </is>
      </c>
      <c r="D6099" t="inlineStr">
        <is>
          <t>Miss Glam Damar</t>
        </is>
      </c>
      <c r="E6099" t="n">
        <v>5</v>
      </c>
      <c r="F6099" t="n">
        <v>0.8918</v>
      </c>
      <c r="G6099" t="n">
        <v>3.64</v>
      </c>
      <c r="H6099" t="n">
        <v>2</v>
      </c>
      <c r="I6099" t="n">
        <v>6</v>
      </c>
      <c r="J6099" t="n">
        <v>3</v>
      </c>
      <c r="K6099" t="n">
        <v>0</v>
      </c>
      <c r="L6099" t="n">
        <v>42528</v>
      </c>
      <c r="M6099" t="n">
        <v>52000</v>
      </c>
      <c r="N6099" t="n">
        <v>91</v>
      </c>
      <c r="O6099" t="n">
        <v>0.91</v>
      </c>
      <c r="P6099" t="n">
        <v>1</v>
      </c>
      <c r="Q6099" t="n">
        <v>0.54</v>
      </c>
      <c r="R6099" t="n">
        <v>2</v>
      </c>
      <c r="S6099" t="n">
        <v>46373.6</v>
      </c>
      <c r="T6099" t="n">
        <v>21</v>
      </c>
      <c r="U6099" t="n">
        <v>23</v>
      </c>
      <c r="V6099" t="n">
        <v>30</v>
      </c>
      <c r="W6099" t="n">
        <v>27</v>
      </c>
      <c r="X6099" t="n">
        <v>5.606638259699484</v>
      </c>
      <c r="Y6099" t="n">
        <v>1</v>
      </c>
      <c r="Z6099" t="n">
        <v>22</v>
      </c>
      <c r="AA6099" t="n">
        <v>1</v>
      </c>
      <c r="AB6099" t="n">
        <v>21</v>
      </c>
      <c r="AC6099" t="n">
        <v>21</v>
      </c>
      <c r="AD6099" t="n">
        <v>42528</v>
      </c>
      <c r="AE6099" t="n">
        <v>893088</v>
      </c>
      <c r="AF6099" t="n">
        <v>11727</v>
      </c>
      <c r="AG6099" t="n">
        <v>63</v>
      </c>
      <c r="AH6099" t="inlineStr">
        <is>
          <t>PT. PARAMA GLOBAL INSPIRA - PPN (PDG)</t>
        </is>
      </c>
      <c r="AI6099" t="n">
        <v>164</v>
      </c>
      <c r="AJ6099" t="inlineStr">
        <is>
          <t>WARDAH</t>
        </is>
      </c>
      <c r="AK6099" t="n">
        <v>21</v>
      </c>
      <c r="AL6099" t="inlineStr">
        <is>
          <t>Miss Glam Damar</t>
        </is>
      </c>
      <c r="AM6099" t="n">
        <v>1</v>
      </c>
      <c r="AN6099" t="n">
        <v>500000</v>
      </c>
      <c r="AO6099" t="n">
        <v>0</v>
      </c>
      <c r="AP6099" t="inlineStr"/>
      <c r="AQ6099" t="inlineStr"/>
    </row>
    <row r="6100">
      <c r="A6100" t="inlineStr">
        <is>
          <t>WARDAH</t>
        </is>
      </c>
      <c r="B6100" s="2">
        <f>"8993137692311"</f>
        <v/>
      </c>
      <c r="C6100" t="inlineStr">
        <is>
          <t>WARDAH Crystal Secret Dark Spot &amp; Brightening Serum 20ml</t>
        </is>
      </c>
      <c r="D6100" t="inlineStr">
        <is>
          <t>Miss Glam Damar</t>
        </is>
      </c>
      <c r="E6100" t="n">
        <v>31</v>
      </c>
      <c r="F6100" t="n">
        <v>1.6471</v>
      </c>
      <c r="G6100" t="n">
        <v>5.46</v>
      </c>
      <c r="H6100" t="n">
        <v>2</v>
      </c>
      <c r="I6100" t="n">
        <v>6</v>
      </c>
      <c r="J6100" t="n">
        <v>3</v>
      </c>
      <c r="K6100" t="n">
        <v>0</v>
      </c>
      <c r="L6100" t="n">
        <v>75863</v>
      </c>
      <c r="M6100" t="n">
        <v>93000</v>
      </c>
      <c r="N6100" t="n">
        <v>91</v>
      </c>
      <c r="O6100" t="n">
        <v>0.91</v>
      </c>
      <c r="P6100" t="n">
        <v>1</v>
      </c>
      <c r="Q6100" t="n">
        <v>1.63</v>
      </c>
      <c r="R6100" t="n">
        <v>5</v>
      </c>
      <c r="S6100" t="n">
        <v>153180.3</v>
      </c>
      <c r="T6100" t="n">
        <v>30</v>
      </c>
      <c r="U6100" t="n">
        <v>34</v>
      </c>
      <c r="V6100" t="n">
        <v>30</v>
      </c>
      <c r="W6100" t="n">
        <v>50</v>
      </c>
      <c r="X6100" t="n">
        <v>18.82095804747738</v>
      </c>
      <c r="Y6100" t="n">
        <v>1</v>
      </c>
      <c r="Z6100" t="n">
        <v>19</v>
      </c>
      <c r="AA6100" t="n">
        <v>0</v>
      </c>
      <c r="AB6100" t="n">
        <v>19</v>
      </c>
      <c r="AC6100" t="n">
        <v>19</v>
      </c>
      <c r="AD6100" t="n">
        <v>0</v>
      </c>
      <c r="AE6100" t="n">
        <v>1441397</v>
      </c>
      <c r="AF6100" t="n">
        <v>11727</v>
      </c>
      <c r="AG6100" t="n">
        <v>63</v>
      </c>
      <c r="AH6100" t="inlineStr">
        <is>
          <t>PT. PARAMA GLOBAL INSPIRA - PPN (PDG)</t>
        </is>
      </c>
      <c r="AI6100" t="n">
        <v>164</v>
      </c>
      <c r="AJ6100" t="inlineStr">
        <is>
          <t>WARDAH</t>
        </is>
      </c>
      <c r="AK6100" t="n">
        <v>21</v>
      </c>
      <c r="AL6100" t="inlineStr">
        <is>
          <t>Miss Glam Damar</t>
        </is>
      </c>
      <c r="AM6100" t="n">
        <v>1</v>
      </c>
      <c r="AN6100" t="n">
        <v>500000</v>
      </c>
      <c r="AO6100" t="n">
        <v>0</v>
      </c>
      <c r="AP6100" t="inlineStr"/>
      <c r="AQ6100" t="inlineStr"/>
    </row>
    <row r="6101">
      <c r="A6101" t="inlineStr">
        <is>
          <t>WARDAH</t>
        </is>
      </c>
      <c r="B6101" s="2">
        <f>"8993137684606"</f>
        <v/>
      </c>
      <c r="C6101" t="inlineStr">
        <is>
          <t>WARDAH Crystal Secret Exfoliating Toner with Natural AHA+PHA 125ml</t>
        </is>
      </c>
      <c r="D6101" t="inlineStr">
        <is>
          <t>Miss Glam Damar</t>
        </is>
      </c>
      <c r="E6101" t="n">
        <v>4</v>
      </c>
      <c r="F6101" t="n">
        <v>0.1729</v>
      </c>
      <c r="G6101" t="n">
        <v>1.82</v>
      </c>
      <c r="H6101" t="n">
        <v>2</v>
      </c>
      <c r="I6101" t="n">
        <v>6</v>
      </c>
      <c r="J6101" t="n">
        <v>3</v>
      </c>
      <c r="K6101" t="n">
        <v>0</v>
      </c>
      <c r="L6101" t="n">
        <v>60530</v>
      </c>
      <c r="M6101" t="n">
        <v>74000</v>
      </c>
      <c r="N6101" t="n">
        <v>91</v>
      </c>
      <c r="O6101" t="n">
        <v>0.91</v>
      </c>
      <c r="P6101" t="n">
        <v>1</v>
      </c>
      <c r="Q6101" t="n">
        <v>0.22</v>
      </c>
      <c r="R6101" t="n">
        <v>2</v>
      </c>
      <c r="S6101" t="n">
        <v>12794.6</v>
      </c>
      <c r="T6101" t="n">
        <v>11</v>
      </c>
      <c r="U6101" t="n">
        <v>12</v>
      </c>
      <c r="V6101" t="n">
        <v>30</v>
      </c>
      <c r="W6101" t="n">
        <v>6</v>
      </c>
      <c r="X6101" t="n">
        <v>23.13475997686524</v>
      </c>
      <c r="Y6101" t="n">
        <v>1</v>
      </c>
      <c r="Z6101" t="n">
        <v>2</v>
      </c>
      <c r="AA6101" t="n">
        <v>0</v>
      </c>
      <c r="AB6101" t="n">
        <v>2</v>
      </c>
      <c r="AC6101" t="n">
        <v>3</v>
      </c>
      <c r="AD6101" t="n">
        <v>0</v>
      </c>
      <c r="AE6101" t="n">
        <v>181590</v>
      </c>
      <c r="AF6101" t="n">
        <v>11727</v>
      </c>
      <c r="AG6101" t="n">
        <v>63</v>
      </c>
      <c r="AH6101" t="inlineStr">
        <is>
          <t>PT. PARAMA GLOBAL INSPIRA - PPN (PDG)</t>
        </is>
      </c>
      <c r="AI6101" t="n">
        <v>164</v>
      </c>
      <c r="AJ6101" t="inlineStr">
        <is>
          <t>WARDAH</t>
        </is>
      </c>
      <c r="AK6101" t="n">
        <v>21</v>
      </c>
      <c r="AL6101" t="inlineStr">
        <is>
          <t>Miss Glam Damar</t>
        </is>
      </c>
      <c r="AM6101" t="n">
        <v>1</v>
      </c>
      <c r="AN6101" t="n">
        <v>500000</v>
      </c>
      <c r="AO6101" t="n">
        <v>0</v>
      </c>
      <c r="AP6101" t="inlineStr"/>
      <c r="AQ6101" t="inlineStr"/>
    </row>
    <row r="6102">
      <c r="A6102" t="inlineStr">
        <is>
          <t>WARDAH</t>
        </is>
      </c>
      <c r="B6102" s="2">
        <f>"8993137697163"</f>
        <v/>
      </c>
      <c r="C6102" t="inlineStr">
        <is>
          <t>WARDAH Crystal Secret Eyes Dark Circle Corrector 10ml</t>
        </is>
      </c>
      <c r="D6102" t="inlineStr">
        <is>
          <t>Miss Glam Damar</t>
        </is>
      </c>
      <c r="E6102" t="n">
        <v>5</v>
      </c>
      <c r="F6102" t="n">
        <v>0.0728</v>
      </c>
      <c r="G6102" t="n">
        <v>0.91</v>
      </c>
      <c r="H6102" t="n">
        <v>2</v>
      </c>
      <c r="I6102" t="n">
        <v>6</v>
      </c>
      <c r="J6102" t="n">
        <v>3</v>
      </c>
      <c r="K6102" t="n">
        <v>0</v>
      </c>
      <c r="L6102" t="n">
        <v>67817</v>
      </c>
      <c r="M6102" t="n">
        <v>83000</v>
      </c>
      <c r="N6102" t="n">
        <v>91</v>
      </c>
      <c r="O6102" t="n">
        <v>0.91</v>
      </c>
      <c r="P6102" t="n">
        <v>1</v>
      </c>
      <c r="Q6102" t="n">
        <v>0.1</v>
      </c>
      <c r="R6102" t="n">
        <v>1</v>
      </c>
      <c r="S6102" t="n">
        <v>6042.400000000001</v>
      </c>
      <c r="T6102" t="n">
        <v>6</v>
      </c>
      <c r="U6102" t="n">
        <v>7</v>
      </c>
      <c r="V6102" t="n">
        <v>30</v>
      </c>
      <c r="W6102" t="n">
        <v>3</v>
      </c>
      <c r="X6102" t="n">
        <v>68.68131868131867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11727</v>
      </c>
      <c r="AG6102" t="n">
        <v>63</v>
      </c>
      <c r="AH6102" t="inlineStr">
        <is>
          <t>PT. PARAMA GLOBAL INSPIRA - PPN (PDG)</t>
        </is>
      </c>
      <c r="AI6102" t="n">
        <v>164</v>
      </c>
      <c r="AJ6102" t="inlineStr">
        <is>
          <t>WARDAH</t>
        </is>
      </c>
      <c r="AK6102" t="n">
        <v>21</v>
      </c>
      <c r="AL6102" t="inlineStr">
        <is>
          <t>Miss Glam Damar</t>
        </is>
      </c>
      <c r="AM6102" t="n">
        <v>1</v>
      </c>
      <c r="AN6102" t="n">
        <v>500000</v>
      </c>
      <c r="AO6102" t="n">
        <v>0</v>
      </c>
      <c r="AP6102" t="inlineStr"/>
      <c r="AQ6102" t="inlineStr"/>
    </row>
    <row r="6103">
      <c r="A6103" t="inlineStr">
        <is>
          <t>WARDAH</t>
        </is>
      </c>
      <c r="B6103" s="2">
        <f>"8993137692335"</f>
        <v/>
      </c>
      <c r="C6103" t="inlineStr">
        <is>
          <t>WARDAH Crystal Secret Foaming Cleanser 100ml</t>
        </is>
      </c>
      <c r="D6103" t="inlineStr">
        <is>
          <t>Miss Glam Damar</t>
        </is>
      </c>
      <c r="E6103" t="n">
        <v>100</v>
      </c>
      <c r="F6103" t="n">
        <v>6.633900000000001</v>
      </c>
      <c r="G6103" t="n">
        <v>13.65</v>
      </c>
      <c r="H6103" t="n">
        <v>2</v>
      </c>
      <c r="I6103" t="n">
        <v>6</v>
      </c>
      <c r="J6103" t="n">
        <v>3</v>
      </c>
      <c r="K6103" t="n">
        <v>0</v>
      </c>
      <c r="L6103" t="n">
        <v>30268</v>
      </c>
      <c r="M6103" t="n">
        <v>37000</v>
      </c>
      <c r="N6103" t="n">
        <v>91</v>
      </c>
      <c r="O6103" t="n">
        <v>0.91</v>
      </c>
      <c r="P6103" t="n">
        <v>1</v>
      </c>
      <c r="Q6103" t="n">
        <v>4.24</v>
      </c>
      <c r="R6103" t="n">
        <v>13</v>
      </c>
      <c r="S6103" t="n">
        <v>245454.3</v>
      </c>
      <c r="T6103" t="n">
        <v>69</v>
      </c>
      <c r="U6103" t="n">
        <v>83</v>
      </c>
      <c r="V6103" t="n">
        <v>30</v>
      </c>
      <c r="W6103" t="n">
        <v>200</v>
      </c>
      <c r="X6103" t="n">
        <v>15.07408914816322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11727</v>
      </c>
      <c r="AG6103" t="n">
        <v>63</v>
      </c>
      <c r="AH6103" t="inlineStr">
        <is>
          <t>PT. PARAMA GLOBAL INSPIRA - PPN (PDG)</t>
        </is>
      </c>
      <c r="AI6103" t="n">
        <v>164</v>
      </c>
      <c r="AJ6103" t="inlineStr">
        <is>
          <t>WARDAH</t>
        </is>
      </c>
      <c r="AK6103" t="n">
        <v>21</v>
      </c>
      <c r="AL6103" t="inlineStr">
        <is>
          <t>Miss Glam Damar</t>
        </is>
      </c>
      <c r="AM6103" t="n">
        <v>1</v>
      </c>
      <c r="AN6103" t="n">
        <v>500000</v>
      </c>
      <c r="AO6103" t="n">
        <v>0</v>
      </c>
      <c r="AP6103" t="inlineStr"/>
      <c r="AQ6103" t="inlineStr"/>
    </row>
    <row r="6104">
      <c r="A6104" t="inlineStr">
        <is>
          <t>WARDAH</t>
        </is>
      </c>
      <c r="B6104" s="2">
        <f>"8993137684613"</f>
        <v/>
      </c>
      <c r="C6104" t="inlineStr">
        <is>
          <t>WARDAH Crystal Secret Melting Milk Cleanser 100ml</t>
        </is>
      </c>
      <c r="D6104" t="inlineStr">
        <is>
          <t>Miss Glam Damar</t>
        </is>
      </c>
      <c r="E6104" t="n">
        <v>12</v>
      </c>
      <c r="F6104" t="n">
        <v>0.5096000000000001</v>
      </c>
      <c r="G6104" t="n">
        <v>2.73</v>
      </c>
      <c r="H6104" t="n">
        <v>2</v>
      </c>
      <c r="I6104" t="n">
        <v>6</v>
      </c>
      <c r="J6104" t="n">
        <v>3</v>
      </c>
      <c r="K6104" t="n">
        <v>0</v>
      </c>
      <c r="L6104" t="n">
        <v>26053</v>
      </c>
      <c r="M6104" t="n">
        <v>32000</v>
      </c>
      <c r="N6104" t="n">
        <v>91</v>
      </c>
      <c r="O6104" t="n">
        <v>0.91</v>
      </c>
      <c r="P6104" t="n">
        <v>1</v>
      </c>
      <c r="Q6104" t="n">
        <v>0.61</v>
      </c>
      <c r="R6104" t="n">
        <v>3</v>
      </c>
      <c r="S6104" t="n">
        <v>16307.2</v>
      </c>
      <c r="T6104" t="n">
        <v>16</v>
      </c>
      <c r="U6104" t="n">
        <v>18</v>
      </c>
      <c r="V6104" t="n">
        <v>30</v>
      </c>
      <c r="W6104" t="n">
        <v>16</v>
      </c>
      <c r="X6104" t="n">
        <v>23.54788069073783</v>
      </c>
      <c r="Y6104" t="n">
        <v>1</v>
      </c>
      <c r="Z6104" t="n">
        <v>4</v>
      </c>
      <c r="AA6104" t="n">
        <v>0</v>
      </c>
      <c r="AB6104" t="n">
        <v>4</v>
      </c>
      <c r="AC6104" t="n">
        <v>4</v>
      </c>
      <c r="AD6104" t="n">
        <v>0</v>
      </c>
      <c r="AE6104" t="n">
        <v>104212</v>
      </c>
      <c r="AF6104" t="n">
        <v>11727</v>
      </c>
      <c r="AG6104" t="n">
        <v>63</v>
      </c>
      <c r="AH6104" t="inlineStr">
        <is>
          <t>PT. PARAMA GLOBAL INSPIRA - PPN (PDG)</t>
        </is>
      </c>
      <c r="AI6104" t="n">
        <v>164</v>
      </c>
      <c r="AJ6104" t="inlineStr">
        <is>
          <t>WARDAH</t>
        </is>
      </c>
      <c r="AK6104" t="n">
        <v>21</v>
      </c>
      <c r="AL6104" t="inlineStr">
        <is>
          <t>Miss Glam Damar</t>
        </is>
      </c>
      <c r="AM6104" t="n">
        <v>1</v>
      </c>
      <c r="AN6104" t="n">
        <v>500000</v>
      </c>
      <c r="AO6104" t="n">
        <v>0</v>
      </c>
      <c r="AP6104" t="inlineStr"/>
      <c r="AQ6104" t="inlineStr"/>
    </row>
    <row r="6105">
      <c r="A6105" t="inlineStr">
        <is>
          <t>WARDAH</t>
        </is>
      </c>
      <c r="B6105" s="2">
        <f>"8993137713344"</f>
        <v/>
      </c>
      <c r="C6105" t="inlineStr">
        <is>
          <t>WARDAH Crystal Secret Micellar Cleansing Gel 95ml</t>
        </is>
      </c>
      <c r="D6105" t="inlineStr">
        <is>
          <t>Miss Glam Damar</t>
        </is>
      </c>
      <c r="E6105" t="n">
        <v>3</v>
      </c>
      <c r="F6105" t="n">
        <v>0.09100000000000001</v>
      </c>
      <c r="G6105" t="n">
        <v>1.82</v>
      </c>
      <c r="H6105" t="n">
        <v>2</v>
      </c>
      <c r="I6105" t="n">
        <v>6</v>
      </c>
      <c r="J6105" t="n">
        <v>3</v>
      </c>
      <c r="K6105" t="n">
        <v>0</v>
      </c>
      <c r="L6105" t="n">
        <v>36399</v>
      </c>
      <c r="M6105" t="n">
        <v>44500</v>
      </c>
      <c r="N6105" t="n">
        <v>91</v>
      </c>
      <c r="O6105" t="n">
        <v>0.91</v>
      </c>
      <c r="P6105" t="n">
        <v>1</v>
      </c>
      <c r="Q6105" t="n">
        <v>0.1</v>
      </c>
      <c r="R6105" t="n">
        <v>1</v>
      </c>
      <c r="S6105" t="n">
        <v>4049.5</v>
      </c>
      <c r="T6105" t="n">
        <v>11</v>
      </c>
      <c r="U6105" t="n">
        <v>12</v>
      </c>
      <c r="V6105" t="n">
        <v>30</v>
      </c>
      <c r="W6105" t="n">
        <v>3</v>
      </c>
      <c r="X6105" t="n">
        <v>32.96703296703296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11727</v>
      </c>
      <c r="AG6105" t="n">
        <v>63</v>
      </c>
      <c r="AH6105" t="inlineStr">
        <is>
          <t>PT. PARAMA GLOBAL INSPIRA - PPN (PDG)</t>
        </is>
      </c>
      <c r="AI6105" t="n">
        <v>164</v>
      </c>
      <c r="AJ6105" t="inlineStr">
        <is>
          <t>WARDAH</t>
        </is>
      </c>
      <c r="AK6105" t="n">
        <v>21</v>
      </c>
      <c r="AL6105" t="inlineStr">
        <is>
          <t>Miss Glam Damar</t>
        </is>
      </c>
      <c r="AM6105" t="n">
        <v>1</v>
      </c>
      <c r="AN6105" t="n">
        <v>500000</v>
      </c>
      <c r="AO6105" t="n">
        <v>0</v>
      </c>
      <c r="AP6105" t="inlineStr"/>
      <c r="AQ6105" t="inlineStr"/>
    </row>
    <row r="6106">
      <c r="A6106" t="inlineStr">
        <is>
          <t>WARDAH</t>
        </is>
      </c>
      <c r="B6106" s="2">
        <f>"8993137714549"</f>
        <v/>
      </c>
      <c r="C6106" t="inlineStr">
        <is>
          <t>WARDAH Crystal Secret Pure Treatment Essence 30ml</t>
        </is>
      </c>
      <c r="D6106" t="inlineStr">
        <is>
          <t>Miss Glam Damar</t>
        </is>
      </c>
      <c r="E6106" t="n">
        <v>3</v>
      </c>
      <c r="F6106" t="n">
        <v>0.182</v>
      </c>
      <c r="G6106" t="n">
        <v>1.82</v>
      </c>
      <c r="H6106" t="n">
        <v>2</v>
      </c>
      <c r="I6106" t="n">
        <v>6</v>
      </c>
      <c r="J6106" t="n">
        <v>3</v>
      </c>
      <c r="K6106" t="n">
        <v>0</v>
      </c>
      <c r="L6106" t="n">
        <v>39464</v>
      </c>
      <c r="M6106" t="n">
        <v>48500</v>
      </c>
      <c r="N6106" t="n">
        <v>91</v>
      </c>
      <c r="O6106" t="n">
        <v>0.91</v>
      </c>
      <c r="P6106" t="n">
        <v>1</v>
      </c>
      <c r="Q6106" t="n">
        <v>0.37</v>
      </c>
      <c r="R6106" t="n">
        <v>3</v>
      </c>
      <c r="S6106" t="n">
        <v>8827.000000000002</v>
      </c>
      <c r="T6106" t="n">
        <v>11</v>
      </c>
      <c r="U6106" t="n">
        <v>12</v>
      </c>
      <c r="V6106" t="n">
        <v>30</v>
      </c>
      <c r="W6106" t="n">
        <v>6</v>
      </c>
      <c r="X6106" t="n">
        <v>16.48351648351648</v>
      </c>
      <c r="Y6106" t="n">
        <v>1</v>
      </c>
      <c r="Z6106" t="n">
        <v>3</v>
      </c>
      <c r="AA6106" t="n">
        <v>0</v>
      </c>
      <c r="AB6106" t="n">
        <v>3</v>
      </c>
      <c r="AC6106" t="n">
        <v>3</v>
      </c>
      <c r="AD6106" t="n">
        <v>0</v>
      </c>
      <c r="AE6106" t="n">
        <v>118392</v>
      </c>
      <c r="AF6106" t="n">
        <v>11727</v>
      </c>
      <c r="AG6106" t="n">
        <v>63</v>
      </c>
      <c r="AH6106" t="inlineStr">
        <is>
          <t>PT. PARAMA GLOBAL INSPIRA - PPN (PDG)</t>
        </is>
      </c>
      <c r="AI6106" t="n">
        <v>164</v>
      </c>
      <c r="AJ6106" t="inlineStr">
        <is>
          <t>WARDAH</t>
        </is>
      </c>
      <c r="AK6106" t="n">
        <v>21</v>
      </c>
      <c r="AL6106" t="inlineStr">
        <is>
          <t>Miss Glam Damar</t>
        </is>
      </c>
      <c r="AM6106" t="n">
        <v>1</v>
      </c>
      <c r="AN6106" t="n">
        <v>500000</v>
      </c>
      <c r="AO6106" t="n">
        <v>0</v>
      </c>
      <c r="AP6106" t="inlineStr"/>
      <c r="AQ6106" t="inlineStr"/>
    </row>
    <row r="6107">
      <c r="A6107" t="inlineStr">
        <is>
          <t>WARDAH</t>
        </is>
      </c>
      <c r="B6107" s="2">
        <f>"8993137698429"</f>
        <v/>
      </c>
      <c r="C6107" t="inlineStr">
        <is>
          <t>WARDAH Eau De Toilette Purity Scentsation Original  35 ml</t>
        </is>
      </c>
      <c r="D6107" t="inlineStr">
        <is>
          <t>Miss Glam Damar</t>
        </is>
      </c>
      <c r="E6107" t="n">
        <v>2</v>
      </c>
      <c r="F6107" t="n">
        <v>0.1</v>
      </c>
      <c r="G6107" t="n">
        <v>1</v>
      </c>
      <c r="H6107" t="n">
        <v>2</v>
      </c>
      <c r="I6107" t="n">
        <v>6</v>
      </c>
      <c r="J6107" t="n">
        <v>3</v>
      </c>
      <c r="K6107" t="n">
        <v>0</v>
      </c>
      <c r="L6107" t="n">
        <v>44062</v>
      </c>
      <c r="M6107" t="n">
        <v>54000</v>
      </c>
      <c r="N6107" t="n">
        <v>91</v>
      </c>
      <c r="O6107" t="n">
        <v>0.91</v>
      </c>
      <c r="P6107" t="n">
        <v>0</v>
      </c>
      <c r="Q6107" t="n">
        <v>0.1</v>
      </c>
      <c r="R6107" t="n">
        <v>1</v>
      </c>
      <c r="S6107" t="n">
        <v>5400</v>
      </c>
      <c r="T6107" t="n">
        <v>6</v>
      </c>
      <c r="U6107" t="n">
        <v>7</v>
      </c>
      <c r="V6107" t="n">
        <v>30</v>
      </c>
      <c r="W6107" t="n">
        <v>3</v>
      </c>
      <c r="X6107" t="n">
        <v>20</v>
      </c>
      <c r="Y6107" t="n">
        <v>1</v>
      </c>
      <c r="Z6107" t="n">
        <v>1</v>
      </c>
      <c r="AA6107" t="n">
        <v>0</v>
      </c>
      <c r="AB6107" t="n">
        <v>1</v>
      </c>
      <c r="AC6107" t="n">
        <v>3</v>
      </c>
      <c r="AD6107" t="n">
        <v>0</v>
      </c>
      <c r="AE6107" t="n">
        <v>132186</v>
      </c>
      <c r="AF6107" t="n">
        <v>11727</v>
      </c>
      <c r="AG6107" t="n">
        <v>63</v>
      </c>
      <c r="AH6107" t="inlineStr">
        <is>
          <t>PT. PARAMA GLOBAL INSPIRA - PPN (PDG)</t>
        </is>
      </c>
      <c r="AI6107" t="n">
        <v>164</v>
      </c>
      <c r="AJ6107" t="inlineStr">
        <is>
          <t>WARDAH</t>
        </is>
      </c>
      <c r="AK6107" t="n">
        <v>21</v>
      </c>
      <c r="AL6107" t="inlineStr">
        <is>
          <t>Miss Glam Damar</t>
        </is>
      </c>
      <c r="AM6107" t="n">
        <v>1</v>
      </c>
      <c r="AN6107" t="n">
        <v>500000</v>
      </c>
      <c r="AO6107" t="n">
        <v>0</v>
      </c>
      <c r="AP6107" t="inlineStr"/>
      <c r="AQ6107" t="inlineStr"/>
    </row>
    <row r="6108">
      <c r="A6108" t="inlineStr">
        <is>
          <t>WARDAH</t>
        </is>
      </c>
      <c r="B6108" s="2">
        <f>"8993137699471"</f>
        <v/>
      </c>
      <c r="C6108" t="inlineStr">
        <is>
          <t>WARDAH Everyday Fruity Sheer Hydrabalm Strawberry 4gr</t>
        </is>
      </c>
      <c r="D6108" t="inlineStr">
        <is>
          <t>Miss Glam Damar</t>
        </is>
      </c>
      <c r="E6108" t="n">
        <v>119</v>
      </c>
      <c r="F6108" t="n">
        <v>7.0161</v>
      </c>
      <c r="G6108" t="n">
        <v>12.74</v>
      </c>
      <c r="H6108" t="n">
        <v>2</v>
      </c>
      <c r="I6108" t="n">
        <v>6</v>
      </c>
      <c r="J6108" t="n">
        <v>3</v>
      </c>
      <c r="K6108" t="n">
        <v>0</v>
      </c>
      <c r="L6108" t="n">
        <v>22605</v>
      </c>
      <c r="M6108" t="n">
        <v>28000</v>
      </c>
      <c r="N6108" t="n">
        <v>91</v>
      </c>
      <c r="O6108" t="n">
        <v>0.91</v>
      </c>
      <c r="P6108" t="n">
        <v>1</v>
      </c>
      <c r="Q6108" t="n">
        <v>4.98</v>
      </c>
      <c r="R6108" t="n">
        <v>10</v>
      </c>
      <c r="S6108" t="n">
        <v>196450.8</v>
      </c>
      <c r="T6108" t="n">
        <v>63</v>
      </c>
      <c r="U6108" t="n">
        <v>78</v>
      </c>
      <c r="V6108" t="n">
        <v>30</v>
      </c>
      <c r="W6108" t="n">
        <v>211</v>
      </c>
      <c r="X6108" t="n">
        <v>16.96098972363564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11727</v>
      </c>
      <c r="AG6108" t="n">
        <v>63</v>
      </c>
      <c r="AH6108" t="inlineStr">
        <is>
          <t>PT. PARAMA GLOBAL INSPIRA - PPN (PDG)</t>
        </is>
      </c>
      <c r="AI6108" t="n">
        <v>164</v>
      </c>
      <c r="AJ6108" t="inlineStr">
        <is>
          <t>WARDAH</t>
        </is>
      </c>
      <c r="AK6108" t="n">
        <v>21</v>
      </c>
      <c r="AL6108" t="inlineStr">
        <is>
          <t>Miss Glam Damar</t>
        </is>
      </c>
      <c r="AM6108" t="n">
        <v>1</v>
      </c>
      <c r="AN6108" t="n">
        <v>500000</v>
      </c>
      <c r="AO6108" t="n">
        <v>0</v>
      </c>
      <c r="AP6108" t="inlineStr"/>
      <c r="AQ6108" t="inlineStr"/>
    </row>
    <row r="6109">
      <c r="A6109" t="inlineStr">
        <is>
          <t>WARDAH</t>
        </is>
      </c>
      <c r="B6109" s="2">
        <f>"8993137575201"</f>
        <v/>
      </c>
      <c r="C6109" t="inlineStr">
        <is>
          <t>WARDAH Everyday Luminous Liquid Fondation 02 Light Beige 35ml</t>
        </is>
      </c>
      <c r="D6109" t="inlineStr">
        <is>
          <t>Miss Glam Damar</t>
        </is>
      </c>
      <c r="E6109" t="n">
        <v>12</v>
      </c>
      <c r="F6109" t="n">
        <v>0.91</v>
      </c>
      <c r="G6109" t="n">
        <v>4.55</v>
      </c>
      <c r="H6109" t="n">
        <v>2</v>
      </c>
      <c r="I6109" t="n">
        <v>6</v>
      </c>
      <c r="J6109" t="n">
        <v>3</v>
      </c>
      <c r="K6109" t="n">
        <v>0</v>
      </c>
      <c r="L6109" t="n">
        <v>34100</v>
      </c>
      <c r="M6109" t="n">
        <v>42000</v>
      </c>
      <c r="N6109" t="n">
        <v>91</v>
      </c>
      <c r="O6109" t="n">
        <v>0.91</v>
      </c>
      <c r="P6109" t="n">
        <v>1</v>
      </c>
      <c r="Q6109" t="n">
        <v>0.53</v>
      </c>
      <c r="R6109" t="n">
        <v>2</v>
      </c>
      <c r="S6109" t="n">
        <v>38220</v>
      </c>
      <c r="T6109" t="n">
        <v>26</v>
      </c>
      <c r="U6109" t="n">
        <v>28</v>
      </c>
      <c r="V6109" t="n">
        <v>30</v>
      </c>
      <c r="W6109" t="n">
        <v>28</v>
      </c>
      <c r="X6109" t="n">
        <v>13.18681318681319</v>
      </c>
      <c r="Y6109" t="n">
        <v>1</v>
      </c>
      <c r="Z6109" t="n">
        <v>16</v>
      </c>
      <c r="AA6109" t="n">
        <v>0</v>
      </c>
      <c r="AB6109" t="n">
        <v>16</v>
      </c>
      <c r="AC6109" t="n">
        <v>16</v>
      </c>
      <c r="AD6109" t="n">
        <v>0</v>
      </c>
      <c r="AE6109" t="n">
        <v>545600</v>
      </c>
      <c r="AF6109" t="n">
        <v>11727</v>
      </c>
      <c r="AG6109" t="n">
        <v>63</v>
      </c>
      <c r="AH6109" t="inlineStr">
        <is>
          <t>PT. PARAMA GLOBAL INSPIRA - PPN (PDG)</t>
        </is>
      </c>
      <c r="AI6109" t="n">
        <v>164</v>
      </c>
      <c r="AJ6109" t="inlineStr">
        <is>
          <t>WARDAH</t>
        </is>
      </c>
      <c r="AK6109" t="n">
        <v>21</v>
      </c>
      <c r="AL6109" t="inlineStr">
        <is>
          <t>Miss Glam Damar</t>
        </is>
      </c>
      <c r="AM6109" t="n">
        <v>1</v>
      </c>
      <c r="AN6109" t="n">
        <v>500000</v>
      </c>
      <c r="AO6109" t="n">
        <v>0</v>
      </c>
      <c r="AP6109" t="inlineStr"/>
      <c r="AQ6109" t="inlineStr"/>
    </row>
    <row r="6110">
      <c r="A6110" t="inlineStr">
        <is>
          <t>WARDAH</t>
        </is>
      </c>
      <c r="B6110" s="2">
        <f>"8993137704762"</f>
        <v/>
      </c>
      <c r="C6110" t="inlineStr">
        <is>
          <t>WARDAH Exclusive Blush On 01 Rosy Pink 6.5g</t>
        </is>
      </c>
      <c r="D6110" t="inlineStr">
        <is>
          <t>Miss Glam Damar</t>
        </is>
      </c>
      <c r="E6110" t="n">
        <v>5</v>
      </c>
      <c r="F6110" t="n">
        <v>0.2184</v>
      </c>
      <c r="G6110" t="n">
        <v>1.82</v>
      </c>
      <c r="H6110" t="n">
        <v>2</v>
      </c>
      <c r="I6110" t="n">
        <v>6</v>
      </c>
      <c r="J6110" t="n">
        <v>3</v>
      </c>
      <c r="K6110" t="n">
        <v>0</v>
      </c>
      <c r="L6110" t="n">
        <v>50575</v>
      </c>
      <c r="M6110" t="n">
        <v>60500</v>
      </c>
      <c r="N6110" t="n">
        <v>91</v>
      </c>
      <c r="O6110" t="n">
        <v>0.91</v>
      </c>
      <c r="P6110" t="n">
        <v>1</v>
      </c>
      <c r="Q6110" t="n">
        <v>0.19</v>
      </c>
      <c r="R6110" t="n">
        <v>3</v>
      </c>
      <c r="S6110" t="n">
        <v>13213.2</v>
      </c>
      <c r="T6110" t="n">
        <v>11</v>
      </c>
      <c r="U6110" t="n">
        <v>12</v>
      </c>
      <c r="V6110" t="n">
        <v>30</v>
      </c>
      <c r="W6110" t="n">
        <v>7</v>
      </c>
      <c r="X6110" t="n">
        <v>22.89377289377289</v>
      </c>
      <c r="Y6110" t="n">
        <v>1</v>
      </c>
      <c r="Z6110" t="n">
        <v>2</v>
      </c>
      <c r="AA6110" t="n">
        <v>0</v>
      </c>
      <c r="AB6110" t="n">
        <v>2</v>
      </c>
      <c r="AC6110" t="n">
        <v>3</v>
      </c>
      <c r="AD6110" t="n">
        <v>0</v>
      </c>
      <c r="AE6110" t="n">
        <v>151725</v>
      </c>
      <c r="AF6110" t="n">
        <v>11727</v>
      </c>
      <c r="AG6110" t="n">
        <v>63</v>
      </c>
      <c r="AH6110" t="inlineStr">
        <is>
          <t>PT. PARAMA GLOBAL INSPIRA - PPN (PDG)</t>
        </is>
      </c>
      <c r="AI6110" t="n">
        <v>164</v>
      </c>
      <c r="AJ6110" t="inlineStr">
        <is>
          <t>WARDAH</t>
        </is>
      </c>
      <c r="AK6110" t="n">
        <v>21</v>
      </c>
      <c r="AL6110" t="inlineStr">
        <is>
          <t>Miss Glam Damar</t>
        </is>
      </c>
      <c r="AM6110" t="n">
        <v>1</v>
      </c>
      <c r="AN6110" t="n">
        <v>500000</v>
      </c>
      <c r="AO6110" t="n">
        <v>0</v>
      </c>
      <c r="AP6110" t="inlineStr"/>
      <c r="AQ6110" t="inlineStr"/>
    </row>
    <row r="6111">
      <c r="A6111" t="inlineStr">
        <is>
          <t>WARDAH</t>
        </is>
      </c>
      <c r="B6111" s="2">
        <f>"8993137704779"</f>
        <v/>
      </c>
      <c r="C6111" t="inlineStr">
        <is>
          <t>WARDAH Exclusive Blush On Coral Peach 02 6.5g</t>
        </is>
      </c>
      <c r="D6111" t="inlineStr">
        <is>
          <t>Miss Glam Damar</t>
        </is>
      </c>
      <c r="E6111" t="n">
        <v>5</v>
      </c>
      <c r="F6111" t="n">
        <v>0.0728</v>
      </c>
      <c r="G6111" t="n">
        <v>1.82</v>
      </c>
      <c r="H6111" t="n">
        <v>2</v>
      </c>
      <c r="I6111" t="n">
        <v>6</v>
      </c>
      <c r="J6111" t="n">
        <v>3</v>
      </c>
      <c r="K6111" t="n">
        <v>0</v>
      </c>
      <c r="L6111" t="n">
        <v>50575</v>
      </c>
      <c r="M6111" t="n">
        <v>61500</v>
      </c>
      <c r="N6111" t="n">
        <v>91</v>
      </c>
      <c r="O6111" t="n">
        <v>0.91</v>
      </c>
      <c r="P6111" t="n">
        <v>1</v>
      </c>
      <c r="Q6111" t="n">
        <v>0.25</v>
      </c>
      <c r="R6111" t="n">
        <v>3</v>
      </c>
      <c r="S6111" t="n">
        <v>4477.2</v>
      </c>
      <c r="T6111" t="n">
        <v>11</v>
      </c>
      <c r="U6111" t="n">
        <v>12</v>
      </c>
      <c r="V6111" t="n">
        <v>30</v>
      </c>
      <c r="W6111" t="n">
        <v>3</v>
      </c>
      <c r="X6111" t="n">
        <v>68.68131868131867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11727</v>
      </c>
      <c r="AG6111" t="n">
        <v>63</v>
      </c>
      <c r="AH6111" t="inlineStr">
        <is>
          <t>PT. PARAMA GLOBAL INSPIRA - PPN (PDG)</t>
        </is>
      </c>
      <c r="AI6111" t="n">
        <v>164</v>
      </c>
      <c r="AJ6111" t="inlineStr">
        <is>
          <t>WARDAH</t>
        </is>
      </c>
      <c r="AK6111" t="n">
        <v>21</v>
      </c>
      <c r="AL6111" t="inlineStr">
        <is>
          <t>Miss Glam Damar</t>
        </is>
      </c>
      <c r="AM6111" t="n">
        <v>1</v>
      </c>
      <c r="AN6111" t="n">
        <v>500000</v>
      </c>
      <c r="AO6111" t="n">
        <v>0</v>
      </c>
      <c r="AP6111" t="inlineStr"/>
      <c r="AQ6111" t="inlineStr"/>
    </row>
    <row r="6112">
      <c r="A6112" t="inlineStr">
        <is>
          <t>WARDAH</t>
        </is>
      </c>
      <c r="B6112" s="2">
        <f>"8993137705868"</f>
        <v/>
      </c>
      <c r="C6112" t="inlineStr">
        <is>
          <t>WARDAH Exclusive Cushion 01 15 gr</t>
        </is>
      </c>
      <c r="D6112" t="inlineStr">
        <is>
          <t>Miss Glam Damar</t>
        </is>
      </c>
      <c r="E6112" t="n">
        <v>3</v>
      </c>
      <c r="F6112" t="n">
        <v>0.0182</v>
      </c>
      <c r="G6112" t="n">
        <v>0.91</v>
      </c>
      <c r="H6112" t="n">
        <v>2</v>
      </c>
      <c r="I6112" t="n">
        <v>6</v>
      </c>
      <c r="J6112" t="n">
        <v>3</v>
      </c>
      <c r="K6112" t="n">
        <v>0</v>
      </c>
      <c r="L6112" t="n">
        <v>110163</v>
      </c>
      <c r="M6112" t="n">
        <v>136000</v>
      </c>
      <c r="N6112" t="n">
        <v>91</v>
      </c>
      <c r="O6112" t="n">
        <v>0.91</v>
      </c>
      <c r="P6112" t="n">
        <v>1</v>
      </c>
      <c r="Q6112" t="n">
        <v>0.02</v>
      </c>
      <c r="R6112" t="n">
        <v>1</v>
      </c>
      <c r="S6112" t="n">
        <v>2475.2</v>
      </c>
      <c r="T6112" t="n">
        <v>6</v>
      </c>
      <c r="U6112" t="n">
        <v>7</v>
      </c>
      <c r="V6112" t="n">
        <v>30</v>
      </c>
      <c r="W6112" t="n">
        <v>1</v>
      </c>
      <c r="X6112" t="n">
        <v>164.8351648351648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11727</v>
      </c>
      <c r="AG6112" t="n">
        <v>63</v>
      </c>
      <c r="AH6112" t="inlineStr">
        <is>
          <t>PT. PARAMA GLOBAL INSPIRA - PPN (PDG)</t>
        </is>
      </c>
      <c r="AI6112" t="n">
        <v>164</v>
      </c>
      <c r="AJ6112" t="inlineStr">
        <is>
          <t>WARDAH</t>
        </is>
      </c>
      <c r="AK6112" t="n">
        <v>21</v>
      </c>
      <c r="AL6112" t="inlineStr">
        <is>
          <t>Miss Glam Damar</t>
        </is>
      </c>
      <c r="AM6112" t="n">
        <v>1</v>
      </c>
      <c r="AN6112" t="n">
        <v>500000</v>
      </c>
      <c r="AO6112" t="n">
        <v>0</v>
      </c>
      <c r="AP6112" t="inlineStr"/>
      <c r="AQ6112" t="inlineStr"/>
    </row>
    <row r="6113">
      <c r="A6113" t="inlineStr">
        <is>
          <t>WARDAH</t>
        </is>
      </c>
      <c r="B6113" s="2">
        <f>"8993137705875"</f>
        <v/>
      </c>
      <c r="C6113" t="inlineStr">
        <is>
          <t>WARDAH Exclusive Cushion 02 15 gr</t>
        </is>
      </c>
      <c r="D6113" t="inlineStr">
        <is>
          <t>Miss Glam Damar</t>
        </is>
      </c>
      <c r="E6113" t="n">
        <v>4</v>
      </c>
      <c r="F6113" t="n">
        <v>0.0728</v>
      </c>
      <c r="G6113" t="n">
        <v>0.91</v>
      </c>
      <c r="H6113" t="n">
        <v>2</v>
      </c>
      <c r="I6113" t="n">
        <v>6</v>
      </c>
      <c r="J6113" t="n">
        <v>3</v>
      </c>
      <c r="K6113" t="n">
        <v>0</v>
      </c>
      <c r="L6113" t="n">
        <v>111114</v>
      </c>
      <c r="M6113" t="n">
        <v>136000</v>
      </c>
      <c r="N6113" t="n">
        <v>91</v>
      </c>
      <c r="O6113" t="n">
        <v>0.91</v>
      </c>
      <c r="P6113" t="n">
        <v>1</v>
      </c>
      <c r="Q6113" t="n">
        <v>0.02</v>
      </c>
      <c r="R6113" t="n">
        <v>1</v>
      </c>
      <c r="S6113" t="n">
        <v>9900.800000000001</v>
      </c>
      <c r="T6113" t="n">
        <v>6</v>
      </c>
      <c r="U6113" t="n">
        <v>7</v>
      </c>
      <c r="V6113" t="n">
        <v>30</v>
      </c>
      <c r="W6113" t="n">
        <v>3</v>
      </c>
      <c r="X6113" t="n">
        <v>54.94505494505494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11727</v>
      </c>
      <c r="AG6113" t="n">
        <v>63</v>
      </c>
      <c r="AH6113" t="inlineStr">
        <is>
          <t>PT. PARAMA GLOBAL INSPIRA - PPN (PDG)</t>
        </is>
      </c>
      <c r="AI6113" t="n">
        <v>164</v>
      </c>
      <c r="AJ6113" t="inlineStr">
        <is>
          <t>WARDAH</t>
        </is>
      </c>
      <c r="AK6113" t="n">
        <v>21</v>
      </c>
      <c r="AL6113" t="inlineStr">
        <is>
          <t>Miss Glam Damar</t>
        </is>
      </c>
      <c r="AM6113" t="n">
        <v>1</v>
      </c>
      <c r="AN6113" t="n">
        <v>500000</v>
      </c>
      <c r="AO6113" t="n">
        <v>0</v>
      </c>
      <c r="AP6113" t="inlineStr"/>
      <c r="AQ6113" t="inlineStr"/>
    </row>
    <row r="6114">
      <c r="A6114" t="inlineStr">
        <is>
          <t>WARDAH</t>
        </is>
      </c>
      <c r="B6114" s="2">
        <f>"8993137705882"</f>
        <v/>
      </c>
      <c r="C6114" t="inlineStr">
        <is>
          <t>WARDAH Exclusive Cushion 03 15 gr</t>
        </is>
      </c>
      <c r="D6114" t="inlineStr">
        <is>
          <t>Miss Glam Damar</t>
        </is>
      </c>
      <c r="E6114" t="n">
        <v>1</v>
      </c>
      <c r="F6114" t="n">
        <v>0.06370000000000001</v>
      </c>
      <c r="G6114" t="n">
        <v>0.91</v>
      </c>
      <c r="H6114" t="n">
        <v>2</v>
      </c>
      <c r="I6114" t="n">
        <v>6</v>
      </c>
      <c r="J6114" t="n">
        <v>3</v>
      </c>
      <c r="K6114" t="n">
        <v>0</v>
      </c>
      <c r="L6114" t="n">
        <v>111114</v>
      </c>
      <c r="M6114" t="n">
        <v>136000</v>
      </c>
      <c r="N6114" t="n">
        <v>91</v>
      </c>
      <c r="O6114" t="n">
        <v>0.91</v>
      </c>
      <c r="P6114" t="n">
        <v>1</v>
      </c>
      <c r="Q6114" t="n">
        <v>0.03</v>
      </c>
      <c r="R6114" t="n">
        <v>1</v>
      </c>
      <c r="S6114" t="n">
        <v>8663.200000000001</v>
      </c>
      <c r="T6114" t="n">
        <v>6</v>
      </c>
      <c r="U6114" t="n">
        <v>7</v>
      </c>
      <c r="V6114" t="n">
        <v>30</v>
      </c>
      <c r="W6114" t="n">
        <v>2</v>
      </c>
      <c r="X6114" t="n">
        <v>15.69858712715855</v>
      </c>
      <c r="Y6114" t="n">
        <v>1</v>
      </c>
      <c r="Z6114" t="n">
        <v>1</v>
      </c>
      <c r="AA6114" t="n">
        <v>0</v>
      </c>
      <c r="AB6114" t="n">
        <v>1</v>
      </c>
      <c r="AC6114" t="n">
        <v>3</v>
      </c>
      <c r="AD6114" t="n">
        <v>0</v>
      </c>
      <c r="AE6114" t="n">
        <v>333342</v>
      </c>
      <c r="AF6114" t="n">
        <v>11727</v>
      </c>
      <c r="AG6114" t="n">
        <v>63</v>
      </c>
      <c r="AH6114" t="inlineStr">
        <is>
          <t>PT. PARAMA GLOBAL INSPIRA - PPN (PDG)</t>
        </is>
      </c>
      <c r="AI6114" t="n">
        <v>164</v>
      </c>
      <c r="AJ6114" t="inlineStr">
        <is>
          <t>WARDAH</t>
        </is>
      </c>
      <c r="AK6114" t="n">
        <v>21</v>
      </c>
      <c r="AL6114" t="inlineStr">
        <is>
          <t>Miss Glam Damar</t>
        </is>
      </c>
      <c r="AM6114" t="n">
        <v>1</v>
      </c>
      <c r="AN6114" t="n">
        <v>500000</v>
      </c>
      <c r="AO6114" t="n">
        <v>0</v>
      </c>
      <c r="AP6114" t="inlineStr"/>
      <c r="AQ6114" t="inlineStr"/>
    </row>
    <row r="6115">
      <c r="A6115" t="inlineStr">
        <is>
          <t>WARDAH</t>
        </is>
      </c>
      <c r="B6115" s="2">
        <f>"8993137705899"</f>
        <v/>
      </c>
      <c r="C6115" t="inlineStr">
        <is>
          <t>WARDAH Exclusive Cushion 04 15 gr</t>
        </is>
      </c>
      <c r="D6115" t="inlineStr">
        <is>
          <t>Miss Glam Damar</t>
        </is>
      </c>
      <c r="E6115" t="n">
        <v>3</v>
      </c>
      <c r="F6115" t="n">
        <v>0.0273</v>
      </c>
      <c r="G6115" t="n">
        <v>0.91</v>
      </c>
      <c r="H6115" t="n">
        <v>2</v>
      </c>
      <c r="I6115" t="n">
        <v>6</v>
      </c>
      <c r="J6115" t="n">
        <v>3</v>
      </c>
      <c r="K6115" t="n">
        <v>0</v>
      </c>
      <c r="L6115" t="n">
        <v>111113</v>
      </c>
      <c r="M6115" t="n">
        <v>136000</v>
      </c>
      <c r="N6115" t="n">
        <v>91</v>
      </c>
      <c r="O6115" t="n">
        <v>0.91</v>
      </c>
      <c r="P6115" t="n">
        <v>1</v>
      </c>
      <c r="Q6115" t="n">
        <v>0.03</v>
      </c>
      <c r="R6115" t="n">
        <v>1</v>
      </c>
      <c r="S6115" t="n">
        <v>3712.8</v>
      </c>
      <c r="T6115" t="n">
        <v>6</v>
      </c>
      <c r="U6115" t="n">
        <v>7</v>
      </c>
      <c r="V6115" t="n">
        <v>30</v>
      </c>
      <c r="W6115" t="n">
        <v>1</v>
      </c>
      <c r="X6115" t="n">
        <v>109.8901098901099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11727</v>
      </c>
      <c r="AG6115" t="n">
        <v>63</v>
      </c>
      <c r="AH6115" t="inlineStr">
        <is>
          <t>PT. PARAMA GLOBAL INSPIRA - PPN (PDG)</t>
        </is>
      </c>
      <c r="AI6115" t="n">
        <v>164</v>
      </c>
      <c r="AJ6115" t="inlineStr">
        <is>
          <t>WARDAH</t>
        </is>
      </c>
      <c r="AK6115" t="n">
        <v>21</v>
      </c>
      <c r="AL6115" t="inlineStr">
        <is>
          <t>Miss Glam Damar</t>
        </is>
      </c>
      <c r="AM6115" t="n">
        <v>1</v>
      </c>
      <c r="AN6115" t="n">
        <v>500000</v>
      </c>
      <c r="AO6115" t="n">
        <v>0</v>
      </c>
      <c r="AP6115" t="inlineStr"/>
      <c r="AQ6115" t="inlineStr"/>
    </row>
    <row r="6116">
      <c r="A6116" t="inlineStr">
        <is>
          <t>WARDAH</t>
        </is>
      </c>
      <c r="B6116" s="2">
        <f>"8993137693769"</f>
        <v/>
      </c>
      <c r="C6116" t="inlineStr">
        <is>
          <t>WARDAH Exclusive Lip Matte Cream 01 Red-dicted 4 gr</t>
        </is>
      </c>
      <c r="D6116" t="inlineStr">
        <is>
          <t>Miss Glam Damar</t>
        </is>
      </c>
      <c r="E6116" t="n">
        <v>13</v>
      </c>
      <c r="F6116" t="n">
        <v>0.4277</v>
      </c>
      <c r="G6116" t="n">
        <v>2.73</v>
      </c>
      <c r="H6116" t="n">
        <v>2</v>
      </c>
      <c r="I6116" t="n">
        <v>6</v>
      </c>
      <c r="J6116" t="n">
        <v>3</v>
      </c>
      <c r="K6116" t="n">
        <v>0</v>
      </c>
      <c r="L6116" t="n">
        <v>50956</v>
      </c>
      <c r="M6116" t="n">
        <v>62500</v>
      </c>
      <c r="N6116" t="n">
        <v>91</v>
      </c>
      <c r="O6116" t="n">
        <v>0.91</v>
      </c>
      <c r="P6116" t="n">
        <v>1</v>
      </c>
      <c r="Q6116" t="n">
        <v>0.44</v>
      </c>
      <c r="R6116" t="n">
        <v>2</v>
      </c>
      <c r="S6116" t="n">
        <v>26731.25</v>
      </c>
      <c r="T6116" t="n">
        <v>16</v>
      </c>
      <c r="U6116" t="n">
        <v>17</v>
      </c>
      <c r="V6116" t="n">
        <v>30</v>
      </c>
      <c r="W6116" t="n">
        <v>13</v>
      </c>
      <c r="X6116" t="n">
        <v>30.3951367781155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11727</v>
      </c>
      <c r="AG6116" t="n">
        <v>63</v>
      </c>
      <c r="AH6116" t="inlineStr">
        <is>
          <t>PT. PARAMA GLOBAL INSPIRA - PPN (PDG)</t>
        </is>
      </c>
      <c r="AI6116" t="n">
        <v>164</v>
      </c>
      <c r="AJ6116" t="inlineStr">
        <is>
          <t>WARDAH</t>
        </is>
      </c>
      <c r="AK6116" t="n">
        <v>21</v>
      </c>
      <c r="AL6116" t="inlineStr">
        <is>
          <t>Miss Glam Damar</t>
        </is>
      </c>
      <c r="AM6116" t="n">
        <v>1</v>
      </c>
      <c r="AN6116" t="n">
        <v>500000</v>
      </c>
      <c r="AO6116" t="n">
        <v>0</v>
      </c>
      <c r="AP6116" t="inlineStr"/>
      <c r="AQ6116" t="inlineStr"/>
    </row>
    <row r="6117">
      <c r="A6117" t="inlineStr">
        <is>
          <t>WARDAH</t>
        </is>
      </c>
      <c r="B6117" s="2">
        <f>"8993137678858"</f>
        <v/>
      </c>
      <c r="C6117" t="inlineStr">
        <is>
          <t>WARDAH Exclusive Liquid Foundation 01 Light Beige 20ml</t>
        </is>
      </c>
      <c r="D6117" t="inlineStr">
        <is>
          <t>Miss Glam Damar</t>
        </is>
      </c>
      <c r="E6117" t="n">
        <v>4</v>
      </c>
      <c r="F6117" t="n">
        <v>0.2457</v>
      </c>
      <c r="G6117" t="n">
        <v>1.82</v>
      </c>
      <c r="H6117" t="n">
        <v>2</v>
      </c>
      <c r="I6117" t="n">
        <v>6</v>
      </c>
      <c r="J6117" t="n">
        <v>3</v>
      </c>
      <c r="K6117" t="n">
        <v>0</v>
      </c>
      <c r="L6117" t="n">
        <v>67811</v>
      </c>
      <c r="M6117" t="n">
        <v>83000</v>
      </c>
      <c r="N6117" t="n">
        <v>91</v>
      </c>
      <c r="O6117" t="n">
        <v>0.91</v>
      </c>
      <c r="P6117" t="n">
        <v>1</v>
      </c>
      <c r="Q6117" t="n">
        <v>0.14</v>
      </c>
      <c r="R6117" t="n">
        <v>1</v>
      </c>
      <c r="S6117" t="n">
        <v>20393.1</v>
      </c>
      <c r="T6117" t="n">
        <v>11</v>
      </c>
      <c r="U6117" t="n">
        <v>12</v>
      </c>
      <c r="V6117" t="n">
        <v>30</v>
      </c>
      <c r="W6117" t="n">
        <v>8</v>
      </c>
      <c r="X6117" t="n">
        <v>16.28001628001628</v>
      </c>
      <c r="Y6117" t="n">
        <v>1</v>
      </c>
      <c r="Z6117" t="n">
        <v>4</v>
      </c>
      <c r="AA6117" t="n">
        <v>0</v>
      </c>
      <c r="AB6117" t="n">
        <v>4</v>
      </c>
      <c r="AC6117" t="n">
        <v>4</v>
      </c>
      <c r="AD6117" t="n">
        <v>0</v>
      </c>
      <c r="AE6117" t="n">
        <v>271244</v>
      </c>
      <c r="AF6117" t="n">
        <v>11727</v>
      </c>
      <c r="AG6117" t="n">
        <v>63</v>
      </c>
      <c r="AH6117" t="inlineStr">
        <is>
          <t>PT. PARAMA GLOBAL INSPIRA - PPN (PDG)</t>
        </is>
      </c>
      <c r="AI6117" t="n">
        <v>164</v>
      </c>
      <c r="AJ6117" t="inlineStr">
        <is>
          <t>WARDAH</t>
        </is>
      </c>
      <c r="AK6117" t="n">
        <v>21</v>
      </c>
      <c r="AL6117" t="inlineStr">
        <is>
          <t>Miss Glam Damar</t>
        </is>
      </c>
      <c r="AM6117" t="n">
        <v>1</v>
      </c>
      <c r="AN6117" t="n">
        <v>500000</v>
      </c>
      <c r="AO6117" t="n">
        <v>0</v>
      </c>
      <c r="AP6117" t="inlineStr"/>
      <c r="AQ6117" t="inlineStr"/>
    </row>
    <row r="6118">
      <c r="A6118" t="inlineStr">
        <is>
          <t>WARDAH</t>
        </is>
      </c>
      <c r="B6118" s="2">
        <f>"8993137678865"</f>
        <v/>
      </c>
      <c r="C6118" t="inlineStr">
        <is>
          <t>WARDAH Exclusive Liquid Foundation 02 Sheer Pink 20ml</t>
        </is>
      </c>
      <c r="D6118" t="inlineStr">
        <is>
          <t>Miss Glam Damar</t>
        </is>
      </c>
      <c r="E6118" t="n">
        <v>3</v>
      </c>
      <c r="F6118" t="n">
        <v>0.1547</v>
      </c>
      <c r="G6118" t="n">
        <v>1.82</v>
      </c>
      <c r="H6118" t="n">
        <v>2</v>
      </c>
      <c r="I6118" t="n">
        <v>6</v>
      </c>
      <c r="J6118" t="n">
        <v>3</v>
      </c>
      <c r="K6118" t="n">
        <v>0</v>
      </c>
      <c r="L6118" t="n">
        <v>67721</v>
      </c>
      <c r="M6118" t="n">
        <v>83000</v>
      </c>
      <c r="N6118" t="n">
        <v>91</v>
      </c>
      <c r="O6118" t="n">
        <v>0.91</v>
      </c>
      <c r="P6118" t="n">
        <v>1</v>
      </c>
      <c r="Q6118" t="n">
        <v>0.12</v>
      </c>
      <c r="R6118" t="n">
        <v>1</v>
      </c>
      <c r="S6118" t="n">
        <v>12840.1</v>
      </c>
      <c r="T6118" t="n">
        <v>11</v>
      </c>
      <c r="U6118" t="n">
        <v>12</v>
      </c>
      <c r="V6118" t="n">
        <v>30</v>
      </c>
      <c r="W6118" t="n">
        <v>5</v>
      </c>
      <c r="X6118" t="n">
        <v>19.3923723335488</v>
      </c>
      <c r="Y6118" t="n">
        <v>1</v>
      </c>
      <c r="Z6118" t="n">
        <v>2</v>
      </c>
      <c r="AA6118" t="n">
        <v>0</v>
      </c>
      <c r="AB6118" t="n">
        <v>2</v>
      </c>
      <c r="AC6118" t="n">
        <v>3</v>
      </c>
      <c r="AD6118" t="n">
        <v>0</v>
      </c>
      <c r="AE6118" t="n">
        <v>203163</v>
      </c>
      <c r="AF6118" t="n">
        <v>11727</v>
      </c>
      <c r="AG6118" t="n">
        <v>63</v>
      </c>
      <c r="AH6118" t="inlineStr">
        <is>
          <t>PT. PARAMA GLOBAL INSPIRA - PPN (PDG)</t>
        </is>
      </c>
      <c r="AI6118" t="n">
        <v>164</v>
      </c>
      <c r="AJ6118" t="inlineStr">
        <is>
          <t>WARDAH</t>
        </is>
      </c>
      <c r="AK6118" t="n">
        <v>21</v>
      </c>
      <c r="AL6118" t="inlineStr">
        <is>
          <t>Miss Glam Damar</t>
        </is>
      </c>
      <c r="AM6118" t="n">
        <v>1</v>
      </c>
      <c r="AN6118" t="n">
        <v>500000</v>
      </c>
      <c r="AO6118" t="n">
        <v>0</v>
      </c>
      <c r="AP6118" t="inlineStr"/>
      <c r="AQ6118" t="inlineStr"/>
    </row>
    <row r="6119">
      <c r="A6119" t="inlineStr">
        <is>
          <t>WARDAH</t>
        </is>
      </c>
      <c r="B6119" s="2">
        <f>"8993137678872"</f>
        <v/>
      </c>
      <c r="C6119" t="inlineStr">
        <is>
          <t>WARDAH Exclusive Liquid Foundation 03 Sandy Beige 20ml</t>
        </is>
      </c>
      <c r="D6119" t="inlineStr">
        <is>
          <t>Miss Glam Damar</t>
        </is>
      </c>
      <c r="E6119" t="n">
        <v>8</v>
      </c>
      <c r="F6119" t="n">
        <v>0.182</v>
      </c>
      <c r="G6119" t="n">
        <v>0.91</v>
      </c>
      <c r="H6119" t="n">
        <v>2</v>
      </c>
      <c r="I6119" t="n">
        <v>6</v>
      </c>
      <c r="J6119" t="n">
        <v>3</v>
      </c>
      <c r="K6119" t="n">
        <v>0</v>
      </c>
      <c r="L6119" t="n">
        <v>67817</v>
      </c>
      <c r="M6119" t="n">
        <v>83000</v>
      </c>
      <c r="N6119" t="n">
        <v>91</v>
      </c>
      <c r="O6119" t="n">
        <v>0.91</v>
      </c>
      <c r="P6119" t="n">
        <v>1</v>
      </c>
      <c r="Q6119" t="n">
        <v>0.12</v>
      </c>
      <c r="R6119" t="n">
        <v>2</v>
      </c>
      <c r="S6119" t="n">
        <v>15106</v>
      </c>
      <c r="T6119" t="n">
        <v>6</v>
      </c>
      <c r="U6119" t="n">
        <v>7</v>
      </c>
      <c r="V6119" t="n">
        <v>30</v>
      </c>
      <c r="W6119" t="n">
        <v>6</v>
      </c>
      <c r="X6119" t="n">
        <v>43.95604395604395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11727</v>
      </c>
      <c r="AG6119" t="n">
        <v>63</v>
      </c>
      <c r="AH6119" t="inlineStr">
        <is>
          <t>PT. PARAMA GLOBAL INSPIRA - PPN (PDG)</t>
        </is>
      </c>
      <c r="AI6119" t="n">
        <v>164</v>
      </c>
      <c r="AJ6119" t="inlineStr">
        <is>
          <t>WARDAH</t>
        </is>
      </c>
      <c r="AK6119" t="n">
        <v>21</v>
      </c>
      <c r="AL6119" t="inlineStr">
        <is>
          <t>Miss Glam Damar</t>
        </is>
      </c>
      <c r="AM6119" t="n">
        <v>1</v>
      </c>
      <c r="AN6119" t="n">
        <v>500000</v>
      </c>
      <c r="AO6119" t="n">
        <v>0</v>
      </c>
      <c r="AP6119" t="inlineStr"/>
      <c r="AQ6119" t="inlineStr"/>
    </row>
    <row r="6120">
      <c r="A6120" t="inlineStr">
        <is>
          <t>WARDAH</t>
        </is>
      </c>
      <c r="B6120" s="2">
        <f>"8993137693783"</f>
        <v/>
      </c>
      <c r="C6120" t="inlineStr">
        <is>
          <t>WARDAH Exclusive Matte Lip Cream 03 See You Latte 4gr</t>
        </is>
      </c>
      <c r="D6120" t="inlineStr">
        <is>
          <t>Miss Glam Damar</t>
        </is>
      </c>
      <c r="E6120" t="n">
        <v>13</v>
      </c>
      <c r="F6120" t="n">
        <v>0.2639</v>
      </c>
      <c r="G6120" t="n">
        <v>2.73</v>
      </c>
      <c r="H6120" t="n">
        <v>2</v>
      </c>
      <c r="I6120" t="n">
        <v>6</v>
      </c>
      <c r="J6120" t="n">
        <v>3</v>
      </c>
      <c r="K6120" t="n">
        <v>0</v>
      </c>
      <c r="L6120" t="n">
        <v>50959</v>
      </c>
      <c r="M6120" t="n">
        <v>62500</v>
      </c>
      <c r="N6120" t="n">
        <v>91</v>
      </c>
      <c r="O6120" t="n">
        <v>0.91</v>
      </c>
      <c r="P6120" t="n">
        <v>1</v>
      </c>
      <c r="Q6120" t="n">
        <v>0.44</v>
      </c>
      <c r="R6120" t="n">
        <v>3</v>
      </c>
      <c r="S6120" t="n">
        <v>16493.75</v>
      </c>
      <c r="T6120" t="n">
        <v>16</v>
      </c>
      <c r="U6120" t="n">
        <v>17</v>
      </c>
      <c r="V6120" t="n">
        <v>30</v>
      </c>
      <c r="W6120" t="n">
        <v>8</v>
      </c>
      <c r="X6120" t="n">
        <v>49.26108374384237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11727</v>
      </c>
      <c r="AG6120" t="n">
        <v>63</v>
      </c>
      <c r="AH6120" t="inlineStr">
        <is>
          <t>PT. PARAMA GLOBAL INSPIRA - PPN (PDG)</t>
        </is>
      </c>
      <c r="AI6120" t="n">
        <v>164</v>
      </c>
      <c r="AJ6120" t="inlineStr">
        <is>
          <t>WARDAH</t>
        </is>
      </c>
      <c r="AK6120" t="n">
        <v>21</v>
      </c>
      <c r="AL6120" t="inlineStr">
        <is>
          <t>Miss Glam Damar</t>
        </is>
      </c>
      <c r="AM6120" t="n">
        <v>1</v>
      </c>
      <c r="AN6120" t="n">
        <v>500000</v>
      </c>
      <c r="AO6120" t="n">
        <v>0</v>
      </c>
      <c r="AP6120" t="inlineStr"/>
      <c r="AQ6120" t="inlineStr"/>
    </row>
    <row r="6121">
      <c r="A6121" t="inlineStr">
        <is>
          <t>WARDAH</t>
        </is>
      </c>
      <c r="B6121" s="2">
        <f>"8993137693806"</f>
        <v/>
      </c>
      <c r="C6121" t="inlineStr">
        <is>
          <t>WARDAH Exclusive Matte lip Cream 05 Speachless 4gr</t>
        </is>
      </c>
      <c r="D6121" t="inlineStr">
        <is>
          <t>Miss Glam Damar</t>
        </is>
      </c>
      <c r="E6121" t="n">
        <v>4</v>
      </c>
      <c r="F6121" t="n">
        <v>0.1274</v>
      </c>
      <c r="G6121" t="n">
        <v>1.82</v>
      </c>
      <c r="H6121" t="n">
        <v>2</v>
      </c>
      <c r="I6121" t="n">
        <v>6</v>
      </c>
      <c r="J6121" t="n">
        <v>3</v>
      </c>
      <c r="K6121" t="n">
        <v>0</v>
      </c>
      <c r="L6121" t="n">
        <v>50956</v>
      </c>
      <c r="M6121" t="n">
        <v>62500</v>
      </c>
      <c r="N6121" t="n">
        <v>91</v>
      </c>
      <c r="O6121" t="n">
        <v>0.91</v>
      </c>
      <c r="P6121" t="n">
        <v>1</v>
      </c>
      <c r="Q6121" t="n">
        <v>0.39</v>
      </c>
      <c r="R6121" t="n">
        <v>2</v>
      </c>
      <c r="S6121" t="n">
        <v>7962.500000000001</v>
      </c>
      <c r="T6121" t="n">
        <v>11</v>
      </c>
      <c r="U6121" t="n">
        <v>12</v>
      </c>
      <c r="V6121" t="n">
        <v>30</v>
      </c>
      <c r="W6121" t="n">
        <v>4</v>
      </c>
      <c r="X6121" t="n">
        <v>31.39717425431711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11727</v>
      </c>
      <c r="AG6121" t="n">
        <v>63</v>
      </c>
      <c r="AH6121" t="inlineStr">
        <is>
          <t>PT. PARAMA GLOBAL INSPIRA - PPN (PDG)</t>
        </is>
      </c>
      <c r="AI6121" t="n">
        <v>164</v>
      </c>
      <c r="AJ6121" t="inlineStr">
        <is>
          <t>WARDAH</t>
        </is>
      </c>
      <c r="AK6121" t="n">
        <v>21</v>
      </c>
      <c r="AL6121" t="inlineStr">
        <is>
          <t>Miss Glam Damar</t>
        </is>
      </c>
      <c r="AM6121" t="n">
        <v>1</v>
      </c>
      <c r="AN6121" t="n">
        <v>500000</v>
      </c>
      <c r="AO6121" t="n">
        <v>0</v>
      </c>
      <c r="AP6121" t="inlineStr"/>
      <c r="AQ6121" t="inlineStr"/>
    </row>
    <row r="6122">
      <c r="A6122" t="inlineStr">
        <is>
          <t>WARDAH</t>
        </is>
      </c>
      <c r="B6122" s="2">
        <f>"8993137694452"</f>
        <v/>
      </c>
      <c r="C6122" t="inlineStr">
        <is>
          <t>WARDAH Exclusive Matte Lip Cream 07 Hello Ruby 4gr</t>
        </is>
      </c>
      <c r="D6122" t="inlineStr">
        <is>
          <t>Miss Glam Damar</t>
        </is>
      </c>
      <c r="E6122" t="n">
        <v>12</v>
      </c>
      <c r="F6122" t="n">
        <v>0.4004</v>
      </c>
      <c r="G6122" t="n">
        <v>3.64</v>
      </c>
      <c r="H6122" t="n">
        <v>2</v>
      </c>
      <c r="I6122" t="n">
        <v>6</v>
      </c>
      <c r="J6122" t="n">
        <v>3</v>
      </c>
      <c r="K6122" t="n">
        <v>0</v>
      </c>
      <c r="L6122" t="n">
        <v>50957</v>
      </c>
      <c r="M6122" t="n">
        <v>62500</v>
      </c>
      <c r="N6122" t="n">
        <v>91</v>
      </c>
      <c r="O6122" t="n">
        <v>0.91</v>
      </c>
      <c r="P6122" t="n">
        <v>1</v>
      </c>
      <c r="Q6122" t="n">
        <v>0.31</v>
      </c>
      <c r="R6122" t="n">
        <v>2</v>
      </c>
      <c r="S6122" t="n">
        <v>25025</v>
      </c>
      <c r="T6122" t="n">
        <v>22</v>
      </c>
      <c r="U6122" t="n">
        <v>23</v>
      </c>
      <c r="V6122" t="n">
        <v>30</v>
      </c>
      <c r="W6122" t="n">
        <v>13</v>
      </c>
      <c r="X6122" t="n">
        <v>29.97002997002997</v>
      </c>
      <c r="Y6122" t="n">
        <v>1</v>
      </c>
      <c r="Z6122" t="n">
        <v>1</v>
      </c>
      <c r="AA6122" t="n">
        <v>0</v>
      </c>
      <c r="AB6122" t="n">
        <v>1</v>
      </c>
      <c r="AC6122" t="n">
        <v>3</v>
      </c>
      <c r="AD6122" t="n">
        <v>0</v>
      </c>
      <c r="AE6122" t="n">
        <v>152871</v>
      </c>
      <c r="AF6122" t="n">
        <v>11727</v>
      </c>
      <c r="AG6122" t="n">
        <v>63</v>
      </c>
      <c r="AH6122" t="inlineStr">
        <is>
          <t>PT. PARAMA GLOBAL INSPIRA - PPN (PDG)</t>
        </is>
      </c>
      <c r="AI6122" t="n">
        <v>164</v>
      </c>
      <c r="AJ6122" t="inlineStr">
        <is>
          <t>WARDAH</t>
        </is>
      </c>
      <c r="AK6122" t="n">
        <v>21</v>
      </c>
      <c r="AL6122" t="inlineStr">
        <is>
          <t>Miss Glam Damar</t>
        </is>
      </c>
      <c r="AM6122" t="n">
        <v>1</v>
      </c>
      <c r="AN6122" t="n">
        <v>500000</v>
      </c>
      <c r="AO6122" t="n">
        <v>0</v>
      </c>
      <c r="AP6122" t="inlineStr"/>
      <c r="AQ6122" t="inlineStr"/>
    </row>
    <row r="6123">
      <c r="A6123" t="inlineStr">
        <is>
          <t>WARDAH</t>
        </is>
      </c>
      <c r="B6123" s="2">
        <f>"8993137694469"</f>
        <v/>
      </c>
      <c r="C6123" t="inlineStr">
        <is>
          <t>WARDAH Exclusive Matte Lip Cream 08 Pinkcreadi 4g</t>
        </is>
      </c>
      <c r="D6123" t="inlineStr">
        <is>
          <t>Miss Glam Damar</t>
        </is>
      </c>
      <c r="E6123" t="n">
        <v>12</v>
      </c>
      <c r="F6123" t="n">
        <v>0.6006</v>
      </c>
      <c r="G6123" t="n">
        <v>2.73</v>
      </c>
      <c r="H6123" t="n">
        <v>2</v>
      </c>
      <c r="I6123" t="n">
        <v>6</v>
      </c>
      <c r="J6123" t="n">
        <v>3</v>
      </c>
      <c r="K6123" t="n">
        <v>0</v>
      </c>
      <c r="L6123" t="n">
        <v>50958</v>
      </c>
      <c r="M6123" t="n">
        <v>62500</v>
      </c>
      <c r="N6123" t="n">
        <v>91</v>
      </c>
      <c r="O6123" t="n">
        <v>0.91</v>
      </c>
      <c r="P6123" t="n">
        <v>1</v>
      </c>
      <c r="Q6123" t="n">
        <v>0.54</v>
      </c>
      <c r="R6123" t="n">
        <v>4</v>
      </c>
      <c r="S6123" t="n">
        <v>37537.5</v>
      </c>
      <c r="T6123" t="n">
        <v>16</v>
      </c>
      <c r="U6123" t="n">
        <v>18</v>
      </c>
      <c r="V6123" t="n">
        <v>30</v>
      </c>
      <c r="W6123" t="n">
        <v>19</v>
      </c>
      <c r="X6123" t="n">
        <v>19.98001998001998</v>
      </c>
      <c r="Y6123" t="n">
        <v>1</v>
      </c>
      <c r="Z6123" t="n">
        <v>7</v>
      </c>
      <c r="AA6123" t="n">
        <v>0</v>
      </c>
      <c r="AB6123" t="n">
        <v>7</v>
      </c>
      <c r="AC6123" t="n">
        <v>7</v>
      </c>
      <c r="AD6123" t="n">
        <v>0</v>
      </c>
      <c r="AE6123" t="n">
        <v>356706</v>
      </c>
      <c r="AF6123" t="n">
        <v>11727</v>
      </c>
      <c r="AG6123" t="n">
        <v>63</v>
      </c>
      <c r="AH6123" t="inlineStr">
        <is>
          <t>PT. PARAMA GLOBAL INSPIRA - PPN (PDG)</t>
        </is>
      </c>
      <c r="AI6123" t="n">
        <v>164</v>
      </c>
      <c r="AJ6123" t="inlineStr">
        <is>
          <t>WARDAH</t>
        </is>
      </c>
      <c r="AK6123" t="n">
        <v>21</v>
      </c>
      <c r="AL6123" t="inlineStr">
        <is>
          <t>Miss Glam Damar</t>
        </is>
      </c>
      <c r="AM6123" t="n">
        <v>1</v>
      </c>
      <c r="AN6123" t="n">
        <v>500000</v>
      </c>
      <c r="AO6123" t="n">
        <v>0</v>
      </c>
      <c r="AP6123" t="inlineStr"/>
      <c r="AQ6123" t="inlineStr"/>
    </row>
    <row r="6124">
      <c r="A6124" t="inlineStr">
        <is>
          <t>WARDAH</t>
        </is>
      </c>
      <c r="B6124" s="2">
        <f>"8993137694476"</f>
        <v/>
      </c>
      <c r="C6124" t="inlineStr">
        <is>
          <t>WARDAH Exclusive Matte Lip Cream 09 Mauve On 4gr</t>
        </is>
      </c>
      <c r="D6124" t="inlineStr">
        <is>
          <t>Miss Glam Damar</t>
        </is>
      </c>
      <c r="E6124" t="n">
        <v>8</v>
      </c>
      <c r="F6124" t="n">
        <v>0.2184</v>
      </c>
      <c r="G6124" t="n">
        <v>1.82</v>
      </c>
      <c r="H6124" t="n">
        <v>2</v>
      </c>
      <c r="I6124" t="n">
        <v>6</v>
      </c>
      <c r="J6124" t="n">
        <v>3</v>
      </c>
      <c r="K6124" t="n">
        <v>0</v>
      </c>
      <c r="L6124" t="n">
        <v>50958</v>
      </c>
      <c r="M6124" t="n">
        <v>62500</v>
      </c>
      <c r="N6124" t="n">
        <v>91</v>
      </c>
      <c r="O6124" t="n">
        <v>0.91</v>
      </c>
      <c r="P6124" t="n">
        <v>1</v>
      </c>
      <c r="Q6124" t="n">
        <v>0.42</v>
      </c>
      <c r="R6124" t="n">
        <v>2</v>
      </c>
      <c r="S6124" t="n">
        <v>13650</v>
      </c>
      <c r="T6124" t="n">
        <v>11</v>
      </c>
      <c r="U6124" t="n">
        <v>12</v>
      </c>
      <c r="V6124" t="n">
        <v>30</v>
      </c>
      <c r="W6124" t="n">
        <v>7</v>
      </c>
      <c r="X6124" t="n">
        <v>36.63003663003663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11727</v>
      </c>
      <c r="AG6124" t="n">
        <v>63</v>
      </c>
      <c r="AH6124" t="inlineStr">
        <is>
          <t>PT. PARAMA GLOBAL INSPIRA - PPN (PDG)</t>
        </is>
      </c>
      <c r="AI6124" t="n">
        <v>164</v>
      </c>
      <c r="AJ6124" t="inlineStr">
        <is>
          <t>WARDAH</t>
        </is>
      </c>
      <c r="AK6124" t="n">
        <v>21</v>
      </c>
      <c r="AL6124" t="inlineStr">
        <is>
          <t>Miss Glam Damar</t>
        </is>
      </c>
      <c r="AM6124" t="n">
        <v>1</v>
      </c>
      <c r="AN6124" t="n">
        <v>500000</v>
      </c>
      <c r="AO6124" t="n">
        <v>0</v>
      </c>
      <c r="AP6124" t="inlineStr"/>
      <c r="AQ6124" t="inlineStr"/>
    </row>
    <row r="6125">
      <c r="A6125" t="inlineStr">
        <is>
          <t>WARDAH</t>
        </is>
      </c>
      <c r="B6125" s="2">
        <f>"8993137694506"</f>
        <v/>
      </c>
      <c r="C6125" t="inlineStr">
        <is>
          <t>WARDAH Exclusive Matte Lip Cream 12 Plum It Up 4g</t>
        </is>
      </c>
      <c r="D6125" t="inlineStr">
        <is>
          <t>Miss Glam Damar</t>
        </is>
      </c>
      <c r="E6125" t="n">
        <v>29</v>
      </c>
      <c r="F6125" t="n">
        <v>0.4277</v>
      </c>
      <c r="G6125" t="n">
        <v>2.73</v>
      </c>
      <c r="H6125" t="n">
        <v>2</v>
      </c>
      <c r="I6125" t="n">
        <v>6</v>
      </c>
      <c r="J6125" t="n">
        <v>3</v>
      </c>
      <c r="K6125" t="n">
        <v>0</v>
      </c>
      <c r="L6125" t="n">
        <v>50958</v>
      </c>
      <c r="M6125" t="n">
        <v>62500</v>
      </c>
      <c r="N6125" t="n">
        <v>91</v>
      </c>
      <c r="O6125" t="n">
        <v>0.91</v>
      </c>
      <c r="P6125" t="n">
        <v>1</v>
      </c>
      <c r="Q6125" t="n">
        <v>0.83</v>
      </c>
      <c r="R6125" t="n">
        <v>4</v>
      </c>
      <c r="S6125" t="n">
        <v>26731.25</v>
      </c>
      <c r="T6125" t="n">
        <v>16</v>
      </c>
      <c r="U6125" t="n">
        <v>17</v>
      </c>
      <c r="V6125" t="n">
        <v>30</v>
      </c>
      <c r="W6125" t="n">
        <v>13</v>
      </c>
      <c r="X6125" t="n">
        <v>67.80453588964228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11727</v>
      </c>
      <c r="AG6125" t="n">
        <v>63</v>
      </c>
      <c r="AH6125" t="inlineStr">
        <is>
          <t>PT. PARAMA GLOBAL INSPIRA - PPN (PDG)</t>
        </is>
      </c>
      <c r="AI6125" t="n">
        <v>164</v>
      </c>
      <c r="AJ6125" t="inlineStr">
        <is>
          <t>WARDAH</t>
        </is>
      </c>
      <c r="AK6125" t="n">
        <v>21</v>
      </c>
      <c r="AL6125" t="inlineStr">
        <is>
          <t>Miss Glam Damar</t>
        </is>
      </c>
      <c r="AM6125" t="n">
        <v>1</v>
      </c>
      <c r="AN6125" t="n">
        <v>500000</v>
      </c>
      <c r="AO6125" t="n">
        <v>0</v>
      </c>
      <c r="AP6125" t="inlineStr"/>
      <c r="AQ6125" t="inlineStr"/>
    </row>
    <row r="6126">
      <c r="A6126" t="inlineStr">
        <is>
          <t>WARDAH</t>
        </is>
      </c>
      <c r="B6126" s="2">
        <f>"8993137697194"</f>
        <v/>
      </c>
      <c r="C6126" t="inlineStr">
        <is>
          <t>WARDAH Exclusive Matte Lip Cream 13 Fruit Punch 4gr</t>
        </is>
      </c>
      <c r="D6126" t="inlineStr">
        <is>
          <t>Miss Glam Damar</t>
        </is>
      </c>
      <c r="E6126" t="n">
        <v>11</v>
      </c>
      <c r="F6126" t="n">
        <v>0.3549</v>
      </c>
      <c r="G6126" t="n">
        <v>2.73</v>
      </c>
      <c r="H6126" t="n">
        <v>2</v>
      </c>
      <c r="I6126" t="n">
        <v>6</v>
      </c>
      <c r="J6126" t="n">
        <v>3</v>
      </c>
      <c r="K6126" t="n">
        <v>0</v>
      </c>
      <c r="L6126" t="n">
        <v>50958</v>
      </c>
      <c r="M6126" t="n">
        <v>62500</v>
      </c>
      <c r="N6126" t="n">
        <v>91</v>
      </c>
      <c r="O6126" t="n">
        <v>0.91</v>
      </c>
      <c r="P6126" t="n">
        <v>1</v>
      </c>
      <c r="Q6126" t="n">
        <v>0.41</v>
      </c>
      <c r="R6126" t="n">
        <v>3</v>
      </c>
      <c r="S6126" t="n">
        <v>22181.25</v>
      </c>
      <c r="T6126" t="n">
        <v>16</v>
      </c>
      <c r="U6126" t="n">
        <v>17</v>
      </c>
      <c r="V6126" t="n">
        <v>30</v>
      </c>
      <c r="W6126" t="n">
        <v>11</v>
      </c>
      <c r="X6126" t="n">
        <v>30.99464637926176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11727</v>
      </c>
      <c r="AG6126" t="n">
        <v>63</v>
      </c>
      <c r="AH6126" t="inlineStr">
        <is>
          <t>PT. PARAMA GLOBAL INSPIRA - PPN (PDG)</t>
        </is>
      </c>
      <c r="AI6126" t="n">
        <v>164</v>
      </c>
      <c r="AJ6126" t="inlineStr">
        <is>
          <t>WARDAH</t>
        </is>
      </c>
      <c r="AK6126" t="n">
        <v>21</v>
      </c>
      <c r="AL6126" t="inlineStr">
        <is>
          <t>Miss Glam Damar</t>
        </is>
      </c>
      <c r="AM6126" t="n">
        <v>1</v>
      </c>
      <c r="AN6126" t="n">
        <v>500000</v>
      </c>
      <c r="AO6126" t="n">
        <v>0</v>
      </c>
      <c r="AP6126" t="inlineStr"/>
      <c r="AQ6126" t="inlineStr"/>
    </row>
    <row r="6127">
      <c r="A6127" t="inlineStr">
        <is>
          <t>WARDAH</t>
        </is>
      </c>
      <c r="B6127" s="2">
        <f>"8993137732796"</f>
        <v/>
      </c>
      <c r="C6127" t="inlineStr">
        <is>
          <t>WARDAH Exclusive Matte Lip Cream 19 Have A Blush 4gr</t>
        </is>
      </c>
      <c r="D6127" t="inlineStr">
        <is>
          <t>Miss Glam Damar</t>
        </is>
      </c>
      <c r="E6127" t="n">
        <v>14</v>
      </c>
      <c r="F6127" t="n">
        <v>0.2457</v>
      </c>
      <c r="G6127" t="n">
        <v>1.82</v>
      </c>
      <c r="H6127" t="n">
        <v>2</v>
      </c>
      <c r="I6127" t="n">
        <v>6</v>
      </c>
      <c r="J6127" t="n">
        <v>3</v>
      </c>
      <c r="K6127" t="n">
        <v>0</v>
      </c>
      <c r="L6127" t="n">
        <v>50958</v>
      </c>
      <c r="M6127" t="n">
        <v>62500</v>
      </c>
      <c r="N6127" t="n">
        <v>91</v>
      </c>
      <c r="O6127" t="n">
        <v>0.91</v>
      </c>
      <c r="P6127" t="n">
        <v>1</v>
      </c>
      <c r="Q6127" t="n">
        <v>0.29</v>
      </c>
      <c r="R6127" t="n">
        <v>3</v>
      </c>
      <c r="S6127" t="n">
        <v>15356.25</v>
      </c>
      <c r="T6127" t="n">
        <v>11</v>
      </c>
      <c r="U6127" t="n">
        <v>12</v>
      </c>
      <c r="V6127" t="n">
        <v>30</v>
      </c>
      <c r="W6127" t="n">
        <v>8</v>
      </c>
      <c r="X6127" t="n">
        <v>56.98005698005697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11727</v>
      </c>
      <c r="AG6127" t="n">
        <v>63</v>
      </c>
      <c r="AH6127" t="inlineStr">
        <is>
          <t>PT. PARAMA GLOBAL INSPIRA - PPN (PDG)</t>
        </is>
      </c>
      <c r="AI6127" t="n">
        <v>164</v>
      </c>
      <c r="AJ6127" t="inlineStr">
        <is>
          <t>WARDAH</t>
        </is>
      </c>
      <c r="AK6127" t="n">
        <v>21</v>
      </c>
      <c r="AL6127" t="inlineStr">
        <is>
          <t>Miss Glam Damar</t>
        </is>
      </c>
      <c r="AM6127" t="n">
        <v>1</v>
      </c>
      <c r="AN6127" t="n">
        <v>500000</v>
      </c>
      <c r="AO6127" t="n">
        <v>0</v>
      </c>
      <c r="AP6127" t="inlineStr"/>
      <c r="AQ6127" t="inlineStr"/>
    </row>
    <row r="6128">
      <c r="A6128" t="inlineStr">
        <is>
          <t>WARDAH</t>
        </is>
      </c>
      <c r="B6128" s="2">
        <f>"8993137732802"</f>
        <v/>
      </c>
      <c r="C6128" t="inlineStr">
        <is>
          <t>WARDAH Exclusive Matte Lip Cream 20 Peach Of Mind 4g</t>
        </is>
      </c>
      <c r="D6128" t="inlineStr">
        <is>
          <t>Miss Glam Damar</t>
        </is>
      </c>
      <c r="E6128" t="n">
        <v>23</v>
      </c>
      <c r="F6128" t="n">
        <v>0.7280000000000001</v>
      </c>
      <c r="G6128" t="n">
        <v>3.64</v>
      </c>
      <c r="H6128" t="n">
        <v>2</v>
      </c>
      <c r="I6128" t="n">
        <v>6</v>
      </c>
      <c r="J6128" t="n">
        <v>3</v>
      </c>
      <c r="K6128" t="n">
        <v>0</v>
      </c>
      <c r="L6128" t="n">
        <v>50957</v>
      </c>
      <c r="M6128" t="n">
        <v>62500</v>
      </c>
      <c r="N6128" t="n">
        <v>91</v>
      </c>
      <c r="O6128" t="n">
        <v>0.91</v>
      </c>
      <c r="P6128" t="n">
        <v>1</v>
      </c>
      <c r="Q6128" t="n">
        <v>1.25</v>
      </c>
      <c r="R6128" t="n">
        <v>5</v>
      </c>
      <c r="S6128" t="n">
        <v>45500.00000000001</v>
      </c>
      <c r="T6128" t="n">
        <v>21</v>
      </c>
      <c r="U6128" t="n">
        <v>23</v>
      </c>
      <c r="V6128" t="n">
        <v>30</v>
      </c>
      <c r="W6128" t="n">
        <v>22</v>
      </c>
      <c r="X6128" t="n">
        <v>31.59340659340659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11727</v>
      </c>
      <c r="AG6128" t="n">
        <v>63</v>
      </c>
      <c r="AH6128" t="inlineStr">
        <is>
          <t>PT. PARAMA GLOBAL INSPIRA - PPN (PDG)</t>
        </is>
      </c>
      <c r="AI6128" t="n">
        <v>164</v>
      </c>
      <c r="AJ6128" t="inlineStr">
        <is>
          <t>WARDAH</t>
        </is>
      </c>
      <c r="AK6128" t="n">
        <v>21</v>
      </c>
      <c r="AL6128" t="inlineStr">
        <is>
          <t>Miss Glam Damar</t>
        </is>
      </c>
      <c r="AM6128" t="n">
        <v>1</v>
      </c>
      <c r="AN6128" t="n">
        <v>500000</v>
      </c>
      <c r="AO6128" t="n">
        <v>0</v>
      </c>
      <c r="AP6128" t="inlineStr"/>
      <c r="AQ6128" t="inlineStr"/>
    </row>
    <row r="6129">
      <c r="A6129" t="inlineStr">
        <is>
          <t>WARDAH</t>
        </is>
      </c>
      <c r="B6129" s="2">
        <f>"8993137732819"</f>
        <v/>
      </c>
      <c r="C6129" t="inlineStr">
        <is>
          <t>WARDAH Exclusive Matte Lip Cream 21 Creampuccino 4gr</t>
        </is>
      </c>
      <c r="D6129" t="inlineStr">
        <is>
          <t>Miss Glam Damar</t>
        </is>
      </c>
      <c r="E6129" t="n">
        <v>5</v>
      </c>
      <c r="F6129" t="n">
        <v>0.0182</v>
      </c>
      <c r="G6129" t="n">
        <v>0.91</v>
      </c>
      <c r="H6129" t="n">
        <v>2</v>
      </c>
      <c r="I6129" t="n">
        <v>6</v>
      </c>
      <c r="J6129" t="n">
        <v>3</v>
      </c>
      <c r="K6129" t="n">
        <v>0</v>
      </c>
      <c r="L6129" t="n">
        <v>50906</v>
      </c>
      <c r="M6129" t="n">
        <v>62500</v>
      </c>
      <c r="N6129" t="n">
        <v>91</v>
      </c>
      <c r="O6129" t="n">
        <v>0.91</v>
      </c>
      <c r="P6129" t="n">
        <v>1</v>
      </c>
      <c r="Q6129" t="n">
        <v>0.12</v>
      </c>
      <c r="R6129" t="n">
        <v>1</v>
      </c>
      <c r="S6129" t="n">
        <v>1137.5</v>
      </c>
      <c r="T6129" t="n">
        <v>6</v>
      </c>
      <c r="U6129" t="n">
        <v>7</v>
      </c>
      <c r="V6129" t="n">
        <v>30</v>
      </c>
      <c r="W6129" t="n">
        <v>1</v>
      </c>
      <c r="X6129" t="n">
        <v>274.7252747252747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11727</v>
      </c>
      <c r="AG6129" t="n">
        <v>63</v>
      </c>
      <c r="AH6129" t="inlineStr">
        <is>
          <t>PT. PARAMA GLOBAL INSPIRA - PPN (PDG)</t>
        </is>
      </c>
      <c r="AI6129" t="n">
        <v>164</v>
      </c>
      <c r="AJ6129" t="inlineStr">
        <is>
          <t>WARDAH</t>
        </is>
      </c>
      <c r="AK6129" t="n">
        <v>21</v>
      </c>
      <c r="AL6129" t="inlineStr">
        <is>
          <t>Miss Glam Damar</t>
        </is>
      </c>
      <c r="AM6129" t="n">
        <v>1</v>
      </c>
      <c r="AN6129" t="n">
        <v>500000</v>
      </c>
      <c r="AO6129" t="n">
        <v>0</v>
      </c>
      <c r="AP6129" t="inlineStr"/>
      <c r="AQ6129" t="inlineStr"/>
    </row>
    <row r="6130">
      <c r="A6130" t="inlineStr">
        <is>
          <t>WARDAH</t>
        </is>
      </c>
      <c r="B6130" s="2">
        <f>"8993137732826"</f>
        <v/>
      </c>
      <c r="C6130" t="inlineStr">
        <is>
          <t>WARDAH Exclusive Matte Lip cream 22 Rouge Velvet</t>
        </is>
      </c>
      <c r="D6130" t="inlineStr">
        <is>
          <t>Miss Glam Damar</t>
        </is>
      </c>
      <c r="E6130" t="n">
        <v>23</v>
      </c>
      <c r="F6130" t="n">
        <v>0.3094</v>
      </c>
      <c r="G6130" t="n">
        <v>1.82</v>
      </c>
      <c r="H6130" t="n">
        <v>2</v>
      </c>
      <c r="I6130" t="n">
        <v>6</v>
      </c>
      <c r="J6130" t="n">
        <v>3</v>
      </c>
      <c r="K6130" t="n">
        <v>0</v>
      </c>
      <c r="L6130" t="n">
        <v>50958</v>
      </c>
      <c r="M6130" t="n">
        <v>62500</v>
      </c>
      <c r="N6130" t="n">
        <v>91</v>
      </c>
      <c r="O6130" t="n">
        <v>0.91</v>
      </c>
      <c r="P6130" t="n">
        <v>1</v>
      </c>
      <c r="Q6130" t="n">
        <v>0.54</v>
      </c>
      <c r="R6130" t="n">
        <v>2</v>
      </c>
      <c r="S6130" t="n">
        <v>19337.5</v>
      </c>
      <c r="T6130" t="n">
        <v>11</v>
      </c>
      <c r="U6130" t="n">
        <v>12</v>
      </c>
      <c r="V6130" t="n">
        <v>30</v>
      </c>
      <c r="W6130" t="n">
        <v>10</v>
      </c>
      <c r="X6130" t="n">
        <v>74.33742727860374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11727</v>
      </c>
      <c r="AG6130" t="n">
        <v>63</v>
      </c>
      <c r="AH6130" t="inlineStr">
        <is>
          <t>PT. PARAMA GLOBAL INSPIRA - PPN (PDG)</t>
        </is>
      </c>
      <c r="AI6130" t="n">
        <v>164</v>
      </c>
      <c r="AJ6130" t="inlineStr">
        <is>
          <t>WARDAH</t>
        </is>
      </c>
      <c r="AK6130" t="n">
        <v>21</v>
      </c>
      <c r="AL6130" t="inlineStr">
        <is>
          <t>Miss Glam Damar</t>
        </is>
      </c>
      <c r="AM6130" t="n">
        <v>1</v>
      </c>
      <c r="AN6130" t="n">
        <v>500000</v>
      </c>
      <c r="AO6130" t="n">
        <v>0</v>
      </c>
      <c r="AP6130" t="inlineStr"/>
      <c r="AQ6130" t="inlineStr"/>
    </row>
    <row r="6131">
      <c r="A6131" t="inlineStr">
        <is>
          <t>WARDAH</t>
        </is>
      </c>
      <c r="B6131" s="2">
        <f>"8993137732833"</f>
        <v/>
      </c>
      <c r="C6131" t="inlineStr">
        <is>
          <t>WARDAH Exclusive Matte Lip Cream 23 Rose and  Shine 4gr</t>
        </is>
      </c>
      <c r="D6131" t="inlineStr">
        <is>
          <t>Miss Glam Damar</t>
        </is>
      </c>
      <c r="E6131" t="n">
        <v>5</v>
      </c>
      <c r="F6131" t="n">
        <v>0.3822</v>
      </c>
      <c r="G6131" t="n">
        <v>2.73</v>
      </c>
      <c r="H6131" t="n">
        <v>2</v>
      </c>
      <c r="I6131" t="n">
        <v>6</v>
      </c>
      <c r="J6131" t="n">
        <v>3</v>
      </c>
      <c r="K6131" t="n">
        <v>0</v>
      </c>
      <c r="L6131" t="n">
        <v>50958</v>
      </c>
      <c r="M6131" t="n">
        <v>62500</v>
      </c>
      <c r="N6131" t="n">
        <v>91</v>
      </c>
      <c r="O6131" t="n">
        <v>0.91</v>
      </c>
      <c r="P6131" t="n">
        <v>1</v>
      </c>
      <c r="Q6131" t="n">
        <v>0.53</v>
      </c>
      <c r="R6131" t="n">
        <v>5</v>
      </c>
      <c r="S6131" t="n">
        <v>23887.5</v>
      </c>
      <c r="T6131" t="n">
        <v>16</v>
      </c>
      <c r="U6131" t="n">
        <v>17</v>
      </c>
      <c r="V6131" t="n">
        <v>30</v>
      </c>
      <c r="W6131" t="n">
        <v>12</v>
      </c>
      <c r="X6131" t="n">
        <v>13.0821559392988</v>
      </c>
      <c r="Y6131" t="n">
        <v>1</v>
      </c>
      <c r="Z6131" t="n">
        <v>7</v>
      </c>
      <c r="AA6131" t="n">
        <v>0</v>
      </c>
      <c r="AB6131" t="n">
        <v>7</v>
      </c>
      <c r="AC6131" t="n">
        <v>7</v>
      </c>
      <c r="AD6131" t="n">
        <v>0</v>
      </c>
      <c r="AE6131" t="n">
        <v>356706</v>
      </c>
      <c r="AF6131" t="n">
        <v>11727</v>
      </c>
      <c r="AG6131" t="n">
        <v>63</v>
      </c>
      <c r="AH6131" t="inlineStr">
        <is>
          <t>PT. PARAMA GLOBAL INSPIRA - PPN (PDG)</t>
        </is>
      </c>
      <c r="AI6131" t="n">
        <v>164</v>
      </c>
      <c r="AJ6131" t="inlineStr">
        <is>
          <t>WARDAH</t>
        </is>
      </c>
      <c r="AK6131" t="n">
        <v>21</v>
      </c>
      <c r="AL6131" t="inlineStr">
        <is>
          <t>Miss Glam Damar</t>
        </is>
      </c>
      <c r="AM6131" t="n">
        <v>1</v>
      </c>
      <c r="AN6131" t="n">
        <v>500000</v>
      </c>
      <c r="AO6131" t="n">
        <v>0</v>
      </c>
      <c r="AP6131" t="inlineStr"/>
      <c r="AQ6131" t="inlineStr"/>
    </row>
    <row r="6132">
      <c r="A6132" t="inlineStr">
        <is>
          <t>WARDAH</t>
        </is>
      </c>
      <c r="B6132" s="2">
        <f>"8993137732840"</f>
        <v/>
      </c>
      <c r="C6132" t="inlineStr">
        <is>
          <t>WARDAH Exclusive Matte Lip Cream 24 Cherry Go Round</t>
        </is>
      </c>
      <c r="D6132" t="inlineStr">
        <is>
          <t>Miss Glam Damar</t>
        </is>
      </c>
      <c r="E6132" t="n">
        <v>33</v>
      </c>
      <c r="F6132" t="n">
        <v>0.4641</v>
      </c>
      <c r="G6132" t="n">
        <v>3.64</v>
      </c>
      <c r="H6132" t="n">
        <v>2</v>
      </c>
      <c r="I6132" t="n">
        <v>6</v>
      </c>
      <c r="J6132" t="n">
        <v>3</v>
      </c>
      <c r="K6132" t="n">
        <v>0</v>
      </c>
      <c r="L6132" t="n">
        <v>59959</v>
      </c>
      <c r="M6132" t="n">
        <v>62500</v>
      </c>
      <c r="N6132" t="n">
        <v>91</v>
      </c>
      <c r="O6132" t="n">
        <v>0.91</v>
      </c>
      <c r="P6132" t="n">
        <v>1</v>
      </c>
      <c r="Q6132" t="n">
        <v>0.41</v>
      </c>
      <c r="R6132" t="n">
        <v>2</v>
      </c>
      <c r="S6132" t="n">
        <v>29006.25</v>
      </c>
      <c r="T6132" t="n">
        <v>21</v>
      </c>
      <c r="U6132" t="n">
        <v>22</v>
      </c>
      <c r="V6132" t="n">
        <v>30</v>
      </c>
      <c r="W6132" t="n">
        <v>14</v>
      </c>
      <c r="X6132" t="n">
        <v>71.10536522301229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11727</v>
      </c>
      <c r="AG6132" t="n">
        <v>63</v>
      </c>
      <c r="AH6132" t="inlineStr">
        <is>
          <t>PT. PARAMA GLOBAL INSPIRA - PPN (PDG)</t>
        </is>
      </c>
      <c r="AI6132" t="n">
        <v>164</v>
      </c>
      <c r="AJ6132" t="inlineStr">
        <is>
          <t>WARDAH</t>
        </is>
      </c>
      <c r="AK6132" t="n">
        <v>21</v>
      </c>
      <c r="AL6132" t="inlineStr">
        <is>
          <t>Miss Glam Damar</t>
        </is>
      </c>
      <c r="AM6132" t="n">
        <v>1</v>
      </c>
      <c r="AN6132" t="n">
        <v>500000</v>
      </c>
      <c r="AO6132" t="n">
        <v>0</v>
      </c>
      <c r="AP6132" t="inlineStr"/>
      <c r="AQ6132" t="inlineStr"/>
    </row>
    <row r="6133">
      <c r="A6133" t="inlineStr">
        <is>
          <t>WARDAH</t>
        </is>
      </c>
      <c r="B6133" s="2">
        <f>"8993137679053"</f>
        <v/>
      </c>
      <c r="C6133" t="inlineStr">
        <is>
          <t>WARDAH Exclusive Reff TWC 01.Sheer Pink 12gr</t>
        </is>
      </c>
      <c r="D6133" t="inlineStr">
        <is>
          <t>Miss Glam Damar</t>
        </is>
      </c>
      <c r="E6133" t="n">
        <v>6</v>
      </c>
      <c r="F6133" t="n">
        <v>0.182</v>
      </c>
      <c r="G6133" t="n">
        <v>1.82</v>
      </c>
      <c r="H6133" t="n">
        <v>2</v>
      </c>
      <c r="I6133" t="n">
        <v>6</v>
      </c>
      <c r="J6133" t="n">
        <v>3</v>
      </c>
      <c r="K6133" t="n">
        <v>0</v>
      </c>
      <c r="L6133" t="n">
        <v>47510</v>
      </c>
      <c r="M6133" t="n">
        <v>58000</v>
      </c>
      <c r="N6133" t="n">
        <v>91</v>
      </c>
      <c r="O6133" t="n">
        <v>0.91</v>
      </c>
      <c r="P6133" t="n">
        <v>1</v>
      </c>
      <c r="Q6133" t="n">
        <v>0.17</v>
      </c>
      <c r="R6133" t="n">
        <v>2</v>
      </c>
      <c r="S6133" t="n">
        <v>10556</v>
      </c>
      <c r="T6133" t="n">
        <v>11</v>
      </c>
      <c r="U6133" t="n">
        <v>12</v>
      </c>
      <c r="V6133" t="n">
        <v>30</v>
      </c>
      <c r="W6133" t="n">
        <v>6</v>
      </c>
      <c r="X6133" t="n">
        <v>32.96703296703296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11727</v>
      </c>
      <c r="AG6133" t="n">
        <v>63</v>
      </c>
      <c r="AH6133" t="inlineStr">
        <is>
          <t>PT. PARAMA GLOBAL INSPIRA - PPN (PDG)</t>
        </is>
      </c>
      <c r="AI6133" t="n">
        <v>164</v>
      </c>
      <c r="AJ6133" t="inlineStr">
        <is>
          <t>WARDAH</t>
        </is>
      </c>
      <c r="AK6133" t="n">
        <v>21</v>
      </c>
      <c r="AL6133" t="inlineStr">
        <is>
          <t>Miss Glam Damar</t>
        </is>
      </c>
      <c r="AM6133" t="n">
        <v>1</v>
      </c>
      <c r="AN6133" t="n">
        <v>500000</v>
      </c>
      <c r="AO6133" t="n">
        <v>0</v>
      </c>
      <c r="AP6133" t="inlineStr"/>
      <c r="AQ6133" t="inlineStr"/>
    </row>
    <row r="6134">
      <c r="A6134" t="inlineStr">
        <is>
          <t>WARDAH</t>
        </is>
      </c>
      <c r="B6134" s="2">
        <f>"8993137678902"</f>
        <v/>
      </c>
      <c r="C6134" t="inlineStr">
        <is>
          <t>WARDAH Exclusive Two Way Cake 01 Sheer Pink 12gr</t>
        </is>
      </c>
      <c r="D6134" t="inlineStr">
        <is>
          <t>Miss Glam Damar</t>
        </is>
      </c>
      <c r="E6134" t="n">
        <v>5</v>
      </c>
      <c r="F6134" t="n">
        <v>0.0728</v>
      </c>
      <c r="G6134" t="n">
        <v>0.91</v>
      </c>
      <c r="H6134" t="n">
        <v>2</v>
      </c>
      <c r="I6134" t="n">
        <v>6</v>
      </c>
      <c r="J6134" t="n">
        <v>3</v>
      </c>
      <c r="K6134" t="n">
        <v>0</v>
      </c>
      <c r="L6134" t="n">
        <v>76885</v>
      </c>
      <c r="M6134" t="n">
        <v>96500</v>
      </c>
      <c r="N6134" t="n">
        <v>91</v>
      </c>
      <c r="O6134" t="n">
        <v>0.91</v>
      </c>
      <c r="P6134" t="n">
        <v>1</v>
      </c>
      <c r="Q6134" t="n">
        <v>0.07000000000000001</v>
      </c>
      <c r="R6134" t="n">
        <v>1</v>
      </c>
      <c r="S6134" t="n">
        <v>7025.200000000001</v>
      </c>
      <c r="T6134" t="n">
        <v>6</v>
      </c>
      <c r="U6134" t="n">
        <v>7</v>
      </c>
      <c r="V6134" t="n">
        <v>30</v>
      </c>
      <c r="W6134" t="n">
        <v>3</v>
      </c>
      <c r="X6134" t="n">
        <v>68.68131868131867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11727</v>
      </c>
      <c r="AG6134" t="n">
        <v>63</v>
      </c>
      <c r="AH6134" t="inlineStr">
        <is>
          <t>PT. PARAMA GLOBAL INSPIRA - PPN (PDG)</t>
        </is>
      </c>
      <c r="AI6134" t="n">
        <v>164</v>
      </c>
      <c r="AJ6134" t="inlineStr">
        <is>
          <t>WARDAH</t>
        </is>
      </c>
      <c r="AK6134" t="n">
        <v>21</v>
      </c>
      <c r="AL6134" t="inlineStr">
        <is>
          <t>Miss Glam Damar</t>
        </is>
      </c>
      <c r="AM6134" t="n">
        <v>1</v>
      </c>
      <c r="AN6134" t="n">
        <v>500000</v>
      </c>
      <c r="AO6134" t="n">
        <v>0</v>
      </c>
      <c r="AP6134" t="inlineStr"/>
      <c r="AQ6134" t="inlineStr"/>
    </row>
    <row r="6135">
      <c r="A6135" t="inlineStr">
        <is>
          <t>WARDAH</t>
        </is>
      </c>
      <c r="B6135" s="2">
        <f>"8993137679060"</f>
        <v/>
      </c>
      <c r="C6135" t="inlineStr">
        <is>
          <t>WARDAH Exclusive Two Way Cake 02 Light Beige Refill 12gr</t>
        </is>
      </c>
      <c r="D6135" t="inlineStr">
        <is>
          <t>Miss Glam Damar</t>
        </is>
      </c>
      <c r="E6135" t="n">
        <v>12</v>
      </c>
      <c r="F6135" t="n">
        <v>0.8918</v>
      </c>
      <c r="G6135" t="n">
        <v>4.55</v>
      </c>
      <c r="H6135" t="n">
        <v>2</v>
      </c>
      <c r="I6135" t="n">
        <v>6</v>
      </c>
      <c r="J6135" t="n">
        <v>3</v>
      </c>
      <c r="K6135" t="n">
        <v>0</v>
      </c>
      <c r="L6135" t="n">
        <v>47502</v>
      </c>
      <c r="M6135" t="n">
        <v>58000</v>
      </c>
      <c r="N6135" t="n">
        <v>91</v>
      </c>
      <c r="O6135" t="n">
        <v>0.91</v>
      </c>
      <c r="P6135" t="n">
        <v>1</v>
      </c>
      <c r="Q6135" t="n">
        <v>0.41</v>
      </c>
      <c r="R6135" t="n">
        <v>3</v>
      </c>
      <c r="S6135" t="n">
        <v>51724.4</v>
      </c>
      <c r="T6135" t="n">
        <v>26</v>
      </c>
      <c r="U6135" t="n">
        <v>28</v>
      </c>
      <c r="V6135" t="n">
        <v>30</v>
      </c>
      <c r="W6135" t="n">
        <v>27</v>
      </c>
      <c r="X6135" t="n">
        <v>13.45593182327876</v>
      </c>
      <c r="Y6135" t="n">
        <v>1</v>
      </c>
      <c r="Z6135" t="n">
        <v>15</v>
      </c>
      <c r="AA6135" t="n">
        <v>0</v>
      </c>
      <c r="AB6135" t="n">
        <v>15</v>
      </c>
      <c r="AC6135" t="n">
        <v>15</v>
      </c>
      <c r="AD6135" t="n">
        <v>0</v>
      </c>
      <c r="AE6135" t="n">
        <v>712530</v>
      </c>
      <c r="AF6135" t="n">
        <v>11727</v>
      </c>
      <c r="AG6135" t="n">
        <v>63</v>
      </c>
      <c r="AH6135" t="inlineStr">
        <is>
          <t>PT. PARAMA GLOBAL INSPIRA - PPN (PDG)</t>
        </is>
      </c>
      <c r="AI6135" t="n">
        <v>164</v>
      </c>
      <c r="AJ6135" t="inlineStr">
        <is>
          <t>WARDAH</t>
        </is>
      </c>
      <c r="AK6135" t="n">
        <v>21</v>
      </c>
      <c r="AL6135" t="inlineStr">
        <is>
          <t>Miss Glam Damar</t>
        </is>
      </c>
      <c r="AM6135" t="n">
        <v>1</v>
      </c>
      <c r="AN6135" t="n">
        <v>500000</v>
      </c>
      <c r="AO6135" t="n">
        <v>0</v>
      </c>
      <c r="AP6135" t="inlineStr"/>
      <c r="AQ6135" t="inlineStr"/>
    </row>
    <row r="6136">
      <c r="A6136" t="inlineStr">
        <is>
          <t>WARDAH</t>
        </is>
      </c>
      <c r="B6136" s="2">
        <f>"8993137679039"</f>
        <v/>
      </c>
      <c r="C6136" t="inlineStr">
        <is>
          <t>WARDAH Exclusive Two Way Cake 04 Natural 12gr</t>
        </is>
      </c>
      <c r="D6136" t="inlineStr">
        <is>
          <t>Miss Glam Damar</t>
        </is>
      </c>
      <c r="E6136" t="n">
        <v>8</v>
      </c>
      <c r="F6136" t="n">
        <v>0.3094</v>
      </c>
      <c r="G6136" t="n">
        <v>1.82</v>
      </c>
      <c r="H6136" t="n">
        <v>2</v>
      </c>
      <c r="I6136" t="n">
        <v>6</v>
      </c>
      <c r="J6136" t="n">
        <v>3</v>
      </c>
      <c r="K6136" t="n">
        <v>0</v>
      </c>
      <c r="L6136" t="n">
        <v>78905</v>
      </c>
      <c r="M6136" t="n">
        <v>96500</v>
      </c>
      <c r="N6136" t="n">
        <v>91</v>
      </c>
      <c r="O6136" t="n">
        <v>0.91</v>
      </c>
      <c r="P6136" t="n">
        <v>1</v>
      </c>
      <c r="Q6136" t="n">
        <v>0.29</v>
      </c>
      <c r="R6136" t="n">
        <v>3</v>
      </c>
      <c r="S6136" t="n">
        <v>29857.1</v>
      </c>
      <c r="T6136" t="n">
        <v>11</v>
      </c>
      <c r="U6136" t="n">
        <v>12</v>
      </c>
      <c r="V6136" t="n">
        <v>30</v>
      </c>
      <c r="W6136" t="n">
        <v>10</v>
      </c>
      <c r="X6136" t="n">
        <v>25.85649644473174</v>
      </c>
      <c r="Y6136" t="n">
        <v>1</v>
      </c>
      <c r="Z6136" t="n">
        <v>2</v>
      </c>
      <c r="AA6136" t="n">
        <v>0</v>
      </c>
      <c r="AB6136" t="n">
        <v>2</v>
      </c>
      <c r="AC6136" t="n">
        <v>3</v>
      </c>
      <c r="AD6136" t="n">
        <v>0</v>
      </c>
      <c r="AE6136" t="n">
        <v>236715</v>
      </c>
      <c r="AF6136" t="n">
        <v>11727</v>
      </c>
      <c r="AG6136" t="n">
        <v>63</v>
      </c>
      <c r="AH6136" t="inlineStr">
        <is>
          <t>PT. PARAMA GLOBAL INSPIRA - PPN (PDG)</t>
        </is>
      </c>
      <c r="AI6136" t="n">
        <v>164</v>
      </c>
      <c r="AJ6136" t="inlineStr">
        <is>
          <t>WARDAH</t>
        </is>
      </c>
      <c r="AK6136" t="n">
        <v>21</v>
      </c>
      <c r="AL6136" t="inlineStr">
        <is>
          <t>Miss Glam Damar</t>
        </is>
      </c>
      <c r="AM6136" t="n">
        <v>1</v>
      </c>
      <c r="AN6136" t="n">
        <v>500000</v>
      </c>
      <c r="AO6136" t="n">
        <v>0</v>
      </c>
      <c r="AP6136" t="inlineStr"/>
      <c r="AQ6136" t="inlineStr"/>
    </row>
    <row r="6137">
      <c r="A6137" t="inlineStr">
        <is>
          <t>WARDAH</t>
        </is>
      </c>
      <c r="B6137" s="2">
        <f>"8993137679022"</f>
        <v/>
      </c>
      <c r="C6137" t="inlineStr">
        <is>
          <t>WARDAH Exclusive Two Way Cake 12 g - Bedak - 03 Sandy Beige</t>
        </is>
      </c>
      <c r="D6137" t="inlineStr">
        <is>
          <t>Miss Glam Damar</t>
        </is>
      </c>
      <c r="E6137" t="n">
        <v>8</v>
      </c>
      <c r="F6137" t="n">
        <v>0.2002</v>
      </c>
      <c r="G6137" t="n">
        <v>1.82</v>
      </c>
      <c r="H6137" t="n">
        <v>2</v>
      </c>
      <c r="I6137" t="n">
        <v>6</v>
      </c>
      <c r="J6137" t="n">
        <v>3</v>
      </c>
      <c r="K6137" t="n">
        <v>0</v>
      </c>
      <c r="L6137" t="n">
        <v>78925</v>
      </c>
      <c r="M6137" t="n">
        <v>96500</v>
      </c>
      <c r="N6137" t="n">
        <v>91</v>
      </c>
      <c r="O6137" t="n">
        <v>0.91</v>
      </c>
      <c r="P6137" t="n">
        <v>1</v>
      </c>
      <c r="Q6137" t="n">
        <v>0.2</v>
      </c>
      <c r="R6137" t="n">
        <v>2</v>
      </c>
      <c r="S6137" t="n">
        <v>19319.3</v>
      </c>
      <c r="T6137" t="n">
        <v>11</v>
      </c>
      <c r="U6137" t="n">
        <v>12</v>
      </c>
      <c r="V6137" t="n">
        <v>30</v>
      </c>
      <c r="W6137" t="n">
        <v>7</v>
      </c>
      <c r="X6137" t="n">
        <v>39.96003996003996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11727</v>
      </c>
      <c r="AG6137" t="n">
        <v>63</v>
      </c>
      <c r="AH6137" t="inlineStr">
        <is>
          <t>PT. PARAMA GLOBAL INSPIRA - PPN (PDG)</t>
        </is>
      </c>
      <c r="AI6137" t="n">
        <v>164</v>
      </c>
      <c r="AJ6137" t="inlineStr">
        <is>
          <t>WARDAH</t>
        </is>
      </c>
      <c r="AK6137" t="n">
        <v>21</v>
      </c>
      <c r="AL6137" t="inlineStr">
        <is>
          <t>Miss Glam Damar</t>
        </is>
      </c>
      <c r="AM6137" t="n">
        <v>1</v>
      </c>
      <c r="AN6137" t="n">
        <v>500000</v>
      </c>
      <c r="AO6137" t="n">
        <v>0</v>
      </c>
      <c r="AP6137" t="inlineStr"/>
      <c r="AQ6137" t="inlineStr"/>
    </row>
    <row r="6138">
      <c r="A6138" t="inlineStr">
        <is>
          <t>WARDAH</t>
        </is>
      </c>
      <c r="B6138" s="2">
        <f>"8993137679091"</f>
        <v/>
      </c>
      <c r="C6138" t="inlineStr">
        <is>
          <t>WARDAH Exclusive Two Way Cake Reffil 05 Coffee Beige 12gr</t>
        </is>
      </c>
      <c r="D6138" t="inlineStr">
        <is>
          <t>Miss Glam Damar</t>
        </is>
      </c>
      <c r="E6138" t="n">
        <v>4</v>
      </c>
      <c r="F6138" t="n">
        <v>0.03</v>
      </c>
      <c r="G6138" t="n">
        <v>1</v>
      </c>
      <c r="H6138" t="n">
        <v>2</v>
      </c>
      <c r="I6138" t="n">
        <v>6</v>
      </c>
      <c r="J6138" t="n">
        <v>3</v>
      </c>
      <c r="K6138" t="n">
        <v>0</v>
      </c>
      <c r="L6138" t="n">
        <v>47280</v>
      </c>
      <c r="M6138" t="n">
        <v>58000</v>
      </c>
      <c r="N6138" t="n">
        <v>91</v>
      </c>
      <c r="O6138" t="n">
        <v>0.91</v>
      </c>
      <c r="P6138" t="n">
        <v>0</v>
      </c>
      <c r="Q6138" t="n">
        <v>0.03</v>
      </c>
      <c r="R6138" t="n">
        <v>1</v>
      </c>
      <c r="S6138" t="n">
        <v>1740</v>
      </c>
      <c r="T6138" t="n">
        <v>6</v>
      </c>
      <c r="U6138" t="n">
        <v>7</v>
      </c>
      <c r="V6138" t="n">
        <v>30</v>
      </c>
      <c r="W6138" t="n">
        <v>1</v>
      </c>
      <c r="X6138" t="n">
        <v>133.3333333333333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11727</v>
      </c>
      <c r="AG6138" t="n">
        <v>63</v>
      </c>
      <c r="AH6138" t="inlineStr">
        <is>
          <t>PT. PARAMA GLOBAL INSPIRA - PPN (PDG)</t>
        </is>
      </c>
      <c r="AI6138" t="n">
        <v>164</v>
      </c>
      <c r="AJ6138" t="inlineStr">
        <is>
          <t>WARDAH</t>
        </is>
      </c>
      <c r="AK6138" t="n">
        <v>21</v>
      </c>
      <c r="AL6138" t="inlineStr">
        <is>
          <t>Miss Glam Damar</t>
        </is>
      </c>
      <c r="AM6138" t="n">
        <v>1</v>
      </c>
      <c r="AN6138" t="n">
        <v>500000</v>
      </c>
      <c r="AO6138" t="n">
        <v>0</v>
      </c>
      <c r="AP6138" t="inlineStr"/>
      <c r="AQ6138" t="inlineStr"/>
    </row>
    <row r="6139">
      <c r="A6139" t="inlineStr">
        <is>
          <t>WARDAH</t>
        </is>
      </c>
      <c r="B6139" s="2">
        <f>"8993137678919"</f>
        <v/>
      </c>
      <c r="C6139" t="inlineStr">
        <is>
          <t>WARDAH Exclusive Two Way Cake SPF 15 02 Light Beige 12g</t>
        </is>
      </c>
      <c r="D6139" t="inlineStr">
        <is>
          <t>Miss Glam Damar</t>
        </is>
      </c>
      <c r="E6139" t="n">
        <v>9</v>
      </c>
      <c r="F6139" t="n">
        <v>0.3094</v>
      </c>
      <c r="G6139" t="n">
        <v>2.73</v>
      </c>
      <c r="H6139" t="n">
        <v>2</v>
      </c>
      <c r="I6139" t="n">
        <v>6</v>
      </c>
      <c r="J6139" t="n">
        <v>3</v>
      </c>
      <c r="K6139" t="n">
        <v>0</v>
      </c>
      <c r="L6139" t="n">
        <v>78928</v>
      </c>
      <c r="M6139" t="n">
        <v>96500</v>
      </c>
      <c r="N6139" t="n">
        <v>91</v>
      </c>
      <c r="O6139" t="n">
        <v>0.91</v>
      </c>
      <c r="P6139" t="n">
        <v>1</v>
      </c>
      <c r="Q6139" t="n">
        <v>0.34</v>
      </c>
      <c r="R6139" t="n">
        <v>3</v>
      </c>
      <c r="S6139" t="n">
        <v>29857.1</v>
      </c>
      <c r="T6139" t="n">
        <v>16</v>
      </c>
      <c r="U6139" t="n">
        <v>17</v>
      </c>
      <c r="V6139" t="n">
        <v>30</v>
      </c>
      <c r="W6139" t="n">
        <v>10</v>
      </c>
      <c r="X6139" t="n">
        <v>29.08855850032321</v>
      </c>
      <c r="Y6139" t="n">
        <v>1</v>
      </c>
      <c r="Z6139" t="n">
        <v>1</v>
      </c>
      <c r="AA6139" t="n">
        <v>0</v>
      </c>
      <c r="AB6139" t="n">
        <v>1</v>
      </c>
      <c r="AC6139" t="n">
        <v>3</v>
      </c>
      <c r="AD6139" t="n">
        <v>0</v>
      </c>
      <c r="AE6139" t="n">
        <v>236784</v>
      </c>
      <c r="AF6139" t="n">
        <v>11727</v>
      </c>
      <c r="AG6139" t="n">
        <v>63</v>
      </c>
      <c r="AH6139" t="inlineStr">
        <is>
          <t>PT. PARAMA GLOBAL INSPIRA - PPN (PDG)</t>
        </is>
      </c>
      <c r="AI6139" t="n">
        <v>164</v>
      </c>
      <c r="AJ6139" t="inlineStr">
        <is>
          <t>WARDAH</t>
        </is>
      </c>
      <c r="AK6139" t="n">
        <v>21</v>
      </c>
      <c r="AL6139" t="inlineStr">
        <is>
          <t>Miss Glam Damar</t>
        </is>
      </c>
      <c r="AM6139" t="n">
        <v>1</v>
      </c>
      <c r="AN6139" t="n">
        <v>500000</v>
      </c>
      <c r="AO6139" t="n">
        <v>0</v>
      </c>
      <c r="AP6139" t="inlineStr"/>
      <c r="AQ6139" t="inlineStr"/>
    </row>
    <row r="6140">
      <c r="A6140" t="inlineStr">
        <is>
          <t>WARDAH</t>
        </is>
      </c>
      <c r="B6140" s="2">
        <f>"11200151807"</f>
        <v/>
      </c>
      <c r="C6140" t="inlineStr">
        <is>
          <t>WARDAH Exosome EGF-PDRN Lift Regenerating Serum 30ml</t>
        </is>
      </c>
      <c r="D6140" t="inlineStr">
        <is>
          <t>Miss Glam Damar</t>
        </is>
      </c>
      <c r="E6140" t="n">
        <v>2</v>
      </c>
      <c r="F6140" t="n">
        <v>0.09100000000000001</v>
      </c>
      <c r="G6140" t="n">
        <v>0.91</v>
      </c>
      <c r="H6140" t="n">
        <v>2</v>
      </c>
      <c r="I6140" t="n">
        <v>6</v>
      </c>
      <c r="J6140" t="n">
        <v>1</v>
      </c>
      <c r="K6140" t="n">
        <v>0</v>
      </c>
      <c r="L6140" t="n">
        <v>181230</v>
      </c>
      <c r="M6140" t="n">
        <v>221500</v>
      </c>
      <c r="N6140" t="n">
        <v>91</v>
      </c>
      <c r="O6140" t="n">
        <v>0.91</v>
      </c>
      <c r="P6140" t="n">
        <v>1</v>
      </c>
      <c r="Q6140" t="n">
        <v>0.12</v>
      </c>
      <c r="R6140" t="n">
        <v>2</v>
      </c>
      <c r="S6140" t="n">
        <v>20156.5</v>
      </c>
      <c r="T6140" t="n">
        <v>6</v>
      </c>
      <c r="U6140" t="n">
        <v>7</v>
      </c>
      <c r="V6140" t="n">
        <v>30</v>
      </c>
      <c r="W6140" t="n">
        <v>3</v>
      </c>
      <c r="X6140" t="n">
        <v>21.97802197802197</v>
      </c>
      <c r="Y6140" t="n">
        <v>1</v>
      </c>
      <c r="Z6140" t="n">
        <v>1</v>
      </c>
      <c r="AA6140" t="n">
        <v>0</v>
      </c>
      <c r="AB6140" t="n">
        <v>1</v>
      </c>
      <c r="AC6140" t="n">
        <v>1</v>
      </c>
      <c r="AD6140" t="n">
        <v>0</v>
      </c>
      <c r="AE6140" t="n">
        <v>181230</v>
      </c>
      <c r="AF6140" t="n">
        <v>11727</v>
      </c>
      <c r="AG6140" t="n">
        <v>63</v>
      </c>
      <c r="AH6140" t="inlineStr">
        <is>
          <t>PT. PARAMA GLOBAL INSPIRA - PPN (PDG)</t>
        </is>
      </c>
      <c r="AI6140" t="n">
        <v>164</v>
      </c>
      <c r="AJ6140" t="inlineStr">
        <is>
          <t>WARDAH</t>
        </is>
      </c>
      <c r="AK6140" t="n">
        <v>21</v>
      </c>
      <c r="AL6140" t="inlineStr">
        <is>
          <t>Miss Glam Damar</t>
        </is>
      </c>
      <c r="AM6140" t="n">
        <v>1</v>
      </c>
      <c r="AN6140" t="n">
        <v>500000</v>
      </c>
      <c r="AO6140" t="n">
        <v>0</v>
      </c>
      <c r="AP6140" t="inlineStr"/>
      <c r="AQ6140" t="inlineStr"/>
    </row>
    <row r="6141">
      <c r="A6141" t="inlineStr">
        <is>
          <t>WARDAH</t>
        </is>
      </c>
      <c r="B6141" s="2">
        <f>"8993137574853"</f>
        <v/>
      </c>
      <c r="C6141" t="inlineStr">
        <is>
          <t>WARDAH Eye Liner Waterproof 1,14gr</t>
        </is>
      </c>
      <c r="D6141" t="inlineStr">
        <is>
          <t>Miss Glam Damar</t>
        </is>
      </c>
      <c r="E6141" t="n">
        <v>16</v>
      </c>
      <c r="F6141" t="n">
        <v>0.4823000000000001</v>
      </c>
      <c r="G6141" t="n">
        <v>1.82</v>
      </c>
      <c r="H6141" t="n">
        <v>2</v>
      </c>
      <c r="I6141" t="n">
        <v>6</v>
      </c>
      <c r="J6141" t="n">
        <v>3</v>
      </c>
      <c r="K6141" t="n">
        <v>0</v>
      </c>
      <c r="L6141" t="n">
        <v>33716</v>
      </c>
      <c r="M6141" t="n">
        <v>41500</v>
      </c>
      <c r="N6141" t="n">
        <v>91</v>
      </c>
      <c r="O6141" t="n">
        <v>0.91</v>
      </c>
      <c r="P6141" t="n">
        <v>1</v>
      </c>
      <c r="Q6141" t="n">
        <v>0.54</v>
      </c>
      <c r="R6141" t="n">
        <v>3</v>
      </c>
      <c r="S6141" t="n">
        <v>20015.45</v>
      </c>
      <c r="T6141" t="n">
        <v>10</v>
      </c>
      <c r="U6141" t="n">
        <v>11</v>
      </c>
      <c r="V6141" t="n">
        <v>30</v>
      </c>
      <c r="W6141" t="n">
        <v>15</v>
      </c>
      <c r="X6141" t="n">
        <v>33.1743727970143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11727</v>
      </c>
      <c r="AG6141" t="n">
        <v>63</v>
      </c>
      <c r="AH6141" t="inlineStr">
        <is>
          <t>PT. PARAMA GLOBAL INSPIRA - PPN (PDG)</t>
        </is>
      </c>
      <c r="AI6141" t="n">
        <v>164</v>
      </c>
      <c r="AJ6141" t="inlineStr">
        <is>
          <t>WARDAH</t>
        </is>
      </c>
      <c r="AK6141" t="n">
        <v>21</v>
      </c>
      <c r="AL6141" t="inlineStr">
        <is>
          <t>Miss Glam Damar</t>
        </is>
      </c>
      <c r="AM6141" t="n">
        <v>1</v>
      </c>
      <c r="AN6141" t="n">
        <v>500000</v>
      </c>
      <c r="AO6141" t="n">
        <v>0</v>
      </c>
      <c r="AP6141" t="inlineStr"/>
      <c r="AQ6141" t="inlineStr"/>
    </row>
    <row r="6142">
      <c r="A6142" t="inlineStr">
        <is>
          <t>WARDAH</t>
        </is>
      </c>
      <c r="B6142" s="2">
        <f>"8993137691062"</f>
        <v/>
      </c>
      <c r="C6142" t="inlineStr">
        <is>
          <t>WARDAH EyeXpert Aqua Lash Mascara 6g</t>
        </is>
      </c>
      <c r="D6142" t="inlineStr">
        <is>
          <t>Miss Glam Damar</t>
        </is>
      </c>
      <c r="E6142" t="n">
        <v>3</v>
      </c>
      <c r="F6142" t="n">
        <v>0.06370000000000001</v>
      </c>
      <c r="G6142" t="n">
        <v>0.91</v>
      </c>
      <c r="H6142" t="n">
        <v>2</v>
      </c>
      <c r="I6142" t="n">
        <v>6</v>
      </c>
      <c r="J6142" t="n">
        <v>3</v>
      </c>
      <c r="K6142" t="n">
        <v>0</v>
      </c>
      <c r="L6142" t="n">
        <v>39902</v>
      </c>
      <c r="M6142" t="n">
        <v>49000</v>
      </c>
      <c r="N6142" t="n">
        <v>91</v>
      </c>
      <c r="O6142" t="n">
        <v>0.91</v>
      </c>
      <c r="P6142" t="n">
        <v>1</v>
      </c>
      <c r="Q6142" t="n">
        <v>0.03</v>
      </c>
      <c r="R6142" t="n">
        <v>1</v>
      </c>
      <c r="S6142" t="n">
        <v>3121.3</v>
      </c>
      <c r="T6142" t="n">
        <v>6</v>
      </c>
      <c r="U6142" t="n">
        <v>7</v>
      </c>
      <c r="V6142" t="n">
        <v>30</v>
      </c>
      <c r="W6142" t="n">
        <v>2</v>
      </c>
      <c r="X6142" t="n">
        <v>47.09576138147566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11727</v>
      </c>
      <c r="AG6142" t="n">
        <v>63</v>
      </c>
      <c r="AH6142" t="inlineStr">
        <is>
          <t>PT. PARAMA GLOBAL INSPIRA - PPN (PDG)</t>
        </is>
      </c>
      <c r="AI6142" t="n">
        <v>164</v>
      </c>
      <c r="AJ6142" t="inlineStr">
        <is>
          <t>WARDAH</t>
        </is>
      </c>
      <c r="AK6142" t="n">
        <v>21</v>
      </c>
      <c r="AL6142" t="inlineStr">
        <is>
          <t>Miss Glam Damar</t>
        </is>
      </c>
      <c r="AM6142" t="n">
        <v>1</v>
      </c>
      <c r="AN6142" t="n">
        <v>500000</v>
      </c>
      <c r="AO6142" t="n">
        <v>0</v>
      </c>
      <c r="AP6142" t="inlineStr"/>
      <c r="AQ6142" t="inlineStr"/>
    </row>
    <row r="6143">
      <c r="A6143" t="inlineStr">
        <is>
          <t>WARDAH</t>
        </is>
      </c>
      <c r="B6143" s="2">
        <f>"8993137721417"</f>
        <v/>
      </c>
      <c r="C6143" t="inlineStr">
        <is>
          <t>WARDAH Eyexpert Brow Lash Serum 10ml</t>
        </is>
      </c>
      <c r="D6143" t="inlineStr">
        <is>
          <t>Miss Glam Damar</t>
        </is>
      </c>
      <c r="E6143" t="n">
        <v>5</v>
      </c>
      <c r="F6143" t="n">
        <v>0.1274</v>
      </c>
      <c r="G6143" t="n">
        <v>0.91</v>
      </c>
      <c r="H6143" t="n">
        <v>2</v>
      </c>
      <c r="I6143" t="n">
        <v>6</v>
      </c>
      <c r="J6143" t="n">
        <v>3</v>
      </c>
      <c r="K6143" t="n">
        <v>0</v>
      </c>
      <c r="L6143" t="n">
        <v>64992</v>
      </c>
      <c r="M6143" t="n">
        <v>79500</v>
      </c>
      <c r="N6143" t="n">
        <v>91</v>
      </c>
      <c r="O6143" t="n">
        <v>0.91</v>
      </c>
      <c r="P6143" t="n">
        <v>1</v>
      </c>
      <c r="Q6143" t="n">
        <v>0.05</v>
      </c>
      <c r="R6143" t="n">
        <v>1</v>
      </c>
      <c r="S6143" t="n">
        <v>10128.3</v>
      </c>
      <c r="T6143" t="n">
        <v>6</v>
      </c>
      <c r="U6143" t="n">
        <v>7</v>
      </c>
      <c r="V6143" t="n">
        <v>30</v>
      </c>
      <c r="W6143" t="n">
        <v>4</v>
      </c>
      <c r="X6143" t="n">
        <v>39.24646781789639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11727</v>
      </c>
      <c r="AG6143" t="n">
        <v>63</v>
      </c>
      <c r="AH6143" t="inlineStr">
        <is>
          <t>PT. PARAMA GLOBAL INSPIRA - PPN (PDG)</t>
        </is>
      </c>
      <c r="AI6143" t="n">
        <v>164</v>
      </c>
      <c r="AJ6143" t="inlineStr">
        <is>
          <t>WARDAH</t>
        </is>
      </c>
      <c r="AK6143" t="n">
        <v>21</v>
      </c>
      <c r="AL6143" t="inlineStr">
        <is>
          <t>Miss Glam Damar</t>
        </is>
      </c>
      <c r="AM6143" t="n">
        <v>1</v>
      </c>
      <c r="AN6143" t="n">
        <v>500000</v>
      </c>
      <c r="AO6143" t="n">
        <v>0</v>
      </c>
      <c r="AP6143" t="inlineStr"/>
      <c r="AQ6143" t="inlineStr"/>
    </row>
    <row r="6144">
      <c r="A6144" t="inlineStr">
        <is>
          <t>WARDAH</t>
        </is>
      </c>
      <c r="B6144" s="2">
        <f>"8993137694070"</f>
        <v/>
      </c>
      <c r="C6144" t="inlineStr">
        <is>
          <t>WARDAH EyeXpert Eye &amp; Lip Makeup Remover 50ml</t>
        </is>
      </c>
      <c r="D6144" t="inlineStr">
        <is>
          <t>Miss Glam Damar</t>
        </is>
      </c>
      <c r="E6144" t="n">
        <v>20</v>
      </c>
      <c r="F6144" t="n">
        <v>0.4914000000000001</v>
      </c>
      <c r="G6144" t="n">
        <v>2.73</v>
      </c>
      <c r="H6144" t="n">
        <v>2</v>
      </c>
      <c r="I6144" t="n">
        <v>6</v>
      </c>
      <c r="J6144" t="n">
        <v>3</v>
      </c>
      <c r="K6144" t="n">
        <v>0</v>
      </c>
      <c r="L6144" t="n">
        <v>21839</v>
      </c>
      <c r="M6144" t="n">
        <v>27000</v>
      </c>
      <c r="N6144" t="n">
        <v>91</v>
      </c>
      <c r="O6144" t="n">
        <v>0.91</v>
      </c>
      <c r="P6144" t="n">
        <v>1</v>
      </c>
      <c r="Q6144" t="n">
        <v>1.34</v>
      </c>
      <c r="R6144" t="n">
        <v>6</v>
      </c>
      <c r="S6144" t="n">
        <v>13267.8</v>
      </c>
      <c r="T6144" t="n">
        <v>16</v>
      </c>
      <c r="U6144" t="n">
        <v>17</v>
      </c>
      <c r="V6144" t="n">
        <v>30</v>
      </c>
      <c r="W6144" t="n">
        <v>15</v>
      </c>
      <c r="X6144" t="n">
        <v>40.7000407000407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11727</v>
      </c>
      <c r="AG6144" t="n">
        <v>63</v>
      </c>
      <c r="AH6144" t="inlineStr">
        <is>
          <t>PT. PARAMA GLOBAL INSPIRA - PPN (PDG)</t>
        </is>
      </c>
      <c r="AI6144" t="n">
        <v>164</v>
      </c>
      <c r="AJ6144" t="inlineStr">
        <is>
          <t>WARDAH</t>
        </is>
      </c>
      <c r="AK6144" t="n">
        <v>21</v>
      </c>
      <c r="AL6144" t="inlineStr">
        <is>
          <t>Miss Glam Damar</t>
        </is>
      </c>
      <c r="AM6144" t="n">
        <v>1</v>
      </c>
      <c r="AN6144" t="n">
        <v>500000</v>
      </c>
      <c r="AO6144" t="n">
        <v>0</v>
      </c>
      <c r="AP6144" t="inlineStr"/>
      <c r="AQ6144" t="inlineStr"/>
    </row>
    <row r="6145">
      <c r="A6145" t="inlineStr">
        <is>
          <t>WARDAH</t>
        </is>
      </c>
      <c r="B6145" s="2">
        <f>"8993137694087"</f>
        <v/>
      </c>
      <c r="C6145" t="inlineStr">
        <is>
          <t>WARDAH EyeXpert Eye Makeup Remover 100ml</t>
        </is>
      </c>
      <c r="D6145" t="inlineStr">
        <is>
          <t>Miss Glam Damar</t>
        </is>
      </c>
      <c r="E6145" t="n">
        <v>21</v>
      </c>
      <c r="F6145" t="n">
        <v>0.3822</v>
      </c>
      <c r="G6145" t="n">
        <v>5.46</v>
      </c>
      <c r="H6145" t="n">
        <v>2</v>
      </c>
      <c r="I6145" t="n">
        <v>6</v>
      </c>
      <c r="J6145" t="n">
        <v>3</v>
      </c>
      <c r="K6145" t="n">
        <v>0</v>
      </c>
      <c r="L6145" t="n">
        <v>33715</v>
      </c>
      <c r="M6145" t="n">
        <v>41500</v>
      </c>
      <c r="N6145" t="n">
        <v>91</v>
      </c>
      <c r="O6145" t="n">
        <v>0.91</v>
      </c>
      <c r="P6145" t="n">
        <v>1</v>
      </c>
      <c r="Q6145" t="n">
        <v>0.78</v>
      </c>
      <c r="R6145" t="n">
        <v>4</v>
      </c>
      <c r="S6145" t="n">
        <v>15861.3</v>
      </c>
      <c r="T6145" t="n">
        <v>32</v>
      </c>
      <c r="U6145" t="n">
        <v>33</v>
      </c>
      <c r="V6145" t="n">
        <v>30</v>
      </c>
      <c r="W6145" t="n">
        <v>12</v>
      </c>
      <c r="X6145" t="n">
        <v>54.94505494505495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11727</v>
      </c>
      <c r="AG6145" t="n">
        <v>63</v>
      </c>
      <c r="AH6145" t="inlineStr">
        <is>
          <t>PT. PARAMA GLOBAL INSPIRA - PPN (PDG)</t>
        </is>
      </c>
      <c r="AI6145" t="n">
        <v>164</v>
      </c>
      <c r="AJ6145" t="inlineStr">
        <is>
          <t>WARDAH</t>
        </is>
      </c>
      <c r="AK6145" t="n">
        <v>21</v>
      </c>
      <c r="AL6145" t="inlineStr">
        <is>
          <t>Miss Glam Damar</t>
        </is>
      </c>
      <c r="AM6145" t="n">
        <v>1</v>
      </c>
      <c r="AN6145" t="n">
        <v>500000</v>
      </c>
      <c r="AO6145" t="n">
        <v>0</v>
      </c>
      <c r="AP6145" t="inlineStr"/>
      <c r="AQ6145" t="inlineStr"/>
    </row>
    <row r="6146">
      <c r="A6146" t="inlineStr">
        <is>
          <t>WARDAH</t>
        </is>
      </c>
      <c r="B6146" s="2">
        <f>"20200469220"</f>
        <v/>
      </c>
      <c r="C6146" t="inlineStr">
        <is>
          <t>WARDAH EyeXpert Eyebrow Pencil Ash Brown 1.14 g with Sharpener</t>
        </is>
      </c>
      <c r="D6146" t="inlineStr">
        <is>
          <t>Miss Glam Damar</t>
        </is>
      </c>
      <c r="E6146" t="n">
        <v>0</v>
      </c>
      <c r="F6146" t="n">
        <v>0.3549</v>
      </c>
      <c r="G6146" t="n">
        <v>2.73</v>
      </c>
      <c r="H6146" t="n">
        <v>2</v>
      </c>
      <c r="I6146" t="n">
        <v>6</v>
      </c>
      <c r="J6146" t="n">
        <v>1</v>
      </c>
      <c r="K6146" t="n">
        <v>0</v>
      </c>
      <c r="L6146" t="n">
        <v>33717</v>
      </c>
      <c r="M6146" t="n">
        <v>41500</v>
      </c>
      <c r="N6146" t="n">
        <v>91</v>
      </c>
      <c r="O6146" t="n">
        <v>0.91</v>
      </c>
      <c r="P6146" t="n">
        <v>1</v>
      </c>
      <c r="Q6146" t="n">
        <v>0.78</v>
      </c>
      <c r="R6146" t="n">
        <v>3</v>
      </c>
      <c r="S6146" t="n">
        <v>14728.35</v>
      </c>
      <c r="T6146" t="n">
        <v>16</v>
      </c>
      <c r="U6146" t="n">
        <v>17</v>
      </c>
      <c r="V6146" t="n">
        <v>30</v>
      </c>
      <c r="W6146" t="n">
        <v>11</v>
      </c>
      <c r="X6146" t="n">
        <v>0</v>
      </c>
      <c r="Y6146" t="n">
        <v>1</v>
      </c>
      <c r="Z6146" t="n">
        <v>11</v>
      </c>
      <c r="AA6146" t="n">
        <v>3</v>
      </c>
      <c r="AB6146" t="n">
        <v>8</v>
      </c>
      <c r="AC6146" t="n">
        <v>8</v>
      </c>
      <c r="AD6146" t="n">
        <v>101151</v>
      </c>
      <c r="AE6146" t="n">
        <v>269736</v>
      </c>
      <c r="AF6146" t="n">
        <v>11727</v>
      </c>
      <c r="AG6146" t="n">
        <v>63</v>
      </c>
      <c r="AH6146" t="inlineStr">
        <is>
          <t>PT. PARAMA GLOBAL INSPIRA - PPN (PDG)</t>
        </is>
      </c>
      <c r="AI6146" t="n">
        <v>164</v>
      </c>
      <c r="AJ6146" t="inlineStr">
        <is>
          <t>WARDAH</t>
        </is>
      </c>
      <c r="AK6146" t="n">
        <v>21</v>
      </c>
      <c r="AL6146" t="inlineStr">
        <is>
          <t>Miss Glam Damar</t>
        </is>
      </c>
      <c r="AM6146" t="n">
        <v>1</v>
      </c>
      <c r="AN6146" t="n">
        <v>500000</v>
      </c>
      <c r="AO6146" t="n">
        <v>0</v>
      </c>
      <c r="AP6146" t="inlineStr"/>
      <c r="AQ6146" t="inlineStr"/>
    </row>
    <row r="6147">
      <c r="A6147" t="inlineStr">
        <is>
          <t>WARDAH</t>
        </is>
      </c>
      <c r="B6147" s="2">
        <f>"20200469003"</f>
        <v/>
      </c>
      <c r="C6147" t="inlineStr">
        <is>
          <t>WARDAH EyeXpert Eyebrow Pencil Black 1.14 g with Sharpener</t>
        </is>
      </c>
      <c r="D6147" t="inlineStr">
        <is>
          <t>Miss Glam Damar</t>
        </is>
      </c>
      <c r="E6147" t="n">
        <v>13</v>
      </c>
      <c r="F6147" t="n">
        <v>0.09100000000000001</v>
      </c>
      <c r="G6147" t="n">
        <v>1.82</v>
      </c>
      <c r="H6147" t="n">
        <v>2</v>
      </c>
      <c r="I6147" t="n">
        <v>6</v>
      </c>
      <c r="J6147" t="n">
        <v>1</v>
      </c>
      <c r="K6147" t="n">
        <v>0</v>
      </c>
      <c r="L6147" t="n">
        <v>33717</v>
      </c>
      <c r="M6147" t="n">
        <v>41500</v>
      </c>
      <c r="N6147" t="n">
        <v>91</v>
      </c>
      <c r="O6147" t="n">
        <v>0.91</v>
      </c>
      <c r="P6147" t="n">
        <v>1</v>
      </c>
      <c r="Q6147" t="n">
        <v>0.14</v>
      </c>
      <c r="R6147" t="n">
        <v>2</v>
      </c>
      <c r="S6147" t="n">
        <v>3776.5</v>
      </c>
      <c r="T6147" t="n">
        <v>11</v>
      </c>
      <c r="U6147" t="n">
        <v>12</v>
      </c>
      <c r="V6147" t="n">
        <v>30</v>
      </c>
      <c r="W6147" t="n">
        <v>3</v>
      </c>
      <c r="X6147" t="n">
        <v>142.8571428571428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11727</v>
      </c>
      <c r="AG6147" t="n">
        <v>63</v>
      </c>
      <c r="AH6147" t="inlineStr">
        <is>
          <t>PT. PARAMA GLOBAL INSPIRA - PPN (PDG)</t>
        </is>
      </c>
      <c r="AI6147" t="n">
        <v>164</v>
      </c>
      <c r="AJ6147" t="inlineStr">
        <is>
          <t>WARDAH</t>
        </is>
      </c>
      <c r="AK6147" t="n">
        <v>21</v>
      </c>
      <c r="AL6147" t="inlineStr">
        <is>
          <t>Miss Glam Damar</t>
        </is>
      </c>
      <c r="AM6147" t="n">
        <v>1</v>
      </c>
      <c r="AN6147" t="n">
        <v>500000</v>
      </c>
      <c r="AO6147" t="n">
        <v>0</v>
      </c>
      <c r="AP6147" t="inlineStr"/>
      <c r="AQ6147" t="inlineStr"/>
    </row>
    <row r="6148">
      <c r="A6148" t="inlineStr">
        <is>
          <t>WARDAH</t>
        </is>
      </c>
      <c r="B6148" s="2">
        <f>"8993137681452"</f>
        <v/>
      </c>
      <c r="C6148" t="inlineStr">
        <is>
          <t>WARDAH EyeXpert Eyebrow Pencil Black1.14gr</t>
        </is>
      </c>
      <c r="D6148" t="inlineStr">
        <is>
          <t>Miss Glam Damar</t>
        </is>
      </c>
      <c r="E6148" t="n">
        <v>4</v>
      </c>
      <c r="F6148" t="n">
        <v>0.1274</v>
      </c>
      <c r="G6148" t="n">
        <v>0.91</v>
      </c>
      <c r="H6148" t="n">
        <v>2</v>
      </c>
      <c r="I6148" t="n">
        <v>6</v>
      </c>
      <c r="J6148" t="n">
        <v>3</v>
      </c>
      <c r="K6148" t="n">
        <v>0</v>
      </c>
      <c r="L6148" t="n">
        <v>32950</v>
      </c>
      <c r="M6148" t="n">
        <v>41500</v>
      </c>
      <c r="N6148" t="n">
        <v>91</v>
      </c>
      <c r="O6148" t="n">
        <v>0.91</v>
      </c>
      <c r="P6148" t="n">
        <v>1</v>
      </c>
      <c r="Q6148" t="n">
        <v>0.08</v>
      </c>
      <c r="R6148" t="n">
        <v>1</v>
      </c>
      <c r="S6148" t="n">
        <v>5287.1</v>
      </c>
      <c r="T6148" t="n">
        <v>6</v>
      </c>
      <c r="U6148" t="n">
        <v>7</v>
      </c>
      <c r="V6148" t="n">
        <v>30</v>
      </c>
      <c r="W6148" t="n">
        <v>4</v>
      </c>
      <c r="X6148" t="n">
        <v>31.39717425431711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11727</v>
      </c>
      <c r="AG6148" t="n">
        <v>63</v>
      </c>
      <c r="AH6148" t="inlineStr">
        <is>
          <t>PT. PARAMA GLOBAL INSPIRA - PPN (PDG)</t>
        </is>
      </c>
      <c r="AI6148" t="n">
        <v>164</v>
      </c>
      <c r="AJ6148" t="inlineStr">
        <is>
          <t>WARDAH</t>
        </is>
      </c>
      <c r="AK6148" t="n">
        <v>21</v>
      </c>
      <c r="AL6148" t="inlineStr">
        <is>
          <t>Miss Glam Damar</t>
        </is>
      </c>
      <c r="AM6148" t="n">
        <v>1</v>
      </c>
      <c r="AN6148" t="n">
        <v>500000</v>
      </c>
      <c r="AO6148" t="n">
        <v>0</v>
      </c>
      <c r="AP6148" t="inlineStr"/>
      <c r="AQ6148" t="inlineStr"/>
    </row>
    <row r="6149">
      <c r="A6149" t="inlineStr">
        <is>
          <t>WARDAH</t>
        </is>
      </c>
      <c r="B6149" s="2">
        <f>"20200469156"</f>
        <v/>
      </c>
      <c r="C6149" t="inlineStr">
        <is>
          <t>WARDAH EyeXpert Eyebrow Pencil Brown 1.14 g with Sharpener</t>
        </is>
      </c>
      <c r="D6149" t="inlineStr">
        <is>
          <t>Miss Glam Damar</t>
        </is>
      </c>
      <c r="E6149" t="n">
        <v>25</v>
      </c>
      <c r="F6149" t="n">
        <v>0.2821</v>
      </c>
      <c r="G6149" t="n">
        <v>3.64</v>
      </c>
      <c r="H6149" t="n">
        <v>2</v>
      </c>
      <c r="I6149" t="n">
        <v>6</v>
      </c>
      <c r="J6149" t="n">
        <v>1</v>
      </c>
      <c r="K6149" t="n">
        <v>0</v>
      </c>
      <c r="L6149" t="n">
        <v>33717</v>
      </c>
      <c r="M6149" t="n">
        <v>41500</v>
      </c>
      <c r="N6149" t="n">
        <v>91</v>
      </c>
      <c r="O6149" t="n">
        <v>0.91</v>
      </c>
      <c r="P6149" t="n">
        <v>1</v>
      </c>
      <c r="Q6149" t="n">
        <v>0.75</v>
      </c>
      <c r="R6149" t="n">
        <v>3</v>
      </c>
      <c r="S6149" t="n">
        <v>11707.15</v>
      </c>
      <c r="T6149" t="n">
        <v>22</v>
      </c>
      <c r="U6149" t="n">
        <v>23</v>
      </c>
      <c r="V6149" t="n">
        <v>30</v>
      </c>
      <c r="W6149" t="n">
        <v>9</v>
      </c>
      <c r="X6149" t="n">
        <v>88.62105636299184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11727</v>
      </c>
      <c r="AG6149" t="n">
        <v>63</v>
      </c>
      <c r="AH6149" t="inlineStr">
        <is>
          <t>PT. PARAMA GLOBAL INSPIRA - PPN (PDG)</t>
        </is>
      </c>
      <c r="AI6149" t="n">
        <v>164</v>
      </c>
      <c r="AJ6149" t="inlineStr">
        <is>
          <t>WARDAH</t>
        </is>
      </c>
      <c r="AK6149" t="n">
        <v>21</v>
      </c>
      <c r="AL6149" t="inlineStr">
        <is>
          <t>Miss Glam Damar</t>
        </is>
      </c>
      <c r="AM6149" t="n">
        <v>1</v>
      </c>
      <c r="AN6149" t="n">
        <v>500000</v>
      </c>
      <c r="AO6149" t="n">
        <v>0</v>
      </c>
      <c r="AP6149" t="inlineStr"/>
      <c r="AQ6149" t="inlineStr"/>
    </row>
    <row r="6150">
      <c r="A6150" t="inlineStr">
        <is>
          <t>WARDAH</t>
        </is>
      </c>
      <c r="B6150" s="2">
        <f>"8993137681469"</f>
        <v/>
      </c>
      <c r="C6150" t="inlineStr">
        <is>
          <t>WARDAH EyeXpert Eyebrow Pencil Brown 1.14gr (Blister)</t>
        </is>
      </c>
      <c r="D6150" t="inlineStr">
        <is>
          <t>Miss Glam Damar</t>
        </is>
      </c>
      <c r="E6150" t="n">
        <v>7</v>
      </c>
      <c r="F6150" t="n">
        <v>0.1274</v>
      </c>
      <c r="G6150" t="n">
        <v>0.91</v>
      </c>
      <c r="H6150" t="n">
        <v>2</v>
      </c>
      <c r="I6150" t="n">
        <v>6</v>
      </c>
      <c r="J6150" t="n">
        <v>3</v>
      </c>
      <c r="K6150" t="n">
        <v>0</v>
      </c>
      <c r="L6150" t="n">
        <v>32950</v>
      </c>
      <c r="M6150" t="n">
        <v>41500</v>
      </c>
      <c r="N6150" t="n">
        <v>91</v>
      </c>
      <c r="O6150" t="n">
        <v>0.91</v>
      </c>
      <c r="P6150" t="n">
        <v>1</v>
      </c>
      <c r="Q6150" t="n">
        <v>0.25</v>
      </c>
      <c r="R6150" t="n">
        <v>3</v>
      </c>
      <c r="S6150" t="n">
        <v>5287.1</v>
      </c>
      <c r="T6150" t="n">
        <v>6</v>
      </c>
      <c r="U6150" t="n">
        <v>7</v>
      </c>
      <c r="V6150" t="n">
        <v>30</v>
      </c>
      <c r="W6150" t="n">
        <v>4</v>
      </c>
      <c r="X6150" t="n">
        <v>54.94505494505494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11727</v>
      </c>
      <c r="AG6150" t="n">
        <v>63</v>
      </c>
      <c r="AH6150" t="inlineStr">
        <is>
          <t>PT. PARAMA GLOBAL INSPIRA - PPN (PDG)</t>
        </is>
      </c>
      <c r="AI6150" t="n">
        <v>164</v>
      </c>
      <c r="AJ6150" t="inlineStr">
        <is>
          <t>WARDAH</t>
        </is>
      </c>
      <c r="AK6150" t="n">
        <v>21</v>
      </c>
      <c r="AL6150" t="inlineStr">
        <is>
          <t>Miss Glam Damar</t>
        </is>
      </c>
      <c r="AM6150" t="n">
        <v>1</v>
      </c>
      <c r="AN6150" t="n">
        <v>500000</v>
      </c>
      <c r="AO6150" t="n">
        <v>0</v>
      </c>
      <c r="AP6150" t="inlineStr"/>
      <c r="AQ6150" t="inlineStr"/>
    </row>
    <row r="6151">
      <c r="A6151" t="inlineStr">
        <is>
          <t>WARDAH</t>
        </is>
      </c>
      <c r="B6151" s="2">
        <f>"8993137715713"</f>
        <v/>
      </c>
      <c r="C6151" t="inlineStr">
        <is>
          <t>WARDAH Eyexpert Liftlast Waterproof Mascara 8ml</t>
        </is>
      </c>
      <c r="D6151" t="inlineStr">
        <is>
          <t>Miss Glam Damar</t>
        </is>
      </c>
      <c r="E6151" t="n">
        <v>13</v>
      </c>
      <c r="F6151" t="n">
        <v>0.47</v>
      </c>
      <c r="G6151" t="n">
        <v>2</v>
      </c>
      <c r="H6151" t="n">
        <v>2</v>
      </c>
      <c r="I6151" t="n">
        <v>6</v>
      </c>
      <c r="J6151" t="n">
        <v>3</v>
      </c>
      <c r="K6151" t="n">
        <v>0</v>
      </c>
      <c r="L6151" t="n">
        <v>49042</v>
      </c>
      <c r="M6151" t="n">
        <v>58000</v>
      </c>
      <c r="N6151" t="n">
        <v>91</v>
      </c>
      <c r="O6151" t="n">
        <v>0.91</v>
      </c>
      <c r="P6151" t="n">
        <v>0</v>
      </c>
      <c r="Q6151" t="n">
        <v>0.47</v>
      </c>
      <c r="R6151" t="n">
        <v>2</v>
      </c>
      <c r="S6151" t="n">
        <v>27260</v>
      </c>
      <c r="T6151" t="n">
        <v>12</v>
      </c>
      <c r="U6151" t="n">
        <v>13</v>
      </c>
      <c r="V6151" t="n">
        <v>30</v>
      </c>
      <c r="W6151" t="n">
        <v>15</v>
      </c>
      <c r="X6151" t="n">
        <v>27.65957446808511</v>
      </c>
      <c r="Y6151" t="n">
        <v>1</v>
      </c>
      <c r="Z6151" t="n">
        <v>2</v>
      </c>
      <c r="AA6151" t="n">
        <v>0</v>
      </c>
      <c r="AB6151" t="n">
        <v>2</v>
      </c>
      <c r="AC6151" t="n">
        <v>3</v>
      </c>
      <c r="AD6151" t="n">
        <v>0</v>
      </c>
      <c r="AE6151" t="n">
        <v>147126</v>
      </c>
      <c r="AF6151" t="n">
        <v>11727</v>
      </c>
      <c r="AG6151" t="n">
        <v>63</v>
      </c>
      <c r="AH6151" t="inlineStr">
        <is>
          <t>PT. PARAMA GLOBAL INSPIRA - PPN (PDG)</t>
        </is>
      </c>
      <c r="AI6151" t="n">
        <v>164</v>
      </c>
      <c r="AJ6151" t="inlineStr">
        <is>
          <t>WARDAH</t>
        </is>
      </c>
      <c r="AK6151" t="n">
        <v>21</v>
      </c>
      <c r="AL6151" t="inlineStr">
        <is>
          <t>Miss Glam Damar</t>
        </is>
      </c>
      <c r="AM6151" t="n">
        <v>1</v>
      </c>
      <c r="AN6151" t="n">
        <v>500000</v>
      </c>
      <c r="AO6151" t="n">
        <v>0</v>
      </c>
      <c r="AP6151" t="inlineStr"/>
      <c r="AQ6151" t="inlineStr"/>
    </row>
    <row r="6152">
      <c r="A6152" t="inlineStr">
        <is>
          <t>WARDAH</t>
        </is>
      </c>
      <c r="B6152" s="2">
        <f>"8993137711036"</f>
        <v/>
      </c>
      <c r="C6152" t="inlineStr">
        <is>
          <t>WARDAH Eyexpert Matic Brow Definer 01 Light Brown</t>
        </is>
      </c>
      <c r="D6152" t="inlineStr">
        <is>
          <t>Miss Glam Damar</t>
        </is>
      </c>
      <c r="E6152" t="n">
        <v>16</v>
      </c>
      <c r="F6152" t="n">
        <v>0.1365</v>
      </c>
      <c r="G6152" t="n">
        <v>0.91</v>
      </c>
      <c r="H6152" t="n">
        <v>2</v>
      </c>
      <c r="I6152" t="n">
        <v>6</v>
      </c>
      <c r="J6152" t="n">
        <v>3</v>
      </c>
      <c r="K6152" t="n">
        <v>0</v>
      </c>
      <c r="L6152" t="n">
        <v>42528</v>
      </c>
      <c r="M6152" t="n">
        <v>52000</v>
      </c>
      <c r="N6152" t="n">
        <v>91</v>
      </c>
      <c r="O6152" t="n">
        <v>0.91</v>
      </c>
      <c r="P6152" t="n">
        <v>1</v>
      </c>
      <c r="Q6152" t="n">
        <v>0.39</v>
      </c>
      <c r="R6152" t="n">
        <v>2</v>
      </c>
      <c r="S6152" t="n">
        <v>7098.000000000001</v>
      </c>
      <c r="T6152" t="n">
        <v>6</v>
      </c>
      <c r="U6152" t="n">
        <v>7</v>
      </c>
      <c r="V6152" t="n">
        <v>30</v>
      </c>
      <c r="W6152" t="n">
        <v>5</v>
      </c>
      <c r="X6152" t="n">
        <v>117.2161172161172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11727</v>
      </c>
      <c r="AG6152" t="n">
        <v>63</v>
      </c>
      <c r="AH6152" t="inlineStr">
        <is>
          <t>PT. PARAMA GLOBAL INSPIRA - PPN (PDG)</t>
        </is>
      </c>
      <c r="AI6152" t="n">
        <v>164</v>
      </c>
      <c r="AJ6152" t="inlineStr">
        <is>
          <t>WARDAH</t>
        </is>
      </c>
      <c r="AK6152" t="n">
        <v>21</v>
      </c>
      <c r="AL6152" t="inlineStr">
        <is>
          <t>Miss Glam Damar</t>
        </is>
      </c>
      <c r="AM6152" t="n">
        <v>1</v>
      </c>
      <c r="AN6152" t="n">
        <v>500000</v>
      </c>
      <c r="AO6152" t="n">
        <v>0</v>
      </c>
      <c r="AP6152" t="inlineStr"/>
      <c r="AQ6152" t="inlineStr"/>
    </row>
    <row r="6153">
      <c r="A6153" t="inlineStr">
        <is>
          <t>WARDAH</t>
        </is>
      </c>
      <c r="B6153" s="2">
        <f>"8993137711043"</f>
        <v/>
      </c>
      <c r="C6153" t="inlineStr">
        <is>
          <t>WARDAH Eyexpert Matic Brow Definer 02 Dark Brown</t>
        </is>
      </c>
      <c r="D6153" t="inlineStr">
        <is>
          <t>Miss Glam Damar</t>
        </is>
      </c>
      <c r="E6153" t="n">
        <v>25</v>
      </c>
      <c r="F6153" t="n">
        <v>1.0374</v>
      </c>
      <c r="G6153" t="n">
        <v>5.46</v>
      </c>
      <c r="H6153" t="n">
        <v>2</v>
      </c>
      <c r="I6153" t="n">
        <v>6</v>
      </c>
      <c r="J6153" t="n">
        <v>3</v>
      </c>
      <c r="K6153" t="n">
        <v>0</v>
      </c>
      <c r="L6153" t="n">
        <v>42530</v>
      </c>
      <c r="M6153" t="n">
        <v>52000</v>
      </c>
      <c r="N6153" t="n">
        <v>91</v>
      </c>
      <c r="O6153" t="n">
        <v>0.91</v>
      </c>
      <c r="P6153" t="n">
        <v>1</v>
      </c>
      <c r="Q6153" t="n">
        <v>0.98</v>
      </c>
      <c r="R6153" t="n">
        <v>3</v>
      </c>
      <c r="S6153" t="n">
        <v>53944.8</v>
      </c>
      <c r="T6153" t="n">
        <v>31</v>
      </c>
      <c r="U6153" t="n">
        <v>34</v>
      </c>
      <c r="V6153" t="n">
        <v>30</v>
      </c>
      <c r="W6153" t="n">
        <v>32</v>
      </c>
      <c r="X6153" t="n">
        <v>24.09870830923463</v>
      </c>
      <c r="Y6153" t="n">
        <v>1</v>
      </c>
      <c r="Z6153" t="n">
        <v>7</v>
      </c>
      <c r="AA6153" t="n">
        <v>0</v>
      </c>
      <c r="AB6153" t="n">
        <v>7</v>
      </c>
      <c r="AC6153" t="n">
        <v>7</v>
      </c>
      <c r="AD6153" t="n">
        <v>0</v>
      </c>
      <c r="AE6153" t="n">
        <v>297710</v>
      </c>
      <c r="AF6153" t="n">
        <v>11727</v>
      </c>
      <c r="AG6153" t="n">
        <v>63</v>
      </c>
      <c r="AH6153" t="inlineStr">
        <is>
          <t>PT. PARAMA GLOBAL INSPIRA - PPN (PDG)</t>
        </is>
      </c>
      <c r="AI6153" t="n">
        <v>164</v>
      </c>
      <c r="AJ6153" t="inlineStr">
        <is>
          <t>WARDAH</t>
        </is>
      </c>
      <c r="AK6153" t="n">
        <v>21</v>
      </c>
      <c r="AL6153" t="inlineStr">
        <is>
          <t>Miss Glam Damar</t>
        </is>
      </c>
      <c r="AM6153" t="n">
        <v>1</v>
      </c>
      <c r="AN6153" t="n">
        <v>500000</v>
      </c>
      <c r="AO6153" t="n">
        <v>0</v>
      </c>
      <c r="AP6153" t="inlineStr"/>
      <c r="AQ6153" t="inlineStr"/>
    </row>
    <row r="6154">
      <c r="A6154" t="inlineStr">
        <is>
          <t>WARDAH</t>
        </is>
      </c>
      <c r="B6154" s="2">
        <f>"8993137711050"</f>
        <v/>
      </c>
      <c r="C6154" t="inlineStr">
        <is>
          <t>WARDAH Eyexpert Matic Brow Definer 03 Dark Grey</t>
        </is>
      </c>
      <c r="D6154" t="inlineStr">
        <is>
          <t>Miss Glam Damar</t>
        </is>
      </c>
      <c r="E6154" t="n">
        <v>7</v>
      </c>
      <c r="F6154" t="n">
        <v>0.2002</v>
      </c>
      <c r="G6154" t="n">
        <v>1.82</v>
      </c>
      <c r="H6154" t="n">
        <v>2</v>
      </c>
      <c r="I6154" t="n">
        <v>6</v>
      </c>
      <c r="J6154" t="n">
        <v>3</v>
      </c>
      <c r="K6154" t="n">
        <v>0</v>
      </c>
      <c r="L6154" t="n">
        <v>42530</v>
      </c>
      <c r="M6154" t="n">
        <v>52500</v>
      </c>
      <c r="N6154" t="n">
        <v>91</v>
      </c>
      <c r="O6154" t="n">
        <v>0.91</v>
      </c>
      <c r="P6154" t="n">
        <v>1</v>
      </c>
      <c r="Q6154" t="n">
        <v>0.27</v>
      </c>
      <c r="R6154" t="n">
        <v>1</v>
      </c>
      <c r="S6154" t="n">
        <v>10510.5</v>
      </c>
      <c r="T6154" t="n">
        <v>11</v>
      </c>
      <c r="U6154" t="n">
        <v>12</v>
      </c>
      <c r="V6154" t="n">
        <v>30</v>
      </c>
      <c r="W6154" t="n">
        <v>7</v>
      </c>
      <c r="X6154" t="n">
        <v>34.96503496503496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11727</v>
      </c>
      <c r="AG6154" t="n">
        <v>63</v>
      </c>
      <c r="AH6154" t="inlineStr">
        <is>
          <t>PT. PARAMA GLOBAL INSPIRA - PPN (PDG)</t>
        </is>
      </c>
      <c r="AI6154" t="n">
        <v>164</v>
      </c>
      <c r="AJ6154" t="inlineStr">
        <is>
          <t>WARDAH</t>
        </is>
      </c>
      <c r="AK6154" t="n">
        <v>21</v>
      </c>
      <c r="AL6154" t="inlineStr">
        <is>
          <t>Miss Glam Damar</t>
        </is>
      </c>
      <c r="AM6154" t="n">
        <v>1</v>
      </c>
      <c r="AN6154" t="n">
        <v>500000</v>
      </c>
      <c r="AO6154" t="n">
        <v>0</v>
      </c>
      <c r="AP6154" t="inlineStr"/>
      <c r="AQ6154" t="inlineStr"/>
    </row>
    <row r="6155">
      <c r="A6155" t="inlineStr">
        <is>
          <t>WARDAH</t>
        </is>
      </c>
      <c r="B6155" s="2">
        <f>"8993137691154"</f>
        <v/>
      </c>
      <c r="C6155" t="inlineStr">
        <is>
          <t>WARDAH EyeXpert Optimum Hi-Black Liner 1gr</t>
        </is>
      </c>
      <c r="D6155" t="inlineStr">
        <is>
          <t>Miss Glam Damar</t>
        </is>
      </c>
      <c r="E6155" t="n">
        <v>24</v>
      </c>
      <c r="F6155" t="n">
        <v>0.8827</v>
      </c>
      <c r="G6155" t="n">
        <v>3.64</v>
      </c>
      <c r="H6155" t="n">
        <v>2</v>
      </c>
      <c r="I6155" t="n">
        <v>6</v>
      </c>
      <c r="J6155" t="n">
        <v>3</v>
      </c>
      <c r="K6155" t="n">
        <v>0</v>
      </c>
      <c r="L6155" t="n">
        <v>62836</v>
      </c>
      <c r="M6155" t="n">
        <v>77000</v>
      </c>
      <c r="N6155" t="n">
        <v>91</v>
      </c>
      <c r="O6155" t="n">
        <v>0.91</v>
      </c>
      <c r="P6155" t="n">
        <v>1</v>
      </c>
      <c r="Q6155" t="n">
        <v>0.98</v>
      </c>
      <c r="R6155" t="n">
        <v>4</v>
      </c>
      <c r="S6155" t="n">
        <v>67967.90000000001</v>
      </c>
      <c r="T6155" t="n">
        <v>21</v>
      </c>
      <c r="U6155" t="n">
        <v>23</v>
      </c>
      <c r="V6155" t="n">
        <v>30</v>
      </c>
      <c r="W6155" t="n">
        <v>27</v>
      </c>
      <c r="X6155" t="n">
        <v>27.189305539821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11727</v>
      </c>
      <c r="AG6155" t="n">
        <v>63</v>
      </c>
      <c r="AH6155" t="inlineStr">
        <is>
          <t>PT. PARAMA GLOBAL INSPIRA - PPN (PDG)</t>
        </is>
      </c>
      <c r="AI6155" t="n">
        <v>164</v>
      </c>
      <c r="AJ6155" t="inlineStr">
        <is>
          <t>WARDAH</t>
        </is>
      </c>
      <c r="AK6155" t="n">
        <v>21</v>
      </c>
      <c r="AL6155" t="inlineStr">
        <is>
          <t>Miss Glam Damar</t>
        </is>
      </c>
      <c r="AM6155" t="n">
        <v>1</v>
      </c>
      <c r="AN6155" t="n">
        <v>500000</v>
      </c>
      <c r="AO6155" t="n">
        <v>0</v>
      </c>
      <c r="AP6155" t="inlineStr"/>
      <c r="AQ6155" t="inlineStr"/>
    </row>
    <row r="6156">
      <c r="A6156" t="inlineStr">
        <is>
          <t>WARDAH</t>
        </is>
      </c>
      <c r="B6156" s="2">
        <f>"8993137714143"</f>
        <v/>
      </c>
      <c r="C6156" t="inlineStr">
        <is>
          <t>WARDAH Eyexpert Perfect Precision Liner 1ml</t>
        </is>
      </c>
      <c r="D6156" t="inlineStr">
        <is>
          <t>Miss Glam Damar</t>
        </is>
      </c>
      <c r="E6156" t="n">
        <v>25</v>
      </c>
      <c r="F6156" t="n">
        <v>0.4823000000000001</v>
      </c>
      <c r="G6156" t="n">
        <v>2.73</v>
      </c>
      <c r="H6156" t="n">
        <v>2</v>
      </c>
      <c r="I6156" t="n">
        <v>6</v>
      </c>
      <c r="J6156" t="n">
        <v>3</v>
      </c>
      <c r="K6156" t="n">
        <v>0</v>
      </c>
      <c r="L6156" t="n">
        <v>43295</v>
      </c>
      <c r="M6156" t="n">
        <v>53000</v>
      </c>
      <c r="N6156" t="n">
        <v>91</v>
      </c>
      <c r="O6156" t="n">
        <v>0.91</v>
      </c>
      <c r="P6156" t="n">
        <v>1</v>
      </c>
      <c r="Q6156" t="n">
        <v>0.92</v>
      </c>
      <c r="R6156" t="n">
        <v>4</v>
      </c>
      <c r="S6156" t="n">
        <v>25561.90000000001</v>
      </c>
      <c r="T6156" t="n">
        <v>16</v>
      </c>
      <c r="U6156" t="n">
        <v>17</v>
      </c>
      <c r="V6156" t="n">
        <v>30</v>
      </c>
      <c r="W6156" t="n">
        <v>15</v>
      </c>
      <c r="X6156" t="n">
        <v>51.83495749533485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11727</v>
      </c>
      <c r="AG6156" t="n">
        <v>63</v>
      </c>
      <c r="AH6156" t="inlineStr">
        <is>
          <t>PT. PARAMA GLOBAL INSPIRA - PPN (PDG)</t>
        </is>
      </c>
      <c r="AI6156" t="n">
        <v>164</v>
      </c>
      <c r="AJ6156" t="inlineStr">
        <is>
          <t>WARDAH</t>
        </is>
      </c>
      <c r="AK6156" t="n">
        <v>21</v>
      </c>
      <c r="AL6156" t="inlineStr">
        <is>
          <t>Miss Glam Damar</t>
        </is>
      </c>
      <c r="AM6156" t="n">
        <v>1</v>
      </c>
      <c r="AN6156" t="n">
        <v>500000</v>
      </c>
      <c r="AO6156" t="n">
        <v>0</v>
      </c>
      <c r="AP6156" t="inlineStr"/>
      <c r="AQ6156" t="inlineStr"/>
    </row>
    <row r="6157">
      <c r="A6157" t="inlineStr">
        <is>
          <t>WARDAH</t>
        </is>
      </c>
      <c r="B6157" s="2">
        <f>"8993137691055"</f>
        <v/>
      </c>
      <c r="C6157" t="inlineStr">
        <is>
          <t>WARDAH EyeXpert Perfectcurl Mascara 7gr</t>
        </is>
      </c>
      <c r="D6157" t="inlineStr">
        <is>
          <t>Miss Glam Damar</t>
        </is>
      </c>
      <c r="E6157" t="n">
        <v>6</v>
      </c>
      <c r="F6157" t="n">
        <v>0.2002</v>
      </c>
      <c r="G6157" t="n">
        <v>1.82</v>
      </c>
      <c r="H6157" t="n">
        <v>2</v>
      </c>
      <c r="I6157" t="n">
        <v>6</v>
      </c>
      <c r="J6157" t="n">
        <v>3</v>
      </c>
      <c r="K6157" t="n">
        <v>0</v>
      </c>
      <c r="L6157" t="n">
        <v>55170</v>
      </c>
      <c r="M6157" t="n">
        <v>67500</v>
      </c>
      <c r="N6157" t="n">
        <v>91</v>
      </c>
      <c r="O6157" t="n">
        <v>0.91</v>
      </c>
      <c r="P6157" t="n">
        <v>1</v>
      </c>
      <c r="Q6157" t="n">
        <v>0.1</v>
      </c>
      <c r="R6157" t="n">
        <v>2</v>
      </c>
      <c r="S6157" t="n">
        <v>13513.5</v>
      </c>
      <c r="T6157" t="n">
        <v>11</v>
      </c>
      <c r="U6157" t="n">
        <v>12</v>
      </c>
      <c r="V6157" t="n">
        <v>30</v>
      </c>
      <c r="W6157" t="n">
        <v>7</v>
      </c>
      <c r="X6157" t="n">
        <v>29.97002997002997</v>
      </c>
      <c r="Y6157" t="n">
        <v>1</v>
      </c>
      <c r="Z6157" t="n">
        <v>1</v>
      </c>
      <c r="AA6157" t="n">
        <v>0</v>
      </c>
      <c r="AB6157" t="n">
        <v>1</v>
      </c>
      <c r="AC6157" t="n">
        <v>3</v>
      </c>
      <c r="AD6157" t="n">
        <v>0</v>
      </c>
      <c r="AE6157" t="n">
        <v>165510</v>
      </c>
      <c r="AF6157" t="n">
        <v>11727</v>
      </c>
      <c r="AG6157" t="n">
        <v>63</v>
      </c>
      <c r="AH6157" t="inlineStr">
        <is>
          <t>PT. PARAMA GLOBAL INSPIRA - PPN (PDG)</t>
        </is>
      </c>
      <c r="AI6157" t="n">
        <v>164</v>
      </c>
      <c r="AJ6157" t="inlineStr">
        <is>
          <t>WARDAH</t>
        </is>
      </c>
      <c r="AK6157" t="n">
        <v>21</v>
      </c>
      <c r="AL6157" t="inlineStr">
        <is>
          <t>Miss Glam Damar</t>
        </is>
      </c>
      <c r="AM6157" t="n">
        <v>1</v>
      </c>
      <c r="AN6157" t="n">
        <v>500000</v>
      </c>
      <c r="AO6157" t="n">
        <v>0</v>
      </c>
      <c r="AP6157" t="inlineStr"/>
      <c r="AQ6157" t="inlineStr"/>
    </row>
    <row r="6158">
      <c r="A6158" t="inlineStr">
        <is>
          <t>WARDAH</t>
        </is>
      </c>
      <c r="B6158" s="2">
        <f>"8993137694155"</f>
        <v/>
      </c>
      <c r="C6158" t="inlineStr">
        <is>
          <t>WARDAH EyeXpert The Volume Expert Mascara 7gr</t>
        </is>
      </c>
      <c r="D6158" t="inlineStr">
        <is>
          <t>Miss Glam Damar</t>
        </is>
      </c>
      <c r="E6158" t="n">
        <v>15</v>
      </c>
      <c r="F6158" t="n">
        <v>0.6643</v>
      </c>
      <c r="G6158" t="n">
        <v>1.82</v>
      </c>
      <c r="H6158" t="n">
        <v>2</v>
      </c>
      <c r="I6158" t="n">
        <v>6</v>
      </c>
      <c r="J6158" t="n">
        <v>3</v>
      </c>
      <c r="K6158" t="n">
        <v>0</v>
      </c>
      <c r="L6158" t="n">
        <v>65135</v>
      </c>
      <c r="M6158" t="n">
        <v>79500</v>
      </c>
      <c r="N6158" t="n">
        <v>91</v>
      </c>
      <c r="O6158" t="n">
        <v>0.91</v>
      </c>
      <c r="P6158" t="n">
        <v>1</v>
      </c>
      <c r="Q6158" t="n">
        <v>0.49</v>
      </c>
      <c r="R6158" t="n">
        <v>3</v>
      </c>
      <c r="S6158" t="n">
        <v>52811.85</v>
      </c>
      <c r="T6158" t="n">
        <v>10</v>
      </c>
      <c r="U6158" t="n">
        <v>12</v>
      </c>
      <c r="V6158" t="n">
        <v>30</v>
      </c>
      <c r="W6158" t="n">
        <v>20</v>
      </c>
      <c r="X6158" t="n">
        <v>22.58015956646094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11727</v>
      </c>
      <c r="AG6158" t="n">
        <v>63</v>
      </c>
      <c r="AH6158" t="inlineStr">
        <is>
          <t>PT. PARAMA GLOBAL INSPIRA - PPN (PDG)</t>
        </is>
      </c>
      <c r="AI6158" t="n">
        <v>164</v>
      </c>
      <c r="AJ6158" t="inlineStr">
        <is>
          <t>WARDAH</t>
        </is>
      </c>
      <c r="AK6158" t="n">
        <v>21</v>
      </c>
      <c r="AL6158" t="inlineStr">
        <is>
          <t>Miss Glam Damar</t>
        </is>
      </c>
      <c r="AM6158" t="n">
        <v>1</v>
      </c>
      <c r="AN6158" t="n">
        <v>500000</v>
      </c>
      <c r="AO6158" t="n">
        <v>0</v>
      </c>
      <c r="AP6158" t="inlineStr"/>
      <c r="AQ6158" t="inlineStr"/>
    </row>
    <row r="6159">
      <c r="A6159" t="inlineStr">
        <is>
          <t>WARDAH</t>
        </is>
      </c>
      <c r="B6159" s="2">
        <f>"8993137000666"</f>
        <v/>
      </c>
      <c r="C6159" t="inlineStr">
        <is>
          <t>WARDAH Glasting Liquid Lip 01 Caramel Coat 3,5gr</t>
        </is>
      </c>
      <c r="D6159" t="inlineStr">
        <is>
          <t>Miss Glam Damar</t>
        </is>
      </c>
      <c r="E6159" t="n">
        <v>11</v>
      </c>
      <c r="F6159" t="n">
        <v>0.3276</v>
      </c>
      <c r="G6159" t="n">
        <v>2.73</v>
      </c>
      <c r="H6159" t="n">
        <v>2</v>
      </c>
      <c r="I6159" t="n">
        <v>6</v>
      </c>
      <c r="J6159" t="n">
        <v>3</v>
      </c>
      <c r="K6159" t="n">
        <v>0</v>
      </c>
      <c r="L6159" t="n">
        <v>68579</v>
      </c>
      <c r="M6159" t="n">
        <v>84000</v>
      </c>
      <c r="N6159" t="n">
        <v>91</v>
      </c>
      <c r="O6159" t="n">
        <v>0.91</v>
      </c>
      <c r="P6159" t="n">
        <v>1</v>
      </c>
      <c r="Q6159" t="n">
        <v>0.34</v>
      </c>
      <c r="R6159" t="n">
        <v>2</v>
      </c>
      <c r="S6159" t="n">
        <v>27518.4</v>
      </c>
      <c r="T6159" t="n">
        <v>16</v>
      </c>
      <c r="U6159" t="n">
        <v>17</v>
      </c>
      <c r="V6159" t="n">
        <v>30</v>
      </c>
      <c r="W6159" t="n">
        <v>10</v>
      </c>
      <c r="X6159" t="n">
        <v>33.57753357753358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11727</v>
      </c>
      <c r="AG6159" t="n">
        <v>63</v>
      </c>
      <c r="AH6159" t="inlineStr">
        <is>
          <t>PT. PARAMA GLOBAL INSPIRA - PPN (PDG)</t>
        </is>
      </c>
      <c r="AI6159" t="n">
        <v>164</v>
      </c>
      <c r="AJ6159" t="inlineStr">
        <is>
          <t>WARDAH</t>
        </is>
      </c>
      <c r="AK6159" t="n">
        <v>21</v>
      </c>
      <c r="AL6159" t="inlineStr">
        <is>
          <t>Miss Glam Damar</t>
        </is>
      </c>
      <c r="AM6159" t="n">
        <v>1</v>
      </c>
      <c r="AN6159" t="n">
        <v>500000</v>
      </c>
      <c r="AO6159" t="n">
        <v>0</v>
      </c>
      <c r="AP6159" t="inlineStr"/>
      <c r="AQ6159" t="inlineStr"/>
    </row>
    <row r="6160">
      <c r="A6160" t="inlineStr">
        <is>
          <t>WARDAH</t>
        </is>
      </c>
      <c r="B6160" s="2">
        <f>"8993137000673"</f>
        <v/>
      </c>
      <c r="C6160" t="inlineStr">
        <is>
          <t>WARDAH Glasting Liquid Lip 02 Peach Polish 3,5gr</t>
        </is>
      </c>
      <c r="D6160" t="inlineStr">
        <is>
          <t>Miss Glam Damar</t>
        </is>
      </c>
      <c r="E6160" t="n">
        <v>19</v>
      </c>
      <c r="F6160" t="n">
        <v>0.8918</v>
      </c>
      <c r="G6160" t="n">
        <v>4.55</v>
      </c>
      <c r="H6160" t="n">
        <v>2</v>
      </c>
      <c r="I6160" t="n">
        <v>6</v>
      </c>
      <c r="J6160" t="n">
        <v>3</v>
      </c>
      <c r="K6160" t="n">
        <v>0</v>
      </c>
      <c r="L6160" t="n">
        <v>68582</v>
      </c>
      <c r="M6160" t="n">
        <v>84000</v>
      </c>
      <c r="N6160" t="n">
        <v>91</v>
      </c>
      <c r="O6160" t="n">
        <v>0.91</v>
      </c>
      <c r="P6160" t="n">
        <v>1</v>
      </c>
      <c r="Q6160" t="n">
        <v>0.73</v>
      </c>
      <c r="R6160" t="n">
        <v>3</v>
      </c>
      <c r="S6160" t="n">
        <v>74911.2</v>
      </c>
      <c r="T6160" t="n">
        <v>26</v>
      </c>
      <c r="U6160" t="n">
        <v>28</v>
      </c>
      <c r="V6160" t="n">
        <v>30</v>
      </c>
      <c r="W6160" t="n">
        <v>27</v>
      </c>
      <c r="X6160" t="n">
        <v>21.30522538685804</v>
      </c>
      <c r="Y6160" t="n">
        <v>1</v>
      </c>
      <c r="Z6160" t="n">
        <v>8</v>
      </c>
      <c r="AA6160" t="n">
        <v>0</v>
      </c>
      <c r="AB6160" t="n">
        <v>8</v>
      </c>
      <c r="AC6160" t="n">
        <v>8</v>
      </c>
      <c r="AD6160" t="n">
        <v>0</v>
      </c>
      <c r="AE6160" t="n">
        <v>548656</v>
      </c>
      <c r="AF6160" t="n">
        <v>11727</v>
      </c>
      <c r="AG6160" t="n">
        <v>63</v>
      </c>
      <c r="AH6160" t="inlineStr">
        <is>
          <t>PT. PARAMA GLOBAL INSPIRA - PPN (PDG)</t>
        </is>
      </c>
      <c r="AI6160" t="n">
        <v>164</v>
      </c>
      <c r="AJ6160" t="inlineStr">
        <is>
          <t>WARDAH</t>
        </is>
      </c>
      <c r="AK6160" t="n">
        <v>21</v>
      </c>
      <c r="AL6160" t="inlineStr">
        <is>
          <t>Miss Glam Damar</t>
        </is>
      </c>
      <c r="AM6160" t="n">
        <v>1</v>
      </c>
      <c r="AN6160" t="n">
        <v>500000</v>
      </c>
      <c r="AO6160" t="n">
        <v>0</v>
      </c>
      <c r="AP6160" t="inlineStr"/>
      <c r="AQ6160" t="inlineStr"/>
    </row>
    <row r="6161">
      <c r="A6161" t="inlineStr">
        <is>
          <t>WARDAH</t>
        </is>
      </c>
      <c r="B6161" s="2">
        <f>"8993137000680"</f>
        <v/>
      </c>
      <c r="C6161" t="inlineStr">
        <is>
          <t>WARDAH Glasting Liquid Lip 03 Dazzle Mapple 3,5gr</t>
        </is>
      </c>
      <c r="D6161" t="inlineStr">
        <is>
          <t>Miss Glam Damar</t>
        </is>
      </c>
      <c r="E6161" t="n">
        <v>4</v>
      </c>
      <c r="F6161" t="n">
        <v>0.182</v>
      </c>
      <c r="G6161" t="n">
        <v>1.82</v>
      </c>
      <c r="H6161" t="n">
        <v>2</v>
      </c>
      <c r="I6161" t="n">
        <v>6</v>
      </c>
      <c r="J6161" t="n">
        <v>3</v>
      </c>
      <c r="K6161" t="n">
        <v>0</v>
      </c>
      <c r="L6161" t="n">
        <v>68554</v>
      </c>
      <c r="M6161" t="n">
        <v>84000</v>
      </c>
      <c r="N6161" t="n">
        <v>91</v>
      </c>
      <c r="O6161" t="n">
        <v>0.91</v>
      </c>
      <c r="P6161" t="n">
        <v>1</v>
      </c>
      <c r="Q6161" t="n">
        <v>0.22</v>
      </c>
      <c r="R6161" t="n">
        <v>3</v>
      </c>
      <c r="S6161" t="n">
        <v>15288</v>
      </c>
      <c r="T6161" t="n">
        <v>11</v>
      </c>
      <c r="U6161" t="n">
        <v>12</v>
      </c>
      <c r="V6161" t="n">
        <v>30</v>
      </c>
      <c r="W6161" t="n">
        <v>6</v>
      </c>
      <c r="X6161" t="n">
        <v>21.97802197802197</v>
      </c>
      <c r="Y6161" t="n">
        <v>1</v>
      </c>
      <c r="Z6161" t="n">
        <v>2</v>
      </c>
      <c r="AA6161" t="n">
        <v>0</v>
      </c>
      <c r="AB6161" t="n">
        <v>2</v>
      </c>
      <c r="AC6161" t="n">
        <v>3</v>
      </c>
      <c r="AD6161" t="n">
        <v>0</v>
      </c>
      <c r="AE6161" t="n">
        <v>205662</v>
      </c>
      <c r="AF6161" t="n">
        <v>11727</v>
      </c>
      <c r="AG6161" t="n">
        <v>63</v>
      </c>
      <c r="AH6161" t="inlineStr">
        <is>
          <t>PT. PARAMA GLOBAL INSPIRA - PPN (PDG)</t>
        </is>
      </c>
      <c r="AI6161" t="n">
        <v>164</v>
      </c>
      <c r="AJ6161" t="inlineStr">
        <is>
          <t>WARDAH</t>
        </is>
      </c>
      <c r="AK6161" t="n">
        <v>21</v>
      </c>
      <c r="AL6161" t="inlineStr">
        <is>
          <t>Miss Glam Damar</t>
        </is>
      </c>
      <c r="AM6161" t="n">
        <v>1</v>
      </c>
      <c r="AN6161" t="n">
        <v>500000</v>
      </c>
      <c r="AO6161" t="n">
        <v>0</v>
      </c>
      <c r="AP6161" t="inlineStr"/>
      <c r="AQ6161" t="inlineStr"/>
    </row>
    <row r="6162">
      <c r="A6162" t="inlineStr">
        <is>
          <t>WARDAH</t>
        </is>
      </c>
      <c r="B6162" s="2">
        <f>"8993137000697"</f>
        <v/>
      </c>
      <c r="C6162" t="inlineStr">
        <is>
          <t>WARDAH Glasting Liquid Lip 04 Rosewood Radiance 3,5gr</t>
        </is>
      </c>
      <c r="D6162" t="inlineStr">
        <is>
          <t>Miss Glam Damar</t>
        </is>
      </c>
      <c r="E6162" t="n">
        <v>15</v>
      </c>
      <c r="F6162" t="n">
        <v>1.1739</v>
      </c>
      <c r="G6162" t="n">
        <v>3.64</v>
      </c>
      <c r="H6162" t="n">
        <v>2</v>
      </c>
      <c r="I6162" t="n">
        <v>6</v>
      </c>
      <c r="J6162" t="n">
        <v>3</v>
      </c>
      <c r="K6162" t="n">
        <v>0</v>
      </c>
      <c r="L6162" t="n">
        <v>68579</v>
      </c>
      <c r="M6162" t="n">
        <v>84000</v>
      </c>
      <c r="N6162" t="n">
        <v>91</v>
      </c>
      <c r="O6162" t="n">
        <v>0.91</v>
      </c>
      <c r="P6162" t="n">
        <v>1</v>
      </c>
      <c r="Q6162" t="n">
        <v>0.85</v>
      </c>
      <c r="R6162" t="n">
        <v>4</v>
      </c>
      <c r="S6162" t="n">
        <v>98607.60000000002</v>
      </c>
      <c r="T6162" t="n">
        <v>20</v>
      </c>
      <c r="U6162" t="n">
        <v>23</v>
      </c>
      <c r="V6162" t="n">
        <v>30</v>
      </c>
      <c r="W6162" t="n">
        <v>36</v>
      </c>
      <c r="X6162" t="n">
        <v>12.77791975466394</v>
      </c>
      <c r="Y6162" t="n">
        <v>1</v>
      </c>
      <c r="Z6162" t="n">
        <v>21</v>
      </c>
      <c r="AA6162" t="n">
        <v>0</v>
      </c>
      <c r="AB6162" t="n">
        <v>21</v>
      </c>
      <c r="AC6162" t="n">
        <v>21</v>
      </c>
      <c r="AD6162" t="n">
        <v>0</v>
      </c>
      <c r="AE6162" t="n">
        <v>1440159</v>
      </c>
      <c r="AF6162" t="n">
        <v>11727</v>
      </c>
      <c r="AG6162" t="n">
        <v>63</v>
      </c>
      <c r="AH6162" t="inlineStr">
        <is>
          <t>PT. PARAMA GLOBAL INSPIRA - PPN (PDG)</t>
        </is>
      </c>
      <c r="AI6162" t="n">
        <v>164</v>
      </c>
      <c r="AJ6162" t="inlineStr">
        <is>
          <t>WARDAH</t>
        </is>
      </c>
      <c r="AK6162" t="n">
        <v>21</v>
      </c>
      <c r="AL6162" t="inlineStr">
        <is>
          <t>Miss Glam Damar</t>
        </is>
      </c>
      <c r="AM6162" t="n">
        <v>1</v>
      </c>
      <c r="AN6162" t="n">
        <v>500000</v>
      </c>
      <c r="AO6162" t="n">
        <v>0</v>
      </c>
      <c r="AP6162" t="inlineStr"/>
      <c r="AQ6162" t="inlineStr"/>
    </row>
    <row r="6163">
      <c r="A6163" t="inlineStr">
        <is>
          <t>WARDAH</t>
        </is>
      </c>
      <c r="B6163" s="2">
        <f>"8993137000703"</f>
        <v/>
      </c>
      <c r="C6163" t="inlineStr">
        <is>
          <t>WARDAH Glasting Liquid Lip 05 Glazing Berry 3,5gr</t>
        </is>
      </c>
      <c r="D6163" t="inlineStr">
        <is>
          <t>Miss Glam Damar</t>
        </is>
      </c>
      <c r="E6163" t="n">
        <v>18</v>
      </c>
      <c r="F6163" t="n">
        <v>1.2376</v>
      </c>
      <c r="G6163" t="n">
        <v>4.55</v>
      </c>
      <c r="H6163" t="n">
        <v>2</v>
      </c>
      <c r="I6163" t="n">
        <v>6</v>
      </c>
      <c r="J6163" t="n">
        <v>3</v>
      </c>
      <c r="K6163" t="n">
        <v>0</v>
      </c>
      <c r="L6163" t="n">
        <v>68582</v>
      </c>
      <c r="M6163" t="n">
        <v>84000</v>
      </c>
      <c r="N6163" t="n">
        <v>91</v>
      </c>
      <c r="O6163" t="n">
        <v>0.91</v>
      </c>
      <c r="P6163" t="n">
        <v>1</v>
      </c>
      <c r="Q6163" t="n">
        <v>1.07</v>
      </c>
      <c r="R6163" t="n">
        <v>7</v>
      </c>
      <c r="S6163" t="n">
        <v>103958.4</v>
      </c>
      <c r="T6163" t="n">
        <v>25</v>
      </c>
      <c r="U6163" t="n">
        <v>28</v>
      </c>
      <c r="V6163" t="n">
        <v>30</v>
      </c>
      <c r="W6163" t="n">
        <v>38</v>
      </c>
      <c r="X6163" t="n">
        <v>14.5442792501616</v>
      </c>
      <c r="Y6163" t="n">
        <v>1</v>
      </c>
      <c r="Z6163" t="n">
        <v>20</v>
      </c>
      <c r="AA6163" t="n">
        <v>0</v>
      </c>
      <c r="AB6163" t="n">
        <v>20</v>
      </c>
      <c r="AC6163" t="n">
        <v>20</v>
      </c>
      <c r="AD6163" t="n">
        <v>0</v>
      </c>
      <c r="AE6163" t="n">
        <v>1371640</v>
      </c>
      <c r="AF6163" t="n">
        <v>11727</v>
      </c>
      <c r="AG6163" t="n">
        <v>63</v>
      </c>
      <c r="AH6163" t="inlineStr">
        <is>
          <t>PT. PARAMA GLOBAL INSPIRA - PPN (PDG)</t>
        </is>
      </c>
      <c r="AI6163" t="n">
        <v>164</v>
      </c>
      <c r="AJ6163" t="inlineStr">
        <is>
          <t>WARDAH</t>
        </is>
      </c>
      <c r="AK6163" t="n">
        <v>21</v>
      </c>
      <c r="AL6163" t="inlineStr">
        <is>
          <t>Miss Glam Damar</t>
        </is>
      </c>
      <c r="AM6163" t="n">
        <v>1</v>
      </c>
      <c r="AN6163" t="n">
        <v>500000</v>
      </c>
      <c r="AO6163" t="n">
        <v>0</v>
      </c>
      <c r="AP6163" t="inlineStr"/>
      <c r="AQ6163" t="inlineStr"/>
    </row>
    <row r="6164">
      <c r="A6164" t="inlineStr">
        <is>
          <t>WARDAH</t>
        </is>
      </c>
      <c r="B6164" s="2">
        <f>"8993137000710"</f>
        <v/>
      </c>
      <c r="C6164" t="inlineStr">
        <is>
          <t>WARDAH Glasting Liquid Lip 06 Ruby Sparks 3,5gr</t>
        </is>
      </c>
      <c r="D6164" t="inlineStr">
        <is>
          <t>Miss Glam Damar</t>
        </is>
      </c>
      <c r="E6164" t="n">
        <v>13</v>
      </c>
      <c r="F6164" t="n">
        <v>0.6825</v>
      </c>
      <c r="G6164" t="n">
        <v>2.73</v>
      </c>
      <c r="H6164" t="n">
        <v>2</v>
      </c>
      <c r="I6164" t="n">
        <v>6</v>
      </c>
      <c r="J6164" t="n">
        <v>3</v>
      </c>
      <c r="K6164" t="n">
        <v>0</v>
      </c>
      <c r="L6164" t="n">
        <v>68791</v>
      </c>
      <c r="M6164" t="n">
        <v>80000</v>
      </c>
      <c r="N6164" t="n">
        <v>91</v>
      </c>
      <c r="O6164" t="n">
        <v>0.91</v>
      </c>
      <c r="P6164" t="n">
        <v>1</v>
      </c>
      <c r="Q6164" t="n">
        <v>0.49</v>
      </c>
      <c r="R6164" t="n">
        <v>3</v>
      </c>
      <c r="S6164" t="n">
        <v>54600</v>
      </c>
      <c r="T6164" t="n">
        <v>16</v>
      </c>
      <c r="U6164" t="n">
        <v>18</v>
      </c>
      <c r="V6164" t="n">
        <v>30</v>
      </c>
      <c r="W6164" t="n">
        <v>21</v>
      </c>
      <c r="X6164" t="n">
        <v>19.04761904761905</v>
      </c>
      <c r="Y6164" t="n">
        <v>1</v>
      </c>
      <c r="Z6164" t="n">
        <v>8</v>
      </c>
      <c r="AA6164" t="n">
        <v>0</v>
      </c>
      <c r="AB6164" t="n">
        <v>8</v>
      </c>
      <c r="AC6164" t="n">
        <v>8</v>
      </c>
      <c r="AD6164" t="n">
        <v>0</v>
      </c>
      <c r="AE6164" t="n">
        <v>550328</v>
      </c>
      <c r="AF6164" t="n">
        <v>11727</v>
      </c>
      <c r="AG6164" t="n">
        <v>63</v>
      </c>
      <c r="AH6164" t="inlineStr">
        <is>
          <t>PT. PARAMA GLOBAL INSPIRA - PPN (PDG)</t>
        </is>
      </c>
      <c r="AI6164" t="n">
        <v>164</v>
      </c>
      <c r="AJ6164" t="inlineStr">
        <is>
          <t>WARDAH</t>
        </is>
      </c>
      <c r="AK6164" t="n">
        <v>21</v>
      </c>
      <c r="AL6164" t="inlineStr">
        <is>
          <t>Miss Glam Damar</t>
        </is>
      </c>
      <c r="AM6164" t="n">
        <v>1</v>
      </c>
      <c r="AN6164" t="n">
        <v>500000</v>
      </c>
      <c r="AO6164" t="n">
        <v>0</v>
      </c>
      <c r="AP6164" t="inlineStr"/>
      <c r="AQ6164" t="inlineStr"/>
    </row>
    <row r="6165">
      <c r="A6165" t="inlineStr">
        <is>
          <t>WARDAH</t>
        </is>
      </c>
      <c r="B6165" s="2">
        <f>"8993137000727"</f>
        <v/>
      </c>
      <c r="C6165" t="inlineStr">
        <is>
          <t>WARDAH Glasting Liquid Lip 07 Rouge Flare 3,5gr</t>
        </is>
      </c>
      <c r="D6165" t="inlineStr">
        <is>
          <t>Miss Glam Damar</t>
        </is>
      </c>
      <c r="E6165" t="n">
        <v>10</v>
      </c>
      <c r="F6165" t="n">
        <v>0.8190000000000001</v>
      </c>
      <c r="G6165" t="n">
        <v>2.73</v>
      </c>
      <c r="H6165" t="n">
        <v>2</v>
      </c>
      <c r="I6165" t="n">
        <v>6</v>
      </c>
      <c r="J6165" t="n">
        <v>3</v>
      </c>
      <c r="K6165" t="n">
        <v>0</v>
      </c>
      <c r="L6165" t="n">
        <v>68580</v>
      </c>
      <c r="M6165" t="n">
        <v>84000</v>
      </c>
      <c r="N6165" t="n">
        <v>91</v>
      </c>
      <c r="O6165" t="n">
        <v>0.91</v>
      </c>
      <c r="P6165" t="n">
        <v>1</v>
      </c>
      <c r="Q6165" t="n">
        <v>0.63</v>
      </c>
      <c r="R6165" t="n">
        <v>8</v>
      </c>
      <c r="S6165" t="n">
        <v>68796</v>
      </c>
      <c r="T6165" t="n">
        <v>15</v>
      </c>
      <c r="U6165" t="n">
        <v>17</v>
      </c>
      <c r="V6165" t="n">
        <v>30</v>
      </c>
      <c r="W6165" t="n">
        <v>25</v>
      </c>
      <c r="X6165" t="n">
        <v>12.21001221001221</v>
      </c>
      <c r="Y6165" t="n">
        <v>1</v>
      </c>
      <c r="Z6165" t="n">
        <v>15</v>
      </c>
      <c r="AA6165" t="n">
        <v>0</v>
      </c>
      <c r="AB6165" t="n">
        <v>15</v>
      </c>
      <c r="AC6165" t="n">
        <v>15</v>
      </c>
      <c r="AD6165" t="n">
        <v>0</v>
      </c>
      <c r="AE6165" t="n">
        <v>1028700</v>
      </c>
      <c r="AF6165" t="n">
        <v>11727</v>
      </c>
      <c r="AG6165" t="n">
        <v>63</v>
      </c>
      <c r="AH6165" t="inlineStr">
        <is>
          <t>PT. PARAMA GLOBAL INSPIRA - PPN (PDG)</t>
        </is>
      </c>
      <c r="AI6165" t="n">
        <v>164</v>
      </c>
      <c r="AJ6165" t="inlineStr">
        <is>
          <t>WARDAH</t>
        </is>
      </c>
      <c r="AK6165" t="n">
        <v>21</v>
      </c>
      <c r="AL6165" t="inlineStr">
        <is>
          <t>Miss Glam Damar</t>
        </is>
      </c>
      <c r="AM6165" t="n">
        <v>1</v>
      </c>
      <c r="AN6165" t="n">
        <v>500000</v>
      </c>
      <c r="AO6165" t="n">
        <v>0</v>
      </c>
      <c r="AP6165" t="inlineStr"/>
      <c r="AQ6165" t="inlineStr"/>
    </row>
    <row r="6166">
      <c r="A6166" t="inlineStr">
        <is>
          <t>WARDAH</t>
        </is>
      </c>
      <c r="B6166" s="2">
        <f>"8993137000734"</f>
        <v/>
      </c>
      <c r="C6166" t="inlineStr">
        <is>
          <t>WARDAH Glasting Liquid Lip 08 Plush Pome 3,5gr</t>
        </is>
      </c>
      <c r="D6166" t="inlineStr">
        <is>
          <t>Miss Glam Damar</t>
        </is>
      </c>
      <c r="E6166" t="n">
        <v>15</v>
      </c>
      <c r="F6166" t="n">
        <v>1.2649</v>
      </c>
      <c r="G6166" t="n">
        <v>4.55</v>
      </c>
      <c r="H6166" t="n">
        <v>2</v>
      </c>
      <c r="I6166" t="n">
        <v>6</v>
      </c>
      <c r="J6166" t="n">
        <v>3</v>
      </c>
      <c r="K6166" t="n">
        <v>0</v>
      </c>
      <c r="L6166" t="n">
        <v>68581</v>
      </c>
      <c r="M6166" t="n">
        <v>84000</v>
      </c>
      <c r="N6166" t="n">
        <v>91</v>
      </c>
      <c r="O6166" t="n">
        <v>0.91</v>
      </c>
      <c r="P6166" t="n">
        <v>1</v>
      </c>
      <c r="Q6166" t="n">
        <v>2.2</v>
      </c>
      <c r="R6166" t="n">
        <v>6</v>
      </c>
      <c r="S6166" t="n">
        <v>106251.6</v>
      </c>
      <c r="T6166" t="n">
        <v>25</v>
      </c>
      <c r="U6166" t="n">
        <v>28</v>
      </c>
      <c r="V6166" t="n">
        <v>30</v>
      </c>
      <c r="W6166" t="n">
        <v>38</v>
      </c>
      <c r="X6166" t="n">
        <v>11.85864495217013</v>
      </c>
      <c r="Y6166" t="n">
        <v>1</v>
      </c>
      <c r="Z6166" t="n">
        <v>23</v>
      </c>
      <c r="AA6166" t="n">
        <v>0</v>
      </c>
      <c r="AB6166" t="n">
        <v>23</v>
      </c>
      <c r="AC6166" t="n">
        <v>23</v>
      </c>
      <c r="AD6166" t="n">
        <v>0</v>
      </c>
      <c r="AE6166" t="n">
        <v>1577363</v>
      </c>
      <c r="AF6166" t="n">
        <v>11727</v>
      </c>
      <c r="AG6166" t="n">
        <v>63</v>
      </c>
      <c r="AH6166" t="inlineStr">
        <is>
          <t>PT. PARAMA GLOBAL INSPIRA - PPN (PDG)</t>
        </is>
      </c>
      <c r="AI6166" t="n">
        <v>164</v>
      </c>
      <c r="AJ6166" t="inlineStr">
        <is>
          <t>WARDAH</t>
        </is>
      </c>
      <c r="AK6166" t="n">
        <v>21</v>
      </c>
      <c r="AL6166" t="inlineStr">
        <is>
          <t>Miss Glam Damar</t>
        </is>
      </c>
      <c r="AM6166" t="n">
        <v>1</v>
      </c>
      <c r="AN6166" t="n">
        <v>500000</v>
      </c>
      <c r="AO6166" t="n">
        <v>0</v>
      </c>
      <c r="AP6166" t="inlineStr"/>
      <c r="AQ6166" t="inlineStr"/>
    </row>
    <row r="6167">
      <c r="A6167" t="inlineStr">
        <is>
          <t>WARDAH</t>
        </is>
      </c>
      <c r="B6167" s="2">
        <f>"8993137007627"</f>
        <v/>
      </c>
      <c r="C6167" t="inlineStr">
        <is>
          <t>WARDAH Glasting Liquid Lip 09 Fudgy Toffee 3,5gr</t>
        </is>
      </c>
      <c r="D6167" t="inlineStr">
        <is>
          <t>Miss Glam Damar</t>
        </is>
      </c>
      <c r="E6167" t="n">
        <v>6</v>
      </c>
      <c r="F6167" t="n">
        <v>0.3094</v>
      </c>
      <c r="G6167" t="n">
        <v>2.73</v>
      </c>
      <c r="H6167" t="n">
        <v>2</v>
      </c>
      <c r="I6167" t="n">
        <v>6</v>
      </c>
      <c r="J6167" t="n">
        <v>3</v>
      </c>
      <c r="K6167" t="n">
        <v>0</v>
      </c>
      <c r="L6167" t="n">
        <v>68574</v>
      </c>
      <c r="M6167" t="n">
        <v>84000</v>
      </c>
      <c r="N6167" t="n">
        <v>91</v>
      </c>
      <c r="O6167" t="n">
        <v>0.91</v>
      </c>
      <c r="P6167" t="n">
        <v>1</v>
      </c>
      <c r="Q6167" t="n">
        <v>0.19</v>
      </c>
      <c r="R6167" t="n">
        <v>2</v>
      </c>
      <c r="S6167" t="n">
        <v>25989.6</v>
      </c>
      <c r="T6167" t="n">
        <v>16</v>
      </c>
      <c r="U6167" t="n">
        <v>17</v>
      </c>
      <c r="V6167" t="n">
        <v>30</v>
      </c>
      <c r="W6167" t="n">
        <v>10</v>
      </c>
      <c r="X6167" t="n">
        <v>19.3923723335488</v>
      </c>
      <c r="Y6167" t="n">
        <v>1</v>
      </c>
      <c r="Z6167" t="n">
        <v>4</v>
      </c>
      <c r="AA6167" t="n">
        <v>0</v>
      </c>
      <c r="AB6167" t="n">
        <v>4</v>
      </c>
      <c r="AC6167" t="n">
        <v>4</v>
      </c>
      <c r="AD6167" t="n">
        <v>0</v>
      </c>
      <c r="AE6167" t="n">
        <v>274296</v>
      </c>
      <c r="AF6167" t="n">
        <v>11727</v>
      </c>
      <c r="AG6167" t="n">
        <v>63</v>
      </c>
      <c r="AH6167" t="inlineStr">
        <is>
          <t>PT. PARAMA GLOBAL INSPIRA - PPN (PDG)</t>
        </is>
      </c>
      <c r="AI6167" t="n">
        <v>164</v>
      </c>
      <c r="AJ6167" t="inlineStr">
        <is>
          <t>WARDAH</t>
        </is>
      </c>
      <c r="AK6167" t="n">
        <v>21</v>
      </c>
      <c r="AL6167" t="inlineStr">
        <is>
          <t>Miss Glam Damar</t>
        </is>
      </c>
      <c r="AM6167" t="n">
        <v>1</v>
      </c>
      <c r="AN6167" t="n">
        <v>500000</v>
      </c>
      <c r="AO6167" t="n">
        <v>0</v>
      </c>
      <c r="AP6167" t="inlineStr"/>
      <c r="AQ6167" t="inlineStr"/>
    </row>
    <row r="6168">
      <c r="A6168" t="inlineStr">
        <is>
          <t>WARDAH</t>
        </is>
      </c>
      <c r="B6168" s="2">
        <f>"8993137007634"</f>
        <v/>
      </c>
      <c r="C6168" t="inlineStr">
        <is>
          <t>WARDAH Glasting Liquid Lip 10 Ombre Sheen 3,5gr</t>
        </is>
      </c>
      <c r="D6168" t="inlineStr">
        <is>
          <t>Miss Glam Damar</t>
        </is>
      </c>
      <c r="E6168" t="n">
        <v>13</v>
      </c>
      <c r="F6168" t="n">
        <v>0.6006</v>
      </c>
      <c r="G6168" t="n">
        <v>2.73</v>
      </c>
      <c r="H6168" t="n">
        <v>2</v>
      </c>
      <c r="I6168" t="n">
        <v>6</v>
      </c>
      <c r="J6168" t="n">
        <v>3</v>
      </c>
      <c r="K6168" t="n">
        <v>0</v>
      </c>
      <c r="L6168" t="n">
        <v>68583</v>
      </c>
      <c r="M6168" t="n">
        <v>84000</v>
      </c>
      <c r="N6168" t="n">
        <v>91</v>
      </c>
      <c r="O6168" t="n">
        <v>0.91</v>
      </c>
      <c r="P6168" t="n">
        <v>1</v>
      </c>
      <c r="Q6168" t="n">
        <v>0.59</v>
      </c>
      <c r="R6168" t="n">
        <v>4</v>
      </c>
      <c r="S6168" t="n">
        <v>50450.4</v>
      </c>
      <c r="T6168" t="n">
        <v>16</v>
      </c>
      <c r="U6168" t="n">
        <v>18</v>
      </c>
      <c r="V6168" t="n">
        <v>30</v>
      </c>
      <c r="W6168" t="n">
        <v>19</v>
      </c>
      <c r="X6168" t="n">
        <v>21.64502164502164</v>
      </c>
      <c r="Y6168" t="n">
        <v>1</v>
      </c>
      <c r="Z6168" t="n">
        <v>6</v>
      </c>
      <c r="AA6168" t="n">
        <v>0</v>
      </c>
      <c r="AB6168" t="n">
        <v>6</v>
      </c>
      <c r="AC6168" t="n">
        <v>6</v>
      </c>
      <c r="AD6168" t="n">
        <v>0</v>
      </c>
      <c r="AE6168" t="n">
        <v>411498</v>
      </c>
      <c r="AF6168" t="n">
        <v>11727</v>
      </c>
      <c r="AG6168" t="n">
        <v>63</v>
      </c>
      <c r="AH6168" t="inlineStr">
        <is>
          <t>PT. PARAMA GLOBAL INSPIRA - PPN (PDG)</t>
        </is>
      </c>
      <c r="AI6168" t="n">
        <v>164</v>
      </c>
      <c r="AJ6168" t="inlineStr">
        <is>
          <t>WARDAH</t>
        </is>
      </c>
      <c r="AK6168" t="n">
        <v>21</v>
      </c>
      <c r="AL6168" t="inlineStr">
        <is>
          <t>Miss Glam Damar</t>
        </is>
      </c>
      <c r="AM6168" t="n">
        <v>1</v>
      </c>
      <c r="AN6168" t="n">
        <v>500000</v>
      </c>
      <c r="AO6168" t="n">
        <v>0</v>
      </c>
      <c r="AP6168" t="inlineStr"/>
      <c r="AQ6168" t="inlineStr"/>
    </row>
    <row r="6169">
      <c r="A6169" t="inlineStr">
        <is>
          <t>WARDAH</t>
        </is>
      </c>
      <c r="B6169" s="2">
        <f>"8993137007641"</f>
        <v/>
      </c>
      <c r="C6169" t="inlineStr">
        <is>
          <t>WARDAH Glasting Liquid Lip 11 Petal Brush 3,5gr</t>
        </is>
      </c>
      <c r="D6169" t="inlineStr">
        <is>
          <t>Miss Glam Damar</t>
        </is>
      </c>
      <c r="E6169" t="n">
        <v>5</v>
      </c>
      <c r="F6169" t="n">
        <v>0.7371000000000001</v>
      </c>
      <c r="G6169" t="n">
        <v>2.73</v>
      </c>
      <c r="H6169" t="n">
        <v>2</v>
      </c>
      <c r="I6169" t="n">
        <v>6</v>
      </c>
      <c r="J6169" t="n">
        <v>3</v>
      </c>
      <c r="K6169" t="n">
        <v>0</v>
      </c>
      <c r="L6169" t="n">
        <v>68562</v>
      </c>
      <c r="M6169" t="n">
        <v>84000</v>
      </c>
      <c r="N6169" t="n">
        <v>91</v>
      </c>
      <c r="O6169" t="n">
        <v>0.91</v>
      </c>
      <c r="P6169" t="n">
        <v>1</v>
      </c>
      <c r="Q6169" t="n">
        <v>0.63</v>
      </c>
      <c r="R6169" t="n">
        <v>3</v>
      </c>
      <c r="S6169" t="n">
        <v>61916.40000000001</v>
      </c>
      <c r="T6169" t="n">
        <v>15</v>
      </c>
      <c r="U6169" t="n">
        <v>17</v>
      </c>
      <c r="V6169" t="n">
        <v>30</v>
      </c>
      <c r="W6169" t="n">
        <v>23</v>
      </c>
      <c r="X6169" t="n">
        <v>6.783340116673449</v>
      </c>
      <c r="Y6169" t="n">
        <v>1</v>
      </c>
      <c r="Z6169" t="n">
        <v>18</v>
      </c>
      <c r="AA6169" t="n">
        <v>0</v>
      </c>
      <c r="AB6169" t="n">
        <v>18</v>
      </c>
      <c r="AC6169" t="n">
        <v>18</v>
      </c>
      <c r="AD6169" t="n">
        <v>0</v>
      </c>
      <c r="AE6169" t="n">
        <v>1234116</v>
      </c>
      <c r="AF6169" t="n">
        <v>11727</v>
      </c>
      <c r="AG6169" t="n">
        <v>63</v>
      </c>
      <c r="AH6169" t="inlineStr">
        <is>
          <t>PT. PARAMA GLOBAL INSPIRA - PPN (PDG)</t>
        </is>
      </c>
      <c r="AI6169" t="n">
        <v>164</v>
      </c>
      <c r="AJ6169" t="inlineStr">
        <is>
          <t>WARDAH</t>
        </is>
      </c>
      <c r="AK6169" t="n">
        <v>21</v>
      </c>
      <c r="AL6169" t="inlineStr">
        <is>
          <t>Miss Glam Damar</t>
        </is>
      </c>
      <c r="AM6169" t="n">
        <v>1</v>
      </c>
      <c r="AN6169" t="n">
        <v>500000</v>
      </c>
      <c r="AO6169" t="n">
        <v>0</v>
      </c>
      <c r="AP6169" t="inlineStr"/>
      <c r="AQ6169" t="inlineStr"/>
    </row>
    <row r="6170">
      <c r="A6170" t="inlineStr">
        <is>
          <t>WARDAH</t>
        </is>
      </c>
      <c r="B6170" s="2">
        <f>"8993137007658"</f>
        <v/>
      </c>
      <c r="C6170" t="inlineStr">
        <is>
          <t>WARDAH Glasting Liquid Lip 12 Shine Sorbet  3,5gr</t>
        </is>
      </c>
      <c r="D6170" t="inlineStr">
        <is>
          <t>Miss Glam Damar</t>
        </is>
      </c>
      <c r="E6170" t="n">
        <v>18</v>
      </c>
      <c r="F6170" t="n">
        <v>2.1476</v>
      </c>
      <c r="G6170" t="n">
        <v>6.37</v>
      </c>
      <c r="H6170" t="n">
        <v>2</v>
      </c>
      <c r="I6170" t="n">
        <v>6</v>
      </c>
      <c r="J6170" t="n">
        <v>3</v>
      </c>
      <c r="K6170" t="n">
        <v>0</v>
      </c>
      <c r="L6170" t="n">
        <v>68583</v>
      </c>
      <c r="M6170" t="n">
        <v>84000</v>
      </c>
      <c r="N6170" t="n">
        <v>91</v>
      </c>
      <c r="O6170" t="n">
        <v>0.91</v>
      </c>
      <c r="P6170" t="n">
        <v>1</v>
      </c>
      <c r="Q6170" t="n">
        <v>1.76</v>
      </c>
      <c r="R6170" t="n">
        <v>5</v>
      </c>
      <c r="S6170" t="n">
        <v>180398.4</v>
      </c>
      <c r="T6170" t="n">
        <v>34</v>
      </c>
      <c r="U6170" t="n">
        <v>39</v>
      </c>
      <c r="V6170" t="n">
        <v>30</v>
      </c>
      <c r="W6170" t="n">
        <v>65</v>
      </c>
      <c r="X6170" t="n">
        <v>8.381449059415161</v>
      </c>
      <c r="Y6170" t="n">
        <v>1</v>
      </c>
      <c r="Z6170" t="n">
        <v>47</v>
      </c>
      <c r="AA6170" t="n">
        <v>0</v>
      </c>
      <c r="AB6170" t="n">
        <v>47</v>
      </c>
      <c r="AC6170" t="n">
        <v>47</v>
      </c>
      <c r="AD6170" t="n">
        <v>0</v>
      </c>
      <c r="AE6170" t="n">
        <v>3223401</v>
      </c>
      <c r="AF6170" t="n">
        <v>11727</v>
      </c>
      <c r="AG6170" t="n">
        <v>63</v>
      </c>
      <c r="AH6170" t="inlineStr">
        <is>
          <t>PT. PARAMA GLOBAL INSPIRA - PPN (PDG)</t>
        </is>
      </c>
      <c r="AI6170" t="n">
        <v>164</v>
      </c>
      <c r="AJ6170" t="inlineStr">
        <is>
          <t>WARDAH</t>
        </is>
      </c>
      <c r="AK6170" t="n">
        <v>21</v>
      </c>
      <c r="AL6170" t="inlineStr">
        <is>
          <t>Miss Glam Damar</t>
        </is>
      </c>
      <c r="AM6170" t="n">
        <v>1</v>
      </c>
      <c r="AN6170" t="n">
        <v>500000</v>
      </c>
      <c r="AO6170" t="n">
        <v>0</v>
      </c>
      <c r="AP6170" t="inlineStr"/>
      <c r="AQ6170" t="inlineStr"/>
    </row>
    <row r="6171">
      <c r="A6171" t="inlineStr">
        <is>
          <t>WARDAH</t>
        </is>
      </c>
      <c r="B6171" s="2">
        <f>"8993137007665"</f>
        <v/>
      </c>
      <c r="C6171" t="inlineStr">
        <is>
          <t>WARDAH Glasting Liquid Lip 13 Pumpkin Drip  3,5gr</t>
        </is>
      </c>
      <c r="D6171" t="inlineStr">
        <is>
          <t>Miss Glam Damar</t>
        </is>
      </c>
      <c r="E6171" t="n">
        <v>5</v>
      </c>
      <c r="F6171" t="n">
        <v>0.5551</v>
      </c>
      <c r="G6171" t="n">
        <v>3.64</v>
      </c>
      <c r="H6171" t="n">
        <v>2</v>
      </c>
      <c r="I6171" t="n">
        <v>6</v>
      </c>
      <c r="J6171" t="n">
        <v>3</v>
      </c>
      <c r="K6171" t="n">
        <v>0</v>
      </c>
      <c r="L6171" t="n">
        <v>68536</v>
      </c>
      <c r="M6171" t="n">
        <v>84000</v>
      </c>
      <c r="N6171" t="n">
        <v>91</v>
      </c>
      <c r="O6171" t="n">
        <v>0.91</v>
      </c>
      <c r="P6171" t="n">
        <v>1</v>
      </c>
      <c r="Q6171" t="n">
        <v>0.31</v>
      </c>
      <c r="R6171" t="n">
        <v>3</v>
      </c>
      <c r="S6171" t="n">
        <v>46628.4</v>
      </c>
      <c r="T6171" t="n">
        <v>21</v>
      </c>
      <c r="U6171" t="n">
        <v>23</v>
      </c>
      <c r="V6171" t="n">
        <v>30</v>
      </c>
      <c r="W6171" t="n">
        <v>17</v>
      </c>
      <c r="X6171" t="n">
        <v>9.007386056566384</v>
      </c>
      <c r="Y6171" t="n">
        <v>1</v>
      </c>
      <c r="Z6171" t="n">
        <v>12</v>
      </c>
      <c r="AA6171" t="n">
        <v>0</v>
      </c>
      <c r="AB6171" t="n">
        <v>12</v>
      </c>
      <c r="AC6171" t="n">
        <v>12</v>
      </c>
      <c r="AD6171" t="n">
        <v>0</v>
      </c>
      <c r="AE6171" t="n">
        <v>822432</v>
      </c>
      <c r="AF6171" t="n">
        <v>11727</v>
      </c>
      <c r="AG6171" t="n">
        <v>63</v>
      </c>
      <c r="AH6171" t="inlineStr">
        <is>
          <t>PT. PARAMA GLOBAL INSPIRA - PPN (PDG)</t>
        </is>
      </c>
      <c r="AI6171" t="n">
        <v>164</v>
      </c>
      <c r="AJ6171" t="inlineStr">
        <is>
          <t>WARDAH</t>
        </is>
      </c>
      <c r="AK6171" t="n">
        <v>21</v>
      </c>
      <c r="AL6171" t="inlineStr">
        <is>
          <t>Miss Glam Damar</t>
        </is>
      </c>
      <c r="AM6171" t="n">
        <v>1</v>
      </c>
      <c r="AN6171" t="n">
        <v>500000</v>
      </c>
      <c r="AO6171" t="n">
        <v>0</v>
      </c>
      <c r="AP6171" t="inlineStr"/>
      <c r="AQ6171" t="inlineStr"/>
    </row>
    <row r="6172">
      <c r="A6172" t="inlineStr">
        <is>
          <t>WARDAH</t>
        </is>
      </c>
      <c r="B6172" s="2">
        <f>"203002187023"</f>
        <v/>
      </c>
      <c r="C6172" t="inlineStr">
        <is>
          <t>WARDAH Glasting Liquid Lip 14 Latte Lacquer 3.5gr</t>
        </is>
      </c>
      <c r="D6172" t="inlineStr">
        <is>
          <t>Miss Glam Damar</t>
        </is>
      </c>
      <c r="E6172" t="n">
        <v>29</v>
      </c>
      <c r="F6172" t="n">
        <v>0.1547</v>
      </c>
      <c r="G6172" t="n">
        <v>1.82</v>
      </c>
      <c r="H6172" t="n">
        <v>2</v>
      </c>
      <c r="I6172" t="n">
        <v>6</v>
      </c>
      <c r="J6172" t="n">
        <v>1</v>
      </c>
      <c r="K6172" t="n">
        <v>0</v>
      </c>
      <c r="L6172" t="n">
        <v>67855</v>
      </c>
      <c r="M6172" t="n">
        <v>84000</v>
      </c>
      <c r="N6172" t="n">
        <v>91</v>
      </c>
      <c r="O6172" t="n">
        <v>0.91</v>
      </c>
      <c r="P6172" t="n">
        <v>1</v>
      </c>
      <c r="Q6172" t="n">
        <v>0.15</v>
      </c>
      <c r="R6172" t="n">
        <v>1</v>
      </c>
      <c r="S6172" t="n">
        <v>12994.8</v>
      </c>
      <c r="T6172" t="n">
        <v>11</v>
      </c>
      <c r="U6172" t="n">
        <v>12</v>
      </c>
      <c r="V6172" t="n">
        <v>30</v>
      </c>
      <c r="W6172" t="n">
        <v>5</v>
      </c>
      <c r="X6172" t="n">
        <v>187.4595992243051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11727</v>
      </c>
      <c r="AG6172" t="n">
        <v>63</v>
      </c>
      <c r="AH6172" t="inlineStr">
        <is>
          <t>PT. PARAMA GLOBAL INSPIRA - PPN (PDG)</t>
        </is>
      </c>
      <c r="AI6172" t="n">
        <v>164</v>
      </c>
      <c r="AJ6172" t="inlineStr">
        <is>
          <t>WARDAH</t>
        </is>
      </c>
      <c r="AK6172" t="n">
        <v>21</v>
      </c>
      <c r="AL6172" t="inlineStr">
        <is>
          <t>Miss Glam Damar</t>
        </is>
      </c>
      <c r="AM6172" t="n">
        <v>1</v>
      </c>
      <c r="AN6172" t="n">
        <v>500000</v>
      </c>
      <c r="AO6172" t="n">
        <v>0</v>
      </c>
      <c r="AP6172" t="inlineStr"/>
      <c r="AQ6172" t="inlineStr"/>
    </row>
    <row r="6173">
      <c r="A6173" t="inlineStr">
        <is>
          <t>WARDAH</t>
        </is>
      </c>
      <c r="B6173" s="2">
        <f>"203002187118"</f>
        <v/>
      </c>
      <c r="C6173" t="inlineStr">
        <is>
          <t>WARDAH Glasting Liquid Lip 15 Blossom Veil 3.5gr</t>
        </is>
      </c>
      <c r="D6173" t="inlineStr">
        <is>
          <t>Miss Glam Damar</t>
        </is>
      </c>
      <c r="E6173" t="n">
        <v>7</v>
      </c>
      <c r="F6173" t="n">
        <v>0.2457</v>
      </c>
      <c r="G6173" t="n">
        <v>1.82</v>
      </c>
      <c r="H6173" t="n">
        <v>2</v>
      </c>
      <c r="I6173" t="n">
        <v>6</v>
      </c>
      <c r="J6173" t="n">
        <v>1</v>
      </c>
      <c r="K6173" t="n">
        <v>0</v>
      </c>
      <c r="L6173" t="n">
        <v>68727</v>
      </c>
      <c r="M6173" t="n">
        <v>84000</v>
      </c>
      <c r="N6173" t="n">
        <v>91</v>
      </c>
      <c r="O6173" t="n">
        <v>0.91</v>
      </c>
      <c r="P6173" t="n">
        <v>1</v>
      </c>
      <c r="Q6173" t="n">
        <v>0.36</v>
      </c>
      <c r="R6173" t="n">
        <v>4</v>
      </c>
      <c r="S6173" t="n">
        <v>20638.8</v>
      </c>
      <c r="T6173" t="n">
        <v>11</v>
      </c>
      <c r="U6173" t="n">
        <v>12</v>
      </c>
      <c r="V6173" t="n">
        <v>30</v>
      </c>
      <c r="W6173" t="n">
        <v>8</v>
      </c>
      <c r="X6173" t="n">
        <v>28.49002849002849</v>
      </c>
      <c r="Y6173" t="n">
        <v>1</v>
      </c>
      <c r="Z6173" t="n">
        <v>1</v>
      </c>
      <c r="AA6173" t="n">
        <v>0</v>
      </c>
      <c r="AB6173" t="n">
        <v>1</v>
      </c>
      <c r="AC6173" t="n">
        <v>1</v>
      </c>
      <c r="AD6173" t="n">
        <v>0</v>
      </c>
      <c r="AE6173" t="n">
        <v>68727</v>
      </c>
      <c r="AF6173" t="n">
        <v>11727</v>
      </c>
      <c r="AG6173" t="n">
        <v>63</v>
      </c>
      <c r="AH6173" t="inlineStr">
        <is>
          <t>PT. PARAMA GLOBAL INSPIRA - PPN (PDG)</t>
        </is>
      </c>
      <c r="AI6173" t="n">
        <v>164</v>
      </c>
      <c r="AJ6173" t="inlineStr">
        <is>
          <t>WARDAH</t>
        </is>
      </c>
      <c r="AK6173" t="n">
        <v>21</v>
      </c>
      <c r="AL6173" t="inlineStr">
        <is>
          <t>Miss Glam Damar</t>
        </is>
      </c>
      <c r="AM6173" t="n">
        <v>1</v>
      </c>
      <c r="AN6173" t="n">
        <v>500000</v>
      </c>
      <c r="AO6173" t="n">
        <v>0</v>
      </c>
      <c r="AP6173" t="inlineStr"/>
      <c r="AQ6173" t="inlineStr"/>
    </row>
    <row r="6174">
      <c r="A6174" t="inlineStr">
        <is>
          <t>WARDAH</t>
        </is>
      </c>
      <c r="B6174" s="2">
        <f>"8993137012782"</f>
        <v/>
      </c>
      <c r="C6174" t="inlineStr">
        <is>
          <t>WARDAH Glossicle Peptide Balm 01 Sparkling Peach 3,2gr</t>
        </is>
      </c>
      <c r="D6174" t="inlineStr">
        <is>
          <t>Miss Glam Damar</t>
        </is>
      </c>
      <c r="E6174" t="n">
        <v>5</v>
      </c>
      <c r="F6174" t="n">
        <v>0.2275</v>
      </c>
      <c r="G6174" t="n">
        <v>1.82</v>
      </c>
      <c r="H6174" t="n">
        <v>2</v>
      </c>
      <c r="I6174" t="n">
        <v>6</v>
      </c>
      <c r="J6174" t="n">
        <v>1</v>
      </c>
      <c r="K6174" t="n">
        <v>0</v>
      </c>
      <c r="L6174" t="n">
        <v>59005</v>
      </c>
      <c r="M6174" t="n">
        <v>72000</v>
      </c>
      <c r="N6174" t="n">
        <v>91</v>
      </c>
      <c r="O6174" t="n">
        <v>0.91</v>
      </c>
      <c r="P6174" t="n">
        <v>1</v>
      </c>
      <c r="Q6174" t="n">
        <v>0.34</v>
      </c>
      <c r="R6174" t="n">
        <v>2</v>
      </c>
      <c r="S6174" t="n">
        <v>16380</v>
      </c>
      <c r="T6174" t="n">
        <v>11</v>
      </c>
      <c r="U6174" t="n">
        <v>12</v>
      </c>
      <c r="V6174" t="n">
        <v>30</v>
      </c>
      <c r="W6174" t="n">
        <v>7</v>
      </c>
      <c r="X6174" t="n">
        <v>21.97802197802198</v>
      </c>
      <c r="Y6174" t="n">
        <v>1</v>
      </c>
      <c r="Z6174" t="n">
        <v>2</v>
      </c>
      <c r="AA6174" t="n">
        <v>0</v>
      </c>
      <c r="AB6174" t="n">
        <v>2</v>
      </c>
      <c r="AC6174" t="n">
        <v>2</v>
      </c>
      <c r="AD6174" t="n">
        <v>0</v>
      </c>
      <c r="AE6174" t="n">
        <v>118010</v>
      </c>
      <c r="AF6174" t="n">
        <v>11727</v>
      </c>
      <c r="AG6174" t="n">
        <v>63</v>
      </c>
      <c r="AH6174" t="inlineStr">
        <is>
          <t>PT. PARAMA GLOBAL INSPIRA - PPN (PDG)</t>
        </is>
      </c>
      <c r="AI6174" t="n">
        <v>164</v>
      </c>
      <c r="AJ6174" t="inlineStr">
        <is>
          <t>WARDAH</t>
        </is>
      </c>
      <c r="AK6174" t="n">
        <v>21</v>
      </c>
      <c r="AL6174" t="inlineStr">
        <is>
          <t>Miss Glam Damar</t>
        </is>
      </c>
      <c r="AM6174" t="n">
        <v>1</v>
      </c>
      <c r="AN6174" t="n">
        <v>500000</v>
      </c>
      <c r="AO6174" t="n">
        <v>0</v>
      </c>
      <c r="AP6174" t="inlineStr"/>
      <c r="AQ6174" t="inlineStr"/>
    </row>
    <row r="6175">
      <c r="A6175" t="inlineStr">
        <is>
          <t>WARDAH</t>
        </is>
      </c>
      <c r="B6175" s="2">
        <f>"8993137012799"</f>
        <v/>
      </c>
      <c r="C6175" t="inlineStr">
        <is>
          <t>WARDAH Glossicle Peptide Balm 02 Pink Soda 3,2gr</t>
        </is>
      </c>
      <c r="D6175" t="inlineStr">
        <is>
          <t>Miss Glam Damar</t>
        </is>
      </c>
      <c r="E6175" t="n">
        <v>7</v>
      </c>
      <c r="F6175" t="n">
        <v>0.2002</v>
      </c>
      <c r="G6175" t="n">
        <v>0.91</v>
      </c>
      <c r="H6175" t="n">
        <v>2</v>
      </c>
      <c r="I6175" t="n">
        <v>6</v>
      </c>
      <c r="J6175" t="n">
        <v>1</v>
      </c>
      <c r="K6175" t="n">
        <v>0</v>
      </c>
      <c r="L6175" t="n">
        <v>59005</v>
      </c>
      <c r="M6175" t="n">
        <v>72000</v>
      </c>
      <c r="N6175" t="n">
        <v>91</v>
      </c>
      <c r="O6175" t="n">
        <v>0.91</v>
      </c>
      <c r="P6175" t="n">
        <v>1</v>
      </c>
      <c r="Q6175" t="n">
        <v>0.22</v>
      </c>
      <c r="R6175" t="n">
        <v>1</v>
      </c>
      <c r="S6175" t="n">
        <v>14414.4</v>
      </c>
      <c r="T6175" t="n">
        <v>6</v>
      </c>
      <c r="U6175" t="n">
        <v>7</v>
      </c>
      <c r="V6175" t="n">
        <v>30</v>
      </c>
      <c r="W6175" t="n">
        <v>7</v>
      </c>
      <c r="X6175" t="n">
        <v>34.96503496503496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11727</v>
      </c>
      <c r="AG6175" t="n">
        <v>63</v>
      </c>
      <c r="AH6175" t="inlineStr">
        <is>
          <t>PT. PARAMA GLOBAL INSPIRA - PPN (PDG)</t>
        </is>
      </c>
      <c r="AI6175" t="n">
        <v>164</v>
      </c>
      <c r="AJ6175" t="inlineStr">
        <is>
          <t>WARDAH</t>
        </is>
      </c>
      <c r="AK6175" t="n">
        <v>21</v>
      </c>
      <c r="AL6175" t="inlineStr">
        <is>
          <t>Miss Glam Damar</t>
        </is>
      </c>
      <c r="AM6175" t="n">
        <v>1</v>
      </c>
      <c r="AN6175" t="n">
        <v>500000</v>
      </c>
      <c r="AO6175" t="n">
        <v>0</v>
      </c>
      <c r="AP6175" t="inlineStr"/>
      <c r="AQ6175" t="inlineStr"/>
    </row>
    <row r="6176">
      <c r="A6176" t="inlineStr">
        <is>
          <t>WARDAH</t>
        </is>
      </c>
      <c r="B6176" s="2">
        <f>"8993137012805"</f>
        <v/>
      </c>
      <c r="C6176" t="inlineStr">
        <is>
          <t>WARDAH Glossicle Peptide Balm 03 Rose Mocktail 3,2gr</t>
        </is>
      </c>
      <c r="D6176" t="inlineStr">
        <is>
          <t>Miss Glam Damar</t>
        </is>
      </c>
      <c r="E6176" t="n">
        <v>17</v>
      </c>
      <c r="F6176" t="n">
        <v>0.2275</v>
      </c>
      <c r="G6176" t="n">
        <v>1.82</v>
      </c>
      <c r="H6176" t="n">
        <v>2</v>
      </c>
      <c r="I6176" t="n">
        <v>6</v>
      </c>
      <c r="J6176" t="n">
        <v>1</v>
      </c>
      <c r="K6176" t="n">
        <v>0</v>
      </c>
      <c r="L6176" t="n">
        <v>59005</v>
      </c>
      <c r="M6176" t="n">
        <v>72000</v>
      </c>
      <c r="N6176" t="n">
        <v>91</v>
      </c>
      <c r="O6176" t="n">
        <v>0.91</v>
      </c>
      <c r="P6176" t="n">
        <v>1</v>
      </c>
      <c r="Q6176" t="n">
        <v>0.41</v>
      </c>
      <c r="R6176" t="n">
        <v>4</v>
      </c>
      <c r="S6176" t="n">
        <v>16380</v>
      </c>
      <c r="T6176" t="n">
        <v>11</v>
      </c>
      <c r="U6176" t="n">
        <v>12</v>
      </c>
      <c r="V6176" t="n">
        <v>30</v>
      </c>
      <c r="W6176" t="n">
        <v>7</v>
      </c>
      <c r="X6176" t="n">
        <v>74.72527472527473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11727</v>
      </c>
      <c r="AG6176" t="n">
        <v>63</v>
      </c>
      <c r="AH6176" t="inlineStr">
        <is>
          <t>PT. PARAMA GLOBAL INSPIRA - PPN (PDG)</t>
        </is>
      </c>
      <c r="AI6176" t="n">
        <v>164</v>
      </c>
      <c r="AJ6176" t="inlineStr">
        <is>
          <t>WARDAH</t>
        </is>
      </c>
      <c r="AK6176" t="n">
        <v>21</v>
      </c>
      <c r="AL6176" t="inlineStr">
        <is>
          <t>Miss Glam Damar</t>
        </is>
      </c>
      <c r="AM6176" t="n">
        <v>1</v>
      </c>
      <c r="AN6176" t="n">
        <v>500000</v>
      </c>
      <c r="AO6176" t="n">
        <v>0</v>
      </c>
      <c r="AP6176" t="inlineStr"/>
      <c r="AQ6176" t="inlineStr"/>
    </row>
    <row r="6177">
      <c r="A6177" t="inlineStr">
        <is>
          <t>WARDAH</t>
        </is>
      </c>
      <c r="B6177" s="2">
        <f>"8993137012812"</f>
        <v/>
      </c>
      <c r="C6177" t="inlineStr">
        <is>
          <t>WARDAH Glossicle Peptide Balm 04 Pomé Milkshake 3,2gr</t>
        </is>
      </c>
      <c r="D6177" t="inlineStr">
        <is>
          <t>Miss Glam Damar</t>
        </is>
      </c>
      <c r="E6177" t="n">
        <v>6</v>
      </c>
      <c r="F6177" t="n">
        <v>0.1365</v>
      </c>
      <c r="G6177" t="n">
        <v>0.91</v>
      </c>
      <c r="H6177" t="n">
        <v>2</v>
      </c>
      <c r="I6177" t="n">
        <v>6</v>
      </c>
      <c r="J6177" t="n">
        <v>1</v>
      </c>
      <c r="K6177" t="n">
        <v>0</v>
      </c>
      <c r="L6177" t="n">
        <v>59005</v>
      </c>
      <c r="M6177" t="n">
        <v>72000</v>
      </c>
      <c r="N6177" t="n">
        <v>91</v>
      </c>
      <c r="O6177" t="n">
        <v>0.91</v>
      </c>
      <c r="P6177" t="n">
        <v>1</v>
      </c>
      <c r="Q6177" t="n">
        <v>0.19</v>
      </c>
      <c r="R6177" t="n">
        <v>2</v>
      </c>
      <c r="S6177" t="n">
        <v>9828</v>
      </c>
      <c r="T6177" t="n">
        <v>6</v>
      </c>
      <c r="U6177" t="n">
        <v>7</v>
      </c>
      <c r="V6177" t="n">
        <v>30</v>
      </c>
      <c r="W6177" t="n">
        <v>5</v>
      </c>
      <c r="X6177" t="n">
        <v>43.95604395604396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11727</v>
      </c>
      <c r="AG6177" t="n">
        <v>63</v>
      </c>
      <c r="AH6177" t="inlineStr">
        <is>
          <t>PT. PARAMA GLOBAL INSPIRA - PPN (PDG)</t>
        </is>
      </c>
      <c r="AI6177" t="n">
        <v>164</v>
      </c>
      <c r="AJ6177" t="inlineStr">
        <is>
          <t>WARDAH</t>
        </is>
      </c>
      <c r="AK6177" t="n">
        <v>21</v>
      </c>
      <c r="AL6177" t="inlineStr">
        <is>
          <t>Miss Glam Damar</t>
        </is>
      </c>
      <c r="AM6177" t="n">
        <v>1</v>
      </c>
      <c r="AN6177" t="n">
        <v>500000</v>
      </c>
      <c r="AO6177" t="n">
        <v>0</v>
      </c>
      <c r="AP6177" t="inlineStr"/>
      <c r="AQ6177" t="inlineStr"/>
    </row>
    <row r="6178">
      <c r="A6178" t="inlineStr">
        <is>
          <t>WARDAH</t>
        </is>
      </c>
      <c r="B6178" s="2">
        <f>"8993137012829"</f>
        <v/>
      </c>
      <c r="C6178" t="inlineStr">
        <is>
          <t>WARDAH Glossicle Peptide Balm 05 Berry Slushie 3,2gr</t>
        </is>
      </c>
      <c r="D6178" t="inlineStr">
        <is>
          <t>Miss Glam Damar</t>
        </is>
      </c>
      <c r="E6178" t="n">
        <v>5</v>
      </c>
      <c r="F6178" t="n">
        <v>0.1547</v>
      </c>
      <c r="G6178" t="n">
        <v>1.82</v>
      </c>
      <c r="H6178" t="n">
        <v>2</v>
      </c>
      <c r="I6178" t="n">
        <v>6</v>
      </c>
      <c r="J6178" t="n">
        <v>1</v>
      </c>
      <c r="K6178" t="n">
        <v>0</v>
      </c>
      <c r="L6178" t="n">
        <v>59005</v>
      </c>
      <c r="M6178" t="n">
        <v>72000</v>
      </c>
      <c r="N6178" t="n">
        <v>91</v>
      </c>
      <c r="O6178" t="n">
        <v>0.91</v>
      </c>
      <c r="P6178" t="n">
        <v>1</v>
      </c>
      <c r="Q6178" t="n">
        <v>0.29</v>
      </c>
      <c r="R6178" t="n">
        <v>2</v>
      </c>
      <c r="S6178" t="n">
        <v>11138.4</v>
      </c>
      <c r="T6178" t="n">
        <v>11</v>
      </c>
      <c r="U6178" t="n">
        <v>12</v>
      </c>
      <c r="V6178" t="n">
        <v>30</v>
      </c>
      <c r="W6178" t="n">
        <v>5</v>
      </c>
      <c r="X6178" t="n">
        <v>32.32062055591467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11727</v>
      </c>
      <c r="AG6178" t="n">
        <v>63</v>
      </c>
      <c r="AH6178" t="inlineStr">
        <is>
          <t>PT. PARAMA GLOBAL INSPIRA - PPN (PDG)</t>
        </is>
      </c>
      <c r="AI6178" t="n">
        <v>164</v>
      </c>
      <c r="AJ6178" t="inlineStr">
        <is>
          <t>WARDAH</t>
        </is>
      </c>
      <c r="AK6178" t="n">
        <v>21</v>
      </c>
      <c r="AL6178" t="inlineStr">
        <is>
          <t>Miss Glam Damar</t>
        </is>
      </c>
      <c r="AM6178" t="n">
        <v>1</v>
      </c>
      <c r="AN6178" t="n">
        <v>500000</v>
      </c>
      <c r="AO6178" t="n">
        <v>0</v>
      </c>
      <c r="AP6178" t="inlineStr"/>
      <c r="AQ6178" t="inlineStr"/>
    </row>
    <row r="6179">
      <c r="A6179" t="inlineStr">
        <is>
          <t>WARDAH</t>
        </is>
      </c>
      <c r="B6179" s="2">
        <f>"8993137012836"</f>
        <v/>
      </c>
      <c r="C6179" t="inlineStr">
        <is>
          <t>WARDAH Glossicle Peptide Balm 06 Frosty Cocoa 3,2gr</t>
        </is>
      </c>
      <c r="D6179" t="inlineStr">
        <is>
          <t>Miss Glam Damar</t>
        </is>
      </c>
      <c r="E6179" t="n">
        <v>3</v>
      </c>
      <c r="F6179" t="n">
        <v>0.0728</v>
      </c>
      <c r="G6179" t="n">
        <v>0.91</v>
      </c>
      <c r="H6179" t="n">
        <v>2</v>
      </c>
      <c r="I6179" t="n">
        <v>6</v>
      </c>
      <c r="J6179" t="n">
        <v>1</v>
      </c>
      <c r="K6179" t="n">
        <v>0</v>
      </c>
      <c r="L6179" t="n">
        <v>59005</v>
      </c>
      <c r="M6179" t="n">
        <v>72000</v>
      </c>
      <c r="N6179" t="n">
        <v>91</v>
      </c>
      <c r="O6179" t="n">
        <v>0.91</v>
      </c>
      <c r="P6179" t="n">
        <v>1</v>
      </c>
      <c r="Q6179" t="n">
        <v>0.14</v>
      </c>
      <c r="R6179" t="n">
        <v>2</v>
      </c>
      <c r="S6179" t="n">
        <v>5241.6</v>
      </c>
      <c r="T6179" t="n">
        <v>6</v>
      </c>
      <c r="U6179" t="n">
        <v>7</v>
      </c>
      <c r="V6179" t="n">
        <v>30</v>
      </c>
      <c r="W6179" t="n">
        <v>3</v>
      </c>
      <c r="X6179" t="n">
        <v>41.2087912087912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11727</v>
      </c>
      <c r="AG6179" t="n">
        <v>63</v>
      </c>
      <c r="AH6179" t="inlineStr">
        <is>
          <t>PT. PARAMA GLOBAL INSPIRA - PPN (PDG)</t>
        </is>
      </c>
      <c r="AI6179" t="n">
        <v>164</v>
      </c>
      <c r="AJ6179" t="inlineStr">
        <is>
          <t>WARDAH</t>
        </is>
      </c>
      <c r="AK6179" t="n">
        <v>21</v>
      </c>
      <c r="AL6179" t="inlineStr">
        <is>
          <t>Miss Glam Damar</t>
        </is>
      </c>
      <c r="AM6179" t="n">
        <v>1</v>
      </c>
      <c r="AN6179" t="n">
        <v>500000</v>
      </c>
      <c r="AO6179" t="n">
        <v>0</v>
      </c>
      <c r="AP6179" t="inlineStr"/>
      <c r="AQ6179" t="inlineStr"/>
    </row>
    <row r="6180">
      <c r="A6180" t="inlineStr">
        <is>
          <t>WARDAH</t>
        </is>
      </c>
      <c r="B6180" s="2">
        <f>"8993137012843"</f>
        <v/>
      </c>
      <c r="C6180" t="inlineStr">
        <is>
          <t>WARDAH Glossicle Peptide Balm 07 Cola Float 3,2gr</t>
        </is>
      </c>
      <c r="D6180" t="inlineStr">
        <is>
          <t>Miss Glam Damar</t>
        </is>
      </c>
      <c r="E6180" t="n">
        <v>7</v>
      </c>
      <c r="F6180" t="n">
        <v>0.04550000000000001</v>
      </c>
      <c r="G6180" t="n">
        <v>1.82</v>
      </c>
      <c r="H6180" t="n">
        <v>2</v>
      </c>
      <c r="I6180" t="n">
        <v>6</v>
      </c>
      <c r="J6180" t="n">
        <v>1</v>
      </c>
      <c r="K6180" t="n">
        <v>0</v>
      </c>
      <c r="L6180" t="n">
        <v>59005</v>
      </c>
      <c r="M6180" t="n">
        <v>72000</v>
      </c>
      <c r="N6180" t="n">
        <v>91</v>
      </c>
      <c r="O6180" t="n">
        <v>0.91</v>
      </c>
      <c r="P6180" t="n">
        <v>1</v>
      </c>
      <c r="Q6180" t="n">
        <v>0.07000000000000001</v>
      </c>
      <c r="R6180" t="n">
        <v>1</v>
      </c>
      <c r="S6180" t="n">
        <v>3276</v>
      </c>
      <c r="T6180" t="n">
        <v>11</v>
      </c>
      <c r="U6180" t="n">
        <v>12</v>
      </c>
      <c r="V6180" t="n">
        <v>30</v>
      </c>
      <c r="W6180" t="n">
        <v>2</v>
      </c>
      <c r="X6180" t="n">
        <v>153.8461538461538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11727</v>
      </c>
      <c r="AG6180" t="n">
        <v>63</v>
      </c>
      <c r="AH6180" t="inlineStr">
        <is>
          <t>PT. PARAMA GLOBAL INSPIRA - PPN (PDG)</t>
        </is>
      </c>
      <c r="AI6180" t="n">
        <v>164</v>
      </c>
      <c r="AJ6180" t="inlineStr">
        <is>
          <t>WARDAH</t>
        </is>
      </c>
      <c r="AK6180" t="n">
        <v>21</v>
      </c>
      <c r="AL6180" t="inlineStr">
        <is>
          <t>Miss Glam Damar</t>
        </is>
      </c>
      <c r="AM6180" t="n">
        <v>1</v>
      </c>
      <c r="AN6180" t="n">
        <v>500000</v>
      </c>
      <c r="AO6180" t="n">
        <v>0</v>
      </c>
      <c r="AP6180" t="inlineStr"/>
      <c r="AQ6180" t="inlineStr"/>
    </row>
    <row r="6181">
      <c r="A6181" t="inlineStr">
        <is>
          <t>WARDAH</t>
        </is>
      </c>
      <c r="B6181" s="2">
        <f>"8993137012850"</f>
        <v/>
      </c>
      <c r="C6181" t="inlineStr">
        <is>
          <t>WARDAH Glossicle Peptide Balm 08 Cherry Pop 3,2gr</t>
        </is>
      </c>
      <c r="D6181" t="inlineStr">
        <is>
          <t>Miss Glam Damar</t>
        </is>
      </c>
      <c r="E6181" t="n">
        <v>9</v>
      </c>
      <c r="F6181" t="n">
        <v>0.2184</v>
      </c>
      <c r="G6181" t="n">
        <v>0.91</v>
      </c>
      <c r="H6181" t="n">
        <v>2</v>
      </c>
      <c r="I6181" t="n">
        <v>6</v>
      </c>
      <c r="J6181" t="n">
        <v>1</v>
      </c>
      <c r="K6181" t="n">
        <v>0</v>
      </c>
      <c r="L6181" t="n">
        <v>59005</v>
      </c>
      <c r="M6181" t="n">
        <v>72000</v>
      </c>
      <c r="N6181" t="n">
        <v>91</v>
      </c>
      <c r="O6181" t="n">
        <v>0.91</v>
      </c>
      <c r="P6181" t="n">
        <v>1</v>
      </c>
      <c r="Q6181" t="n">
        <v>0.29</v>
      </c>
      <c r="R6181" t="n">
        <v>2</v>
      </c>
      <c r="S6181" t="n">
        <v>15724.8</v>
      </c>
      <c r="T6181" t="n">
        <v>6</v>
      </c>
      <c r="U6181" t="n">
        <v>7</v>
      </c>
      <c r="V6181" t="n">
        <v>30</v>
      </c>
      <c r="W6181" t="n">
        <v>7</v>
      </c>
      <c r="X6181" t="n">
        <v>41.2087912087912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11727</v>
      </c>
      <c r="AG6181" t="n">
        <v>63</v>
      </c>
      <c r="AH6181" t="inlineStr">
        <is>
          <t>PT. PARAMA GLOBAL INSPIRA - PPN (PDG)</t>
        </is>
      </c>
      <c r="AI6181" t="n">
        <v>164</v>
      </c>
      <c r="AJ6181" t="inlineStr">
        <is>
          <t>WARDAH</t>
        </is>
      </c>
      <c r="AK6181" t="n">
        <v>21</v>
      </c>
      <c r="AL6181" t="inlineStr">
        <is>
          <t>Miss Glam Damar</t>
        </is>
      </c>
      <c r="AM6181" t="n">
        <v>1</v>
      </c>
      <c r="AN6181" t="n">
        <v>500000</v>
      </c>
      <c r="AO6181" t="n">
        <v>0</v>
      </c>
      <c r="AP6181" t="inlineStr"/>
      <c r="AQ6181" t="inlineStr"/>
    </row>
    <row r="6182">
      <c r="A6182" t="inlineStr">
        <is>
          <t>WARDAH</t>
        </is>
      </c>
      <c r="B6182" s="2">
        <f>"8993137699563"</f>
        <v/>
      </c>
      <c r="C6182" t="inlineStr">
        <is>
          <t>WARDAH Hairfall Treatment Conditioner Ginseng&amp;Rosemary 170ml</t>
        </is>
      </c>
      <c r="D6182" t="inlineStr">
        <is>
          <t>Miss Glam Damar</t>
        </is>
      </c>
      <c r="E6182" t="n">
        <v>16</v>
      </c>
      <c r="F6182" t="n">
        <v>0.2457</v>
      </c>
      <c r="G6182" t="n">
        <v>1.82</v>
      </c>
      <c r="H6182" t="n">
        <v>2</v>
      </c>
      <c r="I6182" t="n">
        <v>6</v>
      </c>
      <c r="J6182" t="n">
        <v>3</v>
      </c>
      <c r="K6182" t="n">
        <v>0</v>
      </c>
      <c r="L6182" t="n">
        <v>19923</v>
      </c>
      <c r="M6182" t="n">
        <v>24500</v>
      </c>
      <c r="N6182" t="n">
        <v>91</v>
      </c>
      <c r="O6182" t="n">
        <v>0.91</v>
      </c>
      <c r="P6182" t="n">
        <v>1</v>
      </c>
      <c r="Q6182" t="n">
        <v>0.6899999999999999</v>
      </c>
      <c r="R6182" t="n">
        <v>4</v>
      </c>
      <c r="S6182" t="n">
        <v>6019.650000000001</v>
      </c>
      <c r="T6182" t="n">
        <v>11</v>
      </c>
      <c r="U6182" t="n">
        <v>12</v>
      </c>
      <c r="V6182" t="n">
        <v>30</v>
      </c>
      <c r="W6182" t="n">
        <v>8</v>
      </c>
      <c r="X6182" t="n">
        <v>65.12006512006511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11727</v>
      </c>
      <c r="AG6182" t="n">
        <v>63</v>
      </c>
      <c r="AH6182" t="inlineStr">
        <is>
          <t>PT. PARAMA GLOBAL INSPIRA - PPN (PDG)</t>
        </is>
      </c>
      <c r="AI6182" t="n">
        <v>164</v>
      </c>
      <c r="AJ6182" t="inlineStr">
        <is>
          <t>WARDAH</t>
        </is>
      </c>
      <c r="AK6182" t="n">
        <v>21</v>
      </c>
      <c r="AL6182" t="inlineStr">
        <is>
          <t>Miss Glam Damar</t>
        </is>
      </c>
      <c r="AM6182" t="n">
        <v>1</v>
      </c>
      <c r="AN6182" t="n">
        <v>500000</v>
      </c>
      <c r="AO6182" t="n">
        <v>0</v>
      </c>
      <c r="AP6182" t="inlineStr"/>
      <c r="AQ6182" t="inlineStr"/>
    </row>
    <row r="6183">
      <c r="A6183" t="inlineStr">
        <is>
          <t>WARDAH</t>
        </is>
      </c>
      <c r="B6183" s="2">
        <f>"101001108903"</f>
        <v/>
      </c>
      <c r="C6183" t="inlineStr">
        <is>
          <t>WARDAH Heartleaf + 8X NMF Amino Calm &amp; Soothe Gel Cleanser 120ml</t>
        </is>
      </c>
      <c r="D6183" t="inlineStr">
        <is>
          <t>Miss Glam Damar</t>
        </is>
      </c>
      <c r="E6183" t="n">
        <v>7</v>
      </c>
      <c r="F6183" t="n">
        <v>0.05</v>
      </c>
      <c r="G6183" t="n">
        <v>1</v>
      </c>
      <c r="H6183" t="n">
        <v>2</v>
      </c>
      <c r="I6183" t="n">
        <v>6</v>
      </c>
      <c r="J6183" t="n">
        <v>1</v>
      </c>
      <c r="K6183" t="n">
        <v>0</v>
      </c>
      <c r="L6183" t="n">
        <v>69732</v>
      </c>
      <c r="M6183" t="n">
        <v>85500</v>
      </c>
      <c r="N6183" t="n">
        <v>91</v>
      </c>
      <c r="O6183" t="n">
        <v>0.91</v>
      </c>
      <c r="P6183" t="n">
        <v>0</v>
      </c>
      <c r="Q6183" t="n">
        <v>0.05</v>
      </c>
      <c r="R6183" t="n">
        <v>1</v>
      </c>
      <c r="S6183" t="n">
        <v>4275</v>
      </c>
      <c r="T6183" t="n">
        <v>6</v>
      </c>
      <c r="U6183" t="n">
        <v>7</v>
      </c>
      <c r="V6183" t="n">
        <v>30</v>
      </c>
      <c r="W6183" t="n">
        <v>2</v>
      </c>
      <c r="X6183" t="n">
        <v>140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11727</v>
      </c>
      <c r="AG6183" t="n">
        <v>63</v>
      </c>
      <c r="AH6183" t="inlineStr">
        <is>
          <t>PT. PARAMA GLOBAL INSPIRA - PPN (PDG)</t>
        </is>
      </c>
      <c r="AI6183" t="n">
        <v>164</v>
      </c>
      <c r="AJ6183" t="inlineStr">
        <is>
          <t>WARDAH</t>
        </is>
      </c>
      <c r="AK6183" t="n">
        <v>21</v>
      </c>
      <c r="AL6183" t="inlineStr">
        <is>
          <t>Miss Glam Damar</t>
        </is>
      </c>
      <c r="AM6183" t="n">
        <v>1</v>
      </c>
      <c r="AN6183" t="n">
        <v>500000</v>
      </c>
      <c r="AO6183" t="n">
        <v>0</v>
      </c>
      <c r="AP6183" t="inlineStr"/>
      <c r="AQ6183" t="inlineStr"/>
    </row>
    <row r="6184">
      <c r="A6184" t="inlineStr">
        <is>
          <t>WARDAH</t>
        </is>
      </c>
      <c r="B6184" s="2">
        <f>"20200220927"</f>
        <v/>
      </c>
      <c r="C6184" t="inlineStr">
        <is>
          <t>WARDAH Hi-Impact Volumizer Mascara 6.5gr</t>
        </is>
      </c>
      <c r="D6184" t="inlineStr">
        <is>
          <t>Miss Glam Damar</t>
        </is>
      </c>
      <c r="E6184" t="n">
        <v>16</v>
      </c>
      <c r="F6184" t="n">
        <v>0.3731</v>
      </c>
      <c r="G6184" t="n">
        <v>1.82</v>
      </c>
      <c r="H6184" t="n">
        <v>2</v>
      </c>
      <c r="I6184" t="n">
        <v>6</v>
      </c>
      <c r="J6184" t="n">
        <v>1</v>
      </c>
      <c r="K6184" t="n">
        <v>0</v>
      </c>
      <c r="L6184" t="n">
        <v>60538</v>
      </c>
      <c r="M6184" t="n">
        <v>74000</v>
      </c>
      <c r="N6184" t="n">
        <v>91</v>
      </c>
      <c r="O6184" t="n">
        <v>0.91</v>
      </c>
      <c r="P6184" t="n">
        <v>1</v>
      </c>
      <c r="Q6184" t="n">
        <v>0.6899999999999999</v>
      </c>
      <c r="R6184" t="n">
        <v>3</v>
      </c>
      <c r="S6184" t="n">
        <v>27609.4</v>
      </c>
      <c r="T6184" t="n">
        <v>11</v>
      </c>
      <c r="U6184" t="n">
        <v>12</v>
      </c>
      <c r="V6184" t="n">
        <v>30</v>
      </c>
      <c r="W6184" t="n">
        <v>12</v>
      </c>
      <c r="X6184" t="n">
        <v>42.88394532296972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11727</v>
      </c>
      <c r="AG6184" t="n">
        <v>63</v>
      </c>
      <c r="AH6184" t="inlineStr">
        <is>
          <t>PT. PARAMA GLOBAL INSPIRA - PPN (PDG)</t>
        </is>
      </c>
      <c r="AI6184" t="n">
        <v>164</v>
      </c>
      <c r="AJ6184" t="inlineStr">
        <is>
          <t>WARDAH</t>
        </is>
      </c>
      <c r="AK6184" t="n">
        <v>21</v>
      </c>
      <c r="AL6184" t="inlineStr">
        <is>
          <t>Miss Glam Damar</t>
        </is>
      </c>
      <c r="AM6184" t="n">
        <v>1</v>
      </c>
      <c r="AN6184" t="n">
        <v>500000</v>
      </c>
      <c r="AO6184" t="n">
        <v>0</v>
      </c>
      <c r="AP6184" t="inlineStr"/>
      <c r="AQ6184" t="inlineStr"/>
    </row>
    <row r="6185">
      <c r="A6185" t="inlineStr">
        <is>
          <t>WARDAH</t>
        </is>
      </c>
      <c r="B6185" s="2">
        <f>"8993137708722"</f>
        <v/>
      </c>
      <c r="C6185" t="inlineStr">
        <is>
          <t>WARDAH Hydra Rose Gel To Foam Cleanser 100ml</t>
        </is>
      </c>
      <c r="D6185" t="inlineStr">
        <is>
          <t>Miss Glam Damar</t>
        </is>
      </c>
      <c r="E6185" t="n">
        <v>42</v>
      </c>
      <c r="F6185" t="n">
        <v>2.3114</v>
      </c>
      <c r="G6185" t="n">
        <v>6.37</v>
      </c>
      <c r="H6185" t="n">
        <v>2</v>
      </c>
      <c r="I6185" t="n">
        <v>6</v>
      </c>
      <c r="J6185" t="n">
        <v>3</v>
      </c>
      <c r="K6185" t="n">
        <v>0</v>
      </c>
      <c r="L6185" t="n">
        <v>30268</v>
      </c>
      <c r="M6185" t="n">
        <v>37000</v>
      </c>
      <c r="N6185" t="n">
        <v>91</v>
      </c>
      <c r="O6185" t="n">
        <v>0.91</v>
      </c>
      <c r="P6185" t="n">
        <v>1</v>
      </c>
      <c r="Q6185" t="n">
        <v>1.81</v>
      </c>
      <c r="R6185" t="n">
        <v>6</v>
      </c>
      <c r="S6185" t="n">
        <v>85521.8</v>
      </c>
      <c r="T6185" t="n">
        <v>34</v>
      </c>
      <c r="U6185" t="n">
        <v>39</v>
      </c>
      <c r="V6185" t="n">
        <v>30</v>
      </c>
      <c r="W6185" t="n">
        <v>70</v>
      </c>
      <c r="X6185" t="n">
        <v>18.17080557238038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11727</v>
      </c>
      <c r="AG6185" t="n">
        <v>63</v>
      </c>
      <c r="AH6185" t="inlineStr">
        <is>
          <t>PT. PARAMA GLOBAL INSPIRA - PPN (PDG)</t>
        </is>
      </c>
      <c r="AI6185" t="n">
        <v>164</v>
      </c>
      <c r="AJ6185" t="inlineStr">
        <is>
          <t>WARDAH</t>
        </is>
      </c>
      <c r="AK6185" t="n">
        <v>21</v>
      </c>
      <c r="AL6185" t="inlineStr">
        <is>
          <t>Miss Glam Damar</t>
        </is>
      </c>
      <c r="AM6185" t="n">
        <v>1</v>
      </c>
      <c r="AN6185" t="n">
        <v>500000</v>
      </c>
      <c r="AO6185" t="n">
        <v>0</v>
      </c>
      <c r="AP6185" t="inlineStr"/>
      <c r="AQ6185" t="inlineStr"/>
    </row>
    <row r="6186">
      <c r="A6186" t="inlineStr">
        <is>
          <t>WARDAH</t>
        </is>
      </c>
      <c r="B6186" s="2">
        <f>"8993137708746"</f>
        <v/>
      </c>
      <c r="C6186" t="inlineStr">
        <is>
          <t>WARDAH Hydra Rose Micro Gel Serum 30ml</t>
        </is>
      </c>
      <c r="D6186" t="inlineStr">
        <is>
          <t>Miss Glam Damar</t>
        </is>
      </c>
      <c r="E6186" t="n">
        <v>7</v>
      </c>
      <c r="F6186" t="n">
        <v>0.1365</v>
      </c>
      <c r="G6186" t="n">
        <v>1.82</v>
      </c>
      <c r="H6186" t="n">
        <v>2</v>
      </c>
      <c r="I6186" t="n">
        <v>6</v>
      </c>
      <c r="J6186" t="n">
        <v>3</v>
      </c>
      <c r="K6186" t="n">
        <v>0</v>
      </c>
      <c r="L6186" t="n">
        <v>101534</v>
      </c>
      <c r="M6186" t="n">
        <v>124000</v>
      </c>
      <c r="N6186" t="n">
        <v>91</v>
      </c>
      <c r="O6186" t="n">
        <v>0.91</v>
      </c>
      <c r="P6186" t="n">
        <v>1</v>
      </c>
      <c r="Q6186" t="n">
        <v>0.19</v>
      </c>
      <c r="R6186" t="n">
        <v>2</v>
      </c>
      <c r="S6186" t="n">
        <v>16926</v>
      </c>
      <c r="T6186" t="n">
        <v>11</v>
      </c>
      <c r="U6186" t="n">
        <v>12</v>
      </c>
      <c r="V6186" t="n">
        <v>30</v>
      </c>
      <c r="W6186" t="n">
        <v>5</v>
      </c>
      <c r="X6186" t="n">
        <v>51.28205128205128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11727</v>
      </c>
      <c r="AG6186" t="n">
        <v>63</v>
      </c>
      <c r="AH6186" t="inlineStr">
        <is>
          <t>PT. PARAMA GLOBAL INSPIRA - PPN (PDG)</t>
        </is>
      </c>
      <c r="AI6186" t="n">
        <v>164</v>
      </c>
      <c r="AJ6186" t="inlineStr">
        <is>
          <t>WARDAH</t>
        </is>
      </c>
      <c r="AK6186" t="n">
        <v>21</v>
      </c>
      <c r="AL6186" t="inlineStr">
        <is>
          <t>Miss Glam Damar</t>
        </is>
      </c>
      <c r="AM6186" t="n">
        <v>1</v>
      </c>
      <c r="AN6186" t="n">
        <v>500000</v>
      </c>
      <c r="AO6186" t="n">
        <v>0</v>
      </c>
      <c r="AP6186" t="inlineStr"/>
      <c r="AQ6186" t="inlineStr"/>
    </row>
    <row r="6187">
      <c r="A6187" t="inlineStr">
        <is>
          <t>WARDAH</t>
        </is>
      </c>
      <c r="B6187" s="2">
        <f>"8993137708739"</f>
        <v/>
      </c>
      <c r="C6187" t="inlineStr">
        <is>
          <t>WARDAH Hydra Rose Petal Infused Toner 100ml</t>
        </is>
      </c>
      <c r="D6187" t="inlineStr">
        <is>
          <t>Miss Glam Damar</t>
        </is>
      </c>
      <c r="E6187" t="n">
        <v>4</v>
      </c>
      <c r="F6187" t="n">
        <v>0.0273</v>
      </c>
      <c r="G6187" t="n">
        <v>0.91</v>
      </c>
      <c r="H6187" t="n">
        <v>2</v>
      </c>
      <c r="I6187" t="n">
        <v>6</v>
      </c>
      <c r="J6187" t="n">
        <v>3</v>
      </c>
      <c r="K6187" t="n">
        <v>0</v>
      </c>
      <c r="L6187" t="n">
        <v>95021</v>
      </c>
      <c r="M6187" t="n">
        <v>116000</v>
      </c>
      <c r="N6187" t="n">
        <v>91</v>
      </c>
      <c r="O6187" t="n">
        <v>0.91</v>
      </c>
      <c r="P6187" t="n">
        <v>1</v>
      </c>
      <c r="Q6187" t="n">
        <v>0.1</v>
      </c>
      <c r="R6187" t="n">
        <v>2</v>
      </c>
      <c r="S6187" t="n">
        <v>3166.8</v>
      </c>
      <c r="T6187" t="n">
        <v>6</v>
      </c>
      <c r="U6187" t="n">
        <v>7</v>
      </c>
      <c r="V6187" t="n">
        <v>30</v>
      </c>
      <c r="W6187" t="n">
        <v>1</v>
      </c>
      <c r="X6187" t="n">
        <v>146.5201465201465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11727</v>
      </c>
      <c r="AG6187" t="n">
        <v>63</v>
      </c>
      <c r="AH6187" t="inlineStr">
        <is>
          <t>PT. PARAMA GLOBAL INSPIRA - PPN (PDG)</t>
        </is>
      </c>
      <c r="AI6187" t="n">
        <v>164</v>
      </c>
      <c r="AJ6187" t="inlineStr">
        <is>
          <t>WARDAH</t>
        </is>
      </c>
      <c r="AK6187" t="n">
        <v>21</v>
      </c>
      <c r="AL6187" t="inlineStr">
        <is>
          <t>Miss Glam Damar</t>
        </is>
      </c>
      <c r="AM6187" t="n">
        <v>1</v>
      </c>
      <c r="AN6187" t="n">
        <v>500000</v>
      </c>
      <c r="AO6187" t="n">
        <v>0</v>
      </c>
      <c r="AP6187" t="inlineStr"/>
      <c r="AQ6187" t="inlineStr"/>
    </row>
    <row r="6188">
      <c r="A6188" t="inlineStr">
        <is>
          <t>WARDAH</t>
        </is>
      </c>
      <c r="B6188" s="2">
        <f>"8993137008259"</f>
        <v/>
      </c>
      <c r="C6188" t="inlineStr">
        <is>
          <t>WARDAH Hydrabalm Lip Care Orange Squeeze 4gr</t>
        </is>
      </c>
      <c r="D6188" t="inlineStr">
        <is>
          <t>Miss Glam Damar</t>
        </is>
      </c>
      <c r="E6188" t="n">
        <v>12</v>
      </c>
      <c r="F6188" t="n">
        <v>0.5277999999999999</v>
      </c>
      <c r="G6188" t="n">
        <v>3.64</v>
      </c>
      <c r="H6188" t="n">
        <v>2</v>
      </c>
      <c r="I6188" t="n">
        <v>6</v>
      </c>
      <c r="J6188" t="n">
        <v>3</v>
      </c>
      <c r="K6188" t="n">
        <v>0</v>
      </c>
      <c r="L6188" t="n">
        <v>22605</v>
      </c>
      <c r="M6188" t="n">
        <v>28000</v>
      </c>
      <c r="N6188" t="n">
        <v>91</v>
      </c>
      <c r="O6188" t="n">
        <v>0.91</v>
      </c>
      <c r="P6188" t="n">
        <v>1</v>
      </c>
      <c r="Q6188" t="n">
        <v>0.59</v>
      </c>
      <c r="R6188" t="n">
        <v>3</v>
      </c>
      <c r="S6188" t="n">
        <v>14778.4</v>
      </c>
      <c r="T6188" t="n">
        <v>21</v>
      </c>
      <c r="U6188" t="n">
        <v>23</v>
      </c>
      <c r="V6188" t="n">
        <v>30</v>
      </c>
      <c r="W6188" t="n">
        <v>16</v>
      </c>
      <c r="X6188" t="n">
        <v>22.73588480485033</v>
      </c>
      <c r="Y6188" t="n">
        <v>1</v>
      </c>
      <c r="Z6188" t="n">
        <v>4</v>
      </c>
      <c r="AA6188" t="n">
        <v>0</v>
      </c>
      <c r="AB6188" t="n">
        <v>4</v>
      </c>
      <c r="AC6188" t="n">
        <v>4</v>
      </c>
      <c r="AD6188" t="n">
        <v>0</v>
      </c>
      <c r="AE6188" t="n">
        <v>90420</v>
      </c>
      <c r="AF6188" t="n">
        <v>11727</v>
      </c>
      <c r="AG6188" t="n">
        <v>63</v>
      </c>
      <c r="AH6188" t="inlineStr">
        <is>
          <t>PT. PARAMA GLOBAL INSPIRA - PPN (PDG)</t>
        </is>
      </c>
      <c r="AI6188" t="n">
        <v>164</v>
      </c>
      <c r="AJ6188" t="inlineStr">
        <is>
          <t>WARDAH</t>
        </is>
      </c>
      <c r="AK6188" t="n">
        <v>21</v>
      </c>
      <c r="AL6188" t="inlineStr">
        <is>
          <t>Miss Glam Damar</t>
        </is>
      </c>
      <c r="AM6188" t="n">
        <v>1</v>
      </c>
      <c r="AN6188" t="n">
        <v>500000</v>
      </c>
      <c r="AO6188" t="n">
        <v>0</v>
      </c>
      <c r="AP6188" t="inlineStr"/>
      <c r="AQ6188" t="inlineStr"/>
    </row>
    <row r="6189">
      <c r="A6189" t="inlineStr">
        <is>
          <t>WARDAH</t>
        </is>
      </c>
      <c r="B6189" s="2">
        <f>"8993137008266"</f>
        <v/>
      </c>
      <c r="C6189" t="inlineStr">
        <is>
          <t>WARDAH Hydrabalm Lip Care Peach Blossom 4gr</t>
        </is>
      </c>
      <c r="D6189" t="inlineStr">
        <is>
          <t>Miss Glam Damar</t>
        </is>
      </c>
      <c r="E6189" t="n">
        <v>42</v>
      </c>
      <c r="F6189" t="n">
        <v>2.1931</v>
      </c>
      <c r="G6189" t="n">
        <v>6.37</v>
      </c>
      <c r="H6189" t="n">
        <v>2</v>
      </c>
      <c r="I6189" t="n">
        <v>6</v>
      </c>
      <c r="J6189" t="n">
        <v>3</v>
      </c>
      <c r="K6189" t="n">
        <v>0</v>
      </c>
      <c r="L6189" t="n">
        <v>22605</v>
      </c>
      <c r="M6189" t="n">
        <v>28000</v>
      </c>
      <c r="N6189" t="n">
        <v>91</v>
      </c>
      <c r="O6189" t="n">
        <v>0.91</v>
      </c>
      <c r="P6189" t="n">
        <v>1</v>
      </c>
      <c r="Q6189" t="n">
        <v>2.44</v>
      </c>
      <c r="R6189" t="n">
        <v>7</v>
      </c>
      <c r="S6189" t="n">
        <v>61406.80000000001</v>
      </c>
      <c r="T6189" t="n">
        <v>34</v>
      </c>
      <c r="U6189" t="n">
        <v>39</v>
      </c>
      <c r="V6189" t="n">
        <v>30</v>
      </c>
      <c r="W6189" t="n">
        <v>66</v>
      </c>
      <c r="X6189" t="n">
        <v>19.15097350781998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11727</v>
      </c>
      <c r="AG6189" t="n">
        <v>63</v>
      </c>
      <c r="AH6189" t="inlineStr">
        <is>
          <t>PT. PARAMA GLOBAL INSPIRA - PPN (PDG)</t>
        </is>
      </c>
      <c r="AI6189" t="n">
        <v>164</v>
      </c>
      <c r="AJ6189" t="inlineStr">
        <is>
          <t>WARDAH</t>
        </is>
      </c>
      <c r="AK6189" t="n">
        <v>21</v>
      </c>
      <c r="AL6189" t="inlineStr">
        <is>
          <t>Miss Glam Damar</t>
        </is>
      </c>
      <c r="AM6189" t="n">
        <v>1</v>
      </c>
      <c r="AN6189" t="n">
        <v>500000</v>
      </c>
      <c r="AO6189" t="n">
        <v>0</v>
      </c>
      <c r="AP6189" t="inlineStr"/>
      <c r="AQ6189" t="inlineStr"/>
    </row>
    <row r="6190">
      <c r="A6190" t="inlineStr">
        <is>
          <t>WARDAH</t>
        </is>
      </c>
      <c r="B6190" s="2">
        <f>"8993137704892"</f>
        <v/>
      </c>
      <c r="C6190" t="inlineStr">
        <is>
          <t>WARDAH Light Powder Fondation 06 Ivory 12g</t>
        </is>
      </c>
      <c r="D6190" t="inlineStr">
        <is>
          <t>Miss Glam Damar</t>
        </is>
      </c>
      <c r="E6190" t="n">
        <v>7</v>
      </c>
      <c r="F6190" t="n">
        <v>0.2639</v>
      </c>
      <c r="G6190" t="n">
        <v>1.82</v>
      </c>
      <c r="H6190" t="n">
        <v>2</v>
      </c>
      <c r="I6190" t="n">
        <v>6</v>
      </c>
      <c r="J6190" t="n">
        <v>3</v>
      </c>
      <c r="K6190" t="n">
        <v>0</v>
      </c>
      <c r="L6190" t="n">
        <v>42146</v>
      </c>
      <c r="M6190" t="n">
        <v>51500</v>
      </c>
      <c r="N6190" t="n">
        <v>91</v>
      </c>
      <c r="O6190" t="n">
        <v>0.91</v>
      </c>
      <c r="P6190" t="n">
        <v>1</v>
      </c>
      <c r="Q6190" t="n">
        <v>0.08</v>
      </c>
      <c r="R6190" t="n">
        <v>2</v>
      </c>
      <c r="S6190" t="n">
        <v>13590.85</v>
      </c>
      <c r="T6190" t="n">
        <v>11</v>
      </c>
      <c r="U6190" t="n">
        <v>12</v>
      </c>
      <c r="V6190" t="n">
        <v>30</v>
      </c>
      <c r="W6190" t="n">
        <v>8</v>
      </c>
      <c r="X6190" t="n">
        <v>26.52519893899204</v>
      </c>
      <c r="Y6190" t="n">
        <v>1</v>
      </c>
      <c r="Z6190" t="n">
        <v>1</v>
      </c>
      <c r="AA6190" t="n">
        <v>0</v>
      </c>
      <c r="AB6190" t="n">
        <v>1</v>
      </c>
      <c r="AC6190" t="n">
        <v>3</v>
      </c>
      <c r="AD6190" t="n">
        <v>0</v>
      </c>
      <c r="AE6190" t="n">
        <v>126438</v>
      </c>
      <c r="AF6190" t="n">
        <v>11727</v>
      </c>
      <c r="AG6190" t="n">
        <v>63</v>
      </c>
      <c r="AH6190" t="inlineStr">
        <is>
          <t>PT. PARAMA GLOBAL INSPIRA - PPN (PDG)</t>
        </is>
      </c>
      <c r="AI6190" t="n">
        <v>164</v>
      </c>
      <c r="AJ6190" t="inlineStr">
        <is>
          <t>WARDAH</t>
        </is>
      </c>
      <c r="AK6190" t="n">
        <v>21</v>
      </c>
      <c r="AL6190" t="inlineStr">
        <is>
          <t>Miss Glam Damar</t>
        </is>
      </c>
      <c r="AM6190" t="n">
        <v>1</v>
      </c>
      <c r="AN6190" t="n">
        <v>500000</v>
      </c>
      <c r="AO6190" t="n">
        <v>0</v>
      </c>
      <c r="AP6190" t="inlineStr"/>
      <c r="AQ6190" t="inlineStr"/>
    </row>
    <row r="6191">
      <c r="A6191" t="inlineStr">
        <is>
          <t>WARDAH</t>
        </is>
      </c>
      <c r="B6191" s="2">
        <f>"8993137704885"</f>
        <v/>
      </c>
      <c r="C6191" t="inlineStr">
        <is>
          <t>WARDAH Light Powder Foundation 05 Warm Ivory 12gr</t>
        </is>
      </c>
      <c r="D6191" t="inlineStr">
        <is>
          <t>Miss Glam Damar</t>
        </is>
      </c>
      <c r="E6191" t="n">
        <v>22</v>
      </c>
      <c r="F6191" t="n">
        <v>0.4186</v>
      </c>
      <c r="G6191" t="n">
        <v>2.73</v>
      </c>
      <c r="H6191" t="n">
        <v>2</v>
      </c>
      <c r="I6191" t="n">
        <v>6</v>
      </c>
      <c r="J6191" t="n">
        <v>3</v>
      </c>
      <c r="K6191" t="n">
        <v>0</v>
      </c>
      <c r="L6191" t="n">
        <v>42146</v>
      </c>
      <c r="M6191" t="n">
        <v>51500</v>
      </c>
      <c r="N6191" t="n">
        <v>91</v>
      </c>
      <c r="O6191" t="n">
        <v>0.91</v>
      </c>
      <c r="P6191" t="n">
        <v>1</v>
      </c>
      <c r="Q6191" t="n">
        <v>0.8100000000000001</v>
      </c>
      <c r="R6191" t="n">
        <v>5</v>
      </c>
      <c r="S6191" t="n">
        <v>21557.9</v>
      </c>
      <c r="T6191" t="n">
        <v>16</v>
      </c>
      <c r="U6191" t="n">
        <v>17</v>
      </c>
      <c r="V6191" t="n">
        <v>30</v>
      </c>
      <c r="W6191" t="n">
        <v>13</v>
      </c>
      <c r="X6191" t="n">
        <v>52.55613951266125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11727</v>
      </c>
      <c r="AG6191" t="n">
        <v>63</v>
      </c>
      <c r="AH6191" t="inlineStr">
        <is>
          <t>PT. PARAMA GLOBAL INSPIRA - PPN (PDG)</t>
        </is>
      </c>
      <c r="AI6191" t="n">
        <v>164</v>
      </c>
      <c r="AJ6191" t="inlineStr">
        <is>
          <t>WARDAH</t>
        </is>
      </c>
      <c r="AK6191" t="n">
        <v>21</v>
      </c>
      <c r="AL6191" t="inlineStr">
        <is>
          <t>Miss Glam Damar</t>
        </is>
      </c>
      <c r="AM6191" t="n">
        <v>1</v>
      </c>
      <c r="AN6191" t="n">
        <v>500000</v>
      </c>
      <c r="AO6191" t="n">
        <v>0</v>
      </c>
      <c r="AP6191" t="inlineStr"/>
      <c r="AQ6191" t="inlineStr"/>
    </row>
    <row r="6192">
      <c r="A6192" t="inlineStr">
        <is>
          <t>WARDAH</t>
        </is>
      </c>
      <c r="B6192" s="2">
        <f>"8993137685719"</f>
        <v/>
      </c>
      <c r="C6192" t="inlineStr">
        <is>
          <t>WARDAH Light Powder Foundation Reffil 03 Sheer Pink 12gr</t>
        </is>
      </c>
      <c r="D6192" t="inlineStr">
        <is>
          <t>Miss Glam Damar</t>
        </is>
      </c>
      <c r="E6192" t="n">
        <v>9</v>
      </c>
      <c r="F6192" t="n">
        <v>0.6188</v>
      </c>
      <c r="G6192" t="n">
        <v>2.73</v>
      </c>
      <c r="H6192" t="n">
        <v>2</v>
      </c>
      <c r="I6192" t="n">
        <v>6</v>
      </c>
      <c r="J6192" t="n">
        <v>3</v>
      </c>
      <c r="K6192" t="n">
        <v>0</v>
      </c>
      <c r="L6192" t="n">
        <v>29119</v>
      </c>
      <c r="M6192" t="n">
        <v>36000</v>
      </c>
      <c r="N6192" t="n">
        <v>91</v>
      </c>
      <c r="O6192" t="n">
        <v>0.91</v>
      </c>
      <c r="P6192" t="n">
        <v>1</v>
      </c>
      <c r="Q6192" t="n">
        <v>0.34</v>
      </c>
      <c r="R6192" t="n">
        <v>2</v>
      </c>
      <c r="S6192" t="n">
        <v>22276.8</v>
      </c>
      <c r="T6192" t="n">
        <v>16</v>
      </c>
      <c r="U6192" t="n">
        <v>18</v>
      </c>
      <c r="V6192" t="n">
        <v>30</v>
      </c>
      <c r="W6192" t="n">
        <v>19</v>
      </c>
      <c r="X6192" t="n">
        <v>14.5442792501616</v>
      </c>
      <c r="Y6192" t="n">
        <v>1</v>
      </c>
      <c r="Z6192" t="n">
        <v>10</v>
      </c>
      <c r="AA6192" t="n">
        <v>0</v>
      </c>
      <c r="AB6192" t="n">
        <v>10</v>
      </c>
      <c r="AC6192" t="n">
        <v>10</v>
      </c>
      <c r="AD6192" t="n">
        <v>0</v>
      </c>
      <c r="AE6192" t="n">
        <v>291190</v>
      </c>
      <c r="AF6192" t="n">
        <v>11727</v>
      </c>
      <c r="AG6192" t="n">
        <v>63</v>
      </c>
      <c r="AH6192" t="inlineStr">
        <is>
          <t>PT. PARAMA GLOBAL INSPIRA - PPN (PDG)</t>
        </is>
      </c>
      <c r="AI6192" t="n">
        <v>164</v>
      </c>
      <c r="AJ6192" t="inlineStr">
        <is>
          <t>WARDAH</t>
        </is>
      </c>
      <c r="AK6192" t="n">
        <v>21</v>
      </c>
      <c r="AL6192" t="inlineStr">
        <is>
          <t>Miss Glam Damar</t>
        </is>
      </c>
      <c r="AM6192" t="n">
        <v>1</v>
      </c>
      <c r="AN6192" t="n">
        <v>500000</v>
      </c>
      <c r="AO6192" t="n">
        <v>0</v>
      </c>
      <c r="AP6192" t="inlineStr"/>
      <c r="AQ6192" t="inlineStr"/>
    </row>
    <row r="6193">
      <c r="A6193" t="inlineStr">
        <is>
          <t>WARDAH</t>
        </is>
      </c>
      <c r="B6193" s="2">
        <f>"8993137704915"</f>
        <v/>
      </c>
      <c r="C6193" t="inlineStr">
        <is>
          <t>WARDAH Light Powder Foundation Refill 05 Beige 12g</t>
        </is>
      </c>
      <c r="D6193" t="inlineStr">
        <is>
          <t>Miss Glam Damar</t>
        </is>
      </c>
      <c r="E6193" t="n">
        <v>15</v>
      </c>
      <c r="F6193" t="n">
        <v>0.5824</v>
      </c>
      <c r="G6193" t="n">
        <v>3.64</v>
      </c>
      <c r="H6193" t="n">
        <v>2</v>
      </c>
      <c r="I6193" t="n">
        <v>6</v>
      </c>
      <c r="J6193" t="n">
        <v>3</v>
      </c>
      <c r="K6193" t="n">
        <v>0</v>
      </c>
      <c r="L6193" t="n">
        <v>29119</v>
      </c>
      <c r="M6193" t="n">
        <v>36000</v>
      </c>
      <c r="N6193" t="n">
        <v>91</v>
      </c>
      <c r="O6193" t="n">
        <v>0.91</v>
      </c>
      <c r="P6193" t="n">
        <v>1</v>
      </c>
      <c r="Q6193" t="n">
        <v>0.78</v>
      </c>
      <c r="R6193" t="n">
        <v>3</v>
      </c>
      <c r="S6193" t="n">
        <v>20966.4</v>
      </c>
      <c r="T6193" t="n">
        <v>21</v>
      </c>
      <c r="U6193" t="n">
        <v>23</v>
      </c>
      <c r="V6193" t="n">
        <v>30</v>
      </c>
      <c r="W6193" t="n">
        <v>18</v>
      </c>
      <c r="X6193" t="n">
        <v>25.7554945054945</v>
      </c>
      <c r="Y6193" t="n">
        <v>1</v>
      </c>
      <c r="Z6193" t="n">
        <v>3</v>
      </c>
      <c r="AA6193" t="n">
        <v>0</v>
      </c>
      <c r="AB6193" t="n">
        <v>3</v>
      </c>
      <c r="AC6193" t="n">
        <v>3</v>
      </c>
      <c r="AD6193" t="n">
        <v>0</v>
      </c>
      <c r="AE6193" t="n">
        <v>87357</v>
      </c>
      <c r="AF6193" t="n">
        <v>11727</v>
      </c>
      <c r="AG6193" t="n">
        <v>63</v>
      </c>
      <c r="AH6193" t="inlineStr">
        <is>
          <t>PT. PARAMA GLOBAL INSPIRA - PPN (PDG)</t>
        </is>
      </c>
      <c r="AI6193" t="n">
        <v>164</v>
      </c>
      <c r="AJ6193" t="inlineStr">
        <is>
          <t>WARDAH</t>
        </is>
      </c>
      <c r="AK6193" t="n">
        <v>21</v>
      </c>
      <c r="AL6193" t="inlineStr">
        <is>
          <t>Miss Glam Damar</t>
        </is>
      </c>
      <c r="AM6193" t="n">
        <v>1</v>
      </c>
      <c r="AN6193" t="n">
        <v>500000</v>
      </c>
      <c r="AO6193" t="n">
        <v>0</v>
      </c>
      <c r="AP6193" t="inlineStr"/>
      <c r="AQ6193" t="inlineStr"/>
    </row>
    <row r="6194">
      <c r="A6194" t="inlineStr">
        <is>
          <t>WARDAH</t>
        </is>
      </c>
      <c r="B6194" s="2">
        <f>"8993137690829"</f>
        <v/>
      </c>
      <c r="C6194" t="inlineStr">
        <is>
          <t>WARDAH Lightening BB Cream Light 30ml</t>
        </is>
      </c>
      <c r="D6194" t="inlineStr">
        <is>
          <t>Miss Glam Damar</t>
        </is>
      </c>
      <c r="E6194" t="n">
        <v>12</v>
      </c>
      <c r="F6194" t="n">
        <v>0.3549</v>
      </c>
      <c r="G6194" t="n">
        <v>1.82</v>
      </c>
      <c r="H6194" t="n">
        <v>2</v>
      </c>
      <c r="I6194" t="n">
        <v>6</v>
      </c>
      <c r="J6194" t="n">
        <v>3</v>
      </c>
      <c r="K6194" t="n">
        <v>0</v>
      </c>
      <c r="L6194" t="n">
        <v>50959</v>
      </c>
      <c r="M6194" t="n">
        <v>62500</v>
      </c>
      <c r="N6194" t="n">
        <v>91</v>
      </c>
      <c r="O6194" t="n">
        <v>0.91</v>
      </c>
      <c r="P6194" t="n">
        <v>1</v>
      </c>
      <c r="Q6194" t="n">
        <v>0.39</v>
      </c>
      <c r="R6194" t="n">
        <v>2</v>
      </c>
      <c r="S6194" t="n">
        <v>22181.25</v>
      </c>
      <c r="T6194" t="n">
        <v>11</v>
      </c>
      <c r="U6194" t="n">
        <v>12</v>
      </c>
      <c r="V6194" t="n">
        <v>30</v>
      </c>
      <c r="W6194" t="n">
        <v>11</v>
      </c>
      <c r="X6194" t="n">
        <v>33.81234150464919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11727</v>
      </c>
      <c r="AG6194" t="n">
        <v>63</v>
      </c>
      <c r="AH6194" t="inlineStr">
        <is>
          <t>PT. PARAMA GLOBAL INSPIRA - PPN (PDG)</t>
        </is>
      </c>
      <c r="AI6194" t="n">
        <v>164</v>
      </c>
      <c r="AJ6194" t="inlineStr">
        <is>
          <t>WARDAH</t>
        </is>
      </c>
      <c r="AK6194" t="n">
        <v>21</v>
      </c>
      <c r="AL6194" t="inlineStr">
        <is>
          <t>Miss Glam Damar</t>
        </is>
      </c>
      <c r="AM6194" t="n">
        <v>1</v>
      </c>
      <c r="AN6194" t="n">
        <v>500000</v>
      </c>
      <c r="AO6194" t="n">
        <v>0</v>
      </c>
      <c r="AP6194" t="inlineStr"/>
      <c r="AQ6194" t="inlineStr"/>
    </row>
    <row r="6195">
      <c r="A6195" t="inlineStr">
        <is>
          <t>WARDAH</t>
        </is>
      </c>
      <c r="B6195" s="2">
        <f>"8993137736954"</f>
        <v/>
      </c>
      <c r="C6195" t="inlineStr">
        <is>
          <t>WARDAH Lightening BB Cream Light Neutral Beige  04 30ml</t>
        </is>
      </c>
      <c r="D6195" t="inlineStr">
        <is>
          <t>Miss Glam Damar</t>
        </is>
      </c>
      <c r="E6195" t="n">
        <v>8</v>
      </c>
      <c r="F6195" t="n">
        <v>0.4914000000000001</v>
      </c>
      <c r="G6195" t="n">
        <v>3.64</v>
      </c>
      <c r="H6195" t="n">
        <v>2</v>
      </c>
      <c r="I6195" t="n">
        <v>6</v>
      </c>
      <c r="J6195" t="n">
        <v>3</v>
      </c>
      <c r="K6195" t="n">
        <v>0</v>
      </c>
      <c r="L6195" t="n">
        <v>50958</v>
      </c>
      <c r="M6195" t="n">
        <v>62500</v>
      </c>
      <c r="N6195" t="n">
        <v>91</v>
      </c>
      <c r="O6195" t="n">
        <v>0.91</v>
      </c>
      <c r="P6195" t="n">
        <v>1</v>
      </c>
      <c r="Q6195" t="n">
        <v>0.37</v>
      </c>
      <c r="R6195" t="n">
        <v>3</v>
      </c>
      <c r="S6195" t="n">
        <v>30712.5</v>
      </c>
      <c r="T6195" t="n">
        <v>21</v>
      </c>
      <c r="U6195" t="n">
        <v>22</v>
      </c>
      <c r="V6195" t="n">
        <v>30</v>
      </c>
      <c r="W6195" t="n">
        <v>15</v>
      </c>
      <c r="X6195" t="n">
        <v>16.28001628001628</v>
      </c>
      <c r="Y6195" t="n">
        <v>1</v>
      </c>
      <c r="Z6195" t="n">
        <v>7</v>
      </c>
      <c r="AA6195" t="n">
        <v>0</v>
      </c>
      <c r="AB6195" t="n">
        <v>7</v>
      </c>
      <c r="AC6195" t="n">
        <v>7</v>
      </c>
      <c r="AD6195" t="n">
        <v>0</v>
      </c>
      <c r="AE6195" t="n">
        <v>356706</v>
      </c>
      <c r="AF6195" t="n">
        <v>11727</v>
      </c>
      <c r="AG6195" t="n">
        <v>63</v>
      </c>
      <c r="AH6195" t="inlineStr">
        <is>
          <t>PT. PARAMA GLOBAL INSPIRA - PPN (PDG)</t>
        </is>
      </c>
      <c r="AI6195" t="n">
        <v>164</v>
      </c>
      <c r="AJ6195" t="inlineStr">
        <is>
          <t>WARDAH</t>
        </is>
      </c>
      <c r="AK6195" t="n">
        <v>21</v>
      </c>
      <c r="AL6195" t="inlineStr">
        <is>
          <t>Miss Glam Damar</t>
        </is>
      </c>
      <c r="AM6195" t="n">
        <v>1</v>
      </c>
      <c r="AN6195" t="n">
        <v>500000</v>
      </c>
      <c r="AO6195" t="n">
        <v>0</v>
      </c>
      <c r="AP6195" t="inlineStr"/>
      <c r="AQ6195" t="inlineStr"/>
    </row>
    <row r="6196">
      <c r="A6196" t="inlineStr">
        <is>
          <t>WARDAH</t>
        </is>
      </c>
      <c r="B6196" s="2">
        <f>"8993137690850"</f>
        <v/>
      </c>
      <c r="C6196" t="inlineStr">
        <is>
          <t>WARDAH Lightening BB Cream Natural 30ml</t>
        </is>
      </c>
      <c r="D6196" t="inlineStr">
        <is>
          <t>Miss Glam Damar</t>
        </is>
      </c>
      <c r="E6196" t="n">
        <v>8</v>
      </c>
      <c r="F6196" t="n">
        <v>0.6188</v>
      </c>
      <c r="G6196" t="n">
        <v>1.82</v>
      </c>
      <c r="H6196" t="n">
        <v>2</v>
      </c>
      <c r="I6196" t="n">
        <v>6</v>
      </c>
      <c r="J6196" t="n">
        <v>3</v>
      </c>
      <c r="K6196" t="n">
        <v>0</v>
      </c>
      <c r="L6196" t="n">
        <v>50958</v>
      </c>
      <c r="M6196" t="n">
        <v>62500</v>
      </c>
      <c r="N6196" t="n">
        <v>91</v>
      </c>
      <c r="O6196" t="n">
        <v>0.91</v>
      </c>
      <c r="P6196" t="n">
        <v>1</v>
      </c>
      <c r="Q6196" t="n">
        <v>0.5600000000000001</v>
      </c>
      <c r="R6196" t="n">
        <v>2</v>
      </c>
      <c r="S6196" t="n">
        <v>38675</v>
      </c>
      <c r="T6196" t="n">
        <v>10</v>
      </c>
      <c r="U6196" t="n">
        <v>12</v>
      </c>
      <c r="V6196" t="n">
        <v>30</v>
      </c>
      <c r="W6196" t="n">
        <v>19</v>
      </c>
      <c r="X6196" t="n">
        <v>12.92824822236587</v>
      </c>
      <c r="Y6196" t="n">
        <v>1</v>
      </c>
      <c r="Z6196" t="n">
        <v>11</v>
      </c>
      <c r="AA6196" t="n">
        <v>0</v>
      </c>
      <c r="AB6196" t="n">
        <v>11</v>
      </c>
      <c r="AC6196" t="n">
        <v>11</v>
      </c>
      <c r="AD6196" t="n">
        <v>0</v>
      </c>
      <c r="AE6196" t="n">
        <v>560538</v>
      </c>
      <c r="AF6196" t="n">
        <v>11727</v>
      </c>
      <c r="AG6196" t="n">
        <v>63</v>
      </c>
      <c r="AH6196" t="inlineStr">
        <is>
          <t>PT. PARAMA GLOBAL INSPIRA - PPN (PDG)</t>
        </is>
      </c>
      <c r="AI6196" t="n">
        <v>164</v>
      </c>
      <c r="AJ6196" t="inlineStr">
        <is>
          <t>WARDAH</t>
        </is>
      </c>
      <c r="AK6196" t="n">
        <v>21</v>
      </c>
      <c r="AL6196" t="inlineStr">
        <is>
          <t>Miss Glam Damar</t>
        </is>
      </c>
      <c r="AM6196" t="n">
        <v>1</v>
      </c>
      <c r="AN6196" t="n">
        <v>500000</v>
      </c>
      <c r="AO6196" t="n">
        <v>0</v>
      </c>
      <c r="AP6196" t="inlineStr"/>
      <c r="AQ6196" t="inlineStr"/>
    </row>
    <row r="6197">
      <c r="A6197" t="inlineStr">
        <is>
          <t>WARDAH</t>
        </is>
      </c>
      <c r="B6197" s="2">
        <f>"8993137708265"</f>
        <v/>
      </c>
      <c r="C6197" t="inlineStr">
        <is>
          <t>WARDAH Lightening Cleansing Milk 100ml</t>
        </is>
      </c>
      <c r="D6197" t="inlineStr">
        <is>
          <t>Miss Glam Damar</t>
        </is>
      </c>
      <c r="E6197" t="n">
        <v>14</v>
      </c>
      <c r="F6197" t="n">
        <v>0.6461</v>
      </c>
      <c r="G6197" t="n">
        <v>2.73</v>
      </c>
      <c r="H6197" t="n">
        <v>2</v>
      </c>
      <c r="I6197" t="n">
        <v>6</v>
      </c>
      <c r="J6197" t="n">
        <v>3</v>
      </c>
      <c r="K6197" t="n">
        <v>0</v>
      </c>
      <c r="L6197" t="n">
        <v>16092</v>
      </c>
      <c r="M6197" t="n">
        <v>20000</v>
      </c>
      <c r="N6197" t="n">
        <v>91</v>
      </c>
      <c r="O6197" t="n">
        <v>0.91</v>
      </c>
      <c r="P6197" t="n">
        <v>1</v>
      </c>
      <c r="Q6197" t="n">
        <v>0.83</v>
      </c>
      <c r="R6197" t="n">
        <v>4</v>
      </c>
      <c r="S6197" t="n">
        <v>12922</v>
      </c>
      <c r="T6197" t="n">
        <v>16</v>
      </c>
      <c r="U6197" t="n">
        <v>18</v>
      </c>
      <c r="V6197" t="n">
        <v>30</v>
      </c>
      <c r="W6197" t="n">
        <v>20</v>
      </c>
      <c r="X6197" t="n">
        <v>21.66847237269772</v>
      </c>
      <c r="Y6197" t="n">
        <v>1</v>
      </c>
      <c r="Z6197" t="n">
        <v>6</v>
      </c>
      <c r="AA6197" t="n">
        <v>0</v>
      </c>
      <c r="AB6197" t="n">
        <v>6</v>
      </c>
      <c r="AC6197" t="n">
        <v>6</v>
      </c>
      <c r="AD6197" t="n">
        <v>0</v>
      </c>
      <c r="AE6197" t="n">
        <v>96552</v>
      </c>
      <c r="AF6197" t="n">
        <v>11727</v>
      </c>
      <c r="AG6197" t="n">
        <v>63</v>
      </c>
      <c r="AH6197" t="inlineStr">
        <is>
          <t>PT. PARAMA GLOBAL INSPIRA - PPN (PDG)</t>
        </is>
      </c>
      <c r="AI6197" t="n">
        <v>164</v>
      </c>
      <c r="AJ6197" t="inlineStr">
        <is>
          <t>WARDAH</t>
        </is>
      </c>
      <c r="AK6197" t="n">
        <v>21</v>
      </c>
      <c r="AL6197" t="inlineStr">
        <is>
          <t>Miss Glam Damar</t>
        </is>
      </c>
      <c r="AM6197" t="n">
        <v>1</v>
      </c>
      <c r="AN6197" t="n">
        <v>500000</v>
      </c>
      <c r="AO6197" t="n">
        <v>0</v>
      </c>
      <c r="AP6197" t="inlineStr"/>
      <c r="AQ6197" t="inlineStr"/>
    </row>
    <row r="6198">
      <c r="A6198" t="inlineStr">
        <is>
          <t>WARDAH</t>
        </is>
      </c>
      <c r="B6198" s="2">
        <f>"8993137711753"</f>
        <v/>
      </c>
      <c r="C6198" t="inlineStr">
        <is>
          <t>WARDAH Lightening Face Mist 60ml</t>
        </is>
      </c>
      <c r="D6198" t="inlineStr">
        <is>
          <t>Miss Glam Damar</t>
        </is>
      </c>
      <c r="E6198" t="n">
        <v>36</v>
      </c>
      <c r="F6198" t="n">
        <v>3.822000000000001</v>
      </c>
      <c r="G6198" t="n">
        <v>10.01</v>
      </c>
      <c r="H6198" t="n">
        <v>2</v>
      </c>
      <c r="I6198" t="n">
        <v>6</v>
      </c>
      <c r="J6198" t="n">
        <v>3</v>
      </c>
      <c r="K6198" t="n">
        <v>0</v>
      </c>
      <c r="L6198" t="n">
        <v>22989</v>
      </c>
      <c r="M6198" t="n">
        <v>28500</v>
      </c>
      <c r="N6198" t="n">
        <v>91</v>
      </c>
      <c r="O6198" t="n">
        <v>0.91</v>
      </c>
      <c r="P6198" t="n">
        <v>1</v>
      </c>
      <c r="Q6198" t="n">
        <v>2.1</v>
      </c>
      <c r="R6198" t="n">
        <v>8</v>
      </c>
      <c r="S6198" t="n">
        <v>108927</v>
      </c>
      <c r="T6198" t="n">
        <v>53</v>
      </c>
      <c r="U6198" t="n">
        <v>61</v>
      </c>
      <c r="V6198" t="n">
        <v>30</v>
      </c>
      <c r="W6198" t="n">
        <v>115</v>
      </c>
      <c r="X6198" t="n">
        <v>9.419152276295133</v>
      </c>
      <c r="Y6198" t="n">
        <v>1</v>
      </c>
      <c r="Z6198" t="n">
        <v>79</v>
      </c>
      <c r="AA6198" t="n">
        <v>0</v>
      </c>
      <c r="AB6198" t="n">
        <v>79</v>
      </c>
      <c r="AC6198" t="n">
        <v>79</v>
      </c>
      <c r="AD6198" t="n">
        <v>0</v>
      </c>
      <c r="AE6198" t="n">
        <v>1816131</v>
      </c>
      <c r="AF6198" t="n">
        <v>11727</v>
      </c>
      <c r="AG6198" t="n">
        <v>63</v>
      </c>
      <c r="AH6198" t="inlineStr">
        <is>
          <t>PT. PARAMA GLOBAL INSPIRA - PPN (PDG)</t>
        </is>
      </c>
      <c r="AI6198" t="n">
        <v>164</v>
      </c>
      <c r="AJ6198" t="inlineStr">
        <is>
          <t>WARDAH</t>
        </is>
      </c>
      <c r="AK6198" t="n">
        <v>21</v>
      </c>
      <c r="AL6198" t="inlineStr">
        <is>
          <t>Miss Glam Damar</t>
        </is>
      </c>
      <c r="AM6198" t="n">
        <v>1</v>
      </c>
      <c r="AN6198" t="n">
        <v>500000</v>
      </c>
      <c r="AO6198" t="n">
        <v>0</v>
      </c>
      <c r="AP6198" t="inlineStr"/>
      <c r="AQ6198" t="inlineStr"/>
    </row>
    <row r="6199">
      <c r="A6199" t="inlineStr">
        <is>
          <t>WARDAH</t>
        </is>
      </c>
      <c r="B6199" s="2">
        <f>"8993137708272"</f>
        <v/>
      </c>
      <c r="C6199" t="inlineStr">
        <is>
          <t>WARDAH Lightening Face Toner 125ml</t>
        </is>
      </c>
      <c r="D6199" t="inlineStr">
        <is>
          <t>Miss Glam Damar</t>
        </is>
      </c>
      <c r="E6199" t="n">
        <v>36</v>
      </c>
      <c r="F6199" t="n">
        <v>2.1112</v>
      </c>
      <c r="G6199" t="n">
        <v>7.28</v>
      </c>
      <c r="H6199" t="n">
        <v>2</v>
      </c>
      <c r="I6199" t="n">
        <v>6</v>
      </c>
      <c r="J6199" t="n">
        <v>3</v>
      </c>
      <c r="K6199" t="n">
        <v>0</v>
      </c>
      <c r="L6199" t="n">
        <v>22605</v>
      </c>
      <c r="M6199" t="n">
        <v>28000</v>
      </c>
      <c r="N6199" t="n">
        <v>91</v>
      </c>
      <c r="O6199" t="n">
        <v>0.91</v>
      </c>
      <c r="P6199" t="n">
        <v>1</v>
      </c>
      <c r="Q6199" t="n">
        <v>2.19</v>
      </c>
      <c r="R6199" t="n">
        <v>6</v>
      </c>
      <c r="S6199" t="n">
        <v>59113.59999999999</v>
      </c>
      <c r="T6199" t="n">
        <v>40</v>
      </c>
      <c r="U6199" t="n">
        <v>45</v>
      </c>
      <c r="V6199" t="n">
        <v>30</v>
      </c>
      <c r="W6199" t="n">
        <v>64</v>
      </c>
      <c r="X6199" t="n">
        <v>17.05191360363774</v>
      </c>
      <c r="Y6199" t="n">
        <v>1</v>
      </c>
      <c r="Z6199" t="n">
        <v>28</v>
      </c>
      <c r="AA6199" t="n">
        <v>0</v>
      </c>
      <c r="AB6199" t="n">
        <v>28</v>
      </c>
      <c r="AC6199" t="n">
        <v>28</v>
      </c>
      <c r="AD6199" t="n">
        <v>0</v>
      </c>
      <c r="AE6199" t="n">
        <v>632940</v>
      </c>
      <c r="AF6199" t="n">
        <v>11727</v>
      </c>
      <c r="AG6199" t="n">
        <v>63</v>
      </c>
      <c r="AH6199" t="inlineStr">
        <is>
          <t>PT. PARAMA GLOBAL INSPIRA - PPN (PDG)</t>
        </is>
      </c>
      <c r="AI6199" t="n">
        <v>164</v>
      </c>
      <c r="AJ6199" t="inlineStr">
        <is>
          <t>WARDAH</t>
        </is>
      </c>
      <c r="AK6199" t="n">
        <v>21</v>
      </c>
      <c r="AL6199" t="inlineStr">
        <is>
          <t>Miss Glam Damar</t>
        </is>
      </c>
      <c r="AM6199" t="n">
        <v>1</v>
      </c>
      <c r="AN6199" t="n">
        <v>500000</v>
      </c>
      <c r="AO6199" t="n">
        <v>0</v>
      </c>
      <c r="AP6199" t="inlineStr"/>
      <c r="AQ6199" t="inlineStr"/>
    </row>
    <row r="6200">
      <c r="A6200" t="inlineStr">
        <is>
          <t>WARDAH</t>
        </is>
      </c>
      <c r="B6200" s="2">
        <f>"8993137690836"</f>
        <v/>
      </c>
      <c r="C6200" t="inlineStr">
        <is>
          <t>WARDAH Lightening Fresh BB Tint 01 Neutral Fair 15ml</t>
        </is>
      </c>
      <c r="D6200" t="inlineStr">
        <is>
          <t>Miss Glam Damar</t>
        </is>
      </c>
      <c r="E6200" t="n">
        <v>22</v>
      </c>
      <c r="F6200" t="n">
        <v>2.4024</v>
      </c>
      <c r="G6200" t="n">
        <v>6.37</v>
      </c>
      <c r="H6200" t="n">
        <v>2</v>
      </c>
      <c r="I6200" t="n">
        <v>6</v>
      </c>
      <c r="J6200" t="n">
        <v>3</v>
      </c>
      <c r="K6200" t="n">
        <v>0</v>
      </c>
      <c r="L6200" t="n">
        <v>26821</v>
      </c>
      <c r="M6200" t="n">
        <v>33000</v>
      </c>
      <c r="N6200" t="n">
        <v>91</v>
      </c>
      <c r="O6200" t="n">
        <v>0.91</v>
      </c>
      <c r="P6200" t="n">
        <v>1</v>
      </c>
      <c r="Q6200" t="n">
        <v>1.41</v>
      </c>
      <c r="R6200" t="n">
        <v>6</v>
      </c>
      <c r="S6200" t="n">
        <v>79279.2</v>
      </c>
      <c r="T6200" t="n">
        <v>34</v>
      </c>
      <c r="U6200" t="n">
        <v>39</v>
      </c>
      <c r="V6200" t="n">
        <v>30</v>
      </c>
      <c r="W6200" t="n">
        <v>73</v>
      </c>
      <c r="X6200" t="n">
        <v>9.157509157509157</v>
      </c>
      <c r="Y6200" t="n">
        <v>1</v>
      </c>
      <c r="Z6200" t="n">
        <v>51</v>
      </c>
      <c r="AA6200" t="n">
        <v>0</v>
      </c>
      <c r="AB6200" t="n">
        <v>51</v>
      </c>
      <c r="AC6200" t="n">
        <v>51</v>
      </c>
      <c r="AD6200" t="n">
        <v>0</v>
      </c>
      <c r="AE6200" t="n">
        <v>1367871</v>
      </c>
      <c r="AF6200" t="n">
        <v>11727</v>
      </c>
      <c r="AG6200" t="n">
        <v>63</v>
      </c>
      <c r="AH6200" t="inlineStr">
        <is>
          <t>PT. PARAMA GLOBAL INSPIRA - PPN (PDG)</t>
        </is>
      </c>
      <c r="AI6200" t="n">
        <v>164</v>
      </c>
      <c r="AJ6200" t="inlineStr">
        <is>
          <t>WARDAH</t>
        </is>
      </c>
      <c r="AK6200" t="n">
        <v>21</v>
      </c>
      <c r="AL6200" t="inlineStr">
        <is>
          <t>Miss Glam Damar</t>
        </is>
      </c>
      <c r="AM6200" t="n">
        <v>1</v>
      </c>
      <c r="AN6200" t="n">
        <v>500000</v>
      </c>
      <c r="AO6200" t="n">
        <v>0</v>
      </c>
      <c r="AP6200" t="inlineStr"/>
      <c r="AQ6200" t="inlineStr"/>
    </row>
    <row r="6201">
      <c r="A6201" t="inlineStr">
        <is>
          <t>WARDAH</t>
        </is>
      </c>
      <c r="B6201" s="2">
        <f>"8993137736961"</f>
        <v/>
      </c>
      <c r="C6201" t="inlineStr">
        <is>
          <t>WARDAH Lightening Fresh BB Tint 03 Warm Ivory (23W) 15ml</t>
        </is>
      </c>
      <c r="D6201" t="inlineStr">
        <is>
          <t>Miss Glam Damar</t>
        </is>
      </c>
      <c r="E6201" t="n">
        <v>34</v>
      </c>
      <c r="F6201" t="n">
        <v>3.5308</v>
      </c>
      <c r="G6201" t="n">
        <v>8.19</v>
      </c>
      <c r="H6201" t="n">
        <v>2</v>
      </c>
      <c r="I6201" t="n">
        <v>6</v>
      </c>
      <c r="J6201" t="n">
        <v>3</v>
      </c>
      <c r="K6201" t="n">
        <v>0</v>
      </c>
      <c r="L6201" t="n">
        <v>26821</v>
      </c>
      <c r="M6201" t="n">
        <v>33000</v>
      </c>
      <c r="N6201" t="n">
        <v>91</v>
      </c>
      <c r="O6201" t="n">
        <v>0.91</v>
      </c>
      <c r="P6201" t="n">
        <v>1</v>
      </c>
      <c r="Q6201" t="n">
        <v>2.05</v>
      </c>
      <c r="R6201" t="n">
        <v>5</v>
      </c>
      <c r="S6201" t="n">
        <v>116516.4</v>
      </c>
      <c r="T6201" t="n">
        <v>43</v>
      </c>
      <c r="U6201" t="n">
        <v>51</v>
      </c>
      <c r="V6201" t="n">
        <v>30</v>
      </c>
      <c r="W6201" t="n">
        <v>106</v>
      </c>
      <c r="X6201" t="n">
        <v>9.629545712019938</v>
      </c>
      <c r="Y6201" t="n">
        <v>1</v>
      </c>
      <c r="Z6201" t="n">
        <v>72</v>
      </c>
      <c r="AA6201" t="n">
        <v>0</v>
      </c>
      <c r="AB6201" t="n">
        <v>72</v>
      </c>
      <c r="AC6201" t="n">
        <v>72</v>
      </c>
      <c r="AD6201" t="n">
        <v>0</v>
      </c>
      <c r="AE6201" t="n">
        <v>1931112</v>
      </c>
      <c r="AF6201" t="n">
        <v>11727</v>
      </c>
      <c r="AG6201" t="n">
        <v>63</v>
      </c>
      <c r="AH6201" t="inlineStr">
        <is>
          <t>PT. PARAMA GLOBAL INSPIRA - PPN (PDG)</t>
        </is>
      </c>
      <c r="AI6201" t="n">
        <v>164</v>
      </c>
      <c r="AJ6201" t="inlineStr">
        <is>
          <t>WARDAH</t>
        </is>
      </c>
      <c r="AK6201" t="n">
        <v>21</v>
      </c>
      <c r="AL6201" t="inlineStr">
        <is>
          <t>Miss Glam Damar</t>
        </is>
      </c>
      <c r="AM6201" t="n">
        <v>1</v>
      </c>
      <c r="AN6201" t="n">
        <v>500000</v>
      </c>
      <c r="AO6201" t="n">
        <v>0</v>
      </c>
      <c r="AP6201" t="inlineStr"/>
      <c r="AQ6201" t="inlineStr"/>
    </row>
    <row r="6202">
      <c r="A6202" t="inlineStr">
        <is>
          <t>WARDAH</t>
        </is>
      </c>
      <c r="B6202" s="2">
        <f>"8993137690847"</f>
        <v/>
      </c>
      <c r="C6202" t="inlineStr">
        <is>
          <t>WARDAH Lightening Fresh BB Tint 03 Warm Ivory (23W) 30 ml</t>
        </is>
      </c>
      <c r="D6202" t="inlineStr">
        <is>
          <t>Miss Glam Damar</t>
        </is>
      </c>
      <c r="E6202" t="n">
        <v>10</v>
      </c>
      <c r="F6202" t="n">
        <v>0.3549</v>
      </c>
      <c r="G6202" t="n">
        <v>1.82</v>
      </c>
      <c r="H6202" t="n">
        <v>2</v>
      </c>
      <c r="I6202" t="n">
        <v>6</v>
      </c>
      <c r="J6202" t="n">
        <v>3</v>
      </c>
      <c r="K6202" t="n">
        <v>0</v>
      </c>
      <c r="L6202" t="n">
        <v>50959</v>
      </c>
      <c r="M6202" t="n">
        <v>62500</v>
      </c>
      <c r="N6202" t="n">
        <v>91</v>
      </c>
      <c r="O6202" t="n">
        <v>0.91</v>
      </c>
      <c r="P6202" t="n">
        <v>1</v>
      </c>
      <c r="Q6202" t="n">
        <v>0.59</v>
      </c>
      <c r="R6202" t="n">
        <v>2</v>
      </c>
      <c r="S6202" t="n">
        <v>22181.25</v>
      </c>
      <c r="T6202" t="n">
        <v>11</v>
      </c>
      <c r="U6202" t="n">
        <v>12</v>
      </c>
      <c r="V6202" t="n">
        <v>30</v>
      </c>
      <c r="W6202" t="n">
        <v>11</v>
      </c>
      <c r="X6202" t="n">
        <v>28.17695125387433</v>
      </c>
      <c r="Y6202" t="n">
        <v>1</v>
      </c>
      <c r="Z6202" t="n">
        <v>1</v>
      </c>
      <c r="AA6202" t="n">
        <v>0</v>
      </c>
      <c r="AB6202" t="n">
        <v>1</v>
      </c>
      <c r="AC6202" t="n">
        <v>3</v>
      </c>
      <c r="AD6202" t="n">
        <v>0</v>
      </c>
      <c r="AE6202" t="n">
        <v>152877</v>
      </c>
      <c r="AF6202" t="n">
        <v>11727</v>
      </c>
      <c r="AG6202" t="n">
        <v>63</v>
      </c>
      <c r="AH6202" t="inlineStr">
        <is>
          <t>PT. PARAMA GLOBAL INSPIRA - PPN (PDG)</t>
        </is>
      </c>
      <c r="AI6202" t="n">
        <v>164</v>
      </c>
      <c r="AJ6202" t="inlineStr">
        <is>
          <t>WARDAH</t>
        </is>
      </c>
      <c r="AK6202" t="n">
        <v>21</v>
      </c>
      <c r="AL6202" t="inlineStr">
        <is>
          <t>Miss Glam Damar</t>
        </is>
      </c>
      <c r="AM6202" t="n">
        <v>1</v>
      </c>
      <c r="AN6202" t="n">
        <v>500000</v>
      </c>
      <c r="AO6202" t="n">
        <v>0</v>
      </c>
      <c r="AP6202" t="inlineStr"/>
      <c r="AQ6202" t="inlineStr"/>
    </row>
    <row r="6203">
      <c r="A6203" t="inlineStr">
        <is>
          <t>WARDAH</t>
        </is>
      </c>
      <c r="B6203" s="2">
        <f>"8993137736978"</f>
        <v/>
      </c>
      <c r="C6203" t="inlineStr">
        <is>
          <t>WARDAH Lightening Fresh BB Tint 04 Neutral Beige (32N) 15ml</t>
        </is>
      </c>
      <c r="D6203" t="inlineStr">
        <is>
          <t>Miss Glam Damar</t>
        </is>
      </c>
      <c r="E6203" t="n">
        <v>45</v>
      </c>
      <c r="F6203" t="n">
        <v>3.0121</v>
      </c>
      <c r="G6203" t="n">
        <v>8.19</v>
      </c>
      <c r="H6203" t="n">
        <v>2</v>
      </c>
      <c r="I6203" t="n">
        <v>6</v>
      </c>
      <c r="J6203" t="n">
        <v>3</v>
      </c>
      <c r="K6203" t="n">
        <v>0</v>
      </c>
      <c r="L6203" t="n">
        <v>26820</v>
      </c>
      <c r="M6203" t="n">
        <v>33000</v>
      </c>
      <c r="N6203" t="n">
        <v>91</v>
      </c>
      <c r="O6203" t="n">
        <v>0.91</v>
      </c>
      <c r="P6203" t="n">
        <v>1</v>
      </c>
      <c r="Q6203" t="n">
        <v>1.85</v>
      </c>
      <c r="R6203" t="n">
        <v>6</v>
      </c>
      <c r="S6203" t="n">
        <v>99399.3</v>
      </c>
      <c r="T6203" t="n">
        <v>44</v>
      </c>
      <c r="U6203" t="n">
        <v>51</v>
      </c>
      <c r="V6203" t="n">
        <v>30</v>
      </c>
      <c r="W6203" t="n">
        <v>91</v>
      </c>
      <c r="X6203" t="n">
        <v>14.93974303641977</v>
      </c>
      <c r="Y6203" t="n">
        <v>1</v>
      </c>
      <c r="Z6203" t="n">
        <v>46</v>
      </c>
      <c r="AA6203" t="n">
        <v>0</v>
      </c>
      <c r="AB6203" t="n">
        <v>46</v>
      </c>
      <c r="AC6203" t="n">
        <v>46</v>
      </c>
      <c r="AD6203" t="n">
        <v>0</v>
      </c>
      <c r="AE6203" t="n">
        <v>1233720</v>
      </c>
      <c r="AF6203" t="n">
        <v>11727</v>
      </c>
      <c r="AG6203" t="n">
        <v>63</v>
      </c>
      <c r="AH6203" t="inlineStr">
        <is>
          <t>PT. PARAMA GLOBAL INSPIRA - PPN (PDG)</t>
        </is>
      </c>
      <c r="AI6203" t="n">
        <v>164</v>
      </c>
      <c r="AJ6203" t="inlineStr">
        <is>
          <t>WARDAH</t>
        </is>
      </c>
      <c r="AK6203" t="n">
        <v>21</v>
      </c>
      <c r="AL6203" t="inlineStr">
        <is>
          <t>Miss Glam Damar</t>
        </is>
      </c>
      <c r="AM6203" t="n">
        <v>1</v>
      </c>
      <c r="AN6203" t="n">
        <v>500000</v>
      </c>
      <c r="AO6203" t="n">
        <v>0</v>
      </c>
      <c r="AP6203" t="inlineStr"/>
      <c r="AQ6203" t="inlineStr"/>
    </row>
    <row r="6204">
      <c r="A6204" t="inlineStr">
        <is>
          <t>WARDAH</t>
        </is>
      </c>
      <c r="B6204" s="2">
        <f>"8993137708449"</f>
        <v/>
      </c>
      <c r="C6204" t="inlineStr">
        <is>
          <t>WARDAH Lightening Gentle Exfoliator 50ml</t>
        </is>
      </c>
      <c r="D6204" t="inlineStr">
        <is>
          <t>Miss Glam Damar</t>
        </is>
      </c>
      <c r="E6204" t="n">
        <v>12</v>
      </c>
      <c r="F6204" t="n">
        <v>0.5551</v>
      </c>
      <c r="G6204" t="n">
        <v>2.73</v>
      </c>
      <c r="H6204" t="n">
        <v>2</v>
      </c>
      <c r="I6204" t="n">
        <v>6</v>
      </c>
      <c r="J6204" t="n">
        <v>3</v>
      </c>
      <c r="K6204" t="n">
        <v>0</v>
      </c>
      <c r="L6204" t="n">
        <v>16475</v>
      </c>
      <c r="M6204" t="n">
        <v>20500</v>
      </c>
      <c r="N6204" t="n">
        <v>91</v>
      </c>
      <c r="O6204" t="n">
        <v>0.91</v>
      </c>
      <c r="P6204" t="n">
        <v>1</v>
      </c>
      <c r="Q6204" t="n">
        <v>0.5600000000000001</v>
      </c>
      <c r="R6204" t="n">
        <v>2</v>
      </c>
      <c r="S6204" t="n">
        <v>11379.55</v>
      </c>
      <c r="T6204" t="n">
        <v>16</v>
      </c>
      <c r="U6204" t="n">
        <v>18</v>
      </c>
      <c r="V6204" t="n">
        <v>30</v>
      </c>
      <c r="W6204" t="n">
        <v>17</v>
      </c>
      <c r="X6204" t="n">
        <v>21.61772653575932</v>
      </c>
      <c r="Y6204" t="n">
        <v>1</v>
      </c>
      <c r="Z6204" t="n">
        <v>5</v>
      </c>
      <c r="AA6204" t="n">
        <v>0</v>
      </c>
      <c r="AB6204" t="n">
        <v>5</v>
      </c>
      <c r="AC6204" t="n">
        <v>5</v>
      </c>
      <c r="AD6204" t="n">
        <v>0</v>
      </c>
      <c r="AE6204" t="n">
        <v>82375</v>
      </c>
      <c r="AF6204" t="n">
        <v>11727</v>
      </c>
      <c r="AG6204" t="n">
        <v>63</v>
      </c>
      <c r="AH6204" t="inlineStr">
        <is>
          <t>PT. PARAMA GLOBAL INSPIRA - PPN (PDG)</t>
        </is>
      </c>
      <c r="AI6204" t="n">
        <v>164</v>
      </c>
      <c r="AJ6204" t="inlineStr">
        <is>
          <t>WARDAH</t>
        </is>
      </c>
      <c r="AK6204" t="n">
        <v>21</v>
      </c>
      <c r="AL6204" t="inlineStr">
        <is>
          <t>Miss Glam Damar</t>
        </is>
      </c>
      <c r="AM6204" t="n">
        <v>1</v>
      </c>
      <c r="AN6204" t="n">
        <v>500000</v>
      </c>
      <c r="AO6204" t="n">
        <v>0</v>
      </c>
      <c r="AP6204" t="inlineStr"/>
      <c r="AQ6204" t="inlineStr"/>
    </row>
    <row r="6205">
      <c r="A6205" t="inlineStr">
        <is>
          <t>WARDAH</t>
        </is>
      </c>
      <c r="B6205" s="2">
        <f>"8993137705264"</f>
        <v/>
      </c>
      <c r="C6205" t="inlineStr">
        <is>
          <t>WARDAH Lightening Liquid Concealer 02 Beige 7gr</t>
        </is>
      </c>
      <c r="D6205" t="inlineStr">
        <is>
          <t>Miss Glam Damar</t>
        </is>
      </c>
      <c r="E6205" t="n">
        <v>1</v>
      </c>
      <c r="F6205" t="n">
        <v>0.9373</v>
      </c>
      <c r="G6205" t="n">
        <v>3.64</v>
      </c>
      <c r="H6205" t="n">
        <v>2</v>
      </c>
      <c r="I6205" t="n">
        <v>6</v>
      </c>
      <c r="J6205" t="n">
        <v>3</v>
      </c>
      <c r="K6205" t="n">
        <v>0</v>
      </c>
      <c r="L6205" t="n">
        <v>35249</v>
      </c>
      <c r="M6205" t="n">
        <v>43000</v>
      </c>
      <c r="N6205" t="n">
        <v>91</v>
      </c>
      <c r="O6205" t="n">
        <v>0.91</v>
      </c>
      <c r="P6205" t="n">
        <v>1</v>
      </c>
      <c r="Q6205" t="n">
        <v>0.59</v>
      </c>
      <c r="R6205" t="n">
        <v>4</v>
      </c>
      <c r="S6205" t="n">
        <v>40303.9</v>
      </c>
      <c r="T6205" t="n">
        <v>20</v>
      </c>
      <c r="U6205" t="n">
        <v>22</v>
      </c>
      <c r="V6205" t="n">
        <v>30</v>
      </c>
      <c r="W6205" t="n">
        <v>29</v>
      </c>
      <c r="X6205" t="n">
        <v>1.066894270777766</v>
      </c>
      <c r="Y6205" t="n">
        <v>1</v>
      </c>
      <c r="Z6205" t="n">
        <v>28</v>
      </c>
      <c r="AA6205" t="n">
        <v>5</v>
      </c>
      <c r="AB6205" t="n">
        <v>23</v>
      </c>
      <c r="AC6205" t="n">
        <v>23</v>
      </c>
      <c r="AD6205" t="n">
        <v>176245</v>
      </c>
      <c r="AE6205" t="n">
        <v>810727</v>
      </c>
      <c r="AF6205" t="n">
        <v>11727</v>
      </c>
      <c r="AG6205" t="n">
        <v>63</v>
      </c>
      <c r="AH6205" t="inlineStr">
        <is>
          <t>PT. PARAMA GLOBAL INSPIRA - PPN (PDG)</t>
        </is>
      </c>
      <c r="AI6205" t="n">
        <v>164</v>
      </c>
      <c r="AJ6205" t="inlineStr">
        <is>
          <t>WARDAH</t>
        </is>
      </c>
      <c r="AK6205" t="n">
        <v>21</v>
      </c>
      <c r="AL6205" t="inlineStr">
        <is>
          <t>Miss Glam Damar</t>
        </is>
      </c>
      <c r="AM6205" t="n">
        <v>1</v>
      </c>
      <c r="AN6205" t="n">
        <v>500000</v>
      </c>
      <c r="AO6205" t="n">
        <v>0</v>
      </c>
      <c r="AP6205" t="inlineStr"/>
      <c r="AQ6205" t="inlineStr"/>
    </row>
    <row r="6206">
      <c r="A6206" t="inlineStr">
        <is>
          <t>WARDAH</t>
        </is>
      </c>
      <c r="B6206" s="2">
        <f>"8993137707695"</f>
        <v/>
      </c>
      <c r="C6206" t="inlineStr">
        <is>
          <t>WARDAH Lightening Liquid Fondation 01 Light Beige 25ml (Blister)</t>
        </is>
      </c>
      <c r="D6206" t="inlineStr">
        <is>
          <t>Miss Glam Damar</t>
        </is>
      </c>
      <c r="E6206" t="n">
        <v>9</v>
      </c>
      <c r="F6206" t="n">
        <v>0.5733</v>
      </c>
      <c r="G6206" t="n">
        <v>2.73</v>
      </c>
      <c r="H6206" t="n">
        <v>2</v>
      </c>
      <c r="I6206" t="n">
        <v>6</v>
      </c>
      <c r="J6206" t="n">
        <v>3</v>
      </c>
      <c r="K6206" t="n">
        <v>0</v>
      </c>
      <c r="L6206" t="n">
        <v>41379</v>
      </c>
      <c r="M6206" t="n">
        <v>50500</v>
      </c>
      <c r="N6206" t="n">
        <v>91</v>
      </c>
      <c r="O6206" t="n">
        <v>0.91</v>
      </c>
      <c r="P6206" t="n">
        <v>1</v>
      </c>
      <c r="Q6206" t="n">
        <v>0.39</v>
      </c>
      <c r="R6206" t="n">
        <v>2</v>
      </c>
      <c r="S6206" t="n">
        <v>28951.65</v>
      </c>
      <c r="T6206" t="n">
        <v>16</v>
      </c>
      <c r="U6206" t="n">
        <v>18</v>
      </c>
      <c r="V6206" t="n">
        <v>30</v>
      </c>
      <c r="W6206" t="n">
        <v>18</v>
      </c>
      <c r="X6206" t="n">
        <v>15.69858712715856</v>
      </c>
      <c r="Y6206" t="n">
        <v>1</v>
      </c>
      <c r="Z6206" t="n">
        <v>9</v>
      </c>
      <c r="AA6206" t="n">
        <v>0</v>
      </c>
      <c r="AB6206" t="n">
        <v>9</v>
      </c>
      <c r="AC6206" t="n">
        <v>9</v>
      </c>
      <c r="AD6206" t="n">
        <v>0</v>
      </c>
      <c r="AE6206" t="n">
        <v>372411</v>
      </c>
      <c r="AF6206" t="n">
        <v>11727</v>
      </c>
      <c r="AG6206" t="n">
        <v>63</v>
      </c>
      <c r="AH6206" t="inlineStr">
        <is>
          <t>PT. PARAMA GLOBAL INSPIRA - PPN (PDG)</t>
        </is>
      </c>
      <c r="AI6206" t="n">
        <v>164</v>
      </c>
      <c r="AJ6206" t="inlineStr">
        <is>
          <t>WARDAH</t>
        </is>
      </c>
      <c r="AK6206" t="n">
        <v>21</v>
      </c>
      <c r="AL6206" t="inlineStr">
        <is>
          <t>Miss Glam Damar</t>
        </is>
      </c>
      <c r="AM6206" t="n">
        <v>1</v>
      </c>
      <c r="AN6206" t="n">
        <v>500000</v>
      </c>
      <c r="AO6206" t="n">
        <v>0</v>
      </c>
      <c r="AP6206" t="inlineStr"/>
      <c r="AQ6206" t="inlineStr"/>
    </row>
    <row r="6207">
      <c r="A6207" t="inlineStr">
        <is>
          <t>WARDAH</t>
        </is>
      </c>
      <c r="B6207" s="2">
        <f>"8993137707718"</f>
        <v/>
      </c>
      <c r="C6207" t="inlineStr">
        <is>
          <t>WARDAH Lightening Liquid Foundation 03 Ivory 25ml</t>
        </is>
      </c>
      <c r="D6207" t="inlineStr">
        <is>
          <t>Miss Glam Damar</t>
        </is>
      </c>
      <c r="E6207" t="n">
        <v>7</v>
      </c>
      <c r="F6207" t="n">
        <v>0.4186</v>
      </c>
      <c r="G6207" t="n">
        <v>2.73</v>
      </c>
      <c r="H6207" t="n">
        <v>2</v>
      </c>
      <c r="I6207" t="n">
        <v>6</v>
      </c>
      <c r="J6207" t="n">
        <v>3</v>
      </c>
      <c r="K6207" t="n">
        <v>0</v>
      </c>
      <c r="L6207" t="n">
        <v>41380</v>
      </c>
      <c r="M6207" t="n">
        <v>50500</v>
      </c>
      <c r="N6207" t="n">
        <v>91</v>
      </c>
      <c r="O6207" t="n">
        <v>0.91</v>
      </c>
      <c r="P6207" t="n">
        <v>1</v>
      </c>
      <c r="Q6207" t="n">
        <v>0.54</v>
      </c>
      <c r="R6207" t="n">
        <v>2</v>
      </c>
      <c r="S6207" t="n">
        <v>21139.3</v>
      </c>
      <c r="T6207" t="n">
        <v>16</v>
      </c>
      <c r="U6207" t="n">
        <v>17</v>
      </c>
      <c r="V6207" t="n">
        <v>30</v>
      </c>
      <c r="W6207" t="n">
        <v>13</v>
      </c>
      <c r="X6207" t="n">
        <v>16.72240802675585</v>
      </c>
      <c r="Y6207" t="n">
        <v>1</v>
      </c>
      <c r="Z6207" t="n">
        <v>6</v>
      </c>
      <c r="AA6207" t="n">
        <v>0</v>
      </c>
      <c r="AB6207" t="n">
        <v>6</v>
      </c>
      <c r="AC6207" t="n">
        <v>6</v>
      </c>
      <c r="AD6207" t="n">
        <v>0</v>
      </c>
      <c r="AE6207" t="n">
        <v>248280</v>
      </c>
      <c r="AF6207" t="n">
        <v>11727</v>
      </c>
      <c r="AG6207" t="n">
        <v>63</v>
      </c>
      <c r="AH6207" t="inlineStr">
        <is>
          <t>PT. PARAMA GLOBAL INSPIRA - PPN (PDG)</t>
        </is>
      </c>
      <c r="AI6207" t="n">
        <v>164</v>
      </c>
      <c r="AJ6207" t="inlineStr">
        <is>
          <t>WARDAH</t>
        </is>
      </c>
      <c r="AK6207" t="n">
        <v>21</v>
      </c>
      <c r="AL6207" t="inlineStr">
        <is>
          <t>Miss Glam Damar</t>
        </is>
      </c>
      <c r="AM6207" t="n">
        <v>1</v>
      </c>
      <c r="AN6207" t="n">
        <v>500000</v>
      </c>
      <c r="AO6207" t="n">
        <v>0</v>
      </c>
      <c r="AP6207" t="inlineStr"/>
      <c r="AQ6207" t="inlineStr"/>
    </row>
    <row r="6208">
      <c r="A6208" t="inlineStr">
        <is>
          <t>WARDAH</t>
        </is>
      </c>
      <c r="B6208" s="2">
        <f>"8993137707725"</f>
        <v/>
      </c>
      <c r="C6208" t="inlineStr">
        <is>
          <t>WARDAH Lightening Liquid Foundation 04 Natural 25ml</t>
        </is>
      </c>
      <c r="D6208" t="inlineStr">
        <is>
          <t>Miss Glam Damar</t>
        </is>
      </c>
      <c r="E6208" t="n">
        <v>9</v>
      </c>
      <c r="F6208" t="n">
        <v>0.24</v>
      </c>
      <c r="G6208" t="n">
        <v>2</v>
      </c>
      <c r="H6208" t="n">
        <v>2</v>
      </c>
      <c r="I6208" t="n">
        <v>6</v>
      </c>
      <c r="J6208" t="n">
        <v>3</v>
      </c>
      <c r="K6208" t="n">
        <v>0</v>
      </c>
      <c r="L6208" t="n">
        <v>41379</v>
      </c>
      <c r="M6208" t="n">
        <v>50500</v>
      </c>
      <c r="N6208" t="n">
        <v>91</v>
      </c>
      <c r="O6208" t="n">
        <v>0.91</v>
      </c>
      <c r="P6208" t="n">
        <v>0</v>
      </c>
      <c r="Q6208" t="n">
        <v>0.24</v>
      </c>
      <c r="R6208" t="n">
        <v>2</v>
      </c>
      <c r="S6208" t="n">
        <v>12120</v>
      </c>
      <c r="T6208" t="n">
        <v>12</v>
      </c>
      <c r="U6208" t="n">
        <v>13</v>
      </c>
      <c r="V6208" t="n">
        <v>30</v>
      </c>
      <c r="W6208" t="n">
        <v>8</v>
      </c>
      <c r="X6208" t="n">
        <v>37.5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11727</v>
      </c>
      <c r="AG6208" t="n">
        <v>63</v>
      </c>
      <c r="AH6208" t="inlineStr">
        <is>
          <t>PT. PARAMA GLOBAL INSPIRA - PPN (PDG)</t>
        </is>
      </c>
      <c r="AI6208" t="n">
        <v>164</v>
      </c>
      <c r="AJ6208" t="inlineStr">
        <is>
          <t>WARDAH</t>
        </is>
      </c>
      <c r="AK6208" t="n">
        <v>21</v>
      </c>
      <c r="AL6208" t="inlineStr">
        <is>
          <t>Miss Glam Damar</t>
        </is>
      </c>
      <c r="AM6208" t="n">
        <v>1</v>
      </c>
      <c r="AN6208" t="n">
        <v>500000</v>
      </c>
      <c r="AO6208" t="n">
        <v>0</v>
      </c>
      <c r="AP6208" t="inlineStr"/>
      <c r="AQ6208" t="inlineStr"/>
    </row>
    <row r="6209">
      <c r="A6209" t="inlineStr">
        <is>
          <t>WARDAH</t>
        </is>
      </c>
      <c r="B6209" s="2">
        <f>"8993137701006"</f>
        <v/>
      </c>
      <c r="C6209" t="inlineStr">
        <is>
          <t>WARDAH Lightening Matte Powder 01 Light Beige 20gr</t>
        </is>
      </c>
      <c r="D6209" t="inlineStr">
        <is>
          <t>Miss Glam Damar</t>
        </is>
      </c>
      <c r="E6209" t="n">
        <v>31</v>
      </c>
      <c r="F6209" t="n">
        <v>1.6653</v>
      </c>
      <c r="G6209" t="n">
        <v>4.55</v>
      </c>
      <c r="H6209" t="n">
        <v>2</v>
      </c>
      <c r="I6209" t="n">
        <v>6</v>
      </c>
      <c r="J6209" t="n">
        <v>3</v>
      </c>
      <c r="K6209" t="n">
        <v>0</v>
      </c>
      <c r="L6209" t="n">
        <v>31035</v>
      </c>
      <c r="M6209" t="n">
        <v>38000</v>
      </c>
      <c r="N6209" t="n">
        <v>91</v>
      </c>
      <c r="O6209" t="n">
        <v>0.91</v>
      </c>
      <c r="P6209" t="n">
        <v>1</v>
      </c>
      <c r="Q6209" t="n">
        <v>1.69</v>
      </c>
      <c r="R6209" t="n">
        <v>8</v>
      </c>
      <c r="S6209" t="n">
        <v>63281.40000000001</v>
      </c>
      <c r="T6209" t="n">
        <v>24</v>
      </c>
      <c r="U6209" t="n">
        <v>28</v>
      </c>
      <c r="V6209" t="n">
        <v>30</v>
      </c>
      <c r="W6209" t="n">
        <v>50</v>
      </c>
      <c r="X6209" t="n">
        <v>18.61526451690386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11727</v>
      </c>
      <c r="AG6209" t="n">
        <v>63</v>
      </c>
      <c r="AH6209" t="inlineStr">
        <is>
          <t>PT. PARAMA GLOBAL INSPIRA - PPN (PDG)</t>
        </is>
      </c>
      <c r="AI6209" t="n">
        <v>164</v>
      </c>
      <c r="AJ6209" t="inlineStr">
        <is>
          <t>WARDAH</t>
        </is>
      </c>
      <c r="AK6209" t="n">
        <v>21</v>
      </c>
      <c r="AL6209" t="inlineStr">
        <is>
          <t>Miss Glam Damar</t>
        </is>
      </c>
      <c r="AM6209" t="n">
        <v>1</v>
      </c>
      <c r="AN6209" t="n">
        <v>500000</v>
      </c>
      <c r="AO6209" t="n">
        <v>0</v>
      </c>
      <c r="AP6209" t="inlineStr"/>
      <c r="AQ6209" t="inlineStr"/>
    </row>
    <row r="6210">
      <c r="A6210" t="inlineStr">
        <is>
          <t>WARDAH</t>
        </is>
      </c>
      <c r="B6210" s="2">
        <f>"8993137701020"</f>
        <v/>
      </c>
      <c r="C6210" t="inlineStr">
        <is>
          <t>WARDAH Lightening Matte Powder 03 Ivory 20gr</t>
        </is>
      </c>
      <c r="D6210" t="inlineStr">
        <is>
          <t>Miss Glam Damar</t>
        </is>
      </c>
      <c r="E6210" t="n">
        <v>28</v>
      </c>
      <c r="F6210" t="n">
        <v>1.6471</v>
      </c>
      <c r="G6210" t="n">
        <v>4.55</v>
      </c>
      <c r="H6210" t="n">
        <v>2</v>
      </c>
      <c r="I6210" t="n">
        <v>6</v>
      </c>
      <c r="J6210" t="n">
        <v>3</v>
      </c>
      <c r="K6210" t="n">
        <v>0</v>
      </c>
      <c r="L6210" t="n">
        <v>31035</v>
      </c>
      <c r="M6210" t="n">
        <v>38000</v>
      </c>
      <c r="N6210" t="n">
        <v>91</v>
      </c>
      <c r="O6210" t="n">
        <v>0.91</v>
      </c>
      <c r="P6210" t="n">
        <v>1</v>
      </c>
      <c r="Q6210" t="n">
        <v>1.32</v>
      </c>
      <c r="R6210" t="n">
        <v>5</v>
      </c>
      <c r="S6210" t="n">
        <v>62589.8</v>
      </c>
      <c r="T6210" t="n">
        <v>25</v>
      </c>
      <c r="U6210" t="n">
        <v>29</v>
      </c>
      <c r="V6210" t="n">
        <v>30</v>
      </c>
      <c r="W6210" t="n">
        <v>50</v>
      </c>
      <c r="X6210" t="n">
        <v>16.99957501062473</v>
      </c>
      <c r="Y6210" t="n">
        <v>1</v>
      </c>
      <c r="Z6210" t="n">
        <v>22</v>
      </c>
      <c r="AA6210" t="n">
        <v>0</v>
      </c>
      <c r="AB6210" t="n">
        <v>22</v>
      </c>
      <c r="AC6210" t="n">
        <v>22</v>
      </c>
      <c r="AD6210" t="n">
        <v>0</v>
      </c>
      <c r="AE6210" t="n">
        <v>682770</v>
      </c>
      <c r="AF6210" t="n">
        <v>11727</v>
      </c>
      <c r="AG6210" t="n">
        <v>63</v>
      </c>
      <c r="AH6210" t="inlineStr">
        <is>
          <t>PT. PARAMA GLOBAL INSPIRA - PPN (PDG)</t>
        </is>
      </c>
      <c r="AI6210" t="n">
        <v>164</v>
      </c>
      <c r="AJ6210" t="inlineStr">
        <is>
          <t>WARDAH</t>
        </is>
      </c>
      <c r="AK6210" t="n">
        <v>21</v>
      </c>
      <c r="AL6210" t="inlineStr">
        <is>
          <t>Miss Glam Damar</t>
        </is>
      </c>
      <c r="AM6210" t="n">
        <v>1</v>
      </c>
      <c r="AN6210" t="n">
        <v>500000</v>
      </c>
      <c r="AO6210" t="n">
        <v>0</v>
      </c>
      <c r="AP6210" t="inlineStr"/>
      <c r="AQ6210" t="inlineStr"/>
    </row>
    <row r="6211">
      <c r="A6211" t="inlineStr">
        <is>
          <t>WARDAH</t>
        </is>
      </c>
      <c r="B6211" s="2">
        <f>"8993137701037"</f>
        <v/>
      </c>
      <c r="C6211" t="inlineStr">
        <is>
          <t>WARDAH Lightening Matte Powder 04 Natural 20gr</t>
        </is>
      </c>
      <c r="D6211" t="inlineStr">
        <is>
          <t>Miss Glam Damar</t>
        </is>
      </c>
      <c r="E6211" t="n">
        <v>23</v>
      </c>
      <c r="F6211" t="n">
        <v>0.7553</v>
      </c>
      <c r="G6211" t="n">
        <v>3.64</v>
      </c>
      <c r="H6211" t="n">
        <v>2</v>
      </c>
      <c r="I6211" t="n">
        <v>6</v>
      </c>
      <c r="J6211" t="n">
        <v>3</v>
      </c>
      <c r="K6211" t="n">
        <v>0</v>
      </c>
      <c r="L6211" t="n">
        <v>31035</v>
      </c>
      <c r="M6211" t="n">
        <v>38000</v>
      </c>
      <c r="N6211" t="n">
        <v>91</v>
      </c>
      <c r="O6211" t="n">
        <v>0.91</v>
      </c>
      <c r="P6211" t="n">
        <v>1</v>
      </c>
      <c r="Q6211" t="n">
        <v>1.22</v>
      </c>
      <c r="R6211" t="n">
        <v>5</v>
      </c>
      <c r="S6211" t="n">
        <v>28701.4</v>
      </c>
      <c r="T6211" t="n">
        <v>21</v>
      </c>
      <c r="U6211" t="n">
        <v>23</v>
      </c>
      <c r="V6211" t="n">
        <v>30</v>
      </c>
      <c r="W6211" t="n">
        <v>23</v>
      </c>
      <c r="X6211" t="n">
        <v>30.45147623460877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11727</v>
      </c>
      <c r="AG6211" t="n">
        <v>63</v>
      </c>
      <c r="AH6211" t="inlineStr">
        <is>
          <t>PT. PARAMA GLOBAL INSPIRA - PPN (PDG)</t>
        </is>
      </c>
      <c r="AI6211" t="n">
        <v>164</v>
      </c>
      <c r="AJ6211" t="inlineStr">
        <is>
          <t>WARDAH</t>
        </is>
      </c>
      <c r="AK6211" t="n">
        <v>21</v>
      </c>
      <c r="AL6211" t="inlineStr">
        <is>
          <t>Miss Glam Damar</t>
        </is>
      </c>
      <c r="AM6211" t="n">
        <v>1</v>
      </c>
      <c r="AN6211" t="n">
        <v>500000</v>
      </c>
      <c r="AO6211" t="n">
        <v>0</v>
      </c>
      <c r="AP6211" t="inlineStr"/>
      <c r="AQ6211" t="inlineStr"/>
    </row>
    <row r="6212">
      <c r="A6212" t="inlineStr">
        <is>
          <t>WARDAH</t>
        </is>
      </c>
      <c r="B6212" s="2">
        <f>"8993137685597"</f>
        <v/>
      </c>
      <c r="C6212" t="inlineStr">
        <is>
          <t>WARDAH Lightening Matte Powder Foundation 01 Golden Sand 12gr</t>
        </is>
      </c>
      <c r="D6212" t="inlineStr">
        <is>
          <t>Miss Glam Damar</t>
        </is>
      </c>
      <c r="E6212" t="n">
        <v>15</v>
      </c>
      <c r="F6212" t="n">
        <v>0.6188</v>
      </c>
      <c r="G6212" t="n">
        <v>2.73</v>
      </c>
      <c r="H6212" t="n">
        <v>2</v>
      </c>
      <c r="I6212" t="n">
        <v>6</v>
      </c>
      <c r="J6212" t="n">
        <v>3</v>
      </c>
      <c r="K6212" t="n">
        <v>0</v>
      </c>
      <c r="L6212" t="n">
        <v>42147</v>
      </c>
      <c r="M6212" t="n">
        <v>51500</v>
      </c>
      <c r="N6212" t="n">
        <v>91</v>
      </c>
      <c r="O6212" t="n">
        <v>0.91</v>
      </c>
      <c r="P6212" t="n">
        <v>1</v>
      </c>
      <c r="Q6212" t="n">
        <v>0.58</v>
      </c>
      <c r="R6212" t="n">
        <v>3</v>
      </c>
      <c r="S6212" t="n">
        <v>31868.2</v>
      </c>
      <c r="T6212" t="n">
        <v>16</v>
      </c>
      <c r="U6212" t="n">
        <v>18</v>
      </c>
      <c r="V6212" t="n">
        <v>30</v>
      </c>
      <c r="W6212" t="n">
        <v>19</v>
      </c>
      <c r="X6212" t="n">
        <v>24.240465416936</v>
      </c>
      <c r="Y6212" t="n">
        <v>1</v>
      </c>
      <c r="Z6212" t="n">
        <v>4</v>
      </c>
      <c r="AA6212" t="n">
        <v>0</v>
      </c>
      <c r="AB6212" t="n">
        <v>4</v>
      </c>
      <c r="AC6212" t="n">
        <v>4</v>
      </c>
      <c r="AD6212" t="n">
        <v>0</v>
      </c>
      <c r="AE6212" t="n">
        <v>168588</v>
      </c>
      <c r="AF6212" t="n">
        <v>11727</v>
      </c>
      <c r="AG6212" t="n">
        <v>63</v>
      </c>
      <c r="AH6212" t="inlineStr">
        <is>
          <t>PT. PARAMA GLOBAL INSPIRA - PPN (PDG)</t>
        </is>
      </c>
      <c r="AI6212" t="n">
        <v>164</v>
      </c>
      <c r="AJ6212" t="inlineStr">
        <is>
          <t>WARDAH</t>
        </is>
      </c>
      <c r="AK6212" t="n">
        <v>21</v>
      </c>
      <c r="AL6212" t="inlineStr">
        <is>
          <t>Miss Glam Damar</t>
        </is>
      </c>
      <c r="AM6212" t="n">
        <v>1</v>
      </c>
      <c r="AN6212" t="n">
        <v>500000</v>
      </c>
      <c r="AO6212" t="n">
        <v>0</v>
      </c>
      <c r="AP6212" t="inlineStr"/>
      <c r="AQ6212" t="inlineStr"/>
    </row>
    <row r="6213">
      <c r="A6213" t="inlineStr">
        <is>
          <t>WARDAH</t>
        </is>
      </c>
      <c r="B6213" s="2">
        <f>"8993137009881"</f>
        <v/>
      </c>
      <c r="C6213" t="inlineStr">
        <is>
          <t>WARDAH Lightening Oil Infused Micellar Water 240ml</t>
        </is>
      </c>
      <c r="D6213" t="inlineStr">
        <is>
          <t>Miss Glam Damar</t>
        </is>
      </c>
      <c r="E6213" t="n">
        <v>20</v>
      </c>
      <c r="F6213" t="n">
        <v>0.4459</v>
      </c>
      <c r="G6213" t="n">
        <v>2.73</v>
      </c>
      <c r="H6213" t="n">
        <v>2</v>
      </c>
      <c r="I6213" t="n">
        <v>6</v>
      </c>
      <c r="J6213" t="n">
        <v>3</v>
      </c>
      <c r="K6213" t="n">
        <v>0</v>
      </c>
      <c r="L6213" t="n">
        <v>62069</v>
      </c>
      <c r="M6213" t="n">
        <v>76000</v>
      </c>
      <c r="N6213" t="n">
        <v>91</v>
      </c>
      <c r="O6213" t="n">
        <v>0.91</v>
      </c>
      <c r="P6213" t="n">
        <v>1</v>
      </c>
      <c r="Q6213" t="n">
        <v>0.58</v>
      </c>
      <c r="R6213" t="n">
        <v>3</v>
      </c>
      <c r="S6213" t="n">
        <v>33888.4</v>
      </c>
      <c r="T6213" t="n">
        <v>16</v>
      </c>
      <c r="U6213" t="n">
        <v>17</v>
      </c>
      <c r="V6213" t="n">
        <v>30</v>
      </c>
      <c r="W6213" t="n">
        <v>14</v>
      </c>
      <c r="X6213" t="n">
        <v>44.85310607759587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11727</v>
      </c>
      <c r="AG6213" t="n">
        <v>63</v>
      </c>
      <c r="AH6213" t="inlineStr">
        <is>
          <t>PT. PARAMA GLOBAL INSPIRA - PPN (PDG)</t>
        </is>
      </c>
      <c r="AI6213" t="n">
        <v>164</v>
      </c>
      <c r="AJ6213" t="inlineStr">
        <is>
          <t>WARDAH</t>
        </is>
      </c>
      <c r="AK6213" t="n">
        <v>21</v>
      </c>
      <c r="AL6213" t="inlineStr">
        <is>
          <t>Miss Glam Damar</t>
        </is>
      </c>
      <c r="AM6213" t="n">
        <v>1</v>
      </c>
      <c r="AN6213" t="n">
        <v>500000</v>
      </c>
      <c r="AO6213" t="n">
        <v>0</v>
      </c>
      <c r="AP6213" t="inlineStr"/>
      <c r="AQ6213" t="inlineStr"/>
    </row>
    <row r="6214">
      <c r="A6214" t="inlineStr">
        <is>
          <t>WARDAH</t>
        </is>
      </c>
      <c r="B6214" s="2">
        <f>"8993137706803"</f>
        <v/>
      </c>
      <c r="C6214" t="inlineStr">
        <is>
          <t>WARDAH Lightening Oil-Infused Micellar Water 100ml</t>
        </is>
      </c>
      <c r="D6214" t="inlineStr">
        <is>
          <t>Miss Glam Damar</t>
        </is>
      </c>
      <c r="E6214" t="n">
        <v>30</v>
      </c>
      <c r="F6214" t="n">
        <v>1.5106</v>
      </c>
      <c r="G6214" t="n">
        <v>4.55</v>
      </c>
      <c r="H6214" t="n">
        <v>2</v>
      </c>
      <c r="I6214" t="n">
        <v>6</v>
      </c>
      <c r="J6214" t="n">
        <v>3</v>
      </c>
      <c r="K6214" t="n">
        <v>0</v>
      </c>
      <c r="L6214" t="n">
        <v>31419</v>
      </c>
      <c r="M6214" t="n">
        <v>38500</v>
      </c>
      <c r="N6214" t="n">
        <v>91</v>
      </c>
      <c r="O6214" t="n">
        <v>0.91</v>
      </c>
      <c r="P6214" t="n">
        <v>1</v>
      </c>
      <c r="Q6214" t="n">
        <v>1.85</v>
      </c>
      <c r="R6214" t="n">
        <v>5</v>
      </c>
      <c r="S6214" t="n">
        <v>58158.1</v>
      </c>
      <c r="T6214" t="n">
        <v>25</v>
      </c>
      <c r="U6214" t="n">
        <v>29</v>
      </c>
      <c r="V6214" t="n">
        <v>30</v>
      </c>
      <c r="W6214" t="n">
        <v>46</v>
      </c>
      <c r="X6214" t="n">
        <v>19.85965841387528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11727</v>
      </c>
      <c r="AG6214" t="n">
        <v>63</v>
      </c>
      <c r="AH6214" t="inlineStr">
        <is>
          <t>PT. PARAMA GLOBAL INSPIRA - PPN (PDG)</t>
        </is>
      </c>
      <c r="AI6214" t="n">
        <v>164</v>
      </c>
      <c r="AJ6214" t="inlineStr">
        <is>
          <t>WARDAH</t>
        </is>
      </c>
      <c r="AK6214" t="n">
        <v>21</v>
      </c>
      <c r="AL6214" t="inlineStr">
        <is>
          <t>Miss Glam Damar</t>
        </is>
      </c>
      <c r="AM6214" t="n">
        <v>1</v>
      </c>
      <c r="AN6214" t="n">
        <v>500000</v>
      </c>
      <c r="AO6214" t="n">
        <v>0</v>
      </c>
      <c r="AP6214" t="inlineStr"/>
      <c r="AQ6214" t="inlineStr"/>
    </row>
    <row r="6215">
      <c r="A6215" t="inlineStr">
        <is>
          <t>WARDAH</t>
        </is>
      </c>
      <c r="B6215" s="2">
        <f>"8993137706797"</f>
        <v/>
      </c>
      <c r="C6215" t="inlineStr">
        <is>
          <t>WARDAH Lightening Oil-Infused Micellar Water 55ml</t>
        </is>
      </c>
      <c r="D6215" t="inlineStr">
        <is>
          <t>Miss Glam Damar</t>
        </is>
      </c>
      <c r="E6215" t="n">
        <v>30</v>
      </c>
      <c r="F6215" t="n">
        <v>1.3377</v>
      </c>
      <c r="G6215" t="n">
        <v>4.55</v>
      </c>
      <c r="H6215" t="n">
        <v>2</v>
      </c>
      <c r="I6215" t="n">
        <v>6</v>
      </c>
      <c r="J6215" t="n">
        <v>3</v>
      </c>
      <c r="K6215" t="n">
        <v>0</v>
      </c>
      <c r="L6215" t="n">
        <v>19157</v>
      </c>
      <c r="M6215" t="n">
        <v>23500</v>
      </c>
      <c r="N6215" t="n">
        <v>91</v>
      </c>
      <c r="O6215" t="n">
        <v>0.91</v>
      </c>
      <c r="P6215" t="n">
        <v>1</v>
      </c>
      <c r="Q6215" t="n">
        <v>1.08</v>
      </c>
      <c r="R6215" t="n">
        <v>9</v>
      </c>
      <c r="S6215" t="n">
        <v>31435.95</v>
      </c>
      <c r="T6215" t="n">
        <v>25</v>
      </c>
      <c r="U6215" t="n">
        <v>28</v>
      </c>
      <c r="V6215" t="n">
        <v>30</v>
      </c>
      <c r="W6215" t="n">
        <v>41</v>
      </c>
      <c r="X6215" t="n">
        <v>22.42655303879793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11727</v>
      </c>
      <c r="AG6215" t="n">
        <v>63</v>
      </c>
      <c r="AH6215" t="inlineStr">
        <is>
          <t>PT. PARAMA GLOBAL INSPIRA - PPN (PDG)</t>
        </is>
      </c>
      <c r="AI6215" t="n">
        <v>164</v>
      </c>
      <c r="AJ6215" t="inlineStr">
        <is>
          <t>WARDAH</t>
        </is>
      </c>
      <c r="AK6215" t="n">
        <v>21</v>
      </c>
      <c r="AL6215" t="inlineStr">
        <is>
          <t>Miss Glam Damar</t>
        </is>
      </c>
      <c r="AM6215" t="n">
        <v>1</v>
      </c>
      <c r="AN6215" t="n">
        <v>500000</v>
      </c>
      <c r="AO6215" t="n">
        <v>0</v>
      </c>
      <c r="AP6215" t="inlineStr"/>
      <c r="AQ6215" t="inlineStr"/>
    </row>
    <row r="6216">
      <c r="A6216" t="inlineStr">
        <is>
          <t>WARDAH</t>
        </is>
      </c>
      <c r="B6216" s="2">
        <f>"8993137685610"</f>
        <v/>
      </c>
      <c r="C6216" t="inlineStr">
        <is>
          <t>WARDAH Lightening Powder Foundation 03 Pink Fair 12gr</t>
        </is>
      </c>
      <c r="D6216" t="inlineStr">
        <is>
          <t>Miss Glam Damar</t>
        </is>
      </c>
      <c r="E6216" t="n">
        <v>7</v>
      </c>
      <c r="F6216" t="n">
        <v>0.3731</v>
      </c>
      <c r="G6216" t="n">
        <v>2.73</v>
      </c>
      <c r="H6216" t="n">
        <v>2</v>
      </c>
      <c r="I6216" t="n">
        <v>6</v>
      </c>
      <c r="J6216" t="n">
        <v>3</v>
      </c>
      <c r="K6216" t="n">
        <v>0</v>
      </c>
      <c r="L6216" t="n">
        <v>42146</v>
      </c>
      <c r="M6216" t="n">
        <v>51500</v>
      </c>
      <c r="N6216" t="n">
        <v>91</v>
      </c>
      <c r="O6216" t="n">
        <v>0.91</v>
      </c>
      <c r="P6216" t="n">
        <v>1</v>
      </c>
      <c r="Q6216" t="n">
        <v>0.12</v>
      </c>
      <c r="R6216" t="n">
        <v>2</v>
      </c>
      <c r="S6216" t="n">
        <v>19214.65</v>
      </c>
      <c r="T6216" t="n">
        <v>16</v>
      </c>
      <c r="U6216" t="n">
        <v>17</v>
      </c>
      <c r="V6216" t="n">
        <v>30</v>
      </c>
      <c r="W6216" t="n">
        <v>12</v>
      </c>
      <c r="X6216" t="n">
        <v>18.76172607879925</v>
      </c>
      <c r="Y6216" t="n">
        <v>1</v>
      </c>
      <c r="Z6216" t="n">
        <v>5</v>
      </c>
      <c r="AA6216" t="n">
        <v>0</v>
      </c>
      <c r="AB6216" t="n">
        <v>5</v>
      </c>
      <c r="AC6216" t="n">
        <v>5</v>
      </c>
      <c r="AD6216" t="n">
        <v>0</v>
      </c>
      <c r="AE6216" t="n">
        <v>210730</v>
      </c>
      <c r="AF6216" t="n">
        <v>11727</v>
      </c>
      <c r="AG6216" t="n">
        <v>63</v>
      </c>
      <c r="AH6216" t="inlineStr">
        <is>
          <t>PT. PARAMA GLOBAL INSPIRA - PPN (PDG)</t>
        </is>
      </c>
      <c r="AI6216" t="n">
        <v>164</v>
      </c>
      <c r="AJ6216" t="inlineStr">
        <is>
          <t>WARDAH</t>
        </is>
      </c>
      <c r="AK6216" t="n">
        <v>21</v>
      </c>
      <c r="AL6216" t="inlineStr">
        <is>
          <t>Miss Glam Damar</t>
        </is>
      </c>
      <c r="AM6216" t="n">
        <v>1</v>
      </c>
      <c r="AN6216" t="n">
        <v>500000</v>
      </c>
      <c r="AO6216" t="n">
        <v>0</v>
      </c>
      <c r="AP6216" t="inlineStr"/>
      <c r="AQ6216" t="inlineStr"/>
    </row>
    <row r="6217">
      <c r="A6217" t="inlineStr">
        <is>
          <t>WARDAH</t>
        </is>
      </c>
      <c r="B6217" s="2">
        <f>"8993137685627"</f>
        <v/>
      </c>
      <c r="C6217" t="inlineStr">
        <is>
          <t>WARDAH Lightening Powder Foundation 04 Natural 12gr</t>
        </is>
      </c>
      <c r="D6217" t="inlineStr">
        <is>
          <t>Miss Glam Damar</t>
        </is>
      </c>
      <c r="E6217" t="n">
        <v>13</v>
      </c>
      <c r="F6217" t="n">
        <v>0.5824</v>
      </c>
      <c r="G6217" t="n">
        <v>2.73</v>
      </c>
      <c r="H6217" t="n">
        <v>2</v>
      </c>
      <c r="I6217" t="n">
        <v>6</v>
      </c>
      <c r="J6217" t="n">
        <v>3</v>
      </c>
      <c r="K6217" t="n">
        <v>0</v>
      </c>
      <c r="L6217" t="n">
        <v>42147</v>
      </c>
      <c r="M6217" t="n">
        <v>51500</v>
      </c>
      <c r="N6217" t="n">
        <v>91</v>
      </c>
      <c r="O6217" t="n">
        <v>0.91</v>
      </c>
      <c r="P6217" t="n">
        <v>1</v>
      </c>
      <c r="Q6217" t="n">
        <v>0.41</v>
      </c>
      <c r="R6217" t="n">
        <v>2</v>
      </c>
      <c r="S6217" t="n">
        <v>29993.6</v>
      </c>
      <c r="T6217" t="n">
        <v>16</v>
      </c>
      <c r="U6217" t="n">
        <v>18</v>
      </c>
      <c r="V6217" t="n">
        <v>30</v>
      </c>
      <c r="W6217" t="n">
        <v>18</v>
      </c>
      <c r="X6217" t="n">
        <v>22.32142857142857</v>
      </c>
      <c r="Y6217" t="n">
        <v>1</v>
      </c>
      <c r="Z6217" t="n">
        <v>5</v>
      </c>
      <c r="AA6217" t="n">
        <v>0</v>
      </c>
      <c r="AB6217" t="n">
        <v>5</v>
      </c>
      <c r="AC6217" t="n">
        <v>5</v>
      </c>
      <c r="AD6217" t="n">
        <v>0</v>
      </c>
      <c r="AE6217" t="n">
        <v>210735</v>
      </c>
      <c r="AF6217" t="n">
        <v>11727</v>
      </c>
      <c r="AG6217" t="n">
        <v>63</v>
      </c>
      <c r="AH6217" t="inlineStr">
        <is>
          <t>PT. PARAMA GLOBAL INSPIRA - PPN (PDG)</t>
        </is>
      </c>
      <c r="AI6217" t="n">
        <v>164</v>
      </c>
      <c r="AJ6217" t="inlineStr">
        <is>
          <t>WARDAH</t>
        </is>
      </c>
      <c r="AK6217" t="n">
        <v>21</v>
      </c>
      <c r="AL6217" t="inlineStr">
        <is>
          <t>Miss Glam Damar</t>
        </is>
      </c>
      <c r="AM6217" t="n">
        <v>1</v>
      </c>
      <c r="AN6217" t="n">
        <v>500000</v>
      </c>
      <c r="AO6217" t="n">
        <v>0</v>
      </c>
      <c r="AP6217" t="inlineStr"/>
      <c r="AQ6217" t="inlineStr"/>
    </row>
    <row r="6218">
      <c r="A6218" t="inlineStr">
        <is>
          <t>WARDAH</t>
        </is>
      </c>
      <c r="B6218" s="2">
        <f>"8993137685603"</f>
        <v/>
      </c>
      <c r="C6218" t="inlineStr">
        <is>
          <t>WARDAH Lightening Powder Foundation Light Feel 02 Golden Beige 12gr</t>
        </is>
      </c>
      <c r="D6218" t="inlineStr">
        <is>
          <t>Miss Glam Damar</t>
        </is>
      </c>
      <c r="E6218" t="n">
        <v>9</v>
      </c>
      <c r="F6218" t="n">
        <v>0.9282</v>
      </c>
      <c r="G6218" t="n">
        <v>3.64</v>
      </c>
      <c r="H6218" t="n">
        <v>2</v>
      </c>
      <c r="I6218" t="n">
        <v>6</v>
      </c>
      <c r="J6218" t="n">
        <v>3</v>
      </c>
      <c r="K6218" t="n">
        <v>0</v>
      </c>
      <c r="L6218" t="n">
        <v>42146</v>
      </c>
      <c r="M6218" t="n">
        <v>51500</v>
      </c>
      <c r="N6218" t="n">
        <v>91</v>
      </c>
      <c r="O6218" t="n">
        <v>0.91</v>
      </c>
      <c r="P6218" t="n">
        <v>1</v>
      </c>
      <c r="Q6218" t="n">
        <v>0.49</v>
      </c>
      <c r="R6218" t="n">
        <v>3</v>
      </c>
      <c r="S6218" t="n">
        <v>47802.3</v>
      </c>
      <c r="T6218" t="n">
        <v>20</v>
      </c>
      <c r="U6218" t="n">
        <v>22</v>
      </c>
      <c r="V6218" t="n">
        <v>30</v>
      </c>
      <c r="W6218" t="n">
        <v>28</v>
      </c>
      <c r="X6218" t="n">
        <v>9.696186166774401</v>
      </c>
      <c r="Y6218" t="n">
        <v>1</v>
      </c>
      <c r="Z6218" t="n">
        <v>19</v>
      </c>
      <c r="AA6218" t="n">
        <v>0</v>
      </c>
      <c r="AB6218" t="n">
        <v>19</v>
      </c>
      <c r="AC6218" t="n">
        <v>19</v>
      </c>
      <c r="AD6218" t="n">
        <v>0</v>
      </c>
      <c r="AE6218" t="n">
        <v>800774</v>
      </c>
      <c r="AF6218" t="n">
        <v>11727</v>
      </c>
      <c r="AG6218" t="n">
        <v>63</v>
      </c>
      <c r="AH6218" t="inlineStr">
        <is>
          <t>PT. PARAMA GLOBAL INSPIRA - PPN (PDG)</t>
        </is>
      </c>
      <c r="AI6218" t="n">
        <v>164</v>
      </c>
      <c r="AJ6218" t="inlineStr">
        <is>
          <t>WARDAH</t>
        </is>
      </c>
      <c r="AK6218" t="n">
        <v>21</v>
      </c>
      <c r="AL6218" t="inlineStr">
        <is>
          <t>Miss Glam Damar</t>
        </is>
      </c>
      <c r="AM6218" t="n">
        <v>1</v>
      </c>
      <c r="AN6218" t="n">
        <v>500000</v>
      </c>
      <c r="AO6218" t="n">
        <v>0</v>
      </c>
      <c r="AP6218" t="inlineStr"/>
      <c r="AQ6218" t="inlineStr"/>
    </row>
    <row r="6219">
      <c r="A6219" t="inlineStr">
        <is>
          <t>WARDAH</t>
        </is>
      </c>
      <c r="B6219" s="2">
        <f>"8993137008273"</f>
        <v/>
      </c>
      <c r="C6219" t="inlineStr">
        <is>
          <t>WARDAH Lip Barrier Sunscreen SPF 30 4g</t>
        </is>
      </c>
      <c r="D6219" t="inlineStr">
        <is>
          <t>Miss Glam Damar</t>
        </is>
      </c>
      <c r="E6219" t="n">
        <v>26</v>
      </c>
      <c r="F6219" t="n">
        <v>1.5379</v>
      </c>
      <c r="G6219" t="n">
        <v>4.55</v>
      </c>
      <c r="H6219" t="n">
        <v>2</v>
      </c>
      <c r="I6219" t="n">
        <v>6</v>
      </c>
      <c r="J6219" t="n">
        <v>3</v>
      </c>
      <c r="K6219" t="n">
        <v>0</v>
      </c>
      <c r="L6219" t="n">
        <v>24521</v>
      </c>
      <c r="M6219" t="n">
        <v>30000</v>
      </c>
      <c r="N6219" t="n">
        <v>91</v>
      </c>
      <c r="O6219" t="n">
        <v>0.91</v>
      </c>
      <c r="P6219" t="n">
        <v>1</v>
      </c>
      <c r="Q6219" t="n">
        <v>1.66</v>
      </c>
      <c r="R6219" t="n">
        <v>5</v>
      </c>
      <c r="S6219" t="n">
        <v>46137</v>
      </c>
      <c r="T6219" t="n">
        <v>25</v>
      </c>
      <c r="U6219" t="n">
        <v>29</v>
      </c>
      <c r="V6219" t="n">
        <v>30</v>
      </c>
      <c r="W6219" t="n">
        <v>47</v>
      </c>
      <c r="X6219" t="n">
        <v>16.9061707523246</v>
      </c>
      <c r="Y6219" t="n">
        <v>1</v>
      </c>
      <c r="Z6219" t="n">
        <v>21</v>
      </c>
      <c r="AA6219" t="n">
        <v>0</v>
      </c>
      <c r="AB6219" t="n">
        <v>21</v>
      </c>
      <c r="AC6219" t="n">
        <v>21</v>
      </c>
      <c r="AD6219" t="n">
        <v>0</v>
      </c>
      <c r="AE6219" t="n">
        <v>514941</v>
      </c>
      <c r="AF6219" t="n">
        <v>11727</v>
      </c>
      <c r="AG6219" t="n">
        <v>63</v>
      </c>
      <c r="AH6219" t="inlineStr">
        <is>
          <t>PT. PARAMA GLOBAL INSPIRA - PPN (PDG)</t>
        </is>
      </c>
      <c r="AI6219" t="n">
        <v>164</v>
      </c>
      <c r="AJ6219" t="inlineStr">
        <is>
          <t>WARDAH</t>
        </is>
      </c>
      <c r="AK6219" t="n">
        <v>21</v>
      </c>
      <c r="AL6219" t="inlineStr">
        <is>
          <t>Miss Glam Damar</t>
        </is>
      </c>
      <c r="AM6219" t="n">
        <v>1</v>
      </c>
      <c r="AN6219" t="n">
        <v>500000</v>
      </c>
      <c r="AO6219" t="n">
        <v>0</v>
      </c>
      <c r="AP6219" t="inlineStr"/>
      <c r="AQ6219" t="inlineStr"/>
    </row>
    <row r="6220">
      <c r="A6220" t="inlineStr">
        <is>
          <t>WARDAH</t>
        </is>
      </c>
      <c r="B6220" s="2">
        <f>"10700324948"</f>
        <v/>
      </c>
      <c r="C6220" t="inlineStr">
        <is>
          <t>WARDAH Lip Rescue Jelly Balm 3% Vitc + Plump Oleoactif  Dusty Rose 7gr</t>
        </is>
      </c>
      <c r="D6220" t="inlineStr">
        <is>
          <t>Miss Glam Damar</t>
        </is>
      </c>
      <c r="E6220" t="n">
        <v>25</v>
      </c>
      <c r="F6220" t="n">
        <v>0.8827</v>
      </c>
      <c r="G6220" t="n">
        <v>2.73</v>
      </c>
      <c r="H6220" t="n">
        <v>2</v>
      </c>
      <c r="I6220" t="n">
        <v>6</v>
      </c>
      <c r="J6220" t="n">
        <v>3</v>
      </c>
      <c r="K6220" t="n">
        <v>0</v>
      </c>
      <c r="L6220" t="n">
        <v>36016</v>
      </c>
      <c r="M6220" t="n">
        <v>44000</v>
      </c>
      <c r="N6220" t="n">
        <v>91</v>
      </c>
      <c r="O6220" t="n">
        <v>0.91</v>
      </c>
      <c r="P6220" t="n">
        <v>1</v>
      </c>
      <c r="Q6220" t="n">
        <v>1.39</v>
      </c>
      <c r="R6220" t="n">
        <v>5</v>
      </c>
      <c r="S6220" t="n">
        <v>38838.8</v>
      </c>
      <c r="T6220" t="n">
        <v>15</v>
      </c>
      <c r="U6220" t="n">
        <v>17</v>
      </c>
      <c r="V6220" t="n">
        <v>30</v>
      </c>
      <c r="W6220" t="n">
        <v>27</v>
      </c>
      <c r="X6220" t="n">
        <v>28.32219327064688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11727</v>
      </c>
      <c r="AG6220" t="n">
        <v>63</v>
      </c>
      <c r="AH6220" t="inlineStr">
        <is>
          <t>PT. PARAMA GLOBAL INSPIRA - PPN (PDG)</t>
        </is>
      </c>
      <c r="AI6220" t="n">
        <v>164</v>
      </c>
      <c r="AJ6220" t="inlineStr">
        <is>
          <t>WARDAH</t>
        </is>
      </c>
      <c r="AK6220" t="n">
        <v>21</v>
      </c>
      <c r="AL6220" t="inlineStr">
        <is>
          <t>Miss Glam Damar</t>
        </is>
      </c>
      <c r="AM6220" t="n">
        <v>1</v>
      </c>
      <c r="AN6220" t="n">
        <v>500000</v>
      </c>
      <c r="AO6220" t="n">
        <v>0</v>
      </c>
      <c r="AP6220" t="inlineStr"/>
      <c r="AQ6220" t="inlineStr"/>
    </row>
    <row r="6221">
      <c r="A6221" t="inlineStr">
        <is>
          <t>WARDAH</t>
        </is>
      </c>
      <c r="B6221" s="2">
        <f>"8993137705257"</f>
        <v/>
      </c>
      <c r="C6221" t="inlineStr">
        <is>
          <t>WARDAH Liquid Concealer 01 Light 7gr</t>
        </is>
      </c>
      <c r="D6221" t="inlineStr">
        <is>
          <t>Miss Glam Damar</t>
        </is>
      </c>
      <c r="E6221" t="n">
        <v>12</v>
      </c>
      <c r="F6221" t="n">
        <v>0.6461</v>
      </c>
      <c r="G6221" t="n">
        <v>3.64</v>
      </c>
      <c r="H6221" t="n">
        <v>2</v>
      </c>
      <c r="I6221" t="n">
        <v>6</v>
      </c>
      <c r="J6221" t="n">
        <v>3</v>
      </c>
      <c r="K6221" t="n">
        <v>0</v>
      </c>
      <c r="L6221" t="n">
        <v>35250</v>
      </c>
      <c r="M6221" t="n">
        <v>43000</v>
      </c>
      <c r="N6221" t="n">
        <v>91</v>
      </c>
      <c r="O6221" t="n">
        <v>0.91</v>
      </c>
      <c r="P6221" t="n">
        <v>1</v>
      </c>
      <c r="Q6221" t="n">
        <v>0.53</v>
      </c>
      <c r="R6221" t="n">
        <v>3</v>
      </c>
      <c r="S6221" t="n">
        <v>27782.3</v>
      </c>
      <c r="T6221" t="n">
        <v>21</v>
      </c>
      <c r="U6221" t="n">
        <v>23</v>
      </c>
      <c r="V6221" t="n">
        <v>30</v>
      </c>
      <c r="W6221" t="n">
        <v>20</v>
      </c>
      <c r="X6221" t="n">
        <v>18.57297631945519</v>
      </c>
      <c r="Y6221" t="n">
        <v>1</v>
      </c>
      <c r="Z6221" t="n">
        <v>8</v>
      </c>
      <c r="AA6221" t="n">
        <v>0</v>
      </c>
      <c r="AB6221" t="n">
        <v>8</v>
      </c>
      <c r="AC6221" t="n">
        <v>8</v>
      </c>
      <c r="AD6221" t="n">
        <v>0</v>
      </c>
      <c r="AE6221" t="n">
        <v>282000</v>
      </c>
      <c r="AF6221" t="n">
        <v>11727</v>
      </c>
      <c r="AG6221" t="n">
        <v>63</v>
      </c>
      <c r="AH6221" t="inlineStr">
        <is>
          <t>PT. PARAMA GLOBAL INSPIRA - PPN (PDG)</t>
        </is>
      </c>
      <c r="AI6221" t="n">
        <v>164</v>
      </c>
      <c r="AJ6221" t="inlineStr">
        <is>
          <t>WARDAH</t>
        </is>
      </c>
      <c r="AK6221" t="n">
        <v>21</v>
      </c>
      <c r="AL6221" t="inlineStr">
        <is>
          <t>Miss Glam Damar</t>
        </is>
      </c>
      <c r="AM6221" t="n">
        <v>1</v>
      </c>
      <c r="AN6221" t="n">
        <v>500000</v>
      </c>
      <c r="AO6221" t="n">
        <v>0</v>
      </c>
      <c r="AP6221" t="inlineStr"/>
      <c r="AQ6221" t="inlineStr"/>
    </row>
    <row r="6222">
      <c r="A6222" t="inlineStr">
        <is>
          <t>WARDAH</t>
        </is>
      </c>
      <c r="B6222" s="2">
        <f>"8993137707701"</f>
        <v/>
      </c>
      <c r="C6222" t="inlineStr">
        <is>
          <t>WARDAH Liquid Foundation 02 Beige 25ml</t>
        </is>
      </c>
      <c r="D6222" t="inlineStr">
        <is>
          <t>Miss Glam Damar</t>
        </is>
      </c>
      <c r="E6222" t="n">
        <v>19</v>
      </c>
      <c r="F6222" t="n">
        <v>0.7826</v>
      </c>
      <c r="G6222" t="n">
        <v>3.64</v>
      </c>
      <c r="H6222" t="n">
        <v>2</v>
      </c>
      <c r="I6222" t="n">
        <v>6</v>
      </c>
      <c r="J6222" t="n">
        <v>3</v>
      </c>
      <c r="K6222" t="n">
        <v>0</v>
      </c>
      <c r="L6222" t="n">
        <v>41380</v>
      </c>
      <c r="M6222" t="n">
        <v>50500</v>
      </c>
      <c r="N6222" t="n">
        <v>91</v>
      </c>
      <c r="O6222" t="n">
        <v>0.91</v>
      </c>
      <c r="P6222" t="n">
        <v>1</v>
      </c>
      <c r="Q6222" t="n">
        <v>0.54</v>
      </c>
      <c r="R6222" t="n">
        <v>4</v>
      </c>
      <c r="S6222" t="n">
        <v>39521.3</v>
      </c>
      <c r="T6222" t="n">
        <v>21</v>
      </c>
      <c r="U6222" t="n">
        <v>23</v>
      </c>
      <c r="V6222" t="n">
        <v>30</v>
      </c>
      <c r="W6222" t="n">
        <v>24</v>
      </c>
      <c r="X6222" t="n">
        <v>24.27804753386149</v>
      </c>
      <c r="Y6222" t="n">
        <v>1</v>
      </c>
      <c r="Z6222" t="n">
        <v>5</v>
      </c>
      <c r="AA6222" t="n">
        <v>0</v>
      </c>
      <c r="AB6222" t="n">
        <v>5</v>
      </c>
      <c r="AC6222" t="n">
        <v>5</v>
      </c>
      <c r="AD6222" t="n">
        <v>0</v>
      </c>
      <c r="AE6222" t="n">
        <v>206900</v>
      </c>
      <c r="AF6222" t="n">
        <v>11727</v>
      </c>
      <c r="AG6222" t="n">
        <v>63</v>
      </c>
      <c r="AH6222" t="inlineStr">
        <is>
          <t>PT. PARAMA GLOBAL INSPIRA - PPN (PDG)</t>
        </is>
      </c>
      <c r="AI6222" t="n">
        <v>164</v>
      </c>
      <c r="AJ6222" t="inlineStr">
        <is>
          <t>WARDAH</t>
        </is>
      </c>
      <c r="AK6222" t="n">
        <v>21</v>
      </c>
      <c r="AL6222" t="inlineStr">
        <is>
          <t>Miss Glam Damar</t>
        </is>
      </c>
      <c r="AM6222" t="n">
        <v>1</v>
      </c>
      <c r="AN6222" t="n">
        <v>500000</v>
      </c>
      <c r="AO6222" t="n">
        <v>0</v>
      </c>
      <c r="AP6222" t="inlineStr"/>
      <c r="AQ6222" t="inlineStr"/>
    </row>
    <row r="6223">
      <c r="A6223" t="inlineStr">
        <is>
          <t>WARDAH</t>
        </is>
      </c>
      <c r="B6223" s="2">
        <f>"8993137736329"</f>
        <v/>
      </c>
      <c r="C6223" t="inlineStr">
        <is>
          <t>WARDAH Liquid Foundation 05 Warm Ivory (23W 25ml</t>
        </is>
      </c>
      <c r="D6223" t="inlineStr">
        <is>
          <t>Miss Glam Damar</t>
        </is>
      </c>
      <c r="E6223" t="n">
        <v>8</v>
      </c>
      <c r="F6223" t="n">
        <v>0.3731</v>
      </c>
      <c r="G6223" t="n">
        <v>1.82</v>
      </c>
      <c r="H6223" t="n">
        <v>2</v>
      </c>
      <c r="I6223" t="n">
        <v>6</v>
      </c>
      <c r="J6223" t="n">
        <v>3</v>
      </c>
      <c r="K6223" t="n">
        <v>0</v>
      </c>
      <c r="L6223" t="n">
        <v>41380</v>
      </c>
      <c r="M6223" t="n">
        <v>50500</v>
      </c>
      <c r="N6223" t="n">
        <v>91</v>
      </c>
      <c r="O6223" t="n">
        <v>0.91</v>
      </c>
      <c r="P6223" t="n">
        <v>1</v>
      </c>
      <c r="Q6223" t="n">
        <v>0.31</v>
      </c>
      <c r="R6223" t="n">
        <v>2</v>
      </c>
      <c r="S6223" t="n">
        <v>18841.55</v>
      </c>
      <c r="T6223" t="n">
        <v>11</v>
      </c>
      <c r="U6223" t="n">
        <v>12</v>
      </c>
      <c r="V6223" t="n">
        <v>30</v>
      </c>
      <c r="W6223" t="n">
        <v>12</v>
      </c>
      <c r="X6223" t="n">
        <v>21.44197266148486</v>
      </c>
      <c r="Y6223" t="n">
        <v>1</v>
      </c>
      <c r="Z6223" t="n">
        <v>4</v>
      </c>
      <c r="AA6223" t="n">
        <v>0</v>
      </c>
      <c r="AB6223" t="n">
        <v>4</v>
      </c>
      <c r="AC6223" t="n">
        <v>4</v>
      </c>
      <c r="AD6223" t="n">
        <v>0</v>
      </c>
      <c r="AE6223" t="n">
        <v>165520</v>
      </c>
      <c r="AF6223" t="n">
        <v>11727</v>
      </c>
      <c r="AG6223" t="n">
        <v>63</v>
      </c>
      <c r="AH6223" t="inlineStr">
        <is>
          <t>PT. PARAMA GLOBAL INSPIRA - PPN (PDG)</t>
        </is>
      </c>
      <c r="AI6223" t="n">
        <v>164</v>
      </c>
      <c r="AJ6223" t="inlineStr">
        <is>
          <t>WARDAH</t>
        </is>
      </c>
      <c r="AK6223" t="n">
        <v>21</v>
      </c>
      <c r="AL6223" t="inlineStr">
        <is>
          <t>Miss Glam Damar</t>
        </is>
      </c>
      <c r="AM6223" t="n">
        <v>1</v>
      </c>
      <c r="AN6223" t="n">
        <v>500000</v>
      </c>
      <c r="AO6223" t="n">
        <v>0</v>
      </c>
      <c r="AP6223" t="inlineStr"/>
      <c r="AQ6223" t="inlineStr"/>
    </row>
    <row r="6224">
      <c r="A6224" t="inlineStr">
        <is>
          <t>WARDAH</t>
        </is>
      </c>
      <c r="B6224" s="2">
        <f>"8993137736336"</f>
        <v/>
      </c>
      <c r="C6224" t="inlineStr">
        <is>
          <t>WARDAH Liquid Foundation 06 Neutral Sand (42N) 25ml</t>
        </is>
      </c>
      <c r="D6224" t="inlineStr">
        <is>
          <t>Miss Glam Damar</t>
        </is>
      </c>
      <c r="E6224" t="n">
        <v>5</v>
      </c>
      <c r="F6224" t="n">
        <v>0.1547</v>
      </c>
      <c r="G6224" t="n">
        <v>0.91</v>
      </c>
      <c r="H6224" t="n">
        <v>2</v>
      </c>
      <c r="I6224" t="n">
        <v>6</v>
      </c>
      <c r="J6224" t="n">
        <v>3</v>
      </c>
      <c r="K6224" t="n">
        <v>0</v>
      </c>
      <c r="L6224" t="n">
        <v>41379</v>
      </c>
      <c r="M6224" t="n">
        <v>50500</v>
      </c>
      <c r="N6224" t="n">
        <v>91</v>
      </c>
      <c r="O6224" t="n">
        <v>0.91</v>
      </c>
      <c r="P6224" t="n">
        <v>1</v>
      </c>
      <c r="Q6224" t="n">
        <v>0.17</v>
      </c>
      <c r="R6224" t="n">
        <v>1</v>
      </c>
      <c r="S6224" t="n">
        <v>7812.35</v>
      </c>
      <c r="T6224" t="n">
        <v>6</v>
      </c>
      <c r="U6224" t="n">
        <v>7</v>
      </c>
      <c r="V6224" t="n">
        <v>30</v>
      </c>
      <c r="W6224" t="n">
        <v>5</v>
      </c>
      <c r="X6224" t="n">
        <v>32.32062055591467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11727</v>
      </c>
      <c r="AG6224" t="n">
        <v>63</v>
      </c>
      <c r="AH6224" t="inlineStr">
        <is>
          <t>PT. PARAMA GLOBAL INSPIRA - PPN (PDG)</t>
        </is>
      </c>
      <c r="AI6224" t="n">
        <v>164</v>
      </c>
      <c r="AJ6224" t="inlineStr">
        <is>
          <t>WARDAH</t>
        </is>
      </c>
      <c r="AK6224" t="n">
        <v>21</v>
      </c>
      <c r="AL6224" t="inlineStr">
        <is>
          <t>Miss Glam Damar</t>
        </is>
      </c>
      <c r="AM6224" t="n">
        <v>1</v>
      </c>
      <c r="AN6224" t="n">
        <v>500000</v>
      </c>
      <c r="AO6224" t="n">
        <v>0</v>
      </c>
      <c r="AP6224" t="inlineStr"/>
      <c r="AQ6224" t="inlineStr"/>
    </row>
    <row r="6225">
      <c r="A6225" t="inlineStr">
        <is>
          <t>WARDAH</t>
        </is>
      </c>
      <c r="B6225" s="2">
        <f>"8993137680400"</f>
        <v/>
      </c>
      <c r="C6225" t="inlineStr">
        <is>
          <t>WARDAH Luminous TWC Reff 02 Beige 12gr</t>
        </is>
      </c>
      <c r="D6225" t="inlineStr">
        <is>
          <t>Miss Glam Damar</t>
        </is>
      </c>
      <c r="E6225" t="n">
        <v>8</v>
      </c>
      <c r="F6225" t="n">
        <v>0.4823000000000001</v>
      </c>
      <c r="G6225" t="n">
        <v>2.73</v>
      </c>
      <c r="H6225" t="n">
        <v>2</v>
      </c>
      <c r="I6225" t="n">
        <v>6</v>
      </c>
      <c r="J6225" t="n">
        <v>3</v>
      </c>
      <c r="K6225" t="n">
        <v>0</v>
      </c>
      <c r="L6225" t="n">
        <v>27970</v>
      </c>
      <c r="M6225" t="n">
        <v>48000</v>
      </c>
      <c r="N6225" t="n">
        <v>91</v>
      </c>
      <c r="O6225" t="n">
        <v>0.91</v>
      </c>
      <c r="P6225" t="n">
        <v>1</v>
      </c>
      <c r="Q6225" t="n">
        <v>0.31</v>
      </c>
      <c r="R6225" t="n">
        <v>2</v>
      </c>
      <c r="S6225" t="n">
        <v>23150.4</v>
      </c>
      <c r="T6225" t="n">
        <v>16</v>
      </c>
      <c r="U6225" t="n">
        <v>17</v>
      </c>
      <c r="V6225" t="n">
        <v>30</v>
      </c>
      <c r="W6225" t="n">
        <v>15</v>
      </c>
      <c r="X6225" t="n">
        <v>16.58718639850715</v>
      </c>
      <c r="Y6225" t="n">
        <v>1</v>
      </c>
      <c r="Z6225" t="n">
        <v>7</v>
      </c>
      <c r="AA6225" t="n">
        <v>0</v>
      </c>
      <c r="AB6225" t="n">
        <v>7</v>
      </c>
      <c r="AC6225" t="n">
        <v>7</v>
      </c>
      <c r="AD6225" t="n">
        <v>0</v>
      </c>
      <c r="AE6225" t="n">
        <v>195790</v>
      </c>
      <c r="AF6225" t="n">
        <v>11727</v>
      </c>
      <c r="AG6225" t="n">
        <v>63</v>
      </c>
      <c r="AH6225" t="inlineStr">
        <is>
          <t>PT. PARAMA GLOBAL INSPIRA - PPN (PDG)</t>
        </is>
      </c>
      <c r="AI6225" t="n">
        <v>164</v>
      </c>
      <c r="AJ6225" t="inlineStr">
        <is>
          <t>WARDAH</t>
        </is>
      </c>
      <c r="AK6225" t="n">
        <v>21</v>
      </c>
      <c r="AL6225" t="inlineStr">
        <is>
          <t>Miss Glam Damar</t>
        </is>
      </c>
      <c r="AM6225" t="n">
        <v>1</v>
      </c>
      <c r="AN6225" t="n">
        <v>500000</v>
      </c>
      <c r="AO6225" t="n">
        <v>0</v>
      </c>
      <c r="AP6225" t="inlineStr"/>
      <c r="AQ6225" t="inlineStr"/>
    </row>
    <row r="6226">
      <c r="A6226" t="inlineStr">
        <is>
          <t>WARDAH</t>
        </is>
      </c>
      <c r="B6226" s="2">
        <f>"8993137005210"</f>
        <v/>
      </c>
      <c r="C6226" t="inlineStr">
        <is>
          <t>WARDAH Matte Lip Cream 25 Unbeetable 4gr</t>
        </is>
      </c>
      <c r="D6226" t="inlineStr">
        <is>
          <t>Miss Glam Damar</t>
        </is>
      </c>
      <c r="E6226" t="n">
        <v>8</v>
      </c>
      <c r="F6226" t="n">
        <v>0.3822</v>
      </c>
      <c r="G6226" t="n">
        <v>2.73</v>
      </c>
      <c r="H6226" t="n">
        <v>2</v>
      </c>
      <c r="I6226" t="n">
        <v>6</v>
      </c>
      <c r="J6226" t="n">
        <v>3</v>
      </c>
      <c r="K6226" t="n">
        <v>0</v>
      </c>
      <c r="L6226" t="n">
        <v>50959</v>
      </c>
      <c r="M6226" t="n">
        <v>62500</v>
      </c>
      <c r="N6226" t="n">
        <v>91</v>
      </c>
      <c r="O6226" t="n">
        <v>0.91</v>
      </c>
      <c r="P6226" t="n">
        <v>1</v>
      </c>
      <c r="Q6226" t="n">
        <v>0.24</v>
      </c>
      <c r="R6226" t="n">
        <v>2</v>
      </c>
      <c r="S6226" t="n">
        <v>23887.5</v>
      </c>
      <c r="T6226" t="n">
        <v>16</v>
      </c>
      <c r="U6226" t="n">
        <v>17</v>
      </c>
      <c r="V6226" t="n">
        <v>30</v>
      </c>
      <c r="W6226" t="n">
        <v>12</v>
      </c>
      <c r="X6226" t="n">
        <v>20.93144950287807</v>
      </c>
      <c r="Y6226" t="n">
        <v>1</v>
      </c>
      <c r="Z6226" t="n">
        <v>4</v>
      </c>
      <c r="AA6226" t="n">
        <v>0</v>
      </c>
      <c r="AB6226" t="n">
        <v>4</v>
      </c>
      <c r="AC6226" t="n">
        <v>4</v>
      </c>
      <c r="AD6226" t="n">
        <v>0</v>
      </c>
      <c r="AE6226" t="n">
        <v>203836</v>
      </c>
      <c r="AF6226" t="n">
        <v>11727</v>
      </c>
      <c r="AG6226" t="n">
        <v>63</v>
      </c>
      <c r="AH6226" t="inlineStr">
        <is>
          <t>PT. PARAMA GLOBAL INSPIRA - PPN (PDG)</t>
        </is>
      </c>
      <c r="AI6226" t="n">
        <v>164</v>
      </c>
      <c r="AJ6226" t="inlineStr">
        <is>
          <t>WARDAH</t>
        </is>
      </c>
      <c r="AK6226" t="n">
        <v>21</v>
      </c>
      <c r="AL6226" t="inlineStr">
        <is>
          <t>Miss Glam Damar</t>
        </is>
      </c>
      <c r="AM6226" t="n">
        <v>1</v>
      </c>
      <c r="AN6226" t="n">
        <v>500000</v>
      </c>
      <c r="AO6226" t="n">
        <v>0</v>
      </c>
      <c r="AP6226" t="inlineStr"/>
      <c r="AQ6226" t="inlineStr"/>
    </row>
    <row r="6227">
      <c r="A6227" t="inlineStr">
        <is>
          <t>WARDAH</t>
        </is>
      </c>
      <c r="B6227" s="2">
        <f>"8993137005227"</f>
        <v/>
      </c>
      <c r="C6227" t="inlineStr">
        <is>
          <t>WARDAH Matte Lip Cream 26 Pink A Boo 4gr</t>
        </is>
      </c>
      <c r="D6227" t="inlineStr">
        <is>
          <t>Miss Glam Damar</t>
        </is>
      </c>
      <c r="E6227" t="n">
        <v>16</v>
      </c>
      <c r="F6227" t="n">
        <v>0.5733</v>
      </c>
      <c r="G6227" t="n">
        <v>1.82</v>
      </c>
      <c r="H6227" t="n">
        <v>2</v>
      </c>
      <c r="I6227" t="n">
        <v>6</v>
      </c>
      <c r="J6227" t="n">
        <v>3</v>
      </c>
      <c r="K6227" t="n">
        <v>0</v>
      </c>
      <c r="L6227" t="n">
        <v>50960</v>
      </c>
      <c r="M6227" t="n">
        <v>62500</v>
      </c>
      <c r="N6227" t="n">
        <v>91</v>
      </c>
      <c r="O6227" t="n">
        <v>0.91</v>
      </c>
      <c r="P6227" t="n">
        <v>1</v>
      </c>
      <c r="Q6227" t="n">
        <v>0.59</v>
      </c>
      <c r="R6227" t="n">
        <v>4</v>
      </c>
      <c r="S6227" t="n">
        <v>35831.25</v>
      </c>
      <c r="T6227" t="n">
        <v>10</v>
      </c>
      <c r="U6227" t="n">
        <v>12</v>
      </c>
      <c r="V6227" t="n">
        <v>30</v>
      </c>
      <c r="W6227" t="n">
        <v>18</v>
      </c>
      <c r="X6227" t="n">
        <v>27.90859933717076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11727</v>
      </c>
      <c r="AG6227" t="n">
        <v>63</v>
      </c>
      <c r="AH6227" t="inlineStr">
        <is>
          <t>PT. PARAMA GLOBAL INSPIRA - PPN (PDG)</t>
        </is>
      </c>
      <c r="AI6227" t="n">
        <v>164</v>
      </c>
      <c r="AJ6227" t="inlineStr">
        <is>
          <t>WARDAH</t>
        </is>
      </c>
      <c r="AK6227" t="n">
        <v>21</v>
      </c>
      <c r="AL6227" t="inlineStr">
        <is>
          <t>Miss Glam Damar</t>
        </is>
      </c>
      <c r="AM6227" t="n">
        <v>1</v>
      </c>
      <c r="AN6227" t="n">
        <v>500000</v>
      </c>
      <c r="AO6227" t="n">
        <v>0</v>
      </c>
      <c r="AP6227" t="inlineStr"/>
      <c r="AQ6227" t="inlineStr"/>
    </row>
    <row r="6228">
      <c r="A6228" t="inlineStr">
        <is>
          <t>WARDAH</t>
        </is>
      </c>
      <c r="B6228" s="2">
        <f>"8993137005234"</f>
        <v/>
      </c>
      <c r="C6228" t="inlineStr">
        <is>
          <t>WARDAH Matte Lip Cream 27 Beehave 4gr</t>
        </is>
      </c>
      <c r="D6228" t="inlineStr">
        <is>
          <t>Miss Glam Damar</t>
        </is>
      </c>
      <c r="E6228" t="n">
        <v>41</v>
      </c>
      <c r="F6228" t="n">
        <v>1.5561</v>
      </c>
      <c r="G6228" t="n">
        <v>6.37</v>
      </c>
      <c r="H6228" t="n">
        <v>2</v>
      </c>
      <c r="I6228" t="n">
        <v>6</v>
      </c>
      <c r="J6228" t="n">
        <v>3</v>
      </c>
      <c r="K6228" t="n">
        <v>0</v>
      </c>
      <c r="L6228" t="n">
        <v>50958</v>
      </c>
      <c r="M6228" t="n">
        <v>62500</v>
      </c>
      <c r="N6228" t="n">
        <v>91</v>
      </c>
      <c r="O6228" t="n">
        <v>0.91</v>
      </c>
      <c r="P6228" t="n">
        <v>1</v>
      </c>
      <c r="Q6228" t="n">
        <v>1.76</v>
      </c>
      <c r="R6228" t="n">
        <v>8</v>
      </c>
      <c r="S6228" t="n">
        <v>97256.25</v>
      </c>
      <c r="T6228" t="n">
        <v>36</v>
      </c>
      <c r="U6228" t="n">
        <v>40</v>
      </c>
      <c r="V6228" t="n">
        <v>30</v>
      </c>
      <c r="W6228" t="n">
        <v>47</v>
      </c>
      <c r="X6228" t="n">
        <v>26.34792108476319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11727</v>
      </c>
      <c r="AG6228" t="n">
        <v>63</v>
      </c>
      <c r="AH6228" t="inlineStr">
        <is>
          <t>PT. PARAMA GLOBAL INSPIRA - PPN (PDG)</t>
        </is>
      </c>
      <c r="AI6228" t="n">
        <v>164</v>
      </c>
      <c r="AJ6228" t="inlineStr">
        <is>
          <t>WARDAH</t>
        </is>
      </c>
      <c r="AK6228" t="n">
        <v>21</v>
      </c>
      <c r="AL6228" t="inlineStr">
        <is>
          <t>Miss Glam Damar</t>
        </is>
      </c>
      <c r="AM6228" t="n">
        <v>1</v>
      </c>
      <c r="AN6228" t="n">
        <v>500000</v>
      </c>
      <c r="AO6228" t="n">
        <v>0</v>
      </c>
      <c r="AP6228" t="inlineStr"/>
      <c r="AQ6228" t="inlineStr"/>
    </row>
    <row r="6229">
      <c r="A6229" t="inlineStr">
        <is>
          <t>WARDAH</t>
        </is>
      </c>
      <c r="B6229" s="2">
        <f>"8993137005241"</f>
        <v/>
      </c>
      <c r="C6229" t="inlineStr">
        <is>
          <t>WARDAH Matte Lip Cream 28 Teddy Brown 4gr</t>
        </is>
      </c>
      <c r="D6229" t="inlineStr">
        <is>
          <t>Miss Glam Damar</t>
        </is>
      </c>
      <c r="E6229" t="n">
        <v>11</v>
      </c>
      <c r="F6229" t="n">
        <v>0.2639</v>
      </c>
      <c r="G6229" t="n">
        <v>1.82</v>
      </c>
      <c r="H6229" t="n">
        <v>2</v>
      </c>
      <c r="I6229" t="n">
        <v>6</v>
      </c>
      <c r="J6229" t="n">
        <v>3</v>
      </c>
      <c r="K6229" t="n">
        <v>0</v>
      </c>
      <c r="L6229" t="n">
        <v>50974</v>
      </c>
      <c r="M6229" t="n">
        <v>62500</v>
      </c>
      <c r="N6229" t="n">
        <v>91</v>
      </c>
      <c r="O6229" t="n">
        <v>0.91</v>
      </c>
      <c r="P6229" t="n">
        <v>1</v>
      </c>
      <c r="Q6229" t="n">
        <v>0.39</v>
      </c>
      <c r="R6229" t="n">
        <v>2</v>
      </c>
      <c r="S6229" t="n">
        <v>16493.75</v>
      </c>
      <c r="T6229" t="n">
        <v>11</v>
      </c>
      <c r="U6229" t="n">
        <v>12</v>
      </c>
      <c r="V6229" t="n">
        <v>30</v>
      </c>
      <c r="W6229" t="n">
        <v>8</v>
      </c>
      <c r="X6229" t="n">
        <v>41.68245547555893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11727</v>
      </c>
      <c r="AG6229" t="n">
        <v>63</v>
      </c>
      <c r="AH6229" t="inlineStr">
        <is>
          <t>PT. PARAMA GLOBAL INSPIRA - PPN (PDG)</t>
        </is>
      </c>
      <c r="AI6229" t="n">
        <v>164</v>
      </c>
      <c r="AJ6229" t="inlineStr">
        <is>
          <t>WARDAH</t>
        </is>
      </c>
      <c r="AK6229" t="n">
        <v>21</v>
      </c>
      <c r="AL6229" t="inlineStr">
        <is>
          <t>Miss Glam Damar</t>
        </is>
      </c>
      <c r="AM6229" t="n">
        <v>1</v>
      </c>
      <c r="AN6229" t="n">
        <v>500000</v>
      </c>
      <c r="AO6229" t="n">
        <v>0</v>
      </c>
      <c r="AP6229" t="inlineStr"/>
      <c r="AQ6229" t="inlineStr"/>
    </row>
    <row r="6230">
      <c r="A6230" t="inlineStr">
        <is>
          <t>WARDAH</t>
        </is>
      </c>
      <c r="B6230" s="2">
        <f>"8993137738002"</f>
        <v/>
      </c>
      <c r="C6230" t="inlineStr">
        <is>
          <t>WARDAH Micellar Water Acnederm 100ml</t>
        </is>
      </c>
      <c r="D6230" t="inlineStr">
        <is>
          <t>Miss Glam Damar</t>
        </is>
      </c>
      <c r="E6230" t="n">
        <v>38</v>
      </c>
      <c r="F6230" t="n">
        <v>1.3286</v>
      </c>
      <c r="G6230" t="n">
        <v>3.64</v>
      </c>
      <c r="H6230" t="n">
        <v>2</v>
      </c>
      <c r="I6230" t="n">
        <v>6</v>
      </c>
      <c r="J6230" t="n">
        <v>3</v>
      </c>
      <c r="K6230" t="n">
        <v>0</v>
      </c>
      <c r="L6230" t="n">
        <v>24139</v>
      </c>
      <c r="M6230" t="n">
        <v>30000</v>
      </c>
      <c r="N6230" t="n">
        <v>91</v>
      </c>
      <c r="O6230" t="n">
        <v>0.91</v>
      </c>
      <c r="P6230" t="n">
        <v>1</v>
      </c>
      <c r="Q6230" t="n">
        <v>1.51</v>
      </c>
      <c r="R6230" t="n">
        <v>5</v>
      </c>
      <c r="S6230" t="n">
        <v>39858</v>
      </c>
      <c r="T6230" t="n">
        <v>20</v>
      </c>
      <c r="U6230" t="n">
        <v>23</v>
      </c>
      <c r="V6230" t="n">
        <v>30</v>
      </c>
      <c r="W6230" t="n">
        <v>40</v>
      </c>
      <c r="X6230" t="n">
        <v>28.60153545085052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11727</v>
      </c>
      <c r="AG6230" t="n">
        <v>63</v>
      </c>
      <c r="AH6230" t="inlineStr">
        <is>
          <t>PT. PARAMA GLOBAL INSPIRA - PPN (PDG)</t>
        </is>
      </c>
      <c r="AI6230" t="n">
        <v>164</v>
      </c>
      <c r="AJ6230" t="inlineStr">
        <is>
          <t>WARDAH</t>
        </is>
      </c>
      <c r="AK6230" t="n">
        <v>21</v>
      </c>
      <c r="AL6230" t="inlineStr">
        <is>
          <t>Miss Glam Damar</t>
        </is>
      </c>
      <c r="AM6230" t="n">
        <v>1</v>
      </c>
      <c r="AN6230" t="n">
        <v>500000</v>
      </c>
      <c r="AO6230" t="n">
        <v>0</v>
      </c>
      <c r="AP6230" t="inlineStr"/>
      <c r="AQ6230" t="inlineStr"/>
    </row>
    <row r="6231">
      <c r="A6231" t="inlineStr">
        <is>
          <t>WARDAH</t>
        </is>
      </c>
      <c r="B6231" s="2">
        <f>"20300386305"</f>
        <v/>
      </c>
      <c r="C6231" t="inlineStr">
        <is>
          <t>WARDAH Moist Dew Tint 01 Rosemilk Parfait 3gr</t>
        </is>
      </c>
      <c r="D6231" t="inlineStr">
        <is>
          <t>Miss Glam Damar</t>
        </is>
      </c>
      <c r="E6231" t="n">
        <v>18</v>
      </c>
      <c r="F6231" t="n">
        <v>0.8644999999999999</v>
      </c>
      <c r="G6231" t="n">
        <v>5.46</v>
      </c>
      <c r="H6231" t="n">
        <v>2</v>
      </c>
      <c r="I6231" t="n">
        <v>6</v>
      </c>
      <c r="J6231" t="n">
        <v>3</v>
      </c>
      <c r="K6231" t="n">
        <v>0</v>
      </c>
      <c r="L6231" t="n">
        <v>45586</v>
      </c>
      <c r="M6231" t="n">
        <v>57500</v>
      </c>
      <c r="N6231" t="n">
        <v>91</v>
      </c>
      <c r="O6231" t="n">
        <v>0.91</v>
      </c>
      <c r="P6231" t="n">
        <v>1</v>
      </c>
      <c r="Q6231" t="n">
        <v>0.8</v>
      </c>
      <c r="R6231" t="n">
        <v>4</v>
      </c>
      <c r="S6231" t="n">
        <v>49708.74999999999</v>
      </c>
      <c r="T6231" t="n">
        <v>32</v>
      </c>
      <c r="U6231" t="n">
        <v>34</v>
      </c>
      <c r="V6231" t="n">
        <v>30</v>
      </c>
      <c r="W6231" t="n">
        <v>26</v>
      </c>
      <c r="X6231" t="n">
        <v>20.82128397917872</v>
      </c>
      <c r="Y6231" t="n">
        <v>1</v>
      </c>
      <c r="Z6231" t="n">
        <v>8</v>
      </c>
      <c r="AA6231" t="n">
        <v>0</v>
      </c>
      <c r="AB6231" t="n">
        <v>8</v>
      </c>
      <c r="AC6231" t="n">
        <v>8</v>
      </c>
      <c r="AD6231" t="n">
        <v>0</v>
      </c>
      <c r="AE6231" t="n">
        <v>364688</v>
      </c>
      <c r="AF6231" t="n">
        <v>11727</v>
      </c>
      <c r="AG6231" t="n">
        <v>63</v>
      </c>
      <c r="AH6231" t="inlineStr">
        <is>
          <t>PT. PARAMA GLOBAL INSPIRA - PPN (PDG)</t>
        </is>
      </c>
      <c r="AI6231" t="n">
        <v>164</v>
      </c>
      <c r="AJ6231" t="inlineStr">
        <is>
          <t>WARDAH</t>
        </is>
      </c>
      <c r="AK6231" t="n">
        <v>21</v>
      </c>
      <c r="AL6231" t="inlineStr">
        <is>
          <t>Miss Glam Damar</t>
        </is>
      </c>
      <c r="AM6231" t="n">
        <v>1</v>
      </c>
      <c r="AN6231" t="n">
        <v>500000</v>
      </c>
      <c r="AO6231" t="n">
        <v>0</v>
      </c>
      <c r="AP6231" t="inlineStr"/>
      <c r="AQ6231" t="inlineStr"/>
    </row>
    <row r="6232">
      <c r="A6232" t="inlineStr">
        <is>
          <t>WARDAH</t>
        </is>
      </c>
      <c r="B6232" s="2">
        <f>"20300386415"</f>
        <v/>
      </c>
      <c r="C6232" t="inlineStr">
        <is>
          <t>WARDAH Moist Dew Tint 02 Pink Lemonade 3gr</t>
        </is>
      </c>
      <c r="D6232" t="inlineStr">
        <is>
          <t>Miss Glam Damar</t>
        </is>
      </c>
      <c r="E6232" t="n">
        <v>8</v>
      </c>
      <c r="F6232" t="n">
        <v>0.3094</v>
      </c>
      <c r="G6232" t="n">
        <v>2.73</v>
      </c>
      <c r="H6232" t="n">
        <v>2</v>
      </c>
      <c r="I6232" t="n">
        <v>6</v>
      </c>
      <c r="J6232" t="n">
        <v>3</v>
      </c>
      <c r="K6232" t="n">
        <v>0</v>
      </c>
      <c r="L6232" t="n">
        <v>46744</v>
      </c>
      <c r="M6232" t="n">
        <v>57500</v>
      </c>
      <c r="N6232" t="n">
        <v>91</v>
      </c>
      <c r="O6232" t="n">
        <v>0.91</v>
      </c>
      <c r="P6232" t="n">
        <v>1</v>
      </c>
      <c r="Q6232" t="n">
        <v>0.32</v>
      </c>
      <c r="R6232" t="n">
        <v>3</v>
      </c>
      <c r="S6232" t="n">
        <v>17790.5</v>
      </c>
      <c r="T6232" t="n">
        <v>16</v>
      </c>
      <c r="U6232" t="n">
        <v>17</v>
      </c>
      <c r="V6232" t="n">
        <v>30</v>
      </c>
      <c r="W6232" t="n">
        <v>10</v>
      </c>
      <c r="X6232" t="n">
        <v>25.85649644473174</v>
      </c>
      <c r="Y6232" t="n">
        <v>1</v>
      </c>
      <c r="Z6232" t="n">
        <v>2</v>
      </c>
      <c r="AA6232" t="n">
        <v>0</v>
      </c>
      <c r="AB6232" t="n">
        <v>2</v>
      </c>
      <c r="AC6232" t="n">
        <v>3</v>
      </c>
      <c r="AD6232" t="n">
        <v>0</v>
      </c>
      <c r="AE6232" t="n">
        <v>140232</v>
      </c>
      <c r="AF6232" t="n">
        <v>11727</v>
      </c>
      <c r="AG6232" t="n">
        <v>63</v>
      </c>
      <c r="AH6232" t="inlineStr">
        <is>
          <t>PT. PARAMA GLOBAL INSPIRA - PPN (PDG)</t>
        </is>
      </c>
      <c r="AI6232" t="n">
        <v>164</v>
      </c>
      <c r="AJ6232" t="inlineStr">
        <is>
          <t>WARDAH</t>
        </is>
      </c>
      <c r="AK6232" t="n">
        <v>21</v>
      </c>
      <c r="AL6232" t="inlineStr">
        <is>
          <t>Miss Glam Damar</t>
        </is>
      </c>
      <c r="AM6232" t="n">
        <v>1</v>
      </c>
      <c r="AN6232" t="n">
        <v>500000</v>
      </c>
      <c r="AO6232" t="n">
        <v>0</v>
      </c>
      <c r="AP6232" t="inlineStr"/>
      <c r="AQ6232" t="inlineStr"/>
    </row>
    <row r="6233">
      <c r="A6233" t="inlineStr">
        <is>
          <t>WARDAH</t>
        </is>
      </c>
      <c r="B6233" s="2">
        <f>"20300386551"</f>
        <v/>
      </c>
      <c r="C6233" t="inlineStr">
        <is>
          <t>WARDAH Moist Dew Tint 03 Peach Crème 3gr</t>
        </is>
      </c>
      <c r="D6233" t="inlineStr">
        <is>
          <t>Miss Glam Damar</t>
        </is>
      </c>
      <c r="E6233" t="n">
        <v>5</v>
      </c>
      <c r="F6233" t="n">
        <v>0.04550000000000001</v>
      </c>
      <c r="G6233" t="n">
        <v>0.91</v>
      </c>
      <c r="H6233" t="n">
        <v>2</v>
      </c>
      <c r="I6233" t="n">
        <v>6</v>
      </c>
      <c r="J6233" t="n">
        <v>3</v>
      </c>
      <c r="K6233" t="n">
        <v>0</v>
      </c>
      <c r="L6233" t="n">
        <v>46744</v>
      </c>
      <c r="M6233" t="n">
        <v>57500</v>
      </c>
      <c r="N6233" t="n">
        <v>91</v>
      </c>
      <c r="O6233" t="n">
        <v>0.91</v>
      </c>
      <c r="P6233" t="n">
        <v>1</v>
      </c>
      <c r="Q6233" t="n">
        <v>0.07000000000000001</v>
      </c>
      <c r="R6233" t="n">
        <v>1</v>
      </c>
      <c r="S6233" t="n">
        <v>2616.25</v>
      </c>
      <c r="T6233" t="n">
        <v>6</v>
      </c>
      <c r="U6233" t="n">
        <v>7</v>
      </c>
      <c r="V6233" t="n">
        <v>30</v>
      </c>
      <c r="W6233" t="n">
        <v>2</v>
      </c>
      <c r="X6233" t="n">
        <v>109.8901098901099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11727</v>
      </c>
      <c r="AG6233" t="n">
        <v>63</v>
      </c>
      <c r="AH6233" t="inlineStr">
        <is>
          <t>PT. PARAMA GLOBAL INSPIRA - PPN (PDG)</t>
        </is>
      </c>
      <c r="AI6233" t="n">
        <v>164</v>
      </c>
      <c r="AJ6233" t="inlineStr">
        <is>
          <t>WARDAH</t>
        </is>
      </c>
      <c r="AK6233" t="n">
        <v>21</v>
      </c>
      <c r="AL6233" t="inlineStr">
        <is>
          <t>Miss Glam Damar</t>
        </is>
      </c>
      <c r="AM6233" t="n">
        <v>1</v>
      </c>
      <c r="AN6233" t="n">
        <v>500000</v>
      </c>
      <c r="AO6233" t="n">
        <v>0</v>
      </c>
      <c r="AP6233" t="inlineStr"/>
      <c r="AQ6233" t="inlineStr"/>
    </row>
    <row r="6234">
      <c r="A6234" t="inlineStr">
        <is>
          <t>WARDAH</t>
        </is>
      </c>
      <c r="B6234" s="2">
        <f>"20300386657"</f>
        <v/>
      </c>
      <c r="C6234" t="inlineStr">
        <is>
          <t>WARDAH Moist Dew Tint 04 Caramel Brûlée 3gr</t>
        </is>
      </c>
      <c r="D6234" t="inlineStr">
        <is>
          <t>Miss Glam Damar</t>
        </is>
      </c>
      <c r="E6234" t="n">
        <v>3</v>
      </c>
      <c r="F6234" t="n">
        <v>0.09100000000000001</v>
      </c>
      <c r="G6234" t="n">
        <v>0.91</v>
      </c>
      <c r="H6234" t="n">
        <v>2</v>
      </c>
      <c r="I6234" t="n">
        <v>6</v>
      </c>
      <c r="J6234" t="n">
        <v>3</v>
      </c>
      <c r="K6234" t="n">
        <v>0</v>
      </c>
      <c r="L6234" t="n">
        <v>46743</v>
      </c>
      <c r="M6234" t="n">
        <v>57500</v>
      </c>
      <c r="N6234" t="n">
        <v>91</v>
      </c>
      <c r="O6234" t="n">
        <v>0.91</v>
      </c>
      <c r="P6234" t="n">
        <v>1</v>
      </c>
      <c r="Q6234" t="n">
        <v>0.05</v>
      </c>
      <c r="R6234" t="n">
        <v>1</v>
      </c>
      <c r="S6234" t="n">
        <v>5232.500000000001</v>
      </c>
      <c r="T6234" t="n">
        <v>6</v>
      </c>
      <c r="U6234" t="n">
        <v>7</v>
      </c>
      <c r="V6234" t="n">
        <v>30</v>
      </c>
      <c r="W6234" t="n">
        <v>3</v>
      </c>
      <c r="X6234" t="n">
        <v>32.96703296703296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11727</v>
      </c>
      <c r="AG6234" t="n">
        <v>63</v>
      </c>
      <c r="AH6234" t="inlineStr">
        <is>
          <t>PT. PARAMA GLOBAL INSPIRA - PPN (PDG)</t>
        </is>
      </c>
      <c r="AI6234" t="n">
        <v>164</v>
      </c>
      <c r="AJ6234" t="inlineStr">
        <is>
          <t>WARDAH</t>
        </is>
      </c>
      <c r="AK6234" t="n">
        <v>21</v>
      </c>
      <c r="AL6234" t="inlineStr">
        <is>
          <t>Miss Glam Damar</t>
        </is>
      </c>
      <c r="AM6234" t="n">
        <v>1</v>
      </c>
      <c r="AN6234" t="n">
        <v>500000</v>
      </c>
      <c r="AO6234" t="n">
        <v>0</v>
      </c>
      <c r="AP6234" t="inlineStr"/>
      <c r="AQ6234" t="inlineStr"/>
    </row>
    <row r="6235">
      <c r="A6235" t="inlineStr">
        <is>
          <t>WARDAH</t>
        </is>
      </c>
      <c r="B6235" s="2">
        <f>"20300386742"</f>
        <v/>
      </c>
      <c r="C6235" t="inlineStr">
        <is>
          <t>WARDAH Moist Dew Tint 05 Cocoa Melt 3gr</t>
        </is>
      </c>
      <c r="D6235" t="inlineStr">
        <is>
          <t>Miss Glam Damar</t>
        </is>
      </c>
      <c r="E6235" t="n">
        <v>11</v>
      </c>
      <c r="F6235" t="n">
        <v>0.3822</v>
      </c>
      <c r="G6235" t="n">
        <v>1.82</v>
      </c>
      <c r="H6235" t="n">
        <v>2</v>
      </c>
      <c r="I6235" t="n">
        <v>6</v>
      </c>
      <c r="J6235" t="n">
        <v>3</v>
      </c>
      <c r="K6235" t="n">
        <v>0</v>
      </c>
      <c r="L6235" t="n">
        <v>46743</v>
      </c>
      <c r="M6235" t="n">
        <v>57000</v>
      </c>
      <c r="N6235" t="n">
        <v>91</v>
      </c>
      <c r="O6235" t="n">
        <v>0.91</v>
      </c>
      <c r="P6235" t="n">
        <v>1</v>
      </c>
      <c r="Q6235" t="n">
        <v>0.34</v>
      </c>
      <c r="R6235" t="n">
        <v>2</v>
      </c>
      <c r="S6235" t="n">
        <v>21785.4</v>
      </c>
      <c r="T6235" t="n">
        <v>11</v>
      </c>
      <c r="U6235" t="n">
        <v>12</v>
      </c>
      <c r="V6235" t="n">
        <v>30</v>
      </c>
      <c r="W6235" t="n">
        <v>12</v>
      </c>
      <c r="X6235" t="n">
        <v>28.78074306645735</v>
      </c>
      <c r="Y6235" t="n">
        <v>1</v>
      </c>
      <c r="Z6235" t="n">
        <v>1</v>
      </c>
      <c r="AA6235" t="n">
        <v>0</v>
      </c>
      <c r="AB6235" t="n">
        <v>1</v>
      </c>
      <c r="AC6235" t="n">
        <v>3</v>
      </c>
      <c r="AD6235" t="n">
        <v>0</v>
      </c>
      <c r="AE6235" t="n">
        <v>140229</v>
      </c>
      <c r="AF6235" t="n">
        <v>11727</v>
      </c>
      <c r="AG6235" t="n">
        <v>63</v>
      </c>
      <c r="AH6235" t="inlineStr">
        <is>
          <t>PT. PARAMA GLOBAL INSPIRA - PPN (PDG)</t>
        </is>
      </c>
      <c r="AI6235" t="n">
        <v>164</v>
      </c>
      <c r="AJ6235" t="inlineStr">
        <is>
          <t>WARDAH</t>
        </is>
      </c>
      <c r="AK6235" t="n">
        <v>21</v>
      </c>
      <c r="AL6235" t="inlineStr">
        <is>
          <t>Miss Glam Damar</t>
        </is>
      </c>
      <c r="AM6235" t="n">
        <v>1</v>
      </c>
      <c r="AN6235" t="n">
        <v>500000</v>
      </c>
      <c r="AO6235" t="n">
        <v>0</v>
      </c>
      <c r="AP6235" t="inlineStr"/>
      <c r="AQ6235" t="inlineStr"/>
    </row>
    <row r="6236">
      <c r="A6236" t="inlineStr">
        <is>
          <t>WARDAH</t>
        </is>
      </c>
      <c r="B6236" s="2">
        <f>"20300386836"</f>
        <v/>
      </c>
      <c r="C6236" t="inlineStr">
        <is>
          <t>WARDAH Moist Dew Tint 06 Cherry Gelato 3gr</t>
        </is>
      </c>
      <c r="D6236" t="inlineStr">
        <is>
          <t>Miss Glam Damar</t>
        </is>
      </c>
      <c r="E6236" t="n">
        <v>13</v>
      </c>
      <c r="F6236" t="n">
        <v>0.4277</v>
      </c>
      <c r="G6236" t="n">
        <v>2.73</v>
      </c>
      <c r="H6236" t="n">
        <v>2</v>
      </c>
      <c r="I6236" t="n">
        <v>6</v>
      </c>
      <c r="J6236" t="n">
        <v>3</v>
      </c>
      <c r="K6236" t="n">
        <v>0</v>
      </c>
      <c r="L6236" t="n">
        <v>46744</v>
      </c>
      <c r="M6236" t="n">
        <v>57000</v>
      </c>
      <c r="N6236" t="n">
        <v>91</v>
      </c>
      <c r="O6236" t="n">
        <v>0.91</v>
      </c>
      <c r="P6236" t="n">
        <v>1</v>
      </c>
      <c r="Q6236" t="n">
        <v>0.46</v>
      </c>
      <c r="R6236" t="n">
        <v>2</v>
      </c>
      <c r="S6236" t="n">
        <v>24378.9</v>
      </c>
      <c r="T6236" t="n">
        <v>16</v>
      </c>
      <c r="U6236" t="n">
        <v>17</v>
      </c>
      <c r="V6236" t="n">
        <v>30</v>
      </c>
      <c r="W6236" t="n">
        <v>13</v>
      </c>
      <c r="X6236" t="n">
        <v>30.3951367781155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11727</v>
      </c>
      <c r="AG6236" t="n">
        <v>63</v>
      </c>
      <c r="AH6236" t="inlineStr">
        <is>
          <t>PT. PARAMA GLOBAL INSPIRA - PPN (PDG)</t>
        </is>
      </c>
      <c r="AI6236" t="n">
        <v>164</v>
      </c>
      <c r="AJ6236" t="inlineStr">
        <is>
          <t>WARDAH</t>
        </is>
      </c>
      <c r="AK6236" t="n">
        <v>21</v>
      </c>
      <c r="AL6236" t="inlineStr">
        <is>
          <t>Miss Glam Damar</t>
        </is>
      </c>
      <c r="AM6236" t="n">
        <v>1</v>
      </c>
      <c r="AN6236" t="n">
        <v>500000</v>
      </c>
      <c r="AO6236" t="n">
        <v>0</v>
      </c>
      <c r="AP6236" t="inlineStr"/>
      <c r="AQ6236" t="inlineStr"/>
    </row>
    <row r="6237">
      <c r="A6237" t="inlineStr">
        <is>
          <t>WARDAH</t>
        </is>
      </c>
      <c r="B6237" s="2">
        <f>"20300386921"</f>
        <v/>
      </c>
      <c r="C6237" t="inlineStr">
        <is>
          <t>WARDAH Moist Dew Tint 07 Plum Sorbet 3gr</t>
        </is>
      </c>
      <c r="D6237" t="inlineStr">
        <is>
          <t>Miss Glam Damar</t>
        </is>
      </c>
      <c r="E6237" t="n">
        <v>8</v>
      </c>
      <c r="F6237" t="n">
        <v>0.2821</v>
      </c>
      <c r="G6237" t="n">
        <v>1.82</v>
      </c>
      <c r="H6237" t="n">
        <v>2</v>
      </c>
      <c r="I6237" t="n">
        <v>6</v>
      </c>
      <c r="J6237" t="n">
        <v>3</v>
      </c>
      <c r="K6237" t="n">
        <v>0</v>
      </c>
      <c r="L6237" t="n">
        <v>46744</v>
      </c>
      <c r="M6237" t="n">
        <v>57500</v>
      </c>
      <c r="N6237" t="n">
        <v>91</v>
      </c>
      <c r="O6237" t="n">
        <v>0.91</v>
      </c>
      <c r="P6237" t="n">
        <v>1</v>
      </c>
      <c r="Q6237" t="n">
        <v>0.31</v>
      </c>
      <c r="R6237" t="n">
        <v>2</v>
      </c>
      <c r="S6237" t="n">
        <v>16220.75</v>
      </c>
      <c r="T6237" t="n">
        <v>11</v>
      </c>
      <c r="U6237" t="n">
        <v>12</v>
      </c>
      <c r="V6237" t="n">
        <v>30</v>
      </c>
      <c r="W6237" t="n">
        <v>9</v>
      </c>
      <c r="X6237" t="n">
        <v>28.35873803615739</v>
      </c>
      <c r="Y6237" t="n">
        <v>1</v>
      </c>
      <c r="Z6237" t="n">
        <v>1</v>
      </c>
      <c r="AA6237" t="n">
        <v>0</v>
      </c>
      <c r="AB6237" t="n">
        <v>1</v>
      </c>
      <c r="AC6237" t="n">
        <v>3</v>
      </c>
      <c r="AD6237" t="n">
        <v>0</v>
      </c>
      <c r="AE6237" t="n">
        <v>140232</v>
      </c>
      <c r="AF6237" t="n">
        <v>11727</v>
      </c>
      <c r="AG6237" t="n">
        <v>63</v>
      </c>
      <c r="AH6237" t="inlineStr">
        <is>
          <t>PT. PARAMA GLOBAL INSPIRA - PPN (PDG)</t>
        </is>
      </c>
      <c r="AI6237" t="n">
        <v>164</v>
      </c>
      <c r="AJ6237" t="inlineStr">
        <is>
          <t>WARDAH</t>
        </is>
      </c>
      <c r="AK6237" t="n">
        <v>21</v>
      </c>
      <c r="AL6237" t="inlineStr">
        <is>
          <t>Miss Glam Damar</t>
        </is>
      </c>
      <c r="AM6237" t="n">
        <v>1</v>
      </c>
      <c r="AN6237" t="n">
        <v>500000</v>
      </c>
      <c r="AO6237" t="n">
        <v>0</v>
      </c>
      <c r="AP6237" t="inlineStr"/>
      <c r="AQ6237" t="inlineStr"/>
    </row>
    <row r="6238">
      <c r="A6238" t="inlineStr">
        <is>
          <t>WARDAH</t>
        </is>
      </c>
      <c r="B6238" s="2">
        <f>"20300387013"</f>
        <v/>
      </c>
      <c r="C6238" t="inlineStr">
        <is>
          <t>WARDAH Moist Dew Tint 08 Mulberry Shake 3gr</t>
        </is>
      </c>
      <c r="D6238" t="inlineStr">
        <is>
          <t>Miss Glam Damar</t>
        </is>
      </c>
      <c r="E6238" t="n">
        <v>5</v>
      </c>
      <c r="F6238" t="n">
        <v>0.2457</v>
      </c>
      <c r="G6238" t="n">
        <v>0.91</v>
      </c>
      <c r="H6238" t="n">
        <v>2</v>
      </c>
      <c r="I6238" t="n">
        <v>6</v>
      </c>
      <c r="J6238" t="n">
        <v>3</v>
      </c>
      <c r="K6238" t="n">
        <v>0</v>
      </c>
      <c r="L6238" t="n">
        <v>46202</v>
      </c>
      <c r="M6238" t="n">
        <v>56500</v>
      </c>
      <c r="N6238" t="n">
        <v>91</v>
      </c>
      <c r="O6238" t="n">
        <v>0.91</v>
      </c>
      <c r="P6238" t="n">
        <v>1</v>
      </c>
      <c r="Q6238" t="n">
        <v>0.2</v>
      </c>
      <c r="R6238" t="n">
        <v>2</v>
      </c>
      <c r="S6238" t="n">
        <v>13882.05</v>
      </c>
      <c r="T6238" t="n">
        <v>5</v>
      </c>
      <c r="U6238" t="n">
        <v>6</v>
      </c>
      <c r="V6238" t="n">
        <v>30</v>
      </c>
      <c r="W6238" t="n">
        <v>8</v>
      </c>
      <c r="X6238" t="n">
        <v>20.35002035002035</v>
      </c>
      <c r="Y6238" t="n">
        <v>1</v>
      </c>
      <c r="Z6238" t="n">
        <v>3</v>
      </c>
      <c r="AA6238" t="n">
        <v>0</v>
      </c>
      <c r="AB6238" t="n">
        <v>3</v>
      </c>
      <c r="AC6238" t="n">
        <v>3</v>
      </c>
      <c r="AD6238" t="n">
        <v>0</v>
      </c>
      <c r="AE6238" t="n">
        <v>138606</v>
      </c>
      <c r="AF6238" t="n">
        <v>11727</v>
      </c>
      <c r="AG6238" t="n">
        <v>63</v>
      </c>
      <c r="AH6238" t="inlineStr">
        <is>
          <t>PT. PARAMA GLOBAL INSPIRA - PPN (PDG)</t>
        </is>
      </c>
      <c r="AI6238" t="n">
        <v>164</v>
      </c>
      <c r="AJ6238" t="inlineStr">
        <is>
          <t>WARDAH</t>
        </is>
      </c>
      <c r="AK6238" t="n">
        <v>21</v>
      </c>
      <c r="AL6238" t="inlineStr">
        <is>
          <t>Miss Glam Damar</t>
        </is>
      </c>
      <c r="AM6238" t="n">
        <v>1</v>
      </c>
      <c r="AN6238" t="n">
        <v>500000</v>
      </c>
      <c r="AO6238" t="n">
        <v>0</v>
      </c>
      <c r="AP6238" t="inlineStr"/>
      <c r="AQ6238" t="inlineStr"/>
    </row>
    <row r="6239">
      <c r="A6239" t="inlineStr">
        <is>
          <t>WARDAH</t>
        </is>
      </c>
      <c r="B6239" s="2">
        <f>"8993137713160"</f>
        <v/>
      </c>
      <c r="C6239" t="inlineStr">
        <is>
          <t>WARDAH Nature Daily Aloe Hydramild Essence Toner 100ml</t>
        </is>
      </c>
      <c r="D6239" t="inlineStr">
        <is>
          <t>Miss Glam Damar</t>
        </is>
      </c>
      <c r="E6239" t="n">
        <v>12</v>
      </c>
      <c r="F6239" t="n">
        <v>0.6188</v>
      </c>
      <c r="G6239" t="n">
        <v>2.73</v>
      </c>
      <c r="H6239" t="n">
        <v>2</v>
      </c>
      <c r="I6239" t="n">
        <v>6</v>
      </c>
      <c r="J6239" t="n">
        <v>3</v>
      </c>
      <c r="K6239" t="n">
        <v>0</v>
      </c>
      <c r="L6239" t="n">
        <v>14559</v>
      </c>
      <c r="M6239" t="n">
        <v>18000</v>
      </c>
      <c r="N6239" t="n">
        <v>91</v>
      </c>
      <c r="O6239" t="n">
        <v>0.91</v>
      </c>
      <c r="P6239" t="n">
        <v>1</v>
      </c>
      <c r="Q6239" t="n">
        <v>0.39</v>
      </c>
      <c r="R6239" t="n">
        <v>4</v>
      </c>
      <c r="S6239" t="n">
        <v>11138.4</v>
      </c>
      <c r="T6239" t="n">
        <v>16</v>
      </c>
      <c r="U6239" t="n">
        <v>18</v>
      </c>
      <c r="V6239" t="n">
        <v>30</v>
      </c>
      <c r="W6239" t="n">
        <v>19</v>
      </c>
      <c r="X6239" t="n">
        <v>19.3923723335488</v>
      </c>
      <c r="Y6239" t="n">
        <v>1</v>
      </c>
      <c r="Z6239" t="n">
        <v>7</v>
      </c>
      <c r="AA6239" t="n">
        <v>0</v>
      </c>
      <c r="AB6239" t="n">
        <v>7</v>
      </c>
      <c r="AC6239" t="n">
        <v>7</v>
      </c>
      <c r="AD6239" t="n">
        <v>0</v>
      </c>
      <c r="AE6239" t="n">
        <v>101913</v>
      </c>
      <c r="AF6239" t="n">
        <v>11727</v>
      </c>
      <c r="AG6239" t="n">
        <v>63</v>
      </c>
      <c r="AH6239" t="inlineStr">
        <is>
          <t>PT. PARAMA GLOBAL INSPIRA - PPN (PDG)</t>
        </is>
      </c>
      <c r="AI6239" t="n">
        <v>164</v>
      </c>
      <c r="AJ6239" t="inlineStr">
        <is>
          <t>WARDAH</t>
        </is>
      </c>
      <c r="AK6239" t="n">
        <v>21</v>
      </c>
      <c r="AL6239" t="inlineStr">
        <is>
          <t>Miss Glam Damar</t>
        </is>
      </c>
      <c r="AM6239" t="n">
        <v>1</v>
      </c>
      <c r="AN6239" t="n">
        <v>500000</v>
      </c>
      <c r="AO6239" t="n">
        <v>0</v>
      </c>
      <c r="AP6239" t="inlineStr"/>
      <c r="AQ6239" t="inlineStr"/>
    </row>
    <row r="6240">
      <c r="A6240" t="inlineStr">
        <is>
          <t>WARDAH</t>
        </is>
      </c>
      <c r="B6240" s="2">
        <f>"8993137695169"</f>
        <v/>
      </c>
      <c r="C6240" t="inlineStr">
        <is>
          <t>WARDAH Nature Daily Aloe Hydramild Facial Wash 60ml</t>
        </is>
      </c>
      <c r="D6240" t="inlineStr">
        <is>
          <t>Miss Glam Damar</t>
        </is>
      </c>
      <c r="E6240" t="n">
        <v>0</v>
      </c>
      <c r="F6240" t="n">
        <v>0.1</v>
      </c>
      <c r="G6240" t="n">
        <v>1</v>
      </c>
      <c r="H6240" t="n">
        <v>2</v>
      </c>
      <c r="I6240" t="n">
        <v>6</v>
      </c>
      <c r="J6240" t="n">
        <v>3</v>
      </c>
      <c r="K6240" t="n">
        <v>0</v>
      </c>
      <c r="L6240" t="n">
        <v>16475</v>
      </c>
      <c r="M6240" t="n">
        <v>20500</v>
      </c>
      <c r="N6240" t="n">
        <v>91</v>
      </c>
      <c r="O6240" t="n">
        <v>0.91</v>
      </c>
      <c r="P6240" t="n">
        <v>0</v>
      </c>
      <c r="Q6240" t="n">
        <v>0.1</v>
      </c>
      <c r="R6240" t="n">
        <v>1</v>
      </c>
      <c r="S6240" t="n">
        <v>2050</v>
      </c>
      <c r="T6240" t="n">
        <v>6</v>
      </c>
      <c r="U6240" t="n">
        <v>7</v>
      </c>
      <c r="V6240" t="n">
        <v>30</v>
      </c>
      <c r="W6240" t="n">
        <v>3</v>
      </c>
      <c r="X6240" t="n">
        <v>0</v>
      </c>
      <c r="Y6240" t="n">
        <v>1</v>
      </c>
      <c r="Z6240" t="n">
        <v>3</v>
      </c>
      <c r="AA6240" t="n">
        <v>1</v>
      </c>
      <c r="AB6240" t="n">
        <v>2</v>
      </c>
      <c r="AC6240" t="n">
        <v>3</v>
      </c>
      <c r="AD6240" t="n">
        <v>16475</v>
      </c>
      <c r="AE6240" t="n">
        <v>49425</v>
      </c>
      <c r="AF6240" t="n">
        <v>11727</v>
      </c>
      <c r="AG6240" t="n">
        <v>63</v>
      </c>
      <c r="AH6240" t="inlineStr">
        <is>
          <t>PT. PARAMA GLOBAL INSPIRA - PPN (PDG)</t>
        </is>
      </c>
      <c r="AI6240" t="n">
        <v>164</v>
      </c>
      <c r="AJ6240" t="inlineStr">
        <is>
          <t>WARDAH</t>
        </is>
      </c>
      <c r="AK6240" t="n">
        <v>21</v>
      </c>
      <c r="AL6240" t="inlineStr">
        <is>
          <t>Miss Glam Damar</t>
        </is>
      </c>
      <c r="AM6240" t="n">
        <v>1</v>
      </c>
      <c r="AN6240" t="n">
        <v>500000</v>
      </c>
      <c r="AO6240" t="n">
        <v>0</v>
      </c>
      <c r="AP6240" t="inlineStr"/>
      <c r="AQ6240" t="inlineStr"/>
    </row>
    <row r="6241">
      <c r="A6241" t="inlineStr">
        <is>
          <t>WARDAH</t>
        </is>
      </c>
      <c r="B6241" s="2">
        <f>"8993137695138"</f>
        <v/>
      </c>
      <c r="C6241" t="inlineStr">
        <is>
          <t>WARDAH Nature Daily Aloe Hydramild Multifunction Gel 100ml</t>
        </is>
      </c>
      <c r="D6241" t="inlineStr">
        <is>
          <t>Miss Glam Damar</t>
        </is>
      </c>
      <c r="E6241" t="n">
        <v>22</v>
      </c>
      <c r="F6241" t="n">
        <v>1.0829</v>
      </c>
      <c r="G6241" t="n">
        <v>4.55</v>
      </c>
      <c r="H6241" t="n">
        <v>2</v>
      </c>
      <c r="I6241" t="n">
        <v>6</v>
      </c>
      <c r="J6241" t="n">
        <v>3</v>
      </c>
      <c r="K6241" t="n">
        <v>0</v>
      </c>
      <c r="L6241" t="n">
        <v>29502</v>
      </c>
      <c r="M6241" t="n">
        <v>36000</v>
      </c>
      <c r="N6241" t="n">
        <v>91</v>
      </c>
      <c r="O6241" t="n">
        <v>0.91</v>
      </c>
      <c r="P6241" t="n">
        <v>1</v>
      </c>
      <c r="Q6241" t="n">
        <v>0.6899999999999999</v>
      </c>
      <c r="R6241" t="n">
        <v>5</v>
      </c>
      <c r="S6241" t="n">
        <v>38984.4</v>
      </c>
      <c r="T6241" t="n">
        <v>26</v>
      </c>
      <c r="U6241" t="n">
        <v>29</v>
      </c>
      <c r="V6241" t="n">
        <v>30</v>
      </c>
      <c r="W6241" t="n">
        <v>33</v>
      </c>
      <c r="X6241" t="n">
        <v>20.31581863514637</v>
      </c>
      <c r="Y6241" t="n">
        <v>1</v>
      </c>
      <c r="Z6241" t="n">
        <v>11</v>
      </c>
      <c r="AA6241" t="n">
        <v>0</v>
      </c>
      <c r="AB6241" t="n">
        <v>11</v>
      </c>
      <c r="AC6241" t="n">
        <v>11</v>
      </c>
      <c r="AD6241" t="n">
        <v>0</v>
      </c>
      <c r="AE6241" t="n">
        <v>324522</v>
      </c>
      <c r="AF6241" t="n">
        <v>11727</v>
      </c>
      <c r="AG6241" t="n">
        <v>63</v>
      </c>
      <c r="AH6241" t="inlineStr">
        <is>
          <t>PT. PARAMA GLOBAL INSPIRA - PPN (PDG)</t>
        </is>
      </c>
      <c r="AI6241" t="n">
        <v>164</v>
      </c>
      <c r="AJ6241" t="inlineStr">
        <is>
          <t>WARDAH</t>
        </is>
      </c>
      <c r="AK6241" t="n">
        <v>21</v>
      </c>
      <c r="AL6241" t="inlineStr">
        <is>
          <t>Miss Glam Damar</t>
        </is>
      </c>
      <c r="AM6241" t="n">
        <v>1</v>
      </c>
      <c r="AN6241" t="n">
        <v>500000</v>
      </c>
      <c r="AO6241" t="n">
        <v>0</v>
      </c>
      <c r="AP6241" t="inlineStr"/>
      <c r="AQ6241" t="inlineStr"/>
    </row>
    <row r="6242">
      <c r="A6242" t="inlineStr">
        <is>
          <t>WARDAH</t>
        </is>
      </c>
      <c r="B6242" s="2">
        <f>"8993137005852"</f>
        <v/>
      </c>
      <c r="C6242" t="inlineStr">
        <is>
          <t>WARDAH Nature Daily Calm &amp; Soothe Micellar Water 400ml</t>
        </is>
      </c>
      <c r="D6242" t="inlineStr">
        <is>
          <t>Miss Glam Damar</t>
        </is>
      </c>
      <c r="E6242" t="n">
        <v>8</v>
      </c>
      <c r="F6242" t="n">
        <v>0.1365</v>
      </c>
      <c r="G6242" t="n">
        <v>1.82</v>
      </c>
      <c r="H6242" t="n">
        <v>2</v>
      </c>
      <c r="I6242" t="n">
        <v>6</v>
      </c>
      <c r="J6242" t="n">
        <v>3</v>
      </c>
      <c r="K6242" t="n">
        <v>0</v>
      </c>
      <c r="L6242" t="n">
        <v>84676</v>
      </c>
      <c r="M6242" t="n">
        <v>103500</v>
      </c>
      <c r="N6242" t="n">
        <v>91</v>
      </c>
      <c r="O6242" t="n">
        <v>0.91</v>
      </c>
      <c r="P6242" t="n">
        <v>1</v>
      </c>
      <c r="Q6242" t="n">
        <v>0.24</v>
      </c>
      <c r="R6242" t="n">
        <v>2</v>
      </c>
      <c r="S6242" t="n">
        <v>14127.75</v>
      </c>
      <c r="T6242" t="n">
        <v>11</v>
      </c>
      <c r="U6242" t="n">
        <v>12</v>
      </c>
      <c r="V6242" t="n">
        <v>30</v>
      </c>
      <c r="W6242" t="n">
        <v>5</v>
      </c>
      <c r="X6242" t="n">
        <v>58.60805860805861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11727</v>
      </c>
      <c r="AG6242" t="n">
        <v>63</v>
      </c>
      <c r="AH6242" t="inlineStr">
        <is>
          <t>PT. PARAMA GLOBAL INSPIRA - PPN (PDG)</t>
        </is>
      </c>
      <c r="AI6242" t="n">
        <v>164</v>
      </c>
      <c r="AJ6242" t="inlineStr">
        <is>
          <t>WARDAH</t>
        </is>
      </c>
      <c r="AK6242" t="n">
        <v>21</v>
      </c>
      <c r="AL6242" t="inlineStr">
        <is>
          <t>Miss Glam Damar</t>
        </is>
      </c>
      <c r="AM6242" t="n">
        <v>1</v>
      </c>
      <c r="AN6242" t="n">
        <v>500000</v>
      </c>
      <c r="AO6242" t="n">
        <v>0</v>
      </c>
      <c r="AP6242" t="inlineStr"/>
      <c r="AQ6242" t="inlineStr"/>
    </row>
    <row r="6243">
      <c r="A6243" t="inlineStr">
        <is>
          <t>WARDAH</t>
        </is>
      </c>
      <c r="B6243" s="2">
        <f>"8993137698672"</f>
        <v/>
      </c>
      <c r="C6243" t="inlineStr">
        <is>
          <t>WARDAH Nature Daily Seaweed Cleansing Micellar Water 100ml</t>
        </is>
      </c>
      <c r="D6243" t="inlineStr">
        <is>
          <t>Miss Glam Damar</t>
        </is>
      </c>
      <c r="E6243" t="n">
        <v>30</v>
      </c>
      <c r="F6243" t="n">
        <v>1.82</v>
      </c>
      <c r="G6243" t="n">
        <v>5.46</v>
      </c>
      <c r="H6243" t="n">
        <v>2</v>
      </c>
      <c r="I6243" t="n">
        <v>6</v>
      </c>
      <c r="J6243" t="n">
        <v>3</v>
      </c>
      <c r="K6243" t="n">
        <v>0</v>
      </c>
      <c r="L6243" t="n">
        <v>24136</v>
      </c>
      <c r="M6243" t="n">
        <v>29500</v>
      </c>
      <c r="N6243" t="n">
        <v>91</v>
      </c>
      <c r="O6243" t="n">
        <v>0.91</v>
      </c>
      <c r="P6243" t="n">
        <v>1</v>
      </c>
      <c r="Q6243" t="n">
        <v>1.37</v>
      </c>
      <c r="R6243" t="n">
        <v>8</v>
      </c>
      <c r="S6243" t="n">
        <v>53690</v>
      </c>
      <c r="T6243" t="n">
        <v>30</v>
      </c>
      <c r="U6243" t="n">
        <v>34</v>
      </c>
      <c r="V6243" t="n">
        <v>30</v>
      </c>
      <c r="W6243" t="n">
        <v>55</v>
      </c>
      <c r="X6243" t="n">
        <v>16.48351648351648</v>
      </c>
      <c r="Y6243" t="n">
        <v>1</v>
      </c>
      <c r="Z6243" t="n">
        <v>25</v>
      </c>
      <c r="AA6243" t="n">
        <v>0</v>
      </c>
      <c r="AB6243" t="n">
        <v>25</v>
      </c>
      <c r="AC6243" t="n">
        <v>25</v>
      </c>
      <c r="AD6243" t="n">
        <v>0</v>
      </c>
      <c r="AE6243" t="n">
        <v>603400</v>
      </c>
      <c r="AF6243" t="n">
        <v>11727</v>
      </c>
      <c r="AG6243" t="n">
        <v>63</v>
      </c>
      <c r="AH6243" t="inlineStr">
        <is>
          <t>PT. PARAMA GLOBAL INSPIRA - PPN (PDG)</t>
        </is>
      </c>
      <c r="AI6243" t="n">
        <v>164</v>
      </c>
      <c r="AJ6243" t="inlineStr">
        <is>
          <t>WARDAH</t>
        </is>
      </c>
      <c r="AK6243" t="n">
        <v>21</v>
      </c>
      <c r="AL6243" t="inlineStr">
        <is>
          <t>Miss Glam Damar</t>
        </is>
      </c>
      <c r="AM6243" t="n">
        <v>1</v>
      </c>
      <c r="AN6243" t="n">
        <v>500000</v>
      </c>
      <c r="AO6243" t="n">
        <v>0</v>
      </c>
      <c r="AP6243" t="inlineStr"/>
      <c r="AQ6243" t="inlineStr"/>
    </row>
    <row r="6244">
      <c r="A6244" t="inlineStr">
        <is>
          <t>WARDAH</t>
        </is>
      </c>
      <c r="B6244" s="2">
        <f>"8993137698849"</f>
        <v/>
      </c>
      <c r="C6244" t="inlineStr">
        <is>
          <t>WARDAH Nature Daily Seaweed Micellar Water 240ml</t>
        </is>
      </c>
      <c r="D6244" t="inlineStr">
        <is>
          <t>Miss Glam Damar</t>
        </is>
      </c>
      <c r="E6244" t="n">
        <v>25</v>
      </c>
      <c r="F6244" t="n">
        <v>0.7371000000000001</v>
      </c>
      <c r="G6244" t="n">
        <v>3.64</v>
      </c>
      <c r="H6244" t="n">
        <v>2</v>
      </c>
      <c r="I6244" t="n">
        <v>6</v>
      </c>
      <c r="J6244" t="n">
        <v>3</v>
      </c>
      <c r="K6244" t="n">
        <v>0</v>
      </c>
      <c r="L6244" t="n">
        <v>50014</v>
      </c>
      <c r="M6244" t="n">
        <v>58000</v>
      </c>
      <c r="N6244" t="n">
        <v>91</v>
      </c>
      <c r="O6244" t="n">
        <v>0.91</v>
      </c>
      <c r="P6244" t="n">
        <v>1</v>
      </c>
      <c r="Q6244" t="n">
        <v>0.8</v>
      </c>
      <c r="R6244" t="n">
        <v>3</v>
      </c>
      <c r="S6244" t="n">
        <v>42751.8</v>
      </c>
      <c r="T6244" t="n">
        <v>21</v>
      </c>
      <c r="U6244" t="n">
        <v>23</v>
      </c>
      <c r="V6244" t="n">
        <v>30</v>
      </c>
      <c r="W6244" t="n">
        <v>23</v>
      </c>
      <c r="X6244" t="n">
        <v>33.91670058336724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11727</v>
      </c>
      <c r="AG6244" t="n">
        <v>63</v>
      </c>
      <c r="AH6244" t="inlineStr">
        <is>
          <t>PT. PARAMA GLOBAL INSPIRA - PPN (PDG)</t>
        </is>
      </c>
      <c r="AI6244" t="n">
        <v>164</v>
      </c>
      <c r="AJ6244" t="inlineStr">
        <is>
          <t>WARDAH</t>
        </is>
      </c>
      <c r="AK6244" t="n">
        <v>21</v>
      </c>
      <c r="AL6244" t="inlineStr">
        <is>
          <t>Miss Glam Damar</t>
        </is>
      </c>
      <c r="AM6244" t="n">
        <v>1</v>
      </c>
      <c r="AN6244" t="n">
        <v>500000</v>
      </c>
      <c r="AO6244" t="n">
        <v>0</v>
      </c>
      <c r="AP6244" t="inlineStr"/>
      <c r="AQ6244" t="inlineStr"/>
    </row>
    <row r="6245">
      <c r="A6245" t="inlineStr">
        <is>
          <t>WARDAH</t>
        </is>
      </c>
      <c r="B6245" s="2">
        <f>"8993137678711"</f>
        <v/>
      </c>
      <c r="C6245" t="inlineStr">
        <is>
          <t>WARDAH Olive Oil For Massage 150ml</t>
        </is>
      </c>
      <c r="D6245" t="inlineStr">
        <is>
          <t>Miss Glam Damar</t>
        </is>
      </c>
      <c r="E6245" t="n">
        <v>7</v>
      </c>
      <c r="F6245" t="n">
        <v>0.0273</v>
      </c>
      <c r="G6245" t="n">
        <v>0.91</v>
      </c>
      <c r="H6245" t="n">
        <v>2</v>
      </c>
      <c r="I6245" t="n">
        <v>6</v>
      </c>
      <c r="J6245" t="n">
        <v>3</v>
      </c>
      <c r="K6245" t="n">
        <v>0</v>
      </c>
      <c r="L6245" t="n">
        <v>37927</v>
      </c>
      <c r="M6245" t="n">
        <v>46500</v>
      </c>
      <c r="N6245" t="n">
        <v>91</v>
      </c>
      <c r="O6245" t="n">
        <v>0.91</v>
      </c>
      <c r="P6245" t="n">
        <v>1</v>
      </c>
      <c r="Q6245" t="n">
        <v>0.15</v>
      </c>
      <c r="R6245" t="n">
        <v>1</v>
      </c>
      <c r="S6245" t="n">
        <v>1269.45</v>
      </c>
      <c r="T6245" t="n">
        <v>6</v>
      </c>
      <c r="U6245" t="n">
        <v>7</v>
      </c>
      <c r="V6245" t="n">
        <v>30</v>
      </c>
      <c r="W6245" t="n">
        <v>1</v>
      </c>
      <c r="X6245" t="n">
        <v>256.4102564102564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11727</v>
      </c>
      <c r="AG6245" t="n">
        <v>63</v>
      </c>
      <c r="AH6245" t="inlineStr">
        <is>
          <t>PT. PARAMA GLOBAL INSPIRA - PPN (PDG)</t>
        </is>
      </c>
      <c r="AI6245" t="n">
        <v>164</v>
      </c>
      <c r="AJ6245" t="inlineStr">
        <is>
          <t>WARDAH</t>
        </is>
      </c>
      <c r="AK6245" t="n">
        <v>21</v>
      </c>
      <c r="AL6245" t="inlineStr">
        <is>
          <t>Miss Glam Damar</t>
        </is>
      </c>
      <c r="AM6245" t="n">
        <v>1</v>
      </c>
      <c r="AN6245" t="n">
        <v>500000</v>
      </c>
      <c r="AO6245" t="n">
        <v>0</v>
      </c>
      <c r="AP6245" t="inlineStr"/>
      <c r="AQ6245" t="inlineStr"/>
    </row>
    <row r="6246">
      <c r="A6246" t="inlineStr">
        <is>
          <t>WARDAH</t>
        </is>
      </c>
      <c r="B6246" s="2">
        <f>"8993137726139"</f>
        <v/>
      </c>
      <c r="C6246" t="inlineStr">
        <is>
          <t>WARDAH Perfect Bright Bright + Night Glow Night Moisturizer 20ml</t>
        </is>
      </c>
      <c r="D6246" t="inlineStr">
        <is>
          <t>Miss Glam Damar</t>
        </is>
      </c>
      <c r="E6246" t="n">
        <v>5</v>
      </c>
      <c r="F6246" t="n">
        <v>0.182</v>
      </c>
      <c r="G6246" t="n">
        <v>1.82</v>
      </c>
      <c r="H6246" t="n">
        <v>2</v>
      </c>
      <c r="I6246" t="n">
        <v>6</v>
      </c>
      <c r="J6246" t="n">
        <v>3</v>
      </c>
      <c r="K6246" t="n">
        <v>0</v>
      </c>
      <c r="L6246" t="n">
        <v>24137</v>
      </c>
      <c r="M6246" t="n">
        <v>29500</v>
      </c>
      <c r="N6246" t="n">
        <v>91</v>
      </c>
      <c r="O6246" t="n">
        <v>0.91</v>
      </c>
      <c r="P6246" t="n">
        <v>1</v>
      </c>
      <c r="Q6246" t="n">
        <v>0.14</v>
      </c>
      <c r="R6246" t="n">
        <v>1</v>
      </c>
      <c r="S6246" t="n">
        <v>5369.000000000001</v>
      </c>
      <c r="T6246" t="n">
        <v>11</v>
      </c>
      <c r="U6246" t="n">
        <v>12</v>
      </c>
      <c r="V6246" t="n">
        <v>30</v>
      </c>
      <c r="W6246" t="n">
        <v>6</v>
      </c>
      <c r="X6246" t="n">
        <v>27.47252747252747</v>
      </c>
      <c r="Y6246" t="n">
        <v>1</v>
      </c>
      <c r="Z6246" t="n">
        <v>1</v>
      </c>
      <c r="AA6246" t="n">
        <v>0</v>
      </c>
      <c r="AB6246" t="n">
        <v>1</v>
      </c>
      <c r="AC6246" t="n">
        <v>3</v>
      </c>
      <c r="AD6246" t="n">
        <v>0</v>
      </c>
      <c r="AE6246" t="n">
        <v>72411</v>
      </c>
      <c r="AF6246" t="n">
        <v>11727</v>
      </c>
      <c r="AG6246" t="n">
        <v>63</v>
      </c>
      <c r="AH6246" t="inlineStr">
        <is>
          <t>PT. PARAMA GLOBAL INSPIRA - PPN (PDG)</t>
        </is>
      </c>
      <c r="AI6246" t="n">
        <v>164</v>
      </c>
      <c r="AJ6246" t="inlineStr">
        <is>
          <t>WARDAH</t>
        </is>
      </c>
      <c r="AK6246" t="n">
        <v>21</v>
      </c>
      <c r="AL6246" t="inlineStr">
        <is>
          <t>Miss Glam Damar</t>
        </is>
      </c>
      <c r="AM6246" t="n">
        <v>1</v>
      </c>
      <c r="AN6246" t="n">
        <v>500000</v>
      </c>
      <c r="AO6246" t="n">
        <v>0</v>
      </c>
      <c r="AP6246" t="inlineStr"/>
      <c r="AQ6246" t="inlineStr"/>
    </row>
    <row r="6247">
      <c r="A6247" t="inlineStr">
        <is>
          <t>WARDAH</t>
        </is>
      </c>
      <c r="B6247" s="2">
        <f>"8993137726146"</f>
        <v/>
      </c>
      <c r="C6247" t="inlineStr">
        <is>
          <t>WARDAH Perfect Bright Cooling Bright Jelly Facial Foam 100ml</t>
        </is>
      </c>
      <c r="D6247" t="inlineStr">
        <is>
          <t>Miss Glam Damar</t>
        </is>
      </c>
      <c r="E6247" t="n">
        <v>7</v>
      </c>
      <c r="F6247" t="n">
        <v>0.5824</v>
      </c>
      <c r="G6247" t="n">
        <v>3.64</v>
      </c>
      <c r="H6247" t="n">
        <v>2</v>
      </c>
      <c r="I6247" t="n">
        <v>6</v>
      </c>
      <c r="J6247" t="n">
        <v>3</v>
      </c>
      <c r="K6247" t="n">
        <v>0</v>
      </c>
      <c r="L6247" t="n">
        <v>25283</v>
      </c>
      <c r="M6247" t="n">
        <v>31000</v>
      </c>
      <c r="N6247" t="n">
        <v>91</v>
      </c>
      <c r="O6247" t="n">
        <v>0.91</v>
      </c>
      <c r="P6247" t="n">
        <v>1</v>
      </c>
      <c r="Q6247" t="n">
        <v>0.32</v>
      </c>
      <c r="R6247" t="n">
        <v>1</v>
      </c>
      <c r="S6247" t="n">
        <v>18054.4</v>
      </c>
      <c r="T6247" t="n">
        <v>21</v>
      </c>
      <c r="U6247" t="n">
        <v>23</v>
      </c>
      <c r="V6247" t="n">
        <v>30</v>
      </c>
      <c r="W6247" t="n">
        <v>18</v>
      </c>
      <c r="X6247" t="n">
        <v>12.01923076923077</v>
      </c>
      <c r="Y6247" t="n">
        <v>1</v>
      </c>
      <c r="Z6247" t="n">
        <v>11</v>
      </c>
      <c r="AA6247" t="n">
        <v>0</v>
      </c>
      <c r="AB6247" t="n">
        <v>11</v>
      </c>
      <c r="AC6247" t="n">
        <v>11</v>
      </c>
      <c r="AD6247" t="n">
        <v>0</v>
      </c>
      <c r="AE6247" t="n">
        <v>278113</v>
      </c>
      <c r="AF6247" t="n">
        <v>11727</v>
      </c>
      <c r="AG6247" t="n">
        <v>63</v>
      </c>
      <c r="AH6247" t="inlineStr">
        <is>
          <t>PT. PARAMA GLOBAL INSPIRA - PPN (PDG)</t>
        </is>
      </c>
      <c r="AI6247" t="n">
        <v>164</v>
      </c>
      <c r="AJ6247" t="inlineStr">
        <is>
          <t>WARDAH</t>
        </is>
      </c>
      <c r="AK6247" t="n">
        <v>21</v>
      </c>
      <c r="AL6247" t="inlineStr">
        <is>
          <t>Miss Glam Damar</t>
        </is>
      </c>
      <c r="AM6247" t="n">
        <v>1</v>
      </c>
      <c r="AN6247" t="n">
        <v>500000</v>
      </c>
      <c r="AO6247" t="n">
        <v>0</v>
      </c>
      <c r="AP6247" t="inlineStr"/>
      <c r="AQ6247" t="inlineStr"/>
    </row>
    <row r="6248">
      <c r="A6248" t="inlineStr">
        <is>
          <t>WARDAH</t>
        </is>
      </c>
      <c r="B6248" s="2">
        <f>"8993137698719"</f>
        <v/>
      </c>
      <c r="C6248" t="inlineStr">
        <is>
          <t>WARDAH Perfect Bright Creamy Foam Bright+Oil 60ml</t>
        </is>
      </c>
      <c r="D6248" t="inlineStr">
        <is>
          <t>Miss Glam Damar</t>
        </is>
      </c>
      <c r="E6248" t="n">
        <v>13</v>
      </c>
      <c r="F6248" t="n">
        <v>0.7371000000000001</v>
      </c>
      <c r="G6248" t="n">
        <v>3.64</v>
      </c>
      <c r="H6248" t="n">
        <v>2</v>
      </c>
      <c r="I6248" t="n">
        <v>6</v>
      </c>
      <c r="J6248" t="n">
        <v>3</v>
      </c>
      <c r="K6248" t="n">
        <v>0</v>
      </c>
      <c r="L6248" t="n">
        <v>16475</v>
      </c>
      <c r="M6248" t="n">
        <v>20500</v>
      </c>
      <c r="N6248" t="n">
        <v>91</v>
      </c>
      <c r="O6248" t="n">
        <v>0.91</v>
      </c>
      <c r="P6248" t="n">
        <v>1</v>
      </c>
      <c r="Q6248" t="n">
        <v>0.78</v>
      </c>
      <c r="R6248" t="n">
        <v>3</v>
      </c>
      <c r="S6248" t="n">
        <v>15110.55</v>
      </c>
      <c r="T6248" t="n">
        <v>21</v>
      </c>
      <c r="U6248" t="n">
        <v>23</v>
      </c>
      <c r="V6248" t="n">
        <v>30</v>
      </c>
      <c r="W6248" t="n">
        <v>23</v>
      </c>
      <c r="X6248" t="n">
        <v>17.63668430335097</v>
      </c>
      <c r="Y6248" t="n">
        <v>1</v>
      </c>
      <c r="Z6248" t="n">
        <v>10</v>
      </c>
      <c r="AA6248" t="n">
        <v>0</v>
      </c>
      <c r="AB6248" t="n">
        <v>10</v>
      </c>
      <c r="AC6248" t="n">
        <v>10</v>
      </c>
      <c r="AD6248" t="n">
        <v>0</v>
      </c>
      <c r="AE6248" t="n">
        <v>164750</v>
      </c>
      <c r="AF6248" t="n">
        <v>11727</v>
      </c>
      <c r="AG6248" t="n">
        <v>63</v>
      </c>
      <c r="AH6248" t="inlineStr">
        <is>
          <t>PT. PARAMA GLOBAL INSPIRA - PPN (PDG)</t>
        </is>
      </c>
      <c r="AI6248" t="n">
        <v>164</v>
      </c>
      <c r="AJ6248" t="inlineStr">
        <is>
          <t>WARDAH</t>
        </is>
      </c>
      <c r="AK6248" t="n">
        <v>21</v>
      </c>
      <c r="AL6248" t="inlineStr">
        <is>
          <t>Miss Glam Damar</t>
        </is>
      </c>
      <c r="AM6248" t="n">
        <v>1</v>
      </c>
      <c r="AN6248" t="n">
        <v>500000</v>
      </c>
      <c r="AO6248" t="n">
        <v>0</v>
      </c>
      <c r="AP6248" t="inlineStr"/>
      <c r="AQ6248" t="inlineStr"/>
    </row>
    <row r="6249">
      <c r="A6249" t="inlineStr">
        <is>
          <t>WARDAH</t>
        </is>
      </c>
      <c r="B6249" s="2">
        <f>"8993137697002"</f>
        <v/>
      </c>
      <c r="C6249" t="inlineStr">
        <is>
          <t>WARDAH Perfect Bright Creamy Foam Bright+Smoothing 100ml</t>
        </is>
      </c>
      <c r="D6249" t="inlineStr">
        <is>
          <t>Miss Glam Damar</t>
        </is>
      </c>
      <c r="E6249" t="n">
        <v>37</v>
      </c>
      <c r="F6249" t="n">
        <v>2.1476</v>
      </c>
      <c r="G6249" t="n">
        <v>5.46</v>
      </c>
      <c r="H6249" t="n">
        <v>2</v>
      </c>
      <c r="I6249" t="n">
        <v>6</v>
      </c>
      <c r="J6249" t="n">
        <v>3</v>
      </c>
      <c r="K6249" t="n">
        <v>0</v>
      </c>
      <c r="L6249" t="n">
        <v>25288</v>
      </c>
      <c r="M6249" t="n">
        <v>31000</v>
      </c>
      <c r="N6249" t="n">
        <v>91</v>
      </c>
      <c r="O6249" t="n">
        <v>0.91</v>
      </c>
      <c r="P6249" t="n">
        <v>1</v>
      </c>
      <c r="Q6249" t="n">
        <v>1.41</v>
      </c>
      <c r="R6249" t="n">
        <v>5</v>
      </c>
      <c r="S6249" t="n">
        <v>66575.60000000001</v>
      </c>
      <c r="T6249" t="n">
        <v>29</v>
      </c>
      <c r="U6249" t="n">
        <v>34</v>
      </c>
      <c r="V6249" t="n">
        <v>30</v>
      </c>
      <c r="W6249" t="n">
        <v>65</v>
      </c>
      <c r="X6249" t="n">
        <v>17.22853417768672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11727</v>
      </c>
      <c r="AG6249" t="n">
        <v>63</v>
      </c>
      <c r="AH6249" t="inlineStr">
        <is>
          <t>PT. PARAMA GLOBAL INSPIRA - PPN (PDG)</t>
        </is>
      </c>
      <c r="AI6249" t="n">
        <v>164</v>
      </c>
      <c r="AJ6249" t="inlineStr">
        <is>
          <t>WARDAH</t>
        </is>
      </c>
      <c r="AK6249" t="n">
        <v>21</v>
      </c>
      <c r="AL6249" t="inlineStr">
        <is>
          <t>Miss Glam Damar</t>
        </is>
      </c>
      <c r="AM6249" t="n">
        <v>1</v>
      </c>
      <c r="AN6249" t="n">
        <v>500000</v>
      </c>
      <c r="AO6249" t="n">
        <v>0</v>
      </c>
      <c r="AP6249" t="inlineStr"/>
      <c r="AQ6249" t="inlineStr"/>
    </row>
    <row r="6250">
      <c r="A6250" t="inlineStr">
        <is>
          <t>WARDAH</t>
        </is>
      </c>
      <c r="B6250" s="2">
        <f>"8993137698870"</f>
        <v/>
      </c>
      <c r="C6250" t="inlineStr">
        <is>
          <t>WARDAH Perfect Bright Creamy Foam Brightening+Oil Control 100ml</t>
        </is>
      </c>
      <c r="D6250" t="inlineStr">
        <is>
          <t>Miss Glam Damar</t>
        </is>
      </c>
      <c r="E6250" t="n">
        <v>26</v>
      </c>
      <c r="F6250" t="n">
        <v>2.3933</v>
      </c>
      <c r="G6250" t="n">
        <v>5.46</v>
      </c>
      <c r="H6250" t="n">
        <v>2</v>
      </c>
      <c r="I6250" t="n">
        <v>6</v>
      </c>
      <c r="J6250" t="n">
        <v>3</v>
      </c>
      <c r="K6250" t="n">
        <v>0</v>
      </c>
      <c r="L6250" t="n">
        <v>25287</v>
      </c>
      <c r="M6250" t="n">
        <v>31000</v>
      </c>
      <c r="N6250" t="n">
        <v>91</v>
      </c>
      <c r="O6250" t="n">
        <v>0.91</v>
      </c>
      <c r="P6250" t="n">
        <v>1</v>
      </c>
      <c r="Q6250" t="n">
        <v>1.19</v>
      </c>
      <c r="R6250" t="n">
        <v>5</v>
      </c>
      <c r="S6250" t="n">
        <v>74192.3</v>
      </c>
      <c r="T6250" t="n">
        <v>28</v>
      </c>
      <c r="U6250" t="n">
        <v>33</v>
      </c>
      <c r="V6250" t="n">
        <v>30</v>
      </c>
      <c r="W6250" t="n">
        <v>72</v>
      </c>
      <c r="X6250" t="n">
        <v>10.86366105377512</v>
      </c>
      <c r="Y6250" t="n">
        <v>1</v>
      </c>
      <c r="Z6250" t="n">
        <v>46</v>
      </c>
      <c r="AA6250" t="n">
        <v>0</v>
      </c>
      <c r="AB6250" t="n">
        <v>46</v>
      </c>
      <c r="AC6250" t="n">
        <v>46</v>
      </c>
      <c r="AD6250" t="n">
        <v>0</v>
      </c>
      <c r="AE6250" t="n">
        <v>1163202</v>
      </c>
      <c r="AF6250" t="n">
        <v>11727</v>
      </c>
      <c r="AG6250" t="n">
        <v>63</v>
      </c>
      <c r="AH6250" t="inlineStr">
        <is>
          <t>PT. PARAMA GLOBAL INSPIRA - PPN (PDG)</t>
        </is>
      </c>
      <c r="AI6250" t="n">
        <v>164</v>
      </c>
      <c r="AJ6250" t="inlineStr">
        <is>
          <t>WARDAH</t>
        </is>
      </c>
      <c r="AK6250" t="n">
        <v>21</v>
      </c>
      <c r="AL6250" t="inlineStr">
        <is>
          <t>Miss Glam Damar</t>
        </is>
      </c>
      <c r="AM6250" t="n">
        <v>1</v>
      </c>
      <c r="AN6250" t="n">
        <v>500000</v>
      </c>
      <c r="AO6250" t="n">
        <v>0</v>
      </c>
      <c r="AP6250" t="inlineStr"/>
      <c r="AQ6250" t="inlineStr"/>
    </row>
    <row r="6251">
      <c r="A6251" t="inlineStr">
        <is>
          <t>WARDAH</t>
        </is>
      </c>
      <c r="B6251" s="2">
        <f>"8993137690942"</f>
        <v/>
      </c>
      <c r="C6251" t="inlineStr">
        <is>
          <t>WARDAH Perfect Bright Creamy Foam Brightening+Smoothing 60ml</t>
        </is>
      </c>
      <c r="D6251" t="inlineStr">
        <is>
          <t>Miss Glam Damar</t>
        </is>
      </c>
      <c r="E6251" t="n">
        <v>16</v>
      </c>
      <c r="F6251" t="n">
        <v>0.7735</v>
      </c>
      <c r="G6251" t="n">
        <v>2.73</v>
      </c>
      <c r="H6251" t="n">
        <v>2</v>
      </c>
      <c r="I6251" t="n">
        <v>6</v>
      </c>
      <c r="J6251" t="n">
        <v>3</v>
      </c>
      <c r="K6251" t="n">
        <v>0</v>
      </c>
      <c r="L6251" t="n">
        <v>16475</v>
      </c>
      <c r="M6251" t="n">
        <v>20500</v>
      </c>
      <c r="N6251" t="n">
        <v>91</v>
      </c>
      <c r="O6251" t="n">
        <v>0.91</v>
      </c>
      <c r="P6251" t="n">
        <v>1</v>
      </c>
      <c r="Q6251" t="n">
        <v>0.73</v>
      </c>
      <c r="R6251" t="n">
        <v>3</v>
      </c>
      <c r="S6251" t="n">
        <v>15856.75</v>
      </c>
      <c r="T6251" t="n">
        <v>15</v>
      </c>
      <c r="U6251" t="n">
        <v>17</v>
      </c>
      <c r="V6251" t="n">
        <v>30</v>
      </c>
      <c r="W6251" t="n">
        <v>24</v>
      </c>
      <c r="X6251" t="n">
        <v>20.68519715578539</v>
      </c>
      <c r="Y6251" t="n">
        <v>1</v>
      </c>
      <c r="Z6251" t="n">
        <v>8</v>
      </c>
      <c r="AA6251" t="n">
        <v>0</v>
      </c>
      <c r="AB6251" t="n">
        <v>8</v>
      </c>
      <c r="AC6251" t="n">
        <v>8</v>
      </c>
      <c r="AD6251" t="n">
        <v>0</v>
      </c>
      <c r="AE6251" t="n">
        <v>131800</v>
      </c>
      <c r="AF6251" t="n">
        <v>11727</v>
      </c>
      <c r="AG6251" t="n">
        <v>63</v>
      </c>
      <c r="AH6251" t="inlineStr">
        <is>
          <t>PT. PARAMA GLOBAL INSPIRA - PPN (PDG)</t>
        </is>
      </c>
      <c r="AI6251" t="n">
        <v>164</v>
      </c>
      <c r="AJ6251" t="inlineStr">
        <is>
          <t>WARDAH</t>
        </is>
      </c>
      <c r="AK6251" t="n">
        <v>21</v>
      </c>
      <c r="AL6251" t="inlineStr">
        <is>
          <t>Miss Glam Damar</t>
        </is>
      </c>
      <c r="AM6251" t="n">
        <v>1</v>
      </c>
      <c r="AN6251" t="n">
        <v>500000</v>
      </c>
      <c r="AO6251" t="n">
        <v>0</v>
      </c>
      <c r="AP6251" t="inlineStr"/>
      <c r="AQ6251" t="inlineStr"/>
    </row>
    <row r="6252">
      <c r="A6252" t="inlineStr">
        <is>
          <t>WARDAH</t>
        </is>
      </c>
      <c r="B6252" s="2">
        <f>"8993137698696"</f>
        <v/>
      </c>
      <c r="C6252" t="inlineStr">
        <is>
          <t>WARDAH Perfect Bright Moisturizer Normal Skin 20ml</t>
        </is>
      </c>
      <c r="D6252" t="inlineStr">
        <is>
          <t>Miss Glam Damar</t>
        </is>
      </c>
      <c r="E6252" t="n">
        <v>7</v>
      </c>
      <c r="F6252" t="n">
        <v>0.4641</v>
      </c>
      <c r="G6252" t="n">
        <v>2.73</v>
      </c>
      <c r="H6252" t="n">
        <v>2</v>
      </c>
      <c r="I6252" t="n">
        <v>6</v>
      </c>
      <c r="J6252" t="n">
        <v>3</v>
      </c>
      <c r="K6252" t="n">
        <v>0</v>
      </c>
      <c r="L6252" t="n">
        <v>22991</v>
      </c>
      <c r="M6252" t="n">
        <v>28500</v>
      </c>
      <c r="N6252" t="n">
        <v>91</v>
      </c>
      <c r="O6252" t="n">
        <v>0.91</v>
      </c>
      <c r="P6252" t="n">
        <v>1</v>
      </c>
      <c r="Q6252" t="n">
        <v>0.32</v>
      </c>
      <c r="R6252" t="n">
        <v>2</v>
      </c>
      <c r="S6252" t="n">
        <v>13226.85</v>
      </c>
      <c r="T6252" t="n">
        <v>16</v>
      </c>
      <c r="U6252" t="n">
        <v>17</v>
      </c>
      <c r="V6252" t="n">
        <v>30</v>
      </c>
      <c r="W6252" t="n">
        <v>14</v>
      </c>
      <c r="X6252" t="n">
        <v>15.08295625942685</v>
      </c>
      <c r="Y6252" t="n">
        <v>1</v>
      </c>
      <c r="Z6252" t="n">
        <v>7</v>
      </c>
      <c r="AA6252" t="n">
        <v>0</v>
      </c>
      <c r="AB6252" t="n">
        <v>7</v>
      </c>
      <c r="AC6252" t="n">
        <v>7</v>
      </c>
      <c r="AD6252" t="n">
        <v>0</v>
      </c>
      <c r="AE6252" t="n">
        <v>160937</v>
      </c>
      <c r="AF6252" t="n">
        <v>11727</v>
      </c>
      <c r="AG6252" t="n">
        <v>63</v>
      </c>
      <c r="AH6252" t="inlineStr">
        <is>
          <t>PT. PARAMA GLOBAL INSPIRA - PPN (PDG)</t>
        </is>
      </c>
      <c r="AI6252" t="n">
        <v>164</v>
      </c>
      <c r="AJ6252" t="inlineStr">
        <is>
          <t>WARDAH</t>
        </is>
      </c>
      <c r="AK6252" t="n">
        <v>21</v>
      </c>
      <c r="AL6252" t="inlineStr">
        <is>
          <t>Miss Glam Damar</t>
        </is>
      </c>
      <c r="AM6252" t="n">
        <v>1</v>
      </c>
      <c r="AN6252" t="n">
        <v>500000</v>
      </c>
      <c r="AO6252" t="n">
        <v>0</v>
      </c>
      <c r="AP6252" t="inlineStr"/>
      <c r="AQ6252" t="inlineStr"/>
    </row>
    <row r="6253">
      <c r="A6253" t="inlineStr">
        <is>
          <t>WARDAH</t>
        </is>
      </c>
      <c r="B6253" s="2">
        <f>"8993137692472"</f>
        <v/>
      </c>
      <c r="C6253" t="inlineStr">
        <is>
          <t>WARDAH Perfect Bright Moisturizer SPF 28 20ml</t>
        </is>
      </c>
      <c r="D6253" t="inlineStr">
        <is>
          <t>Miss Glam Damar</t>
        </is>
      </c>
      <c r="E6253" t="n">
        <v>9</v>
      </c>
      <c r="F6253" t="n">
        <v>0.7826</v>
      </c>
      <c r="G6253" t="n">
        <v>3.64</v>
      </c>
      <c r="H6253" t="n">
        <v>2</v>
      </c>
      <c r="I6253" t="n">
        <v>6</v>
      </c>
      <c r="J6253" t="n">
        <v>3</v>
      </c>
      <c r="K6253" t="n">
        <v>0</v>
      </c>
      <c r="L6253" t="n">
        <v>22989</v>
      </c>
      <c r="M6253" t="n">
        <v>28500</v>
      </c>
      <c r="N6253" t="n">
        <v>91</v>
      </c>
      <c r="O6253" t="n">
        <v>0.91</v>
      </c>
      <c r="P6253" t="n">
        <v>1</v>
      </c>
      <c r="Q6253" t="n">
        <v>0.39</v>
      </c>
      <c r="R6253" t="n">
        <v>3</v>
      </c>
      <c r="S6253" t="n">
        <v>22304.1</v>
      </c>
      <c r="T6253" t="n">
        <v>21</v>
      </c>
      <c r="U6253" t="n">
        <v>23</v>
      </c>
      <c r="V6253" t="n">
        <v>30</v>
      </c>
      <c r="W6253" t="n">
        <v>24</v>
      </c>
      <c r="X6253" t="n">
        <v>11.50012777919755</v>
      </c>
      <c r="Y6253" t="n">
        <v>1</v>
      </c>
      <c r="Z6253" t="n">
        <v>15</v>
      </c>
      <c r="AA6253" t="n">
        <v>0</v>
      </c>
      <c r="AB6253" t="n">
        <v>15</v>
      </c>
      <c r="AC6253" t="n">
        <v>15</v>
      </c>
      <c r="AD6253" t="n">
        <v>0</v>
      </c>
      <c r="AE6253" t="n">
        <v>344835</v>
      </c>
      <c r="AF6253" t="n">
        <v>11727</v>
      </c>
      <c r="AG6253" t="n">
        <v>63</v>
      </c>
      <c r="AH6253" t="inlineStr">
        <is>
          <t>PT. PARAMA GLOBAL INSPIRA - PPN (PDG)</t>
        </is>
      </c>
      <c r="AI6253" t="n">
        <v>164</v>
      </c>
      <c r="AJ6253" t="inlineStr">
        <is>
          <t>WARDAH</t>
        </is>
      </c>
      <c r="AK6253" t="n">
        <v>21</v>
      </c>
      <c r="AL6253" t="inlineStr">
        <is>
          <t>Miss Glam Damar</t>
        </is>
      </c>
      <c r="AM6253" t="n">
        <v>1</v>
      </c>
      <c r="AN6253" t="n">
        <v>500000</v>
      </c>
      <c r="AO6253" t="n">
        <v>0</v>
      </c>
      <c r="AP6253" t="inlineStr"/>
      <c r="AQ6253" t="inlineStr"/>
    </row>
    <row r="6254">
      <c r="A6254" t="inlineStr">
        <is>
          <t>WARDAH</t>
        </is>
      </c>
      <c r="B6254" s="2">
        <f>"11200314401"</f>
        <v/>
      </c>
      <c r="C6254" t="inlineStr">
        <is>
          <t>WARDAH Perfect Bright PerfectylTM + Vitamin C Pore Perfecting C-Glow Serum 15ml</t>
        </is>
      </c>
      <c r="D6254" t="inlineStr">
        <is>
          <t>Miss Glam Damar</t>
        </is>
      </c>
      <c r="E6254" t="n">
        <v>3</v>
      </c>
      <c r="F6254" t="n">
        <v>1.5106</v>
      </c>
      <c r="G6254" t="n">
        <v>4.55</v>
      </c>
      <c r="H6254" t="n">
        <v>2</v>
      </c>
      <c r="I6254" t="n">
        <v>6</v>
      </c>
      <c r="J6254" t="n">
        <v>1</v>
      </c>
      <c r="K6254" t="n">
        <v>0</v>
      </c>
      <c r="L6254" t="n">
        <v>27587</v>
      </c>
      <c r="M6254" t="n">
        <v>34000</v>
      </c>
      <c r="N6254" t="n">
        <v>91</v>
      </c>
      <c r="O6254" t="n">
        <v>0.91</v>
      </c>
      <c r="P6254" t="n">
        <v>1</v>
      </c>
      <c r="Q6254" t="n">
        <v>0.66</v>
      </c>
      <c r="R6254" t="n">
        <v>3</v>
      </c>
      <c r="S6254" t="n">
        <v>51360.4</v>
      </c>
      <c r="T6254" t="n">
        <v>25</v>
      </c>
      <c r="U6254" t="n">
        <v>29</v>
      </c>
      <c r="V6254" t="n">
        <v>30</v>
      </c>
      <c r="W6254" t="n">
        <v>46</v>
      </c>
      <c r="X6254" t="n">
        <v>1.985965841387528</v>
      </c>
      <c r="Y6254" t="n">
        <v>1</v>
      </c>
      <c r="Z6254" t="n">
        <v>43</v>
      </c>
      <c r="AA6254" t="n">
        <v>7</v>
      </c>
      <c r="AB6254" t="n">
        <v>36</v>
      </c>
      <c r="AC6254" t="n">
        <v>36</v>
      </c>
      <c r="AD6254" t="n">
        <v>193109</v>
      </c>
      <c r="AE6254" t="n">
        <v>993132</v>
      </c>
      <c r="AF6254" t="n">
        <v>11727</v>
      </c>
      <c r="AG6254" t="n">
        <v>63</v>
      </c>
      <c r="AH6254" t="inlineStr">
        <is>
          <t>PT. PARAMA GLOBAL INSPIRA - PPN (PDG)</t>
        </is>
      </c>
      <c r="AI6254" t="n">
        <v>164</v>
      </c>
      <c r="AJ6254" t="inlineStr">
        <is>
          <t>WARDAH</t>
        </is>
      </c>
      <c r="AK6254" t="n">
        <v>21</v>
      </c>
      <c r="AL6254" t="inlineStr">
        <is>
          <t>Miss Glam Damar</t>
        </is>
      </c>
      <c r="AM6254" t="n">
        <v>1</v>
      </c>
      <c r="AN6254" t="n">
        <v>500000</v>
      </c>
      <c r="AO6254" t="n">
        <v>0</v>
      </c>
      <c r="AP6254" t="inlineStr"/>
      <c r="AQ6254" t="inlineStr"/>
    </row>
    <row r="6255">
      <c r="A6255" t="inlineStr">
        <is>
          <t>WARDAH</t>
        </is>
      </c>
      <c r="B6255" s="2">
        <f>"8993137009898"</f>
        <v/>
      </c>
      <c r="C6255" t="inlineStr">
        <is>
          <t>WARDAH Perfect Bright Tone Up Micella Water 240ml</t>
        </is>
      </c>
      <c r="D6255" t="inlineStr">
        <is>
          <t>Miss Glam Damar</t>
        </is>
      </c>
      <c r="E6255" t="n">
        <v>29</v>
      </c>
      <c r="F6255" t="n">
        <v>1.6471</v>
      </c>
      <c r="G6255" t="n">
        <v>5.46</v>
      </c>
      <c r="H6255" t="n">
        <v>2</v>
      </c>
      <c r="I6255" t="n">
        <v>6</v>
      </c>
      <c r="J6255" t="n">
        <v>3</v>
      </c>
      <c r="K6255" t="n">
        <v>0</v>
      </c>
      <c r="L6255" t="n">
        <v>47513</v>
      </c>
      <c r="M6255" t="n">
        <v>58000</v>
      </c>
      <c r="N6255" t="n">
        <v>91</v>
      </c>
      <c r="O6255" t="n">
        <v>0.91</v>
      </c>
      <c r="P6255" t="n">
        <v>1</v>
      </c>
      <c r="Q6255" t="n">
        <v>1.63</v>
      </c>
      <c r="R6255" t="n">
        <v>5</v>
      </c>
      <c r="S6255" t="n">
        <v>95531.8</v>
      </c>
      <c r="T6255" t="n">
        <v>30</v>
      </c>
      <c r="U6255" t="n">
        <v>34</v>
      </c>
      <c r="V6255" t="n">
        <v>30</v>
      </c>
      <c r="W6255" t="n">
        <v>50</v>
      </c>
      <c r="X6255" t="n">
        <v>17.60670268957562</v>
      </c>
      <c r="Y6255" t="n">
        <v>1</v>
      </c>
      <c r="Z6255" t="n">
        <v>21</v>
      </c>
      <c r="AA6255" t="n">
        <v>0</v>
      </c>
      <c r="AB6255" t="n">
        <v>21</v>
      </c>
      <c r="AC6255" t="n">
        <v>21</v>
      </c>
      <c r="AD6255" t="n">
        <v>0</v>
      </c>
      <c r="AE6255" t="n">
        <v>997773</v>
      </c>
      <c r="AF6255" t="n">
        <v>11727</v>
      </c>
      <c r="AG6255" t="n">
        <v>63</v>
      </c>
      <c r="AH6255" t="inlineStr">
        <is>
          <t>PT. PARAMA GLOBAL INSPIRA - PPN (PDG)</t>
        </is>
      </c>
      <c r="AI6255" t="n">
        <v>164</v>
      </c>
      <c r="AJ6255" t="inlineStr">
        <is>
          <t>WARDAH</t>
        </is>
      </c>
      <c r="AK6255" t="n">
        <v>21</v>
      </c>
      <c r="AL6255" t="inlineStr">
        <is>
          <t>Miss Glam Damar</t>
        </is>
      </c>
      <c r="AM6255" t="n">
        <v>1</v>
      </c>
      <c r="AN6255" t="n">
        <v>500000</v>
      </c>
      <c r="AO6255" t="n">
        <v>0</v>
      </c>
      <c r="AP6255" t="inlineStr"/>
      <c r="AQ6255" t="inlineStr"/>
    </row>
    <row r="6256">
      <c r="A6256" t="inlineStr">
        <is>
          <t>WARDAH</t>
        </is>
      </c>
      <c r="B6256" s="2">
        <f>"8993137702935"</f>
        <v/>
      </c>
      <c r="C6256" t="inlineStr">
        <is>
          <t>WARDAH Perfect Bright Tone Up Micellar 100ml</t>
        </is>
      </c>
      <c r="D6256" t="inlineStr">
        <is>
          <t>Miss Glam Damar</t>
        </is>
      </c>
      <c r="E6256" t="n">
        <v>47</v>
      </c>
      <c r="F6256" t="n">
        <v>2.8665</v>
      </c>
      <c r="G6256" t="n">
        <v>6.37</v>
      </c>
      <c r="H6256" t="n">
        <v>2</v>
      </c>
      <c r="I6256" t="n">
        <v>6</v>
      </c>
      <c r="J6256" t="n">
        <v>3</v>
      </c>
      <c r="K6256" t="n">
        <v>0</v>
      </c>
      <c r="L6256" t="n">
        <v>23244</v>
      </c>
      <c r="M6256" t="n">
        <v>28500</v>
      </c>
      <c r="N6256" t="n">
        <v>91</v>
      </c>
      <c r="O6256" t="n">
        <v>0.91</v>
      </c>
      <c r="P6256" t="n">
        <v>1</v>
      </c>
      <c r="Q6256" t="n">
        <v>2.24</v>
      </c>
      <c r="R6256" t="n">
        <v>6</v>
      </c>
      <c r="S6256" t="n">
        <v>81695.25</v>
      </c>
      <c r="T6256" t="n">
        <v>33</v>
      </c>
      <c r="U6256" t="n">
        <v>39</v>
      </c>
      <c r="V6256" t="n">
        <v>30</v>
      </c>
      <c r="W6256" t="n">
        <v>86</v>
      </c>
      <c r="X6256" t="n">
        <v>16.39630211058783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11727</v>
      </c>
      <c r="AG6256" t="n">
        <v>63</v>
      </c>
      <c r="AH6256" t="inlineStr">
        <is>
          <t>PT. PARAMA GLOBAL INSPIRA - PPN (PDG)</t>
        </is>
      </c>
      <c r="AI6256" t="n">
        <v>164</v>
      </c>
      <c r="AJ6256" t="inlineStr">
        <is>
          <t>WARDAH</t>
        </is>
      </c>
      <c r="AK6256" t="n">
        <v>21</v>
      </c>
      <c r="AL6256" t="inlineStr">
        <is>
          <t>Miss Glam Damar</t>
        </is>
      </c>
      <c r="AM6256" t="n">
        <v>1</v>
      </c>
      <c r="AN6256" t="n">
        <v>500000</v>
      </c>
      <c r="AO6256" t="n">
        <v>0</v>
      </c>
      <c r="AP6256" t="inlineStr"/>
      <c r="AQ6256" t="inlineStr"/>
    </row>
    <row r="6257">
      <c r="A6257" t="inlineStr">
        <is>
          <t>WARDAH</t>
        </is>
      </c>
      <c r="B6257" s="2">
        <f>"8993137005845"</f>
        <v/>
      </c>
      <c r="C6257" t="inlineStr">
        <is>
          <t>WARDAH Perfect Bright Tone Up Micellar Water 400ml</t>
        </is>
      </c>
      <c r="D6257" t="inlineStr">
        <is>
          <t>Miss Glam Damar</t>
        </is>
      </c>
      <c r="E6257" t="n">
        <v>8</v>
      </c>
      <c r="F6257" t="n">
        <v>0.2002</v>
      </c>
      <c r="G6257" t="n">
        <v>1.82</v>
      </c>
      <c r="H6257" t="n">
        <v>2</v>
      </c>
      <c r="I6257" t="n">
        <v>6</v>
      </c>
      <c r="J6257" t="n">
        <v>3</v>
      </c>
      <c r="K6257" t="n">
        <v>0</v>
      </c>
      <c r="L6257" t="n">
        <v>84676</v>
      </c>
      <c r="M6257" t="n">
        <v>103500</v>
      </c>
      <c r="N6257" t="n">
        <v>91</v>
      </c>
      <c r="O6257" t="n">
        <v>0.91</v>
      </c>
      <c r="P6257" t="n">
        <v>1</v>
      </c>
      <c r="Q6257" t="n">
        <v>0.25</v>
      </c>
      <c r="R6257" t="n">
        <v>2</v>
      </c>
      <c r="S6257" t="n">
        <v>20720.7</v>
      </c>
      <c r="T6257" t="n">
        <v>11</v>
      </c>
      <c r="U6257" t="n">
        <v>12</v>
      </c>
      <c r="V6257" t="n">
        <v>30</v>
      </c>
      <c r="W6257" t="n">
        <v>7</v>
      </c>
      <c r="X6257" t="n">
        <v>39.96003996003996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11727</v>
      </c>
      <c r="AG6257" t="n">
        <v>63</v>
      </c>
      <c r="AH6257" t="inlineStr">
        <is>
          <t>PT. PARAMA GLOBAL INSPIRA - PPN (PDG)</t>
        </is>
      </c>
      <c r="AI6257" t="n">
        <v>164</v>
      </c>
      <c r="AJ6257" t="inlineStr">
        <is>
          <t>WARDAH</t>
        </is>
      </c>
      <c r="AK6257" t="n">
        <v>21</v>
      </c>
      <c r="AL6257" t="inlineStr">
        <is>
          <t>Miss Glam Damar</t>
        </is>
      </c>
      <c r="AM6257" t="n">
        <v>1</v>
      </c>
      <c r="AN6257" t="n">
        <v>500000</v>
      </c>
      <c r="AO6257" t="n">
        <v>0</v>
      </c>
      <c r="AP6257" t="inlineStr"/>
      <c r="AQ6257" t="inlineStr"/>
    </row>
    <row r="6258">
      <c r="A6258" t="inlineStr">
        <is>
          <t>WARDAH</t>
        </is>
      </c>
      <c r="B6258" s="2">
        <f>"8993137678704"</f>
        <v/>
      </c>
      <c r="C6258" t="inlineStr">
        <is>
          <t>WARDAH Pure Oilive Oil 50ml</t>
        </is>
      </c>
      <c r="D6258" t="inlineStr">
        <is>
          <t>Miss Glam Damar</t>
        </is>
      </c>
      <c r="E6258" t="n">
        <v>5</v>
      </c>
      <c r="F6258" t="n">
        <v>0.2639</v>
      </c>
      <c r="G6258" t="n">
        <v>1.82</v>
      </c>
      <c r="H6258" t="n">
        <v>2</v>
      </c>
      <c r="I6258" t="n">
        <v>6</v>
      </c>
      <c r="J6258" t="n">
        <v>3</v>
      </c>
      <c r="K6258" t="n">
        <v>0</v>
      </c>
      <c r="L6258" t="n">
        <v>21864</v>
      </c>
      <c r="M6258" t="n">
        <v>27000</v>
      </c>
      <c r="N6258" t="n">
        <v>91</v>
      </c>
      <c r="O6258" t="n">
        <v>0.91</v>
      </c>
      <c r="P6258" t="n">
        <v>1</v>
      </c>
      <c r="Q6258" t="n">
        <v>0.24</v>
      </c>
      <c r="R6258" t="n">
        <v>4</v>
      </c>
      <c r="S6258" t="n">
        <v>7125.299999999999</v>
      </c>
      <c r="T6258" t="n">
        <v>11</v>
      </c>
      <c r="U6258" t="n">
        <v>12</v>
      </c>
      <c r="V6258" t="n">
        <v>30</v>
      </c>
      <c r="W6258" t="n">
        <v>8</v>
      </c>
      <c r="X6258" t="n">
        <v>18.9465706707086</v>
      </c>
      <c r="Y6258" t="n">
        <v>1</v>
      </c>
      <c r="Z6258" t="n">
        <v>3</v>
      </c>
      <c r="AA6258" t="n">
        <v>0</v>
      </c>
      <c r="AB6258" t="n">
        <v>3</v>
      </c>
      <c r="AC6258" t="n">
        <v>3</v>
      </c>
      <c r="AD6258" t="n">
        <v>0</v>
      </c>
      <c r="AE6258" t="n">
        <v>65592</v>
      </c>
      <c r="AF6258" t="n">
        <v>11727</v>
      </c>
      <c r="AG6258" t="n">
        <v>63</v>
      </c>
      <c r="AH6258" t="inlineStr">
        <is>
          <t>PT. PARAMA GLOBAL INSPIRA - PPN (PDG)</t>
        </is>
      </c>
      <c r="AI6258" t="n">
        <v>164</v>
      </c>
      <c r="AJ6258" t="inlineStr">
        <is>
          <t>WARDAH</t>
        </is>
      </c>
      <c r="AK6258" t="n">
        <v>21</v>
      </c>
      <c r="AL6258" t="inlineStr">
        <is>
          <t>Miss Glam Damar</t>
        </is>
      </c>
      <c r="AM6258" t="n">
        <v>1</v>
      </c>
      <c r="AN6258" t="n">
        <v>500000</v>
      </c>
      <c r="AO6258" t="n">
        <v>0</v>
      </c>
      <c r="AP6258" t="inlineStr"/>
      <c r="AQ6258" t="inlineStr"/>
    </row>
    <row r="6259">
      <c r="A6259" t="inlineStr">
        <is>
          <t>WARDAH</t>
        </is>
      </c>
      <c r="B6259" s="2">
        <f>"10300726145"</f>
        <v/>
      </c>
      <c r="C6259" t="inlineStr">
        <is>
          <t>WARDAH Recombinant Collagen 2% Argireline Peptide Gel Moisturizer 30gr</t>
        </is>
      </c>
      <c r="D6259" t="inlineStr">
        <is>
          <t>Miss Glam Damar</t>
        </is>
      </c>
      <c r="E6259" t="n">
        <v>5</v>
      </c>
      <c r="F6259" t="n">
        <v>0.3094</v>
      </c>
      <c r="G6259" t="n">
        <v>1.82</v>
      </c>
      <c r="H6259" t="n">
        <v>2</v>
      </c>
      <c r="I6259" t="n">
        <v>6</v>
      </c>
      <c r="J6259" t="n">
        <v>1</v>
      </c>
      <c r="K6259" t="n">
        <v>0</v>
      </c>
      <c r="L6259" t="n">
        <v>101151</v>
      </c>
      <c r="M6259" t="n">
        <v>123500</v>
      </c>
      <c r="N6259" t="n">
        <v>91</v>
      </c>
      <c r="O6259" t="n">
        <v>0.91</v>
      </c>
      <c r="P6259" t="n">
        <v>1</v>
      </c>
      <c r="Q6259" t="n">
        <v>0.22</v>
      </c>
      <c r="R6259" t="n">
        <v>2</v>
      </c>
      <c r="S6259" t="n">
        <v>38210.9</v>
      </c>
      <c r="T6259" t="n">
        <v>11</v>
      </c>
      <c r="U6259" t="n">
        <v>12</v>
      </c>
      <c r="V6259" t="n">
        <v>30</v>
      </c>
      <c r="W6259" t="n">
        <v>10</v>
      </c>
      <c r="X6259" t="n">
        <v>16.16031027795734</v>
      </c>
      <c r="Y6259" t="n">
        <v>1</v>
      </c>
      <c r="Z6259" t="n">
        <v>5</v>
      </c>
      <c r="AA6259" t="n">
        <v>0</v>
      </c>
      <c r="AB6259" t="n">
        <v>5</v>
      </c>
      <c r="AC6259" t="n">
        <v>5</v>
      </c>
      <c r="AD6259" t="n">
        <v>0</v>
      </c>
      <c r="AE6259" t="n">
        <v>505755</v>
      </c>
      <c r="AF6259" t="n">
        <v>11727</v>
      </c>
      <c r="AG6259" t="n">
        <v>63</v>
      </c>
      <c r="AH6259" t="inlineStr">
        <is>
          <t>PT. PARAMA GLOBAL INSPIRA - PPN (PDG)</t>
        </is>
      </c>
      <c r="AI6259" t="n">
        <v>164</v>
      </c>
      <c r="AJ6259" t="inlineStr">
        <is>
          <t>WARDAH</t>
        </is>
      </c>
      <c r="AK6259" t="n">
        <v>21</v>
      </c>
      <c r="AL6259" t="inlineStr">
        <is>
          <t>Miss Glam Damar</t>
        </is>
      </c>
      <c r="AM6259" t="n">
        <v>1</v>
      </c>
      <c r="AN6259" t="n">
        <v>500000</v>
      </c>
      <c r="AO6259" t="n">
        <v>0</v>
      </c>
      <c r="AP6259" t="inlineStr"/>
      <c r="AQ6259" t="inlineStr"/>
    </row>
    <row r="6260">
      <c r="A6260" t="inlineStr">
        <is>
          <t>WARDAH</t>
        </is>
      </c>
      <c r="B6260" s="2">
        <f>"20100484058"</f>
        <v/>
      </c>
      <c r="C6260" t="inlineStr">
        <is>
          <t>WARDAH Refill Colorfit Perfect Glow Cushion 21C Shell 15gr</t>
        </is>
      </c>
      <c r="D6260" t="inlineStr">
        <is>
          <t>Miss Glam Damar</t>
        </is>
      </c>
      <c r="E6260" t="n">
        <v>4</v>
      </c>
      <c r="F6260" t="n">
        <v>0.04550000000000001</v>
      </c>
      <c r="G6260" t="n">
        <v>0.91</v>
      </c>
      <c r="H6260" t="n">
        <v>2</v>
      </c>
      <c r="I6260" t="n">
        <v>6</v>
      </c>
      <c r="J6260" t="n">
        <v>1</v>
      </c>
      <c r="K6260" t="n">
        <v>0</v>
      </c>
      <c r="L6260" t="n">
        <v>74714</v>
      </c>
      <c r="M6260" t="n">
        <v>91500</v>
      </c>
      <c r="N6260" t="n">
        <v>91</v>
      </c>
      <c r="O6260" t="n">
        <v>0.91</v>
      </c>
      <c r="P6260" t="n">
        <v>1</v>
      </c>
      <c r="Q6260" t="n">
        <v>0.02</v>
      </c>
      <c r="R6260" t="n">
        <v>1</v>
      </c>
      <c r="S6260" t="n">
        <v>4163.250000000001</v>
      </c>
      <c r="T6260" t="n">
        <v>6</v>
      </c>
      <c r="U6260" t="n">
        <v>7</v>
      </c>
      <c r="V6260" t="n">
        <v>30</v>
      </c>
      <c r="W6260" t="n">
        <v>2</v>
      </c>
      <c r="X6260" t="n">
        <v>87.9120879120879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11727</v>
      </c>
      <c r="AG6260" t="n">
        <v>63</v>
      </c>
      <c r="AH6260" t="inlineStr">
        <is>
          <t>PT. PARAMA GLOBAL INSPIRA - PPN (PDG)</t>
        </is>
      </c>
      <c r="AI6260" t="n">
        <v>164</v>
      </c>
      <c r="AJ6260" t="inlineStr">
        <is>
          <t>WARDAH</t>
        </is>
      </c>
      <c r="AK6260" t="n">
        <v>21</v>
      </c>
      <c r="AL6260" t="inlineStr">
        <is>
          <t>Miss Glam Damar</t>
        </is>
      </c>
      <c r="AM6260" t="n">
        <v>1</v>
      </c>
      <c r="AN6260" t="n">
        <v>500000</v>
      </c>
      <c r="AO6260" t="n">
        <v>0</v>
      </c>
      <c r="AP6260" t="inlineStr"/>
      <c r="AQ6260" t="inlineStr"/>
    </row>
    <row r="6261">
      <c r="A6261" t="inlineStr">
        <is>
          <t>WARDAH</t>
        </is>
      </c>
      <c r="B6261" s="2">
        <f>"20100484150"</f>
        <v/>
      </c>
      <c r="C6261" t="inlineStr">
        <is>
          <t>WARDAH Refill Colorfit Perfect Glow Cushion 21W Linen 15gr</t>
        </is>
      </c>
      <c r="D6261" t="inlineStr">
        <is>
          <t>Miss Glam Damar</t>
        </is>
      </c>
      <c r="E6261" t="n">
        <v>5</v>
      </c>
      <c r="F6261" t="n">
        <v>0.182</v>
      </c>
      <c r="G6261" t="n">
        <v>0.91</v>
      </c>
      <c r="H6261" t="n">
        <v>2</v>
      </c>
      <c r="I6261" t="n">
        <v>6</v>
      </c>
      <c r="J6261" t="n">
        <v>1</v>
      </c>
      <c r="K6261" t="n">
        <v>0</v>
      </c>
      <c r="L6261" t="n">
        <v>74714</v>
      </c>
      <c r="M6261" t="n">
        <v>91500</v>
      </c>
      <c r="N6261" t="n">
        <v>91</v>
      </c>
      <c r="O6261" t="n">
        <v>0.91</v>
      </c>
      <c r="P6261" t="n">
        <v>1</v>
      </c>
      <c r="Q6261" t="n">
        <v>0.07000000000000001</v>
      </c>
      <c r="R6261" t="n">
        <v>1</v>
      </c>
      <c r="S6261" t="n">
        <v>16653</v>
      </c>
      <c r="T6261" t="n">
        <v>6</v>
      </c>
      <c r="U6261" t="n">
        <v>7</v>
      </c>
      <c r="V6261" t="n">
        <v>30</v>
      </c>
      <c r="W6261" t="n">
        <v>6</v>
      </c>
      <c r="X6261" t="n">
        <v>27.47252747252747</v>
      </c>
      <c r="Y6261" t="n">
        <v>1</v>
      </c>
      <c r="Z6261" t="n">
        <v>1</v>
      </c>
      <c r="AA6261" t="n">
        <v>0</v>
      </c>
      <c r="AB6261" t="n">
        <v>1</v>
      </c>
      <c r="AC6261" t="n">
        <v>1</v>
      </c>
      <c r="AD6261" t="n">
        <v>0</v>
      </c>
      <c r="AE6261" t="n">
        <v>74714</v>
      </c>
      <c r="AF6261" t="n">
        <v>11727</v>
      </c>
      <c r="AG6261" t="n">
        <v>63</v>
      </c>
      <c r="AH6261" t="inlineStr">
        <is>
          <t>PT. PARAMA GLOBAL INSPIRA - PPN (PDG)</t>
        </is>
      </c>
      <c r="AI6261" t="n">
        <v>164</v>
      </c>
      <c r="AJ6261" t="inlineStr">
        <is>
          <t>WARDAH</t>
        </is>
      </c>
      <c r="AK6261" t="n">
        <v>21</v>
      </c>
      <c r="AL6261" t="inlineStr">
        <is>
          <t>Miss Glam Damar</t>
        </is>
      </c>
      <c r="AM6261" t="n">
        <v>1</v>
      </c>
      <c r="AN6261" t="n">
        <v>500000</v>
      </c>
      <c r="AO6261" t="n">
        <v>0</v>
      </c>
      <c r="AP6261" t="inlineStr"/>
      <c r="AQ6261" t="inlineStr"/>
    </row>
    <row r="6262">
      <c r="A6262" t="inlineStr">
        <is>
          <t>WARDAH</t>
        </is>
      </c>
      <c r="B6262" s="2">
        <f>"20100484240"</f>
        <v/>
      </c>
      <c r="C6262" t="inlineStr">
        <is>
          <t>WARDAH Refill Colorfit Perfect Glow Cushion 31W Crème Beige 15gr</t>
        </is>
      </c>
      <c r="D6262" t="inlineStr">
        <is>
          <t>Miss Glam Damar</t>
        </is>
      </c>
      <c r="E6262" t="n">
        <v>5</v>
      </c>
      <c r="F6262" t="n">
        <v>0.06370000000000001</v>
      </c>
      <c r="G6262" t="n">
        <v>0.91</v>
      </c>
      <c r="H6262" t="n">
        <v>2</v>
      </c>
      <c r="I6262" t="n">
        <v>6</v>
      </c>
      <c r="J6262" t="n">
        <v>1</v>
      </c>
      <c r="K6262" t="n">
        <v>0</v>
      </c>
      <c r="L6262" t="n">
        <v>74714</v>
      </c>
      <c r="M6262" t="n">
        <v>91500</v>
      </c>
      <c r="N6262" t="n">
        <v>91</v>
      </c>
      <c r="O6262" t="n">
        <v>0.91</v>
      </c>
      <c r="P6262" t="n">
        <v>1</v>
      </c>
      <c r="Q6262" t="n">
        <v>0.05</v>
      </c>
      <c r="R6262" t="n">
        <v>1</v>
      </c>
      <c r="S6262" t="n">
        <v>5828.55</v>
      </c>
      <c r="T6262" t="n">
        <v>6</v>
      </c>
      <c r="U6262" t="n">
        <v>7</v>
      </c>
      <c r="V6262" t="n">
        <v>30</v>
      </c>
      <c r="W6262" t="n">
        <v>2</v>
      </c>
      <c r="X6262" t="n">
        <v>78.49293563579278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11727</v>
      </c>
      <c r="AG6262" t="n">
        <v>63</v>
      </c>
      <c r="AH6262" t="inlineStr">
        <is>
          <t>PT. PARAMA GLOBAL INSPIRA - PPN (PDG)</t>
        </is>
      </c>
      <c r="AI6262" t="n">
        <v>164</v>
      </c>
      <c r="AJ6262" t="inlineStr">
        <is>
          <t>WARDAH</t>
        </is>
      </c>
      <c r="AK6262" t="n">
        <v>21</v>
      </c>
      <c r="AL6262" t="inlineStr">
        <is>
          <t>Miss Glam Damar</t>
        </is>
      </c>
      <c r="AM6262" t="n">
        <v>1</v>
      </c>
      <c r="AN6262" t="n">
        <v>500000</v>
      </c>
      <c r="AO6262" t="n">
        <v>0</v>
      </c>
      <c r="AP6262" t="inlineStr"/>
      <c r="AQ6262" t="inlineStr"/>
    </row>
    <row r="6263">
      <c r="A6263" t="inlineStr">
        <is>
          <t>WARDAH</t>
        </is>
      </c>
      <c r="B6263" s="2">
        <f>"20100484348"</f>
        <v/>
      </c>
      <c r="C6263" t="inlineStr">
        <is>
          <t>WARDAH Refill Colorfit Perfect Glow Cushion 33W Olive Beige 15gr</t>
        </is>
      </c>
      <c r="D6263" t="inlineStr">
        <is>
          <t>Miss Glam Damar</t>
        </is>
      </c>
      <c r="E6263" t="n">
        <v>7</v>
      </c>
      <c r="F6263" t="n">
        <v>0.06370000000000001</v>
      </c>
      <c r="G6263" t="n">
        <v>0.91</v>
      </c>
      <c r="H6263" t="n">
        <v>2</v>
      </c>
      <c r="I6263" t="n">
        <v>6</v>
      </c>
      <c r="J6263" t="n">
        <v>1</v>
      </c>
      <c r="K6263" t="n">
        <v>0</v>
      </c>
      <c r="L6263" t="n">
        <v>74714</v>
      </c>
      <c r="M6263" t="n">
        <v>91500</v>
      </c>
      <c r="N6263" t="n">
        <v>91</v>
      </c>
      <c r="O6263" t="n">
        <v>0.91</v>
      </c>
      <c r="P6263" t="n">
        <v>1</v>
      </c>
      <c r="Q6263" t="n">
        <v>0.08</v>
      </c>
      <c r="R6263" t="n">
        <v>2</v>
      </c>
      <c r="S6263" t="n">
        <v>5828.55</v>
      </c>
      <c r="T6263" t="n">
        <v>6</v>
      </c>
      <c r="U6263" t="n">
        <v>7</v>
      </c>
      <c r="V6263" t="n">
        <v>30</v>
      </c>
      <c r="W6263" t="n">
        <v>2</v>
      </c>
      <c r="X6263" t="n">
        <v>109.8901098901099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11727</v>
      </c>
      <c r="AG6263" t="n">
        <v>63</v>
      </c>
      <c r="AH6263" t="inlineStr">
        <is>
          <t>PT. PARAMA GLOBAL INSPIRA - PPN (PDG)</t>
        </is>
      </c>
      <c r="AI6263" t="n">
        <v>164</v>
      </c>
      <c r="AJ6263" t="inlineStr">
        <is>
          <t>WARDAH</t>
        </is>
      </c>
      <c r="AK6263" t="n">
        <v>21</v>
      </c>
      <c r="AL6263" t="inlineStr">
        <is>
          <t>Miss Glam Damar</t>
        </is>
      </c>
      <c r="AM6263" t="n">
        <v>1</v>
      </c>
      <c r="AN6263" t="n">
        <v>500000</v>
      </c>
      <c r="AO6263" t="n">
        <v>0</v>
      </c>
      <c r="AP6263" t="inlineStr"/>
      <c r="AQ6263" t="inlineStr"/>
    </row>
    <row r="6264">
      <c r="A6264" t="inlineStr">
        <is>
          <t>WARDAH</t>
        </is>
      </c>
      <c r="B6264" s="2">
        <f>"8993137679077"</f>
        <v/>
      </c>
      <c r="C6264" t="inlineStr">
        <is>
          <t>WARDAH Refill Exclusive Two Way Cake 03 Sandy Beige 12gr</t>
        </is>
      </c>
      <c r="D6264" t="inlineStr">
        <is>
          <t>Miss Glam Damar</t>
        </is>
      </c>
      <c r="E6264" t="n">
        <v>9</v>
      </c>
      <c r="F6264" t="n">
        <v>0.5369</v>
      </c>
      <c r="G6264" t="n">
        <v>2.73</v>
      </c>
      <c r="H6264" t="n">
        <v>2</v>
      </c>
      <c r="I6264" t="n">
        <v>6</v>
      </c>
      <c r="J6264" t="n">
        <v>3</v>
      </c>
      <c r="K6264" t="n">
        <v>0</v>
      </c>
      <c r="L6264" t="n">
        <v>47511</v>
      </c>
      <c r="M6264" t="n">
        <v>58000</v>
      </c>
      <c r="N6264" t="n">
        <v>91</v>
      </c>
      <c r="O6264" t="n">
        <v>0.91</v>
      </c>
      <c r="P6264" t="n">
        <v>1</v>
      </c>
      <c r="Q6264" t="n">
        <v>0.31</v>
      </c>
      <c r="R6264" t="n">
        <v>2</v>
      </c>
      <c r="S6264" t="n">
        <v>31140.2</v>
      </c>
      <c r="T6264" t="n">
        <v>16</v>
      </c>
      <c r="U6264" t="n">
        <v>18</v>
      </c>
      <c r="V6264" t="n">
        <v>30</v>
      </c>
      <c r="W6264" t="n">
        <v>17</v>
      </c>
      <c r="X6264" t="n">
        <v>16.76289811883032</v>
      </c>
      <c r="Y6264" t="n">
        <v>1</v>
      </c>
      <c r="Z6264" t="n">
        <v>8</v>
      </c>
      <c r="AA6264" t="n">
        <v>0</v>
      </c>
      <c r="AB6264" t="n">
        <v>8</v>
      </c>
      <c r="AC6264" t="n">
        <v>8</v>
      </c>
      <c r="AD6264" t="n">
        <v>0</v>
      </c>
      <c r="AE6264" t="n">
        <v>380088</v>
      </c>
      <c r="AF6264" t="n">
        <v>11727</v>
      </c>
      <c r="AG6264" t="n">
        <v>63</v>
      </c>
      <c r="AH6264" t="inlineStr">
        <is>
          <t>PT. PARAMA GLOBAL INSPIRA - PPN (PDG)</t>
        </is>
      </c>
      <c r="AI6264" t="n">
        <v>164</v>
      </c>
      <c r="AJ6264" t="inlineStr">
        <is>
          <t>WARDAH</t>
        </is>
      </c>
      <c r="AK6264" t="n">
        <v>21</v>
      </c>
      <c r="AL6264" t="inlineStr">
        <is>
          <t>Miss Glam Damar</t>
        </is>
      </c>
      <c r="AM6264" t="n">
        <v>1</v>
      </c>
      <c r="AN6264" t="n">
        <v>500000</v>
      </c>
      <c r="AO6264" t="n">
        <v>0</v>
      </c>
      <c r="AP6264" t="inlineStr"/>
      <c r="AQ6264" t="inlineStr"/>
    </row>
    <row r="6265">
      <c r="A6265" t="inlineStr">
        <is>
          <t>WARDAH</t>
        </is>
      </c>
      <c r="B6265" s="2">
        <f>"8993137679084"</f>
        <v/>
      </c>
      <c r="C6265" t="inlineStr">
        <is>
          <t>WARDAH Refill Exclusive Two Way Cake 12 g - Bedak - 04 Natural</t>
        </is>
      </c>
      <c r="D6265" t="inlineStr">
        <is>
          <t>Miss Glam Damar</t>
        </is>
      </c>
      <c r="E6265" t="n">
        <v>25</v>
      </c>
      <c r="F6265" t="n">
        <v>0.7098000000000001</v>
      </c>
      <c r="G6265" t="n">
        <v>2.73</v>
      </c>
      <c r="H6265" t="n">
        <v>2</v>
      </c>
      <c r="I6265" t="n">
        <v>6</v>
      </c>
      <c r="J6265" t="n">
        <v>3</v>
      </c>
      <c r="K6265" t="n">
        <v>0</v>
      </c>
      <c r="L6265" t="n">
        <v>47510</v>
      </c>
      <c r="M6265" t="n">
        <v>58000</v>
      </c>
      <c r="N6265" t="n">
        <v>91</v>
      </c>
      <c r="O6265" t="n">
        <v>0.91</v>
      </c>
      <c r="P6265" t="n">
        <v>1</v>
      </c>
      <c r="Q6265" t="n">
        <v>0.6899999999999999</v>
      </c>
      <c r="R6265" t="n">
        <v>3</v>
      </c>
      <c r="S6265" t="n">
        <v>41168.40000000001</v>
      </c>
      <c r="T6265" t="n">
        <v>15</v>
      </c>
      <c r="U6265" t="n">
        <v>17</v>
      </c>
      <c r="V6265" t="n">
        <v>30</v>
      </c>
      <c r="W6265" t="n">
        <v>22</v>
      </c>
      <c r="X6265" t="n">
        <v>35.22118906734291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11727</v>
      </c>
      <c r="AG6265" t="n">
        <v>63</v>
      </c>
      <c r="AH6265" t="inlineStr">
        <is>
          <t>PT. PARAMA GLOBAL INSPIRA - PPN (PDG)</t>
        </is>
      </c>
      <c r="AI6265" t="n">
        <v>164</v>
      </c>
      <c r="AJ6265" t="inlineStr">
        <is>
          <t>WARDAH</t>
        </is>
      </c>
      <c r="AK6265" t="n">
        <v>21</v>
      </c>
      <c r="AL6265" t="inlineStr">
        <is>
          <t>Miss Glam Damar</t>
        </is>
      </c>
      <c r="AM6265" t="n">
        <v>1</v>
      </c>
      <c r="AN6265" t="n">
        <v>500000</v>
      </c>
      <c r="AO6265" t="n">
        <v>0</v>
      </c>
      <c r="AP6265" t="inlineStr"/>
      <c r="AQ6265" t="inlineStr"/>
    </row>
    <row r="6266">
      <c r="A6266" t="inlineStr">
        <is>
          <t>WARDAH</t>
        </is>
      </c>
      <c r="B6266" s="2">
        <f>"8993137685696"</f>
        <v/>
      </c>
      <c r="C6266" t="inlineStr">
        <is>
          <t>WARDAH Refill Lightening Powder Foundation Light Feel 01 Golden Sand 12gr</t>
        </is>
      </c>
      <c r="D6266" t="inlineStr">
        <is>
          <t>Miss Glam Damar</t>
        </is>
      </c>
      <c r="E6266" t="n">
        <v>21</v>
      </c>
      <c r="F6266" t="n">
        <v>1.1375</v>
      </c>
      <c r="G6266" t="n">
        <v>4.55</v>
      </c>
      <c r="H6266" t="n">
        <v>2</v>
      </c>
      <c r="I6266" t="n">
        <v>6</v>
      </c>
      <c r="J6266" t="n">
        <v>3</v>
      </c>
      <c r="K6266" t="n">
        <v>0</v>
      </c>
      <c r="L6266" t="n">
        <v>29119</v>
      </c>
      <c r="M6266" t="n">
        <v>36000</v>
      </c>
      <c r="N6266" t="n">
        <v>91</v>
      </c>
      <c r="O6266" t="n">
        <v>0.91</v>
      </c>
      <c r="P6266" t="n">
        <v>1</v>
      </c>
      <c r="Q6266" t="n">
        <v>0.71</v>
      </c>
      <c r="R6266" t="n">
        <v>4</v>
      </c>
      <c r="S6266" t="n">
        <v>40950</v>
      </c>
      <c r="T6266" t="n">
        <v>26</v>
      </c>
      <c r="U6266" t="n">
        <v>29</v>
      </c>
      <c r="V6266" t="n">
        <v>30</v>
      </c>
      <c r="W6266" t="n">
        <v>35</v>
      </c>
      <c r="X6266" t="n">
        <v>18.46153846153846</v>
      </c>
      <c r="Y6266" t="n">
        <v>1</v>
      </c>
      <c r="Z6266" t="n">
        <v>14</v>
      </c>
      <c r="AA6266" t="n">
        <v>0</v>
      </c>
      <c r="AB6266" t="n">
        <v>14</v>
      </c>
      <c r="AC6266" t="n">
        <v>14</v>
      </c>
      <c r="AD6266" t="n">
        <v>0</v>
      </c>
      <c r="AE6266" t="n">
        <v>407666</v>
      </c>
      <c r="AF6266" t="n">
        <v>11727</v>
      </c>
      <c r="AG6266" t="n">
        <v>63</v>
      </c>
      <c r="AH6266" t="inlineStr">
        <is>
          <t>PT. PARAMA GLOBAL INSPIRA - PPN (PDG)</t>
        </is>
      </c>
      <c r="AI6266" t="n">
        <v>164</v>
      </c>
      <c r="AJ6266" t="inlineStr">
        <is>
          <t>WARDAH</t>
        </is>
      </c>
      <c r="AK6266" t="n">
        <v>21</v>
      </c>
      <c r="AL6266" t="inlineStr">
        <is>
          <t>Miss Glam Damar</t>
        </is>
      </c>
      <c r="AM6266" t="n">
        <v>1</v>
      </c>
      <c r="AN6266" t="n">
        <v>500000</v>
      </c>
      <c r="AO6266" t="n">
        <v>0</v>
      </c>
      <c r="AP6266" t="inlineStr"/>
      <c r="AQ6266" t="inlineStr"/>
    </row>
    <row r="6267">
      <c r="A6267" t="inlineStr">
        <is>
          <t>WARDAH</t>
        </is>
      </c>
      <c r="B6267" s="2">
        <f>"8993137685702"</f>
        <v/>
      </c>
      <c r="C6267" t="inlineStr">
        <is>
          <t>WARDAH Refill Lightening Powder Foundation Light Feel 02 Golden Beige 12gr</t>
        </is>
      </c>
      <c r="D6267" t="inlineStr">
        <is>
          <t>Miss Glam Damar</t>
        </is>
      </c>
      <c r="E6267" t="n">
        <v>16</v>
      </c>
      <c r="F6267" t="n">
        <v>1.3286</v>
      </c>
      <c r="G6267" t="n">
        <v>4.55</v>
      </c>
      <c r="H6267" t="n">
        <v>2</v>
      </c>
      <c r="I6267" t="n">
        <v>6</v>
      </c>
      <c r="J6267" t="n">
        <v>3</v>
      </c>
      <c r="K6267" t="n">
        <v>0</v>
      </c>
      <c r="L6267" t="n">
        <v>30097</v>
      </c>
      <c r="M6267" t="n">
        <v>36000</v>
      </c>
      <c r="N6267" t="n">
        <v>91</v>
      </c>
      <c r="O6267" t="n">
        <v>0.91</v>
      </c>
      <c r="P6267" t="n">
        <v>1</v>
      </c>
      <c r="Q6267" t="n">
        <v>0.75</v>
      </c>
      <c r="R6267" t="n">
        <v>4</v>
      </c>
      <c r="S6267" t="n">
        <v>47829.6</v>
      </c>
      <c r="T6267" t="n">
        <v>25</v>
      </c>
      <c r="U6267" t="n">
        <v>28</v>
      </c>
      <c r="V6267" t="n">
        <v>30</v>
      </c>
      <c r="W6267" t="n">
        <v>40</v>
      </c>
      <c r="X6267" t="n">
        <v>12.04275176877917</v>
      </c>
      <c r="Y6267" t="n">
        <v>1</v>
      </c>
      <c r="Z6267" t="n">
        <v>24</v>
      </c>
      <c r="AA6267" t="n">
        <v>0</v>
      </c>
      <c r="AB6267" t="n">
        <v>24</v>
      </c>
      <c r="AC6267" t="n">
        <v>24</v>
      </c>
      <c r="AD6267" t="n">
        <v>0</v>
      </c>
      <c r="AE6267" t="n">
        <v>722328</v>
      </c>
      <c r="AF6267" t="n">
        <v>11727</v>
      </c>
      <c r="AG6267" t="n">
        <v>63</v>
      </c>
      <c r="AH6267" t="inlineStr">
        <is>
          <t>PT. PARAMA GLOBAL INSPIRA - PPN (PDG)</t>
        </is>
      </c>
      <c r="AI6267" t="n">
        <v>164</v>
      </c>
      <c r="AJ6267" t="inlineStr">
        <is>
          <t>WARDAH</t>
        </is>
      </c>
      <c r="AK6267" t="n">
        <v>21</v>
      </c>
      <c r="AL6267" t="inlineStr">
        <is>
          <t>Miss Glam Damar</t>
        </is>
      </c>
      <c r="AM6267" t="n">
        <v>1</v>
      </c>
      <c r="AN6267" t="n">
        <v>500000</v>
      </c>
      <c r="AO6267" t="n">
        <v>0</v>
      </c>
      <c r="AP6267" t="inlineStr"/>
      <c r="AQ6267" t="inlineStr"/>
    </row>
    <row r="6268">
      <c r="A6268" t="inlineStr">
        <is>
          <t>WARDAH</t>
        </is>
      </c>
      <c r="B6268" s="2">
        <f>"8993137685726"</f>
        <v/>
      </c>
      <c r="C6268" t="inlineStr">
        <is>
          <t>WARDAH Refill Lightening Powder Foundation Light Feel 04 Natural 12gr</t>
        </is>
      </c>
      <c r="D6268" t="inlineStr">
        <is>
          <t>Miss Glam Damar</t>
        </is>
      </c>
      <c r="E6268" t="n">
        <v>20</v>
      </c>
      <c r="F6268" t="n">
        <v>0.9555000000000001</v>
      </c>
      <c r="G6268" t="n">
        <v>3.64</v>
      </c>
      <c r="H6268" t="n">
        <v>2</v>
      </c>
      <c r="I6268" t="n">
        <v>6</v>
      </c>
      <c r="J6268" t="n">
        <v>3</v>
      </c>
      <c r="K6268" t="n">
        <v>0</v>
      </c>
      <c r="L6268" t="n">
        <v>29119</v>
      </c>
      <c r="M6268" t="n">
        <v>36000</v>
      </c>
      <c r="N6268" t="n">
        <v>91</v>
      </c>
      <c r="O6268" t="n">
        <v>0.91</v>
      </c>
      <c r="P6268" t="n">
        <v>1</v>
      </c>
      <c r="Q6268" t="n">
        <v>0.59</v>
      </c>
      <c r="R6268" t="n">
        <v>3</v>
      </c>
      <c r="S6268" t="n">
        <v>34398.00000000001</v>
      </c>
      <c r="T6268" t="n">
        <v>20</v>
      </c>
      <c r="U6268" t="n">
        <v>22</v>
      </c>
      <c r="V6268" t="n">
        <v>30</v>
      </c>
      <c r="W6268" t="n">
        <v>29</v>
      </c>
      <c r="X6268" t="n">
        <v>20.93144950287807</v>
      </c>
      <c r="Y6268" t="n">
        <v>1</v>
      </c>
      <c r="Z6268" t="n">
        <v>9</v>
      </c>
      <c r="AA6268" t="n">
        <v>0</v>
      </c>
      <c r="AB6268" t="n">
        <v>9</v>
      </c>
      <c r="AC6268" t="n">
        <v>9</v>
      </c>
      <c r="AD6268" t="n">
        <v>0</v>
      </c>
      <c r="AE6268" t="n">
        <v>262071</v>
      </c>
      <c r="AF6268" t="n">
        <v>11727</v>
      </c>
      <c r="AG6268" t="n">
        <v>63</v>
      </c>
      <c r="AH6268" t="inlineStr">
        <is>
          <t>PT. PARAMA GLOBAL INSPIRA - PPN (PDG)</t>
        </is>
      </c>
      <c r="AI6268" t="n">
        <v>164</v>
      </c>
      <c r="AJ6268" t="inlineStr">
        <is>
          <t>WARDAH</t>
        </is>
      </c>
      <c r="AK6268" t="n">
        <v>21</v>
      </c>
      <c r="AL6268" t="inlineStr">
        <is>
          <t>Miss Glam Damar</t>
        </is>
      </c>
      <c r="AM6268" t="n">
        <v>1</v>
      </c>
      <c r="AN6268" t="n">
        <v>500000</v>
      </c>
      <c r="AO6268" t="n">
        <v>0</v>
      </c>
      <c r="AP6268" t="inlineStr"/>
      <c r="AQ6268" t="inlineStr"/>
    </row>
    <row r="6269">
      <c r="A6269" t="inlineStr">
        <is>
          <t>WARDAH</t>
        </is>
      </c>
      <c r="B6269" s="2">
        <f>"8993137691109"</f>
        <v/>
      </c>
      <c r="C6269" t="inlineStr">
        <is>
          <t>WARDAH Renew You 1% Retinol Microcapsule Ceramide Cell Renewal Serum 15ml</t>
        </is>
      </c>
      <c r="D6269" t="inlineStr">
        <is>
          <t>Miss Glam Damar</t>
        </is>
      </c>
      <c r="E6269" t="n">
        <v>16</v>
      </c>
      <c r="F6269" t="n">
        <v>0.2821</v>
      </c>
      <c r="G6269" t="n">
        <v>1.82</v>
      </c>
      <c r="H6269" t="n">
        <v>2</v>
      </c>
      <c r="I6269" t="n">
        <v>6</v>
      </c>
      <c r="J6269" t="n">
        <v>3</v>
      </c>
      <c r="K6269" t="n">
        <v>0</v>
      </c>
      <c r="L6269" t="n">
        <v>75926</v>
      </c>
      <c r="M6269" t="n">
        <v>93000</v>
      </c>
      <c r="N6269" t="n">
        <v>91</v>
      </c>
      <c r="O6269" t="n">
        <v>0.91</v>
      </c>
      <c r="P6269" t="n">
        <v>1</v>
      </c>
      <c r="Q6269" t="n">
        <v>0.47</v>
      </c>
      <c r="R6269" t="n">
        <v>4</v>
      </c>
      <c r="S6269" t="n">
        <v>26235.3</v>
      </c>
      <c r="T6269" t="n">
        <v>11</v>
      </c>
      <c r="U6269" t="n">
        <v>12</v>
      </c>
      <c r="V6269" t="n">
        <v>30</v>
      </c>
      <c r="W6269" t="n">
        <v>9</v>
      </c>
      <c r="X6269" t="n">
        <v>56.71747607231478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11727</v>
      </c>
      <c r="AG6269" t="n">
        <v>63</v>
      </c>
      <c r="AH6269" t="inlineStr">
        <is>
          <t>PT. PARAMA GLOBAL INSPIRA - PPN (PDG)</t>
        </is>
      </c>
      <c r="AI6269" t="n">
        <v>164</v>
      </c>
      <c r="AJ6269" t="inlineStr">
        <is>
          <t>WARDAH</t>
        </is>
      </c>
      <c r="AK6269" t="n">
        <v>21</v>
      </c>
      <c r="AL6269" t="inlineStr">
        <is>
          <t>Miss Glam Damar</t>
        </is>
      </c>
      <c r="AM6269" t="n">
        <v>1</v>
      </c>
      <c r="AN6269" t="n">
        <v>500000</v>
      </c>
      <c r="AO6269" t="n">
        <v>0</v>
      </c>
      <c r="AP6269" t="inlineStr"/>
      <c r="AQ6269" t="inlineStr"/>
    </row>
    <row r="6270">
      <c r="A6270" t="inlineStr">
        <is>
          <t>WARDAH</t>
        </is>
      </c>
      <c r="B6270" s="2">
        <f>"8993137691086"</f>
        <v/>
      </c>
      <c r="C6270" t="inlineStr">
        <is>
          <t>WARDAH Renew You Anti Aging Day Cream SPF30 PA+++ 30gr</t>
        </is>
      </c>
      <c r="D6270" t="inlineStr">
        <is>
          <t>Miss Glam Damar</t>
        </is>
      </c>
      <c r="E6270" t="n">
        <v>14</v>
      </c>
      <c r="F6270" t="n">
        <v>0.6825</v>
      </c>
      <c r="G6270" t="n">
        <v>4.55</v>
      </c>
      <c r="H6270" t="n">
        <v>2</v>
      </c>
      <c r="I6270" t="n">
        <v>6</v>
      </c>
      <c r="J6270" t="n">
        <v>3</v>
      </c>
      <c r="K6270" t="n">
        <v>0</v>
      </c>
      <c r="L6270" t="n">
        <v>87322</v>
      </c>
      <c r="M6270" t="n">
        <v>106500</v>
      </c>
      <c r="N6270" t="n">
        <v>91</v>
      </c>
      <c r="O6270" t="n">
        <v>0.91</v>
      </c>
      <c r="P6270" t="n">
        <v>1</v>
      </c>
      <c r="Q6270" t="n">
        <v>0.92</v>
      </c>
      <c r="R6270" t="n">
        <v>3</v>
      </c>
      <c r="S6270" t="n">
        <v>72686.25</v>
      </c>
      <c r="T6270" t="n">
        <v>26</v>
      </c>
      <c r="U6270" t="n">
        <v>28</v>
      </c>
      <c r="V6270" t="n">
        <v>30</v>
      </c>
      <c r="W6270" t="n">
        <v>21</v>
      </c>
      <c r="X6270" t="n">
        <v>20.51282051282051</v>
      </c>
      <c r="Y6270" t="n">
        <v>1</v>
      </c>
      <c r="Z6270" t="n">
        <v>7</v>
      </c>
      <c r="AA6270" t="n">
        <v>0</v>
      </c>
      <c r="AB6270" t="n">
        <v>7</v>
      </c>
      <c r="AC6270" t="n">
        <v>7</v>
      </c>
      <c r="AD6270" t="n">
        <v>0</v>
      </c>
      <c r="AE6270" t="n">
        <v>611254</v>
      </c>
      <c r="AF6270" t="n">
        <v>11727</v>
      </c>
      <c r="AG6270" t="n">
        <v>63</v>
      </c>
      <c r="AH6270" t="inlineStr">
        <is>
          <t>PT. PARAMA GLOBAL INSPIRA - PPN (PDG)</t>
        </is>
      </c>
      <c r="AI6270" t="n">
        <v>164</v>
      </c>
      <c r="AJ6270" t="inlineStr">
        <is>
          <t>WARDAH</t>
        </is>
      </c>
      <c r="AK6270" t="n">
        <v>21</v>
      </c>
      <c r="AL6270" t="inlineStr">
        <is>
          <t>Miss Glam Damar</t>
        </is>
      </c>
      <c r="AM6270" t="n">
        <v>1</v>
      </c>
      <c r="AN6270" t="n">
        <v>500000</v>
      </c>
      <c r="AO6270" t="n">
        <v>0</v>
      </c>
      <c r="AP6270" t="inlineStr"/>
      <c r="AQ6270" t="inlineStr"/>
    </row>
    <row r="6271">
      <c r="A6271" t="inlineStr">
        <is>
          <t>WARDAH</t>
        </is>
      </c>
      <c r="B6271" s="2">
        <f>"8993137691093"</f>
        <v/>
      </c>
      <c r="C6271" t="inlineStr">
        <is>
          <t>WARDAH Renew You Anti Aging Night Cream 30G</t>
        </is>
      </c>
      <c r="D6271" t="inlineStr">
        <is>
          <t>Miss Glam Damar</t>
        </is>
      </c>
      <c r="E6271" t="n">
        <v>9</v>
      </c>
      <c r="F6271" t="n">
        <v>0.4914000000000001</v>
      </c>
      <c r="G6271" t="n">
        <v>2.73</v>
      </c>
      <c r="H6271" t="n">
        <v>2</v>
      </c>
      <c r="I6271" t="n">
        <v>6</v>
      </c>
      <c r="J6271" t="n">
        <v>3</v>
      </c>
      <c r="K6271" t="n">
        <v>0</v>
      </c>
      <c r="L6271" t="n">
        <v>86982</v>
      </c>
      <c r="M6271" t="n">
        <v>106500</v>
      </c>
      <c r="N6271" t="n">
        <v>91</v>
      </c>
      <c r="O6271" t="n">
        <v>0.91</v>
      </c>
      <c r="P6271" t="n">
        <v>1</v>
      </c>
      <c r="Q6271" t="n">
        <v>0.49</v>
      </c>
      <c r="R6271" t="n">
        <v>3</v>
      </c>
      <c r="S6271" t="n">
        <v>52334.10000000001</v>
      </c>
      <c r="T6271" t="n">
        <v>16</v>
      </c>
      <c r="U6271" t="n">
        <v>17</v>
      </c>
      <c r="V6271" t="n">
        <v>30</v>
      </c>
      <c r="W6271" t="n">
        <v>15</v>
      </c>
      <c r="X6271" t="n">
        <v>18.31501831501831</v>
      </c>
      <c r="Y6271" t="n">
        <v>1</v>
      </c>
      <c r="Z6271" t="n">
        <v>6</v>
      </c>
      <c r="AA6271" t="n">
        <v>0</v>
      </c>
      <c r="AB6271" t="n">
        <v>6</v>
      </c>
      <c r="AC6271" t="n">
        <v>6</v>
      </c>
      <c r="AD6271" t="n">
        <v>0</v>
      </c>
      <c r="AE6271" t="n">
        <v>521892</v>
      </c>
      <c r="AF6271" t="n">
        <v>11727</v>
      </c>
      <c r="AG6271" t="n">
        <v>63</v>
      </c>
      <c r="AH6271" t="inlineStr">
        <is>
          <t>PT. PARAMA GLOBAL INSPIRA - PPN (PDG)</t>
        </is>
      </c>
      <c r="AI6271" t="n">
        <v>164</v>
      </c>
      <c r="AJ6271" t="inlineStr">
        <is>
          <t>WARDAH</t>
        </is>
      </c>
      <c r="AK6271" t="n">
        <v>21</v>
      </c>
      <c r="AL6271" t="inlineStr">
        <is>
          <t>Miss Glam Damar</t>
        </is>
      </c>
      <c r="AM6271" t="n">
        <v>1</v>
      </c>
      <c r="AN6271" t="n">
        <v>500000</v>
      </c>
      <c r="AO6271" t="n">
        <v>0</v>
      </c>
      <c r="AP6271" t="inlineStr"/>
      <c r="AQ6271" t="inlineStr"/>
    </row>
    <row r="6272">
      <c r="A6272" t="inlineStr">
        <is>
          <t>WARDAH</t>
        </is>
      </c>
      <c r="B6272" s="2">
        <f>"8993137692717"</f>
        <v/>
      </c>
      <c r="C6272" t="inlineStr">
        <is>
          <t>WARDAH Renew You Day Cream 15gr</t>
        </is>
      </c>
      <c r="D6272" t="inlineStr">
        <is>
          <t>Miss Glam Damar</t>
        </is>
      </c>
      <c r="E6272" t="n">
        <v>19</v>
      </c>
      <c r="F6272" t="n">
        <v>0.5096000000000001</v>
      </c>
      <c r="G6272" t="n">
        <v>1.82</v>
      </c>
      <c r="H6272" t="n">
        <v>2</v>
      </c>
      <c r="I6272" t="n">
        <v>6</v>
      </c>
      <c r="J6272" t="n">
        <v>3</v>
      </c>
      <c r="K6272" t="n">
        <v>0</v>
      </c>
      <c r="L6272" t="n">
        <v>43296</v>
      </c>
      <c r="M6272" t="n">
        <v>53000</v>
      </c>
      <c r="N6272" t="n">
        <v>91</v>
      </c>
      <c r="O6272" t="n">
        <v>0.91</v>
      </c>
      <c r="P6272" t="n">
        <v>1</v>
      </c>
      <c r="Q6272" t="n">
        <v>0.54</v>
      </c>
      <c r="R6272" t="n">
        <v>4</v>
      </c>
      <c r="S6272" t="n">
        <v>27008.8</v>
      </c>
      <c r="T6272" t="n">
        <v>10</v>
      </c>
      <c r="U6272" t="n">
        <v>12</v>
      </c>
      <c r="V6272" t="n">
        <v>30</v>
      </c>
      <c r="W6272" t="n">
        <v>16</v>
      </c>
      <c r="X6272" t="n">
        <v>37.28414442700156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11727</v>
      </c>
      <c r="AG6272" t="n">
        <v>63</v>
      </c>
      <c r="AH6272" t="inlineStr">
        <is>
          <t>PT. PARAMA GLOBAL INSPIRA - PPN (PDG)</t>
        </is>
      </c>
      <c r="AI6272" t="n">
        <v>164</v>
      </c>
      <c r="AJ6272" t="inlineStr">
        <is>
          <t>WARDAH</t>
        </is>
      </c>
      <c r="AK6272" t="n">
        <v>21</v>
      </c>
      <c r="AL6272" t="inlineStr">
        <is>
          <t>Miss Glam Damar</t>
        </is>
      </c>
      <c r="AM6272" t="n">
        <v>1</v>
      </c>
      <c r="AN6272" t="n">
        <v>500000</v>
      </c>
      <c r="AO6272" t="n">
        <v>0</v>
      </c>
      <c r="AP6272" t="inlineStr"/>
      <c r="AQ6272" t="inlineStr"/>
    </row>
    <row r="6273">
      <c r="A6273" t="inlineStr">
        <is>
          <t>WARDAH</t>
        </is>
      </c>
      <c r="B6273" s="2">
        <f>"8993137697149"</f>
        <v/>
      </c>
      <c r="C6273" t="inlineStr">
        <is>
          <t>WARDAH Renew You Eye Cream 10g</t>
        </is>
      </c>
      <c r="D6273" t="inlineStr">
        <is>
          <t>Miss Glam Damar</t>
        </is>
      </c>
      <c r="E6273" t="n">
        <v>4</v>
      </c>
      <c r="F6273" t="n">
        <v>0.09100000000000001</v>
      </c>
      <c r="G6273" t="n">
        <v>1.82</v>
      </c>
      <c r="H6273" t="n">
        <v>2</v>
      </c>
      <c r="I6273" t="n">
        <v>6</v>
      </c>
      <c r="J6273" t="n">
        <v>3</v>
      </c>
      <c r="K6273" t="n">
        <v>0</v>
      </c>
      <c r="L6273" t="n">
        <v>69359</v>
      </c>
      <c r="M6273" t="n">
        <v>85000</v>
      </c>
      <c r="N6273" t="n">
        <v>91</v>
      </c>
      <c r="O6273" t="n">
        <v>0.91</v>
      </c>
      <c r="P6273" t="n">
        <v>1</v>
      </c>
      <c r="Q6273" t="n">
        <v>0.12</v>
      </c>
      <c r="R6273" t="n">
        <v>1</v>
      </c>
      <c r="S6273" t="n">
        <v>7735.000000000001</v>
      </c>
      <c r="T6273" t="n">
        <v>11</v>
      </c>
      <c r="U6273" t="n">
        <v>12</v>
      </c>
      <c r="V6273" t="n">
        <v>30</v>
      </c>
      <c r="W6273" t="n">
        <v>3</v>
      </c>
      <c r="X6273" t="n">
        <v>43.95604395604395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11727</v>
      </c>
      <c r="AG6273" t="n">
        <v>63</v>
      </c>
      <c r="AH6273" t="inlineStr">
        <is>
          <t>PT. PARAMA GLOBAL INSPIRA - PPN (PDG)</t>
        </is>
      </c>
      <c r="AI6273" t="n">
        <v>164</v>
      </c>
      <c r="AJ6273" t="inlineStr">
        <is>
          <t>WARDAH</t>
        </is>
      </c>
      <c r="AK6273" t="n">
        <v>21</v>
      </c>
      <c r="AL6273" t="inlineStr">
        <is>
          <t>Miss Glam Damar</t>
        </is>
      </c>
      <c r="AM6273" t="n">
        <v>1</v>
      </c>
      <c r="AN6273" t="n">
        <v>500000</v>
      </c>
      <c r="AO6273" t="n">
        <v>0</v>
      </c>
      <c r="AP6273" t="inlineStr"/>
      <c r="AQ6273" t="inlineStr"/>
    </row>
    <row r="6274">
      <c r="A6274" t="inlineStr">
        <is>
          <t>WARDAH</t>
        </is>
      </c>
      <c r="B6274" s="2">
        <f>"8993137697156"</f>
        <v/>
      </c>
      <c r="C6274" t="inlineStr">
        <is>
          <t>WARDAH Renew You Facial Wash 100ml</t>
        </is>
      </c>
      <c r="D6274" t="inlineStr">
        <is>
          <t>Miss Glam Damar</t>
        </is>
      </c>
      <c r="E6274" t="n">
        <v>60</v>
      </c>
      <c r="F6274" t="n">
        <v>1.729</v>
      </c>
      <c r="G6274" t="n">
        <v>5.46</v>
      </c>
      <c r="H6274" t="n">
        <v>2</v>
      </c>
      <c r="I6274" t="n">
        <v>6</v>
      </c>
      <c r="J6274" t="n">
        <v>3</v>
      </c>
      <c r="K6274" t="n">
        <v>0</v>
      </c>
      <c r="L6274" t="n">
        <v>32245</v>
      </c>
      <c r="M6274" t="n">
        <v>39500</v>
      </c>
      <c r="N6274" t="n">
        <v>91</v>
      </c>
      <c r="O6274" t="n">
        <v>0.91</v>
      </c>
      <c r="P6274" t="n">
        <v>1</v>
      </c>
      <c r="Q6274" t="n">
        <v>1.44</v>
      </c>
      <c r="R6274" t="n">
        <v>6</v>
      </c>
      <c r="S6274" t="n">
        <v>68295.5</v>
      </c>
      <c r="T6274" t="n">
        <v>30</v>
      </c>
      <c r="U6274" t="n">
        <v>34</v>
      </c>
      <c r="V6274" t="n">
        <v>30</v>
      </c>
      <c r="W6274" t="n">
        <v>52</v>
      </c>
      <c r="X6274" t="n">
        <v>34.70213996529786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11727</v>
      </c>
      <c r="AG6274" t="n">
        <v>63</v>
      </c>
      <c r="AH6274" t="inlineStr">
        <is>
          <t>PT. PARAMA GLOBAL INSPIRA - PPN (PDG)</t>
        </is>
      </c>
      <c r="AI6274" t="n">
        <v>164</v>
      </c>
      <c r="AJ6274" t="inlineStr">
        <is>
          <t>WARDAH</t>
        </is>
      </c>
      <c r="AK6274" t="n">
        <v>21</v>
      </c>
      <c r="AL6274" t="inlineStr">
        <is>
          <t>Miss Glam Damar</t>
        </is>
      </c>
      <c r="AM6274" t="n">
        <v>1</v>
      </c>
      <c r="AN6274" t="n">
        <v>500000</v>
      </c>
      <c r="AO6274" t="n">
        <v>0</v>
      </c>
      <c r="AP6274" t="inlineStr"/>
      <c r="AQ6274" t="inlineStr"/>
    </row>
    <row r="6275">
      <c r="A6275" t="inlineStr">
        <is>
          <t>WARDAH</t>
        </is>
      </c>
      <c r="B6275" s="2">
        <f>"8993137718592"</f>
        <v/>
      </c>
      <c r="C6275" t="inlineStr">
        <is>
          <t>WARDAH Renew You Intensive Serum 30ml</t>
        </is>
      </c>
      <c r="D6275" t="inlineStr">
        <is>
          <t>Miss Glam Damar</t>
        </is>
      </c>
      <c r="E6275" t="n">
        <v>6</v>
      </c>
      <c r="F6275" t="n">
        <v>0.1729</v>
      </c>
      <c r="G6275" t="n">
        <v>1.82</v>
      </c>
      <c r="H6275" t="n">
        <v>2</v>
      </c>
      <c r="I6275" t="n">
        <v>6</v>
      </c>
      <c r="J6275" t="n">
        <v>3</v>
      </c>
      <c r="K6275" t="n">
        <v>0</v>
      </c>
      <c r="L6275" t="n">
        <v>134869</v>
      </c>
      <c r="M6275" t="n">
        <v>164500</v>
      </c>
      <c r="N6275" t="n">
        <v>91</v>
      </c>
      <c r="O6275" t="n">
        <v>0.91</v>
      </c>
      <c r="P6275" t="n">
        <v>1</v>
      </c>
      <c r="Q6275" t="n">
        <v>0.12</v>
      </c>
      <c r="R6275" t="n">
        <v>1</v>
      </c>
      <c r="S6275" t="n">
        <v>28442.05</v>
      </c>
      <c r="T6275" t="n">
        <v>11</v>
      </c>
      <c r="U6275" t="n">
        <v>12</v>
      </c>
      <c r="V6275" t="n">
        <v>30</v>
      </c>
      <c r="W6275" t="n">
        <v>6</v>
      </c>
      <c r="X6275" t="n">
        <v>34.70213996529786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11727</v>
      </c>
      <c r="AG6275" t="n">
        <v>63</v>
      </c>
      <c r="AH6275" t="inlineStr">
        <is>
          <t>PT. PARAMA GLOBAL INSPIRA - PPN (PDG)</t>
        </is>
      </c>
      <c r="AI6275" t="n">
        <v>164</v>
      </c>
      <c r="AJ6275" t="inlineStr">
        <is>
          <t>WARDAH</t>
        </is>
      </c>
      <c r="AK6275" t="n">
        <v>21</v>
      </c>
      <c r="AL6275" t="inlineStr">
        <is>
          <t>Miss Glam Damar</t>
        </is>
      </c>
      <c r="AM6275" t="n">
        <v>1</v>
      </c>
      <c r="AN6275" t="n">
        <v>500000</v>
      </c>
      <c r="AO6275" t="n">
        <v>0</v>
      </c>
      <c r="AP6275" t="inlineStr"/>
      <c r="AQ6275" t="inlineStr"/>
    </row>
    <row r="6276">
      <c r="A6276" t="inlineStr">
        <is>
          <t>WARDAH</t>
        </is>
      </c>
      <c r="B6276" s="2">
        <f>"8993137692724"</f>
        <v/>
      </c>
      <c r="C6276" t="inlineStr">
        <is>
          <t>WARDAH Renew You Night Cream 15gr</t>
        </is>
      </c>
      <c r="D6276" t="inlineStr">
        <is>
          <t>Miss Glam Damar</t>
        </is>
      </c>
      <c r="E6276" t="n">
        <v>12</v>
      </c>
      <c r="F6276" t="n">
        <v>0.3367</v>
      </c>
      <c r="G6276" t="n">
        <v>2.73</v>
      </c>
      <c r="H6276" t="n">
        <v>2</v>
      </c>
      <c r="I6276" t="n">
        <v>6</v>
      </c>
      <c r="J6276" t="n">
        <v>3</v>
      </c>
      <c r="K6276" t="n">
        <v>0</v>
      </c>
      <c r="L6276" t="n">
        <v>43686</v>
      </c>
      <c r="M6276" t="n">
        <v>53500</v>
      </c>
      <c r="N6276" t="n">
        <v>91</v>
      </c>
      <c r="O6276" t="n">
        <v>0.91</v>
      </c>
      <c r="P6276" t="n">
        <v>1</v>
      </c>
      <c r="Q6276" t="n">
        <v>0.42</v>
      </c>
      <c r="R6276" t="n">
        <v>2</v>
      </c>
      <c r="S6276" t="n">
        <v>18013.45</v>
      </c>
      <c r="T6276" t="n">
        <v>16</v>
      </c>
      <c r="U6276" t="n">
        <v>17</v>
      </c>
      <c r="V6276" t="n">
        <v>30</v>
      </c>
      <c r="W6276" t="n">
        <v>11</v>
      </c>
      <c r="X6276" t="n">
        <v>35.64003564003564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11727</v>
      </c>
      <c r="AG6276" t="n">
        <v>63</v>
      </c>
      <c r="AH6276" t="inlineStr">
        <is>
          <t>PT. PARAMA GLOBAL INSPIRA - PPN (PDG)</t>
        </is>
      </c>
      <c r="AI6276" t="n">
        <v>164</v>
      </c>
      <c r="AJ6276" t="inlineStr">
        <is>
          <t>WARDAH</t>
        </is>
      </c>
      <c r="AK6276" t="n">
        <v>21</v>
      </c>
      <c r="AL6276" t="inlineStr">
        <is>
          <t>Miss Glam Damar</t>
        </is>
      </c>
      <c r="AM6276" t="n">
        <v>1</v>
      </c>
      <c r="AN6276" t="n">
        <v>500000</v>
      </c>
      <c r="AO6276" t="n">
        <v>0</v>
      </c>
      <c r="AP6276" t="inlineStr"/>
      <c r="AQ6276" t="inlineStr"/>
    </row>
    <row r="6277">
      <c r="A6277" t="inlineStr">
        <is>
          <t>WARDAH</t>
        </is>
      </c>
      <c r="B6277" s="2">
        <f>"11200151734"</f>
        <v/>
      </c>
      <c r="C6277" t="inlineStr">
        <is>
          <t>WARDAH Retinal Liposome Cysteamine Radiant Resurfacing Serum 30ml</t>
        </is>
      </c>
      <c r="D6277" t="inlineStr">
        <is>
          <t>Miss Glam Damar</t>
        </is>
      </c>
      <c r="E6277" t="n">
        <v>4</v>
      </c>
      <c r="F6277" t="n">
        <v>0.06370000000000001</v>
      </c>
      <c r="G6277" t="n">
        <v>0.91</v>
      </c>
      <c r="H6277" t="n">
        <v>2</v>
      </c>
      <c r="I6277" t="n">
        <v>6</v>
      </c>
      <c r="J6277" t="n">
        <v>1</v>
      </c>
      <c r="K6277" t="n">
        <v>0</v>
      </c>
      <c r="L6277" t="n">
        <v>181230</v>
      </c>
      <c r="M6277" t="n">
        <v>221500</v>
      </c>
      <c r="N6277" t="n">
        <v>91</v>
      </c>
      <c r="O6277" t="n">
        <v>0.91</v>
      </c>
      <c r="P6277" t="n">
        <v>1</v>
      </c>
      <c r="Q6277" t="n">
        <v>0.12</v>
      </c>
      <c r="R6277" t="n">
        <v>1</v>
      </c>
      <c r="S6277" t="n">
        <v>14109.55</v>
      </c>
      <c r="T6277" t="n">
        <v>6</v>
      </c>
      <c r="U6277" t="n">
        <v>7</v>
      </c>
      <c r="V6277" t="n">
        <v>30</v>
      </c>
      <c r="W6277" t="n">
        <v>2</v>
      </c>
      <c r="X6277" t="n">
        <v>62.79434850863422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11727</v>
      </c>
      <c r="AG6277" t="n">
        <v>63</v>
      </c>
      <c r="AH6277" t="inlineStr">
        <is>
          <t>PT. PARAMA GLOBAL INSPIRA - PPN (PDG)</t>
        </is>
      </c>
      <c r="AI6277" t="n">
        <v>164</v>
      </c>
      <c r="AJ6277" t="inlineStr">
        <is>
          <t>WARDAH</t>
        </is>
      </c>
      <c r="AK6277" t="n">
        <v>21</v>
      </c>
      <c r="AL6277" t="inlineStr">
        <is>
          <t>Miss Glam Damar</t>
        </is>
      </c>
      <c r="AM6277" t="n">
        <v>1</v>
      </c>
      <c r="AN6277" t="n">
        <v>500000</v>
      </c>
      <c r="AO6277" t="n">
        <v>0</v>
      </c>
      <c r="AP6277" t="inlineStr"/>
      <c r="AQ6277" t="inlineStr"/>
    </row>
    <row r="6278">
      <c r="A6278" t="inlineStr">
        <is>
          <t>WARDAH</t>
        </is>
      </c>
      <c r="B6278" s="2">
        <f>"8993137681551"</f>
        <v/>
      </c>
      <c r="C6278" t="inlineStr">
        <is>
          <t>WARDAH Roll On For Her 60ml</t>
        </is>
      </c>
      <c r="D6278" t="inlineStr">
        <is>
          <t>Miss Glam Damar</t>
        </is>
      </c>
      <c r="E6278" t="n">
        <v>50</v>
      </c>
      <c r="F6278" t="n">
        <v>4.1223</v>
      </c>
      <c r="G6278" t="n">
        <v>10.92</v>
      </c>
      <c r="H6278" t="n">
        <v>2</v>
      </c>
      <c r="I6278" t="n">
        <v>6</v>
      </c>
      <c r="J6278" t="n">
        <v>3</v>
      </c>
      <c r="K6278" t="n">
        <v>0</v>
      </c>
      <c r="L6278" t="n">
        <v>19926</v>
      </c>
      <c r="M6278" t="n">
        <v>24500</v>
      </c>
      <c r="N6278" t="n">
        <v>91</v>
      </c>
      <c r="O6278" t="n">
        <v>0.91</v>
      </c>
      <c r="P6278" t="n">
        <v>1</v>
      </c>
      <c r="Q6278" t="n">
        <v>2.73</v>
      </c>
      <c r="R6278" t="n">
        <v>11</v>
      </c>
      <c r="S6278" t="n">
        <v>100996.35</v>
      </c>
      <c r="T6278" t="n">
        <v>58</v>
      </c>
      <c r="U6278" t="n">
        <v>67</v>
      </c>
      <c r="V6278" t="n">
        <v>30</v>
      </c>
      <c r="W6278" t="n">
        <v>124</v>
      </c>
      <c r="X6278" t="n">
        <v>12.12915120199888</v>
      </c>
      <c r="Y6278" t="n">
        <v>1</v>
      </c>
      <c r="Z6278" t="n">
        <v>74</v>
      </c>
      <c r="AA6278" t="n">
        <v>0</v>
      </c>
      <c r="AB6278" t="n">
        <v>74</v>
      </c>
      <c r="AC6278" t="n">
        <v>74</v>
      </c>
      <c r="AD6278" t="n">
        <v>0</v>
      </c>
      <c r="AE6278" t="n">
        <v>1474524</v>
      </c>
      <c r="AF6278" t="n">
        <v>11727</v>
      </c>
      <c r="AG6278" t="n">
        <v>63</v>
      </c>
      <c r="AH6278" t="inlineStr">
        <is>
          <t>PT. PARAMA GLOBAL INSPIRA - PPN (PDG)</t>
        </is>
      </c>
      <c r="AI6278" t="n">
        <v>164</v>
      </c>
      <c r="AJ6278" t="inlineStr">
        <is>
          <t>WARDAH</t>
        </is>
      </c>
      <c r="AK6278" t="n">
        <v>21</v>
      </c>
      <c r="AL6278" t="inlineStr">
        <is>
          <t>Miss Glam Damar</t>
        </is>
      </c>
      <c r="AM6278" t="n">
        <v>1</v>
      </c>
      <c r="AN6278" t="n">
        <v>500000</v>
      </c>
      <c r="AO6278" t="n">
        <v>0</v>
      </c>
      <c r="AP6278" t="inlineStr"/>
      <c r="AQ6278" t="inlineStr"/>
    </row>
    <row r="6279">
      <c r="A6279" t="inlineStr">
        <is>
          <t>WARDAH</t>
        </is>
      </c>
      <c r="B6279" s="2">
        <f>"8993137698160"</f>
        <v/>
      </c>
      <c r="C6279" t="inlineStr">
        <is>
          <t>WARDAH Scentsation Body Mist Passion 100ml</t>
        </is>
      </c>
      <c r="D6279" t="inlineStr">
        <is>
          <t>Miss Glam Damar</t>
        </is>
      </c>
      <c r="E6279" t="n">
        <v>1</v>
      </c>
      <c r="F6279" t="n">
        <v>0.02</v>
      </c>
      <c r="G6279" t="n">
        <v>1</v>
      </c>
      <c r="H6279" t="n">
        <v>2</v>
      </c>
      <c r="I6279" t="n">
        <v>6</v>
      </c>
      <c r="J6279" t="n">
        <v>3</v>
      </c>
      <c r="K6279" t="n">
        <v>0</v>
      </c>
      <c r="L6279" t="n">
        <v>30652</v>
      </c>
      <c r="M6279" t="n">
        <v>37500</v>
      </c>
      <c r="N6279" t="n">
        <v>91</v>
      </c>
      <c r="O6279" t="n">
        <v>0.91</v>
      </c>
      <c r="P6279" t="n">
        <v>0</v>
      </c>
      <c r="Q6279" t="n">
        <v>0.02</v>
      </c>
      <c r="R6279" t="n">
        <v>1</v>
      </c>
      <c r="S6279" t="n">
        <v>750</v>
      </c>
      <c r="T6279" t="n">
        <v>6</v>
      </c>
      <c r="U6279" t="n">
        <v>7</v>
      </c>
      <c r="V6279" t="n">
        <v>30</v>
      </c>
      <c r="W6279" t="n">
        <v>1</v>
      </c>
      <c r="X6279" t="n">
        <v>50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11727</v>
      </c>
      <c r="AG6279" t="n">
        <v>63</v>
      </c>
      <c r="AH6279" t="inlineStr">
        <is>
          <t>PT. PARAMA GLOBAL INSPIRA - PPN (PDG)</t>
        </is>
      </c>
      <c r="AI6279" t="n">
        <v>164</v>
      </c>
      <c r="AJ6279" t="inlineStr">
        <is>
          <t>WARDAH</t>
        </is>
      </c>
      <c r="AK6279" t="n">
        <v>21</v>
      </c>
      <c r="AL6279" t="inlineStr">
        <is>
          <t>Miss Glam Damar</t>
        </is>
      </c>
      <c r="AM6279" t="n">
        <v>1</v>
      </c>
      <c r="AN6279" t="n">
        <v>500000</v>
      </c>
      <c r="AO6279" t="n">
        <v>0</v>
      </c>
      <c r="AP6279" t="inlineStr"/>
      <c r="AQ6279" t="inlineStr"/>
    </row>
    <row r="6280">
      <c r="A6280" t="inlineStr">
        <is>
          <t>WARDAH</t>
        </is>
      </c>
      <c r="B6280" s="2">
        <f>"8993137698405"</f>
        <v/>
      </c>
      <c r="C6280" t="inlineStr">
        <is>
          <t>WARDAH Scentsation Eau De Toilette Passion 35 ml</t>
        </is>
      </c>
      <c r="D6280" t="inlineStr">
        <is>
          <t>Miss Glam Damar</t>
        </is>
      </c>
      <c r="E6280" t="n">
        <v>6</v>
      </c>
      <c r="F6280" t="n">
        <v>0.12</v>
      </c>
      <c r="G6280" t="n">
        <v>1</v>
      </c>
      <c r="H6280" t="n">
        <v>2</v>
      </c>
      <c r="I6280" t="n">
        <v>6</v>
      </c>
      <c r="J6280" t="n">
        <v>3</v>
      </c>
      <c r="K6280" t="n">
        <v>0</v>
      </c>
      <c r="L6280" t="n">
        <v>44062</v>
      </c>
      <c r="M6280" t="n">
        <v>54000</v>
      </c>
      <c r="N6280" t="n">
        <v>91</v>
      </c>
      <c r="O6280" t="n">
        <v>0.91</v>
      </c>
      <c r="P6280" t="n">
        <v>0</v>
      </c>
      <c r="Q6280" t="n">
        <v>0.12</v>
      </c>
      <c r="R6280" t="n">
        <v>1</v>
      </c>
      <c r="S6280" t="n">
        <v>6480</v>
      </c>
      <c r="T6280" t="n">
        <v>6</v>
      </c>
      <c r="U6280" t="n">
        <v>7</v>
      </c>
      <c r="V6280" t="n">
        <v>30</v>
      </c>
      <c r="W6280" t="n">
        <v>4</v>
      </c>
      <c r="X6280" t="n">
        <v>50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11727</v>
      </c>
      <c r="AG6280" t="n">
        <v>63</v>
      </c>
      <c r="AH6280" t="inlineStr">
        <is>
          <t>PT. PARAMA GLOBAL INSPIRA - PPN (PDG)</t>
        </is>
      </c>
      <c r="AI6280" t="n">
        <v>164</v>
      </c>
      <c r="AJ6280" t="inlineStr">
        <is>
          <t>WARDAH</t>
        </is>
      </c>
      <c r="AK6280" t="n">
        <v>21</v>
      </c>
      <c r="AL6280" t="inlineStr">
        <is>
          <t>Miss Glam Damar</t>
        </is>
      </c>
      <c r="AM6280" t="n">
        <v>1</v>
      </c>
      <c r="AN6280" t="n">
        <v>500000</v>
      </c>
      <c r="AO6280" t="n">
        <v>0</v>
      </c>
      <c r="AP6280" t="inlineStr"/>
      <c r="AQ6280" t="inlineStr"/>
    </row>
    <row r="6281">
      <c r="A6281" t="inlineStr">
        <is>
          <t>WARDAH</t>
        </is>
      </c>
      <c r="B6281" s="2">
        <f>"8993137698153"</f>
        <v/>
      </c>
      <c r="C6281" t="inlineStr">
        <is>
          <t>WARDAH Scentsation Joyful Body Mist 100ml</t>
        </is>
      </c>
      <c r="D6281" t="inlineStr">
        <is>
          <t>Miss Glam Damar</t>
        </is>
      </c>
      <c r="E6281" t="n">
        <v>6</v>
      </c>
      <c r="F6281" t="n">
        <v>0.2639</v>
      </c>
      <c r="G6281" t="n">
        <v>1.82</v>
      </c>
      <c r="H6281" t="n">
        <v>2</v>
      </c>
      <c r="I6281" t="n">
        <v>6</v>
      </c>
      <c r="J6281" t="n">
        <v>3</v>
      </c>
      <c r="K6281" t="n">
        <v>0</v>
      </c>
      <c r="L6281" t="n">
        <v>30652</v>
      </c>
      <c r="M6281" t="n">
        <v>37500</v>
      </c>
      <c r="N6281" t="n">
        <v>91</v>
      </c>
      <c r="O6281" t="n">
        <v>0.91</v>
      </c>
      <c r="P6281" t="n">
        <v>1</v>
      </c>
      <c r="Q6281" t="n">
        <v>0.2</v>
      </c>
      <c r="R6281" t="n">
        <v>2</v>
      </c>
      <c r="S6281" t="n">
        <v>9896.249999999998</v>
      </c>
      <c r="T6281" t="n">
        <v>11</v>
      </c>
      <c r="U6281" t="n">
        <v>12</v>
      </c>
      <c r="V6281" t="n">
        <v>30</v>
      </c>
      <c r="W6281" t="n">
        <v>8</v>
      </c>
      <c r="X6281" t="n">
        <v>22.73588480485033</v>
      </c>
      <c r="Y6281" t="n">
        <v>1</v>
      </c>
      <c r="Z6281" t="n">
        <v>2</v>
      </c>
      <c r="AA6281" t="n">
        <v>0</v>
      </c>
      <c r="AB6281" t="n">
        <v>2</v>
      </c>
      <c r="AC6281" t="n">
        <v>3</v>
      </c>
      <c r="AD6281" t="n">
        <v>0</v>
      </c>
      <c r="AE6281" t="n">
        <v>91956</v>
      </c>
      <c r="AF6281" t="n">
        <v>11727</v>
      </c>
      <c r="AG6281" t="n">
        <v>63</v>
      </c>
      <c r="AH6281" t="inlineStr">
        <is>
          <t>PT. PARAMA GLOBAL INSPIRA - PPN (PDG)</t>
        </is>
      </c>
      <c r="AI6281" t="n">
        <v>164</v>
      </c>
      <c r="AJ6281" t="inlineStr">
        <is>
          <t>WARDAH</t>
        </is>
      </c>
      <c r="AK6281" t="n">
        <v>21</v>
      </c>
      <c r="AL6281" t="inlineStr">
        <is>
          <t>Miss Glam Damar</t>
        </is>
      </c>
      <c r="AM6281" t="n">
        <v>1</v>
      </c>
      <c r="AN6281" t="n">
        <v>500000</v>
      </c>
      <c r="AO6281" t="n">
        <v>0</v>
      </c>
      <c r="AP6281" t="inlineStr"/>
      <c r="AQ6281" t="inlineStr"/>
    </row>
    <row r="6282">
      <c r="A6282" t="inlineStr">
        <is>
          <t>WARDAH</t>
        </is>
      </c>
      <c r="B6282" s="2">
        <f>"8993137698177"</f>
        <v/>
      </c>
      <c r="C6282" t="inlineStr">
        <is>
          <t>WARDAH Scentsation Peaceful Body Mist Harmonious Atmosphere 100ml</t>
        </is>
      </c>
      <c r="D6282" t="inlineStr">
        <is>
          <t>Miss Glam Damar</t>
        </is>
      </c>
      <c r="E6282" t="n">
        <v>3</v>
      </c>
      <c r="F6282" t="n">
        <v>0.07000000000000001</v>
      </c>
      <c r="G6282" t="n">
        <v>1</v>
      </c>
      <c r="H6282" t="n">
        <v>2</v>
      </c>
      <c r="I6282" t="n">
        <v>6</v>
      </c>
      <c r="J6282" t="n">
        <v>3</v>
      </c>
      <c r="K6282" t="n">
        <v>0</v>
      </c>
      <c r="L6282" t="n">
        <v>30652</v>
      </c>
      <c r="M6282" t="n">
        <v>37500</v>
      </c>
      <c r="N6282" t="n">
        <v>91</v>
      </c>
      <c r="O6282" t="n">
        <v>0.91</v>
      </c>
      <c r="P6282" t="n">
        <v>0</v>
      </c>
      <c r="Q6282" t="n">
        <v>0.07000000000000001</v>
      </c>
      <c r="R6282" t="n">
        <v>1</v>
      </c>
      <c r="S6282" t="n">
        <v>2625</v>
      </c>
      <c r="T6282" t="n">
        <v>6</v>
      </c>
      <c r="U6282" t="n">
        <v>7</v>
      </c>
      <c r="V6282" t="n">
        <v>30</v>
      </c>
      <c r="W6282" t="n">
        <v>3</v>
      </c>
      <c r="X6282" t="n">
        <v>42.85714285714285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11727</v>
      </c>
      <c r="AG6282" t="n">
        <v>63</v>
      </c>
      <c r="AH6282" t="inlineStr">
        <is>
          <t>PT. PARAMA GLOBAL INSPIRA - PPN (PDG)</t>
        </is>
      </c>
      <c r="AI6282" t="n">
        <v>164</v>
      </c>
      <c r="AJ6282" t="inlineStr">
        <is>
          <t>WARDAH</t>
        </is>
      </c>
      <c r="AK6282" t="n">
        <v>21</v>
      </c>
      <c r="AL6282" t="inlineStr">
        <is>
          <t>Miss Glam Damar</t>
        </is>
      </c>
      <c r="AM6282" t="n">
        <v>1</v>
      </c>
      <c r="AN6282" t="n">
        <v>500000</v>
      </c>
      <c r="AO6282" t="n">
        <v>0</v>
      </c>
      <c r="AP6282" t="inlineStr"/>
      <c r="AQ6282" t="inlineStr"/>
    </row>
    <row r="6283">
      <c r="A6283" t="inlineStr">
        <is>
          <t>WARDAH</t>
        </is>
      </c>
      <c r="B6283" s="2">
        <f>"8993137698467"</f>
        <v/>
      </c>
      <c r="C6283" t="inlineStr">
        <is>
          <t>WARDAH Shampo Daily Fresh 170ml</t>
        </is>
      </c>
      <c r="D6283" t="inlineStr">
        <is>
          <t>Miss Glam Damar</t>
        </is>
      </c>
      <c r="E6283" t="n">
        <v>5</v>
      </c>
      <c r="F6283" t="n">
        <v>0.1092</v>
      </c>
      <c r="G6283" t="n">
        <v>0.91</v>
      </c>
      <c r="H6283" t="n">
        <v>2</v>
      </c>
      <c r="I6283" t="n">
        <v>6</v>
      </c>
      <c r="J6283" t="n">
        <v>3</v>
      </c>
      <c r="K6283" t="n">
        <v>0</v>
      </c>
      <c r="L6283" t="n">
        <v>19997</v>
      </c>
      <c r="M6283" t="n">
        <v>24500</v>
      </c>
      <c r="N6283" t="n">
        <v>91</v>
      </c>
      <c r="O6283" t="n">
        <v>0.91</v>
      </c>
      <c r="P6283" t="n">
        <v>1</v>
      </c>
      <c r="Q6283" t="n">
        <v>0.19</v>
      </c>
      <c r="R6283" t="n">
        <v>1</v>
      </c>
      <c r="S6283" t="n">
        <v>2675.4</v>
      </c>
      <c r="T6283" t="n">
        <v>6</v>
      </c>
      <c r="U6283" t="n">
        <v>7</v>
      </c>
      <c r="V6283" t="n">
        <v>30</v>
      </c>
      <c r="W6283" t="n">
        <v>4</v>
      </c>
      <c r="X6283" t="n">
        <v>45.78754578754579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11727</v>
      </c>
      <c r="AG6283" t="n">
        <v>63</v>
      </c>
      <c r="AH6283" t="inlineStr">
        <is>
          <t>PT. PARAMA GLOBAL INSPIRA - PPN (PDG)</t>
        </is>
      </c>
      <c r="AI6283" t="n">
        <v>164</v>
      </c>
      <c r="AJ6283" t="inlineStr">
        <is>
          <t>WARDAH</t>
        </is>
      </c>
      <c r="AK6283" t="n">
        <v>21</v>
      </c>
      <c r="AL6283" t="inlineStr">
        <is>
          <t>Miss Glam Damar</t>
        </is>
      </c>
      <c r="AM6283" t="n">
        <v>1</v>
      </c>
      <c r="AN6283" t="n">
        <v>500000</v>
      </c>
      <c r="AO6283" t="n">
        <v>0</v>
      </c>
      <c r="AP6283" t="inlineStr"/>
      <c r="AQ6283" t="inlineStr"/>
    </row>
    <row r="6284">
      <c r="A6284" t="inlineStr">
        <is>
          <t>WARDAH</t>
        </is>
      </c>
      <c r="B6284" s="2">
        <f>"8993137698450"</f>
        <v/>
      </c>
      <c r="C6284" t="inlineStr">
        <is>
          <t>WARDAH Shampo Hairfall Treatment 170ml</t>
        </is>
      </c>
      <c r="D6284" t="inlineStr">
        <is>
          <t>Miss Glam Damar</t>
        </is>
      </c>
      <c r="E6284" t="n">
        <v>24</v>
      </c>
      <c r="F6284" t="n">
        <v>0.5277999999999999</v>
      </c>
      <c r="G6284" t="n">
        <v>1.82</v>
      </c>
      <c r="H6284" t="n">
        <v>2</v>
      </c>
      <c r="I6284" t="n">
        <v>6</v>
      </c>
      <c r="J6284" t="n">
        <v>3</v>
      </c>
      <c r="K6284" t="n">
        <v>0</v>
      </c>
      <c r="L6284" t="n">
        <v>19960</v>
      </c>
      <c r="M6284" t="n">
        <v>24500</v>
      </c>
      <c r="N6284" t="n">
        <v>91</v>
      </c>
      <c r="O6284" t="n">
        <v>0.91</v>
      </c>
      <c r="P6284" t="n">
        <v>1</v>
      </c>
      <c r="Q6284" t="n">
        <v>1</v>
      </c>
      <c r="R6284" t="n">
        <v>5</v>
      </c>
      <c r="S6284" t="n">
        <v>12931.1</v>
      </c>
      <c r="T6284" t="n">
        <v>10</v>
      </c>
      <c r="U6284" t="n">
        <v>12</v>
      </c>
      <c r="V6284" t="n">
        <v>30</v>
      </c>
      <c r="W6284" t="n">
        <v>16</v>
      </c>
      <c r="X6284" t="n">
        <v>45.47176960970065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11727</v>
      </c>
      <c r="AG6284" t="n">
        <v>63</v>
      </c>
      <c r="AH6284" t="inlineStr">
        <is>
          <t>PT. PARAMA GLOBAL INSPIRA - PPN (PDG)</t>
        </is>
      </c>
      <c r="AI6284" t="n">
        <v>164</v>
      </c>
      <c r="AJ6284" t="inlineStr">
        <is>
          <t>WARDAH</t>
        </is>
      </c>
      <c r="AK6284" t="n">
        <v>21</v>
      </c>
      <c r="AL6284" t="inlineStr">
        <is>
          <t>Miss Glam Damar</t>
        </is>
      </c>
      <c r="AM6284" t="n">
        <v>1</v>
      </c>
      <c r="AN6284" t="n">
        <v>500000</v>
      </c>
      <c r="AO6284" t="n">
        <v>0</v>
      </c>
      <c r="AP6284" t="inlineStr"/>
      <c r="AQ6284" t="inlineStr"/>
    </row>
    <row r="6285">
      <c r="A6285" t="inlineStr">
        <is>
          <t>WARDAH</t>
        </is>
      </c>
      <c r="B6285" s="2">
        <f>"8993137698443"</f>
        <v/>
      </c>
      <c r="C6285" t="inlineStr">
        <is>
          <t>WARDAH Shampo Nutri Shine 170ml</t>
        </is>
      </c>
      <c r="D6285" t="inlineStr">
        <is>
          <t>Miss Glam Damar</t>
        </is>
      </c>
      <c r="E6285" t="n">
        <v>4</v>
      </c>
      <c r="F6285" t="n">
        <v>0.1274</v>
      </c>
      <c r="G6285" t="n">
        <v>0.91</v>
      </c>
      <c r="H6285" t="n">
        <v>2</v>
      </c>
      <c r="I6285" t="n">
        <v>6</v>
      </c>
      <c r="J6285" t="n">
        <v>3</v>
      </c>
      <c r="K6285" t="n">
        <v>0</v>
      </c>
      <c r="L6285" t="n">
        <v>19924</v>
      </c>
      <c r="M6285" t="n">
        <v>24500</v>
      </c>
      <c r="N6285" t="n">
        <v>91</v>
      </c>
      <c r="O6285" t="n">
        <v>0.91</v>
      </c>
      <c r="P6285" t="n">
        <v>1</v>
      </c>
      <c r="Q6285" t="n">
        <v>0.29</v>
      </c>
      <c r="R6285" t="n">
        <v>2</v>
      </c>
      <c r="S6285" t="n">
        <v>3121.3</v>
      </c>
      <c r="T6285" t="n">
        <v>6</v>
      </c>
      <c r="U6285" t="n">
        <v>7</v>
      </c>
      <c r="V6285" t="n">
        <v>30</v>
      </c>
      <c r="W6285" t="n">
        <v>4</v>
      </c>
      <c r="X6285" t="n">
        <v>31.39717425431711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11727</v>
      </c>
      <c r="AG6285" t="n">
        <v>63</v>
      </c>
      <c r="AH6285" t="inlineStr">
        <is>
          <t>PT. PARAMA GLOBAL INSPIRA - PPN (PDG)</t>
        </is>
      </c>
      <c r="AI6285" t="n">
        <v>164</v>
      </c>
      <c r="AJ6285" t="inlineStr">
        <is>
          <t>WARDAH</t>
        </is>
      </c>
      <c r="AK6285" t="n">
        <v>21</v>
      </c>
      <c r="AL6285" t="inlineStr">
        <is>
          <t>Miss Glam Damar</t>
        </is>
      </c>
      <c r="AM6285" t="n">
        <v>1</v>
      </c>
      <c r="AN6285" t="n">
        <v>500000</v>
      </c>
      <c r="AO6285" t="n">
        <v>0</v>
      </c>
      <c r="AP6285" t="inlineStr"/>
      <c r="AQ6285" t="inlineStr"/>
    </row>
    <row r="6286">
      <c r="A6286" t="inlineStr">
        <is>
          <t>WARDAH</t>
        </is>
      </c>
      <c r="B6286" s="2">
        <f>"8993137681506"</f>
        <v/>
      </c>
      <c r="C6286" t="inlineStr">
        <is>
          <t>WARDAH Soft Body Scrub With Passion Fruit 150ml</t>
        </is>
      </c>
      <c r="D6286" t="inlineStr">
        <is>
          <t>Miss Glam Damar</t>
        </is>
      </c>
      <c r="E6286" t="n">
        <v>4</v>
      </c>
      <c r="F6286" t="n">
        <v>0.02</v>
      </c>
      <c r="G6286" t="n">
        <v>1</v>
      </c>
      <c r="H6286" t="n">
        <v>2</v>
      </c>
      <c r="I6286" t="n">
        <v>6</v>
      </c>
      <c r="J6286" t="n">
        <v>3</v>
      </c>
      <c r="K6286" t="n">
        <v>0</v>
      </c>
      <c r="L6286" t="n">
        <v>36706</v>
      </c>
      <c r="M6286" t="n">
        <v>44500</v>
      </c>
      <c r="N6286" t="n">
        <v>91</v>
      </c>
      <c r="O6286" t="n">
        <v>0.91</v>
      </c>
      <c r="P6286" t="n">
        <v>0</v>
      </c>
      <c r="Q6286" t="n">
        <v>0.02</v>
      </c>
      <c r="R6286" t="n">
        <v>1</v>
      </c>
      <c r="S6286" t="n">
        <v>890</v>
      </c>
      <c r="T6286" t="n">
        <v>6</v>
      </c>
      <c r="U6286" t="n">
        <v>7</v>
      </c>
      <c r="V6286" t="n">
        <v>30</v>
      </c>
      <c r="W6286" t="n">
        <v>1</v>
      </c>
      <c r="X6286" t="n">
        <v>200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11727</v>
      </c>
      <c r="AG6286" t="n">
        <v>63</v>
      </c>
      <c r="AH6286" t="inlineStr">
        <is>
          <t>PT. PARAMA GLOBAL INSPIRA - PPN (PDG)</t>
        </is>
      </c>
      <c r="AI6286" t="n">
        <v>164</v>
      </c>
      <c r="AJ6286" t="inlineStr">
        <is>
          <t>WARDAH</t>
        </is>
      </c>
      <c r="AK6286" t="n">
        <v>21</v>
      </c>
      <c r="AL6286" t="inlineStr">
        <is>
          <t>Miss Glam Damar</t>
        </is>
      </c>
      <c r="AM6286" t="n">
        <v>1</v>
      </c>
      <c r="AN6286" t="n">
        <v>500000</v>
      </c>
      <c r="AO6286" t="n">
        <v>0</v>
      </c>
      <c r="AP6286" t="inlineStr"/>
      <c r="AQ6286" t="inlineStr"/>
    </row>
    <row r="6287">
      <c r="A6287" t="inlineStr">
        <is>
          <t>WARDAH</t>
        </is>
      </c>
      <c r="B6287" s="2">
        <f>"10200319702"</f>
        <v/>
      </c>
      <c r="C6287" t="inlineStr">
        <is>
          <t>WARDAH Spray-On Serum 105ml</t>
        </is>
      </c>
      <c r="D6287" t="inlineStr">
        <is>
          <t>Miss Glam Damar</t>
        </is>
      </c>
      <c r="E6287" t="n">
        <v>2</v>
      </c>
      <c r="F6287" t="n">
        <v>0.0273</v>
      </c>
      <c r="G6287" t="n">
        <v>1.82</v>
      </c>
      <c r="H6287" t="n">
        <v>2</v>
      </c>
      <c r="I6287" t="n">
        <v>6</v>
      </c>
      <c r="J6287" t="n">
        <v>1</v>
      </c>
      <c r="K6287" t="n">
        <v>0</v>
      </c>
      <c r="L6287" t="n">
        <v>94256</v>
      </c>
      <c r="M6287" t="n">
        <v>111000</v>
      </c>
      <c r="N6287" t="n">
        <v>91</v>
      </c>
      <c r="O6287" t="n">
        <v>0.91</v>
      </c>
      <c r="P6287" t="n">
        <v>1</v>
      </c>
      <c r="Q6287" t="n">
        <v>0.07000000000000001</v>
      </c>
      <c r="R6287" t="n">
        <v>3</v>
      </c>
      <c r="S6287" t="n">
        <v>3030.3</v>
      </c>
      <c r="T6287" t="n">
        <v>11</v>
      </c>
      <c r="U6287" t="n">
        <v>12</v>
      </c>
      <c r="V6287" t="n">
        <v>30</v>
      </c>
      <c r="W6287" t="n">
        <v>1</v>
      </c>
      <c r="X6287" t="n">
        <v>73.26007326007326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11727</v>
      </c>
      <c r="AG6287" t="n">
        <v>63</v>
      </c>
      <c r="AH6287" t="inlineStr">
        <is>
          <t>PT. PARAMA GLOBAL INSPIRA - PPN (PDG)</t>
        </is>
      </c>
      <c r="AI6287" t="n">
        <v>164</v>
      </c>
      <c r="AJ6287" t="inlineStr">
        <is>
          <t>WARDAH</t>
        </is>
      </c>
      <c r="AK6287" t="n">
        <v>21</v>
      </c>
      <c r="AL6287" t="inlineStr">
        <is>
          <t>Miss Glam Damar</t>
        </is>
      </c>
      <c r="AM6287" t="n">
        <v>1</v>
      </c>
      <c r="AN6287" t="n">
        <v>500000</v>
      </c>
      <c r="AO6287" t="n">
        <v>0</v>
      </c>
      <c r="AP6287" t="inlineStr"/>
      <c r="AQ6287" t="inlineStr"/>
    </row>
    <row r="6288">
      <c r="A6288" t="inlineStr">
        <is>
          <t>WARDAH</t>
        </is>
      </c>
      <c r="B6288" s="2">
        <f>"11200432733"</f>
        <v/>
      </c>
      <c r="C6288" t="inlineStr">
        <is>
          <t>WARDAH SymRadiance 399 10% Niacinamire Bright &amp;Barrier Repair Serum 15ml</t>
        </is>
      </c>
      <c r="D6288" t="inlineStr">
        <is>
          <t>Miss Glam Damar</t>
        </is>
      </c>
      <c r="E6288" t="n">
        <v>14</v>
      </c>
      <c r="F6288" t="n">
        <v>1.0465</v>
      </c>
      <c r="G6288" t="n">
        <v>4.55</v>
      </c>
      <c r="H6288" t="n">
        <v>2</v>
      </c>
      <c r="I6288" t="n">
        <v>6</v>
      </c>
      <c r="J6288" t="n">
        <v>1</v>
      </c>
      <c r="K6288" t="n">
        <v>0</v>
      </c>
      <c r="L6288" t="n">
        <v>32951</v>
      </c>
      <c r="M6288" t="n">
        <v>40500</v>
      </c>
      <c r="N6288" t="n">
        <v>91</v>
      </c>
      <c r="O6288" t="n">
        <v>0.91</v>
      </c>
      <c r="P6288" t="n">
        <v>1</v>
      </c>
      <c r="Q6288" t="n">
        <v>0.5600000000000001</v>
      </c>
      <c r="R6288" t="n">
        <v>3</v>
      </c>
      <c r="S6288" t="n">
        <v>42383.25</v>
      </c>
      <c r="T6288" t="n">
        <v>26</v>
      </c>
      <c r="U6288" t="n">
        <v>29</v>
      </c>
      <c r="V6288" t="n">
        <v>30</v>
      </c>
      <c r="W6288" t="n">
        <v>32</v>
      </c>
      <c r="X6288" t="n">
        <v>13.37792642140468</v>
      </c>
      <c r="Y6288" t="n">
        <v>1</v>
      </c>
      <c r="Z6288" t="n">
        <v>18</v>
      </c>
      <c r="AA6288" t="n">
        <v>0</v>
      </c>
      <c r="AB6288" t="n">
        <v>18</v>
      </c>
      <c r="AC6288" t="n">
        <v>18</v>
      </c>
      <c r="AD6288" t="n">
        <v>0</v>
      </c>
      <c r="AE6288" t="n">
        <v>593118</v>
      </c>
      <c r="AF6288" t="n">
        <v>11727</v>
      </c>
      <c r="AG6288" t="n">
        <v>63</v>
      </c>
      <c r="AH6288" t="inlineStr">
        <is>
          <t>PT. PARAMA GLOBAL INSPIRA - PPN (PDG)</t>
        </is>
      </c>
      <c r="AI6288" t="n">
        <v>164</v>
      </c>
      <c r="AJ6288" t="inlineStr">
        <is>
          <t>WARDAH</t>
        </is>
      </c>
      <c r="AK6288" t="n">
        <v>21</v>
      </c>
      <c r="AL6288" t="inlineStr">
        <is>
          <t>Miss Glam Damar</t>
        </is>
      </c>
      <c r="AM6288" t="n">
        <v>1</v>
      </c>
      <c r="AN6288" t="n">
        <v>500000</v>
      </c>
      <c r="AO6288" t="n">
        <v>0</v>
      </c>
      <c r="AP6288" t="inlineStr"/>
      <c r="AQ6288" t="inlineStr"/>
    </row>
    <row r="6289">
      <c r="A6289" t="inlineStr">
        <is>
          <t>WARDAH</t>
        </is>
      </c>
      <c r="B6289" s="2">
        <f>"10300723353"</f>
        <v/>
      </c>
      <c r="C6289" t="inlineStr">
        <is>
          <t>WARDAH Symradiance 399 5% Niacinamide ADV Bright &amp; Barrier Boost Moisturizer Gel 30gr</t>
        </is>
      </c>
      <c r="D6289" t="inlineStr">
        <is>
          <t>Miss Glam Damar</t>
        </is>
      </c>
      <c r="E6289" t="n">
        <v>20</v>
      </c>
      <c r="F6289" t="n">
        <v>1.8837</v>
      </c>
      <c r="G6289" t="n">
        <v>8.19</v>
      </c>
      <c r="H6289" t="n">
        <v>2</v>
      </c>
      <c r="I6289" t="n">
        <v>6</v>
      </c>
      <c r="J6289" t="n">
        <v>1</v>
      </c>
      <c r="K6289" t="n">
        <v>0</v>
      </c>
      <c r="L6289" t="n">
        <v>45230</v>
      </c>
      <c r="M6289" t="n">
        <v>55500</v>
      </c>
      <c r="N6289" t="n">
        <v>91</v>
      </c>
      <c r="O6289" t="n">
        <v>0.91</v>
      </c>
      <c r="P6289" t="n">
        <v>1</v>
      </c>
      <c r="Q6289" t="n">
        <v>1.17</v>
      </c>
      <c r="R6289" t="n">
        <v>6</v>
      </c>
      <c r="S6289" t="n">
        <v>104545.35</v>
      </c>
      <c r="T6289" t="n">
        <v>46</v>
      </c>
      <c r="U6289" t="n">
        <v>50</v>
      </c>
      <c r="V6289" t="n">
        <v>30</v>
      </c>
      <c r="W6289" t="n">
        <v>57</v>
      </c>
      <c r="X6289" t="n">
        <v>10.61740192174975</v>
      </c>
      <c r="Y6289" t="n">
        <v>1</v>
      </c>
      <c r="Z6289" t="n">
        <v>37</v>
      </c>
      <c r="AA6289" t="n">
        <v>0</v>
      </c>
      <c r="AB6289" t="n">
        <v>37</v>
      </c>
      <c r="AC6289" t="n">
        <v>37</v>
      </c>
      <c r="AD6289" t="n">
        <v>0</v>
      </c>
      <c r="AE6289" t="n">
        <v>1673510</v>
      </c>
      <c r="AF6289" t="n">
        <v>11727</v>
      </c>
      <c r="AG6289" t="n">
        <v>63</v>
      </c>
      <c r="AH6289" t="inlineStr">
        <is>
          <t>PT. PARAMA GLOBAL INSPIRA - PPN (PDG)</t>
        </is>
      </c>
      <c r="AI6289" t="n">
        <v>164</v>
      </c>
      <c r="AJ6289" t="inlineStr">
        <is>
          <t>WARDAH</t>
        </is>
      </c>
      <c r="AK6289" t="n">
        <v>21</v>
      </c>
      <c r="AL6289" t="inlineStr">
        <is>
          <t>Miss Glam Damar</t>
        </is>
      </c>
      <c r="AM6289" t="n">
        <v>1</v>
      </c>
      <c r="AN6289" t="n">
        <v>500000</v>
      </c>
      <c r="AO6289" t="n">
        <v>0</v>
      </c>
      <c r="AP6289" t="inlineStr"/>
      <c r="AQ6289" t="inlineStr"/>
    </row>
    <row r="6290">
      <c r="A6290" t="inlineStr">
        <is>
          <t>WARDAH</t>
        </is>
      </c>
      <c r="B6290" s="2">
        <f>"8993137003773"</f>
        <v/>
      </c>
      <c r="C6290" t="inlineStr">
        <is>
          <t>WARDAH Tranexamic a-Arbutin +5% Niacinamide 30gr</t>
        </is>
      </c>
      <c r="D6290" t="inlineStr">
        <is>
          <t>Miss Glam Damar</t>
        </is>
      </c>
      <c r="E6290" t="n">
        <v>29</v>
      </c>
      <c r="F6290" t="n">
        <v>1.3559</v>
      </c>
      <c r="G6290" t="n">
        <v>4.55</v>
      </c>
      <c r="H6290" t="n">
        <v>2</v>
      </c>
      <c r="I6290" t="n">
        <v>6</v>
      </c>
      <c r="J6290" t="n">
        <v>3</v>
      </c>
      <c r="K6290" t="n">
        <v>0</v>
      </c>
      <c r="L6290" t="n">
        <v>82777</v>
      </c>
      <c r="M6290" t="n">
        <v>101000</v>
      </c>
      <c r="N6290" t="n">
        <v>91</v>
      </c>
      <c r="O6290" t="n">
        <v>0.91</v>
      </c>
      <c r="P6290" t="n">
        <v>1</v>
      </c>
      <c r="Q6290" t="n">
        <v>1.12</v>
      </c>
      <c r="R6290" t="n">
        <v>5</v>
      </c>
      <c r="S6290" t="n">
        <v>136945.9</v>
      </c>
      <c r="T6290" t="n">
        <v>25</v>
      </c>
      <c r="U6290" t="n">
        <v>28</v>
      </c>
      <c r="V6290" t="n">
        <v>30</v>
      </c>
      <c r="W6290" t="n">
        <v>41</v>
      </c>
      <c r="X6290" t="n">
        <v>21.38800796518917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11727</v>
      </c>
      <c r="AG6290" t="n">
        <v>63</v>
      </c>
      <c r="AH6290" t="inlineStr">
        <is>
          <t>PT. PARAMA GLOBAL INSPIRA - PPN (PDG)</t>
        </is>
      </c>
      <c r="AI6290" t="n">
        <v>164</v>
      </c>
      <c r="AJ6290" t="inlineStr">
        <is>
          <t>WARDAH</t>
        </is>
      </c>
      <c r="AK6290" t="n">
        <v>21</v>
      </c>
      <c r="AL6290" t="inlineStr">
        <is>
          <t>Miss Glam Damar</t>
        </is>
      </c>
      <c r="AM6290" t="n">
        <v>1</v>
      </c>
      <c r="AN6290" t="n">
        <v>500000</v>
      </c>
      <c r="AO6290" t="n">
        <v>0</v>
      </c>
      <c r="AP6290" t="inlineStr"/>
      <c r="AQ6290" t="inlineStr"/>
    </row>
    <row r="6291">
      <c r="A6291" t="inlineStr">
        <is>
          <t>WARDAH</t>
        </is>
      </c>
      <c r="B6291" s="2">
        <f>"8993137708395"</f>
        <v/>
      </c>
      <c r="C6291" t="inlineStr">
        <is>
          <t>WARDAH Uv Shiel Sunscreen Stick Spf 50 22g</t>
        </is>
      </c>
      <c r="D6291" t="inlineStr">
        <is>
          <t>Miss Glam Damar</t>
        </is>
      </c>
      <c r="E6291" t="n">
        <v>13</v>
      </c>
      <c r="F6291" t="n">
        <v>0.0273</v>
      </c>
      <c r="G6291" t="n">
        <v>0.91</v>
      </c>
      <c r="H6291" t="n">
        <v>2</v>
      </c>
      <c r="I6291" t="n">
        <v>6</v>
      </c>
      <c r="J6291" t="n">
        <v>3</v>
      </c>
      <c r="K6291" t="n">
        <v>0</v>
      </c>
      <c r="L6291" t="n">
        <v>72802</v>
      </c>
      <c r="M6291" t="n">
        <v>89000</v>
      </c>
      <c r="N6291" t="n">
        <v>91</v>
      </c>
      <c r="O6291" t="n">
        <v>0.91</v>
      </c>
      <c r="P6291" t="n">
        <v>1</v>
      </c>
      <c r="Q6291" t="n">
        <v>0.14</v>
      </c>
      <c r="R6291" t="n">
        <v>2</v>
      </c>
      <c r="S6291" t="n">
        <v>2429.7</v>
      </c>
      <c r="T6291" t="n">
        <v>6</v>
      </c>
      <c r="U6291" t="n">
        <v>7</v>
      </c>
      <c r="V6291" t="n">
        <v>30</v>
      </c>
      <c r="W6291" t="n">
        <v>1</v>
      </c>
      <c r="X6291" t="n">
        <v>476.1904761904761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11727</v>
      </c>
      <c r="AG6291" t="n">
        <v>63</v>
      </c>
      <c r="AH6291" t="inlineStr">
        <is>
          <t>PT. PARAMA GLOBAL INSPIRA - PPN (PDG)</t>
        </is>
      </c>
      <c r="AI6291" t="n">
        <v>164</v>
      </c>
      <c r="AJ6291" t="inlineStr">
        <is>
          <t>WARDAH</t>
        </is>
      </c>
      <c r="AK6291" t="n">
        <v>21</v>
      </c>
      <c r="AL6291" t="inlineStr">
        <is>
          <t>Miss Glam Damar</t>
        </is>
      </c>
      <c r="AM6291" t="n">
        <v>1</v>
      </c>
      <c r="AN6291" t="n">
        <v>500000</v>
      </c>
      <c r="AO6291" t="n">
        <v>0</v>
      </c>
      <c r="AP6291" t="inlineStr"/>
      <c r="AQ6291" t="inlineStr"/>
    </row>
    <row r="6292">
      <c r="A6292" t="inlineStr">
        <is>
          <t>WARDAH</t>
        </is>
      </c>
      <c r="B6292" s="2">
        <f>"8993137006521"</f>
        <v/>
      </c>
      <c r="C6292" t="inlineStr">
        <is>
          <t>WARDAH UV Shield Acne Calming Sunscreen  Moisturizer SPF 35 PA+++ 35ml</t>
        </is>
      </c>
      <c r="D6292" t="inlineStr">
        <is>
          <t>Miss Glam Damar</t>
        </is>
      </c>
      <c r="E6292" t="n">
        <v>200</v>
      </c>
      <c r="F6292" t="n">
        <v>18.6186</v>
      </c>
      <c r="G6292" t="n">
        <v>35.49</v>
      </c>
      <c r="H6292" t="n">
        <v>2</v>
      </c>
      <c r="I6292" t="n">
        <v>6</v>
      </c>
      <c r="J6292" t="n">
        <v>3</v>
      </c>
      <c r="K6292" t="n">
        <v>0</v>
      </c>
      <c r="L6292" t="n">
        <v>28738</v>
      </c>
      <c r="M6292" t="n">
        <v>35500</v>
      </c>
      <c r="N6292" t="n">
        <v>91</v>
      </c>
      <c r="O6292" t="n">
        <v>0.91</v>
      </c>
      <c r="P6292" t="n">
        <v>1</v>
      </c>
      <c r="Q6292" t="n">
        <v>10.61</v>
      </c>
      <c r="R6292" t="n">
        <v>24</v>
      </c>
      <c r="S6292" t="n">
        <v>660960.3</v>
      </c>
      <c r="T6292" t="n">
        <v>176</v>
      </c>
      <c r="U6292" t="n">
        <v>214</v>
      </c>
      <c r="V6292" t="n">
        <v>30</v>
      </c>
      <c r="W6292" t="n">
        <v>559</v>
      </c>
      <c r="X6292" t="n">
        <v>10.74194622581719</v>
      </c>
      <c r="Y6292" t="n">
        <v>1</v>
      </c>
      <c r="Z6292" t="n">
        <v>359</v>
      </c>
      <c r="AA6292" t="n">
        <v>0</v>
      </c>
      <c r="AB6292" t="n">
        <v>359</v>
      </c>
      <c r="AC6292" t="n">
        <v>359</v>
      </c>
      <c r="AD6292" t="n">
        <v>0</v>
      </c>
      <c r="AE6292" t="n">
        <v>10316942</v>
      </c>
      <c r="AF6292" t="n">
        <v>11727</v>
      </c>
      <c r="AG6292" t="n">
        <v>63</v>
      </c>
      <c r="AH6292" t="inlineStr">
        <is>
          <t>PT. PARAMA GLOBAL INSPIRA - PPN (PDG)</t>
        </is>
      </c>
      <c r="AI6292" t="n">
        <v>164</v>
      </c>
      <c r="AJ6292" t="inlineStr">
        <is>
          <t>WARDAH</t>
        </is>
      </c>
      <c r="AK6292" t="n">
        <v>21</v>
      </c>
      <c r="AL6292" t="inlineStr">
        <is>
          <t>Miss Glam Damar</t>
        </is>
      </c>
      <c r="AM6292" t="n">
        <v>1</v>
      </c>
      <c r="AN6292" t="n">
        <v>500000</v>
      </c>
      <c r="AO6292" t="n">
        <v>0</v>
      </c>
      <c r="AP6292" t="inlineStr"/>
      <c r="AQ6292" t="inlineStr"/>
    </row>
    <row r="6293">
      <c r="A6293" t="inlineStr">
        <is>
          <t>WARDAH</t>
        </is>
      </c>
      <c r="B6293" s="2">
        <f>"8993137006538"</f>
        <v/>
      </c>
      <c r="C6293" t="inlineStr">
        <is>
          <t>WARDAH UV Shield Acne Calming Sunscreen Serum SPF 50 PA++++ 25ml</t>
        </is>
      </c>
      <c r="D6293" t="inlineStr">
        <is>
          <t>Miss Glam Damar</t>
        </is>
      </c>
      <c r="E6293" t="n">
        <v>91</v>
      </c>
      <c r="F6293" t="n">
        <v>7.707700000000001</v>
      </c>
      <c r="G6293" t="n">
        <v>15.47</v>
      </c>
      <c r="H6293" t="n">
        <v>2</v>
      </c>
      <c r="I6293" t="n">
        <v>6</v>
      </c>
      <c r="J6293" t="n">
        <v>3</v>
      </c>
      <c r="K6293" t="n">
        <v>0</v>
      </c>
      <c r="L6293" t="n">
        <v>28739</v>
      </c>
      <c r="M6293" t="n">
        <v>35500</v>
      </c>
      <c r="N6293" t="n">
        <v>91</v>
      </c>
      <c r="O6293" t="n">
        <v>0.91</v>
      </c>
      <c r="P6293" t="n">
        <v>1</v>
      </c>
      <c r="Q6293" t="n">
        <v>3.83</v>
      </c>
      <c r="R6293" t="n">
        <v>9</v>
      </c>
      <c r="S6293" t="n">
        <v>273623.35</v>
      </c>
      <c r="T6293" t="n">
        <v>78</v>
      </c>
      <c r="U6293" t="n">
        <v>94</v>
      </c>
      <c r="V6293" t="n">
        <v>30</v>
      </c>
      <c r="W6293" t="n">
        <v>232</v>
      </c>
      <c r="X6293" t="n">
        <v>11.80637544273908</v>
      </c>
      <c r="Y6293" t="n">
        <v>1</v>
      </c>
      <c r="Z6293" t="n">
        <v>141</v>
      </c>
      <c r="AA6293" t="n">
        <v>0</v>
      </c>
      <c r="AB6293" t="n">
        <v>141</v>
      </c>
      <c r="AC6293" t="n">
        <v>141</v>
      </c>
      <c r="AD6293" t="n">
        <v>0</v>
      </c>
      <c r="AE6293" t="n">
        <v>4052199</v>
      </c>
      <c r="AF6293" t="n">
        <v>11727</v>
      </c>
      <c r="AG6293" t="n">
        <v>63</v>
      </c>
      <c r="AH6293" t="inlineStr">
        <is>
          <t>PT. PARAMA GLOBAL INSPIRA - PPN (PDG)</t>
        </is>
      </c>
      <c r="AI6293" t="n">
        <v>164</v>
      </c>
      <c r="AJ6293" t="inlineStr">
        <is>
          <t>WARDAH</t>
        </is>
      </c>
      <c r="AK6293" t="n">
        <v>21</v>
      </c>
      <c r="AL6293" t="inlineStr">
        <is>
          <t>Miss Glam Damar</t>
        </is>
      </c>
      <c r="AM6293" t="n">
        <v>1</v>
      </c>
      <c r="AN6293" t="n">
        <v>500000</v>
      </c>
      <c r="AO6293" t="n">
        <v>0</v>
      </c>
      <c r="AP6293" t="inlineStr"/>
      <c r="AQ6293" t="inlineStr"/>
    </row>
    <row r="6294">
      <c r="A6294" t="inlineStr">
        <is>
          <t>WARDAH</t>
        </is>
      </c>
      <c r="B6294" s="2">
        <f>"8993137006545"</f>
        <v/>
      </c>
      <c r="C6294" t="inlineStr">
        <is>
          <t>WARDAH UV Shield Acne Calming Sunscreen Serum SPF 50 PA++++ 40 ml</t>
        </is>
      </c>
      <c r="D6294" t="inlineStr">
        <is>
          <t>Miss Glam Damar</t>
        </is>
      </c>
      <c r="E6294" t="n">
        <v>67</v>
      </c>
      <c r="F6294" t="n">
        <v>3.5945</v>
      </c>
      <c r="G6294" t="n">
        <v>11.83</v>
      </c>
      <c r="H6294" t="n">
        <v>2</v>
      </c>
      <c r="I6294" t="n">
        <v>6</v>
      </c>
      <c r="J6294" t="n">
        <v>3</v>
      </c>
      <c r="K6294" t="n">
        <v>0</v>
      </c>
      <c r="L6294" t="n">
        <v>45212</v>
      </c>
      <c r="M6294" t="n">
        <v>55500</v>
      </c>
      <c r="N6294" t="n">
        <v>91</v>
      </c>
      <c r="O6294" t="n">
        <v>0.91</v>
      </c>
      <c r="P6294" t="n">
        <v>1</v>
      </c>
      <c r="Q6294" t="n">
        <v>4.19</v>
      </c>
      <c r="R6294" t="n">
        <v>13</v>
      </c>
      <c r="S6294" t="n">
        <v>199494.75</v>
      </c>
      <c r="T6294" t="n">
        <v>64</v>
      </c>
      <c r="U6294" t="n">
        <v>72</v>
      </c>
      <c r="V6294" t="n">
        <v>30</v>
      </c>
      <c r="W6294" t="n">
        <v>108</v>
      </c>
      <c r="X6294" t="n">
        <v>18.63958825984142</v>
      </c>
      <c r="Y6294" t="n">
        <v>1</v>
      </c>
      <c r="Z6294" t="n">
        <v>41</v>
      </c>
      <c r="AA6294" t="n">
        <v>0</v>
      </c>
      <c r="AB6294" t="n">
        <v>41</v>
      </c>
      <c r="AC6294" t="n">
        <v>41</v>
      </c>
      <c r="AD6294" t="n">
        <v>0</v>
      </c>
      <c r="AE6294" t="n">
        <v>1853692</v>
      </c>
      <c r="AF6294" t="n">
        <v>11727</v>
      </c>
      <c r="AG6294" t="n">
        <v>63</v>
      </c>
      <c r="AH6294" t="inlineStr">
        <is>
          <t>PT. PARAMA GLOBAL INSPIRA - PPN (PDG)</t>
        </is>
      </c>
      <c r="AI6294" t="n">
        <v>164</v>
      </c>
      <c r="AJ6294" t="inlineStr">
        <is>
          <t>WARDAH</t>
        </is>
      </c>
      <c r="AK6294" t="n">
        <v>21</v>
      </c>
      <c r="AL6294" t="inlineStr">
        <is>
          <t>Miss Glam Damar</t>
        </is>
      </c>
      <c r="AM6294" t="n">
        <v>1</v>
      </c>
      <c r="AN6294" t="n">
        <v>500000</v>
      </c>
      <c r="AO6294" t="n">
        <v>0</v>
      </c>
      <c r="AP6294" t="inlineStr"/>
      <c r="AQ6294" t="inlineStr"/>
    </row>
    <row r="6295">
      <c r="A6295" t="inlineStr">
        <is>
          <t>WARDAH</t>
        </is>
      </c>
      <c r="B6295" s="2">
        <f>"8993137708302"</f>
        <v/>
      </c>
      <c r="C6295" t="inlineStr">
        <is>
          <t>WARDAH UV Shield Active Serum SPF50 Sunscreen 35ml</t>
        </is>
      </c>
      <c r="D6295" t="inlineStr">
        <is>
          <t>Miss Glam Damar</t>
        </is>
      </c>
      <c r="E6295" t="n">
        <v>20</v>
      </c>
      <c r="F6295" t="n">
        <v>0.6461</v>
      </c>
      <c r="G6295" t="n">
        <v>2.73</v>
      </c>
      <c r="H6295" t="n">
        <v>2</v>
      </c>
      <c r="I6295" t="n">
        <v>6</v>
      </c>
      <c r="J6295" t="n">
        <v>3</v>
      </c>
      <c r="K6295" t="n">
        <v>0</v>
      </c>
      <c r="L6295" t="n">
        <v>64752</v>
      </c>
      <c r="M6295" t="n">
        <v>79000</v>
      </c>
      <c r="N6295" t="n">
        <v>91</v>
      </c>
      <c r="O6295" t="n">
        <v>0.91</v>
      </c>
      <c r="P6295" t="n">
        <v>1</v>
      </c>
      <c r="Q6295" t="n">
        <v>0.5600000000000001</v>
      </c>
      <c r="R6295" t="n">
        <v>2</v>
      </c>
      <c r="S6295" t="n">
        <v>51041.9</v>
      </c>
      <c r="T6295" t="n">
        <v>16</v>
      </c>
      <c r="U6295" t="n">
        <v>18</v>
      </c>
      <c r="V6295" t="n">
        <v>30</v>
      </c>
      <c r="W6295" t="n">
        <v>20</v>
      </c>
      <c r="X6295" t="n">
        <v>30.95496053242532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11727</v>
      </c>
      <c r="AG6295" t="n">
        <v>63</v>
      </c>
      <c r="AH6295" t="inlineStr">
        <is>
          <t>PT. PARAMA GLOBAL INSPIRA - PPN (PDG)</t>
        </is>
      </c>
      <c r="AI6295" t="n">
        <v>164</v>
      </c>
      <c r="AJ6295" t="inlineStr">
        <is>
          <t>WARDAH</t>
        </is>
      </c>
      <c r="AK6295" t="n">
        <v>21</v>
      </c>
      <c r="AL6295" t="inlineStr">
        <is>
          <t>Miss Glam Damar</t>
        </is>
      </c>
      <c r="AM6295" t="n">
        <v>1</v>
      </c>
      <c r="AN6295" t="n">
        <v>500000</v>
      </c>
      <c r="AO6295" t="n">
        <v>0</v>
      </c>
      <c r="AP6295" t="inlineStr"/>
      <c r="AQ6295" t="inlineStr"/>
    </row>
    <row r="6296">
      <c r="A6296" t="inlineStr">
        <is>
          <t>WARDAH</t>
        </is>
      </c>
      <c r="B6296" s="2">
        <f>"8993137708296"</f>
        <v/>
      </c>
      <c r="C6296" t="inlineStr">
        <is>
          <t>WARDAH UV Shield Aqua Fresh Ess SPF 50 30ml</t>
        </is>
      </c>
      <c r="D6296" t="inlineStr">
        <is>
          <t>Miss Glam Damar</t>
        </is>
      </c>
      <c r="E6296" t="n">
        <v>35</v>
      </c>
      <c r="F6296" t="n">
        <v>2.5753</v>
      </c>
      <c r="G6296" t="n">
        <v>6.37</v>
      </c>
      <c r="H6296" t="n">
        <v>2</v>
      </c>
      <c r="I6296" t="n">
        <v>6</v>
      </c>
      <c r="J6296" t="n">
        <v>3</v>
      </c>
      <c r="K6296" t="n">
        <v>0</v>
      </c>
      <c r="L6296" t="n">
        <v>45223</v>
      </c>
      <c r="M6296" t="n">
        <v>55500</v>
      </c>
      <c r="N6296" t="n">
        <v>91</v>
      </c>
      <c r="O6296" t="n">
        <v>0.91</v>
      </c>
      <c r="P6296" t="n">
        <v>1</v>
      </c>
      <c r="Q6296" t="n">
        <v>2.47</v>
      </c>
      <c r="R6296" t="n">
        <v>6</v>
      </c>
      <c r="S6296" t="n">
        <v>142929.15</v>
      </c>
      <c r="T6296" t="n">
        <v>34</v>
      </c>
      <c r="U6296" t="n">
        <v>40</v>
      </c>
      <c r="V6296" t="n">
        <v>30</v>
      </c>
      <c r="W6296" t="n">
        <v>78</v>
      </c>
      <c r="X6296" t="n">
        <v>13.59064963305246</v>
      </c>
      <c r="Y6296" t="n">
        <v>1</v>
      </c>
      <c r="Z6296" t="n">
        <v>43</v>
      </c>
      <c r="AA6296" t="n">
        <v>0</v>
      </c>
      <c r="AB6296" t="n">
        <v>43</v>
      </c>
      <c r="AC6296" t="n">
        <v>43</v>
      </c>
      <c r="AD6296" t="n">
        <v>0</v>
      </c>
      <c r="AE6296" t="n">
        <v>1944589</v>
      </c>
      <c r="AF6296" t="n">
        <v>11727</v>
      </c>
      <c r="AG6296" t="n">
        <v>63</v>
      </c>
      <c r="AH6296" t="inlineStr">
        <is>
          <t>PT. PARAMA GLOBAL INSPIRA - PPN (PDG)</t>
        </is>
      </c>
      <c r="AI6296" t="n">
        <v>164</v>
      </c>
      <c r="AJ6296" t="inlineStr">
        <is>
          <t>WARDAH</t>
        </is>
      </c>
      <c r="AK6296" t="n">
        <v>21</v>
      </c>
      <c r="AL6296" t="inlineStr">
        <is>
          <t>Miss Glam Damar</t>
        </is>
      </c>
      <c r="AM6296" t="n">
        <v>1</v>
      </c>
      <c r="AN6296" t="n">
        <v>500000</v>
      </c>
      <c r="AO6296" t="n">
        <v>0</v>
      </c>
      <c r="AP6296" t="inlineStr"/>
      <c r="AQ6296" t="inlineStr"/>
    </row>
    <row r="6297">
      <c r="A6297" t="inlineStr">
        <is>
          <t>WARDAH</t>
        </is>
      </c>
      <c r="B6297" s="2">
        <f>"8993137007757"</f>
        <v/>
      </c>
      <c r="C6297" t="inlineStr">
        <is>
          <t>WARDAH Uv Shield Physical Sunscreen Serum Spf 50+++ 30ml</t>
        </is>
      </c>
      <c r="D6297" t="inlineStr">
        <is>
          <t>Miss Glam Damar</t>
        </is>
      </c>
      <c r="E6297" t="n">
        <v>16</v>
      </c>
      <c r="F6297" t="n">
        <v>0.91</v>
      </c>
      <c r="G6297" t="n">
        <v>2.73</v>
      </c>
      <c r="H6297" t="n">
        <v>2</v>
      </c>
      <c r="I6297" t="n">
        <v>6</v>
      </c>
      <c r="J6297" t="n">
        <v>3</v>
      </c>
      <c r="K6297" t="n">
        <v>0</v>
      </c>
      <c r="L6297" t="n">
        <v>57856</v>
      </c>
      <c r="M6297" t="n">
        <v>71000</v>
      </c>
      <c r="N6297" t="n">
        <v>91</v>
      </c>
      <c r="O6297" t="n">
        <v>0.91</v>
      </c>
      <c r="P6297" t="n">
        <v>1</v>
      </c>
      <c r="Q6297" t="n">
        <v>0.54</v>
      </c>
      <c r="R6297" t="n">
        <v>3</v>
      </c>
      <c r="S6297" t="n">
        <v>64610</v>
      </c>
      <c r="T6297" t="n">
        <v>15</v>
      </c>
      <c r="U6297" t="n">
        <v>17</v>
      </c>
      <c r="V6297" t="n">
        <v>30</v>
      </c>
      <c r="W6297" t="n">
        <v>28</v>
      </c>
      <c r="X6297" t="n">
        <v>17.58241758241758</v>
      </c>
      <c r="Y6297" t="n">
        <v>1</v>
      </c>
      <c r="Z6297" t="n">
        <v>12</v>
      </c>
      <c r="AA6297" t="n">
        <v>0</v>
      </c>
      <c r="AB6297" t="n">
        <v>12</v>
      </c>
      <c r="AC6297" t="n">
        <v>12</v>
      </c>
      <c r="AD6297" t="n">
        <v>0</v>
      </c>
      <c r="AE6297" t="n">
        <v>694272</v>
      </c>
      <c r="AF6297" t="n">
        <v>11727</v>
      </c>
      <c r="AG6297" t="n">
        <v>63</v>
      </c>
      <c r="AH6297" t="inlineStr">
        <is>
          <t>PT. PARAMA GLOBAL INSPIRA - PPN (PDG)</t>
        </is>
      </c>
      <c r="AI6297" t="n">
        <v>164</v>
      </c>
      <c r="AJ6297" t="inlineStr">
        <is>
          <t>WARDAH</t>
        </is>
      </c>
      <c r="AK6297" t="n">
        <v>21</v>
      </c>
      <c r="AL6297" t="inlineStr">
        <is>
          <t>Miss Glam Damar</t>
        </is>
      </c>
      <c r="AM6297" t="n">
        <v>1</v>
      </c>
      <c r="AN6297" t="n">
        <v>500000</v>
      </c>
      <c r="AO6297" t="n">
        <v>0</v>
      </c>
      <c r="AP6297" t="inlineStr"/>
      <c r="AQ6297" t="inlineStr"/>
    </row>
    <row r="6298">
      <c r="A6298" t="inlineStr">
        <is>
          <t>WARDAH</t>
        </is>
      </c>
      <c r="B6298" s="2">
        <f>"8993137740272"</f>
        <v/>
      </c>
      <c r="C6298" t="inlineStr">
        <is>
          <t>WARDAH UV Shield Spf 50 PA++++ Airy Smooth Sunscreen Serum 25ml</t>
        </is>
      </c>
      <c r="D6298" t="inlineStr">
        <is>
          <t>Miss Glam Damar</t>
        </is>
      </c>
      <c r="E6298" t="n">
        <v>45</v>
      </c>
      <c r="F6298" t="n">
        <v>4.0677</v>
      </c>
      <c r="G6298" t="n">
        <v>11.83</v>
      </c>
      <c r="H6298" t="n">
        <v>2</v>
      </c>
      <c r="I6298" t="n">
        <v>6</v>
      </c>
      <c r="J6298" t="n">
        <v>3</v>
      </c>
      <c r="K6298" t="n">
        <v>0</v>
      </c>
      <c r="L6298" t="n">
        <v>28736</v>
      </c>
      <c r="M6298" t="n">
        <v>35500</v>
      </c>
      <c r="N6298" t="n">
        <v>91</v>
      </c>
      <c r="O6298" t="n">
        <v>0.91</v>
      </c>
      <c r="P6298" t="n">
        <v>1</v>
      </c>
      <c r="Q6298" t="n">
        <v>2.25</v>
      </c>
      <c r="R6298" t="n">
        <v>8</v>
      </c>
      <c r="S6298" t="n">
        <v>144403.35</v>
      </c>
      <c r="T6298" t="n">
        <v>63</v>
      </c>
      <c r="U6298" t="n">
        <v>72</v>
      </c>
      <c r="V6298" t="n">
        <v>30</v>
      </c>
      <c r="W6298" t="n">
        <v>123</v>
      </c>
      <c r="X6298" t="n">
        <v>11.06276274061509</v>
      </c>
      <c r="Y6298" t="n">
        <v>1</v>
      </c>
      <c r="Z6298" t="n">
        <v>78</v>
      </c>
      <c r="AA6298" t="n">
        <v>0</v>
      </c>
      <c r="AB6298" t="n">
        <v>78</v>
      </c>
      <c r="AC6298" t="n">
        <v>78</v>
      </c>
      <c r="AD6298" t="n">
        <v>0</v>
      </c>
      <c r="AE6298" t="n">
        <v>2241408</v>
      </c>
      <c r="AF6298" t="n">
        <v>11727</v>
      </c>
      <c r="AG6298" t="n">
        <v>63</v>
      </c>
      <c r="AH6298" t="inlineStr">
        <is>
          <t>PT. PARAMA GLOBAL INSPIRA - PPN (PDG)</t>
        </is>
      </c>
      <c r="AI6298" t="n">
        <v>164</v>
      </c>
      <c r="AJ6298" t="inlineStr">
        <is>
          <t>WARDAH</t>
        </is>
      </c>
      <c r="AK6298" t="n">
        <v>21</v>
      </c>
      <c r="AL6298" t="inlineStr">
        <is>
          <t>Miss Glam Damar</t>
        </is>
      </c>
      <c r="AM6298" t="n">
        <v>1</v>
      </c>
      <c r="AN6298" t="n">
        <v>500000</v>
      </c>
      <c r="AO6298" t="n">
        <v>0</v>
      </c>
      <c r="AP6298" t="inlineStr"/>
      <c r="AQ6298" t="inlineStr"/>
    </row>
    <row r="6299">
      <c r="A6299" t="inlineStr">
        <is>
          <t>WARDAH</t>
        </is>
      </c>
      <c r="B6299" s="2">
        <f>"8993137740289"</f>
        <v/>
      </c>
      <c r="C6299" t="inlineStr">
        <is>
          <t>WARDAH UV Shield Spf 50 PA++++ Airy Smooth Sunscreen Serum 40ml</t>
        </is>
      </c>
      <c r="D6299" t="inlineStr">
        <is>
          <t>Miss Glam Damar</t>
        </is>
      </c>
      <c r="E6299" t="n">
        <v>37</v>
      </c>
      <c r="F6299" t="n">
        <v>2.4843</v>
      </c>
      <c r="G6299" t="n">
        <v>8.19</v>
      </c>
      <c r="H6299" t="n">
        <v>2</v>
      </c>
      <c r="I6299" t="n">
        <v>6</v>
      </c>
      <c r="J6299" t="n">
        <v>3</v>
      </c>
      <c r="K6299" t="n">
        <v>0</v>
      </c>
      <c r="L6299" t="n">
        <v>45189</v>
      </c>
      <c r="M6299" t="n">
        <v>55500</v>
      </c>
      <c r="N6299" t="n">
        <v>91</v>
      </c>
      <c r="O6299" t="n">
        <v>0.91</v>
      </c>
      <c r="P6299" t="n">
        <v>1</v>
      </c>
      <c r="Q6299" t="n">
        <v>2.07</v>
      </c>
      <c r="R6299" t="n">
        <v>8</v>
      </c>
      <c r="S6299" t="n">
        <v>137878.65</v>
      </c>
      <c r="T6299" t="n">
        <v>45</v>
      </c>
      <c r="U6299" t="n">
        <v>50</v>
      </c>
      <c r="V6299" t="n">
        <v>30</v>
      </c>
      <c r="W6299" t="n">
        <v>75</v>
      </c>
      <c r="X6299" t="n">
        <v>14.89353137704786</v>
      </c>
      <c r="Y6299" t="n">
        <v>1</v>
      </c>
      <c r="Z6299" t="n">
        <v>38</v>
      </c>
      <c r="AA6299" t="n">
        <v>0</v>
      </c>
      <c r="AB6299" t="n">
        <v>38</v>
      </c>
      <c r="AC6299" t="n">
        <v>38</v>
      </c>
      <c r="AD6299" t="n">
        <v>0</v>
      </c>
      <c r="AE6299" t="n">
        <v>1717182</v>
      </c>
      <c r="AF6299" t="n">
        <v>11727</v>
      </c>
      <c r="AG6299" t="n">
        <v>63</v>
      </c>
      <c r="AH6299" t="inlineStr">
        <is>
          <t>PT. PARAMA GLOBAL INSPIRA - PPN (PDG)</t>
        </is>
      </c>
      <c r="AI6299" t="n">
        <v>164</v>
      </c>
      <c r="AJ6299" t="inlineStr">
        <is>
          <t>WARDAH</t>
        </is>
      </c>
      <c r="AK6299" t="n">
        <v>21</v>
      </c>
      <c r="AL6299" t="inlineStr">
        <is>
          <t>Miss Glam Damar</t>
        </is>
      </c>
      <c r="AM6299" t="n">
        <v>1</v>
      </c>
      <c r="AN6299" t="n">
        <v>500000</v>
      </c>
      <c r="AO6299" t="n">
        <v>0</v>
      </c>
      <c r="AP6299" t="inlineStr"/>
      <c r="AQ6299" t="inlineStr"/>
    </row>
    <row r="6300">
      <c r="A6300" t="inlineStr">
        <is>
          <t>WARDAH</t>
        </is>
      </c>
      <c r="B6300" s="2">
        <f>"8993137708319"</f>
        <v/>
      </c>
      <c r="C6300" t="inlineStr">
        <is>
          <t>WARDAH UV Shield SPF35 Sunscreen Gel 40ml</t>
        </is>
      </c>
      <c r="D6300" t="inlineStr">
        <is>
          <t>Miss Glam Damar</t>
        </is>
      </c>
      <c r="E6300" t="n">
        <v>172</v>
      </c>
      <c r="F6300" t="n">
        <v>11.6298</v>
      </c>
      <c r="G6300" t="n">
        <v>26.39</v>
      </c>
      <c r="H6300" t="n">
        <v>2</v>
      </c>
      <c r="I6300" t="n">
        <v>6</v>
      </c>
      <c r="J6300" t="n">
        <v>3</v>
      </c>
      <c r="K6300" t="n">
        <v>0</v>
      </c>
      <c r="L6300" t="n">
        <v>28738</v>
      </c>
      <c r="M6300" t="n">
        <v>35500</v>
      </c>
      <c r="N6300" t="n">
        <v>91</v>
      </c>
      <c r="O6300" t="n">
        <v>0.91</v>
      </c>
      <c r="P6300" t="n">
        <v>1</v>
      </c>
      <c r="Q6300" t="n">
        <v>8.34</v>
      </c>
      <c r="R6300" t="n">
        <v>17</v>
      </c>
      <c r="S6300" t="n">
        <v>412857.9</v>
      </c>
      <c r="T6300" t="n">
        <v>136</v>
      </c>
      <c r="U6300" t="n">
        <v>160</v>
      </c>
      <c r="V6300" t="n">
        <v>30</v>
      </c>
      <c r="W6300" t="n">
        <v>349</v>
      </c>
      <c r="X6300" t="n">
        <v>14.78959225438099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11727</v>
      </c>
      <c r="AG6300" t="n">
        <v>63</v>
      </c>
      <c r="AH6300" t="inlineStr">
        <is>
          <t>PT. PARAMA GLOBAL INSPIRA - PPN (PDG)</t>
        </is>
      </c>
      <c r="AI6300" t="n">
        <v>164</v>
      </c>
      <c r="AJ6300" t="inlineStr">
        <is>
          <t>WARDAH</t>
        </is>
      </c>
      <c r="AK6300" t="n">
        <v>21</v>
      </c>
      <c r="AL6300" t="inlineStr">
        <is>
          <t>Miss Glam Damar</t>
        </is>
      </c>
      <c r="AM6300" t="n">
        <v>1</v>
      </c>
      <c r="AN6300" t="n">
        <v>500000</v>
      </c>
      <c r="AO6300" t="n">
        <v>0</v>
      </c>
      <c r="AP6300" t="inlineStr"/>
      <c r="AQ6300" t="inlineStr"/>
    </row>
    <row r="6301">
      <c r="A6301" t="inlineStr">
        <is>
          <t>WARDAH</t>
        </is>
      </c>
      <c r="B6301" s="2">
        <f>"8993137007764"</f>
        <v/>
      </c>
      <c r="C6301" t="inlineStr">
        <is>
          <t>WARDAH UV Shield Tone Up Sunscreen SPF 50+ PA+++ 30ml</t>
        </is>
      </c>
      <c r="D6301" t="inlineStr">
        <is>
          <t>Miss Glam Damar</t>
        </is>
      </c>
      <c r="E6301" t="n">
        <v>35</v>
      </c>
      <c r="F6301" t="n">
        <v>2.6026</v>
      </c>
      <c r="G6301" t="n">
        <v>6.37</v>
      </c>
      <c r="H6301" t="n">
        <v>2</v>
      </c>
      <c r="I6301" t="n">
        <v>6</v>
      </c>
      <c r="J6301" t="n">
        <v>3</v>
      </c>
      <c r="K6301" t="n">
        <v>0</v>
      </c>
      <c r="L6301" t="n">
        <v>57879</v>
      </c>
      <c r="M6301" t="n">
        <v>71000</v>
      </c>
      <c r="N6301" t="n">
        <v>91</v>
      </c>
      <c r="O6301" t="n">
        <v>0.91</v>
      </c>
      <c r="P6301" t="n">
        <v>1</v>
      </c>
      <c r="Q6301" t="n">
        <v>2.24</v>
      </c>
      <c r="R6301" t="n">
        <v>6</v>
      </c>
      <c r="S6301" t="n">
        <v>184784.6</v>
      </c>
      <c r="T6301" t="n">
        <v>34</v>
      </c>
      <c r="U6301" t="n">
        <v>40</v>
      </c>
      <c r="V6301" t="n">
        <v>30</v>
      </c>
      <c r="W6301" t="n">
        <v>79</v>
      </c>
      <c r="X6301" t="n">
        <v>13.44809037116729</v>
      </c>
      <c r="Y6301" t="n">
        <v>1</v>
      </c>
      <c r="Z6301" t="n">
        <v>44</v>
      </c>
      <c r="AA6301" t="n">
        <v>0</v>
      </c>
      <c r="AB6301" t="n">
        <v>44</v>
      </c>
      <c r="AC6301" t="n">
        <v>44</v>
      </c>
      <c r="AD6301" t="n">
        <v>0</v>
      </c>
      <c r="AE6301" t="n">
        <v>2546676</v>
      </c>
      <c r="AF6301" t="n">
        <v>11727</v>
      </c>
      <c r="AG6301" t="n">
        <v>63</v>
      </c>
      <c r="AH6301" t="inlineStr">
        <is>
          <t>PT. PARAMA GLOBAL INSPIRA - PPN (PDG)</t>
        </is>
      </c>
      <c r="AI6301" t="n">
        <v>164</v>
      </c>
      <c r="AJ6301" t="inlineStr">
        <is>
          <t>WARDAH</t>
        </is>
      </c>
      <c r="AK6301" t="n">
        <v>21</v>
      </c>
      <c r="AL6301" t="inlineStr">
        <is>
          <t>Miss Glam Damar</t>
        </is>
      </c>
      <c r="AM6301" t="n">
        <v>1</v>
      </c>
      <c r="AN6301" t="n">
        <v>500000</v>
      </c>
      <c r="AO6301" t="n">
        <v>0</v>
      </c>
      <c r="AP6301" t="inlineStr"/>
      <c r="AQ6301" t="inlineStr"/>
    </row>
    <row r="6302">
      <c r="A6302" t="inlineStr">
        <is>
          <t>WARDAH</t>
        </is>
      </c>
      <c r="B6302" s="2">
        <f>"8993137707817"</f>
        <v/>
      </c>
      <c r="C6302" t="inlineStr">
        <is>
          <t>WARDAH Velvet Lip Matte 12 Chic Terracotta 4gr</t>
        </is>
      </c>
      <c r="D6302" t="inlineStr">
        <is>
          <t>Miss Glam Damar</t>
        </is>
      </c>
      <c r="E6302" t="n">
        <v>7</v>
      </c>
      <c r="F6302" t="n">
        <v>0.182</v>
      </c>
      <c r="G6302" t="n">
        <v>1.82</v>
      </c>
      <c r="H6302" t="n">
        <v>2</v>
      </c>
      <c r="I6302" t="n">
        <v>6</v>
      </c>
      <c r="J6302" t="n">
        <v>3</v>
      </c>
      <c r="K6302" t="n">
        <v>0</v>
      </c>
      <c r="L6302" t="n">
        <v>58161</v>
      </c>
      <c r="M6302" t="n">
        <v>71000</v>
      </c>
      <c r="N6302" t="n">
        <v>91</v>
      </c>
      <c r="O6302" t="n">
        <v>0.91</v>
      </c>
      <c r="P6302" t="n">
        <v>1</v>
      </c>
      <c r="Q6302" t="n">
        <v>0.41</v>
      </c>
      <c r="R6302" t="n">
        <v>2</v>
      </c>
      <c r="S6302" t="n">
        <v>12922</v>
      </c>
      <c r="T6302" t="n">
        <v>11</v>
      </c>
      <c r="U6302" t="n">
        <v>12</v>
      </c>
      <c r="V6302" t="n">
        <v>30</v>
      </c>
      <c r="W6302" t="n">
        <v>6</v>
      </c>
      <c r="X6302" t="n">
        <v>38.46153846153846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11727</v>
      </c>
      <c r="AG6302" t="n">
        <v>63</v>
      </c>
      <c r="AH6302" t="inlineStr">
        <is>
          <t>PT. PARAMA GLOBAL INSPIRA - PPN (PDG)</t>
        </is>
      </c>
      <c r="AI6302" t="n">
        <v>164</v>
      </c>
      <c r="AJ6302" t="inlineStr">
        <is>
          <t>WARDAH</t>
        </is>
      </c>
      <c r="AK6302" t="n">
        <v>21</v>
      </c>
      <c r="AL6302" t="inlineStr">
        <is>
          <t>Miss Glam Damar</t>
        </is>
      </c>
      <c r="AM6302" t="n">
        <v>1</v>
      </c>
      <c r="AN6302" t="n">
        <v>500000</v>
      </c>
      <c r="AO6302" t="n">
        <v>0</v>
      </c>
      <c r="AP6302" t="inlineStr"/>
      <c r="AQ6302" t="inlineStr"/>
    </row>
    <row r="6303">
      <c r="A6303" t="inlineStr">
        <is>
          <t>WARDAH</t>
        </is>
      </c>
      <c r="B6303" s="2">
        <f>"8993137707824"</f>
        <v/>
      </c>
      <c r="C6303" t="inlineStr">
        <is>
          <t>WARDAH Velvet Lip Matte 13 Sweet Cinnamon 4g</t>
        </is>
      </c>
      <c r="D6303" t="inlineStr">
        <is>
          <t>Miss Glam Damar</t>
        </is>
      </c>
      <c r="E6303" t="n">
        <v>4</v>
      </c>
      <c r="F6303" t="n">
        <v>0.1729</v>
      </c>
      <c r="G6303" t="n">
        <v>0.91</v>
      </c>
      <c r="H6303" t="n">
        <v>2</v>
      </c>
      <c r="I6303" t="n">
        <v>6</v>
      </c>
      <c r="J6303" t="n">
        <v>3</v>
      </c>
      <c r="K6303" t="n">
        <v>0</v>
      </c>
      <c r="L6303" t="n">
        <v>58287</v>
      </c>
      <c r="M6303" t="n">
        <v>71000</v>
      </c>
      <c r="N6303" t="n">
        <v>91</v>
      </c>
      <c r="O6303" t="n">
        <v>0.91</v>
      </c>
      <c r="P6303" t="n">
        <v>1</v>
      </c>
      <c r="Q6303" t="n">
        <v>0.36</v>
      </c>
      <c r="R6303" t="n">
        <v>3</v>
      </c>
      <c r="S6303" t="n">
        <v>12275.9</v>
      </c>
      <c r="T6303" t="n">
        <v>6</v>
      </c>
      <c r="U6303" t="n">
        <v>7</v>
      </c>
      <c r="V6303" t="n">
        <v>30</v>
      </c>
      <c r="W6303" t="n">
        <v>6</v>
      </c>
      <c r="X6303" t="n">
        <v>23.13475997686524</v>
      </c>
      <c r="Y6303" t="n">
        <v>1</v>
      </c>
      <c r="Z6303" t="n">
        <v>2</v>
      </c>
      <c r="AA6303" t="n">
        <v>0</v>
      </c>
      <c r="AB6303" t="n">
        <v>2</v>
      </c>
      <c r="AC6303" t="n">
        <v>3</v>
      </c>
      <c r="AD6303" t="n">
        <v>0</v>
      </c>
      <c r="AE6303" t="n">
        <v>174861</v>
      </c>
      <c r="AF6303" t="n">
        <v>11727</v>
      </c>
      <c r="AG6303" t="n">
        <v>63</v>
      </c>
      <c r="AH6303" t="inlineStr">
        <is>
          <t>PT. PARAMA GLOBAL INSPIRA - PPN (PDG)</t>
        </is>
      </c>
      <c r="AI6303" t="n">
        <v>164</v>
      </c>
      <c r="AJ6303" t="inlineStr">
        <is>
          <t>WARDAH</t>
        </is>
      </c>
      <c r="AK6303" t="n">
        <v>21</v>
      </c>
      <c r="AL6303" t="inlineStr">
        <is>
          <t>Miss Glam Damar</t>
        </is>
      </c>
      <c r="AM6303" t="n">
        <v>1</v>
      </c>
      <c r="AN6303" t="n">
        <v>500000</v>
      </c>
      <c r="AO6303" t="n">
        <v>0</v>
      </c>
      <c r="AP6303" t="inlineStr"/>
      <c r="AQ6303" t="inlineStr"/>
    </row>
    <row r="6304">
      <c r="A6304" t="inlineStr">
        <is>
          <t>WARDAH</t>
        </is>
      </c>
      <c r="B6304" s="2">
        <f>"8993137707831"</f>
        <v/>
      </c>
      <c r="C6304" t="inlineStr">
        <is>
          <t>WARDAH Velvet Lip Matte 14 Dainty Caramel 4gr</t>
        </is>
      </c>
      <c r="D6304" t="inlineStr">
        <is>
          <t>Miss Glam Damar</t>
        </is>
      </c>
      <c r="E6304" t="n">
        <v>7</v>
      </c>
      <c r="F6304" t="n">
        <v>0.06370000000000001</v>
      </c>
      <c r="G6304" t="n">
        <v>0.91</v>
      </c>
      <c r="H6304" t="n">
        <v>2</v>
      </c>
      <c r="I6304" t="n">
        <v>6</v>
      </c>
      <c r="J6304" t="n">
        <v>3</v>
      </c>
      <c r="K6304" t="n">
        <v>0</v>
      </c>
      <c r="L6304" t="n">
        <v>58162</v>
      </c>
      <c r="M6304" t="n">
        <v>71000</v>
      </c>
      <c r="N6304" t="n">
        <v>91</v>
      </c>
      <c r="O6304" t="n">
        <v>0.91</v>
      </c>
      <c r="P6304" t="n">
        <v>1</v>
      </c>
      <c r="Q6304" t="n">
        <v>0.15</v>
      </c>
      <c r="R6304" t="n">
        <v>1</v>
      </c>
      <c r="S6304" t="n">
        <v>4522.700000000001</v>
      </c>
      <c r="T6304" t="n">
        <v>6</v>
      </c>
      <c r="U6304" t="n">
        <v>7</v>
      </c>
      <c r="V6304" t="n">
        <v>30</v>
      </c>
      <c r="W6304" t="n">
        <v>2</v>
      </c>
      <c r="X6304" t="n">
        <v>109.8901098901099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11727</v>
      </c>
      <c r="AG6304" t="n">
        <v>63</v>
      </c>
      <c r="AH6304" t="inlineStr">
        <is>
          <t>PT. PARAMA GLOBAL INSPIRA - PPN (PDG)</t>
        </is>
      </c>
      <c r="AI6304" t="n">
        <v>164</v>
      </c>
      <c r="AJ6304" t="inlineStr">
        <is>
          <t>WARDAH</t>
        </is>
      </c>
      <c r="AK6304" t="n">
        <v>21</v>
      </c>
      <c r="AL6304" t="inlineStr">
        <is>
          <t>Miss Glam Damar</t>
        </is>
      </c>
      <c r="AM6304" t="n">
        <v>1</v>
      </c>
      <c r="AN6304" t="n">
        <v>500000</v>
      </c>
      <c r="AO6304" t="n">
        <v>0</v>
      </c>
      <c r="AP6304" t="inlineStr"/>
      <c r="AQ6304" t="inlineStr"/>
    </row>
    <row r="6305">
      <c r="A6305" t="inlineStr">
        <is>
          <t>WARDAH</t>
        </is>
      </c>
      <c r="B6305" s="2">
        <f>"8993137711241"</f>
        <v/>
      </c>
      <c r="C6305" t="inlineStr">
        <is>
          <t>WARDAH Velvet Powder Foundation 43W Golden Sand 11gr</t>
        </is>
      </c>
      <c r="D6305" t="inlineStr">
        <is>
          <t>Miss Glam Damar</t>
        </is>
      </c>
      <c r="E6305" t="n">
        <v>9</v>
      </c>
      <c r="F6305" t="n">
        <v>0.15</v>
      </c>
      <c r="G6305" t="n">
        <v>2</v>
      </c>
      <c r="H6305" t="n">
        <v>2</v>
      </c>
      <c r="I6305" t="n">
        <v>6</v>
      </c>
      <c r="J6305" t="n">
        <v>3</v>
      </c>
      <c r="K6305" t="n">
        <v>0</v>
      </c>
      <c r="L6305" t="n">
        <v>64752</v>
      </c>
      <c r="M6305" t="n">
        <v>79000</v>
      </c>
      <c r="N6305" t="n">
        <v>91</v>
      </c>
      <c r="O6305" t="n">
        <v>0.91</v>
      </c>
      <c r="P6305" t="n">
        <v>0</v>
      </c>
      <c r="Q6305" t="n">
        <v>0.15</v>
      </c>
      <c r="R6305" t="n">
        <v>2</v>
      </c>
      <c r="S6305" t="n">
        <v>11850</v>
      </c>
      <c r="T6305" t="n">
        <v>12</v>
      </c>
      <c r="U6305" t="n">
        <v>13</v>
      </c>
      <c r="V6305" t="n">
        <v>30</v>
      </c>
      <c r="W6305" t="n">
        <v>5</v>
      </c>
      <c r="X6305" t="n">
        <v>60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11727</v>
      </c>
      <c r="AG6305" t="n">
        <v>63</v>
      </c>
      <c r="AH6305" t="inlineStr">
        <is>
          <t>PT. PARAMA GLOBAL INSPIRA - PPN (PDG)</t>
        </is>
      </c>
      <c r="AI6305" t="n">
        <v>164</v>
      </c>
      <c r="AJ6305" t="inlineStr">
        <is>
          <t>WARDAH</t>
        </is>
      </c>
      <c r="AK6305" t="n">
        <v>21</v>
      </c>
      <c r="AL6305" t="inlineStr">
        <is>
          <t>Miss Glam Damar</t>
        </is>
      </c>
      <c r="AM6305" t="n">
        <v>1</v>
      </c>
      <c r="AN6305" t="n">
        <v>500000</v>
      </c>
      <c r="AO6305" t="n">
        <v>0</v>
      </c>
      <c r="AP6305" t="inlineStr"/>
      <c r="AQ6305" t="inlineStr"/>
    </row>
    <row r="6306">
      <c r="A6306" t="inlineStr">
        <is>
          <t>WARDAH</t>
        </is>
      </c>
      <c r="B6306" s="2">
        <f>"8993137006002"</f>
        <v/>
      </c>
      <c r="C6306" t="inlineStr">
        <is>
          <t>WARDAH Vitamin C + 8X NMF Amino Radiant Charge Gel Cleanser 120ml</t>
        </is>
      </c>
      <c r="D6306" t="inlineStr">
        <is>
          <t>Miss Glam Damar</t>
        </is>
      </c>
      <c r="E6306" t="n">
        <v>5</v>
      </c>
      <c r="F6306" t="n">
        <v>0.04550000000000001</v>
      </c>
      <c r="G6306" t="n">
        <v>0.91</v>
      </c>
      <c r="H6306" t="n">
        <v>2</v>
      </c>
      <c r="I6306" t="n">
        <v>6</v>
      </c>
      <c r="J6306" t="n">
        <v>3</v>
      </c>
      <c r="K6306" t="n">
        <v>0</v>
      </c>
      <c r="L6306" t="n">
        <v>69739</v>
      </c>
      <c r="M6306" t="n">
        <v>85500</v>
      </c>
      <c r="N6306" t="n">
        <v>91</v>
      </c>
      <c r="O6306" t="n">
        <v>0.91</v>
      </c>
      <c r="P6306" t="n">
        <v>1</v>
      </c>
      <c r="Q6306" t="n">
        <v>0.1</v>
      </c>
      <c r="R6306" t="n">
        <v>1</v>
      </c>
      <c r="S6306" t="n">
        <v>3890.25</v>
      </c>
      <c r="T6306" t="n">
        <v>6</v>
      </c>
      <c r="U6306" t="n">
        <v>7</v>
      </c>
      <c r="V6306" t="n">
        <v>30</v>
      </c>
      <c r="W6306" t="n">
        <v>2</v>
      </c>
      <c r="X6306" t="n">
        <v>109.8901098901099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11727</v>
      </c>
      <c r="AG6306" t="n">
        <v>63</v>
      </c>
      <c r="AH6306" t="inlineStr">
        <is>
          <t>PT. PARAMA GLOBAL INSPIRA - PPN (PDG)</t>
        </is>
      </c>
      <c r="AI6306" t="n">
        <v>164</v>
      </c>
      <c r="AJ6306" t="inlineStr">
        <is>
          <t>WARDAH</t>
        </is>
      </c>
      <c r="AK6306" t="n">
        <v>21</v>
      </c>
      <c r="AL6306" t="inlineStr">
        <is>
          <t>Miss Glam Damar</t>
        </is>
      </c>
      <c r="AM6306" t="n">
        <v>1</v>
      </c>
      <c r="AN6306" t="n">
        <v>500000</v>
      </c>
      <c r="AO6306" t="n">
        <v>0</v>
      </c>
      <c r="AP6306" t="inlineStr"/>
      <c r="AQ6306" t="inlineStr"/>
    </row>
    <row r="6307">
      <c r="A6307" t="inlineStr">
        <is>
          <t>WARDAH</t>
        </is>
      </c>
      <c r="B6307" s="2">
        <f>"8993137003759"</f>
        <v/>
      </c>
      <c r="C6307" t="inlineStr">
        <is>
          <t>WARDAH Vitamin C+Adenosine Radian Charge Gel Moisturizer 30gr</t>
        </is>
      </c>
      <c r="D6307" t="inlineStr">
        <is>
          <t>Miss Glam Damar</t>
        </is>
      </c>
      <c r="E6307" t="n">
        <v>16</v>
      </c>
      <c r="F6307" t="n">
        <v>0.3276</v>
      </c>
      <c r="G6307" t="n">
        <v>2.73</v>
      </c>
      <c r="H6307" t="n">
        <v>2</v>
      </c>
      <c r="I6307" t="n">
        <v>6</v>
      </c>
      <c r="J6307" t="n">
        <v>3</v>
      </c>
      <c r="K6307" t="n">
        <v>0</v>
      </c>
      <c r="L6307" t="n">
        <v>82745</v>
      </c>
      <c r="M6307" t="n">
        <v>101000</v>
      </c>
      <c r="N6307" t="n">
        <v>91</v>
      </c>
      <c r="O6307" t="n">
        <v>0.91</v>
      </c>
      <c r="P6307" t="n">
        <v>1</v>
      </c>
      <c r="Q6307" t="n">
        <v>0.47</v>
      </c>
      <c r="R6307" t="n">
        <v>3</v>
      </c>
      <c r="S6307" t="n">
        <v>33087.6</v>
      </c>
      <c r="T6307" t="n">
        <v>16</v>
      </c>
      <c r="U6307" t="n">
        <v>17</v>
      </c>
      <c r="V6307" t="n">
        <v>30</v>
      </c>
      <c r="W6307" t="n">
        <v>10</v>
      </c>
      <c r="X6307" t="n">
        <v>48.84004884004884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11727</v>
      </c>
      <c r="AG6307" t="n">
        <v>63</v>
      </c>
      <c r="AH6307" t="inlineStr">
        <is>
          <t>PT. PARAMA GLOBAL INSPIRA - PPN (PDG)</t>
        </is>
      </c>
      <c r="AI6307" t="n">
        <v>164</v>
      </c>
      <c r="AJ6307" t="inlineStr">
        <is>
          <t>WARDAH</t>
        </is>
      </c>
      <c r="AK6307" t="n">
        <v>21</v>
      </c>
      <c r="AL6307" t="inlineStr">
        <is>
          <t>Miss Glam Damar</t>
        </is>
      </c>
      <c r="AM6307" t="n">
        <v>1</v>
      </c>
      <c r="AN6307" t="n">
        <v>500000</v>
      </c>
      <c r="AO6307" t="n">
        <v>0</v>
      </c>
      <c r="AP6307" t="inlineStr"/>
      <c r="AQ6307" t="inlineStr"/>
    </row>
    <row r="6308">
      <c r="A6308" t="inlineStr">
        <is>
          <t>WARDAH</t>
        </is>
      </c>
      <c r="B6308" s="2">
        <f>"8993137692304"</f>
        <v/>
      </c>
      <c r="C6308" t="inlineStr">
        <is>
          <t>WARDAH White Secreet Night Cream 30gr</t>
        </is>
      </c>
      <c r="D6308" t="inlineStr">
        <is>
          <t>Miss Glam Damar</t>
        </is>
      </c>
      <c r="E6308" t="n">
        <v>8</v>
      </c>
      <c r="F6308" t="n">
        <v>0.6825</v>
      </c>
      <c r="G6308" t="n">
        <v>2.73</v>
      </c>
      <c r="H6308" t="n">
        <v>2</v>
      </c>
      <c r="I6308" t="n">
        <v>6</v>
      </c>
      <c r="J6308" t="n">
        <v>3</v>
      </c>
      <c r="K6308" t="n">
        <v>0</v>
      </c>
      <c r="L6308" t="n">
        <v>83660</v>
      </c>
      <c r="M6308" t="n">
        <v>102000</v>
      </c>
      <c r="N6308" t="n">
        <v>91</v>
      </c>
      <c r="O6308" t="n">
        <v>0.91</v>
      </c>
      <c r="P6308" t="n">
        <v>1</v>
      </c>
      <c r="Q6308" t="n">
        <v>0.6899999999999999</v>
      </c>
      <c r="R6308" t="n">
        <v>3</v>
      </c>
      <c r="S6308" t="n">
        <v>69615</v>
      </c>
      <c r="T6308" t="n">
        <v>16</v>
      </c>
      <c r="U6308" t="n">
        <v>18</v>
      </c>
      <c r="V6308" t="n">
        <v>30</v>
      </c>
      <c r="W6308" t="n">
        <v>21</v>
      </c>
      <c r="X6308" t="n">
        <v>11.72161172161172</v>
      </c>
      <c r="Y6308" t="n">
        <v>1</v>
      </c>
      <c r="Z6308" t="n">
        <v>13</v>
      </c>
      <c r="AA6308" t="n">
        <v>0</v>
      </c>
      <c r="AB6308" t="n">
        <v>13</v>
      </c>
      <c r="AC6308" t="n">
        <v>13</v>
      </c>
      <c r="AD6308" t="n">
        <v>0</v>
      </c>
      <c r="AE6308" t="n">
        <v>1087580</v>
      </c>
      <c r="AF6308" t="n">
        <v>11727</v>
      </c>
      <c r="AG6308" t="n">
        <v>63</v>
      </c>
      <c r="AH6308" t="inlineStr">
        <is>
          <t>PT. PARAMA GLOBAL INSPIRA - PPN (PDG)</t>
        </is>
      </c>
      <c r="AI6308" t="n">
        <v>164</v>
      </c>
      <c r="AJ6308" t="inlineStr">
        <is>
          <t>WARDAH</t>
        </is>
      </c>
      <c r="AK6308" t="n">
        <v>21</v>
      </c>
      <c r="AL6308" t="inlineStr">
        <is>
          <t>Miss Glam Damar</t>
        </is>
      </c>
      <c r="AM6308" t="n">
        <v>1</v>
      </c>
      <c r="AN6308" t="n">
        <v>500000</v>
      </c>
      <c r="AO6308" t="n">
        <v>0</v>
      </c>
      <c r="AP6308" t="inlineStr"/>
      <c r="AQ6308" t="inlineStr"/>
    </row>
    <row r="6309">
      <c r="A6309" t="inlineStr">
        <is>
          <t>WARDAH</t>
        </is>
      </c>
      <c r="B6309" s="2">
        <f>"8993137692298"</f>
        <v/>
      </c>
      <c r="C6309" t="inlineStr">
        <is>
          <t>WARDAH White Secret Day Cream 30gr</t>
        </is>
      </c>
      <c r="D6309" t="inlineStr">
        <is>
          <t>Miss Glam Damar</t>
        </is>
      </c>
      <c r="E6309" t="n">
        <v>12</v>
      </c>
      <c r="F6309" t="n">
        <v>0.9828000000000001</v>
      </c>
      <c r="G6309" t="n">
        <v>2.73</v>
      </c>
      <c r="H6309" t="n">
        <v>2</v>
      </c>
      <c r="I6309" t="n">
        <v>6</v>
      </c>
      <c r="J6309" t="n">
        <v>3</v>
      </c>
      <c r="K6309" t="n">
        <v>0</v>
      </c>
      <c r="L6309" t="n">
        <v>83561</v>
      </c>
      <c r="M6309" t="n">
        <v>102000</v>
      </c>
      <c r="N6309" t="n">
        <v>91</v>
      </c>
      <c r="O6309" t="n">
        <v>0.91</v>
      </c>
      <c r="P6309" t="n">
        <v>1</v>
      </c>
      <c r="Q6309" t="n">
        <v>0.9</v>
      </c>
      <c r="R6309" t="n">
        <v>3</v>
      </c>
      <c r="S6309" t="n">
        <v>100245.6</v>
      </c>
      <c r="T6309" t="n">
        <v>15</v>
      </c>
      <c r="U6309" t="n">
        <v>17</v>
      </c>
      <c r="V6309" t="n">
        <v>30</v>
      </c>
      <c r="W6309" t="n">
        <v>30</v>
      </c>
      <c r="X6309" t="n">
        <v>12.21001221001221</v>
      </c>
      <c r="Y6309" t="n">
        <v>1</v>
      </c>
      <c r="Z6309" t="n">
        <v>18</v>
      </c>
      <c r="AA6309" t="n">
        <v>0</v>
      </c>
      <c r="AB6309" t="n">
        <v>18</v>
      </c>
      <c r="AC6309" t="n">
        <v>18</v>
      </c>
      <c r="AD6309" t="n">
        <v>0</v>
      </c>
      <c r="AE6309" t="n">
        <v>1504098</v>
      </c>
      <c r="AF6309" t="n">
        <v>11727</v>
      </c>
      <c r="AG6309" t="n">
        <v>63</v>
      </c>
      <c r="AH6309" t="inlineStr">
        <is>
          <t>PT. PARAMA GLOBAL INSPIRA - PPN (PDG)</t>
        </is>
      </c>
      <c r="AI6309" t="n">
        <v>164</v>
      </c>
      <c r="AJ6309" t="inlineStr">
        <is>
          <t>WARDAH</t>
        </is>
      </c>
      <c r="AK6309" t="n">
        <v>21</v>
      </c>
      <c r="AL6309" t="inlineStr">
        <is>
          <t>Miss Glam Damar</t>
        </is>
      </c>
      <c r="AM6309" t="n">
        <v>1</v>
      </c>
      <c r="AN6309" t="n">
        <v>500000</v>
      </c>
      <c r="AO6309" t="n">
        <v>0</v>
      </c>
      <c r="AP6309" t="inlineStr"/>
      <c r="AQ6309" t="inlineStr"/>
    </row>
    <row r="6310">
      <c r="A6310" t="inlineStr">
        <is>
          <t>WARDAH</t>
        </is>
      </c>
      <c r="B6310" s="2">
        <f>"20200220748"</f>
        <v/>
      </c>
      <c r="C6310" t="inlineStr">
        <is>
          <t>WARDAH Zero Trace Mascara Remover 5.5gr</t>
        </is>
      </c>
      <c r="D6310" t="inlineStr">
        <is>
          <t>Miss Glam Damar</t>
        </is>
      </c>
      <c r="E6310" t="n">
        <v>1</v>
      </c>
      <c r="F6310" t="n">
        <v>0.0273</v>
      </c>
      <c r="G6310" t="n">
        <v>0.91</v>
      </c>
      <c r="H6310" t="n">
        <v>2</v>
      </c>
      <c r="I6310" t="n">
        <v>6</v>
      </c>
      <c r="J6310" t="n">
        <v>1</v>
      </c>
      <c r="K6310" t="n">
        <v>0</v>
      </c>
      <c r="L6310" t="n">
        <v>52491</v>
      </c>
      <c r="M6310" t="n">
        <v>64500</v>
      </c>
      <c r="N6310" t="n">
        <v>91</v>
      </c>
      <c r="O6310" t="n">
        <v>0.91</v>
      </c>
      <c r="P6310" t="n">
        <v>1</v>
      </c>
      <c r="Q6310" t="n">
        <v>0.14</v>
      </c>
      <c r="R6310" t="n">
        <v>2</v>
      </c>
      <c r="S6310" t="n">
        <v>1760.85</v>
      </c>
      <c r="T6310" t="n">
        <v>6</v>
      </c>
      <c r="U6310" t="n">
        <v>7</v>
      </c>
      <c r="V6310" t="n">
        <v>30</v>
      </c>
      <c r="W6310" t="n">
        <v>1</v>
      </c>
      <c r="X6310" t="n">
        <v>36.63003663003663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11727</v>
      </c>
      <c r="AG6310" t="n">
        <v>63</v>
      </c>
      <c r="AH6310" t="inlineStr">
        <is>
          <t>PT. PARAMA GLOBAL INSPIRA - PPN (PDG)</t>
        </is>
      </c>
      <c r="AI6310" t="n">
        <v>164</v>
      </c>
      <c r="AJ6310" t="inlineStr">
        <is>
          <t>WARDAH</t>
        </is>
      </c>
      <c r="AK6310" t="n">
        <v>21</v>
      </c>
      <c r="AL6310" t="inlineStr">
        <is>
          <t>Miss Glam Damar</t>
        </is>
      </c>
      <c r="AM6310" t="n">
        <v>1</v>
      </c>
      <c r="AN6310" t="n">
        <v>500000</v>
      </c>
      <c r="AO6310" t="n">
        <v>0</v>
      </c>
      <c r="AP6310" t="inlineStr"/>
      <c r="AQ6310" t="inlineStr"/>
    </row>
    <row r="6311">
      <c r="A6311" t="inlineStr">
        <is>
          <t>WATERU</t>
        </is>
      </c>
      <c r="B6311" s="2">
        <f>"51100409542"</f>
        <v/>
      </c>
      <c r="C6311" t="inlineStr">
        <is>
          <t>WATERU Preminum Bamboo Tissue Natural &amp; Unbleached 100 Sheets 3 Ply 150gr</t>
        </is>
      </c>
      <c r="D6311" t="inlineStr">
        <is>
          <t>Miss Glam Damar</t>
        </is>
      </c>
      <c r="E6311" t="n">
        <v>0</v>
      </c>
      <c r="F6311" t="n">
        <v>0.15</v>
      </c>
      <c r="G6311" t="n">
        <v>1</v>
      </c>
      <c r="H6311" t="n">
        <v>4</v>
      </c>
      <c r="I6311" t="n">
        <v>21</v>
      </c>
      <c r="J6311" t="n">
        <v>1</v>
      </c>
      <c r="K6311" t="n">
        <v>0</v>
      </c>
      <c r="L6311" t="n">
        <v>10246</v>
      </c>
      <c r="M6311" t="n">
        <v>15000</v>
      </c>
      <c r="N6311" t="n">
        <v>91</v>
      </c>
      <c r="O6311" t="n">
        <v>0.91</v>
      </c>
      <c r="P6311" t="n">
        <v>0</v>
      </c>
      <c r="Q6311" t="n">
        <v>0.15</v>
      </c>
      <c r="R6311" t="n">
        <v>1</v>
      </c>
      <c r="S6311" t="n">
        <v>2250</v>
      </c>
      <c r="T6311" t="n">
        <v>21</v>
      </c>
      <c r="U6311" t="n">
        <v>22</v>
      </c>
      <c r="V6311" t="n">
        <v>30</v>
      </c>
      <c r="W6311" t="n">
        <v>5</v>
      </c>
      <c r="X6311" t="n">
        <v>0</v>
      </c>
      <c r="Y6311" t="n">
        <v>1</v>
      </c>
      <c r="Z6311" t="n">
        <v>5</v>
      </c>
      <c r="AA6311" t="n">
        <v>4</v>
      </c>
      <c r="AB6311" t="n">
        <v>1</v>
      </c>
      <c r="AC6311" t="n">
        <v>1</v>
      </c>
      <c r="AD6311" t="n">
        <v>40984</v>
      </c>
      <c r="AE6311" t="n">
        <v>10246</v>
      </c>
      <c r="AF6311" t="n">
        <v>9214</v>
      </c>
      <c r="AG6311" t="n">
        <v>1</v>
      </c>
      <c r="AH6311" t="inlineStr">
        <is>
          <t>PT. BERSAMA DISTRIVERSA INDONESIA (DC CIPUTAT)</t>
        </is>
      </c>
      <c r="AI6311" t="n">
        <v>2041</v>
      </c>
      <c r="AJ6311" t="inlineStr">
        <is>
          <t>WATERU</t>
        </is>
      </c>
      <c r="AK6311" t="n">
        <v>21</v>
      </c>
      <c r="AL6311" t="inlineStr">
        <is>
          <t>Miss Glam Damar</t>
        </is>
      </c>
      <c r="AM6311" t="n">
        <v>4</v>
      </c>
      <c r="AN6311" t="n">
        <v>500000</v>
      </c>
      <c r="AO6311" t="n">
        <v>0</v>
      </c>
      <c r="AP6311" t="inlineStr"/>
      <c r="AQ6311" t="inlineStr"/>
    </row>
    <row r="6312">
      <c r="A6312" t="inlineStr">
        <is>
          <t>WATERU</t>
        </is>
      </c>
      <c r="B6312" s="2">
        <f>"8997226240025"</f>
        <v/>
      </c>
      <c r="C6312" t="inlineStr">
        <is>
          <t>WATERU Premium Bamboo Facial Tissue 10 Sheets 2 Ply 13gr</t>
        </is>
      </c>
      <c r="D6312" t="inlineStr">
        <is>
          <t>Miss Glam Damar</t>
        </is>
      </c>
      <c r="E6312" t="n">
        <v>671</v>
      </c>
      <c r="F6312" t="n">
        <v>0.1365</v>
      </c>
      <c r="G6312" t="n">
        <v>1.82</v>
      </c>
      <c r="H6312" t="n">
        <v>4</v>
      </c>
      <c r="I6312" t="n">
        <v>21</v>
      </c>
      <c r="J6312" t="n">
        <v>3</v>
      </c>
      <c r="K6312" t="n">
        <v>0</v>
      </c>
      <c r="L6312" t="n">
        <v>2699</v>
      </c>
      <c r="M6312" t="n">
        <v>5000</v>
      </c>
      <c r="N6312" t="n">
        <v>91</v>
      </c>
      <c r="O6312" t="n">
        <v>0.91</v>
      </c>
      <c r="P6312" t="n">
        <v>1</v>
      </c>
      <c r="Q6312" t="n">
        <v>0.58</v>
      </c>
      <c r="R6312" t="n">
        <v>4</v>
      </c>
      <c r="S6312" t="n">
        <v>682.5</v>
      </c>
      <c r="T6312" t="n">
        <v>38</v>
      </c>
      <c r="U6312" t="n">
        <v>39</v>
      </c>
      <c r="V6312" t="n">
        <v>30</v>
      </c>
      <c r="W6312" t="n">
        <v>5</v>
      </c>
      <c r="X6312" t="n">
        <v>4915.750915750916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9214</v>
      </c>
      <c r="AG6312" t="n">
        <v>1</v>
      </c>
      <c r="AH6312" t="inlineStr">
        <is>
          <t>PT. BERSAMA DISTRIVERSA INDONESIA (DC CIPUTAT)</t>
        </is>
      </c>
      <c r="AI6312" t="n">
        <v>2041</v>
      </c>
      <c r="AJ6312" t="inlineStr">
        <is>
          <t>WATERU</t>
        </is>
      </c>
      <c r="AK6312" t="n">
        <v>21</v>
      </c>
      <c r="AL6312" t="inlineStr">
        <is>
          <t>Miss Glam Damar</t>
        </is>
      </c>
      <c r="AM6312" t="n">
        <v>4</v>
      </c>
      <c r="AN6312" t="n">
        <v>500000</v>
      </c>
      <c r="AO6312" t="n">
        <v>0</v>
      </c>
      <c r="AP6312" t="inlineStr"/>
      <c r="AQ6312" t="inlineStr"/>
    </row>
    <row r="6313">
      <c r="A6313" t="inlineStr">
        <is>
          <t>WATERU</t>
        </is>
      </c>
      <c r="B6313" s="2">
        <f>"8997226240445"</f>
        <v/>
      </c>
      <c r="C6313" t="inlineStr">
        <is>
          <t>WATERU Premium Bamboo Tissue Baby Hand &amp; Mouth Wipe 50 Wipes 285gr</t>
        </is>
      </c>
      <c r="D6313" t="inlineStr">
        <is>
          <t>Miss Glam Damar</t>
        </is>
      </c>
      <c r="E6313" t="n">
        <v>0</v>
      </c>
      <c r="F6313" t="n">
        <v>0.0819</v>
      </c>
      <c r="G6313" t="n">
        <v>0.91</v>
      </c>
      <c r="H6313" t="n">
        <v>4</v>
      </c>
      <c r="I6313" t="n">
        <v>21</v>
      </c>
      <c r="J6313" t="n">
        <v>3</v>
      </c>
      <c r="K6313" t="n">
        <v>0</v>
      </c>
      <c r="L6313" t="n">
        <v>21622</v>
      </c>
      <c r="M6313" t="n">
        <v>25500</v>
      </c>
      <c r="N6313" t="n">
        <v>91</v>
      </c>
      <c r="O6313" t="n">
        <v>0.91</v>
      </c>
      <c r="P6313" t="n">
        <v>1</v>
      </c>
      <c r="Q6313" t="n">
        <v>0.27</v>
      </c>
      <c r="R6313" t="n">
        <v>3</v>
      </c>
      <c r="S6313" t="n">
        <v>2088.45</v>
      </c>
      <c r="T6313" t="n">
        <v>19</v>
      </c>
      <c r="U6313" t="n">
        <v>20</v>
      </c>
      <c r="V6313" t="n">
        <v>30</v>
      </c>
      <c r="W6313" t="n">
        <v>3</v>
      </c>
      <c r="X6313" t="n">
        <v>0</v>
      </c>
      <c r="Y6313" t="n">
        <v>1</v>
      </c>
      <c r="Z6313" t="n">
        <v>3</v>
      </c>
      <c r="AA6313" t="n">
        <v>2</v>
      </c>
      <c r="AB6313" t="n">
        <v>1</v>
      </c>
      <c r="AC6313" t="n">
        <v>3</v>
      </c>
      <c r="AD6313" t="n">
        <v>43244</v>
      </c>
      <c r="AE6313" t="n">
        <v>64866</v>
      </c>
      <c r="AF6313" t="n">
        <v>9214</v>
      </c>
      <c r="AG6313" t="n">
        <v>1</v>
      </c>
      <c r="AH6313" t="inlineStr">
        <is>
          <t>PT. BERSAMA DISTRIVERSA INDONESIA (DC CIPUTAT)</t>
        </is>
      </c>
      <c r="AI6313" t="n">
        <v>2041</v>
      </c>
      <c r="AJ6313" t="inlineStr">
        <is>
          <t>WATERU</t>
        </is>
      </c>
      <c r="AK6313" t="n">
        <v>21</v>
      </c>
      <c r="AL6313" t="inlineStr">
        <is>
          <t>Miss Glam Damar</t>
        </is>
      </c>
      <c r="AM6313" t="n">
        <v>4</v>
      </c>
      <c r="AN6313" t="n">
        <v>500000</v>
      </c>
      <c r="AO6313" t="n">
        <v>0</v>
      </c>
      <c r="AP6313" t="inlineStr"/>
      <c r="AQ6313" t="inlineStr"/>
    </row>
    <row r="6314">
      <c r="A6314" t="inlineStr">
        <is>
          <t>WATERU</t>
        </is>
      </c>
      <c r="B6314" s="2">
        <f>"8997226240018"</f>
        <v/>
      </c>
      <c r="C6314" t="inlineStr">
        <is>
          <t>WATERU Premium Bamboo Tissue Baby Luxuriously Soft 150 Sheets 3 Ply 195gr</t>
        </is>
      </c>
      <c r="D6314" t="inlineStr">
        <is>
          <t>Miss Glam Damar</t>
        </is>
      </c>
      <c r="E6314" t="n">
        <v>184</v>
      </c>
      <c r="F6314" t="n">
        <v>0.39</v>
      </c>
      <c r="G6314" t="n">
        <v>3</v>
      </c>
      <c r="H6314" t="n">
        <v>4</v>
      </c>
      <c r="I6314" t="n">
        <v>21</v>
      </c>
      <c r="J6314" t="n">
        <v>3</v>
      </c>
      <c r="K6314" t="n">
        <v>0</v>
      </c>
      <c r="L6314" t="n">
        <v>15521</v>
      </c>
      <c r="M6314" t="n">
        <v>19000</v>
      </c>
      <c r="N6314" t="n">
        <v>91</v>
      </c>
      <c r="O6314" t="n">
        <v>0.91</v>
      </c>
      <c r="P6314" t="n">
        <v>0</v>
      </c>
      <c r="Q6314" t="n">
        <v>0.39</v>
      </c>
      <c r="R6314" t="n">
        <v>3</v>
      </c>
      <c r="S6314" t="n">
        <v>7410</v>
      </c>
      <c r="T6314" t="n">
        <v>62</v>
      </c>
      <c r="U6314" t="n">
        <v>64</v>
      </c>
      <c r="V6314" t="n">
        <v>30</v>
      </c>
      <c r="W6314" t="n">
        <v>12</v>
      </c>
      <c r="X6314" t="n">
        <v>471.7948717948718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9214</v>
      </c>
      <c r="AG6314" t="n">
        <v>1</v>
      </c>
      <c r="AH6314" t="inlineStr">
        <is>
          <t>PT. BERSAMA DISTRIVERSA INDONESIA (DC CIPUTAT)</t>
        </is>
      </c>
      <c r="AI6314" t="n">
        <v>2041</v>
      </c>
      <c r="AJ6314" t="inlineStr">
        <is>
          <t>WATERU</t>
        </is>
      </c>
      <c r="AK6314" t="n">
        <v>21</v>
      </c>
      <c r="AL6314" t="inlineStr">
        <is>
          <t>Miss Glam Damar</t>
        </is>
      </c>
      <c r="AM6314" t="n">
        <v>4</v>
      </c>
      <c r="AN6314" t="n">
        <v>500000</v>
      </c>
      <c r="AO6314" t="n">
        <v>0</v>
      </c>
      <c r="AP6314" t="inlineStr"/>
      <c r="AQ6314" t="inlineStr"/>
    </row>
    <row r="6315">
      <c r="A6315" t="inlineStr">
        <is>
          <t>WAX ME UP</t>
        </is>
      </c>
      <c r="B6315" s="2">
        <f>"30300401902"</f>
        <v/>
      </c>
      <c r="C6315" t="inlineStr">
        <is>
          <t>WAX ME UP Sugar Waxing 300gr</t>
        </is>
      </c>
      <c r="D6315" t="inlineStr">
        <is>
          <t>Miss Glam Damar</t>
        </is>
      </c>
      <c r="E6315" t="n">
        <v>17</v>
      </c>
      <c r="F6315" t="n">
        <v>0.1547</v>
      </c>
      <c r="G6315" t="n">
        <v>2.73</v>
      </c>
      <c r="H6315" t="n">
        <v>4</v>
      </c>
      <c r="I6315" t="n">
        <v>21</v>
      </c>
      <c r="J6315" t="n">
        <v>3</v>
      </c>
      <c r="K6315" t="n">
        <v>0</v>
      </c>
      <c r="L6315" t="n">
        <v>35020</v>
      </c>
      <c r="M6315" t="n">
        <v>55000</v>
      </c>
      <c r="N6315" t="n">
        <v>91</v>
      </c>
      <c r="O6315" t="n">
        <v>0.91</v>
      </c>
      <c r="P6315" t="n">
        <v>1</v>
      </c>
      <c r="Q6315" t="n">
        <v>0.27</v>
      </c>
      <c r="R6315" t="n">
        <v>2</v>
      </c>
      <c r="S6315" t="n">
        <v>8508.5</v>
      </c>
      <c r="T6315" t="n">
        <v>57</v>
      </c>
      <c r="U6315" t="n">
        <v>58</v>
      </c>
      <c r="V6315" t="n">
        <v>30</v>
      </c>
      <c r="W6315" t="n">
        <v>5</v>
      </c>
      <c r="X6315" t="n">
        <v>109.8901098901099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9247</v>
      </c>
      <c r="AG6315" t="n">
        <v>1</v>
      </c>
      <c r="AH6315" t="inlineStr">
        <is>
          <t>PT. BERSAMA DISTRIVERSA INDONESIA (DC CIPUTAT)</t>
        </is>
      </c>
      <c r="AI6315" t="n">
        <v>1048</v>
      </c>
      <c r="AJ6315" t="inlineStr">
        <is>
          <t>WAX ME UP</t>
        </is>
      </c>
      <c r="AK6315" t="n">
        <v>21</v>
      </c>
      <c r="AL6315" t="inlineStr">
        <is>
          <t>Miss Glam Damar</t>
        </is>
      </c>
      <c r="AM6315" t="n">
        <v>4</v>
      </c>
      <c r="AN6315" t="n">
        <v>500000</v>
      </c>
      <c r="AO6315" t="n">
        <v>0</v>
      </c>
      <c r="AP6315" t="inlineStr"/>
      <c r="AQ6315" t="inlineStr"/>
    </row>
    <row r="6316">
      <c r="A6316" t="inlineStr">
        <is>
          <t>WHITE INC</t>
        </is>
      </c>
      <c r="B6316" s="2">
        <f>"8997236031736"</f>
        <v/>
      </c>
      <c r="C6316" t="inlineStr">
        <is>
          <t>WHITE INC AHA Whitening Body Lotion 100ml</t>
        </is>
      </c>
      <c r="D6316" t="inlineStr">
        <is>
          <t>Miss Glam Damar</t>
        </is>
      </c>
      <c r="E6316" t="n">
        <v>6</v>
      </c>
      <c r="F6316" t="n">
        <v>0.1092</v>
      </c>
      <c r="G6316" t="n">
        <v>0.91</v>
      </c>
      <c r="H6316" t="n">
        <v>4</v>
      </c>
      <c r="I6316" t="n">
        <v>21</v>
      </c>
      <c r="J6316" t="n">
        <v>3</v>
      </c>
      <c r="K6316" t="n">
        <v>0</v>
      </c>
      <c r="L6316" t="n">
        <v>48652</v>
      </c>
      <c r="M6316" t="n">
        <v>68500</v>
      </c>
      <c r="N6316" t="n">
        <v>91</v>
      </c>
      <c r="O6316" t="n">
        <v>0.91</v>
      </c>
      <c r="P6316" t="n">
        <v>1</v>
      </c>
      <c r="Q6316" t="n">
        <v>0.17</v>
      </c>
      <c r="R6316" t="n">
        <v>2</v>
      </c>
      <c r="S6316" t="n">
        <v>7480.200000000001</v>
      </c>
      <c r="T6316" t="n">
        <v>19</v>
      </c>
      <c r="U6316" t="n">
        <v>20</v>
      </c>
      <c r="V6316" t="n">
        <v>30</v>
      </c>
      <c r="W6316" t="n">
        <v>4</v>
      </c>
      <c r="X6316" t="n">
        <v>54.94505494505494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9280</v>
      </c>
      <c r="AG6316" t="n">
        <v>1</v>
      </c>
      <c r="AH6316" t="inlineStr">
        <is>
          <t>PT. BERSAMA DISTRIVERSA INDONESIA (DC CIPUTAT)</t>
        </is>
      </c>
      <c r="AI6316" t="n">
        <v>2109</v>
      </c>
      <c r="AJ6316" t="inlineStr">
        <is>
          <t>WHITE INC</t>
        </is>
      </c>
      <c r="AK6316" t="n">
        <v>21</v>
      </c>
      <c r="AL6316" t="inlineStr">
        <is>
          <t>Miss Glam Damar</t>
        </is>
      </c>
      <c r="AM6316" t="n">
        <v>2</v>
      </c>
      <c r="AN6316" t="n">
        <v>500000</v>
      </c>
      <c r="AO6316" t="n">
        <v>0</v>
      </c>
      <c r="AP6316" t="inlineStr"/>
      <c r="AQ6316" t="inlineStr"/>
    </row>
    <row r="6317">
      <c r="A6317" t="inlineStr">
        <is>
          <t>WHITE INC</t>
        </is>
      </c>
      <c r="B6317" s="2">
        <f>"30200194726"</f>
        <v/>
      </c>
      <c r="C6317" t="inlineStr">
        <is>
          <t>WHITE INC Alpha Glowhite Body Lotion 400ml</t>
        </is>
      </c>
      <c r="D6317" t="inlineStr">
        <is>
          <t>Miss Glam Damar</t>
        </is>
      </c>
      <c r="E6317" t="n">
        <v>0</v>
      </c>
      <c r="F6317" t="n">
        <v>1.0829</v>
      </c>
      <c r="G6317" t="n">
        <v>7.28</v>
      </c>
      <c r="H6317" t="n">
        <v>4</v>
      </c>
      <c r="I6317" t="n">
        <v>21</v>
      </c>
      <c r="J6317" t="n">
        <v>1</v>
      </c>
      <c r="K6317" t="n">
        <v>49</v>
      </c>
      <c r="L6317" t="n">
        <v>46350</v>
      </c>
      <c r="M6317" t="n">
        <v>60000</v>
      </c>
      <c r="N6317" t="n">
        <v>91</v>
      </c>
      <c r="O6317" t="n">
        <v>0.91</v>
      </c>
      <c r="P6317" t="n">
        <v>1</v>
      </c>
      <c r="Q6317" t="n">
        <v>1.37</v>
      </c>
      <c r="R6317" t="n">
        <v>6</v>
      </c>
      <c r="S6317" t="n">
        <v>64974</v>
      </c>
      <c r="T6317" t="n">
        <v>149</v>
      </c>
      <c r="U6317" t="n">
        <v>154</v>
      </c>
      <c r="V6317" t="n">
        <v>30</v>
      </c>
      <c r="W6317" t="n">
        <v>33</v>
      </c>
      <c r="X6317" t="n">
        <v>0</v>
      </c>
      <c r="Y6317" t="n">
        <v>1</v>
      </c>
      <c r="Z6317" t="n">
        <v>0</v>
      </c>
      <c r="AA6317" t="n">
        <v>22</v>
      </c>
      <c r="AB6317" t="n">
        <v>0</v>
      </c>
      <c r="AC6317" t="n">
        <v>0</v>
      </c>
      <c r="AD6317" t="n">
        <v>1019700</v>
      </c>
      <c r="AE6317" t="n">
        <v>0</v>
      </c>
      <c r="AF6317" t="n">
        <v>9280</v>
      </c>
      <c r="AG6317" t="n">
        <v>1</v>
      </c>
      <c r="AH6317" t="inlineStr">
        <is>
          <t>PT. BERSAMA DISTRIVERSA INDONESIA (DC CIPUTAT)</t>
        </is>
      </c>
      <c r="AI6317" t="n">
        <v>2109</v>
      </c>
      <c r="AJ6317" t="inlineStr">
        <is>
          <t>WHITE INC</t>
        </is>
      </c>
      <c r="AK6317" t="n">
        <v>21</v>
      </c>
      <c r="AL6317" t="inlineStr">
        <is>
          <t>Miss Glam Damar</t>
        </is>
      </c>
      <c r="AM6317" t="n">
        <v>2</v>
      </c>
      <c r="AN6317" t="n">
        <v>500000</v>
      </c>
      <c r="AO6317" t="n">
        <v>0</v>
      </c>
      <c r="AP6317" t="inlineStr"/>
      <c r="AQ6317" t="inlineStr"/>
    </row>
    <row r="6318">
      <c r="A6318" t="inlineStr">
        <is>
          <t>WHITE INC</t>
        </is>
      </c>
      <c r="B6318" s="2">
        <f>"10500585640"</f>
        <v/>
      </c>
      <c r="C6318" t="inlineStr">
        <is>
          <t>WHITE INC Alpha Glowhite Body Mask 200gr</t>
        </is>
      </c>
      <c r="D6318" t="inlineStr">
        <is>
          <t>Miss Glam Damar</t>
        </is>
      </c>
      <c r="E6318" t="n">
        <v>6</v>
      </c>
      <c r="F6318" t="n">
        <v>0.0182</v>
      </c>
      <c r="G6318" t="n">
        <v>0.91</v>
      </c>
      <c r="H6318" t="n">
        <v>4</v>
      </c>
      <c r="I6318" t="n">
        <v>21</v>
      </c>
      <c r="J6318" t="n">
        <v>1</v>
      </c>
      <c r="K6318" t="n">
        <v>1</v>
      </c>
      <c r="L6318" t="n">
        <v>50470</v>
      </c>
      <c r="M6318" t="n">
        <v>70000</v>
      </c>
      <c r="N6318" t="n">
        <v>91</v>
      </c>
      <c r="O6318" t="n">
        <v>0.91</v>
      </c>
      <c r="P6318" t="n">
        <v>1</v>
      </c>
      <c r="Q6318" t="n">
        <v>0.05</v>
      </c>
      <c r="R6318" t="n">
        <v>1</v>
      </c>
      <c r="S6318" t="n">
        <v>1274</v>
      </c>
      <c r="T6318" t="n">
        <v>20</v>
      </c>
      <c r="U6318" t="n">
        <v>21</v>
      </c>
      <c r="V6318" t="n">
        <v>30</v>
      </c>
      <c r="W6318" t="n">
        <v>1</v>
      </c>
      <c r="X6318" t="n">
        <v>329.6703296703296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9280</v>
      </c>
      <c r="AG6318" t="n">
        <v>1</v>
      </c>
      <c r="AH6318" t="inlineStr">
        <is>
          <t>PT. BERSAMA DISTRIVERSA INDONESIA (DC CIPUTAT)</t>
        </is>
      </c>
      <c r="AI6318" t="n">
        <v>2109</v>
      </c>
      <c r="AJ6318" t="inlineStr">
        <is>
          <t>WHITE INC</t>
        </is>
      </c>
      <c r="AK6318" t="n">
        <v>21</v>
      </c>
      <c r="AL6318" t="inlineStr">
        <is>
          <t>Miss Glam Damar</t>
        </is>
      </c>
      <c r="AM6318" t="n">
        <v>2</v>
      </c>
      <c r="AN6318" t="n">
        <v>500000</v>
      </c>
      <c r="AO6318" t="n">
        <v>0</v>
      </c>
      <c r="AP6318" t="inlineStr"/>
      <c r="AQ6318" t="inlineStr"/>
    </row>
    <row r="6319">
      <c r="A6319" t="inlineStr">
        <is>
          <t>WHITE INC</t>
        </is>
      </c>
      <c r="B6319" s="2">
        <f>"8997236031750"</f>
        <v/>
      </c>
      <c r="C6319" t="inlineStr">
        <is>
          <t>WHITEINC AHA Whitening Body Serum 100ml</t>
        </is>
      </c>
      <c r="D6319" t="inlineStr">
        <is>
          <t>Miss Glam Damar</t>
        </is>
      </c>
      <c r="E6319" t="n">
        <v>14</v>
      </c>
      <c r="F6319" t="n">
        <v>0.4641</v>
      </c>
      <c r="G6319" t="n">
        <v>2.73</v>
      </c>
      <c r="H6319" t="n">
        <v>4</v>
      </c>
      <c r="I6319" t="n">
        <v>21</v>
      </c>
      <c r="J6319" t="n">
        <v>3</v>
      </c>
      <c r="K6319" t="n">
        <v>0</v>
      </c>
      <c r="L6319" t="n">
        <v>45236</v>
      </c>
      <c r="M6319" t="n">
        <v>68500</v>
      </c>
      <c r="N6319" t="n">
        <v>91</v>
      </c>
      <c r="O6319" t="n">
        <v>0.91</v>
      </c>
      <c r="P6319" t="n">
        <v>1</v>
      </c>
      <c r="Q6319" t="n">
        <v>0.22</v>
      </c>
      <c r="R6319" t="n">
        <v>3</v>
      </c>
      <c r="S6319" t="n">
        <v>31790.85</v>
      </c>
      <c r="T6319" t="n">
        <v>56</v>
      </c>
      <c r="U6319" t="n">
        <v>58</v>
      </c>
      <c r="V6319" t="n">
        <v>30</v>
      </c>
      <c r="W6319" t="n">
        <v>14</v>
      </c>
      <c r="X6319" t="n">
        <v>30.16591251885369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9280</v>
      </c>
      <c r="AG6319" t="n">
        <v>1</v>
      </c>
      <c r="AH6319" t="inlineStr">
        <is>
          <t>PT. BERSAMA DISTRIVERSA INDONESIA (DC CIPUTAT)</t>
        </is>
      </c>
      <c r="AI6319" t="n">
        <v>2109</v>
      </c>
      <c r="AJ6319" t="inlineStr">
        <is>
          <t>WHITE INC</t>
        </is>
      </c>
      <c r="AK6319" t="n">
        <v>21</v>
      </c>
      <c r="AL6319" t="inlineStr">
        <is>
          <t>Miss Glam Damar</t>
        </is>
      </c>
      <c r="AM6319" t="n">
        <v>2</v>
      </c>
      <c r="AN6319" t="n">
        <v>500000</v>
      </c>
      <c r="AO6319" t="n">
        <v>0</v>
      </c>
      <c r="AP6319" t="inlineStr"/>
      <c r="AQ6319" t="inlineStr"/>
    </row>
    <row r="6320">
      <c r="A6320" t="inlineStr">
        <is>
          <t>WHITELAB</t>
        </is>
      </c>
      <c r="B6320" s="2">
        <f>"8997220243633"</f>
        <v/>
      </c>
      <c r="C6320" t="inlineStr">
        <is>
          <t>WHITELAB A-Dose Dark Spot Serum 20ml</t>
        </is>
      </c>
      <c r="D6320" t="inlineStr">
        <is>
          <t>Miss Glam Damar</t>
        </is>
      </c>
      <c r="E6320" t="n">
        <v>3</v>
      </c>
      <c r="F6320" t="n">
        <v>0.04550000000000001</v>
      </c>
      <c r="G6320" t="n">
        <v>0.91</v>
      </c>
      <c r="H6320" t="n">
        <v>3</v>
      </c>
      <c r="I6320" t="n">
        <v>9</v>
      </c>
      <c r="J6320" t="n">
        <v>3</v>
      </c>
      <c r="K6320" t="n">
        <v>0</v>
      </c>
      <c r="L6320" t="n">
        <v>62550</v>
      </c>
      <c r="M6320" t="n">
        <v>75000</v>
      </c>
      <c r="N6320" t="n">
        <v>91</v>
      </c>
      <c r="O6320" t="n">
        <v>0.91</v>
      </c>
      <c r="P6320" t="n">
        <v>1</v>
      </c>
      <c r="Q6320" t="n">
        <v>0.03</v>
      </c>
      <c r="R6320" t="n">
        <v>1</v>
      </c>
      <c r="S6320" t="n">
        <v>3412.5</v>
      </c>
      <c r="T6320" t="n">
        <v>9</v>
      </c>
      <c r="U6320" t="n">
        <v>10</v>
      </c>
      <c r="V6320" t="n">
        <v>30</v>
      </c>
      <c r="W6320" t="n">
        <v>2</v>
      </c>
      <c r="X6320" t="n">
        <v>65.93406593406593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2605</v>
      </c>
      <c r="AG6320" t="n">
        <v>101</v>
      </c>
      <c r="AH6320" t="inlineStr">
        <is>
          <t>PT. ARTHA PRADJA MANDIRI - PPN (PDG)</t>
        </is>
      </c>
      <c r="AI6320" t="n">
        <v>166</v>
      </c>
      <c r="AJ6320" t="inlineStr">
        <is>
          <t>WHITELAB</t>
        </is>
      </c>
      <c r="AK6320" t="n">
        <v>21</v>
      </c>
      <c r="AL6320" t="inlineStr">
        <is>
          <t>Miss Glam Damar</t>
        </is>
      </c>
      <c r="AM6320" t="n">
        <v>2</v>
      </c>
      <c r="AN6320" t="n">
        <v>500000</v>
      </c>
      <c r="AO6320" t="n">
        <v>0</v>
      </c>
      <c r="AP6320" t="inlineStr"/>
      <c r="AQ6320" t="inlineStr"/>
    </row>
    <row r="6321">
      <c r="A6321" t="inlineStr">
        <is>
          <t>WHITELAB</t>
        </is>
      </c>
      <c r="B6321" s="2">
        <f>"8997220243800"</f>
        <v/>
      </c>
      <c r="C6321" t="inlineStr">
        <is>
          <t>WHITELAB Acne Calming Serum 20ml New</t>
        </is>
      </c>
      <c r="D6321" t="inlineStr">
        <is>
          <t>Miss Glam Damar</t>
        </is>
      </c>
      <c r="E6321" t="n">
        <v>4</v>
      </c>
      <c r="F6321" t="n">
        <v>0.0273</v>
      </c>
      <c r="G6321" t="n">
        <v>0.91</v>
      </c>
      <c r="H6321" t="n">
        <v>3</v>
      </c>
      <c r="I6321" t="n">
        <v>9</v>
      </c>
      <c r="J6321" t="n">
        <v>3</v>
      </c>
      <c r="K6321" t="n">
        <v>0</v>
      </c>
      <c r="L6321" t="n">
        <v>55416</v>
      </c>
      <c r="M6321" t="n">
        <v>68000</v>
      </c>
      <c r="N6321" t="n">
        <v>91</v>
      </c>
      <c r="O6321" t="n">
        <v>0.91</v>
      </c>
      <c r="P6321" t="n">
        <v>1</v>
      </c>
      <c r="Q6321" t="n">
        <v>0.03</v>
      </c>
      <c r="R6321" t="n">
        <v>1</v>
      </c>
      <c r="S6321" t="n">
        <v>1856.4</v>
      </c>
      <c r="T6321" t="n">
        <v>9</v>
      </c>
      <c r="U6321" t="n">
        <v>10</v>
      </c>
      <c r="V6321" t="n">
        <v>30</v>
      </c>
      <c r="W6321" t="n">
        <v>1</v>
      </c>
      <c r="X6321" t="n">
        <v>146.5201465201465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2605</v>
      </c>
      <c r="AG6321" t="n">
        <v>101</v>
      </c>
      <c r="AH6321" t="inlineStr">
        <is>
          <t>PT. ARTHA PRADJA MANDIRI - PPN (PDG)</t>
        </is>
      </c>
      <c r="AI6321" t="n">
        <v>166</v>
      </c>
      <c r="AJ6321" t="inlineStr">
        <is>
          <t>WHITELAB</t>
        </is>
      </c>
      <c r="AK6321" t="n">
        <v>21</v>
      </c>
      <c r="AL6321" t="inlineStr">
        <is>
          <t>Miss Glam Damar</t>
        </is>
      </c>
      <c r="AM6321" t="n">
        <v>2</v>
      </c>
      <c r="AN6321" t="n">
        <v>500000</v>
      </c>
      <c r="AO6321" t="n">
        <v>0</v>
      </c>
      <c r="AP6321" t="inlineStr"/>
      <c r="AQ6321" t="inlineStr"/>
    </row>
    <row r="6322">
      <c r="A6322" t="inlineStr">
        <is>
          <t>WHITELAB</t>
        </is>
      </c>
      <c r="B6322" s="2">
        <f>"8997220243770"</f>
        <v/>
      </c>
      <c r="C6322" t="inlineStr">
        <is>
          <t>WHITELAB Acne Care Facial Wash BHA+Mugwort 100gr New</t>
        </is>
      </c>
      <c r="D6322" t="inlineStr">
        <is>
          <t>Miss Glam Damar</t>
        </is>
      </c>
      <c r="E6322" t="n">
        <v>7</v>
      </c>
      <c r="F6322" t="n">
        <v>0.3276</v>
      </c>
      <c r="G6322" t="n">
        <v>1.82</v>
      </c>
      <c r="H6322" t="n">
        <v>3</v>
      </c>
      <c r="I6322" t="n">
        <v>9</v>
      </c>
      <c r="J6322" t="n">
        <v>3</v>
      </c>
      <c r="K6322" t="n">
        <v>0</v>
      </c>
      <c r="L6322" t="n">
        <v>34020</v>
      </c>
      <c r="M6322" t="n">
        <v>42000</v>
      </c>
      <c r="N6322" t="n">
        <v>91</v>
      </c>
      <c r="O6322" t="n">
        <v>0.91</v>
      </c>
      <c r="P6322" t="n">
        <v>1</v>
      </c>
      <c r="Q6322" t="n">
        <v>0.27</v>
      </c>
      <c r="R6322" t="n">
        <v>3</v>
      </c>
      <c r="S6322" t="n">
        <v>13759.2</v>
      </c>
      <c r="T6322" t="n">
        <v>16</v>
      </c>
      <c r="U6322" t="n">
        <v>17</v>
      </c>
      <c r="V6322" t="n">
        <v>30</v>
      </c>
      <c r="W6322" t="n">
        <v>10</v>
      </c>
      <c r="X6322" t="n">
        <v>21.36752136752137</v>
      </c>
      <c r="Y6322" t="n">
        <v>1</v>
      </c>
      <c r="Z6322" t="n">
        <v>3</v>
      </c>
      <c r="AA6322" t="n">
        <v>0</v>
      </c>
      <c r="AB6322" t="n">
        <v>3</v>
      </c>
      <c r="AC6322" t="n">
        <v>3</v>
      </c>
      <c r="AD6322" t="n">
        <v>0</v>
      </c>
      <c r="AE6322" t="n">
        <v>102060</v>
      </c>
      <c r="AF6322" t="n">
        <v>2605</v>
      </c>
      <c r="AG6322" t="n">
        <v>101</v>
      </c>
      <c r="AH6322" t="inlineStr">
        <is>
          <t>PT. ARTHA PRADJA MANDIRI - PPN (PDG)</t>
        </is>
      </c>
      <c r="AI6322" t="n">
        <v>166</v>
      </c>
      <c r="AJ6322" t="inlineStr">
        <is>
          <t>WHITELAB</t>
        </is>
      </c>
      <c r="AK6322" t="n">
        <v>21</v>
      </c>
      <c r="AL6322" t="inlineStr">
        <is>
          <t>Miss Glam Damar</t>
        </is>
      </c>
      <c r="AM6322" t="n">
        <v>2</v>
      </c>
      <c r="AN6322" t="n">
        <v>500000</v>
      </c>
      <c r="AO6322" t="n">
        <v>0</v>
      </c>
      <c r="AP6322" t="inlineStr"/>
      <c r="AQ6322" t="inlineStr"/>
    </row>
    <row r="6323">
      <c r="A6323" t="inlineStr">
        <is>
          <t>WHITELAB</t>
        </is>
      </c>
      <c r="B6323" s="2">
        <f>"8997220244760"</f>
        <v/>
      </c>
      <c r="C6323" t="inlineStr">
        <is>
          <t>WHITELAB Acne Care Moisturizer Gel 20gr</t>
        </is>
      </c>
      <c r="D6323" t="inlineStr">
        <is>
          <t>Miss Glam Damar</t>
        </is>
      </c>
      <c r="E6323" t="n">
        <v>7</v>
      </c>
      <c r="F6323" t="n">
        <v>0.1547</v>
      </c>
      <c r="G6323" t="n">
        <v>1.82</v>
      </c>
      <c r="H6323" t="n">
        <v>3</v>
      </c>
      <c r="I6323" t="n">
        <v>9</v>
      </c>
      <c r="J6323" t="n">
        <v>3</v>
      </c>
      <c r="K6323" t="n">
        <v>0</v>
      </c>
      <c r="L6323" t="n">
        <v>52650</v>
      </c>
      <c r="M6323" t="n">
        <v>65000</v>
      </c>
      <c r="N6323" t="n">
        <v>91</v>
      </c>
      <c r="O6323" t="n">
        <v>0.91</v>
      </c>
      <c r="P6323" t="n">
        <v>1</v>
      </c>
      <c r="Q6323" t="n">
        <v>0.02</v>
      </c>
      <c r="R6323" t="n">
        <v>1</v>
      </c>
      <c r="S6323" t="n">
        <v>10055.5</v>
      </c>
      <c r="T6323" t="n">
        <v>16</v>
      </c>
      <c r="U6323" t="n">
        <v>17</v>
      </c>
      <c r="V6323" t="n">
        <v>30</v>
      </c>
      <c r="W6323" t="n">
        <v>5</v>
      </c>
      <c r="X6323" t="n">
        <v>45.24886877828054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2605</v>
      </c>
      <c r="AG6323" t="n">
        <v>101</v>
      </c>
      <c r="AH6323" t="inlineStr">
        <is>
          <t>PT. ARTHA PRADJA MANDIRI - PPN (PDG)</t>
        </is>
      </c>
      <c r="AI6323" t="n">
        <v>166</v>
      </c>
      <c r="AJ6323" t="inlineStr">
        <is>
          <t>WHITELAB</t>
        </is>
      </c>
      <c r="AK6323" t="n">
        <v>21</v>
      </c>
      <c r="AL6323" t="inlineStr">
        <is>
          <t>Miss Glam Damar</t>
        </is>
      </c>
      <c r="AM6323" t="n">
        <v>2</v>
      </c>
      <c r="AN6323" t="n">
        <v>500000</v>
      </c>
      <c r="AO6323" t="n">
        <v>0</v>
      </c>
      <c r="AP6323" t="inlineStr"/>
      <c r="AQ6323" t="inlineStr"/>
    </row>
    <row r="6324">
      <c r="A6324" t="inlineStr">
        <is>
          <t>WHITELAB</t>
        </is>
      </c>
      <c r="B6324" s="2">
        <f>"8997220243794"</f>
        <v/>
      </c>
      <c r="C6324" t="inlineStr">
        <is>
          <t>WHITELAB Acne Toner Tea Tree 100ml</t>
        </is>
      </c>
      <c r="D6324" t="inlineStr">
        <is>
          <t>Miss Glam Damar</t>
        </is>
      </c>
      <c r="E6324" t="n">
        <v>3</v>
      </c>
      <c r="F6324" t="n">
        <v>0.0728</v>
      </c>
      <c r="G6324" t="n">
        <v>0.91</v>
      </c>
      <c r="H6324" t="n">
        <v>3</v>
      </c>
      <c r="I6324" t="n">
        <v>9</v>
      </c>
      <c r="J6324" t="n">
        <v>3</v>
      </c>
      <c r="K6324" t="n">
        <v>0</v>
      </c>
      <c r="L6324" t="n">
        <v>44565</v>
      </c>
      <c r="M6324" t="n">
        <v>53000</v>
      </c>
      <c r="N6324" t="n">
        <v>91</v>
      </c>
      <c r="O6324" t="n">
        <v>0.91</v>
      </c>
      <c r="P6324" t="n">
        <v>1</v>
      </c>
      <c r="Q6324" t="n">
        <v>0.03</v>
      </c>
      <c r="R6324" t="n">
        <v>1</v>
      </c>
      <c r="S6324" t="n">
        <v>3858.4</v>
      </c>
      <c r="T6324" t="n">
        <v>8</v>
      </c>
      <c r="U6324" t="n">
        <v>9</v>
      </c>
      <c r="V6324" t="n">
        <v>30</v>
      </c>
      <c r="W6324" t="n">
        <v>3</v>
      </c>
      <c r="X6324" t="n">
        <v>41.2087912087912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2605</v>
      </c>
      <c r="AG6324" t="n">
        <v>101</v>
      </c>
      <c r="AH6324" t="inlineStr">
        <is>
          <t>PT. ARTHA PRADJA MANDIRI - PPN (PDG)</t>
        </is>
      </c>
      <c r="AI6324" t="n">
        <v>166</v>
      </c>
      <c r="AJ6324" t="inlineStr">
        <is>
          <t>WHITELAB</t>
        </is>
      </c>
      <c r="AK6324" t="n">
        <v>21</v>
      </c>
      <c r="AL6324" t="inlineStr">
        <is>
          <t>Miss Glam Damar</t>
        </is>
      </c>
      <c r="AM6324" t="n">
        <v>2</v>
      </c>
      <c r="AN6324" t="n">
        <v>500000</v>
      </c>
      <c r="AO6324" t="n">
        <v>0</v>
      </c>
      <c r="AP6324" t="inlineStr"/>
      <c r="AQ6324" t="inlineStr"/>
    </row>
    <row r="6325">
      <c r="A6325" t="inlineStr">
        <is>
          <t>WHITELAB</t>
        </is>
      </c>
      <c r="B6325" s="2">
        <f>"8997220243657"</f>
        <v/>
      </c>
      <c r="C6325" t="inlineStr">
        <is>
          <t>WHITELAB Bright Day Cream 20g New</t>
        </is>
      </c>
      <c r="D6325" t="inlineStr">
        <is>
          <t>Miss Glam Damar</t>
        </is>
      </c>
      <c r="E6325" t="n">
        <v>6</v>
      </c>
      <c r="F6325" t="n">
        <v>0.1547</v>
      </c>
      <c r="G6325" t="n">
        <v>1.82</v>
      </c>
      <c r="H6325" t="n">
        <v>3</v>
      </c>
      <c r="I6325" t="n">
        <v>9</v>
      </c>
      <c r="J6325" t="n">
        <v>3</v>
      </c>
      <c r="K6325" t="n">
        <v>0</v>
      </c>
      <c r="L6325" t="n">
        <v>43740</v>
      </c>
      <c r="M6325" t="n">
        <v>54000</v>
      </c>
      <c r="N6325" t="n">
        <v>91</v>
      </c>
      <c r="O6325" t="n">
        <v>0.91</v>
      </c>
      <c r="P6325" t="n">
        <v>1</v>
      </c>
      <c r="Q6325" t="n">
        <v>0.14</v>
      </c>
      <c r="R6325" t="n">
        <v>2</v>
      </c>
      <c r="S6325" t="n">
        <v>8353.800000000001</v>
      </c>
      <c r="T6325" t="n">
        <v>16</v>
      </c>
      <c r="U6325" t="n">
        <v>17</v>
      </c>
      <c r="V6325" t="n">
        <v>30</v>
      </c>
      <c r="W6325" t="n">
        <v>5</v>
      </c>
      <c r="X6325" t="n">
        <v>38.78474466709761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2605</v>
      </c>
      <c r="AG6325" t="n">
        <v>101</v>
      </c>
      <c r="AH6325" t="inlineStr">
        <is>
          <t>PT. ARTHA PRADJA MANDIRI - PPN (PDG)</t>
        </is>
      </c>
      <c r="AI6325" t="n">
        <v>166</v>
      </c>
      <c r="AJ6325" t="inlineStr">
        <is>
          <t>WHITELAB</t>
        </is>
      </c>
      <c r="AK6325" t="n">
        <v>21</v>
      </c>
      <c r="AL6325" t="inlineStr">
        <is>
          <t>Miss Glam Damar</t>
        </is>
      </c>
      <c r="AM6325" t="n">
        <v>2</v>
      </c>
      <c r="AN6325" t="n">
        <v>500000</v>
      </c>
      <c r="AO6325" t="n">
        <v>0</v>
      </c>
      <c r="AP6325" t="inlineStr"/>
      <c r="AQ6325" t="inlineStr"/>
    </row>
    <row r="6326">
      <c r="A6326" t="inlineStr">
        <is>
          <t>WHITELAB</t>
        </is>
      </c>
      <c r="B6326" s="2">
        <f>"8997220243640"</f>
        <v/>
      </c>
      <c r="C6326" t="inlineStr">
        <is>
          <t>WHITELAB C Dose Brightening Serum EAA 2% 20ml New</t>
        </is>
      </c>
      <c r="D6326" t="inlineStr">
        <is>
          <t>Miss Glam Damar</t>
        </is>
      </c>
      <c r="E6326" t="n">
        <v>6</v>
      </c>
      <c r="F6326" t="n">
        <v>0.0728</v>
      </c>
      <c r="G6326" t="n">
        <v>0.91</v>
      </c>
      <c r="H6326" t="n">
        <v>3</v>
      </c>
      <c r="I6326" t="n">
        <v>9</v>
      </c>
      <c r="J6326" t="n">
        <v>3</v>
      </c>
      <c r="K6326" t="n">
        <v>0</v>
      </c>
      <c r="L6326" t="n">
        <v>61265</v>
      </c>
      <c r="M6326" t="n">
        <v>75000</v>
      </c>
      <c r="N6326" t="n">
        <v>91</v>
      </c>
      <c r="O6326" t="n">
        <v>0.91</v>
      </c>
      <c r="P6326" t="n">
        <v>1</v>
      </c>
      <c r="Q6326" t="n">
        <v>0.12</v>
      </c>
      <c r="R6326" t="n">
        <v>1</v>
      </c>
      <c r="S6326" t="n">
        <v>5460</v>
      </c>
      <c r="T6326" t="n">
        <v>8</v>
      </c>
      <c r="U6326" t="n">
        <v>9</v>
      </c>
      <c r="V6326" t="n">
        <v>30</v>
      </c>
      <c r="W6326" t="n">
        <v>3</v>
      </c>
      <c r="X6326" t="n">
        <v>82.41758241758241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2605</v>
      </c>
      <c r="AG6326" t="n">
        <v>101</v>
      </c>
      <c r="AH6326" t="inlineStr">
        <is>
          <t>PT. ARTHA PRADJA MANDIRI - PPN (PDG)</t>
        </is>
      </c>
      <c r="AI6326" t="n">
        <v>166</v>
      </c>
      <c r="AJ6326" t="inlineStr">
        <is>
          <t>WHITELAB</t>
        </is>
      </c>
      <c r="AK6326" t="n">
        <v>21</v>
      </c>
      <c r="AL6326" t="inlineStr">
        <is>
          <t>Miss Glam Damar</t>
        </is>
      </c>
      <c r="AM6326" t="n">
        <v>2</v>
      </c>
      <c r="AN6326" t="n">
        <v>500000</v>
      </c>
      <c r="AO6326" t="n">
        <v>0</v>
      </c>
      <c r="AP6326" t="inlineStr"/>
      <c r="AQ6326" t="inlineStr"/>
    </row>
    <row r="6327">
      <c r="A6327" t="inlineStr">
        <is>
          <t>WHITELAB</t>
        </is>
      </c>
      <c r="B6327" s="2">
        <f>"10300146934"</f>
        <v/>
      </c>
      <c r="C6327" t="inlineStr">
        <is>
          <t>WHITELAB Glow Booster C-Dose+ Day Cream 20gr</t>
        </is>
      </c>
      <c r="D6327" t="inlineStr">
        <is>
          <t>Miss Glam Damar</t>
        </is>
      </c>
      <c r="E6327" t="n">
        <v>1</v>
      </c>
      <c r="F6327" t="n">
        <v>0.06370000000000001</v>
      </c>
      <c r="G6327" t="n">
        <v>0.91</v>
      </c>
      <c r="H6327" t="n">
        <v>3</v>
      </c>
      <c r="I6327" t="n">
        <v>9</v>
      </c>
      <c r="J6327" t="n">
        <v>1</v>
      </c>
      <c r="K6327" t="n">
        <v>0</v>
      </c>
      <c r="L6327" t="n">
        <v>52650</v>
      </c>
      <c r="M6327" t="n">
        <v>65000</v>
      </c>
      <c r="N6327" t="n">
        <v>91</v>
      </c>
      <c r="O6327" t="n">
        <v>0.91</v>
      </c>
      <c r="P6327" t="n">
        <v>1</v>
      </c>
      <c r="Q6327" t="n">
        <v>0.02</v>
      </c>
      <c r="R6327" t="n">
        <v>1</v>
      </c>
      <c r="S6327" t="n">
        <v>4140.5</v>
      </c>
      <c r="T6327" t="n">
        <v>8</v>
      </c>
      <c r="U6327" t="n">
        <v>9</v>
      </c>
      <c r="V6327" t="n">
        <v>30</v>
      </c>
      <c r="W6327" t="n">
        <v>2</v>
      </c>
      <c r="X6327" t="n">
        <v>15.69858712715855</v>
      </c>
      <c r="Y6327" t="n">
        <v>1</v>
      </c>
      <c r="Z6327" t="n">
        <v>1</v>
      </c>
      <c r="AA6327" t="n">
        <v>0</v>
      </c>
      <c r="AB6327" t="n">
        <v>1</v>
      </c>
      <c r="AC6327" t="n">
        <v>1</v>
      </c>
      <c r="AD6327" t="n">
        <v>0</v>
      </c>
      <c r="AE6327" t="n">
        <v>52650</v>
      </c>
      <c r="AF6327" t="n">
        <v>2605</v>
      </c>
      <c r="AG6327" t="n">
        <v>101</v>
      </c>
      <c r="AH6327" t="inlineStr">
        <is>
          <t>PT. ARTHA PRADJA MANDIRI - PPN (PDG)</t>
        </is>
      </c>
      <c r="AI6327" t="n">
        <v>166</v>
      </c>
      <c r="AJ6327" t="inlineStr">
        <is>
          <t>WHITELAB</t>
        </is>
      </c>
      <c r="AK6327" t="n">
        <v>21</v>
      </c>
      <c r="AL6327" t="inlineStr">
        <is>
          <t>Miss Glam Damar</t>
        </is>
      </c>
      <c r="AM6327" t="n">
        <v>2</v>
      </c>
      <c r="AN6327" t="n">
        <v>500000</v>
      </c>
      <c r="AO6327" t="n">
        <v>0</v>
      </c>
      <c r="AP6327" t="inlineStr"/>
      <c r="AQ6327" t="inlineStr"/>
    </row>
    <row r="6328">
      <c r="A6328" t="inlineStr">
        <is>
          <t>WHITELAB</t>
        </is>
      </c>
      <c r="B6328" s="2">
        <f>"101001115304"</f>
        <v/>
      </c>
      <c r="C6328" t="inlineStr">
        <is>
          <t>WHITELAB Glow Booster C-Dose+ Facial Wash 100gr</t>
        </is>
      </c>
      <c r="D6328" t="inlineStr">
        <is>
          <t>Miss Glam Damar</t>
        </is>
      </c>
      <c r="E6328" t="n">
        <v>8</v>
      </c>
      <c r="F6328" t="n">
        <v>0.2002</v>
      </c>
      <c r="G6328" t="n">
        <v>1.82</v>
      </c>
      <c r="H6328" t="n">
        <v>3</v>
      </c>
      <c r="I6328" t="n">
        <v>9</v>
      </c>
      <c r="J6328" t="n">
        <v>1</v>
      </c>
      <c r="K6328" t="n">
        <v>0</v>
      </c>
      <c r="L6328" t="n">
        <v>34830</v>
      </c>
      <c r="M6328" t="n">
        <v>43000</v>
      </c>
      <c r="N6328" t="n">
        <v>91</v>
      </c>
      <c r="O6328" t="n">
        <v>0.91</v>
      </c>
      <c r="P6328" t="n">
        <v>1</v>
      </c>
      <c r="Q6328" t="n">
        <v>0.12</v>
      </c>
      <c r="R6328" t="n">
        <v>1</v>
      </c>
      <c r="S6328" t="n">
        <v>8608.6</v>
      </c>
      <c r="T6328" t="n">
        <v>16</v>
      </c>
      <c r="U6328" t="n">
        <v>17</v>
      </c>
      <c r="V6328" t="n">
        <v>30</v>
      </c>
      <c r="W6328" t="n">
        <v>7</v>
      </c>
      <c r="X6328" t="n">
        <v>39.96003996003996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2605</v>
      </c>
      <c r="AG6328" t="n">
        <v>101</v>
      </c>
      <c r="AH6328" t="inlineStr">
        <is>
          <t>PT. ARTHA PRADJA MANDIRI - PPN (PDG)</t>
        </is>
      </c>
      <c r="AI6328" t="n">
        <v>166</v>
      </c>
      <c r="AJ6328" t="inlineStr">
        <is>
          <t>WHITELAB</t>
        </is>
      </c>
      <c r="AK6328" t="n">
        <v>21</v>
      </c>
      <c r="AL6328" t="inlineStr">
        <is>
          <t>Miss Glam Damar</t>
        </is>
      </c>
      <c r="AM6328" t="n">
        <v>2</v>
      </c>
      <c r="AN6328" t="n">
        <v>500000</v>
      </c>
      <c r="AO6328" t="n">
        <v>0</v>
      </c>
      <c r="AP6328" t="inlineStr"/>
      <c r="AQ6328" t="inlineStr"/>
    </row>
    <row r="6329">
      <c r="A6329" t="inlineStr">
        <is>
          <t>WHITELAB</t>
        </is>
      </c>
      <c r="B6329" s="2">
        <f>"10300147004"</f>
        <v/>
      </c>
      <c r="C6329" t="inlineStr">
        <is>
          <t>WHITELAB Glow Booster C-Dose+ Water Moisturizer 20gr</t>
        </is>
      </c>
      <c r="D6329" t="inlineStr">
        <is>
          <t>Miss Glam Damar</t>
        </is>
      </c>
      <c r="E6329" t="n">
        <v>1</v>
      </c>
      <c r="F6329" t="n">
        <v>0.06370000000000001</v>
      </c>
      <c r="G6329" t="n">
        <v>0.91</v>
      </c>
      <c r="H6329" t="n">
        <v>3</v>
      </c>
      <c r="I6329" t="n">
        <v>9</v>
      </c>
      <c r="J6329" t="n">
        <v>1</v>
      </c>
      <c r="K6329" t="n">
        <v>0</v>
      </c>
      <c r="L6329" t="n">
        <v>52650</v>
      </c>
      <c r="M6329" t="n">
        <v>65000</v>
      </c>
      <c r="N6329" t="n">
        <v>91</v>
      </c>
      <c r="O6329" t="n">
        <v>0.91</v>
      </c>
      <c r="P6329" t="n">
        <v>1</v>
      </c>
      <c r="Q6329" t="n">
        <v>0.02</v>
      </c>
      <c r="R6329" t="n">
        <v>1</v>
      </c>
      <c r="S6329" t="n">
        <v>4140.5</v>
      </c>
      <c r="T6329" t="n">
        <v>8</v>
      </c>
      <c r="U6329" t="n">
        <v>9</v>
      </c>
      <c r="V6329" t="n">
        <v>30</v>
      </c>
      <c r="W6329" t="n">
        <v>2</v>
      </c>
      <c r="X6329" t="n">
        <v>15.69858712715855</v>
      </c>
      <c r="Y6329" t="n">
        <v>1</v>
      </c>
      <c r="Z6329" t="n">
        <v>1</v>
      </c>
      <c r="AA6329" t="n">
        <v>0</v>
      </c>
      <c r="AB6329" t="n">
        <v>1</v>
      </c>
      <c r="AC6329" t="n">
        <v>1</v>
      </c>
      <c r="AD6329" t="n">
        <v>0</v>
      </c>
      <c r="AE6329" t="n">
        <v>52650</v>
      </c>
      <c r="AF6329" t="n">
        <v>2605</v>
      </c>
      <c r="AG6329" t="n">
        <v>101</v>
      </c>
      <c r="AH6329" t="inlineStr">
        <is>
          <t>PT. ARTHA PRADJA MANDIRI - PPN (PDG)</t>
        </is>
      </c>
      <c r="AI6329" t="n">
        <v>166</v>
      </c>
      <c r="AJ6329" t="inlineStr">
        <is>
          <t>WHITELAB</t>
        </is>
      </c>
      <c r="AK6329" t="n">
        <v>21</v>
      </c>
      <c r="AL6329" t="inlineStr">
        <is>
          <t>Miss Glam Damar</t>
        </is>
      </c>
      <c r="AM6329" t="n">
        <v>2</v>
      </c>
      <c r="AN6329" t="n">
        <v>500000</v>
      </c>
      <c r="AO6329" t="n">
        <v>0</v>
      </c>
      <c r="AP6329" t="inlineStr"/>
      <c r="AQ6329" t="inlineStr"/>
    </row>
    <row r="6330">
      <c r="A6330" t="inlineStr">
        <is>
          <t>WHITELAB</t>
        </is>
      </c>
      <c r="B6330" s="2">
        <f>"8997220243602"</f>
        <v/>
      </c>
      <c r="C6330" t="inlineStr">
        <is>
          <t>WHITELAB N-Dose Intense Brigtening Essence Toner 100ml</t>
        </is>
      </c>
      <c r="D6330" t="inlineStr">
        <is>
          <t>Miss Glam Damar</t>
        </is>
      </c>
      <c r="E6330" t="n">
        <v>5</v>
      </c>
      <c r="F6330" t="n">
        <v>0.1638</v>
      </c>
      <c r="G6330" t="n">
        <v>1.82</v>
      </c>
      <c r="H6330" t="n">
        <v>3</v>
      </c>
      <c r="I6330" t="n">
        <v>9</v>
      </c>
      <c r="J6330" t="n">
        <v>3</v>
      </c>
      <c r="K6330" t="n">
        <v>0</v>
      </c>
      <c r="L6330" t="n">
        <v>34830</v>
      </c>
      <c r="M6330" t="n">
        <v>39000</v>
      </c>
      <c r="N6330" t="n">
        <v>91</v>
      </c>
      <c r="O6330" t="n">
        <v>0.91</v>
      </c>
      <c r="P6330" t="n">
        <v>1</v>
      </c>
      <c r="Q6330" t="n">
        <v>0.15</v>
      </c>
      <c r="R6330" t="n">
        <v>2</v>
      </c>
      <c r="S6330" t="n">
        <v>6388.2</v>
      </c>
      <c r="T6330" t="n">
        <v>16</v>
      </c>
      <c r="U6330" t="n">
        <v>17</v>
      </c>
      <c r="V6330" t="n">
        <v>30</v>
      </c>
      <c r="W6330" t="n">
        <v>5</v>
      </c>
      <c r="X6330" t="n">
        <v>30.52503052503052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2605</v>
      </c>
      <c r="AG6330" t="n">
        <v>101</v>
      </c>
      <c r="AH6330" t="inlineStr">
        <is>
          <t>PT. ARTHA PRADJA MANDIRI - PPN (PDG)</t>
        </is>
      </c>
      <c r="AI6330" t="n">
        <v>166</v>
      </c>
      <c r="AJ6330" t="inlineStr">
        <is>
          <t>WHITELAB</t>
        </is>
      </c>
      <c r="AK6330" t="n">
        <v>21</v>
      </c>
      <c r="AL6330" t="inlineStr">
        <is>
          <t>Miss Glam Damar</t>
        </is>
      </c>
      <c r="AM6330" t="n">
        <v>2</v>
      </c>
      <c r="AN6330" t="n">
        <v>500000</v>
      </c>
      <c r="AO6330" t="n">
        <v>0</v>
      </c>
      <c r="AP6330" t="inlineStr"/>
      <c r="AQ6330" t="inlineStr"/>
    </row>
    <row r="6331">
      <c r="A6331" t="inlineStr">
        <is>
          <t>WHITELAB</t>
        </is>
      </c>
      <c r="B6331" s="2">
        <f>"8997220243596"</f>
        <v/>
      </c>
      <c r="C6331" t="inlineStr">
        <is>
          <t>WHITELAB N-Dose Intense Brigtening Facial Wash 100gr</t>
        </is>
      </c>
      <c r="D6331" t="inlineStr">
        <is>
          <t>Miss Glam Damar</t>
        </is>
      </c>
      <c r="E6331" t="n">
        <v>11</v>
      </c>
      <c r="F6331" t="n">
        <v>0.5369</v>
      </c>
      <c r="G6331" t="n">
        <v>2.73</v>
      </c>
      <c r="H6331" t="n">
        <v>3</v>
      </c>
      <c r="I6331" t="n">
        <v>9</v>
      </c>
      <c r="J6331" t="n">
        <v>3</v>
      </c>
      <c r="K6331" t="n">
        <v>0</v>
      </c>
      <c r="L6331" t="n">
        <v>30294</v>
      </c>
      <c r="M6331" t="n">
        <v>34000</v>
      </c>
      <c r="N6331" t="n">
        <v>91</v>
      </c>
      <c r="O6331" t="n">
        <v>0.91</v>
      </c>
      <c r="P6331" t="n">
        <v>1</v>
      </c>
      <c r="Q6331" t="n">
        <v>0.34</v>
      </c>
      <c r="R6331" t="n">
        <v>3</v>
      </c>
      <c r="S6331" t="n">
        <v>18254.6</v>
      </c>
      <c r="T6331" t="n">
        <v>23</v>
      </c>
      <c r="U6331" t="n">
        <v>25</v>
      </c>
      <c r="V6331" t="n">
        <v>30</v>
      </c>
      <c r="W6331" t="n">
        <v>17</v>
      </c>
      <c r="X6331" t="n">
        <v>20.4879865896815</v>
      </c>
      <c r="Y6331" t="n">
        <v>1</v>
      </c>
      <c r="Z6331" t="n">
        <v>6</v>
      </c>
      <c r="AA6331" t="n">
        <v>0</v>
      </c>
      <c r="AB6331" t="n">
        <v>6</v>
      </c>
      <c r="AC6331" t="n">
        <v>6</v>
      </c>
      <c r="AD6331" t="n">
        <v>0</v>
      </c>
      <c r="AE6331" t="n">
        <v>181764</v>
      </c>
      <c r="AF6331" t="n">
        <v>2605</v>
      </c>
      <c r="AG6331" t="n">
        <v>101</v>
      </c>
      <c r="AH6331" t="inlineStr">
        <is>
          <t>PT. ARTHA PRADJA MANDIRI - PPN (PDG)</t>
        </is>
      </c>
      <c r="AI6331" t="n">
        <v>166</v>
      </c>
      <c r="AJ6331" t="inlineStr">
        <is>
          <t>WHITELAB</t>
        </is>
      </c>
      <c r="AK6331" t="n">
        <v>21</v>
      </c>
      <c r="AL6331" t="inlineStr">
        <is>
          <t>Miss Glam Damar</t>
        </is>
      </c>
      <c r="AM6331" t="n">
        <v>2</v>
      </c>
      <c r="AN6331" t="n">
        <v>500000</v>
      </c>
      <c r="AO6331" t="n">
        <v>0</v>
      </c>
      <c r="AP6331" t="inlineStr"/>
      <c r="AQ6331" t="inlineStr"/>
    </row>
    <row r="6332">
      <c r="A6332" t="inlineStr">
        <is>
          <t>WHITELAB</t>
        </is>
      </c>
      <c r="B6332" s="2">
        <f>"8997220245699"</f>
        <v/>
      </c>
      <c r="C6332" t="inlineStr">
        <is>
          <t>WHITELAB N10 Dose Brihtening Serum 20ml Improvement Formula</t>
        </is>
      </c>
      <c r="D6332" t="inlineStr">
        <is>
          <t>Miss Glam Damar</t>
        </is>
      </c>
      <c r="E6332" t="n">
        <v>5</v>
      </c>
      <c r="F6332" t="n">
        <v>0.2912</v>
      </c>
      <c r="G6332" t="n">
        <v>1.82</v>
      </c>
      <c r="H6332" t="n">
        <v>3</v>
      </c>
      <c r="I6332" t="n">
        <v>9</v>
      </c>
      <c r="J6332" t="n">
        <v>3</v>
      </c>
      <c r="K6332" t="n">
        <v>0</v>
      </c>
      <c r="L6332" t="n">
        <v>60759</v>
      </c>
      <c r="M6332" t="n">
        <v>75000</v>
      </c>
      <c r="N6332" t="n">
        <v>91</v>
      </c>
      <c r="O6332" t="n">
        <v>0.91</v>
      </c>
      <c r="P6332" t="n">
        <v>1</v>
      </c>
      <c r="Q6332" t="n">
        <v>0.17</v>
      </c>
      <c r="R6332" t="n">
        <v>3</v>
      </c>
      <c r="S6332" t="n">
        <v>21840</v>
      </c>
      <c r="T6332" t="n">
        <v>16</v>
      </c>
      <c r="U6332" t="n">
        <v>17</v>
      </c>
      <c r="V6332" t="n">
        <v>30</v>
      </c>
      <c r="W6332" t="n">
        <v>9</v>
      </c>
      <c r="X6332" t="n">
        <v>17.17032967032967</v>
      </c>
      <c r="Y6332" t="n">
        <v>1</v>
      </c>
      <c r="Z6332" t="n">
        <v>4</v>
      </c>
      <c r="AA6332" t="n">
        <v>0</v>
      </c>
      <c r="AB6332" t="n">
        <v>4</v>
      </c>
      <c r="AC6332" t="n">
        <v>4</v>
      </c>
      <c r="AD6332" t="n">
        <v>0</v>
      </c>
      <c r="AE6332" t="n">
        <v>243036</v>
      </c>
      <c r="AF6332" t="n">
        <v>2605</v>
      </c>
      <c r="AG6332" t="n">
        <v>101</v>
      </c>
      <c r="AH6332" t="inlineStr">
        <is>
          <t>PT. ARTHA PRADJA MANDIRI - PPN (PDG)</t>
        </is>
      </c>
      <c r="AI6332" t="n">
        <v>166</v>
      </c>
      <c r="AJ6332" t="inlineStr">
        <is>
          <t>WHITELAB</t>
        </is>
      </c>
      <c r="AK6332" t="n">
        <v>21</v>
      </c>
      <c r="AL6332" t="inlineStr">
        <is>
          <t>Miss Glam Damar</t>
        </is>
      </c>
      <c r="AM6332" t="n">
        <v>2</v>
      </c>
      <c r="AN6332" t="n">
        <v>500000</v>
      </c>
      <c r="AO6332" t="n">
        <v>0</v>
      </c>
      <c r="AP6332" t="inlineStr"/>
      <c r="AQ6332" t="inlineStr"/>
    </row>
    <row r="6333">
      <c r="A6333" t="inlineStr">
        <is>
          <t>WHITELAB</t>
        </is>
      </c>
      <c r="B6333" s="2">
        <f>"8997220243626"</f>
        <v/>
      </c>
      <c r="C6333" t="inlineStr">
        <is>
          <t>WHITELAB N5 Dose+ Brightening Serum Oil Control 20ml</t>
        </is>
      </c>
      <c r="D6333" t="inlineStr">
        <is>
          <t>Miss Glam Damar</t>
        </is>
      </c>
      <c r="E6333" t="n">
        <v>3</v>
      </c>
      <c r="F6333" t="n">
        <v>0.0273</v>
      </c>
      <c r="G6333" t="n">
        <v>0.91</v>
      </c>
      <c r="H6333" t="n">
        <v>3</v>
      </c>
      <c r="I6333" t="n">
        <v>9</v>
      </c>
      <c r="J6333" t="n">
        <v>3</v>
      </c>
      <c r="K6333" t="n">
        <v>0</v>
      </c>
      <c r="L6333" t="n">
        <v>52650</v>
      </c>
      <c r="M6333" t="n">
        <v>65000</v>
      </c>
      <c r="N6333" t="n">
        <v>91</v>
      </c>
      <c r="O6333" t="n">
        <v>0.91</v>
      </c>
      <c r="P6333" t="n">
        <v>1</v>
      </c>
      <c r="Q6333" t="n">
        <v>0.07000000000000001</v>
      </c>
      <c r="R6333" t="n">
        <v>1</v>
      </c>
      <c r="S6333" t="n">
        <v>1774.5</v>
      </c>
      <c r="T6333" t="n">
        <v>9</v>
      </c>
      <c r="U6333" t="n">
        <v>10</v>
      </c>
      <c r="V6333" t="n">
        <v>30</v>
      </c>
      <c r="W6333" t="n">
        <v>1</v>
      </c>
      <c r="X6333" t="n">
        <v>109.8901098901099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2605</v>
      </c>
      <c r="AG6333" t="n">
        <v>101</v>
      </c>
      <c r="AH6333" t="inlineStr">
        <is>
          <t>PT. ARTHA PRADJA MANDIRI - PPN (PDG)</t>
        </is>
      </c>
      <c r="AI6333" t="n">
        <v>166</v>
      </c>
      <c r="AJ6333" t="inlineStr">
        <is>
          <t>WHITELAB</t>
        </is>
      </c>
      <c r="AK6333" t="n">
        <v>21</v>
      </c>
      <c r="AL6333" t="inlineStr">
        <is>
          <t>Miss Glam Damar</t>
        </is>
      </c>
      <c r="AM6333" t="n">
        <v>2</v>
      </c>
      <c r="AN6333" t="n">
        <v>500000</v>
      </c>
      <c r="AO6333" t="n">
        <v>0</v>
      </c>
      <c r="AP6333" t="inlineStr"/>
      <c r="AQ6333" t="inlineStr"/>
    </row>
    <row r="6334">
      <c r="A6334" t="inlineStr">
        <is>
          <t>WHITELAB</t>
        </is>
      </c>
      <c r="B6334" s="2">
        <f>"8997220243664"</f>
        <v/>
      </c>
      <c r="C6334" t="inlineStr">
        <is>
          <t>WHITELAB Niacinamide+Collagen Bightening Night Cream 20gr New</t>
        </is>
      </c>
      <c r="D6334" t="inlineStr">
        <is>
          <t>Miss Glam Damar</t>
        </is>
      </c>
      <c r="E6334" t="n">
        <v>6</v>
      </c>
      <c r="F6334" t="n">
        <v>0.1092</v>
      </c>
      <c r="G6334" t="n">
        <v>1.82</v>
      </c>
      <c r="H6334" t="n">
        <v>3</v>
      </c>
      <c r="I6334" t="n">
        <v>9</v>
      </c>
      <c r="J6334" t="n">
        <v>3</v>
      </c>
      <c r="K6334" t="n">
        <v>0</v>
      </c>
      <c r="L6334" t="n">
        <v>47791</v>
      </c>
      <c r="M6334" t="n">
        <v>59000</v>
      </c>
      <c r="N6334" t="n">
        <v>91</v>
      </c>
      <c r="O6334" t="n">
        <v>0.91</v>
      </c>
      <c r="P6334" t="n">
        <v>1</v>
      </c>
      <c r="Q6334" t="n">
        <v>0.1</v>
      </c>
      <c r="R6334" t="n">
        <v>1</v>
      </c>
      <c r="S6334" t="n">
        <v>6442.8</v>
      </c>
      <c r="T6334" t="n">
        <v>17</v>
      </c>
      <c r="U6334" t="n">
        <v>18</v>
      </c>
      <c r="V6334" t="n">
        <v>30</v>
      </c>
      <c r="W6334" t="n">
        <v>4</v>
      </c>
      <c r="X6334" t="n">
        <v>54.94505494505494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2605</v>
      </c>
      <c r="AG6334" t="n">
        <v>101</v>
      </c>
      <c r="AH6334" t="inlineStr">
        <is>
          <t>PT. ARTHA PRADJA MANDIRI - PPN (PDG)</t>
        </is>
      </c>
      <c r="AI6334" t="n">
        <v>166</v>
      </c>
      <c r="AJ6334" t="inlineStr">
        <is>
          <t>WHITELAB</t>
        </is>
      </c>
      <c r="AK6334" t="n">
        <v>21</v>
      </c>
      <c r="AL6334" t="inlineStr">
        <is>
          <t>Miss Glam Damar</t>
        </is>
      </c>
      <c r="AM6334" t="n">
        <v>2</v>
      </c>
      <c r="AN6334" t="n">
        <v>500000</v>
      </c>
      <c r="AO6334" t="n">
        <v>0</v>
      </c>
      <c r="AP6334" t="inlineStr"/>
      <c r="AQ6334" t="inlineStr"/>
    </row>
    <row r="6335">
      <c r="A6335" t="inlineStr">
        <is>
          <t>WHITELAB</t>
        </is>
      </c>
      <c r="B6335" s="2">
        <f>"8997220243695"</f>
        <v/>
      </c>
      <c r="C6335" t="inlineStr">
        <is>
          <t>WHITELAB PH-Balanced Facial Cleanser 100gr</t>
        </is>
      </c>
      <c r="D6335" t="inlineStr">
        <is>
          <t>Miss Glam Damar</t>
        </is>
      </c>
      <c r="E6335" t="n">
        <v>4</v>
      </c>
      <c r="F6335" t="n">
        <v>0.07000000000000001</v>
      </c>
      <c r="G6335" t="n">
        <v>2</v>
      </c>
      <c r="H6335" t="n">
        <v>3</v>
      </c>
      <c r="I6335" t="n">
        <v>9</v>
      </c>
      <c r="J6335" t="n">
        <v>3</v>
      </c>
      <c r="K6335" t="n">
        <v>0</v>
      </c>
      <c r="L6335" t="n">
        <v>39691</v>
      </c>
      <c r="M6335" t="n">
        <v>49000</v>
      </c>
      <c r="N6335" t="n">
        <v>91</v>
      </c>
      <c r="O6335" t="n">
        <v>0.91</v>
      </c>
      <c r="P6335" t="n">
        <v>0</v>
      </c>
      <c r="Q6335" t="n">
        <v>0.07000000000000001</v>
      </c>
      <c r="R6335" t="n">
        <v>2</v>
      </c>
      <c r="S6335" t="n">
        <v>3430</v>
      </c>
      <c r="T6335" t="n">
        <v>18</v>
      </c>
      <c r="U6335" t="n">
        <v>19</v>
      </c>
      <c r="V6335" t="n">
        <v>30</v>
      </c>
      <c r="W6335" t="n">
        <v>3</v>
      </c>
      <c r="X6335" t="n">
        <v>57.14285714285714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2605</v>
      </c>
      <c r="AG6335" t="n">
        <v>101</v>
      </c>
      <c r="AH6335" t="inlineStr">
        <is>
          <t>PT. ARTHA PRADJA MANDIRI - PPN (PDG)</t>
        </is>
      </c>
      <c r="AI6335" t="n">
        <v>166</v>
      </c>
      <c r="AJ6335" t="inlineStr">
        <is>
          <t>WHITELAB</t>
        </is>
      </c>
      <c r="AK6335" t="n">
        <v>21</v>
      </c>
      <c r="AL6335" t="inlineStr">
        <is>
          <t>Miss Glam Damar</t>
        </is>
      </c>
      <c r="AM6335" t="n">
        <v>2</v>
      </c>
      <c r="AN6335" t="n">
        <v>500000</v>
      </c>
      <c r="AO6335" t="n">
        <v>0</v>
      </c>
      <c r="AP6335" t="inlineStr"/>
      <c r="AQ6335" t="inlineStr"/>
    </row>
    <row r="6336">
      <c r="A6336" t="inlineStr">
        <is>
          <t>WHITELAB</t>
        </is>
      </c>
      <c r="B6336" s="2">
        <f>"10400517806"</f>
        <v/>
      </c>
      <c r="C6336" t="inlineStr">
        <is>
          <t>WHITELAB Ultra Light Suncreen Gel SPF 50PA+++ 30gr</t>
        </is>
      </c>
      <c r="D6336" t="inlineStr">
        <is>
          <t>Miss Glam Damar</t>
        </is>
      </c>
      <c r="E6336" t="n">
        <v>5</v>
      </c>
      <c r="F6336" t="n">
        <v>0.0273</v>
      </c>
      <c r="G6336" t="n">
        <v>0.91</v>
      </c>
      <c r="H6336" t="n">
        <v>3</v>
      </c>
      <c r="I6336" t="n">
        <v>9</v>
      </c>
      <c r="J6336" t="n">
        <v>1</v>
      </c>
      <c r="K6336" t="n">
        <v>0</v>
      </c>
      <c r="L6336" t="n">
        <v>55891</v>
      </c>
      <c r="M6336" t="n">
        <v>69000</v>
      </c>
      <c r="N6336" t="n">
        <v>91</v>
      </c>
      <c r="O6336" t="n">
        <v>0.91</v>
      </c>
      <c r="P6336" t="n">
        <v>1</v>
      </c>
      <c r="Q6336" t="n">
        <v>0.02</v>
      </c>
      <c r="R6336" t="n">
        <v>0</v>
      </c>
      <c r="S6336" t="n">
        <v>1883.7</v>
      </c>
      <c r="T6336" t="n">
        <v>9</v>
      </c>
      <c r="U6336" t="n">
        <v>10</v>
      </c>
      <c r="V6336" t="n">
        <v>30</v>
      </c>
      <c r="W6336" t="n">
        <v>1</v>
      </c>
      <c r="X6336" t="n">
        <v>183.1501831501832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2605</v>
      </c>
      <c r="AG6336" t="n">
        <v>101</v>
      </c>
      <c r="AH6336" t="inlineStr">
        <is>
          <t>PT. ARTHA PRADJA MANDIRI - PPN (PDG)</t>
        </is>
      </c>
      <c r="AI6336" t="n">
        <v>166</v>
      </c>
      <c r="AJ6336" t="inlineStr">
        <is>
          <t>WHITELAB</t>
        </is>
      </c>
      <c r="AK6336" t="n">
        <v>21</v>
      </c>
      <c r="AL6336" t="inlineStr">
        <is>
          <t>Miss Glam Damar</t>
        </is>
      </c>
      <c r="AM6336" t="n">
        <v>2</v>
      </c>
      <c r="AN6336" t="n">
        <v>500000</v>
      </c>
      <c r="AO6336" t="n">
        <v>0</v>
      </c>
      <c r="AP6336" t="inlineStr"/>
      <c r="AQ6336" t="inlineStr"/>
    </row>
    <row r="6337">
      <c r="A6337" t="inlineStr">
        <is>
          <t>WHITELAB</t>
        </is>
      </c>
      <c r="B6337" s="2">
        <f>"8997220243688"</f>
        <v/>
      </c>
      <c r="C6337" t="inlineStr">
        <is>
          <t>WHITELAB Underarm Cream 20gr</t>
        </is>
      </c>
      <c r="D6337" t="inlineStr">
        <is>
          <t>Miss Glam Damar</t>
        </is>
      </c>
      <c r="E6337" t="n">
        <v>6</v>
      </c>
      <c r="F6337" t="n">
        <v>0.0364</v>
      </c>
      <c r="G6337" t="n">
        <v>0.91</v>
      </c>
      <c r="H6337" t="n">
        <v>3</v>
      </c>
      <c r="I6337" t="n">
        <v>9</v>
      </c>
      <c r="J6337" t="n">
        <v>3</v>
      </c>
      <c r="K6337" t="n">
        <v>0</v>
      </c>
      <c r="L6337" t="n">
        <v>47791</v>
      </c>
      <c r="M6337" t="n">
        <v>59000</v>
      </c>
      <c r="N6337" t="n">
        <v>91</v>
      </c>
      <c r="O6337" t="n">
        <v>0.91</v>
      </c>
      <c r="P6337" t="n">
        <v>1</v>
      </c>
      <c r="Q6337" t="n">
        <v>0.05</v>
      </c>
      <c r="R6337" t="n">
        <v>1</v>
      </c>
      <c r="S6337" t="n">
        <v>2147.6</v>
      </c>
      <c r="T6337" t="n">
        <v>9</v>
      </c>
      <c r="U6337" t="n">
        <v>10</v>
      </c>
      <c r="V6337" t="n">
        <v>30</v>
      </c>
      <c r="W6337" t="n">
        <v>2</v>
      </c>
      <c r="X6337" t="n">
        <v>164.8351648351648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2605</v>
      </c>
      <c r="AG6337" t="n">
        <v>101</v>
      </c>
      <c r="AH6337" t="inlineStr">
        <is>
          <t>PT. ARTHA PRADJA MANDIRI - PPN (PDG)</t>
        </is>
      </c>
      <c r="AI6337" t="n">
        <v>166</v>
      </c>
      <c r="AJ6337" t="inlineStr">
        <is>
          <t>WHITELAB</t>
        </is>
      </c>
      <c r="AK6337" t="n">
        <v>21</v>
      </c>
      <c r="AL6337" t="inlineStr">
        <is>
          <t>Miss Glam Damar</t>
        </is>
      </c>
      <c r="AM6337" t="n">
        <v>2</v>
      </c>
      <c r="AN6337" t="n">
        <v>500000</v>
      </c>
      <c r="AO6337" t="n">
        <v>0</v>
      </c>
      <c r="AP6337" t="inlineStr"/>
      <c r="AQ6337" t="inlineStr"/>
    </row>
    <row r="6338">
      <c r="A6338" t="inlineStr">
        <is>
          <t>WONDERLUX</t>
        </is>
      </c>
      <c r="B6338" s="2">
        <f>"8997208073160"</f>
        <v/>
      </c>
      <c r="C6338" t="inlineStr">
        <is>
          <t>WONDERLUX Break Me Free ! Anti Dandruff Shampoo 250 Ml</t>
        </is>
      </c>
      <c r="D6338" t="inlineStr">
        <is>
          <t>Miss Glam Damar</t>
        </is>
      </c>
      <c r="E6338" t="n">
        <v>2</v>
      </c>
      <c r="F6338" t="n">
        <v>0.03</v>
      </c>
      <c r="G6338" t="n">
        <v>1</v>
      </c>
      <c r="H6338" t="n">
        <v>3</v>
      </c>
      <c r="I6338" t="n">
        <v>11</v>
      </c>
      <c r="J6338" t="n">
        <v>3</v>
      </c>
      <c r="K6338" t="n">
        <v>0</v>
      </c>
      <c r="L6338" t="n">
        <v>71200</v>
      </c>
      <c r="M6338" t="n">
        <v>97000</v>
      </c>
      <c r="N6338" t="n">
        <v>91</v>
      </c>
      <c r="O6338" t="n">
        <v>0.91</v>
      </c>
      <c r="P6338" t="n">
        <v>0</v>
      </c>
      <c r="Q6338" t="n">
        <v>0.03</v>
      </c>
      <c r="R6338" t="n">
        <v>1</v>
      </c>
      <c r="S6338" t="n">
        <v>2910</v>
      </c>
      <c r="T6338" t="n">
        <v>11</v>
      </c>
      <c r="U6338" t="n">
        <v>12</v>
      </c>
      <c r="V6338" t="n">
        <v>30</v>
      </c>
      <c r="W6338" t="n">
        <v>1</v>
      </c>
      <c r="X6338" t="n">
        <v>66.66666666666667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12890</v>
      </c>
      <c r="AG6338" t="n">
        <v>2122</v>
      </c>
      <c r="AH6338" t="inlineStr">
        <is>
          <t>PT. SINAR PADANG LESTARI - PPN (PDG)</t>
        </is>
      </c>
      <c r="AI6338" t="n">
        <v>1856</v>
      </c>
      <c r="AJ6338" t="inlineStr">
        <is>
          <t>WONDERLUX</t>
        </is>
      </c>
      <c r="AK6338" t="n">
        <v>21</v>
      </c>
      <c r="AL6338" t="inlineStr">
        <is>
          <t>Miss Glam Damar</t>
        </is>
      </c>
      <c r="AM6338" t="n">
        <v>1</v>
      </c>
      <c r="AN6338" t="n">
        <v>500000</v>
      </c>
      <c r="AO6338" t="n">
        <v>0</v>
      </c>
      <c r="AP6338" t="inlineStr"/>
      <c r="AQ6338" t="inlineStr"/>
    </row>
    <row r="6339">
      <c r="A6339" t="inlineStr">
        <is>
          <t>WONDERLUX</t>
        </is>
      </c>
      <c r="B6339" s="2">
        <f>"8997208073153"</f>
        <v/>
      </c>
      <c r="C6339" t="inlineStr">
        <is>
          <t>WONDERLUX Bring Me To Life Volume &amp; Repair Shampoo 250ml</t>
        </is>
      </c>
      <c r="D6339" t="inlineStr">
        <is>
          <t>Miss Glam Damar</t>
        </is>
      </c>
      <c r="E6339" t="n">
        <v>12</v>
      </c>
      <c r="F6339" t="n">
        <v>0.02</v>
      </c>
      <c r="G6339" t="n">
        <v>1</v>
      </c>
      <c r="H6339" t="n">
        <v>3</v>
      </c>
      <c r="I6339" t="n">
        <v>11</v>
      </c>
      <c r="J6339" t="n">
        <v>3</v>
      </c>
      <c r="K6339" t="n">
        <v>0</v>
      </c>
      <c r="L6339" t="n">
        <v>64080</v>
      </c>
      <c r="M6339" t="n">
        <v>89000</v>
      </c>
      <c r="N6339" t="n">
        <v>91</v>
      </c>
      <c r="O6339" t="n">
        <v>0.91</v>
      </c>
      <c r="P6339" t="n">
        <v>0</v>
      </c>
      <c r="Q6339" t="n">
        <v>0.02</v>
      </c>
      <c r="R6339" t="n">
        <v>1</v>
      </c>
      <c r="S6339" t="n">
        <v>1780</v>
      </c>
      <c r="T6339" t="n">
        <v>11</v>
      </c>
      <c r="U6339" t="n">
        <v>12</v>
      </c>
      <c r="V6339" t="n">
        <v>30</v>
      </c>
      <c r="W6339" t="n">
        <v>1</v>
      </c>
      <c r="X6339" t="n">
        <v>600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12890</v>
      </c>
      <c r="AG6339" t="n">
        <v>2122</v>
      </c>
      <c r="AH6339" t="inlineStr">
        <is>
          <t>PT. SINAR PADANG LESTARI - PPN (PDG)</t>
        </is>
      </c>
      <c r="AI6339" t="n">
        <v>1856</v>
      </c>
      <c r="AJ6339" t="inlineStr">
        <is>
          <t>WONDERLUX</t>
        </is>
      </c>
      <c r="AK6339" t="n">
        <v>21</v>
      </c>
      <c r="AL6339" t="inlineStr">
        <is>
          <t>Miss Glam Damar</t>
        </is>
      </c>
      <c r="AM6339" t="n">
        <v>1</v>
      </c>
      <c r="AN6339" t="n">
        <v>500000</v>
      </c>
      <c r="AO6339" t="n">
        <v>0</v>
      </c>
      <c r="AP6339" t="inlineStr"/>
      <c r="AQ6339" t="inlineStr"/>
    </row>
    <row r="6340">
      <c r="A6340" t="inlineStr">
        <is>
          <t>WONDERLUX</t>
        </is>
      </c>
      <c r="B6340" s="2">
        <f>"8997208073122"</f>
        <v/>
      </c>
      <c r="C6340" t="inlineStr">
        <is>
          <t>WONDERLUX Densifying Hair Serum 75ml</t>
        </is>
      </c>
      <c r="D6340" t="inlineStr">
        <is>
          <t>Miss Glam Damar</t>
        </is>
      </c>
      <c r="E6340" t="n">
        <v>2</v>
      </c>
      <c r="F6340" t="n">
        <v>0.02</v>
      </c>
      <c r="G6340" t="n">
        <v>1</v>
      </c>
      <c r="H6340" t="n">
        <v>3</v>
      </c>
      <c r="I6340" t="n">
        <v>11</v>
      </c>
      <c r="J6340" t="n">
        <v>3</v>
      </c>
      <c r="K6340" t="n">
        <v>0</v>
      </c>
      <c r="L6340" t="n">
        <v>140000</v>
      </c>
      <c r="M6340" t="n">
        <v>175000</v>
      </c>
      <c r="N6340" t="n">
        <v>91</v>
      </c>
      <c r="O6340" t="n">
        <v>0.91</v>
      </c>
      <c r="P6340" t="n">
        <v>0</v>
      </c>
      <c r="Q6340" t="n">
        <v>0.02</v>
      </c>
      <c r="R6340" t="n">
        <v>1</v>
      </c>
      <c r="S6340" t="n">
        <v>3500</v>
      </c>
      <c r="T6340" t="n">
        <v>11</v>
      </c>
      <c r="U6340" t="n">
        <v>12</v>
      </c>
      <c r="V6340" t="n">
        <v>30</v>
      </c>
      <c r="W6340" t="n">
        <v>1</v>
      </c>
      <c r="X6340" t="n">
        <v>100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12890</v>
      </c>
      <c r="AG6340" t="n">
        <v>2122</v>
      </c>
      <c r="AH6340" t="inlineStr">
        <is>
          <t>PT. SINAR PADANG LESTARI - PPN (PDG)</t>
        </is>
      </c>
      <c r="AI6340" t="n">
        <v>1856</v>
      </c>
      <c r="AJ6340" t="inlineStr">
        <is>
          <t>WONDERLUX</t>
        </is>
      </c>
      <c r="AK6340" t="n">
        <v>21</v>
      </c>
      <c r="AL6340" t="inlineStr">
        <is>
          <t>Miss Glam Damar</t>
        </is>
      </c>
      <c r="AM6340" t="n">
        <v>1</v>
      </c>
      <c r="AN6340" t="n">
        <v>500000</v>
      </c>
      <c r="AO6340" t="n">
        <v>0</v>
      </c>
      <c r="AP6340" t="inlineStr"/>
      <c r="AQ6340" t="inlineStr"/>
    </row>
    <row r="6341">
      <c r="A6341" t="inlineStr">
        <is>
          <t>WONDERLUX</t>
        </is>
      </c>
      <c r="B6341" s="2">
        <f>"8997208073986"</f>
        <v/>
      </c>
      <c r="C6341" t="inlineStr">
        <is>
          <t>WONDERLUX Hold My Standars Hair Fall Treatment Shampoo 250ml</t>
        </is>
      </c>
      <c r="D6341" t="inlineStr">
        <is>
          <t>Miss Glam Damar</t>
        </is>
      </c>
      <c r="E6341" t="n">
        <v>6</v>
      </c>
      <c r="F6341" t="n">
        <v>0.04550000000000001</v>
      </c>
      <c r="G6341" t="n">
        <v>0.91</v>
      </c>
      <c r="H6341" t="n">
        <v>3</v>
      </c>
      <c r="I6341" t="n">
        <v>11</v>
      </c>
      <c r="J6341" t="n">
        <v>3</v>
      </c>
      <c r="K6341" t="n">
        <v>0</v>
      </c>
      <c r="L6341" t="n">
        <v>65860</v>
      </c>
      <c r="M6341" t="n">
        <v>99000</v>
      </c>
      <c r="N6341" t="n">
        <v>91</v>
      </c>
      <c r="O6341" t="n">
        <v>0.91</v>
      </c>
      <c r="P6341" t="n">
        <v>1</v>
      </c>
      <c r="Q6341" t="n">
        <v>0.07000000000000001</v>
      </c>
      <c r="R6341" t="n">
        <v>2</v>
      </c>
      <c r="S6341" t="n">
        <v>4504.500000000001</v>
      </c>
      <c r="T6341" t="n">
        <v>10</v>
      </c>
      <c r="U6341" t="n">
        <v>11</v>
      </c>
      <c r="V6341" t="n">
        <v>30</v>
      </c>
      <c r="W6341" t="n">
        <v>2</v>
      </c>
      <c r="X6341" t="n">
        <v>131.8681318681319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12890</v>
      </c>
      <c r="AG6341" t="n">
        <v>2122</v>
      </c>
      <c r="AH6341" t="inlineStr">
        <is>
          <t>PT. SINAR PADANG LESTARI - PPN (PDG)</t>
        </is>
      </c>
      <c r="AI6341" t="n">
        <v>1856</v>
      </c>
      <c r="AJ6341" t="inlineStr">
        <is>
          <t>WONDERLUX</t>
        </is>
      </c>
      <c r="AK6341" t="n">
        <v>21</v>
      </c>
      <c r="AL6341" t="inlineStr">
        <is>
          <t>Miss Glam Damar</t>
        </is>
      </c>
      <c r="AM6341" t="n">
        <v>1</v>
      </c>
      <c r="AN6341" t="n">
        <v>500000</v>
      </c>
      <c r="AO6341" t="n">
        <v>0</v>
      </c>
      <c r="AP6341" t="inlineStr"/>
      <c r="AQ6341" t="inlineStr"/>
    </row>
    <row r="6342">
      <c r="A6342" t="inlineStr">
        <is>
          <t>WONDERLUX</t>
        </is>
      </c>
      <c r="B6342" s="2">
        <f>"8997208073139"</f>
        <v/>
      </c>
      <c r="C6342" t="inlineStr">
        <is>
          <t>WONDERLUX Set The Oil Free Scalp Serum 75ml</t>
        </is>
      </c>
      <c r="D6342" t="inlineStr">
        <is>
          <t>Miss Glam Damar</t>
        </is>
      </c>
      <c r="E6342" t="n">
        <v>7</v>
      </c>
      <c r="F6342" t="n">
        <v>0.02</v>
      </c>
      <c r="G6342" t="n">
        <v>1</v>
      </c>
      <c r="H6342" t="n">
        <v>3</v>
      </c>
      <c r="I6342" t="n">
        <v>11</v>
      </c>
      <c r="J6342" t="n">
        <v>3</v>
      </c>
      <c r="K6342" t="n">
        <v>0</v>
      </c>
      <c r="L6342" t="n">
        <v>91429</v>
      </c>
      <c r="M6342" t="n">
        <v>121500</v>
      </c>
      <c r="N6342" t="n">
        <v>91</v>
      </c>
      <c r="O6342" t="n">
        <v>0.91</v>
      </c>
      <c r="P6342" t="n">
        <v>0</v>
      </c>
      <c r="Q6342" t="n">
        <v>0.02</v>
      </c>
      <c r="R6342" t="n">
        <v>1</v>
      </c>
      <c r="S6342" t="n">
        <v>2430</v>
      </c>
      <c r="T6342" t="n">
        <v>11</v>
      </c>
      <c r="U6342" t="n">
        <v>12</v>
      </c>
      <c r="V6342" t="n">
        <v>30</v>
      </c>
      <c r="W6342" t="n">
        <v>1</v>
      </c>
      <c r="X6342" t="n">
        <v>350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12890</v>
      </c>
      <c r="AG6342" t="n">
        <v>2122</v>
      </c>
      <c r="AH6342" t="inlineStr">
        <is>
          <t>PT. SINAR PADANG LESTARI - PPN (PDG)</t>
        </is>
      </c>
      <c r="AI6342" t="n">
        <v>1856</v>
      </c>
      <c r="AJ6342" t="inlineStr">
        <is>
          <t>WONDERLUX</t>
        </is>
      </c>
      <c r="AK6342" t="n">
        <v>21</v>
      </c>
      <c r="AL6342" t="inlineStr">
        <is>
          <t>Miss Glam Damar</t>
        </is>
      </c>
      <c r="AM6342" t="n">
        <v>1</v>
      </c>
      <c r="AN6342" t="n">
        <v>500000</v>
      </c>
      <c r="AO6342" t="n">
        <v>0</v>
      </c>
      <c r="AP6342" t="inlineStr"/>
      <c r="AQ6342" t="inlineStr"/>
    </row>
    <row r="6343">
      <c r="A6343" t="inlineStr">
        <is>
          <t>XIXIU</t>
        </is>
      </c>
      <c r="B6343" s="2">
        <f>"8997225410856"</f>
        <v/>
      </c>
      <c r="C6343" t="inlineStr">
        <is>
          <t>XIXIU 2 in 1 Mascara &amp; Eyeliner 2 x 4gr</t>
        </is>
      </c>
      <c r="D6343" t="inlineStr">
        <is>
          <t>Miss Glam Damar</t>
        </is>
      </c>
      <c r="E6343" t="n">
        <v>7</v>
      </c>
      <c r="F6343" t="n">
        <v>1.4924</v>
      </c>
      <c r="G6343" t="n">
        <v>6.37</v>
      </c>
      <c r="H6343" t="n">
        <v>3</v>
      </c>
      <c r="I6343" t="n">
        <v>11</v>
      </c>
      <c r="J6343" t="n">
        <v>3</v>
      </c>
      <c r="K6343" t="n">
        <v>24</v>
      </c>
      <c r="L6343" t="n">
        <v>21513</v>
      </c>
      <c r="M6343" t="n">
        <v>25500</v>
      </c>
      <c r="N6343" t="n">
        <v>91</v>
      </c>
      <c r="O6343" t="n">
        <v>0.91</v>
      </c>
      <c r="P6343" t="n">
        <v>1</v>
      </c>
      <c r="Q6343" t="n">
        <v>0.86</v>
      </c>
      <c r="R6343" t="n">
        <v>5</v>
      </c>
      <c r="S6343" t="n">
        <v>38056.2</v>
      </c>
      <c r="T6343" t="n">
        <v>66</v>
      </c>
      <c r="U6343" t="n">
        <v>71</v>
      </c>
      <c r="V6343" t="n">
        <v>30</v>
      </c>
      <c r="W6343" t="n">
        <v>45</v>
      </c>
      <c r="X6343" t="n">
        <v>4.690431519699812</v>
      </c>
      <c r="Y6343" t="n">
        <v>1</v>
      </c>
      <c r="Z6343" t="n">
        <v>14</v>
      </c>
      <c r="AA6343" t="n">
        <v>9</v>
      </c>
      <c r="AB6343" t="n">
        <v>5</v>
      </c>
      <c r="AC6343" t="n">
        <v>5</v>
      </c>
      <c r="AD6343" t="n">
        <v>193617</v>
      </c>
      <c r="AE6343" t="n">
        <v>107565</v>
      </c>
      <c r="AF6343" t="n">
        <v>12899</v>
      </c>
      <c r="AG6343" t="n">
        <v>2122</v>
      </c>
      <c r="AH6343" t="inlineStr">
        <is>
          <t>PT. SINAR PADANG LESTARI - PPN (PDG)</t>
        </is>
      </c>
      <c r="AI6343" t="n">
        <v>398</v>
      </c>
      <c r="AJ6343" t="inlineStr">
        <is>
          <t>XIXIU</t>
        </is>
      </c>
      <c r="AK6343" t="n">
        <v>21</v>
      </c>
      <c r="AL6343" t="inlineStr">
        <is>
          <t>Miss Glam Damar</t>
        </is>
      </c>
      <c r="AM6343" t="n">
        <v>1</v>
      </c>
      <c r="AN6343" t="n">
        <v>500000</v>
      </c>
      <c r="AO6343" t="n">
        <v>0</v>
      </c>
      <c r="AP6343" t="inlineStr"/>
      <c r="AQ6343" t="inlineStr"/>
    </row>
    <row r="6344">
      <c r="A6344" t="inlineStr">
        <is>
          <t>XIXIU</t>
        </is>
      </c>
      <c r="B6344" s="2">
        <f>"8997225416414"</f>
        <v/>
      </c>
      <c r="C6344" t="inlineStr">
        <is>
          <t>XIXIU Devine Lip Matte Sense 01 Peaceful 3.5gr</t>
        </is>
      </c>
      <c r="D6344" t="inlineStr">
        <is>
          <t>Miss Glam Damar</t>
        </is>
      </c>
      <c r="E6344" t="n">
        <v>4</v>
      </c>
      <c r="F6344" t="n">
        <v>0.06370000000000001</v>
      </c>
      <c r="G6344" t="n">
        <v>0.91</v>
      </c>
      <c r="H6344" t="n">
        <v>3</v>
      </c>
      <c r="I6344" t="n">
        <v>11</v>
      </c>
      <c r="J6344" t="n">
        <v>3</v>
      </c>
      <c r="K6344" t="n">
        <v>0</v>
      </c>
      <c r="L6344" t="n">
        <v>19380</v>
      </c>
      <c r="M6344" t="n">
        <v>23000</v>
      </c>
      <c r="N6344" t="n">
        <v>91</v>
      </c>
      <c r="O6344" t="n">
        <v>0.91</v>
      </c>
      <c r="P6344" t="n">
        <v>1</v>
      </c>
      <c r="Q6344" t="n">
        <v>0.02</v>
      </c>
      <c r="R6344" t="n">
        <v>1</v>
      </c>
      <c r="S6344" t="n">
        <v>1465.1</v>
      </c>
      <c r="T6344" t="n">
        <v>10</v>
      </c>
      <c r="U6344" t="n">
        <v>11</v>
      </c>
      <c r="V6344" t="n">
        <v>30</v>
      </c>
      <c r="W6344" t="n">
        <v>2</v>
      </c>
      <c r="X6344" t="n">
        <v>62.79434850863422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12899</v>
      </c>
      <c r="AG6344" t="n">
        <v>2122</v>
      </c>
      <c r="AH6344" t="inlineStr">
        <is>
          <t>PT. SINAR PADANG LESTARI - PPN (PDG)</t>
        </is>
      </c>
      <c r="AI6344" t="n">
        <v>398</v>
      </c>
      <c r="AJ6344" t="inlineStr">
        <is>
          <t>XIXIU</t>
        </is>
      </c>
      <c r="AK6344" t="n">
        <v>21</v>
      </c>
      <c r="AL6344" t="inlineStr">
        <is>
          <t>Miss Glam Damar</t>
        </is>
      </c>
      <c r="AM6344" t="n">
        <v>1</v>
      </c>
      <c r="AN6344" t="n">
        <v>500000</v>
      </c>
      <c r="AO6344" t="n">
        <v>0</v>
      </c>
      <c r="AP6344" t="inlineStr"/>
      <c r="AQ6344" t="inlineStr"/>
    </row>
    <row r="6345">
      <c r="A6345" t="inlineStr">
        <is>
          <t>XIXIU</t>
        </is>
      </c>
      <c r="B6345" s="2">
        <f>"8997225416421"</f>
        <v/>
      </c>
      <c r="C6345" t="inlineStr">
        <is>
          <t>XIXIU Devine Lip Matte Sense 02 Speechless 3.5gr</t>
        </is>
      </c>
      <c r="D6345" t="inlineStr">
        <is>
          <t>Miss Glam Damar</t>
        </is>
      </c>
      <c r="E6345" t="n">
        <v>2</v>
      </c>
      <c r="F6345" t="n">
        <v>0.0273</v>
      </c>
      <c r="G6345" t="n">
        <v>0.91</v>
      </c>
      <c r="H6345" t="n">
        <v>3</v>
      </c>
      <c r="I6345" t="n">
        <v>11</v>
      </c>
      <c r="J6345" t="n">
        <v>3</v>
      </c>
      <c r="K6345" t="n">
        <v>0</v>
      </c>
      <c r="L6345" t="n">
        <v>19380</v>
      </c>
      <c r="M6345" t="n">
        <v>23000</v>
      </c>
      <c r="N6345" t="n">
        <v>91</v>
      </c>
      <c r="O6345" t="n">
        <v>0.91</v>
      </c>
      <c r="P6345" t="n">
        <v>1</v>
      </c>
      <c r="Q6345" t="n">
        <v>0.02</v>
      </c>
      <c r="R6345" t="n">
        <v>1</v>
      </c>
      <c r="S6345" t="n">
        <v>627.9</v>
      </c>
      <c r="T6345" t="n">
        <v>10</v>
      </c>
      <c r="U6345" t="n">
        <v>11</v>
      </c>
      <c r="V6345" t="n">
        <v>30</v>
      </c>
      <c r="W6345" t="n">
        <v>1</v>
      </c>
      <c r="X6345" t="n">
        <v>73.26007326007326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12899</v>
      </c>
      <c r="AG6345" t="n">
        <v>2122</v>
      </c>
      <c r="AH6345" t="inlineStr">
        <is>
          <t>PT. SINAR PADANG LESTARI - PPN (PDG)</t>
        </is>
      </c>
      <c r="AI6345" t="n">
        <v>398</v>
      </c>
      <c r="AJ6345" t="inlineStr">
        <is>
          <t>XIXIU</t>
        </is>
      </c>
      <c r="AK6345" t="n">
        <v>21</v>
      </c>
      <c r="AL6345" t="inlineStr">
        <is>
          <t>Miss Glam Damar</t>
        </is>
      </c>
      <c r="AM6345" t="n">
        <v>1</v>
      </c>
      <c r="AN6345" t="n">
        <v>500000</v>
      </c>
      <c r="AO6345" t="n">
        <v>0</v>
      </c>
      <c r="AP6345" t="inlineStr"/>
      <c r="AQ6345" t="inlineStr"/>
    </row>
    <row r="6346">
      <c r="A6346" t="inlineStr">
        <is>
          <t>XIXIU</t>
        </is>
      </c>
      <c r="B6346" s="2">
        <f>"8997225416438"</f>
        <v/>
      </c>
      <c r="C6346" t="inlineStr">
        <is>
          <t>XIXIU Devine Lip Matte Sense 03 Romantic 3.5gr</t>
        </is>
      </c>
      <c r="D6346" t="inlineStr">
        <is>
          <t>Miss Glam Damar</t>
        </is>
      </c>
      <c r="E6346" t="n">
        <v>3</v>
      </c>
      <c r="F6346" t="n">
        <v>0.04550000000000001</v>
      </c>
      <c r="G6346" t="n">
        <v>0.91</v>
      </c>
      <c r="H6346" t="n">
        <v>3</v>
      </c>
      <c r="I6346" t="n">
        <v>11</v>
      </c>
      <c r="J6346" t="n">
        <v>3</v>
      </c>
      <c r="K6346" t="n">
        <v>0</v>
      </c>
      <c r="L6346" t="n">
        <v>19380</v>
      </c>
      <c r="M6346" t="n">
        <v>23000</v>
      </c>
      <c r="N6346" t="n">
        <v>91</v>
      </c>
      <c r="O6346" t="n">
        <v>0.91</v>
      </c>
      <c r="P6346" t="n">
        <v>1</v>
      </c>
      <c r="Q6346" t="n">
        <v>0.02</v>
      </c>
      <c r="R6346" t="n">
        <v>1</v>
      </c>
      <c r="S6346" t="n">
        <v>1046.5</v>
      </c>
      <c r="T6346" t="n">
        <v>10</v>
      </c>
      <c r="U6346" t="n">
        <v>11</v>
      </c>
      <c r="V6346" t="n">
        <v>30</v>
      </c>
      <c r="W6346" t="n">
        <v>2</v>
      </c>
      <c r="X6346" t="n">
        <v>65.93406593406593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12899</v>
      </c>
      <c r="AG6346" t="n">
        <v>2122</v>
      </c>
      <c r="AH6346" t="inlineStr">
        <is>
          <t>PT. SINAR PADANG LESTARI - PPN (PDG)</t>
        </is>
      </c>
      <c r="AI6346" t="n">
        <v>398</v>
      </c>
      <c r="AJ6346" t="inlineStr">
        <is>
          <t>XIXIU</t>
        </is>
      </c>
      <c r="AK6346" t="n">
        <v>21</v>
      </c>
      <c r="AL6346" t="inlineStr">
        <is>
          <t>Miss Glam Damar</t>
        </is>
      </c>
      <c r="AM6346" t="n">
        <v>1</v>
      </c>
      <c r="AN6346" t="n">
        <v>500000</v>
      </c>
      <c r="AO6346" t="n">
        <v>0</v>
      </c>
      <c r="AP6346" t="inlineStr"/>
      <c r="AQ6346" t="inlineStr"/>
    </row>
    <row r="6347">
      <c r="A6347" t="inlineStr">
        <is>
          <t>XIXIU</t>
        </is>
      </c>
      <c r="B6347" s="2">
        <f>"8997225414939"</f>
        <v/>
      </c>
      <c r="C6347" t="inlineStr">
        <is>
          <t>XIXIU Divane Eyelash Brow &amp; Serum 3ml</t>
        </is>
      </c>
      <c r="D6347" t="inlineStr">
        <is>
          <t>Miss Glam Damar</t>
        </is>
      </c>
      <c r="E6347" t="n">
        <v>1</v>
      </c>
      <c r="F6347" t="n">
        <v>0.2002</v>
      </c>
      <c r="G6347" t="n">
        <v>1.82</v>
      </c>
      <c r="H6347" t="n">
        <v>3</v>
      </c>
      <c r="I6347" t="n">
        <v>11</v>
      </c>
      <c r="J6347" t="n">
        <v>3</v>
      </c>
      <c r="K6347" t="n">
        <v>6</v>
      </c>
      <c r="L6347" t="n">
        <v>15725</v>
      </c>
      <c r="M6347" t="n">
        <v>23500</v>
      </c>
      <c r="N6347" t="n">
        <v>91</v>
      </c>
      <c r="O6347" t="n">
        <v>0.91</v>
      </c>
      <c r="P6347" t="n">
        <v>1</v>
      </c>
      <c r="Q6347" t="n">
        <v>0.19</v>
      </c>
      <c r="R6347" t="n">
        <v>2</v>
      </c>
      <c r="S6347" t="n">
        <v>4704.700000000001</v>
      </c>
      <c r="T6347" t="n">
        <v>20</v>
      </c>
      <c r="U6347" t="n">
        <v>21</v>
      </c>
      <c r="V6347" t="n">
        <v>30</v>
      </c>
      <c r="W6347" t="n">
        <v>7</v>
      </c>
      <c r="X6347" t="n">
        <v>4.995004995004995</v>
      </c>
      <c r="Y6347" t="n">
        <v>1</v>
      </c>
      <c r="Z6347" t="n">
        <v>0</v>
      </c>
      <c r="AA6347" t="n">
        <v>1</v>
      </c>
      <c r="AB6347" t="n">
        <v>0</v>
      </c>
      <c r="AC6347" t="n">
        <v>0</v>
      </c>
      <c r="AD6347" t="n">
        <v>15725</v>
      </c>
      <c r="AE6347" t="n">
        <v>0</v>
      </c>
      <c r="AF6347" t="n">
        <v>12899</v>
      </c>
      <c r="AG6347" t="n">
        <v>2122</v>
      </c>
      <c r="AH6347" t="inlineStr">
        <is>
          <t>PT. SINAR PADANG LESTARI - PPN (PDG)</t>
        </is>
      </c>
      <c r="AI6347" t="n">
        <v>398</v>
      </c>
      <c r="AJ6347" t="inlineStr">
        <is>
          <t>XIXIU</t>
        </is>
      </c>
      <c r="AK6347" t="n">
        <v>21</v>
      </c>
      <c r="AL6347" t="inlineStr">
        <is>
          <t>Miss Glam Damar</t>
        </is>
      </c>
      <c r="AM6347" t="n">
        <v>1</v>
      </c>
      <c r="AN6347" t="n">
        <v>500000</v>
      </c>
      <c r="AO6347" t="n">
        <v>0</v>
      </c>
      <c r="AP6347" t="inlineStr"/>
      <c r="AQ6347" t="inlineStr"/>
    </row>
    <row r="6348">
      <c r="A6348" t="inlineStr">
        <is>
          <t>XIXIU</t>
        </is>
      </c>
      <c r="B6348" s="2">
        <f>"8997225411990"</f>
        <v/>
      </c>
      <c r="C6348" t="inlineStr">
        <is>
          <t>XIXIU Divane Eyeshadow 01 Neutral 12,9gr</t>
        </is>
      </c>
      <c r="D6348" t="inlineStr">
        <is>
          <t>Miss Glam Damar</t>
        </is>
      </c>
      <c r="E6348" t="n">
        <v>1</v>
      </c>
      <c r="F6348" t="n">
        <v>0.63</v>
      </c>
      <c r="G6348" t="n">
        <v>3</v>
      </c>
      <c r="H6348" t="n">
        <v>3</v>
      </c>
      <c r="I6348" t="n">
        <v>11</v>
      </c>
      <c r="J6348" t="n">
        <v>3</v>
      </c>
      <c r="K6348" t="n">
        <v>24</v>
      </c>
      <c r="L6348" t="n">
        <v>30600</v>
      </c>
      <c r="M6348" t="n">
        <v>36000</v>
      </c>
      <c r="N6348" t="n">
        <v>91</v>
      </c>
      <c r="O6348" t="n">
        <v>0.91</v>
      </c>
      <c r="P6348" t="n">
        <v>0</v>
      </c>
      <c r="Q6348" t="n">
        <v>0.63</v>
      </c>
      <c r="R6348" t="n">
        <v>3</v>
      </c>
      <c r="S6348" t="n">
        <v>22680</v>
      </c>
      <c r="T6348" t="n">
        <v>32</v>
      </c>
      <c r="U6348" t="n">
        <v>34</v>
      </c>
      <c r="V6348" t="n">
        <v>30</v>
      </c>
      <c r="W6348" t="n">
        <v>19</v>
      </c>
      <c r="X6348" t="n">
        <v>1.587301587301587</v>
      </c>
      <c r="Y6348" t="n">
        <v>1</v>
      </c>
      <c r="Z6348" t="n">
        <v>0</v>
      </c>
      <c r="AA6348" t="n">
        <v>5</v>
      </c>
      <c r="AB6348" t="n">
        <v>0</v>
      </c>
      <c r="AC6348" t="n">
        <v>0</v>
      </c>
      <c r="AD6348" t="n">
        <v>153000</v>
      </c>
      <c r="AE6348" t="n">
        <v>0</v>
      </c>
      <c r="AF6348" t="n">
        <v>12899</v>
      </c>
      <c r="AG6348" t="n">
        <v>2122</v>
      </c>
      <c r="AH6348" t="inlineStr">
        <is>
          <t>PT. SINAR PADANG LESTARI - PPN (PDG)</t>
        </is>
      </c>
      <c r="AI6348" t="n">
        <v>398</v>
      </c>
      <c r="AJ6348" t="inlineStr">
        <is>
          <t>XIXIU</t>
        </is>
      </c>
      <c r="AK6348" t="n">
        <v>21</v>
      </c>
      <c r="AL6348" t="inlineStr">
        <is>
          <t>Miss Glam Damar</t>
        </is>
      </c>
      <c r="AM6348" t="n">
        <v>1</v>
      </c>
      <c r="AN6348" t="n">
        <v>500000</v>
      </c>
      <c r="AO6348" t="n">
        <v>0</v>
      </c>
      <c r="AP6348" t="inlineStr"/>
      <c r="AQ6348" t="inlineStr"/>
    </row>
    <row r="6349">
      <c r="A6349" t="inlineStr">
        <is>
          <t>XIXIU</t>
        </is>
      </c>
      <c r="B6349" s="2">
        <f>"8997225416131"</f>
        <v/>
      </c>
      <c r="C6349" t="inlineStr">
        <is>
          <t>XIXIU Divane Lipteen Stain 02 Red Moon 2,5gr</t>
        </is>
      </c>
      <c r="D6349" t="inlineStr">
        <is>
          <t>Miss Glam Damar</t>
        </is>
      </c>
      <c r="E6349" t="n">
        <v>1</v>
      </c>
      <c r="F6349" t="n">
        <v>0.06370000000000001</v>
      </c>
      <c r="G6349" t="n">
        <v>0.91</v>
      </c>
      <c r="H6349" t="n">
        <v>3</v>
      </c>
      <c r="I6349" t="n">
        <v>11</v>
      </c>
      <c r="J6349" t="n">
        <v>3</v>
      </c>
      <c r="K6349" t="n">
        <v>3</v>
      </c>
      <c r="L6349" t="n">
        <v>16150</v>
      </c>
      <c r="M6349" t="n">
        <v>19000</v>
      </c>
      <c r="N6349" t="n">
        <v>91</v>
      </c>
      <c r="O6349" t="n">
        <v>0.91</v>
      </c>
      <c r="P6349" t="n">
        <v>1</v>
      </c>
      <c r="Q6349" t="n">
        <v>0.08</v>
      </c>
      <c r="R6349" t="n">
        <v>1</v>
      </c>
      <c r="S6349" t="n">
        <v>1210.3</v>
      </c>
      <c r="T6349" t="n">
        <v>10</v>
      </c>
      <c r="U6349" t="n">
        <v>11</v>
      </c>
      <c r="V6349" t="n">
        <v>30</v>
      </c>
      <c r="W6349" t="n">
        <v>2</v>
      </c>
      <c r="X6349" t="n">
        <v>15.69858712715855</v>
      </c>
      <c r="Y6349" t="n">
        <v>1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12899</v>
      </c>
      <c r="AG6349" t="n">
        <v>2122</v>
      </c>
      <c r="AH6349" t="inlineStr">
        <is>
          <t>PT. SINAR PADANG LESTARI - PPN (PDG)</t>
        </is>
      </c>
      <c r="AI6349" t="n">
        <v>398</v>
      </c>
      <c r="AJ6349" t="inlineStr">
        <is>
          <t>XIXIU</t>
        </is>
      </c>
      <c r="AK6349" t="n">
        <v>21</v>
      </c>
      <c r="AL6349" t="inlineStr">
        <is>
          <t>Miss Glam Damar</t>
        </is>
      </c>
      <c r="AM6349" t="n">
        <v>1</v>
      </c>
      <c r="AN6349" t="n">
        <v>500000</v>
      </c>
      <c r="AO6349" t="n">
        <v>0</v>
      </c>
      <c r="AP6349" t="inlineStr"/>
      <c r="AQ6349" t="inlineStr"/>
    </row>
    <row r="6350">
      <c r="A6350" t="inlineStr">
        <is>
          <t>XIXIU</t>
        </is>
      </c>
      <c r="B6350" s="2">
        <f>"8997225416148"</f>
        <v/>
      </c>
      <c r="C6350" t="inlineStr">
        <is>
          <t>XIXIU Divane Lipteen Stain 03 Pretty Gal 2,5gr</t>
        </is>
      </c>
      <c r="D6350" t="inlineStr">
        <is>
          <t>Miss Glam Damar</t>
        </is>
      </c>
      <c r="E6350" t="n">
        <v>3</v>
      </c>
      <c r="F6350" t="n">
        <v>0.1729</v>
      </c>
      <c r="G6350" t="n">
        <v>0.91</v>
      </c>
      <c r="H6350" t="n">
        <v>3</v>
      </c>
      <c r="I6350" t="n">
        <v>11</v>
      </c>
      <c r="J6350" t="n">
        <v>3</v>
      </c>
      <c r="K6350" t="n">
        <v>6</v>
      </c>
      <c r="L6350" t="n">
        <v>16150</v>
      </c>
      <c r="M6350" t="n">
        <v>19000</v>
      </c>
      <c r="N6350" t="n">
        <v>91</v>
      </c>
      <c r="O6350" t="n">
        <v>0.91</v>
      </c>
      <c r="P6350" t="n">
        <v>1</v>
      </c>
      <c r="Q6350" t="n">
        <v>0.19</v>
      </c>
      <c r="R6350" t="n">
        <v>2</v>
      </c>
      <c r="S6350" t="n">
        <v>3285.1</v>
      </c>
      <c r="T6350" t="n">
        <v>10</v>
      </c>
      <c r="U6350" t="n">
        <v>11</v>
      </c>
      <c r="V6350" t="n">
        <v>30</v>
      </c>
      <c r="W6350" t="n">
        <v>6</v>
      </c>
      <c r="X6350" t="n">
        <v>17.35106998264893</v>
      </c>
      <c r="Y6350" t="n">
        <v>1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12899</v>
      </c>
      <c r="AG6350" t="n">
        <v>2122</v>
      </c>
      <c r="AH6350" t="inlineStr">
        <is>
          <t>PT. SINAR PADANG LESTARI - PPN (PDG)</t>
        </is>
      </c>
      <c r="AI6350" t="n">
        <v>398</v>
      </c>
      <c r="AJ6350" t="inlineStr">
        <is>
          <t>XIXIU</t>
        </is>
      </c>
      <c r="AK6350" t="n">
        <v>21</v>
      </c>
      <c r="AL6350" t="inlineStr">
        <is>
          <t>Miss Glam Damar</t>
        </is>
      </c>
      <c r="AM6350" t="n">
        <v>1</v>
      </c>
      <c r="AN6350" t="n">
        <v>500000</v>
      </c>
      <c r="AO6350" t="n">
        <v>0</v>
      </c>
      <c r="AP6350" t="inlineStr"/>
      <c r="AQ6350" t="inlineStr"/>
    </row>
    <row r="6351">
      <c r="A6351" t="inlineStr">
        <is>
          <t>XIXIU</t>
        </is>
      </c>
      <c r="B6351" s="2">
        <f>"8997225416155"</f>
        <v/>
      </c>
      <c r="C6351" t="inlineStr">
        <is>
          <t>XIXIU Divane Lipteen Stain 04 Innocent 2,5gr</t>
        </is>
      </c>
      <c r="D6351" t="inlineStr">
        <is>
          <t>Miss Glam Damar</t>
        </is>
      </c>
      <c r="E6351" t="n">
        <v>4</v>
      </c>
      <c r="F6351" t="n">
        <v>0.1092</v>
      </c>
      <c r="G6351" t="n">
        <v>1.82</v>
      </c>
      <c r="H6351" t="n">
        <v>3</v>
      </c>
      <c r="I6351" t="n">
        <v>11</v>
      </c>
      <c r="J6351" t="n">
        <v>3</v>
      </c>
      <c r="K6351" t="n">
        <v>0</v>
      </c>
      <c r="L6351" t="n">
        <v>16150</v>
      </c>
      <c r="M6351" t="n">
        <v>19000</v>
      </c>
      <c r="N6351" t="n">
        <v>91</v>
      </c>
      <c r="O6351" t="n">
        <v>0.91</v>
      </c>
      <c r="P6351" t="n">
        <v>1</v>
      </c>
      <c r="Q6351" t="n">
        <v>0.05</v>
      </c>
      <c r="R6351" t="n">
        <v>1</v>
      </c>
      <c r="S6351" t="n">
        <v>2074.8</v>
      </c>
      <c r="T6351" t="n">
        <v>20</v>
      </c>
      <c r="U6351" t="n">
        <v>21</v>
      </c>
      <c r="V6351" t="n">
        <v>30</v>
      </c>
      <c r="W6351" t="n">
        <v>4</v>
      </c>
      <c r="X6351" t="n">
        <v>36.63003663003663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12899</v>
      </c>
      <c r="AG6351" t="n">
        <v>2122</v>
      </c>
      <c r="AH6351" t="inlineStr">
        <is>
          <t>PT. SINAR PADANG LESTARI - PPN (PDG)</t>
        </is>
      </c>
      <c r="AI6351" t="n">
        <v>398</v>
      </c>
      <c r="AJ6351" t="inlineStr">
        <is>
          <t>XIXIU</t>
        </is>
      </c>
      <c r="AK6351" t="n">
        <v>21</v>
      </c>
      <c r="AL6351" t="inlineStr">
        <is>
          <t>Miss Glam Damar</t>
        </is>
      </c>
      <c r="AM6351" t="n">
        <v>1</v>
      </c>
      <c r="AN6351" t="n">
        <v>500000</v>
      </c>
      <c r="AO6351" t="n">
        <v>0</v>
      </c>
      <c r="AP6351" t="inlineStr"/>
      <c r="AQ6351" t="inlineStr"/>
    </row>
    <row r="6352">
      <c r="A6352" t="inlineStr">
        <is>
          <t>XIXIU</t>
        </is>
      </c>
      <c r="B6352" s="2">
        <f>"8997225416162"</f>
        <v/>
      </c>
      <c r="C6352" t="inlineStr">
        <is>
          <t>XIXIU Divane Lipteen Stain 05 Talkative 2,5gr</t>
        </is>
      </c>
      <c r="D6352" t="inlineStr">
        <is>
          <t>Miss Glam Damar</t>
        </is>
      </c>
      <c r="E6352" t="n">
        <v>6</v>
      </c>
      <c r="F6352" t="n">
        <v>0.02</v>
      </c>
      <c r="G6352" t="n">
        <v>1</v>
      </c>
      <c r="H6352" t="n">
        <v>3</v>
      </c>
      <c r="I6352" t="n">
        <v>11</v>
      </c>
      <c r="J6352" t="n">
        <v>3</v>
      </c>
      <c r="K6352" t="n">
        <v>0</v>
      </c>
      <c r="L6352" t="n">
        <v>16150</v>
      </c>
      <c r="M6352" t="n">
        <v>19000</v>
      </c>
      <c r="N6352" t="n">
        <v>91</v>
      </c>
      <c r="O6352" t="n">
        <v>0.91</v>
      </c>
      <c r="P6352" t="n">
        <v>0</v>
      </c>
      <c r="Q6352" t="n">
        <v>0.02</v>
      </c>
      <c r="R6352" t="n">
        <v>1</v>
      </c>
      <c r="S6352" t="n">
        <v>380</v>
      </c>
      <c r="T6352" t="n">
        <v>11</v>
      </c>
      <c r="U6352" t="n">
        <v>12</v>
      </c>
      <c r="V6352" t="n">
        <v>30</v>
      </c>
      <c r="W6352" t="n">
        <v>1</v>
      </c>
      <c r="X6352" t="n">
        <v>300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12899</v>
      </c>
      <c r="AG6352" t="n">
        <v>2122</v>
      </c>
      <c r="AH6352" t="inlineStr">
        <is>
          <t>PT. SINAR PADANG LESTARI - PPN (PDG)</t>
        </is>
      </c>
      <c r="AI6352" t="n">
        <v>398</v>
      </c>
      <c r="AJ6352" t="inlineStr">
        <is>
          <t>XIXIU</t>
        </is>
      </c>
      <c r="AK6352" t="n">
        <v>21</v>
      </c>
      <c r="AL6352" t="inlineStr">
        <is>
          <t>Miss Glam Damar</t>
        </is>
      </c>
      <c r="AM6352" t="n">
        <v>1</v>
      </c>
      <c r="AN6352" t="n">
        <v>500000</v>
      </c>
      <c r="AO6352" t="n">
        <v>0</v>
      </c>
      <c r="AP6352" t="inlineStr"/>
      <c r="AQ6352" t="inlineStr"/>
    </row>
    <row r="6353">
      <c r="A6353" t="inlineStr">
        <is>
          <t>XIXIU</t>
        </is>
      </c>
      <c r="B6353" s="2">
        <f>"8997225416179"</f>
        <v/>
      </c>
      <c r="C6353" t="inlineStr">
        <is>
          <t>XIXIU Divane Lipteen Stain 06 Get Up Girl 2,5gr</t>
        </is>
      </c>
      <c r="D6353" t="inlineStr">
        <is>
          <t>Miss Glam Damar</t>
        </is>
      </c>
      <c r="E6353" t="n">
        <v>6</v>
      </c>
      <c r="F6353" t="n">
        <v>0.03</v>
      </c>
      <c r="G6353" t="n">
        <v>1</v>
      </c>
      <c r="H6353" t="n">
        <v>3</v>
      </c>
      <c r="I6353" t="n">
        <v>11</v>
      </c>
      <c r="J6353" t="n">
        <v>3</v>
      </c>
      <c r="K6353" t="n">
        <v>0</v>
      </c>
      <c r="L6353" t="n">
        <v>16150</v>
      </c>
      <c r="M6353" t="n">
        <v>19000</v>
      </c>
      <c r="N6353" t="n">
        <v>91</v>
      </c>
      <c r="O6353" t="n">
        <v>0.91</v>
      </c>
      <c r="P6353" t="n">
        <v>0</v>
      </c>
      <c r="Q6353" t="n">
        <v>0.03</v>
      </c>
      <c r="R6353" t="n">
        <v>1</v>
      </c>
      <c r="S6353" t="n">
        <v>570</v>
      </c>
      <c r="T6353" t="n">
        <v>11</v>
      </c>
      <c r="U6353" t="n">
        <v>12</v>
      </c>
      <c r="V6353" t="n">
        <v>30</v>
      </c>
      <c r="W6353" t="n">
        <v>1</v>
      </c>
      <c r="X6353" t="n">
        <v>200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12899</v>
      </c>
      <c r="AG6353" t="n">
        <v>2122</v>
      </c>
      <c r="AH6353" t="inlineStr">
        <is>
          <t>PT. SINAR PADANG LESTARI - PPN (PDG)</t>
        </is>
      </c>
      <c r="AI6353" t="n">
        <v>398</v>
      </c>
      <c r="AJ6353" t="inlineStr">
        <is>
          <t>XIXIU</t>
        </is>
      </c>
      <c r="AK6353" t="n">
        <v>21</v>
      </c>
      <c r="AL6353" t="inlineStr">
        <is>
          <t>Miss Glam Damar</t>
        </is>
      </c>
      <c r="AM6353" t="n">
        <v>1</v>
      </c>
      <c r="AN6353" t="n">
        <v>500000</v>
      </c>
      <c r="AO6353" t="n">
        <v>0</v>
      </c>
      <c r="AP6353" t="inlineStr"/>
      <c r="AQ6353" t="inlineStr"/>
    </row>
    <row r="6354">
      <c r="A6354" t="inlineStr">
        <is>
          <t>XIXIU</t>
        </is>
      </c>
      <c r="B6354" s="2">
        <f>"8997225412096"</f>
        <v/>
      </c>
      <c r="C6354" t="inlineStr">
        <is>
          <t>XIXIU Divine 2in1 Mascara &amp; Eyeliner 2 x 4g</t>
        </is>
      </c>
      <c r="D6354" t="inlineStr">
        <is>
          <t>Miss Glam Damar</t>
        </is>
      </c>
      <c r="E6354" t="n">
        <v>11</v>
      </c>
      <c r="F6354" t="n">
        <v>1.1921</v>
      </c>
      <c r="G6354" t="n">
        <v>5.46</v>
      </c>
      <c r="H6354" t="n">
        <v>3</v>
      </c>
      <c r="I6354" t="n">
        <v>11</v>
      </c>
      <c r="J6354" t="n">
        <v>3</v>
      </c>
      <c r="K6354" t="n">
        <v>0</v>
      </c>
      <c r="L6354" t="n">
        <v>21675</v>
      </c>
      <c r="M6354" t="n">
        <v>25500</v>
      </c>
      <c r="N6354" t="n">
        <v>91</v>
      </c>
      <c r="O6354" t="n">
        <v>0.91</v>
      </c>
      <c r="P6354" t="n">
        <v>1</v>
      </c>
      <c r="Q6354" t="n">
        <v>0.37</v>
      </c>
      <c r="R6354" t="n">
        <v>2</v>
      </c>
      <c r="S6354" t="n">
        <v>30398.55</v>
      </c>
      <c r="T6354" t="n">
        <v>57</v>
      </c>
      <c r="U6354" t="n">
        <v>61</v>
      </c>
      <c r="V6354" t="n">
        <v>30</v>
      </c>
      <c r="W6354" t="n">
        <v>36</v>
      </c>
      <c r="X6354" t="n">
        <v>9.227413807566478</v>
      </c>
      <c r="Y6354" t="n">
        <v>1</v>
      </c>
      <c r="Z6354" t="n">
        <v>25</v>
      </c>
      <c r="AA6354" t="n">
        <v>3</v>
      </c>
      <c r="AB6354" t="n">
        <v>22</v>
      </c>
      <c r="AC6354" t="n">
        <v>22</v>
      </c>
      <c r="AD6354" t="n">
        <v>65025</v>
      </c>
      <c r="AE6354" t="n">
        <v>476850</v>
      </c>
      <c r="AF6354" t="n">
        <v>12899</v>
      </c>
      <c r="AG6354" t="n">
        <v>2122</v>
      </c>
      <c r="AH6354" t="inlineStr">
        <is>
          <t>PT. SINAR PADANG LESTARI - PPN (PDG)</t>
        </is>
      </c>
      <c r="AI6354" t="n">
        <v>398</v>
      </c>
      <c r="AJ6354" t="inlineStr">
        <is>
          <t>XIXIU</t>
        </is>
      </c>
      <c r="AK6354" t="n">
        <v>21</v>
      </c>
      <c r="AL6354" t="inlineStr">
        <is>
          <t>Miss Glam Damar</t>
        </is>
      </c>
      <c r="AM6354" t="n">
        <v>1</v>
      </c>
      <c r="AN6354" t="n">
        <v>500000</v>
      </c>
      <c r="AO6354" t="n">
        <v>0</v>
      </c>
      <c r="AP6354" t="inlineStr"/>
      <c r="AQ6354" t="inlineStr"/>
    </row>
    <row r="6355">
      <c r="A6355" t="inlineStr">
        <is>
          <t>XIXIU</t>
        </is>
      </c>
      <c r="B6355" s="2">
        <f>"8997225412843"</f>
        <v/>
      </c>
      <c r="C6355" t="inlineStr">
        <is>
          <t>XIXIU Divine Eyebrow MAtic Pencil Black 01 0,35gr</t>
        </is>
      </c>
      <c r="D6355" t="inlineStr">
        <is>
          <t>Miss Glam Damar</t>
        </is>
      </c>
      <c r="E6355" t="n">
        <v>2</v>
      </c>
      <c r="F6355" t="n">
        <v>0.5277999999999999</v>
      </c>
      <c r="G6355" t="n">
        <v>2.73</v>
      </c>
      <c r="H6355" t="n">
        <v>3</v>
      </c>
      <c r="I6355" t="n">
        <v>11</v>
      </c>
      <c r="J6355" t="n">
        <v>3</v>
      </c>
      <c r="K6355" t="n">
        <v>12</v>
      </c>
      <c r="L6355" t="n">
        <v>18700</v>
      </c>
      <c r="M6355" t="n">
        <v>22000</v>
      </c>
      <c r="N6355" t="n">
        <v>91</v>
      </c>
      <c r="O6355" t="n">
        <v>0.91</v>
      </c>
      <c r="P6355" t="n">
        <v>1</v>
      </c>
      <c r="Q6355" t="n">
        <v>0.36</v>
      </c>
      <c r="R6355" t="n">
        <v>3</v>
      </c>
      <c r="S6355" t="n">
        <v>11611.6</v>
      </c>
      <c r="T6355" t="n">
        <v>29</v>
      </c>
      <c r="U6355" t="n">
        <v>31</v>
      </c>
      <c r="V6355" t="n">
        <v>30</v>
      </c>
      <c r="W6355" t="n">
        <v>16</v>
      </c>
      <c r="X6355" t="n">
        <v>3.789314134141721</v>
      </c>
      <c r="Y6355" t="n">
        <v>1</v>
      </c>
      <c r="Z6355" t="n">
        <v>2</v>
      </c>
      <c r="AA6355" t="n">
        <v>3</v>
      </c>
      <c r="AB6355" t="n">
        <v>0</v>
      </c>
      <c r="AC6355" t="n">
        <v>0</v>
      </c>
      <c r="AD6355" t="n">
        <v>56100</v>
      </c>
      <c r="AE6355" t="n">
        <v>0</v>
      </c>
      <c r="AF6355" t="n">
        <v>12899</v>
      </c>
      <c r="AG6355" t="n">
        <v>2122</v>
      </c>
      <c r="AH6355" t="inlineStr">
        <is>
          <t>PT. SINAR PADANG LESTARI - PPN (PDG)</t>
        </is>
      </c>
      <c r="AI6355" t="n">
        <v>398</v>
      </c>
      <c r="AJ6355" t="inlineStr">
        <is>
          <t>XIXIU</t>
        </is>
      </c>
      <c r="AK6355" t="n">
        <v>21</v>
      </c>
      <c r="AL6355" t="inlineStr">
        <is>
          <t>Miss Glam Damar</t>
        </is>
      </c>
      <c r="AM6355" t="n">
        <v>1</v>
      </c>
      <c r="AN6355" t="n">
        <v>500000</v>
      </c>
      <c r="AO6355" t="n">
        <v>0</v>
      </c>
      <c r="AP6355" t="inlineStr"/>
      <c r="AQ6355" t="inlineStr"/>
    </row>
    <row r="6356">
      <c r="A6356" t="inlineStr">
        <is>
          <t>XIXIU</t>
        </is>
      </c>
      <c r="B6356" s="2">
        <f>"203003105718"</f>
        <v/>
      </c>
      <c r="C6356" t="inlineStr">
        <is>
          <t>XIXIU Divine Lipsteen Stain 08 Magnetic 2,5gr</t>
        </is>
      </c>
      <c r="D6356" t="inlineStr">
        <is>
          <t>Miss Glam Damar</t>
        </is>
      </c>
      <c r="E6356" t="n">
        <v>0</v>
      </c>
      <c r="F6356" t="n">
        <v>0.3367</v>
      </c>
      <c r="G6356" t="n">
        <v>1.82</v>
      </c>
      <c r="H6356" t="n">
        <v>3</v>
      </c>
      <c r="I6356" t="n">
        <v>11</v>
      </c>
      <c r="J6356" t="n">
        <v>1</v>
      </c>
      <c r="K6356" t="n">
        <v>3</v>
      </c>
      <c r="L6356" t="n">
        <v>16150</v>
      </c>
      <c r="M6356" t="n">
        <v>19000</v>
      </c>
      <c r="N6356" t="n">
        <v>91</v>
      </c>
      <c r="O6356" t="n">
        <v>0.91</v>
      </c>
      <c r="P6356" t="n">
        <v>1</v>
      </c>
      <c r="Q6356" t="n">
        <v>0.3</v>
      </c>
      <c r="R6356" t="n">
        <v>2</v>
      </c>
      <c r="S6356" t="n">
        <v>6397.3</v>
      </c>
      <c r="T6356" t="n">
        <v>20</v>
      </c>
      <c r="U6356" t="n">
        <v>22</v>
      </c>
      <c r="V6356" t="n">
        <v>30</v>
      </c>
      <c r="W6356" t="n">
        <v>11</v>
      </c>
      <c r="X6356" t="n">
        <v>0</v>
      </c>
      <c r="Y6356" t="n">
        <v>1</v>
      </c>
      <c r="Z6356" t="n">
        <v>8</v>
      </c>
      <c r="AA6356" t="n">
        <v>3</v>
      </c>
      <c r="AB6356" t="n">
        <v>5</v>
      </c>
      <c r="AC6356" t="n">
        <v>5</v>
      </c>
      <c r="AD6356" t="n">
        <v>48450</v>
      </c>
      <c r="AE6356" t="n">
        <v>80750</v>
      </c>
      <c r="AF6356" t="n">
        <v>12899</v>
      </c>
      <c r="AG6356" t="n">
        <v>2122</v>
      </c>
      <c r="AH6356" t="inlineStr">
        <is>
          <t>PT. SINAR PADANG LESTARI - PPN (PDG)</t>
        </is>
      </c>
      <c r="AI6356" t="n">
        <v>398</v>
      </c>
      <c r="AJ6356" t="inlineStr">
        <is>
          <t>XIXIU</t>
        </is>
      </c>
      <c r="AK6356" t="n">
        <v>21</v>
      </c>
      <c r="AL6356" t="inlineStr">
        <is>
          <t>Miss Glam Damar</t>
        </is>
      </c>
      <c r="AM6356" t="n">
        <v>1</v>
      </c>
      <c r="AN6356" t="n">
        <v>500000</v>
      </c>
      <c r="AO6356" t="n">
        <v>0</v>
      </c>
      <c r="AP6356" t="inlineStr"/>
      <c r="AQ6356" t="inlineStr"/>
    </row>
    <row r="6357">
      <c r="A6357" t="inlineStr">
        <is>
          <t>XIXIU</t>
        </is>
      </c>
      <c r="B6357" s="2">
        <f>"203003105855"</f>
        <v/>
      </c>
      <c r="C6357" t="inlineStr">
        <is>
          <t>XIXIU Divine Lipsteen Stain 09 Sweet Diva 2,5gr</t>
        </is>
      </c>
      <c r="D6357" t="inlineStr">
        <is>
          <t>Miss Glam Damar</t>
        </is>
      </c>
      <c r="E6357" t="n">
        <v>0</v>
      </c>
      <c r="F6357" t="n">
        <v>0.09100000000000001</v>
      </c>
      <c r="G6357" t="n">
        <v>0.91</v>
      </c>
      <c r="H6357" t="n">
        <v>3</v>
      </c>
      <c r="I6357" t="n">
        <v>11</v>
      </c>
      <c r="J6357" t="n">
        <v>1</v>
      </c>
      <c r="K6357" t="n">
        <v>3</v>
      </c>
      <c r="L6357" t="n">
        <v>16150</v>
      </c>
      <c r="M6357" t="n">
        <v>19000</v>
      </c>
      <c r="N6357" t="n">
        <v>91</v>
      </c>
      <c r="O6357" t="n">
        <v>0.91</v>
      </c>
      <c r="P6357" t="n">
        <v>1</v>
      </c>
      <c r="Q6357" t="n">
        <v>0.12</v>
      </c>
      <c r="R6357" t="n">
        <v>1</v>
      </c>
      <c r="S6357" t="n">
        <v>1729</v>
      </c>
      <c r="T6357" t="n">
        <v>10</v>
      </c>
      <c r="U6357" t="n">
        <v>11</v>
      </c>
      <c r="V6357" t="n">
        <v>30</v>
      </c>
      <c r="W6357" t="n">
        <v>3</v>
      </c>
      <c r="X6357" t="n">
        <v>0</v>
      </c>
      <c r="Y6357" t="n">
        <v>1</v>
      </c>
      <c r="Z6357" t="n">
        <v>0</v>
      </c>
      <c r="AA6357" t="n">
        <v>1</v>
      </c>
      <c r="AB6357" t="n">
        <v>0</v>
      </c>
      <c r="AC6357" t="n">
        <v>0</v>
      </c>
      <c r="AD6357" t="n">
        <v>16150</v>
      </c>
      <c r="AE6357" t="n">
        <v>0</v>
      </c>
      <c r="AF6357" t="n">
        <v>12899</v>
      </c>
      <c r="AG6357" t="n">
        <v>2122</v>
      </c>
      <c r="AH6357" t="inlineStr">
        <is>
          <t>PT. SINAR PADANG LESTARI - PPN (PDG)</t>
        </is>
      </c>
      <c r="AI6357" t="n">
        <v>398</v>
      </c>
      <c r="AJ6357" t="inlineStr">
        <is>
          <t>XIXIU</t>
        </is>
      </c>
      <c r="AK6357" t="n">
        <v>21</v>
      </c>
      <c r="AL6357" t="inlineStr">
        <is>
          <t>Miss Glam Damar</t>
        </is>
      </c>
      <c r="AM6357" t="n">
        <v>1</v>
      </c>
      <c r="AN6357" t="n">
        <v>500000</v>
      </c>
      <c r="AO6357" t="n">
        <v>0</v>
      </c>
      <c r="AP6357" t="inlineStr"/>
      <c r="AQ6357" t="inlineStr"/>
    </row>
    <row r="6358">
      <c r="A6358" t="inlineStr">
        <is>
          <t>XIXIU</t>
        </is>
      </c>
      <c r="B6358" s="2">
        <f>"203003105934"</f>
        <v/>
      </c>
      <c r="C6358" t="inlineStr">
        <is>
          <t>XIXIU Divine Lipsteen Stain 10 Espresso 2,5gr</t>
        </is>
      </c>
      <c r="D6358" t="inlineStr">
        <is>
          <t>Miss Glam Damar</t>
        </is>
      </c>
      <c r="E6358" t="n">
        <v>4</v>
      </c>
      <c r="F6358" t="n">
        <v>0.04550000000000001</v>
      </c>
      <c r="G6358" t="n">
        <v>1.82</v>
      </c>
      <c r="H6358" t="n">
        <v>3</v>
      </c>
      <c r="I6358" t="n">
        <v>11</v>
      </c>
      <c r="J6358" t="n">
        <v>1</v>
      </c>
      <c r="K6358" t="n">
        <v>0</v>
      </c>
      <c r="L6358" t="n">
        <v>16150</v>
      </c>
      <c r="M6358" t="n">
        <v>19000</v>
      </c>
      <c r="N6358" t="n">
        <v>91</v>
      </c>
      <c r="O6358" t="n">
        <v>0.91</v>
      </c>
      <c r="P6358" t="n">
        <v>1</v>
      </c>
      <c r="Q6358" t="n">
        <v>0.07000000000000001</v>
      </c>
      <c r="R6358" t="n">
        <v>1</v>
      </c>
      <c r="S6358" t="n">
        <v>864.5000000000001</v>
      </c>
      <c r="T6358" t="n">
        <v>20</v>
      </c>
      <c r="U6358" t="n">
        <v>21</v>
      </c>
      <c r="V6358" t="n">
        <v>30</v>
      </c>
      <c r="W6358" t="n">
        <v>2</v>
      </c>
      <c r="X6358" t="n">
        <v>87.9120879120879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12899</v>
      </c>
      <c r="AG6358" t="n">
        <v>2122</v>
      </c>
      <c r="AH6358" t="inlineStr">
        <is>
          <t>PT. SINAR PADANG LESTARI - PPN (PDG)</t>
        </is>
      </c>
      <c r="AI6358" t="n">
        <v>398</v>
      </c>
      <c r="AJ6358" t="inlineStr">
        <is>
          <t>XIXIU</t>
        </is>
      </c>
      <c r="AK6358" t="n">
        <v>21</v>
      </c>
      <c r="AL6358" t="inlineStr">
        <is>
          <t>Miss Glam Damar</t>
        </is>
      </c>
      <c r="AM6358" t="n">
        <v>1</v>
      </c>
      <c r="AN6358" t="n">
        <v>500000</v>
      </c>
      <c r="AO6358" t="n">
        <v>0</v>
      </c>
      <c r="AP6358" t="inlineStr"/>
      <c r="AQ6358" t="inlineStr"/>
    </row>
    <row r="6359">
      <c r="A6359" t="inlineStr">
        <is>
          <t>XIXIU</t>
        </is>
      </c>
      <c r="B6359" s="2">
        <f>"203003106013"</f>
        <v/>
      </c>
      <c r="C6359" t="inlineStr">
        <is>
          <t>XIXIU Divine Lipsteen Stain 11 Bad Romanc 2,5gr</t>
        </is>
      </c>
      <c r="D6359" t="inlineStr">
        <is>
          <t>Miss Glam Damar</t>
        </is>
      </c>
      <c r="E6359" t="n">
        <v>6</v>
      </c>
      <c r="F6359" t="n">
        <v>0.1274</v>
      </c>
      <c r="G6359" t="n">
        <v>1.82</v>
      </c>
      <c r="H6359" t="n">
        <v>3</v>
      </c>
      <c r="I6359" t="n">
        <v>11</v>
      </c>
      <c r="J6359" t="n">
        <v>1</v>
      </c>
      <c r="K6359" t="n">
        <v>0</v>
      </c>
      <c r="L6359" t="n">
        <v>16150</v>
      </c>
      <c r="M6359" t="n">
        <v>19000</v>
      </c>
      <c r="N6359" t="n">
        <v>91</v>
      </c>
      <c r="O6359" t="n">
        <v>0.91</v>
      </c>
      <c r="P6359" t="n">
        <v>1</v>
      </c>
      <c r="Q6359" t="n">
        <v>0.07000000000000001</v>
      </c>
      <c r="R6359" t="n">
        <v>2</v>
      </c>
      <c r="S6359" t="n">
        <v>2420.6</v>
      </c>
      <c r="T6359" t="n">
        <v>20</v>
      </c>
      <c r="U6359" t="n">
        <v>21</v>
      </c>
      <c r="V6359" t="n">
        <v>30</v>
      </c>
      <c r="W6359" t="n">
        <v>4</v>
      </c>
      <c r="X6359" t="n">
        <v>47.09576138147566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12899</v>
      </c>
      <c r="AG6359" t="n">
        <v>2122</v>
      </c>
      <c r="AH6359" t="inlineStr">
        <is>
          <t>PT. SINAR PADANG LESTARI - PPN (PDG)</t>
        </is>
      </c>
      <c r="AI6359" t="n">
        <v>398</v>
      </c>
      <c r="AJ6359" t="inlineStr">
        <is>
          <t>XIXIU</t>
        </is>
      </c>
      <c r="AK6359" t="n">
        <v>21</v>
      </c>
      <c r="AL6359" t="inlineStr">
        <is>
          <t>Miss Glam Damar</t>
        </is>
      </c>
      <c r="AM6359" t="n">
        <v>1</v>
      </c>
      <c r="AN6359" t="n">
        <v>500000</v>
      </c>
      <c r="AO6359" t="n">
        <v>0</v>
      </c>
      <c r="AP6359" t="inlineStr"/>
      <c r="AQ6359" t="inlineStr"/>
    </row>
    <row r="6360">
      <c r="A6360" t="inlineStr">
        <is>
          <t>XIXIU</t>
        </is>
      </c>
      <c r="B6360" s="2">
        <f>"203003106155"</f>
        <v/>
      </c>
      <c r="C6360" t="inlineStr">
        <is>
          <t>XIXIU Divine Lipsteen Stain 12 Berry Drea 2,5gr</t>
        </is>
      </c>
      <c r="D6360" t="inlineStr">
        <is>
          <t>Miss Glam Damar</t>
        </is>
      </c>
      <c r="E6360" t="n">
        <v>6</v>
      </c>
      <c r="F6360" t="n">
        <v>0.2275</v>
      </c>
      <c r="G6360" t="n">
        <v>2.73</v>
      </c>
      <c r="H6360" t="n">
        <v>3</v>
      </c>
      <c r="I6360" t="n">
        <v>11</v>
      </c>
      <c r="J6360" t="n">
        <v>1</v>
      </c>
      <c r="K6360" t="n">
        <v>0</v>
      </c>
      <c r="L6360" t="n">
        <v>16150</v>
      </c>
      <c r="M6360" t="n">
        <v>19000</v>
      </c>
      <c r="N6360" t="n">
        <v>91</v>
      </c>
      <c r="O6360" t="n">
        <v>0.91</v>
      </c>
      <c r="P6360" t="n">
        <v>1</v>
      </c>
      <c r="Q6360" t="n">
        <v>0.15</v>
      </c>
      <c r="R6360" t="n">
        <v>1</v>
      </c>
      <c r="S6360" t="n">
        <v>4322.5</v>
      </c>
      <c r="T6360" t="n">
        <v>30</v>
      </c>
      <c r="U6360" t="n">
        <v>31</v>
      </c>
      <c r="V6360" t="n">
        <v>30</v>
      </c>
      <c r="W6360" t="n">
        <v>7</v>
      </c>
      <c r="X6360" t="n">
        <v>26.37362637362637</v>
      </c>
      <c r="Y6360" t="n">
        <v>1</v>
      </c>
      <c r="Z6360" t="n">
        <v>1</v>
      </c>
      <c r="AA6360" t="n">
        <v>0</v>
      </c>
      <c r="AB6360" t="n">
        <v>1</v>
      </c>
      <c r="AC6360" t="n">
        <v>1</v>
      </c>
      <c r="AD6360" t="n">
        <v>0</v>
      </c>
      <c r="AE6360" t="n">
        <v>16150</v>
      </c>
      <c r="AF6360" t="n">
        <v>12899</v>
      </c>
      <c r="AG6360" t="n">
        <v>2122</v>
      </c>
      <c r="AH6360" t="inlineStr">
        <is>
          <t>PT. SINAR PADANG LESTARI - PPN (PDG)</t>
        </is>
      </c>
      <c r="AI6360" t="n">
        <v>398</v>
      </c>
      <c r="AJ6360" t="inlineStr">
        <is>
          <t>XIXIU</t>
        </is>
      </c>
      <c r="AK6360" t="n">
        <v>21</v>
      </c>
      <c r="AL6360" t="inlineStr">
        <is>
          <t>Miss Glam Damar</t>
        </is>
      </c>
      <c r="AM6360" t="n">
        <v>1</v>
      </c>
      <c r="AN6360" t="n">
        <v>500000</v>
      </c>
      <c r="AO6360" t="n">
        <v>0</v>
      </c>
      <c r="AP6360" t="inlineStr"/>
      <c r="AQ6360" t="inlineStr"/>
    </row>
    <row r="6361">
      <c r="A6361" t="inlineStr">
        <is>
          <t>XIXIU</t>
        </is>
      </c>
      <c r="B6361" s="2">
        <f>"8997225412201"</f>
        <v/>
      </c>
      <c r="C6361" t="inlineStr">
        <is>
          <t>XIXIU Divine Liquid Eyeliner Pen Waterproof Black 1ml</t>
        </is>
      </c>
      <c r="D6361" t="inlineStr">
        <is>
          <t>Miss Glam Damar</t>
        </is>
      </c>
      <c r="E6361" t="n">
        <v>42</v>
      </c>
      <c r="F6361" t="n">
        <v>3.0394</v>
      </c>
      <c r="G6361" t="n">
        <v>8.19</v>
      </c>
      <c r="H6361" t="n">
        <v>3</v>
      </c>
      <c r="I6361" t="n">
        <v>11</v>
      </c>
      <c r="J6361" t="n">
        <v>36</v>
      </c>
      <c r="K6361" t="n">
        <v>18</v>
      </c>
      <c r="L6361" t="n">
        <v>19337</v>
      </c>
      <c r="M6361" t="n">
        <v>22000</v>
      </c>
      <c r="N6361" t="n">
        <v>91</v>
      </c>
      <c r="O6361" t="n">
        <v>0.91</v>
      </c>
      <c r="P6361" t="n">
        <v>1</v>
      </c>
      <c r="Q6361" t="n">
        <v>2.39</v>
      </c>
      <c r="R6361" t="n">
        <v>7</v>
      </c>
      <c r="S6361" t="n">
        <v>66866.8</v>
      </c>
      <c r="T6361" t="n">
        <v>81</v>
      </c>
      <c r="U6361" t="n">
        <v>91</v>
      </c>
      <c r="V6361" t="n">
        <v>30</v>
      </c>
      <c r="W6361" t="n">
        <v>92</v>
      </c>
      <c r="X6361" t="n">
        <v>13.81851681252879</v>
      </c>
      <c r="Y6361" t="n">
        <v>1</v>
      </c>
      <c r="Z6361" t="n">
        <v>32</v>
      </c>
      <c r="AA6361" t="n">
        <v>0</v>
      </c>
      <c r="AB6361" t="n">
        <v>32</v>
      </c>
      <c r="AC6361" t="n">
        <v>36</v>
      </c>
      <c r="AD6361" t="n">
        <v>0</v>
      </c>
      <c r="AE6361" t="n">
        <v>696132</v>
      </c>
      <c r="AF6361" t="n">
        <v>12899</v>
      </c>
      <c r="AG6361" t="n">
        <v>2122</v>
      </c>
      <c r="AH6361" t="inlineStr">
        <is>
          <t>PT. SINAR PADANG LESTARI - PPN (PDG)</t>
        </is>
      </c>
      <c r="AI6361" t="n">
        <v>398</v>
      </c>
      <c r="AJ6361" t="inlineStr">
        <is>
          <t>XIXIU</t>
        </is>
      </c>
      <c r="AK6361" t="n">
        <v>21</v>
      </c>
      <c r="AL6361" t="inlineStr">
        <is>
          <t>Miss Glam Damar</t>
        </is>
      </c>
      <c r="AM6361" t="n">
        <v>1</v>
      </c>
      <c r="AN6361" t="n">
        <v>500000</v>
      </c>
      <c r="AO6361" t="n">
        <v>0</v>
      </c>
      <c r="AP6361" t="inlineStr"/>
      <c r="AQ6361" t="inlineStr"/>
    </row>
    <row r="6362">
      <c r="A6362" t="inlineStr">
        <is>
          <t>XIXIU</t>
        </is>
      </c>
      <c r="B6362" s="2">
        <f>"8997225412300"</f>
        <v/>
      </c>
      <c r="C6362" t="inlineStr">
        <is>
          <t>XIXIU Divine Mascara Black Waterproof 10gr</t>
        </is>
      </c>
      <c r="D6362" t="inlineStr">
        <is>
          <t>Miss Glam Damar</t>
        </is>
      </c>
      <c r="E6362" t="n">
        <v>116</v>
      </c>
      <c r="F6362" t="n">
        <v>8.2173</v>
      </c>
      <c r="G6362" t="n">
        <v>15.47</v>
      </c>
      <c r="H6362" t="n">
        <v>3</v>
      </c>
      <c r="I6362" t="n">
        <v>11</v>
      </c>
      <c r="J6362" t="n">
        <v>3</v>
      </c>
      <c r="K6362" t="n">
        <v>0</v>
      </c>
      <c r="L6362" t="n">
        <v>20824</v>
      </c>
      <c r="M6362" t="n">
        <v>24000</v>
      </c>
      <c r="N6362" t="n">
        <v>91</v>
      </c>
      <c r="O6362" t="n">
        <v>0.91</v>
      </c>
      <c r="P6362" t="n">
        <v>1</v>
      </c>
      <c r="Q6362" t="n">
        <v>4.75</v>
      </c>
      <c r="R6362" t="n">
        <v>11</v>
      </c>
      <c r="S6362" t="n">
        <v>197215.2</v>
      </c>
      <c r="T6362" t="n">
        <v>146</v>
      </c>
      <c r="U6362" t="n">
        <v>171</v>
      </c>
      <c r="V6362" t="n">
        <v>30</v>
      </c>
      <c r="W6362" t="n">
        <v>247</v>
      </c>
      <c r="X6362" t="n">
        <v>14.11655896705731</v>
      </c>
      <c r="Y6362" t="n">
        <v>1</v>
      </c>
      <c r="Z6362" t="n">
        <v>131</v>
      </c>
      <c r="AA6362" t="n">
        <v>0</v>
      </c>
      <c r="AB6362" t="n">
        <v>131</v>
      </c>
      <c r="AC6362" t="n">
        <v>131</v>
      </c>
      <c r="AD6362" t="n">
        <v>0</v>
      </c>
      <c r="AE6362" t="n">
        <v>2727944</v>
      </c>
      <c r="AF6362" t="n">
        <v>12899</v>
      </c>
      <c r="AG6362" t="n">
        <v>2122</v>
      </c>
      <c r="AH6362" t="inlineStr">
        <is>
          <t>PT. SINAR PADANG LESTARI - PPN (PDG)</t>
        </is>
      </c>
      <c r="AI6362" t="n">
        <v>398</v>
      </c>
      <c r="AJ6362" t="inlineStr">
        <is>
          <t>XIXIU</t>
        </is>
      </c>
      <c r="AK6362" t="n">
        <v>21</v>
      </c>
      <c r="AL6362" t="inlineStr">
        <is>
          <t>Miss Glam Damar</t>
        </is>
      </c>
      <c r="AM6362" t="n">
        <v>1</v>
      </c>
      <c r="AN6362" t="n">
        <v>500000</v>
      </c>
      <c r="AO6362" t="n">
        <v>0</v>
      </c>
      <c r="AP6362" t="inlineStr"/>
      <c r="AQ6362" t="inlineStr"/>
    </row>
    <row r="6363">
      <c r="A6363" t="inlineStr">
        <is>
          <t>XIXIU</t>
        </is>
      </c>
      <c r="B6363" s="2">
        <f>"203003105643"</f>
        <v/>
      </c>
      <c r="C6363" t="inlineStr">
        <is>
          <t>XIXIU Divinie Lipsteen Stain 07 Crybaby 2,5gr</t>
        </is>
      </c>
      <c r="D6363" t="inlineStr">
        <is>
          <t>Miss Glam Damar</t>
        </is>
      </c>
      <c r="E6363" t="n">
        <v>4</v>
      </c>
      <c r="F6363" t="n">
        <v>0.04550000000000001</v>
      </c>
      <c r="G6363" t="n">
        <v>0.91</v>
      </c>
      <c r="H6363" t="n">
        <v>3</v>
      </c>
      <c r="I6363" t="n">
        <v>11</v>
      </c>
      <c r="J6363" t="n">
        <v>1</v>
      </c>
      <c r="K6363" t="n">
        <v>0</v>
      </c>
      <c r="L6363" t="n">
        <v>16150</v>
      </c>
      <c r="M6363" t="n">
        <v>19000</v>
      </c>
      <c r="N6363" t="n">
        <v>91</v>
      </c>
      <c r="O6363" t="n">
        <v>0.91</v>
      </c>
      <c r="P6363" t="n">
        <v>1</v>
      </c>
      <c r="Q6363" t="n">
        <v>0.12</v>
      </c>
      <c r="R6363" t="n">
        <v>2</v>
      </c>
      <c r="S6363" t="n">
        <v>864.5000000000001</v>
      </c>
      <c r="T6363" t="n">
        <v>10</v>
      </c>
      <c r="U6363" t="n">
        <v>11</v>
      </c>
      <c r="V6363" t="n">
        <v>30</v>
      </c>
      <c r="W6363" t="n">
        <v>2</v>
      </c>
      <c r="X6363" t="n">
        <v>87.9120879120879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12899</v>
      </c>
      <c r="AG6363" t="n">
        <v>2122</v>
      </c>
      <c r="AH6363" t="inlineStr">
        <is>
          <t>PT. SINAR PADANG LESTARI - PPN (PDG)</t>
        </is>
      </c>
      <c r="AI6363" t="n">
        <v>398</v>
      </c>
      <c r="AJ6363" t="inlineStr">
        <is>
          <t>XIXIU</t>
        </is>
      </c>
      <c r="AK6363" t="n">
        <v>21</v>
      </c>
      <c r="AL6363" t="inlineStr">
        <is>
          <t>Miss Glam Damar</t>
        </is>
      </c>
      <c r="AM6363" t="n">
        <v>1</v>
      </c>
      <c r="AN6363" t="n">
        <v>500000</v>
      </c>
      <c r="AO6363" t="n">
        <v>0</v>
      </c>
      <c r="AP6363" t="inlineStr"/>
      <c r="AQ6363" t="inlineStr"/>
    </row>
    <row r="6364">
      <c r="A6364" t="inlineStr">
        <is>
          <t>XIXIU</t>
        </is>
      </c>
      <c r="B6364" s="2">
        <f>"8997225416285"</f>
        <v/>
      </c>
      <c r="C6364" t="inlineStr">
        <is>
          <t>XIXIU Eyebrow Pencil Black 01 2.5gr</t>
        </is>
      </c>
      <c r="D6364" t="inlineStr">
        <is>
          <t>Miss Glam Damar</t>
        </is>
      </c>
      <c r="E6364" t="n">
        <v>44</v>
      </c>
      <c r="F6364" t="n">
        <v>0.86</v>
      </c>
      <c r="G6364" t="n">
        <v>5</v>
      </c>
      <c r="H6364" t="n">
        <v>3</v>
      </c>
      <c r="I6364" t="n">
        <v>11</v>
      </c>
      <c r="J6364" t="n">
        <v>3</v>
      </c>
      <c r="K6364" t="n">
        <v>0</v>
      </c>
      <c r="L6364" t="n">
        <v>3910</v>
      </c>
      <c r="M6364" t="n">
        <v>5000</v>
      </c>
      <c r="N6364" t="n">
        <v>91</v>
      </c>
      <c r="O6364" t="n">
        <v>0.91</v>
      </c>
      <c r="P6364" t="n">
        <v>0</v>
      </c>
      <c r="Q6364" t="n">
        <v>0.86</v>
      </c>
      <c r="R6364" t="n">
        <v>5</v>
      </c>
      <c r="S6364" t="n">
        <v>4300</v>
      </c>
      <c r="T6364" t="n">
        <v>53</v>
      </c>
      <c r="U6364" t="n">
        <v>56</v>
      </c>
      <c r="V6364" t="n">
        <v>30</v>
      </c>
      <c r="W6364" t="n">
        <v>26</v>
      </c>
      <c r="X6364" t="n">
        <v>51.16279069767442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12899</v>
      </c>
      <c r="AG6364" t="n">
        <v>2122</v>
      </c>
      <c r="AH6364" t="inlineStr">
        <is>
          <t>PT. SINAR PADANG LESTARI - PPN (PDG)</t>
        </is>
      </c>
      <c r="AI6364" t="n">
        <v>398</v>
      </c>
      <c r="AJ6364" t="inlineStr">
        <is>
          <t>XIXIU</t>
        </is>
      </c>
      <c r="AK6364" t="n">
        <v>21</v>
      </c>
      <c r="AL6364" t="inlineStr">
        <is>
          <t>Miss Glam Damar</t>
        </is>
      </c>
      <c r="AM6364" t="n">
        <v>1</v>
      </c>
      <c r="AN6364" t="n">
        <v>500000</v>
      </c>
      <c r="AO6364" t="n">
        <v>0</v>
      </c>
      <c r="AP6364" t="inlineStr"/>
      <c r="AQ6364" t="inlineStr"/>
    </row>
    <row r="6365">
      <c r="A6365" t="inlineStr">
        <is>
          <t>XIXIU</t>
        </is>
      </c>
      <c r="B6365" s="2">
        <f>"8997225413109"</f>
        <v/>
      </c>
      <c r="C6365" t="inlineStr">
        <is>
          <t>XIXIU Lip Serum 3gr</t>
        </is>
      </c>
      <c r="D6365" t="inlineStr">
        <is>
          <t>Miss Glam Damar</t>
        </is>
      </c>
      <c r="E6365" t="n">
        <v>18</v>
      </c>
      <c r="F6365" t="n">
        <v>2.3296</v>
      </c>
      <c r="G6365" t="n">
        <v>7.28</v>
      </c>
      <c r="H6365" t="n">
        <v>3</v>
      </c>
      <c r="I6365" t="n">
        <v>11</v>
      </c>
      <c r="J6365" t="n">
        <v>3</v>
      </c>
      <c r="K6365" t="n">
        <v>0</v>
      </c>
      <c r="L6365" t="n">
        <v>16575</v>
      </c>
      <c r="M6365" t="n">
        <v>19500</v>
      </c>
      <c r="N6365" t="n">
        <v>91</v>
      </c>
      <c r="O6365" t="n">
        <v>0.91</v>
      </c>
      <c r="P6365" t="n">
        <v>1</v>
      </c>
      <c r="Q6365" t="n">
        <v>0.95</v>
      </c>
      <c r="R6365" t="n">
        <v>4</v>
      </c>
      <c r="S6365" t="n">
        <v>45427.2</v>
      </c>
      <c r="T6365" t="n">
        <v>74</v>
      </c>
      <c r="U6365" t="n">
        <v>81</v>
      </c>
      <c r="V6365" t="n">
        <v>30</v>
      </c>
      <c r="W6365" t="n">
        <v>70</v>
      </c>
      <c r="X6365" t="n">
        <v>7.726648351648351</v>
      </c>
      <c r="Y6365" t="n">
        <v>1</v>
      </c>
      <c r="Z6365" t="n">
        <v>52</v>
      </c>
      <c r="AA6365" t="n">
        <v>8</v>
      </c>
      <c r="AB6365" t="n">
        <v>44</v>
      </c>
      <c r="AC6365" t="n">
        <v>44</v>
      </c>
      <c r="AD6365" t="n">
        <v>132600</v>
      </c>
      <c r="AE6365" t="n">
        <v>729300</v>
      </c>
      <c r="AF6365" t="n">
        <v>12899</v>
      </c>
      <c r="AG6365" t="n">
        <v>2122</v>
      </c>
      <c r="AH6365" t="inlineStr">
        <is>
          <t>PT. SINAR PADANG LESTARI - PPN (PDG)</t>
        </is>
      </c>
      <c r="AI6365" t="n">
        <v>398</v>
      </c>
      <c r="AJ6365" t="inlineStr">
        <is>
          <t>XIXIU</t>
        </is>
      </c>
      <c r="AK6365" t="n">
        <v>21</v>
      </c>
      <c r="AL6365" t="inlineStr">
        <is>
          <t>Miss Glam Damar</t>
        </is>
      </c>
      <c r="AM6365" t="n">
        <v>1</v>
      </c>
      <c r="AN6365" t="n">
        <v>500000</v>
      </c>
      <c r="AO6365" t="n">
        <v>0</v>
      </c>
      <c r="AP6365" t="inlineStr"/>
      <c r="AQ6365" t="inlineStr"/>
    </row>
    <row r="6366">
      <c r="A6366" t="inlineStr">
        <is>
          <t>XIXIU</t>
        </is>
      </c>
      <c r="B6366" s="2">
        <f>"20200335316"</f>
        <v/>
      </c>
      <c r="C6366" t="inlineStr">
        <is>
          <t>XIXIU Lovely Eyeliner Pen Bundling 1+1 2shade</t>
        </is>
      </c>
      <c r="D6366" t="inlineStr">
        <is>
          <t>Miss Glam Damar</t>
        </is>
      </c>
      <c r="E6366" t="n">
        <v>6</v>
      </c>
      <c r="F6366" t="n">
        <v>0.5733</v>
      </c>
      <c r="G6366" t="n">
        <v>3.64</v>
      </c>
      <c r="H6366" t="n">
        <v>3</v>
      </c>
      <c r="I6366" t="n">
        <v>11</v>
      </c>
      <c r="J6366" t="n">
        <v>1</v>
      </c>
      <c r="K6366" t="n">
        <v>0</v>
      </c>
      <c r="L6366" t="n">
        <v>15725</v>
      </c>
      <c r="M6366" t="n">
        <v>18500</v>
      </c>
      <c r="N6366" t="n">
        <v>91</v>
      </c>
      <c r="O6366" t="n">
        <v>0.91</v>
      </c>
      <c r="P6366" t="n">
        <v>1</v>
      </c>
      <c r="Q6366" t="n">
        <v>0.1</v>
      </c>
      <c r="R6366" t="n">
        <v>2</v>
      </c>
      <c r="S6366" t="n">
        <v>10606.05</v>
      </c>
      <c r="T6366" t="n">
        <v>39</v>
      </c>
      <c r="U6366" t="n">
        <v>41</v>
      </c>
      <c r="V6366" t="n">
        <v>30</v>
      </c>
      <c r="W6366" t="n">
        <v>18</v>
      </c>
      <c r="X6366" t="n">
        <v>10.46572475143904</v>
      </c>
      <c r="Y6366" t="n">
        <v>1</v>
      </c>
      <c r="Z6366" t="n">
        <v>12</v>
      </c>
      <c r="AA6366" t="n">
        <v>1</v>
      </c>
      <c r="AB6366" t="n">
        <v>11</v>
      </c>
      <c r="AC6366" t="n">
        <v>11</v>
      </c>
      <c r="AD6366" t="n">
        <v>15725</v>
      </c>
      <c r="AE6366" t="n">
        <v>172975</v>
      </c>
      <c r="AF6366" t="n">
        <v>12899</v>
      </c>
      <c r="AG6366" t="n">
        <v>2122</v>
      </c>
      <c r="AH6366" t="inlineStr">
        <is>
          <t>PT. SINAR PADANG LESTARI - PPN (PDG)</t>
        </is>
      </c>
      <c r="AI6366" t="n">
        <v>398</v>
      </c>
      <c r="AJ6366" t="inlineStr">
        <is>
          <t>XIXIU</t>
        </is>
      </c>
      <c r="AK6366" t="n">
        <v>21</v>
      </c>
      <c r="AL6366" t="inlineStr">
        <is>
          <t>Miss Glam Damar</t>
        </is>
      </c>
      <c r="AM6366" t="n">
        <v>1</v>
      </c>
      <c r="AN6366" t="n">
        <v>500000</v>
      </c>
      <c r="AO6366" t="n">
        <v>0</v>
      </c>
      <c r="AP6366" t="inlineStr"/>
      <c r="AQ6366" t="inlineStr"/>
    </row>
    <row r="6367">
      <c r="A6367" t="inlineStr">
        <is>
          <t>XIXIU</t>
        </is>
      </c>
      <c r="B6367" s="2">
        <f>"8997225410849"</f>
        <v/>
      </c>
      <c r="C6367" t="inlineStr">
        <is>
          <t>XIXIU Lovely Mascara Black Waterfroof And Volumizing 10gr</t>
        </is>
      </c>
      <c r="D6367" t="inlineStr">
        <is>
          <t>Miss Glam Damar</t>
        </is>
      </c>
      <c r="E6367" t="n">
        <v>38</v>
      </c>
      <c r="F6367" t="n">
        <v>3.2123</v>
      </c>
      <c r="G6367" t="n">
        <v>8.19</v>
      </c>
      <c r="H6367" t="n">
        <v>3</v>
      </c>
      <c r="I6367" t="n">
        <v>11</v>
      </c>
      <c r="J6367" t="n">
        <v>3</v>
      </c>
      <c r="K6367" t="n">
        <v>3</v>
      </c>
      <c r="L6367" t="n">
        <v>20811</v>
      </c>
      <c r="M6367" t="n">
        <v>24000</v>
      </c>
      <c r="N6367" t="n">
        <v>91</v>
      </c>
      <c r="O6367" t="n">
        <v>0.91</v>
      </c>
      <c r="P6367" t="n">
        <v>1</v>
      </c>
      <c r="Q6367" t="n">
        <v>2.07</v>
      </c>
      <c r="R6367" t="n">
        <v>5</v>
      </c>
      <c r="S6367" t="n">
        <v>77095.2</v>
      </c>
      <c r="T6367" t="n">
        <v>81</v>
      </c>
      <c r="U6367" t="n">
        <v>91</v>
      </c>
      <c r="V6367" t="n">
        <v>30</v>
      </c>
      <c r="W6367" t="n">
        <v>97</v>
      </c>
      <c r="X6367" t="n">
        <v>11.82953024312798</v>
      </c>
      <c r="Y6367" t="n">
        <v>1</v>
      </c>
      <c r="Z6367" t="n">
        <v>56</v>
      </c>
      <c r="AA6367" t="n">
        <v>0</v>
      </c>
      <c r="AB6367" t="n">
        <v>56</v>
      </c>
      <c r="AC6367" t="n">
        <v>56</v>
      </c>
      <c r="AD6367" t="n">
        <v>0</v>
      </c>
      <c r="AE6367" t="n">
        <v>1165416</v>
      </c>
      <c r="AF6367" t="n">
        <v>12899</v>
      </c>
      <c r="AG6367" t="n">
        <v>2122</v>
      </c>
      <c r="AH6367" t="inlineStr">
        <is>
          <t>PT. SINAR PADANG LESTARI - PPN (PDG)</t>
        </is>
      </c>
      <c r="AI6367" t="n">
        <v>398</v>
      </c>
      <c r="AJ6367" t="inlineStr">
        <is>
          <t>XIXIU</t>
        </is>
      </c>
      <c r="AK6367" t="n">
        <v>21</v>
      </c>
      <c r="AL6367" t="inlineStr">
        <is>
          <t>Miss Glam Damar</t>
        </is>
      </c>
      <c r="AM6367" t="n">
        <v>1</v>
      </c>
      <c r="AN6367" t="n">
        <v>500000</v>
      </c>
      <c r="AO6367" t="n">
        <v>0</v>
      </c>
      <c r="AP6367" t="inlineStr"/>
      <c r="AQ6367" t="inlineStr"/>
    </row>
    <row r="6368">
      <c r="A6368" t="inlineStr">
        <is>
          <t>XIXIU</t>
        </is>
      </c>
      <c r="B6368" s="2">
        <f>"8997225414113"</f>
        <v/>
      </c>
      <c r="C6368" t="inlineStr">
        <is>
          <t>XIXIU Matte Up Lip Cream 02 Palm Red 5gr</t>
        </is>
      </c>
      <c r="D6368" t="inlineStr">
        <is>
          <t>Miss Glam Damar</t>
        </is>
      </c>
      <c r="E6368" t="n">
        <v>0</v>
      </c>
      <c r="F6368" t="n">
        <v>0.04</v>
      </c>
      <c r="G6368" t="n">
        <v>1</v>
      </c>
      <c r="H6368" t="n">
        <v>3</v>
      </c>
      <c r="I6368" t="n">
        <v>11</v>
      </c>
      <c r="J6368" t="n">
        <v>3</v>
      </c>
      <c r="K6368" t="n">
        <v>0</v>
      </c>
      <c r="L6368" t="n">
        <v>18275</v>
      </c>
      <c r="M6368" t="n">
        <v>23000</v>
      </c>
      <c r="N6368" t="n">
        <v>91</v>
      </c>
      <c r="O6368" t="n">
        <v>0.91</v>
      </c>
      <c r="P6368" t="n">
        <v>0</v>
      </c>
      <c r="Q6368" t="n">
        <v>0.04</v>
      </c>
      <c r="R6368" t="n">
        <v>1</v>
      </c>
      <c r="S6368" t="n">
        <v>920</v>
      </c>
      <c r="T6368" t="n">
        <v>11</v>
      </c>
      <c r="U6368" t="n">
        <v>12</v>
      </c>
      <c r="V6368" t="n">
        <v>30</v>
      </c>
      <c r="W6368" t="n">
        <v>2</v>
      </c>
      <c r="X6368" t="n">
        <v>0</v>
      </c>
      <c r="Y6368" t="n">
        <v>1</v>
      </c>
      <c r="Z6368" t="n">
        <v>2</v>
      </c>
      <c r="AA6368" t="n">
        <v>1</v>
      </c>
      <c r="AB6368" t="n">
        <v>1</v>
      </c>
      <c r="AC6368" t="n">
        <v>3</v>
      </c>
      <c r="AD6368" t="n">
        <v>18275</v>
      </c>
      <c r="AE6368" t="n">
        <v>54825</v>
      </c>
      <c r="AF6368" t="n">
        <v>12899</v>
      </c>
      <c r="AG6368" t="n">
        <v>2122</v>
      </c>
      <c r="AH6368" t="inlineStr">
        <is>
          <t>PT. SINAR PADANG LESTARI - PPN (PDG)</t>
        </is>
      </c>
      <c r="AI6368" t="n">
        <v>398</v>
      </c>
      <c r="AJ6368" t="inlineStr">
        <is>
          <t>XIXIU</t>
        </is>
      </c>
      <c r="AK6368" t="n">
        <v>21</v>
      </c>
      <c r="AL6368" t="inlineStr">
        <is>
          <t>Miss Glam Damar</t>
        </is>
      </c>
      <c r="AM6368" t="n">
        <v>1</v>
      </c>
      <c r="AN6368" t="n">
        <v>500000</v>
      </c>
      <c r="AO6368" t="n">
        <v>0</v>
      </c>
      <c r="AP6368" t="inlineStr"/>
      <c r="AQ6368" t="inlineStr"/>
    </row>
    <row r="6369">
      <c r="A6369" t="inlineStr">
        <is>
          <t>XIXIU</t>
        </is>
      </c>
      <c r="B6369" s="2">
        <f>"8997225414120"</f>
        <v/>
      </c>
      <c r="C6369" t="inlineStr">
        <is>
          <t>XIXIU Matte Up Lip Cream 03 Raspberry 5gr</t>
        </is>
      </c>
      <c r="D6369" t="inlineStr">
        <is>
          <t>Miss Glam Damar</t>
        </is>
      </c>
      <c r="E6369" t="n">
        <v>3</v>
      </c>
      <c r="F6369" t="n">
        <v>0.1547</v>
      </c>
      <c r="G6369" t="n">
        <v>0.91</v>
      </c>
      <c r="H6369" t="n">
        <v>3</v>
      </c>
      <c r="I6369" t="n">
        <v>11</v>
      </c>
      <c r="J6369" t="n">
        <v>3</v>
      </c>
      <c r="K6369" t="n">
        <v>0</v>
      </c>
      <c r="L6369" t="n">
        <v>18275</v>
      </c>
      <c r="M6369" t="n">
        <v>23000</v>
      </c>
      <c r="N6369" t="n">
        <v>91</v>
      </c>
      <c r="O6369" t="n">
        <v>0.91</v>
      </c>
      <c r="P6369" t="n">
        <v>1</v>
      </c>
      <c r="Q6369" t="n">
        <v>0.03</v>
      </c>
      <c r="R6369" t="n">
        <v>1</v>
      </c>
      <c r="S6369" t="n">
        <v>3558.1</v>
      </c>
      <c r="T6369" t="n">
        <v>10</v>
      </c>
      <c r="U6369" t="n">
        <v>11</v>
      </c>
      <c r="V6369" t="n">
        <v>30</v>
      </c>
      <c r="W6369" t="n">
        <v>5</v>
      </c>
      <c r="X6369" t="n">
        <v>19.3923723335488</v>
      </c>
      <c r="Y6369" t="n">
        <v>1</v>
      </c>
      <c r="Z6369" t="n">
        <v>2</v>
      </c>
      <c r="AA6369" t="n">
        <v>0</v>
      </c>
      <c r="AB6369" t="n">
        <v>2</v>
      </c>
      <c r="AC6369" t="n">
        <v>3</v>
      </c>
      <c r="AD6369" t="n">
        <v>0</v>
      </c>
      <c r="AE6369" t="n">
        <v>54825</v>
      </c>
      <c r="AF6369" t="n">
        <v>12899</v>
      </c>
      <c r="AG6369" t="n">
        <v>2122</v>
      </c>
      <c r="AH6369" t="inlineStr">
        <is>
          <t>PT. SINAR PADANG LESTARI - PPN (PDG)</t>
        </is>
      </c>
      <c r="AI6369" t="n">
        <v>398</v>
      </c>
      <c r="AJ6369" t="inlineStr">
        <is>
          <t>XIXIU</t>
        </is>
      </c>
      <c r="AK6369" t="n">
        <v>21</v>
      </c>
      <c r="AL6369" t="inlineStr">
        <is>
          <t>Miss Glam Damar</t>
        </is>
      </c>
      <c r="AM6369" t="n">
        <v>1</v>
      </c>
      <c r="AN6369" t="n">
        <v>500000</v>
      </c>
      <c r="AO6369" t="n">
        <v>0</v>
      </c>
      <c r="AP6369" t="inlineStr"/>
      <c r="AQ6369" t="inlineStr"/>
    </row>
    <row r="6370">
      <c r="A6370" t="inlineStr">
        <is>
          <t>XIXIU</t>
        </is>
      </c>
      <c r="B6370" s="2">
        <f>"8997225414144"</f>
        <v/>
      </c>
      <c r="C6370" t="inlineStr">
        <is>
          <t>XIXIU Matte Up Lip Cream 05 Caramel Haze 5gr</t>
        </is>
      </c>
      <c r="D6370" t="inlineStr">
        <is>
          <t>Miss Glam Damar</t>
        </is>
      </c>
      <c r="E6370" t="n">
        <v>1</v>
      </c>
      <c r="F6370" t="n">
        <v>0.09100000000000001</v>
      </c>
      <c r="G6370" t="n">
        <v>1.82</v>
      </c>
      <c r="H6370" t="n">
        <v>3</v>
      </c>
      <c r="I6370" t="n">
        <v>11</v>
      </c>
      <c r="J6370" t="n">
        <v>3</v>
      </c>
      <c r="K6370" t="n">
        <v>3</v>
      </c>
      <c r="L6370" t="n">
        <v>18275</v>
      </c>
      <c r="M6370" t="n">
        <v>23000</v>
      </c>
      <c r="N6370" t="n">
        <v>91</v>
      </c>
      <c r="O6370" t="n">
        <v>0.91</v>
      </c>
      <c r="P6370" t="n">
        <v>1</v>
      </c>
      <c r="Q6370" t="n">
        <v>0.03</v>
      </c>
      <c r="R6370" t="n">
        <v>1</v>
      </c>
      <c r="S6370" t="n">
        <v>2093</v>
      </c>
      <c r="T6370" t="n">
        <v>20</v>
      </c>
      <c r="U6370" t="n">
        <v>21</v>
      </c>
      <c r="V6370" t="n">
        <v>30</v>
      </c>
      <c r="W6370" t="n">
        <v>3</v>
      </c>
      <c r="X6370" t="n">
        <v>10.98901098901099</v>
      </c>
      <c r="Y6370" t="n">
        <v>1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12899</v>
      </c>
      <c r="AG6370" t="n">
        <v>2122</v>
      </c>
      <c r="AH6370" t="inlineStr">
        <is>
          <t>PT. SINAR PADANG LESTARI - PPN (PDG)</t>
        </is>
      </c>
      <c r="AI6370" t="n">
        <v>398</v>
      </c>
      <c r="AJ6370" t="inlineStr">
        <is>
          <t>XIXIU</t>
        </is>
      </c>
      <c r="AK6370" t="n">
        <v>21</v>
      </c>
      <c r="AL6370" t="inlineStr">
        <is>
          <t>Miss Glam Damar</t>
        </is>
      </c>
      <c r="AM6370" t="n">
        <v>1</v>
      </c>
      <c r="AN6370" t="n">
        <v>500000</v>
      </c>
      <c r="AO6370" t="n">
        <v>0</v>
      </c>
      <c r="AP6370" t="inlineStr"/>
      <c r="AQ6370" t="inlineStr"/>
    </row>
    <row r="6371">
      <c r="A6371" t="inlineStr">
        <is>
          <t>XIXIU</t>
        </is>
      </c>
      <c r="B6371" s="2">
        <f>"8997225414151"</f>
        <v/>
      </c>
      <c r="C6371" t="inlineStr">
        <is>
          <t>XIXIU Matte Up Lip Cream 06 Red Mousse 5gr</t>
        </is>
      </c>
      <c r="D6371" t="inlineStr">
        <is>
          <t>Miss Glam Damar</t>
        </is>
      </c>
      <c r="E6371" t="n">
        <v>0</v>
      </c>
      <c r="F6371" t="n">
        <v>0.1092</v>
      </c>
      <c r="G6371" t="n">
        <v>1.82</v>
      </c>
      <c r="H6371" t="n">
        <v>3</v>
      </c>
      <c r="I6371" t="n">
        <v>11</v>
      </c>
      <c r="J6371" t="n">
        <v>3</v>
      </c>
      <c r="K6371" t="n">
        <v>3</v>
      </c>
      <c r="L6371" t="n">
        <v>18275</v>
      </c>
      <c r="M6371" t="n">
        <v>23000</v>
      </c>
      <c r="N6371" t="n">
        <v>91</v>
      </c>
      <c r="O6371" t="n">
        <v>0.91</v>
      </c>
      <c r="P6371" t="n">
        <v>1</v>
      </c>
      <c r="Q6371" t="n">
        <v>0.08</v>
      </c>
      <c r="R6371" t="n">
        <v>2</v>
      </c>
      <c r="S6371" t="n">
        <v>2511.6</v>
      </c>
      <c r="T6371" t="n">
        <v>20</v>
      </c>
      <c r="U6371" t="n">
        <v>21</v>
      </c>
      <c r="V6371" t="n">
        <v>30</v>
      </c>
      <c r="W6371" t="n">
        <v>4</v>
      </c>
      <c r="X6371" t="n">
        <v>0</v>
      </c>
      <c r="Y6371" t="n">
        <v>1</v>
      </c>
      <c r="Z6371" t="n">
        <v>1</v>
      </c>
      <c r="AA6371" t="n">
        <v>1</v>
      </c>
      <c r="AB6371" t="n">
        <v>0</v>
      </c>
      <c r="AC6371" t="n">
        <v>0</v>
      </c>
      <c r="AD6371" t="n">
        <v>18275</v>
      </c>
      <c r="AE6371" t="n">
        <v>0</v>
      </c>
      <c r="AF6371" t="n">
        <v>12899</v>
      </c>
      <c r="AG6371" t="n">
        <v>2122</v>
      </c>
      <c r="AH6371" t="inlineStr">
        <is>
          <t>PT. SINAR PADANG LESTARI - PPN (PDG)</t>
        </is>
      </c>
      <c r="AI6371" t="n">
        <v>398</v>
      </c>
      <c r="AJ6371" t="inlineStr">
        <is>
          <t>XIXIU</t>
        </is>
      </c>
      <c r="AK6371" t="n">
        <v>21</v>
      </c>
      <c r="AL6371" t="inlineStr">
        <is>
          <t>Miss Glam Damar</t>
        </is>
      </c>
      <c r="AM6371" t="n">
        <v>1</v>
      </c>
      <c r="AN6371" t="n">
        <v>500000</v>
      </c>
      <c r="AO6371" t="n">
        <v>0</v>
      </c>
      <c r="AP6371" t="inlineStr"/>
      <c r="AQ6371" t="inlineStr"/>
    </row>
    <row r="6372">
      <c r="A6372" t="inlineStr">
        <is>
          <t>XIXIU</t>
        </is>
      </c>
      <c r="B6372" s="2">
        <f>"8997225411747"</f>
        <v/>
      </c>
      <c r="C6372" t="inlineStr">
        <is>
          <t>XIXIU Powder Blush On D 8g</t>
        </is>
      </c>
      <c r="D6372" t="inlineStr">
        <is>
          <t>Miss Glam Damar</t>
        </is>
      </c>
      <c r="E6372" t="n">
        <v>4</v>
      </c>
      <c r="F6372" t="n">
        <v>0.06370000000000001</v>
      </c>
      <c r="G6372" t="n">
        <v>1.82</v>
      </c>
      <c r="H6372" t="n">
        <v>3</v>
      </c>
      <c r="I6372" t="n">
        <v>11</v>
      </c>
      <c r="J6372" t="n">
        <v>3</v>
      </c>
      <c r="K6372" t="n">
        <v>0</v>
      </c>
      <c r="L6372" t="n">
        <v>15938</v>
      </c>
      <c r="M6372" t="n">
        <v>21300</v>
      </c>
      <c r="N6372" t="n">
        <v>91</v>
      </c>
      <c r="O6372" t="n">
        <v>0.91</v>
      </c>
      <c r="P6372" t="n">
        <v>1</v>
      </c>
      <c r="Q6372" t="n">
        <v>0.03</v>
      </c>
      <c r="R6372" t="n">
        <v>1</v>
      </c>
      <c r="S6372" t="n">
        <v>1356.81</v>
      </c>
      <c r="T6372" t="n">
        <v>20</v>
      </c>
      <c r="U6372" t="n">
        <v>21</v>
      </c>
      <c r="V6372" t="n">
        <v>30</v>
      </c>
      <c r="W6372" t="n">
        <v>2</v>
      </c>
      <c r="X6372" t="n">
        <v>62.79434850863422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12899</v>
      </c>
      <c r="AG6372" t="n">
        <v>2122</v>
      </c>
      <c r="AH6372" t="inlineStr">
        <is>
          <t>PT. SINAR PADANG LESTARI - PPN (PDG)</t>
        </is>
      </c>
      <c r="AI6372" t="n">
        <v>398</v>
      </c>
      <c r="AJ6372" t="inlineStr">
        <is>
          <t>XIXIU</t>
        </is>
      </c>
      <c r="AK6372" t="n">
        <v>21</v>
      </c>
      <c r="AL6372" t="inlineStr">
        <is>
          <t>Miss Glam Damar</t>
        </is>
      </c>
      <c r="AM6372" t="n">
        <v>1</v>
      </c>
      <c r="AN6372" t="n">
        <v>500000</v>
      </c>
      <c r="AO6372" t="n">
        <v>0</v>
      </c>
      <c r="AP6372" t="inlineStr"/>
      <c r="AQ6372" t="inlineStr"/>
    </row>
    <row r="6373">
      <c r="A6373" t="inlineStr">
        <is>
          <t>XIXIU</t>
        </is>
      </c>
      <c r="B6373" s="2">
        <f>"8997225415318"</f>
        <v/>
      </c>
      <c r="C6373" t="inlineStr">
        <is>
          <t>XIXIU Ultimate Eyeliner Pen Xtra Gorgeous 2in1 1ml</t>
        </is>
      </c>
      <c r="D6373" t="inlineStr">
        <is>
          <t>Miss Glam Damar</t>
        </is>
      </c>
      <c r="E6373" t="n">
        <v>7</v>
      </c>
      <c r="F6373" t="n">
        <v>0.1365</v>
      </c>
      <c r="G6373" t="n">
        <v>1.82</v>
      </c>
      <c r="H6373" t="n">
        <v>3</v>
      </c>
      <c r="I6373" t="n">
        <v>11</v>
      </c>
      <c r="J6373" t="n">
        <v>3</v>
      </c>
      <c r="K6373" t="n">
        <v>0</v>
      </c>
      <c r="L6373" t="n">
        <v>29750</v>
      </c>
      <c r="M6373" t="n">
        <v>37500</v>
      </c>
      <c r="N6373" t="n">
        <v>91</v>
      </c>
      <c r="O6373" t="n">
        <v>0.91</v>
      </c>
      <c r="P6373" t="n">
        <v>1</v>
      </c>
      <c r="Q6373" t="n">
        <v>0.15</v>
      </c>
      <c r="R6373" t="n">
        <v>2</v>
      </c>
      <c r="S6373" t="n">
        <v>5118.75</v>
      </c>
      <c r="T6373" t="n">
        <v>20</v>
      </c>
      <c r="U6373" t="n">
        <v>21</v>
      </c>
      <c r="V6373" t="n">
        <v>30</v>
      </c>
      <c r="W6373" t="n">
        <v>5</v>
      </c>
      <c r="X6373" t="n">
        <v>51.28205128205128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12899</v>
      </c>
      <c r="AG6373" t="n">
        <v>2122</v>
      </c>
      <c r="AH6373" t="inlineStr">
        <is>
          <t>PT. SINAR PADANG LESTARI - PPN (PDG)</t>
        </is>
      </c>
      <c r="AI6373" t="n">
        <v>398</v>
      </c>
      <c r="AJ6373" t="inlineStr">
        <is>
          <t>XIXIU</t>
        </is>
      </c>
      <c r="AK6373" t="n">
        <v>21</v>
      </c>
      <c r="AL6373" t="inlineStr">
        <is>
          <t>Miss Glam Damar</t>
        </is>
      </c>
      <c r="AM6373" t="n">
        <v>1</v>
      </c>
      <c r="AN6373" t="n">
        <v>500000</v>
      </c>
      <c r="AO6373" t="n">
        <v>0</v>
      </c>
      <c r="AP6373" t="inlineStr"/>
      <c r="AQ6373" t="inlineStr"/>
    </row>
    <row r="6374">
      <c r="A6374" t="inlineStr">
        <is>
          <t>XIXIU</t>
        </is>
      </c>
      <c r="B6374" s="2">
        <f>"8997225415271"</f>
        <v/>
      </c>
      <c r="C6374" t="inlineStr">
        <is>
          <t>XIXIU Ultimate Eyeliner Pen Xtra Gorgeous thin &amp; precious 1ml</t>
        </is>
      </c>
      <c r="D6374" t="inlineStr">
        <is>
          <t>Miss Glam Damar</t>
        </is>
      </c>
      <c r="E6374" t="n">
        <v>50</v>
      </c>
      <c r="F6374" t="n">
        <v>2.5116</v>
      </c>
      <c r="G6374" t="n">
        <v>7.28</v>
      </c>
      <c r="H6374" t="n">
        <v>3</v>
      </c>
      <c r="I6374" t="n">
        <v>11</v>
      </c>
      <c r="J6374" t="n">
        <v>36</v>
      </c>
      <c r="K6374" t="n">
        <v>12</v>
      </c>
      <c r="L6374" t="n">
        <v>18664</v>
      </c>
      <c r="M6374" t="n">
        <v>23500</v>
      </c>
      <c r="N6374" t="n">
        <v>91</v>
      </c>
      <c r="O6374" t="n">
        <v>0.91</v>
      </c>
      <c r="P6374" t="n">
        <v>1</v>
      </c>
      <c r="Q6374" t="n">
        <v>2.27</v>
      </c>
      <c r="R6374" t="n">
        <v>6</v>
      </c>
      <c r="S6374" t="n">
        <v>59022.6</v>
      </c>
      <c r="T6374" t="n">
        <v>73</v>
      </c>
      <c r="U6374" t="n">
        <v>81</v>
      </c>
      <c r="V6374" t="n">
        <v>30</v>
      </c>
      <c r="W6374" t="n">
        <v>76</v>
      </c>
      <c r="X6374" t="n">
        <v>19.90762860328078</v>
      </c>
      <c r="Y6374" t="n">
        <v>1</v>
      </c>
      <c r="Z6374" t="n">
        <v>14</v>
      </c>
      <c r="AA6374" t="n">
        <v>0</v>
      </c>
      <c r="AB6374" t="n">
        <v>14</v>
      </c>
      <c r="AC6374" t="n">
        <v>36</v>
      </c>
      <c r="AD6374" t="n">
        <v>0</v>
      </c>
      <c r="AE6374" t="n">
        <v>671904</v>
      </c>
      <c r="AF6374" t="n">
        <v>12899</v>
      </c>
      <c r="AG6374" t="n">
        <v>2122</v>
      </c>
      <c r="AH6374" t="inlineStr">
        <is>
          <t>PT. SINAR PADANG LESTARI - PPN (PDG)</t>
        </is>
      </c>
      <c r="AI6374" t="n">
        <v>398</v>
      </c>
      <c r="AJ6374" t="inlineStr">
        <is>
          <t>XIXIU</t>
        </is>
      </c>
      <c r="AK6374" t="n">
        <v>21</v>
      </c>
      <c r="AL6374" t="inlineStr">
        <is>
          <t>Miss Glam Damar</t>
        </is>
      </c>
      <c r="AM6374" t="n">
        <v>1</v>
      </c>
      <c r="AN6374" t="n">
        <v>500000</v>
      </c>
      <c r="AO6374" t="n">
        <v>0</v>
      </c>
      <c r="AP6374" t="inlineStr"/>
      <c r="AQ6374" t="inlineStr"/>
    </row>
    <row r="6375">
      <c r="A6375" t="inlineStr">
        <is>
          <t>XIXIU</t>
        </is>
      </c>
      <c r="B6375" s="2">
        <f>"8997225414830"</f>
        <v/>
      </c>
      <c r="C6375" t="inlineStr">
        <is>
          <t>XIXIU Ultimate LashXtra Mascara 10gr</t>
        </is>
      </c>
      <c r="D6375" t="inlineStr">
        <is>
          <t>Miss Glam Damar</t>
        </is>
      </c>
      <c r="E6375" t="n">
        <v>43</v>
      </c>
      <c r="F6375" t="n">
        <v>4.0222</v>
      </c>
      <c r="G6375" t="n">
        <v>10.01</v>
      </c>
      <c r="H6375" t="n">
        <v>3</v>
      </c>
      <c r="I6375" t="n">
        <v>11</v>
      </c>
      <c r="J6375" t="n">
        <v>3</v>
      </c>
      <c r="K6375" t="n">
        <v>36</v>
      </c>
      <c r="L6375" t="n">
        <v>20821</v>
      </c>
      <c r="M6375" t="n">
        <v>24000</v>
      </c>
      <c r="N6375" t="n">
        <v>91</v>
      </c>
      <c r="O6375" t="n">
        <v>0.91</v>
      </c>
      <c r="P6375" t="n">
        <v>1</v>
      </c>
      <c r="Q6375" t="n">
        <v>3.29</v>
      </c>
      <c r="R6375" t="n">
        <v>8</v>
      </c>
      <c r="S6375" t="n">
        <v>96532.79999999999</v>
      </c>
      <c r="T6375" t="n">
        <v>99</v>
      </c>
      <c r="U6375" t="n">
        <v>112</v>
      </c>
      <c r="V6375" t="n">
        <v>30</v>
      </c>
      <c r="W6375" t="n">
        <v>121</v>
      </c>
      <c r="X6375" t="n">
        <v>10.69066679926408</v>
      </c>
      <c r="Y6375" t="n">
        <v>1</v>
      </c>
      <c r="Z6375" t="n">
        <v>42</v>
      </c>
      <c r="AA6375" t="n">
        <v>1</v>
      </c>
      <c r="AB6375" t="n">
        <v>41</v>
      </c>
      <c r="AC6375" t="n">
        <v>41</v>
      </c>
      <c r="AD6375" t="n">
        <v>20821</v>
      </c>
      <c r="AE6375" t="n">
        <v>853661</v>
      </c>
      <c r="AF6375" t="n">
        <v>12899</v>
      </c>
      <c r="AG6375" t="n">
        <v>2122</v>
      </c>
      <c r="AH6375" t="inlineStr">
        <is>
          <t>PT. SINAR PADANG LESTARI - PPN (PDG)</t>
        </is>
      </c>
      <c r="AI6375" t="n">
        <v>398</v>
      </c>
      <c r="AJ6375" t="inlineStr">
        <is>
          <t>XIXIU</t>
        </is>
      </c>
      <c r="AK6375" t="n">
        <v>21</v>
      </c>
      <c r="AL6375" t="inlineStr">
        <is>
          <t>Miss Glam Damar</t>
        </is>
      </c>
      <c r="AM6375" t="n">
        <v>1</v>
      </c>
      <c r="AN6375" t="n">
        <v>500000</v>
      </c>
      <c r="AO6375" t="n">
        <v>0</v>
      </c>
      <c r="AP6375" t="inlineStr"/>
      <c r="AQ6375" t="inlineStr"/>
    </row>
    <row r="6376">
      <c r="A6376" t="inlineStr">
        <is>
          <t>XIXIU</t>
        </is>
      </c>
      <c r="B6376" s="2">
        <f>"8997225415295"</f>
        <v/>
      </c>
      <c r="C6376" t="inlineStr">
        <is>
          <t>XIXIU Ultimate Xtra Gorgeous Eyebrow Pencil 01 Natural Black 2.5gr</t>
        </is>
      </c>
      <c r="D6376" t="inlineStr">
        <is>
          <t>Miss Glam Damar</t>
        </is>
      </c>
      <c r="E6376" t="n">
        <v>4</v>
      </c>
      <c r="F6376" t="n">
        <v>0.9555000000000001</v>
      </c>
      <c r="G6376" t="n">
        <v>9.1</v>
      </c>
      <c r="H6376" t="n">
        <v>3</v>
      </c>
      <c r="I6376" t="n">
        <v>11</v>
      </c>
      <c r="J6376" t="n">
        <v>3</v>
      </c>
      <c r="K6376" t="n">
        <v>0</v>
      </c>
      <c r="L6376" t="n">
        <v>4037</v>
      </c>
      <c r="M6376" t="n">
        <v>5500</v>
      </c>
      <c r="N6376" t="n">
        <v>91</v>
      </c>
      <c r="O6376" t="n">
        <v>0.91</v>
      </c>
      <c r="P6376" t="n">
        <v>1</v>
      </c>
      <c r="Q6376" t="n">
        <v>0.17</v>
      </c>
      <c r="R6376" t="n">
        <v>2</v>
      </c>
      <c r="S6376" t="n">
        <v>5255.250000000001</v>
      </c>
      <c r="T6376" t="n">
        <v>98</v>
      </c>
      <c r="U6376" t="n">
        <v>101</v>
      </c>
      <c r="V6376" t="n">
        <v>30</v>
      </c>
      <c r="W6376" t="n">
        <v>29</v>
      </c>
      <c r="X6376" t="n">
        <v>4.186289900575614</v>
      </c>
      <c r="Y6376" t="n">
        <v>1</v>
      </c>
      <c r="Z6376" t="n">
        <v>25</v>
      </c>
      <c r="AA6376" t="n">
        <v>7</v>
      </c>
      <c r="AB6376" t="n">
        <v>18</v>
      </c>
      <c r="AC6376" t="n">
        <v>18</v>
      </c>
      <c r="AD6376" t="n">
        <v>28259</v>
      </c>
      <c r="AE6376" t="n">
        <v>72666</v>
      </c>
      <c r="AF6376" t="n">
        <v>12899</v>
      </c>
      <c r="AG6376" t="n">
        <v>2122</v>
      </c>
      <c r="AH6376" t="inlineStr">
        <is>
          <t>PT. SINAR PADANG LESTARI - PPN (PDG)</t>
        </is>
      </c>
      <c r="AI6376" t="n">
        <v>398</v>
      </c>
      <c r="AJ6376" t="inlineStr">
        <is>
          <t>XIXIU</t>
        </is>
      </c>
      <c r="AK6376" t="n">
        <v>21</v>
      </c>
      <c r="AL6376" t="inlineStr">
        <is>
          <t>Miss Glam Damar</t>
        </is>
      </c>
      <c r="AM6376" t="n">
        <v>1</v>
      </c>
      <c r="AN6376" t="n">
        <v>500000</v>
      </c>
      <c r="AO6376" t="n">
        <v>0</v>
      </c>
      <c r="AP6376" t="inlineStr"/>
      <c r="AQ6376" t="inlineStr"/>
    </row>
    <row r="6377">
      <c r="A6377" t="inlineStr">
        <is>
          <t>XIXIU</t>
        </is>
      </c>
      <c r="B6377" s="2">
        <f>"8997225415387"</f>
        <v/>
      </c>
      <c r="C6377" t="inlineStr">
        <is>
          <t>XIXIU Ultimate Xtra Gorgeous Eyeliner Pencil Silver 2.5gr</t>
        </is>
      </c>
      <c r="D6377" t="inlineStr">
        <is>
          <t>Miss Glam Damar</t>
        </is>
      </c>
      <c r="E6377" t="n">
        <v>9</v>
      </c>
      <c r="F6377" t="n">
        <v>0.0728</v>
      </c>
      <c r="G6377" t="n">
        <v>1.82</v>
      </c>
      <c r="H6377" t="n">
        <v>3</v>
      </c>
      <c r="I6377" t="n">
        <v>11</v>
      </c>
      <c r="J6377" t="n">
        <v>3</v>
      </c>
      <c r="K6377" t="n">
        <v>0</v>
      </c>
      <c r="L6377" t="n">
        <v>4037</v>
      </c>
      <c r="M6377" t="n">
        <v>5500</v>
      </c>
      <c r="N6377" t="n">
        <v>91</v>
      </c>
      <c r="O6377" t="n">
        <v>0.91</v>
      </c>
      <c r="P6377" t="n">
        <v>1</v>
      </c>
      <c r="Q6377" t="n">
        <v>0.15</v>
      </c>
      <c r="R6377" t="n">
        <v>1</v>
      </c>
      <c r="S6377" t="n">
        <v>400.4</v>
      </c>
      <c r="T6377" t="n">
        <v>20</v>
      </c>
      <c r="U6377" t="n">
        <v>21</v>
      </c>
      <c r="V6377" t="n">
        <v>30</v>
      </c>
      <c r="W6377" t="n">
        <v>3</v>
      </c>
      <c r="X6377" t="n">
        <v>123.6263736263736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12899</v>
      </c>
      <c r="AG6377" t="n">
        <v>2122</v>
      </c>
      <c r="AH6377" t="inlineStr">
        <is>
          <t>PT. SINAR PADANG LESTARI - PPN (PDG)</t>
        </is>
      </c>
      <c r="AI6377" t="n">
        <v>398</v>
      </c>
      <c r="AJ6377" t="inlineStr">
        <is>
          <t>XIXIU</t>
        </is>
      </c>
      <c r="AK6377" t="n">
        <v>21</v>
      </c>
      <c r="AL6377" t="inlineStr">
        <is>
          <t>Miss Glam Damar</t>
        </is>
      </c>
      <c r="AM6377" t="n">
        <v>1</v>
      </c>
      <c r="AN6377" t="n">
        <v>500000</v>
      </c>
      <c r="AO6377" t="n">
        <v>0</v>
      </c>
      <c r="AP6377" t="inlineStr"/>
      <c r="AQ6377" t="inlineStr"/>
    </row>
    <row r="6378">
      <c r="A6378" t="inlineStr">
        <is>
          <t>XIXIU</t>
        </is>
      </c>
      <c r="B6378" s="2">
        <f>"8997225414472"</f>
        <v/>
      </c>
      <c r="C6378" t="inlineStr">
        <is>
          <t>XIXIU Winged Stamp Eyeliner 2in1 10gr</t>
        </is>
      </c>
      <c r="D6378" t="inlineStr">
        <is>
          <t>Miss Glam Damar</t>
        </is>
      </c>
      <c r="E6378" t="n">
        <v>22</v>
      </c>
      <c r="F6378" t="n">
        <v>1.4924</v>
      </c>
      <c r="G6378" t="n">
        <v>6.37</v>
      </c>
      <c r="H6378" t="n">
        <v>3</v>
      </c>
      <c r="I6378" t="n">
        <v>11</v>
      </c>
      <c r="J6378" t="n">
        <v>3</v>
      </c>
      <c r="K6378" t="n">
        <v>6</v>
      </c>
      <c r="L6378" t="n">
        <v>20692</v>
      </c>
      <c r="M6378" t="n">
        <v>26500</v>
      </c>
      <c r="N6378" t="n">
        <v>91</v>
      </c>
      <c r="O6378" t="n">
        <v>0.91</v>
      </c>
      <c r="P6378" t="n">
        <v>1</v>
      </c>
      <c r="Q6378" t="n">
        <v>1.29</v>
      </c>
      <c r="R6378" t="n">
        <v>5</v>
      </c>
      <c r="S6378" t="n">
        <v>39548.6</v>
      </c>
      <c r="T6378" t="n">
        <v>66</v>
      </c>
      <c r="U6378" t="n">
        <v>71</v>
      </c>
      <c r="V6378" t="n">
        <v>30</v>
      </c>
      <c r="W6378" t="n">
        <v>45</v>
      </c>
      <c r="X6378" t="n">
        <v>14.74135620477084</v>
      </c>
      <c r="Y6378" t="n">
        <v>1</v>
      </c>
      <c r="Z6378" t="n">
        <v>17</v>
      </c>
      <c r="AA6378" t="n">
        <v>0</v>
      </c>
      <c r="AB6378" t="n">
        <v>17</v>
      </c>
      <c r="AC6378" t="n">
        <v>17</v>
      </c>
      <c r="AD6378" t="n">
        <v>0</v>
      </c>
      <c r="AE6378" t="n">
        <v>351764</v>
      </c>
      <c r="AF6378" t="n">
        <v>12899</v>
      </c>
      <c r="AG6378" t="n">
        <v>2122</v>
      </c>
      <c r="AH6378" t="inlineStr">
        <is>
          <t>PT. SINAR PADANG LESTARI - PPN (PDG)</t>
        </is>
      </c>
      <c r="AI6378" t="n">
        <v>398</v>
      </c>
      <c r="AJ6378" t="inlineStr">
        <is>
          <t>XIXIU</t>
        </is>
      </c>
      <c r="AK6378" t="n">
        <v>21</v>
      </c>
      <c r="AL6378" t="inlineStr">
        <is>
          <t>Miss Glam Damar</t>
        </is>
      </c>
      <c r="AM6378" t="n">
        <v>1</v>
      </c>
      <c r="AN6378" t="n">
        <v>500000</v>
      </c>
      <c r="AO6378" t="n">
        <v>0</v>
      </c>
      <c r="AP6378" t="inlineStr"/>
      <c r="AQ6378" t="inlineStr"/>
    </row>
    <row r="6379">
      <c r="A6379" t="inlineStr">
        <is>
          <t>YESSICA'S</t>
        </is>
      </c>
      <c r="B6379" s="2">
        <f>"8993319861238"</f>
        <v/>
      </c>
      <c r="C6379" t="inlineStr">
        <is>
          <t>YESSICA'S Cleansing Masque With Tea Tree Facial Cleansing 50gr</t>
        </is>
      </c>
      <c r="D6379" t="inlineStr">
        <is>
          <t>Miss Glam Damar</t>
        </is>
      </c>
      <c r="E6379" t="n">
        <v>0</v>
      </c>
      <c r="F6379" t="n">
        <v>0.1274</v>
      </c>
      <c r="G6379" t="n">
        <v>1.82</v>
      </c>
      <c r="H6379" t="n">
        <v>4</v>
      </c>
      <c r="I6379" t="n">
        <v>21</v>
      </c>
      <c r="J6379" t="n">
        <v>3</v>
      </c>
      <c r="K6379" t="n">
        <v>0</v>
      </c>
      <c r="L6379" t="n">
        <v>28262</v>
      </c>
      <c r="M6379" t="n">
        <v>37000</v>
      </c>
      <c r="N6379" t="n">
        <v>91</v>
      </c>
      <c r="O6379" t="n">
        <v>0.91</v>
      </c>
      <c r="P6379" t="n">
        <v>1</v>
      </c>
      <c r="Q6379" t="n">
        <v>0.02</v>
      </c>
      <c r="R6379" t="n">
        <v>1</v>
      </c>
      <c r="S6379" t="n">
        <v>4713.8</v>
      </c>
      <c r="T6379" t="n">
        <v>38</v>
      </c>
      <c r="U6379" t="n">
        <v>39</v>
      </c>
      <c r="V6379" t="n">
        <v>30</v>
      </c>
      <c r="W6379" t="n">
        <v>4</v>
      </c>
      <c r="X6379" t="n">
        <v>0</v>
      </c>
      <c r="Y6379" t="n">
        <v>1</v>
      </c>
      <c r="Z6379" t="n">
        <v>4</v>
      </c>
      <c r="AA6379" t="n">
        <v>3</v>
      </c>
      <c r="AB6379" t="n">
        <v>1</v>
      </c>
      <c r="AC6379" t="n">
        <v>3</v>
      </c>
      <c r="AD6379" t="n">
        <v>84786</v>
      </c>
      <c r="AE6379" t="n">
        <v>84786</v>
      </c>
      <c r="AF6379" t="n">
        <v>9313</v>
      </c>
      <c r="AG6379" t="n">
        <v>1</v>
      </c>
      <c r="AH6379" t="inlineStr">
        <is>
          <t>PT. BERSAMA DISTRIVERSA INDONESIA (DC CIPUTAT)</t>
        </is>
      </c>
      <c r="AI6379" t="n">
        <v>1853</v>
      </c>
      <c r="AJ6379" t="inlineStr">
        <is>
          <t>YESSICA'S</t>
        </is>
      </c>
      <c r="AK6379" t="n">
        <v>21</v>
      </c>
      <c r="AL6379" t="inlineStr">
        <is>
          <t>Miss Glam Damar</t>
        </is>
      </c>
      <c r="AM6379" t="n">
        <v>1</v>
      </c>
      <c r="AN6379" t="n">
        <v>500000</v>
      </c>
      <c r="AO6379" t="n">
        <v>0</v>
      </c>
      <c r="AP6379" t="inlineStr"/>
      <c r="AQ6379" t="inlineStr"/>
    </row>
    <row r="6380">
      <c r="A6380" t="inlineStr">
        <is>
          <t>YESSICA'S</t>
        </is>
      </c>
      <c r="B6380" s="2">
        <f>"8993319860538"</f>
        <v/>
      </c>
      <c r="C6380" t="inlineStr">
        <is>
          <t>YESSICA'S Cover Girl Air Foundation Shade 02 30gr</t>
        </is>
      </c>
      <c r="D6380" t="inlineStr">
        <is>
          <t>Miss Glam Damar</t>
        </is>
      </c>
      <c r="E6380" t="n">
        <v>0</v>
      </c>
      <c r="F6380" t="n">
        <v>0.1456</v>
      </c>
      <c r="G6380" t="n">
        <v>1.82</v>
      </c>
      <c r="H6380" t="n">
        <v>4</v>
      </c>
      <c r="I6380" t="n">
        <v>21</v>
      </c>
      <c r="J6380" t="n">
        <v>3</v>
      </c>
      <c r="K6380" t="n">
        <v>0</v>
      </c>
      <c r="L6380" t="n">
        <v>18967</v>
      </c>
      <c r="M6380" t="n">
        <v>22000</v>
      </c>
      <c r="N6380" t="n">
        <v>91</v>
      </c>
      <c r="O6380" t="n">
        <v>0.91</v>
      </c>
      <c r="P6380" t="n">
        <v>1</v>
      </c>
      <c r="Q6380" t="n">
        <v>0.17</v>
      </c>
      <c r="R6380" t="n">
        <v>4</v>
      </c>
      <c r="S6380" t="n">
        <v>3203.2</v>
      </c>
      <c r="T6380" t="n">
        <v>38</v>
      </c>
      <c r="U6380" t="n">
        <v>39</v>
      </c>
      <c r="V6380" t="n">
        <v>30</v>
      </c>
      <c r="W6380" t="n">
        <v>5</v>
      </c>
      <c r="X6380" t="n">
        <v>0</v>
      </c>
      <c r="Y6380" t="n">
        <v>1</v>
      </c>
      <c r="Z6380" t="n">
        <v>5</v>
      </c>
      <c r="AA6380" t="n">
        <v>4</v>
      </c>
      <c r="AB6380" t="n">
        <v>1</v>
      </c>
      <c r="AC6380" t="n">
        <v>3</v>
      </c>
      <c r="AD6380" t="n">
        <v>75868</v>
      </c>
      <c r="AE6380" t="n">
        <v>56901</v>
      </c>
      <c r="AF6380" t="n">
        <v>9313</v>
      </c>
      <c r="AG6380" t="n">
        <v>1</v>
      </c>
      <c r="AH6380" t="inlineStr">
        <is>
          <t>PT. BERSAMA DISTRIVERSA INDONESIA (DC CIPUTAT)</t>
        </is>
      </c>
      <c r="AI6380" t="n">
        <v>1853</v>
      </c>
      <c r="AJ6380" t="inlineStr">
        <is>
          <t>YESSICA'S</t>
        </is>
      </c>
      <c r="AK6380" t="n">
        <v>21</v>
      </c>
      <c r="AL6380" t="inlineStr">
        <is>
          <t>Miss Glam Damar</t>
        </is>
      </c>
      <c r="AM6380" t="n">
        <v>1</v>
      </c>
      <c r="AN6380" t="n">
        <v>500000</v>
      </c>
      <c r="AO6380" t="n">
        <v>0</v>
      </c>
      <c r="AP6380" t="inlineStr"/>
      <c r="AQ6380" t="inlineStr"/>
    </row>
    <row r="6381">
      <c r="A6381" t="inlineStr">
        <is>
          <t>YESSICA'S</t>
        </is>
      </c>
      <c r="B6381" s="2">
        <f>"8993319861764"</f>
        <v/>
      </c>
      <c r="C6381" t="inlineStr">
        <is>
          <t>YESSICA'S Makeup Setting Spray 100ml</t>
        </is>
      </c>
      <c r="D6381" t="inlineStr">
        <is>
          <t>Miss Glam Damar</t>
        </is>
      </c>
      <c r="E6381" t="n">
        <v>0</v>
      </c>
      <c r="F6381" t="n">
        <v>0.1183</v>
      </c>
      <c r="G6381" t="n">
        <v>0.91</v>
      </c>
      <c r="H6381" t="n">
        <v>4</v>
      </c>
      <c r="I6381" t="n">
        <v>21</v>
      </c>
      <c r="J6381" t="n">
        <v>3</v>
      </c>
      <c r="K6381" t="n">
        <v>0</v>
      </c>
      <c r="L6381" t="n">
        <v>31683</v>
      </c>
      <c r="M6381" t="n">
        <v>40000</v>
      </c>
      <c r="N6381" t="n">
        <v>91</v>
      </c>
      <c r="O6381" t="n">
        <v>0.91</v>
      </c>
      <c r="P6381" t="n">
        <v>1</v>
      </c>
      <c r="Q6381" t="n">
        <v>0.07000000000000001</v>
      </c>
      <c r="R6381" t="n">
        <v>1</v>
      </c>
      <c r="S6381" t="n">
        <v>4732</v>
      </c>
      <c r="T6381" t="n">
        <v>19</v>
      </c>
      <c r="U6381" t="n">
        <v>20</v>
      </c>
      <c r="V6381" t="n">
        <v>30</v>
      </c>
      <c r="W6381" t="n">
        <v>4</v>
      </c>
      <c r="X6381" t="n">
        <v>0</v>
      </c>
      <c r="Y6381" t="n">
        <v>1</v>
      </c>
      <c r="Z6381" t="n">
        <v>4</v>
      </c>
      <c r="AA6381" t="n">
        <v>3</v>
      </c>
      <c r="AB6381" t="n">
        <v>1</v>
      </c>
      <c r="AC6381" t="n">
        <v>3</v>
      </c>
      <c r="AD6381" t="n">
        <v>95049</v>
      </c>
      <c r="AE6381" t="n">
        <v>95049</v>
      </c>
      <c r="AF6381" t="n">
        <v>9313</v>
      </c>
      <c r="AG6381" t="n">
        <v>1</v>
      </c>
      <c r="AH6381" t="inlineStr">
        <is>
          <t>PT. BERSAMA DISTRIVERSA INDONESIA (DC CIPUTAT)</t>
        </is>
      </c>
      <c r="AI6381" t="n">
        <v>1853</v>
      </c>
      <c r="AJ6381" t="inlineStr">
        <is>
          <t>YESSICA'S</t>
        </is>
      </c>
      <c r="AK6381" t="n">
        <v>21</v>
      </c>
      <c r="AL6381" t="inlineStr">
        <is>
          <t>Miss Glam Damar</t>
        </is>
      </c>
      <c r="AM6381" t="n">
        <v>1</v>
      </c>
      <c r="AN6381" t="n">
        <v>500000</v>
      </c>
      <c r="AO6381" t="n">
        <v>0</v>
      </c>
      <c r="AP6381" t="inlineStr"/>
      <c r="AQ6381" t="inlineStr"/>
    </row>
    <row r="6382">
      <c r="A6382" t="inlineStr">
        <is>
          <t>YOONA</t>
        </is>
      </c>
      <c r="B6382" s="2">
        <f>"30800306752"</f>
        <v/>
      </c>
      <c r="C6382" t="inlineStr">
        <is>
          <t>YOONA Discover Wellness  6 All Night Pads</t>
        </is>
      </c>
      <c r="D6382" t="inlineStr">
        <is>
          <t>Miss Glam Damar</t>
        </is>
      </c>
      <c r="E6382" t="n">
        <v>5</v>
      </c>
      <c r="F6382" t="n">
        <v>0.0728</v>
      </c>
      <c r="G6382" t="n">
        <v>0.91</v>
      </c>
      <c r="H6382" t="n">
        <v>4</v>
      </c>
      <c r="I6382" t="n">
        <v>21</v>
      </c>
      <c r="J6382" t="n">
        <v>1</v>
      </c>
      <c r="K6382" t="n">
        <v>0</v>
      </c>
      <c r="L6382" t="n">
        <v>21560</v>
      </c>
      <c r="M6382" t="n">
        <v>38000</v>
      </c>
      <c r="N6382" t="n">
        <v>91</v>
      </c>
      <c r="O6382" t="n">
        <v>0.91</v>
      </c>
      <c r="P6382" t="n">
        <v>1</v>
      </c>
      <c r="Q6382" t="n">
        <v>0.1</v>
      </c>
      <c r="R6382" t="n">
        <v>1</v>
      </c>
      <c r="S6382" t="n">
        <v>2766.4</v>
      </c>
      <c r="T6382" t="n">
        <v>19</v>
      </c>
      <c r="U6382" t="n">
        <v>20</v>
      </c>
      <c r="V6382" t="n">
        <v>30</v>
      </c>
      <c r="W6382" t="n">
        <v>3</v>
      </c>
      <c r="X6382" t="n">
        <v>68.68131868131867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9346</v>
      </c>
      <c r="AG6382" t="n">
        <v>1</v>
      </c>
      <c r="AH6382" t="inlineStr">
        <is>
          <t>PT. BERSAMA DISTRIVERSA INDONESIA (DC CIPUTAT)</t>
        </is>
      </c>
      <c r="AI6382" t="n">
        <v>1600</v>
      </c>
      <c r="AJ6382" t="inlineStr">
        <is>
          <t>YOONA</t>
        </is>
      </c>
      <c r="AK6382" t="n">
        <v>21</v>
      </c>
      <c r="AL6382" t="inlineStr">
        <is>
          <t>Miss Glam Damar</t>
        </is>
      </c>
      <c r="AM6382" t="n">
        <v>2</v>
      </c>
      <c r="AN6382" t="n">
        <v>500000</v>
      </c>
      <c r="AO6382" t="n">
        <v>0</v>
      </c>
      <c r="AP6382" t="inlineStr"/>
      <c r="AQ6382" t="inlineStr"/>
    </row>
    <row r="6383">
      <c r="A6383" t="inlineStr">
        <is>
          <t>YOONA</t>
        </is>
      </c>
      <c r="B6383" s="2">
        <f>"655255182201"</f>
        <v/>
      </c>
      <c r="C6383" t="inlineStr">
        <is>
          <t>YOONA Discover Wellness 10 Day Pads</t>
        </is>
      </c>
      <c r="D6383" t="inlineStr">
        <is>
          <t>Miss Glam Damar</t>
        </is>
      </c>
      <c r="E6383" t="n">
        <v>0</v>
      </c>
      <c r="F6383" t="n">
        <v>0.0273</v>
      </c>
      <c r="G6383" t="n">
        <v>0.91</v>
      </c>
      <c r="H6383" t="n">
        <v>4</v>
      </c>
      <c r="I6383" t="n">
        <v>21</v>
      </c>
      <c r="J6383" t="n">
        <v>3</v>
      </c>
      <c r="K6383" t="n">
        <v>0</v>
      </c>
      <c r="L6383" t="n">
        <v>25760</v>
      </c>
      <c r="M6383" t="n">
        <v>40500</v>
      </c>
      <c r="N6383" t="n">
        <v>91</v>
      </c>
      <c r="O6383" t="n">
        <v>0.91</v>
      </c>
      <c r="P6383" t="n">
        <v>1</v>
      </c>
      <c r="Q6383" t="n">
        <v>0.11</v>
      </c>
      <c r="R6383" t="n">
        <v>2</v>
      </c>
      <c r="S6383" t="n">
        <v>1105.65</v>
      </c>
      <c r="T6383" t="n">
        <v>20</v>
      </c>
      <c r="U6383" t="n">
        <v>21</v>
      </c>
      <c r="V6383" t="n">
        <v>30</v>
      </c>
      <c r="W6383" t="n">
        <v>1</v>
      </c>
      <c r="X6383" t="n">
        <v>0</v>
      </c>
      <c r="Y6383" t="n">
        <v>1</v>
      </c>
      <c r="Z6383" t="n">
        <v>1</v>
      </c>
      <c r="AA6383" t="n">
        <v>1</v>
      </c>
      <c r="AB6383" t="n">
        <v>0</v>
      </c>
      <c r="AC6383" t="n">
        <v>0</v>
      </c>
      <c r="AD6383" t="n">
        <v>25760</v>
      </c>
      <c r="AE6383" t="n">
        <v>0</v>
      </c>
      <c r="AF6383" t="n">
        <v>9346</v>
      </c>
      <c r="AG6383" t="n">
        <v>1</v>
      </c>
      <c r="AH6383" t="inlineStr">
        <is>
          <t>PT. BERSAMA DISTRIVERSA INDONESIA (DC CIPUTAT)</t>
        </is>
      </c>
      <c r="AI6383" t="n">
        <v>1600</v>
      </c>
      <c r="AJ6383" t="inlineStr">
        <is>
          <t>YOONA</t>
        </is>
      </c>
      <c r="AK6383" t="n">
        <v>21</v>
      </c>
      <c r="AL6383" t="inlineStr">
        <is>
          <t>Miss Glam Damar</t>
        </is>
      </c>
      <c r="AM6383" t="n">
        <v>2</v>
      </c>
      <c r="AN6383" t="n">
        <v>500000</v>
      </c>
      <c r="AO6383" t="n">
        <v>0</v>
      </c>
      <c r="AP6383" t="inlineStr"/>
      <c r="AQ6383" t="inlineStr"/>
    </row>
    <row r="6384">
      <c r="A6384" t="inlineStr">
        <is>
          <t>YOONA</t>
        </is>
      </c>
      <c r="B6384" s="2">
        <f>"655255164146"</f>
        <v/>
      </c>
      <c r="C6384" t="inlineStr">
        <is>
          <t>YOONA Discover Wellness 8 Night Pads</t>
        </is>
      </c>
      <c r="D6384" t="inlineStr">
        <is>
          <t>Miss Glam Damar</t>
        </is>
      </c>
      <c r="E6384" t="n">
        <v>7</v>
      </c>
      <c r="F6384" t="n">
        <v>0.14</v>
      </c>
      <c r="G6384" t="n">
        <v>1</v>
      </c>
      <c r="H6384" t="n">
        <v>4</v>
      </c>
      <c r="I6384" t="n">
        <v>21</v>
      </c>
      <c r="J6384" t="n">
        <v>3</v>
      </c>
      <c r="K6384" t="n">
        <v>0</v>
      </c>
      <c r="L6384" t="n">
        <v>25760</v>
      </c>
      <c r="M6384" t="n">
        <v>40500</v>
      </c>
      <c r="N6384" t="n">
        <v>91</v>
      </c>
      <c r="O6384" t="n">
        <v>0.91</v>
      </c>
      <c r="P6384" t="n">
        <v>0</v>
      </c>
      <c r="Q6384" t="n">
        <v>0.14</v>
      </c>
      <c r="R6384" t="n">
        <v>1</v>
      </c>
      <c r="S6384" t="n">
        <v>5670.000000000001</v>
      </c>
      <c r="T6384" t="n">
        <v>21</v>
      </c>
      <c r="U6384" t="n">
        <v>22</v>
      </c>
      <c r="V6384" t="n">
        <v>30</v>
      </c>
      <c r="W6384" t="n">
        <v>5</v>
      </c>
      <c r="X6384" t="n">
        <v>49.99999999999999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9346</v>
      </c>
      <c r="AG6384" t="n">
        <v>1</v>
      </c>
      <c r="AH6384" t="inlineStr">
        <is>
          <t>PT. BERSAMA DISTRIVERSA INDONESIA (DC CIPUTAT)</t>
        </is>
      </c>
      <c r="AI6384" t="n">
        <v>1600</v>
      </c>
      <c r="AJ6384" t="inlineStr">
        <is>
          <t>YOONA</t>
        </is>
      </c>
      <c r="AK6384" t="n">
        <v>21</v>
      </c>
      <c r="AL6384" t="inlineStr">
        <is>
          <t>Miss Glam Damar</t>
        </is>
      </c>
      <c r="AM6384" t="n">
        <v>2</v>
      </c>
      <c r="AN6384" t="n">
        <v>500000</v>
      </c>
      <c r="AO6384" t="n">
        <v>0</v>
      </c>
      <c r="AP6384" t="inlineStr"/>
      <c r="AQ6384" t="inlineStr"/>
    </row>
    <row r="6385">
      <c r="A6385" t="inlineStr">
        <is>
          <t>YOONA</t>
        </is>
      </c>
      <c r="B6385" s="2">
        <f>"655255233040"</f>
        <v/>
      </c>
      <c r="C6385" t="inlineStr">
        <is>
          <t>YOONA Panty liners 20 pads</t>
        </is>
      </c>
      <c r="D6385" t="inlineStr">
        <is>
          <t>Miss Glam Damar</t>
        </is>
      </c>
      <c r="E6385" t="n">
        <v>0</v>
      </c>
      <c r="F6385" t="n">
        <v>0.06</v>
      </c>
      <c r="G6385" t="n">
        <v>1</v>
      </c>
      <c r="H6385" t="n">
        <v>4</v>
      </c>
      <c r="I6385" t="n">
        <v>21</v>
      </c>
      <c r="J6385" t="n">
        <v>3</v>
      </c>
      <c r="K6385" t="n">
        <v>0</v>
      </c>
      <c r="L6385" t="n">
        <v>27160</v>
      </c>
      <c r="M6385" t="n">
        <v>38500</v>
      </c>
      <c r="N6385" t="n">
        <v>91</v>
      </c>
      <c r="O6385" t="n">
        <v>0.91</v>
      </c>
      <c r="P6385" t="n">
        <v>0</v>
      </c>
      <c r="Q6385" t="n">
        <v>0.06</v>
      </c>
      <c r="R6385" t="n">
        <v>1</v>
      </c>
      <c r="S6385" t="n">
        <v>2310</v>
      </c>
      <c r="T6385" t="n">
        <v>21</v>
      </c>
      <c r="U6385" t="n">
        <v>22</v>
      </c>
      <c r="V6385" t="n">
        <v>30</v>
      </c>
      <c r="W6385" t="n">
        <v>2</v>
      </c>
      <c r="X6385" t="n">
        <v>0</v>
      </c>
      <c r="Y6385" t="n">
        <v>1</v>
      </c>
      <c r="Z6385" t="n">
        <v>2</v>
      </c>
      <c r="AA6385" t="n">
        <v>2</v>
      </c>
      <c r="AB6385" t="n">
        <v>0</v>
      </c>
      <c r="AC6385" t="n">
        <v>0</v>
      </c>
      <c r="AD6385" t="n">
        <v>54320</v>
      </c>
      <c r="AE6385" t="n">
        <v>0</v>
      </c>
      <c r="AF6385" t="n">
        <v>9346</v>
      </c>
      <c r="AG6385" t="n">
        <v>1</v>
      </c>
      <c r="AH6385" t="inlineStr">
        <is>
          <t>PT. BERSAMA DISTRIVERSA INDONESIA (DC CIPUTAT)</t>
        </is>
      </c>
      <c r="AI6385" t="n">
        <v>1600</v>
      </c>
      <c r="AJ6385" t="inlineStr">
        <is>
          <t>YOONA</t>
        </is>
      </c>
      <c r="AK6385" t="n">
        <v>21</v>
      </c>
      <c r="AL6385" t="inlineStr">
        <is>
          <t>Miss Glam Damar</t>
        </is>
      </c>
      <c r="AM6385" t="n">
        <v>2</v>
      </c>
      <c r="AN6385" t="n">
        <v>500000</v>
      </c>
      <c r="AO6385" t="n">
        <v>0</v>
      </c>
      <c r="AP6385" t="inlineStr"/>
      <c r="AQ6385" t="inlineStr"/>
    </row>
    <row r="6386">
      <c r="A6386" t="inlineStr">
        <is>
          <t>YOU</t>
        </is>
      </c>
      <c r="B6386" s="2">
        <f>"8991748007555"</f>
        <v/>
      </c>
      <c r="C6386" t="inlineStr">
        <is>
          <t>YOU Acne Plus Multi Action Skin Cream 30gr</t>
        </is>
      </c>
      <c r="D6386" t="inlineStr">
        <is>
          <t>Miss Glam Damar</t>
        </is>
      </c>
      <c r="E6386" t="n">
        <v>2</v>
      </c>
      <c r="F6386" t="n">
        <v>0.1365</v>
      </c>
      <c r="G6386" t="n">
        <v>2.73</v>
      </c>
      <c r="H6386" t="n">
        <v>2</v>
      </c>
      <c r="I6386" t="n">
        <v>9</v>
      </c>
      <c r="J6386" t="n">
        <v>3</v>
      </c>
      <c r="K6386" t="n">
        <v>0</v>
      </c>
      <c r="L6386" t="n">
        <v>38320</v>
      </c>
      <c r="M6386" t="n">
        <v>47900</v>
      </c>
      <c r="N6386" t="n">
        <v>91</v>
      </c>
      <c r="O6386" t="n">
        <v>0.91</v>
      </c>
      <c r="P6386" t="n">
        <v>1</v>
      </c>
      <c r="Q6386" t="n">
        <v>0.08</v>
      </c>
      <c r="R6386" t="n">
        <v>2</v>
      </c>
      <c r="S6386" t="n">
        <v>6538.35</v>
      </c>
      <c r="T6386" t="n">
        <v>25</v>
      </c>
      <c r="U6386" t="n">
        <v>26</v>
      </c>
      <c r="V6386" t="n">
        <v>30</v>
      </c>
      <c r="W6386" t="n">
        <v>5</v>
      </c>
      <c r="X6386" t="n">
        <v>14.65201465201465</v>
      </c>
      <c r="Y6386" t="n">
        <v>1</v>
      </c>
      <c r="Z6386" t="n">
        <v>3</v>
      </c>
      <c r="AA6386" t="n">
        <v>0</v>
      </c>
      <c r="AB6386" t="n">
        <v>3</v>
      </c>
      <c r="AC6386" t="n">
        <v>3</v>
      </c>
      <c r="AD6386" t="n">
        <v>0</v>
      </c>
      <c r="AE6386" t="n">
        <v>114960</v>
      </c>
      <c r="AF6386" t="n">
        <v>10397</v>
      </c>
      <c r="AG6386" t="n">
        <v>170</v>
      </c>
      <c r="AH6386" t="inlineStr">
        <is>
          <t>PT. JALUR MANDIRI UTAMA - PPN (PDG)</t>
        </is>
      </c>
      <c r="AI6386" t="n">
        <v>170</v>
      </c>
      <c r="AJ6386" t="inlineStr">
        <is>
          <t>YOU</t>
        </is>
      </c>
      <c r="AK6386" t="n">
        <v>21</v>
      </c>
      <c r="AL6386" t="inlineStr">
        <is>
          <t>Miss Glam Damar</t>
        </is>
      </c>
      <c r="AM6386" t="n">
        <v>1</v>
      </c>
      <c r="AN6386" t="n">
        <v>500000</v>
      </c>
      <c r="AO6386" t="n">
        <v>0</v>
      </c>
      <c r="AP6386" t="inlineStr"/>
      <c r="AQ6386" t="inlineStr"/>
    </row>
    <row r="6387">
      <c r="A6387" t="inlineStr">
        <is>
          <t>YOU</t>
        </is>
      </c>
      <c r="B6387" s="2">
        <f>"8997227896573"</f>
        <v/>
      </c>
      <c r="C6387" t="inlineStr">
        <is>
          <t>YOU Acne Plus Triple Action Spot Care 15g</t>
        </is>
      </c>
      <c r="D6387" t="inlineStr">
        <is>
          <t>Miss Glam Damar</t>
        </is>
      </c>
      <c r="E6387" t="n">
        <v>0</v>
      </c>
      <c r="F6387" t="n">
        <v>0.18</v>
      </c>
      <c r="G6387" t="n">
        <v>2</v>
      </c>
      <c r="H6387" t="n">
        <v>2</v>
      </c>
      <c r="I6387" t="n">
        <v>9</v>
      </c>
      <c r="J6387" t="n">
        <v>3</v>
      </c>
      <c r="K6387" t="n">
        <v>0</v>
      </c>
      <c r="L6387" t="n">
        <v>31920</v>
      </c>
      <c r="M6387" t="n">
        <v>39900</v>
      </c>
      <c r="N6387" t="n">
        <v>91</v>
      </c>
      <c r="O6387" t="n">
        <v>0.91</v>
      </c>
      <c r="P6387" t="n">
        <v>0</v>
      </c>
      <c r="Q6387" t="n">
        <v>0.18</v>
      </c>
      <c r="R6387" t="n">
        <v>2</v>
      </c>
      <c r="S6387" t="n">
        <v>7182</v>
      </c>
      <c r="T6387" t="n">
        <v>18</v>
      </c>
      <c r="U6387" t="n">
        <v>19</v>
      </c>
      <c r="V6387" t="n">
        <v>30</v>
      </c>
      <c r="W6387" t="n">
        <v>6</v>
      </c>
      <c r="X6387" t="n">
        <v>0</v>
      </c>
      <c r="Y6387" t="n">
        <v>1</v>
      </c>
      <c r="Z6387" t="n">
        <v>6</v>
      </c>
      <c r="AA6387" t="n">
        <v>2</v>
      </c>
      <c r="AB6387" t="n">
        <v>4</v>
      </c>
      <c r="AC6387" t="n">
        <v>4</v>
      </c>
      <c r="AD6387" t="n">
        <v>63840</v>
      </c>
      <c r="AE6387" t="n">
        <v>127680</v>
      </c>
      <c r="AF6387" t="n">
        <v>10397</v>
      </c>
      <c r="AG6387" t="n">
        <v>170</v>
      </c>
      <c r="AH6387" t="inlineStr">
        <is>
          <t>PT. JALUR MANDIRI UTAMA - PPN (PDG)</t>
        </is>
      </c>
      <c r="AI6387" t="n">
        <v>170</v>
      </c>
      <c r="AJ6387" t="inlineStr">
        <is>
          <t>YOU</t>
        </is>
      </c>
      <c r="AK6387" t="n">
        <v>21</v>
      </c>
      <c r="AL6387" t="inlineStr">
        <is>
          <t>Miss Glam Damar</t>
        </is>
      </c>
      <c r="AM6387" t="n">
        <v>1</v>
      </c>
      <c r="AN6387" t="n">
        <v>500000</v>
      </c>
      <c r="AO6387" t="n">
        <v>0</v>
      </c>
      <c r="AP6387" t="inlineStr"/>
      <c r="AQ6387" t="inlineStr"/>
    </row>
    <row r="6388">
      <c r="A6388" t="inlineStr">
        <is>
          <t>YOU</t>
        </is>
      </c>
      <c r="B6388" s="2">
        <f>"11200219338"</f>
        <v/>
      </c>
      <c r="C6388" t="inlineStr">
        <is>
          <t>YOU Acneplus 2% Bha Fight Acne Serum 20ml</t>
        </is>
      </c>
      <c r="D6388" t="inlineStr">
        <is>
          <t>Miss Glam Damar</t>
        </is>
      </c>
      <c r="E6388" t="n">
        <v>13</v>
      </c>
      <c r="F6388" t="n">
        <v>0.1365</v>
      </c>
      <c r="G6388" t="n">
        <v>1.82</v>
      </c>
      <c r="H6388" t="n">
        <v>2</v>
      </c>
      <c r="I6388" t="n">
        <v>9</v>
      </c>
      <c r="J6388" t="n">
        <v>1</v>
      </c>
      <c r="K6388" t="n">
        <v>0</v>
      </c>
      <c r="L6388" t="n">
        <v>63920</v>
      </c>
      <c r="M6388" t="n">
        <v>79900</v>
      </c>
      <c r="N6388" t="n">
        <v>91</v>
      </c>
      <c r="O6388" t="n">
        <v>0.91</v>
      </c>
      <c r="P6388" t="n">
        <v>1</v>
      </c>
      <c r="Q6388" t="n">
        <v>0.14</v>
      </c>
      <c r="R6388" t="n">
        <v>2</v>
      </c>
      <c r="S6388" t="n">
        <v>10906.35</v>
      </c>
      <c r="T6388" t="n">
        <v>17</v>
      </c>
      <c r="U6388" t="n">
        <v>18</v>
      </c>
      <c r="V6388" t="n">
        <v>30</v>
      </c>
      <c r="W6388" t="n">
        <v>5</v>
      </c>
      <c r="X6388" t="n">
        <v>95.23809523809523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10397</v>
      </c>
      <c r="AG6388" t="n">
        <v>170</v>
      </c>
      <c r="AH6388" t="inlineStr">
        <is>
          <t>PT. JALUR MANDIRI UTAMA - PPN (PDG)</t>
        </is>
      </c>
      <c r="AI6388" t="n">
        <v>170</v>
      </c>
      <c r="AJ6388" t="inlineStr">
        <is>
          <t>YOU</t>
        </is>
      </c>
      <c r="AK6388" t="n">
        <v>21</v>
      </c>
      <c r="AL6388" t="inlineStr">
        <is>
          <t>Miss Glam Damar</t>
        </is>
      </c>
      <c r="AM6388" t="n">
        <v>1</v>
      </c>
      <c r="AN6388" t="n">
        <v>500000</v>
      </c>
      <c r="AO6388" t="n">
        <v>0</v>
      </c>
      <c r="AP6388" t="inlineStr"/>
      <c r="AQ6388" t="inlineStr"/>
    </row>
    <row r="6389">
      <c r="A6389" t="inlineStr">
        <is>
          <t>YOU</t>
        </is>
      </c>
      <c r="B6389" s="2">
        <f>"10200162308"</f>
        <v/>
      </c>
      <c r="C6389" t="inlineStr">
        <is>
          <t>YOU ACNEPLUS 5X Acid Toner 90% Centella Leaf Water 80ml</t>
        </is>
      </c>
      <c r="D6389" t="inlineStr">
        <is>
          <t>Miss Glam Damar</t>
        </is>
      </c>
      <c r="E6389" t="n">
        <v>34</v>
      </c>
      <c r="F6389" t="n">
        <v>0.182</v>
      </c>
      <c r="G6389" t="n">
        <v>1.82</v>
      </c>
      <c r="H6389" t="n">
        <v>2</v>
      </c>
      <c r="I6389" t="n">
        <v>9</v>
      </c>
      <c r="J6389" t="n">
        <v>1</v>
      </c>
      <c r="K6389" t="n">
        <v>0</v>
      </c>
      <c r="L6389" t="n">
        <v>39200</v>
      </c>
      <c r="M6389" t="n">
        <v>49000</v>
      </c>
      <c r="N6389" t="n">
        <v>91</v>
      </c>
      <c r="O6389" t="n">
        <v>0.91</v>
      </c>
      <c r="P6389" t="n">
        <v>1</v>
      </c>
      <c r="Q6389" t="n">
        <v>0.12</v>
      </c>
      <c r="R6389" t="n">
        <v>1</v>
      </c>
      <c r="S6389" t="n">
        <v>8918.000000000002</v>
      </c>
      <c r="T6389" t="n">
        <v>17</v>
      </c>
      <c r="U6389" t="n">
        <v>18</v>
      </c>
      <c r="V6389" t="n">
        <v>30</v>
      </c>
      <c r="W6389" t="n">
        <v>6</v>
      </c>
      <c r="X6389" t="n">
        <v>186.8131868131868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10397</v>
      </c>
      <c r="AG6389" t="n">
        <v>170</v>
      </c>
      <c r="AH6389" t="inlineStr">
        <is>
          <t>PT. JALUR MANDIRI UTAMA - PPN (PDG)</t>
        </is>
      </c>
      <c r="AI6389" t="n">
        <v>170</v>
      </c>
      <c r="AJ6389" t="inlineStr">
        <is>
          <t>YOU</t>
        </is>
      </c>
      <c r="AK6389" t="n">
        <v>21</v>
      </c>
      <c r="AL6389" t="inlineStr">
        <is>
          <t>Miss Glam Damar</t>
        </is>
      </c>
      <c r="AM6389" t="n">
        <v>1</v>
      </c>
      <c r="AN6389" t="n">
        <v>500000</v>
      </c>
      <c r="AO6389" t="n">
        <v>0</v>
      </c>
      <c r="AP6389" t="inlineStr"/>
      <c r="AQ6389" t="inlineStr"/>
    </row>
    <row r="6390">
      <c r="A6390" t="inlineStr">
        <is>
          <t>YOU</t>
        </is>
      </c>
      <c r="B6390" s="2">
        <f>"10300514130"</f>
        <v/>
      </c>
      <c r="C6390" t="inlineStr">
        <is>
          <t>YOU Acneplus B5 Barrier Moisturizer Gel 30G</t>
        </is>
      </c>
      <c r="D6390" t="inlineStr">
        <is>
          <t>Miss Glam Damar</t>
        </is>
      </c>
      <c r="E6390" t="n">
        <v>32</v>
      </c>
      <c r="F6390" t="n">
        <v>1.001</v>
      </c>
      <c r="G6390" t="n">
        <v>4.55</v>
      </c>
      <c r="H6390" t="n">
        <v>2</v>
      </c>
      <c r="I6390" t="n">
        <v>9</v>
      </c>
      <c r="J6390" t="n">
        <v>1</v>
      </c>
      <c r="K6390" t="n">
        <v>0</v>
      </c>
      <c r="L6390" t="n">
        <v>44097</v>
      </c>
      <c r="M6390" t="n">
        <v>55000</v>
      </c>
      <c r="N6390" t="n">
        <v>91</v>
      </c>
      <c r="O6390" t="n">
        <v>0.91</v>
      </c>
      <c r="P6390" t="n">
        <v>1</v>
      </c>
      <c r="Q6390" t="n">
        <v>0.63</v>
      </c>
      <c r="R6390" t="n">
        <v>6</v>
      </c>
      <c r="S6390" t="n">
        <v>55055.00000000001</v>
      </c>
      <c r="T6390" t="n">
        <v>39</v>
      </c>
      <c r="U6390" t="n">
        <v>42</v>
      </c>
      <c r="V6390" t="n">
        <v>30</v>
      </c>
      <c r="W6390" t="n">
        <v>31</v>
      </c>
      <c r="X6390" t="n">
        <v>31.96803196803197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10397</v>
      </c>
      <c r="AG6390" t="n">
        <v>170</v>
      </c>
      <c r="AH6390" t="inlineStr">
        <is>
          <t>PT. JALUR MANDIRI UTAMA - PPN (PDG)</t>
        </is>
      </c>
      <c r="AI6390" t="n">
        <v>170</v>
      </c>
      <c r="AJ6390" t="inlineStr">
        <is>
          <t>YOU</t>
        </is>
      </c>
      <c r="AK6390" t="n">
        <v>21</v>
      </c>
      <c r="AL6390" t="inlineStr">
        <is>
          <t>Miss Glam Damar</t>
        </is>
      </c>
      <c r="AM6390" t="n">
        <v>1</v>
      </c>
      <c r="AN6390" t="n">
        <v>500000</v>
      </c>
      <c r="AO6390" t="n">
        <v>0</v>
      </c>
      <c r="AP6390" t="inlineStr"/>
      <c r="AQ6390" t="inlineStr"/>
    </row>
    <row r="6391">
      <c r="A6391" t="inlineStr">
        <is>
          <t>YOU</t>
        </is>
      </c>
      <c r="B6391" s="2">
        <f>"8991748006565"</f>
        <v/>
      </c>
      <c r="C6391" t="inlineStr">
        <is>
          <t>YOU Acneplus B5 Shooting Sheet Mask 5x25gr</t>
        </is>
      </c>
      <c r="D6391" t="inlineStr">
        <is>
          <t>Miss Glam Damar</t>
        </is>
      </c>
      <c r="E6391" t="n">
        <v>13</v>
      </c>
      <c r="F6391" t="n">
        <v>0.0728</v>
      </c>
      <c r="G6391" t="n">
        <v>0.91</v>
      </c>
      <c r="H6391" t="n">
        <v>2</v>
      </c>
      <c r="I6391" t="n">
        <v>9</v>
      </c>
      <c r="J6391" t="n">
        <v>3</v>
      </c>
      <c r="K6391" t="n">
        <v>0</v>
      </c>
      <c r="L6391" t="n">
        <v>39920</v>
      </c>
      <c r="M6391" t="n">
        <v>49900</v>
      </c>
      <c r="N6391" t="n">
        <v>91</v>
      </c>
      <c r="O6391" t="n">
        <v>0.91</v>
      </c>
      <c r="P6391" t="n">
        <v>1</v>
      </c>
      <c r="Q6391" t="n">
        <v>0.19</v>
      </c>
      <c r="R6391" t="n">
        <v>3</v>
      </c>
      <c r="S6391" t="n">
        <v>3632.72</v>
      </c>
      <c r="T6391" t="n">
        <v>9</v>
      </c>
      <c r="U6391" t="n">
        <v>10</v>
      </c>
      <c r="V6391" t="n">
        <v>30</v>
      </c>
      <c r="W6391" t="n">
        <v>3</v>
      </c>
      <c r="X6391" t="n">
        <v>178.5714285714286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10397</v>
      </c>
      <c r="AG6391" t="n">
        <v>170</v>
      </c>
      <c r="AH6391" t="inlineStr">
        <is>
          <t>PT. JALUR MANDIRI UTAMA - PPN (PDG)</t>
        </is>
      </c>
      <c r="AI6391" t="n">
        <v>170</v>
      </c>
      <c r="AJ6391" t="inlineStr">
        <is>
          <t>YOU</t>
        </is>
      </c>
      <c r="AK6391" t="n">
        <v>21</v>
      </c>
      <c r="AL6391" t="inlineStr">
        <is>
          <t>Miss Glam Damar</t>
        </is>
      </c>
      <c r="AM6391" t="n">
        <v>1</v>
      </c>
      <c r="AN6391" t="n">
        <v>500000</v>
      </c>
      <c r="AO6391" t="n">
        <v>0</v>
      </c>
      <c r="AP6391" t="inlineStr"/>
      <c r="AQ6391" t="inlineStr"/>
    </row>
    <row r="6392">
      <c r="A6392" t="inlineStr">
        <is>
          <t>YOU</t>
        </is>
      </c>
      <c r="B6392" s="2">
        <f>"8991748005360"</f>
        <v/>
      </c>
      <c r="C6392" t="inlineStr">
        <is>
          <t>YOU Acneplus B5 Soothing Sheet Mask 25gr</t>
        </is>
      </c>
      <c r="D6392" t="inlineStr">
        <is>
          <t>Miss Glam Damar</t>
        </is>
      </c>
      <c r="E6392" t="n">
        <v>0</v>
      </c>
      <c r="F6392" t="n">
        <v>1.6744</v>
      </c>
      <c r="G6392" t="n">
        <v>7.28</v>
      </c>
      <c r="H6392" t="n">
        <v>2</v>
      </c>
      <c r="I6392" t="n">
        <v>9</v>
      </c>
      <c r="J6392" t="n">
        <v>3</v>
      </c>
      <c r="K6392" t="n">
        <v>0</v>
      </c>
      <c r="L6392" t="n">
        <v>9520</v>
      </c>
      <c r="M6392" t="n">
        <v>11900</v>
      </c>
      <c r="N6392" t="n">
        <v>91</v>
      </c>
      <c r="O6392" t="n">
        <v>0.91</v>
      </c>
      <c r="P6392" t="n">
        <v>1</v>
      </c>
      <c r="Q6392" t="n">
        <v>1.58</v>
      </c>
      <c r="R6392" t="n">
        <v>6</v>
      </c>
      <c r="S6392" t="n">
        <v>19925.36</v>
      </c>
      <c r="T6392" t="n">
        <v>63</v>
      </c>
      <c r="U6392" t="n">
        <v>67</v>
      </c>
      <c r="V6392" t="n">
        <v>30</v>
      </c>
      <c r="W6392" t="n">
        <v>51</v>
      </c>
      <c r="X6392" t="n">
        <v>0</v>
      </c>
      <c r="Y6392" t="n">
        <v>1</v>
      </c>
      <c r="Z6392" t="n">
        <v>51</v>
      </c>
      <c r="AA6392" t="n">
        <v>16</v>
      </c>
      <c r="AB6392" t="n">
        <v>35</v>
      </c>
      <c r="AC6392" t="n">
        <v>35</v>
      </c>
      <c r="AD6392" t="n">
        <v>152320</v>
      </c>
      <c r="AE6392" t="n">
        <v>333200</v>
      </c>
      <c r="AF6392" t="n">
        <v>10397</v>
      </c>
      <c r="AG6392" t="n">
        <v>170</v>
      </c>
      <c r="AH6392" t="inlineStr">
        <is>
          <t>PT. JALUR MANDIRI UTAMA - PPN (PDG)</t>
        </is>
      </c>
      <c r="AI6392" t="n">
        <v>170</v>
      </c>
      <c r="AJ6392" t="inlineStr">
        <is>
          <t>YOU</t>
        </is>
      </c>
      <c r="AK6392" t="n">
        <v>21</v>
      </c>
      <c r="AL6392" t="inlineStr">
        <is>
          <t>Miss Glam Damar</t>
        </is>
      </c>
      <c r="AM6392" t="n">
        <v>1</v>
      </c>
      <c r="AN6392" t="n">
        <v>500000</v>
      </c>
      <c r="AO6392" t="n">
        <v>0</v>
      </c>
      <c r="AP6392" t="inlineStr"/>
      <c r="AQ6392" t="inlineStr"/>
    </row>
    <row r="6393">
      <c r="A6393" t="inlineStr">
        <is>
          <t>YOU</t>
        </is>
      </c>
      <c r="B6393" s="2">
        <f>"10600214206"</f>
        <v/>
      </c>
      <c r="C6393" t="inlineStr">
        <is>
          <t>YOU Acneplus BHA Acne Patch 36pcs</t>
        </is>
      </c>
      <c r="D6393" t="inlineStr">
        <is>
          <t>Miss Glam Damar</t>
        </is>
      </c>
      <c r="E6393" t="n">
        <v>41</v>
      </c>
      <c r="F6393" t="n">
        <v>0.4641</v>
      </c>
      <c r="G6393" t="n">
        <v>3.64</v>
      </c>
      <c r="H6393" t="n">
        <v>2</v>
      </c>
      <c r="I6393" t="n">
        <v>9</v>
      </c>
      <c r="J6393" t="n">
        <v>1</v>
      </c>
      <c r="K6393" t="n">
        <v>0</v>
      </c>
      <c r="L6393" t="n">
        <v>23920</v>
      </c>
      <c r="M6393" t="n">
        <v>29900</v>
      </c>
      <c r="N6393" t="n">
        <v>91</v>
      </c>
      <c r="O6393" t="n">
        <v>0.91</v>
      </c>
      <c r="P6393" t="n">
        <v>1</v>
      </c>
      <c r="Q6393" t="n">
        <v>0.5600000000000001</v>
      </c>
      <c r="R6393" t="n">
        <v>5</v>
      </c>
      <c r="S6393" t="n">
        <v>13876.59</v>
      </c>
      <c r="T6393" t="n">
        <v>32</v>
      </c>
      <c r="U6393" t="n">
        <v>33</v>
      </c>
      <c r="V6393" t="n">
        <v>30</v>
      </c>
      <c r="W6393" t="n">
        <v>14</v>
      </c>
      <c r="X6393" t="n">
        <v>88.34302951950011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10397</v>
      </c>
      <c r="AG6393" t="n">
        <v>170</v>
      </c>
      <c r="AH6393" t="inlineStr">
        <is>
          <t>PT. JALUR MANDIRI UTAMA - PPN (PDG)</t>
        </is>
      </c>
      <c r="AI6393" t="n">
        <v>170</v>
      </c>
      <c r="AJ6393" t="inlineStr">
        <is>
          <t>YOU</t>
        </is>
      </c>
      <c r="AK6393" t="n">
        <v>21</v>
      </c>
      <c r="AL6393" t="inlineStr">
        <is>
          <t>Miss Glam Damar</t>
        </is>
      </c>
      <c r="AM6393" t="n">
        <v>1</v>
      </c>
      <c r="AN6393" t="n">
        <v>500000</v>
      </c>
      <c r="AO6393" t="n">
        <v>0</v>
      </c>
      <c r="AP6393" t="inlineStr"/>
      <c r="AQ6393" t="inlineStr"/>
    </row>
    <row r="6394">
      <c r="A6394" t="inlineStr">
        <is>
          <t>YOU</t>
        </is>
      </c>
      <c r="B6394" s="2">
        <f>"101001110434"</f>
        <v/>
      </c>
      <c r="C6394" t="inlineStr">
        <is>
          <t>YOU Acneplus Gentle Cleansing Gel 12ml</t>
        </is>
      </c>
      <c r="D6394" t="inlineStr">
        <is>
          <t>Miss Glam Damar</t>
        </is>
      </c>
      <c r="E6394" t="n">
        <v>44</v>
      </c>
      <c r="F6394" t="n">
        <v>0.7553</v>
      </c>
      <c r="G6394" t="n">
        <v>4.55</v>
      </c>
      <c r="H6394" t="n">
        <v>2</v>
      </c>
      <c r="I6394" t="n">
        <v>9</v>
      </c>
      <c r="J6394" t="n">
        <v>1</v>
      </c>
      <c r="K6394" t="n">
        <v>0</v>
      </c>
      <c r="L6394" t="n">
        <v>36000</v>
      </c>
      <c r="M6394" t="n">
        <v>45000</v>
      </c>
      <c r="N6394" t="n">
        <v>91</v>
      </c>
      <c r="O6394" t="n">
        <v>0.91</v>
      </c>
      <c r="P6394" t="n">
        <v>1</v>
      </c>
      <c r="Q6394" t="n">
        <v>0.88</v>
      </c>
      <c r="R6394" t="n">
        <v>3</v>
      </c>
      <c r="S6394" t="n">
        <v>33988.5</v>
      </c>
      <c r="T6394" t="n">
        <v>40</v>
      </c>
      <c r="U6394" t="n">
        <v>42</v>
      </c>
      <c r="V6394" t="n">
        <v>30</v>
      </c>
      <c r="W6394" t="n">
        <v>23</v>
      </c>
      <c r="X6394" t="n">
        <v>58.25499801403416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10397</v>
      </c>
      <c r="AG6394" t="n">
        <v>170</v>
      </c>
      <c r="AH6394" t="inlineStr">
        <is>
          <t>PT. JALUR MANDIRI UTAMA - PPN (PDG)</t>
        </is>
      </c>
      <c r="AI6394" t="n">
        <v>170</v>
      </c>
      <c r="AJ6394" t="inlineStr">
        <is>
          <t>YOU</t>
        </is>
      </c>
      <c r="AK6394" t="n">
        <v>21</v>
      </c>
      <c r="AL6394" t="inlineStr">
        <is>
          <t>Miss Glam Damar</t>
        </is>
      </c>
      <c r="AM6394" t="n">
        <v>1</v>
      </c>
      <c r="AN6394" t="n">
        <v>500000</v>
      </c>
      <c r="AO6394" t="n">
        <v>0</v>
      </c>
      <c r="AP6394" t="inlineStr"/>
      <c r="AQ6394" t="inlineStr"/>
    </row>
    <row r="6395">
      <c r="A6395" t="inlineStr">
        <is>
          <t>YOU</t>
        </is>
      </c>
      <c r="B6395" s="2">
        <f>"11200218857"</f>
        <v/>
      </c>
      <c r="C6395" t="inlineStr">
        <is>
          <t>YOU Acneplus Spot Care Pro Serum 15gr</t>
        </is>
      </c>
      <c r="D6395" t="inlineStr">
        <is>
          <t>Miss Glam Damar</t>
        </is>
      </c>
      <c r="E6395" t="n">
        <v>98</v>
      </c>
      <c r="F6395" t="n">
        <v>2.6845</v>
      </c>
      <c r="G6395" t="n">
        <v>12.74</v>
      </c>
      <c r="H6395" t="n">
        <v>2</v>
      </c>
      <c r="I6395" t="n">
        <v>9</v>
      </c>
      <c r="J6395" t="n">
        <v>1</v>
      </c>
      <c r="K6395" t="n">
        <v>0</v>
      </c>
      <c r="L6395" t="n">
        <v>31920</v>
      </c>
      <c r="M6395" t="n">
        <v>39900</v>
      </c>
      <c r="N6395" t="n">
        <v>91</v>
      </c>
      <c r="O6395" t="n">
        <v>0.91</v>
      </c>
      <c r="P6395" t="n">
        <v>1</v>
      </c>
      <c r="Q6395" t="n">
        <v>3.31</v>
      </c>
      <c r="R6395" t="n">
        <v>8</v>
      </c>
      <c r="S6395" t="n">
        <v>107111.55</v>
      </c>
      <c r="T6395" t="n">
        <v>110</v>
      </c>
      <c r="U6395" t="n">
        <v>116</v>
      </c>
      <c r="V6395" t="n">
        <v>30</v>
      </c>
      <c r="W6395" t="n">
        <v>81</v>
      </c>
      <c r="X6395" t="n">
        <v>36.50586701434159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10397</v>
      </c>
      <c r="AG6395" t="n">
        <v>170</v>
      </c>
      <c r="AH6395" t="inlineStr">
        <is>
          <t>PT. JALUR MANDIRI UTAMA - PPN (PDG)</t>
        </is>
      </c>
      <c r="AI6395" t="n">
        <v>170</v>
      </c>
      <c r="AJ6395" t="inlineStr">
        <is>
          <t>YOU</t>
        </is>
      </c>
      <c r="AK6395" t="n">
        <v>21</v>
      </c>
      <c r="AL6395" t="inlineStr">
        <is>
          <t>Miss Glam Damar</t>
        </is>
      </c>
      <c r="AM6395" t="n">
        <v>1</v>
      </c>
      <c r="AN6395" t="n">
        <v>500000</v>
      </c>
      <c r="AO6395" t="n">
        <v>0</v>
      </c>
      <c r="AP6395" t="inlineStr"/>
      <c r="AQ6395" t="inlineStr"/>
    </row>
    <row r="6396">
      <c r="A6396" t="inlineStr">
        <is>
          <t>YOU</t>
        </is>
      </c>
      <c r="B6396" s="2">
        <f>"203003102215"</f>
        <v/>
      </c>
      <c r="C6396" t="inlineStr">
        <is>
          <t>YOU Cloud Paint Airy Fixing Lip tint R199 Airy Kiss 3gr</t>
        </is>
      </c>
      <c r="D6396" t="inlineStr">
        <is>
          <t>Miss Glam Damar</t>
        </is>
      </c>
      <c r="E6396" t="n">
        <v>5</v>
      </c>
      <c r="F6396" t="n">
        <v>0.1365</v>
      </c>
      <c r="G6396" t="n">
        <v>1.82</v>
      </c>
      <c r="H6396" t="n">
        <v>2</v>
      </c>
      <c r="I6396" t="n">
        <v>9</v>
      </c>
      <c r="J6396" t="n">
        <v>1</v>
      </c>
      <c r="K6396" t="n">
        <v>0</v>
      </c>
      <c r="L6396" t="n">
        <v>63920</v>
      </c>
      <c r="M6396" t="n">
        <v>79900</v>
      </c>
      <c r="N6396" t="n">
        <v>91</v>
      </c>
      <c r="O6396" t="n">
        <v>0.91</v>
      </c>
      <c r="P6396" t="n">
        <v>1</v>
      </c>
      <c r="Q6396" t="n">
        <v>0.07000000000000001</v>
      </c>
      <c r="R6396" t="n">
        <v>1</v>
      </c>
      <c r="S6396" t="n">
        <v>10906.35</v>
      </c>
      <c r="T6396" t="n">
        <v>17</v>
      </c>
      <c r="U6396" t="n">
        <v>18</v>
      </c>
      <c r="V6396" t="n">
        <v>30</v>
      </c>
      <c r="W6396" t="n">
        <v>5</v>
      </c>
      <c r="X6396" t="n">
        <v>36.63003663003663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10397</v>
      </c>
      <c r="AG6396" t="n">
        <v>170</v>
      </c>
      <c r="AH6396" t="inlineStr">
        <is>
          <t>PT. JALUR MANDIRI UTAMA - PPN (PDG)</t>
        </is>
      </c>
      <c r="AI6396" t="n">
        <v>170</v>
      </c>
      <c r="AJ6396" t="inlineStr">
        <is>
          <t>YOU</t>
        </is>
      </c>
      <c r="AK6396" t="n">
        <v>21</v>
      </c>
      <c r="AL6396" t="inlineStr">
        <is>
          <t>Miss Glam Damar</t>
        </is>
      </c>
      <c r="AM6396" t="n">
        <v>1</v>
      </c>
      <c r="AN6396" t="n">
        <v>500000</v>
      </c>
      <c r="AO6396" t="n">
        <v>0</v>
      </c>
      <c r="AP6396" t="inlineStr"/>
      <c r="AQ6396" t="inlineStr"/>
    </row>
    <row r="6397">
      <c r="A6397" t="inlineStr">
        <is>
          <t>YOU</t>
        </is>
      </c>
      <c r="B6397" s="2">
        <f>"203003102318"</f>
        <v/>
      </c>
      <c r="C6397" t="inlineStr">
        <is>
          <t>YOU Cloud Paint Airy Fixing Lip tint R567 Breezy Day 3gr</t>
        </is>
      </c>
      <c r="D6397" t="inlineStr">
        <is>
          <t>Miss Glam Damar</t>
        </is>
      </c>
      <c r="E6397" t="n">
        <v>49</v>
      </c>
      <c r="F6397" t="n">
        <v>0.0182</v>
      </c>
      <c r="G6397" t="n">
        <v>0</v>
      </c>
      <c r="H6397" t="n">
        <v>2</v>
      </c>
      <c r="I6397" t="n">
        <v>9</v>
      </c>
      <c r="J6397" t="n">
        <v>1</v>
      </c>
      <c r="K6397" t="n">
        <v>0</v>
      </c>
      <c r="L6397" t="n">
        <v>64466</v>
      </c>
      <c r="M6397" t="n">
        <v>79900</v>
      </c>
      <c r="N6397" t="n">
        <v>91</v>
      </c>
      <c r="O6397" t="n">
        <v>0.91</v>
      </c>
      <c r="P6397" t="n">
        <v>1</v>
      </c>
      <c r="Q6397" t="n">
        <v>0.27</v>
      </c>
      <c r="R6397" t="n">
        <v>2</v>
      </c>
      <c r="S6397" t="n">
        <v>1454.18</v>
      </c>
      <c r="T6397" t="n">
        <v>0</v>
      </c>
      <c r="U6397" t="n">
        <v>1</v>
      </c>
      <c r="V6397" t="n">
        <v>30</v>
      </c>
      <c r="W6397" t="n">
        <v>1</v>
      </c>
      <c r="X6397" t="n">
        <v>2692.307692307692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10397</v>
      </c>
      <c r="AG6397" t="n">
        <v>170</v>
      </c>
      <c r="AH6397" t="inlineStr">
        <is>
          <t>PT. JALUR MANDIRI UTAMA - PPN (PDG)</t>
        </is>
      </c>
      <c r="AI6397" t="n">
        <v>170</v>
      </c>
      <c r="AJ6397" t="inlineStr">
        <is>
          <t>YOU</t>
        </is>
      </c>
      <c r="AK6397" t="n">
        <v>21</v>
      </c>
      <c r="AL6397" t="inlineStr">
        <is>
          <t>Miss Glam Damar</t>
        </is>
      </c>
      <c r="AM6397" t="n">
        <v>1</v>
      </c>
      <c r="AN6397" t="n">
        <v>500000</v>
      </c>
      <c r="AO6397" t="n">
        <v>0</v>
      </c>
      <c r="AP6397" t="inlineStr"/>
      <c r="AQ6397" t="inlineStr"/>
    </row>
    <row r="6398">
      <c r="A6398" t="inlineStr">
        <is>
          <t>YOU</t>
        </is>
      </c>
      <c r="B6398" s="2">
        <f>"203003102435"</f>
        <v/>
      </c>
      <c r="C6398" t="inlineStr">
        <is>
          <t>YOU Cloud Paint Airy Fixing Lip tint R646 Rose Bloom 3gr</t>
        </is>
      </c>
      <c r="D6398" t="inlineStr">
        <is>
          <t>Miss Glam Damar</t>
        </is>
      </c>
      <c r="E6398" t="n">
        <v>33</v>
      </c>
      <c r="F6398" t="n">
        <v>0.44</v>
      </c>
      <c r="G6398" t="n">
        <v>3</v>
      </c>
      <c r="H6398" t="n">
        <v>2</v>
      </c>
      <c r="I6398" t="n">
        <v>9</v>
      </c>
      <c r="J6398" t="n">
        <v>1</v>
      </c>
      <c r="K6398" t="n">
        <v>0</v>
      </c>
      <c r="L6398" t="n">
        <v>63930</v>
      </c>
      <c r="M6398" t="n">
        <v>79900</v>
      </c>
      <c r="N6398" t="n">
        <v>91</v>
      </c>
      <c r="O6398" t="n">
        <v>0.91</v>
      </c>
      <c r="P6398" t="n">
        <v>0</v>
      </c>
      <c r="Q6398" t="n">
        <v>0.44</v>
      </c>
      <c r="R6398" t="n">
        <v>3</v>
      </c>
      <c r="S6398" t="n">
        <v>35156</v>
      </c>
      <c r="T6398" t="n">
        <v>27</v>
      </c>
      <c r="U6398" t="n">
        <v>28</v>
      </c>
      <c r="V6398" t="n">
        <v>30</v>
      </c>
      <c r="W6398" t="n">
        <v>14</v>
      </c>
      <c r="X6398" t="n">
        <v>75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10397</v>
      </c>
      <c r="AG6398" t="n">
        <v>170</v>
      </c>
      <c r="AH6398" t="inlineStr">
        <is>
          <t>PT. JALUR MANDIRI UTAMA - PPN (PDG)</t>
        </is>
      </c>
      <c r="AI6398" t="n">
        <v>170</v>
      </c>
      <c r="AJ6398" t="inlineStr">
        <is>
          <t>YOU</t>
        </is>
      </c>
      <c r="AK6398" t="n">
        <v>21</v>
      </c>
      <c r="AL6398" t="inlineStr">
        <is>
          <t>Miss Glam Damar</t>
        </is>
      </c>
      <c r="AM6398" t="n">
        <v>1</v>
      </c>
      <c r="AN6398" t="n">
        <v>500000</v>
      </c>
      <c r="AO6398" t="n">
        <v>0</v>
      </c>
      <c r="AP6398" t="inlineStr"/>
      <c r="AQ6398" t="inlineStr"/>
    </row>
    <row r="6399">
      <c r="A6399" t="inlineStr">
        <is>
          <t>YOU</t>
        </is>
      </c>
      <c r="B6399" s="2">
        <f>"203003102554"</f>
        <v/>
      </c>
      <c r="C6399" t="inlineStr">
        <is>
          <t>YOU Cloud Paint Airy Fixing Lip tint R667 Puffy Sky 3gr</t>
        </is>
      </c>
      <c r="D6399" t="inlineStr">
        <is>
          <t>Miss Glam Damar</t>
        </is>
      </c>
      <c r="E6399" t="n">
        <v>22</v>
      </c>
      <c r="F6399" t="n">
        <v>0.1547</v>
      </c>
      <c r="G6399" t="n">
        <v>1.82</v>
      </c>
      <c r="H6399" t="n">
        <v>2</v>
      </c>
      <c r="I6399" t="n">
        <v>9</v>
      </c>
      <c r="J6399" t="n">
        <v>1</v>
      </c>
      <c r="K6399" t="n">
        <v>0</v>
      </c>
      <c r="L6399" t="n">
        <v>63920</v>
      </c>
      <c r="M6399" t="n">
        <v>79900</v>
      </c>
      <c r="N6399" t="n">
        <v>91</v>
      </c>
      <c r="O6399" t="n">
        <v>0.91</v>
      </c>
      <c r="P6399" t="n">
        <v>1</v>
      </c>
      <c r="Q6399" t="n">
        <v>0.03</v>
      </c>
      <c r="R6399" t="n">
        <v>1</v>
      </c>
      <c r="S6399" t="n">
        <v>12360.53</v>
      </c>
      <c r="T6399" t="n">
        <v>17</v>
      </c>
      <c r="U6399" t="n">
        <v>18</v>
      </c>
      <c r="V6399" t="n">
        <v>30</v>
      </c>
      <c r="W6399" t="n">
        <v>5</v>
      </c>
      <c r="X6399" t="n">
        <v>142.2107304460246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10397</v>
      </c>
      <c r="AG6399" t="n">
        <v>170</v>
      </c>
      <c r="AH6399" t="inlineStr">
        <is>
          <t>PT. JALUR MANDIRI UTAMA - PPN (PDG)</t>
        </is>
      </c>
      <c r="AI6399" t="n">
        <v>170</v>
      </c>
      <c r="AJ6399" t="inlineStr">
        <is>
          <t>YOU</t>
        </is>
      </c>
      <c r="AK6399" t="n">
        <v>21</v>
      </c>
      <c r="AL6399" t="inlineStr">
        <is>
          <t>Miss Glam Damar</t>
        </is>
      </c>
      <c r="AM6399" t="n">
        <v>1</v>
      </c>
      <c r="AN6399" t="n">
        <v>500000</v>
      </c>
      <c r="AO6399" t="n">
        <v>0</v>
      </c>
      <c r="AP6399" t="inlineStr"/>
      <c r="AQ6399" t="inlineStr"/>
    </row>
    <row r="6400">
      <c r="A6400" t="inlineStr">
        <is>
          <t>YOU</t>
        </is>
      </c>
      <c r="B6400" s="2">
        <f>"203003102620"</f>
        <v/>
      </c>
      <c r="C6400" t="inlineStr">
        <is>
          <t>YOU Cloud Paint Airy Fixing Lip tint R688 Blushing Sky 3gr</t>
        </is>
      </c>
      <c r="D6400" t="inlineStr">
        <is>
          <t>Miss Glam Damar</t>
        </is>
      </c>
      <c r="E6400" t="n">
        <v>10</v>
      </c>
      <c r="F6400" t="n">
        <v>0.12</v>
      </c>
      <c r="G6400" t="n">
        <v>1</v>
      </c>
      <c r="H6400" t="n">
        <v>2</v>
      </c>
      <c r="I6400" t="n">
        <v>9</v>
      </c>
      <c r="J6400" t="n">
        <v>1</v>
      </c>
      <c r="K6400" t="n">
        <v>0</v>
      </c>
      <c r="L6400" t="n">
        <v>63920</v>
      </c>
      <c r="M6400" t="n">
        <v>79900</v>
      </c>
      <c r="N6400" t="n">
        <v>91</v>
      </c>
      <c r="O6400" t="n">
        <v>0.91</v>
      </c>
      <c r="P6400" t="n">
        <v>0</v>
      </c>
      <c r="Q6400" t="n">
        <v>0.12</v>
      </c>
      <c r="R6400" t="n">
        <v>1</v>
      </c>
      <c r="S6400" t="n">
        <v>9588</v>
      </c>
      <c r="T6400" t="n">
        <v>9</v>
      </c>
      <c r="U6400" t="n">
        <v>10</v>
      </c>
      <c r="V6400" t="n">
        <v>30</v>
      </c>
      <c r="W6400" t="n">
        <v>4</v>
      </c>
      <c r="X6400" t="n">
        <v>83.33333333333334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10397</v>
      </c>
      <c r="AG6400" t="n">
        <v>170</v>
      </c>
      <c r="AH6400" t="inlineStr">
        <is>
          <t>PT. JALUR MANDIRI UTAMA - PPN (PDG)</t>
        </is>
      </c>
      <c r="AI6400" t="n">
        <v>170</v>
      </c>
      <c r="AJ6400" t="inlineStr">
        <is>
          <t>YOU</t>
        </is>
      </c>
      <c r="AK6400" t="n">
        <v>21</v>
      </c>
      <c r="AL6400" t="inlineStr">
        <is>
          <t>Miss Glam Damar</t>
        </is>
      </c>
      <c r="AM6400" t="n">
        <v>1</v>
      </c>
      <c r="AN6400" t="n">
        <v>500000</v>
      </c>
      <c r="AO6400" t="n">
        <v>0</v>
      </c>
      <c r="AP6400" t="inlineStr"/>
      <c r="AQ6400" t="inlineStr"/>
    </row>
    <row r="6401">
      <c r="A6401" t="inlineStr">
        <is>
          <t>YOU</t>
        </is>
      </c>
      <c r="B6401" s="2">
        <f>"203003102752"</f>
        <v/>
      </c>
      <c r="C6401" t="inlineStr">
        <is>
          <t>YOU Cloud Paint Airy Fixing Lip tint R868 Sun'n Fun 3gr</t>
        </is>
      </c>
      <c r="D6401" t="inlineStr">
        <is>
          <t>Miss Glam Damar</t>
        </is>
      </c>
      <c r="E6401" t="n">
        <v>50</v>
      </c>
      <c r="F6401" t="n">
        <v>0.0182</v>
      </c>
      <c r="G6401" t="n">
        <v>0</v>
      </c>
      <c r="H6401" t="n">
        <v>2</v>
      </c>
      <c r="I6401" t="n">
        <v>9</v>
      </c>
      <c r="J6401" t="n">
        <v>1</v>
      </c>
      <c r="K6401" t="n">
        <v>0</v>
      </c>
      <c r="L6401" t="n">
        <v>64582</v>
      </c>
      <c r="M6401" t="n">
        <v>79900</v>
      </c>
      <c r="N6401" t="n">
        <v>91</v>
      </c>
      <c r="O6401" t="n">
        <v>0.91</v>
      </c>
      <c r="P6401" t="n">
        <v>1</v>
      </c>
      <c r="Q6401" t="n">
        <v>0.22</v>
      </c>
      <c r="R6401" t="n">
        <v>2</v>
      </c>
      <c r="S6401" t="n">
        <v>1454.18</v>
      </c>
      <c r="T6401" t="n">
        <v>0</v>
      </c>
      <c r="U6401" t="n">
        <v>1</v>
      </c>
      <c r="V6401" t="n">
        <v>30</v>
      </c>
      <c r="W6401" t="n">
        <v>1</v>
      </c>
      <c r="X6401" t="n">
        <v>2747.252747252747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10397</v>
      </c>
      <c r="AG6401" t="n">
        <v>170</v>
      </c>
      <c r="AH6401" t="inlineStr">
        <is>
          <t>PT. JALUR MANDIRI UTAMA - PPN (PDG)</t>
        </is>
      </c>
      <c r="AI6401" t="n">
        <v>170</v>
      </c>
      <c r="AJ6401" t="inlineStr">
        <is>
          <t>YOU</t>
        </is>
      </c>
      <c r="AK6401" t="n">
        <v>21</v>
      </c>
      <c r="AL6401" t="inlineStr">
        <is>
          <t>Miss Glam Damar</t>
        </is>
      </c>
      <c r="AM6401" t="n">
        <v>1</v>
      </c>
      <c r="AN6401" t="n">
        <v>500000</v>
      </c>
      <c r="AO6401" t="n">
        <v>0</v>
      </c>
      <c r="AP6401" t="inlineStr"/>
      <c r="AQ6401" t="inlineStr"/>
    </row>
    <row r="6402">
      <c r="A6402" t="inlineStr">
        <is>
          <t>YOU</t>
        </is>
      </c>
      <c r="B6402" s="2">
        <f>"203003102821"</f>
        <v/>
      </c>
      <c r="C6402" t="inlineStr">
        <is>
          <t>YOU Cloud Paint Airy Fixing Lip tint R957 Peac Paradise 3G</t>
        </is>
      </c>
      <c r="D6402" t="inlineStr">
        <is>
          <t>Miss Glam Damar</t>
        </is>
      </c>
      <c r="E6402" t="n">
        <v>43</v>
      </c>
      <c r="F6402" t="n">
        <v>0.51</v>
      </c>
      <c r="G6402" t="n">
        <v>5</v>
      </c>
      <c r="H6402" t="n">
        <v>2</v>
      </c>
      <c r="I6402" t="n">
        <v>9</v>
      </c>
      <c r="J6402" t="n">
        <v>1</v>
      </c>
      <c r="K6402" t="n">
        <v>0</v>
      </c>
      <c r="L6402" t="n">
        <v>63920</v>
      </c>
      <c r="M6402" t="n">
        <v>79900</v>
      </c>
      <c r="N6402" t="n">
        <v>91</v>
      </c>
      <c r="O6402" t="n">
        <v>0.91</v>
      </c>
      <c r="P6402" t="n">
        <v>0</v>
      </c>
      <c r="Q6402" t="n">
        <v>0.51</v>
      </c>
      <c r="R6402" t="n">
        <v>5</v>
      </c>
      <c r="S6402" t="n">
        <v>40749</v>
      </c>
      <c r="T6402" t="n">
        <v>44</v>
      </c>
      <c r="U6402" t="n">
        <v>46</v>
      </c>
      <c r="V6402" t="n">
        <v>30</v>
      </c>
      <c r="W6402" t="n">
        <v>16</v>
      </c>
      <c r="X6402" t="n">
        <v>84.31372549019608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10397</v>
      </c>
      <c r="AG6402" t="n">
        <v>170</v>
      </c>
      <c r="AH6402" t="inlineStr">
        <is>
          <t>PT. JALUR MANDIRI UTAMA - PPN (PDG)</t>
        </is>
      </c>
      <c r="AI6402" t="n">
        <v>170</v>
      </c>
      <c r="AJ6402" t="inlineStr">
        <is>
          <t>YOU</t>
        </is>
      </c>
      <c r="AK6402" t="n">
        <v>21</v>
      </c>
      <c r="AL6402" t="inlineStr">
        <is>
          <t>Miss Glam Damar</t>
        </is>
      </c>
      <c r="AM6402" t="n">
        <v>1</v>
      </c>
      <c r="AN6402" t="n">
        <v>500000</v>
      </c>
      <c r="AO6402" t="n">
        <v>0</v>
      </c>
      <c r="AP6402" t="inlineStr"/>
      <c r="AQ6402" t="inlineStr"/>
    </row>
    <row r="6403">
      <c r="A6403" t="inlineStr">
        <is>
          <t>YOU</t>
        </is>
      </c>
      <c r="B6403" s="2">
        <f>"203003108126"</f>
        <v/>
      </c>
      <c r="C6403" t="inlineStr">
        <is>
          <t>YOU Cloud Paint Glassy Glow Lip Tint G01 Dusty Rose 3gr</t>
        </is>
      </c>
      <c r="D6403" t="inlineStr">
        <is>
          <t>Miss Glam Damar</t>
        </is>
      </c>
      <c r="E6403" t="n">
        <v>15</v>
      </c>
      <c r="F6403" t="n">
        <v>0.3276</v>
      </c>
      <c r="G6403" t="n">
        <v>4.55</v>
      </c>
      <c r="H6403" t="n">
        <v>2</v>
      </c>
      <c r="I6403" t="n">
        <v>9</v>
      </c>
      <c r="J6403" t="n">
        <v>1</v>
      </c>
      <c r="K6403" t="n">
        <v>0</v>
      </c>
      <c r="L6403" t="n">
        <v>63920</v>
      </c>
      <c r="M6403" t="n">
        <v>79900</v>
      </c>
      <c r="N6403" t="n">
        <v>91</v>
      </c>
      <c r="O6403" t="n">
        <v>0.91</v>
      </c>
      <c r="P6403" t="n">
        <v>1</v>
      </c>
      <c r="Q6403" t="n">
        <v>0.31</v>
      </c>
      <c r="R6403" t="n">
        <v>3</v>
      </c>
      <c r="S6403" t="n">
        <v>26175.24</v>
      </c>
      <c r="T6403" t="n">
        <v>41</v>
      </c>
      <c r="U6403" t="n">
        <v>42</v>
      </c>
      <c r="V6403" t="n">
        <v>30</v>
      </c>
      <c r="W6403" t="n">
        <v>10</v>
      </c>
      <c r="X6403" t="n">
        <v>45.78754578754579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10397</v>
      </c>
      <c r="AG6403" t="n">
        <v>170</v>
      </c>
      <c r="AH6403" t="inlineStr">
        <is>
          <t>PT. JALUR MANDIRI UTAMA - PPN (PDG)</t>
        </is>
      </c>
      <c r="AI6403" t="n">
        <v>170</v>
      </c>
      <c r="AJ6403" t="inlineStr">
        <is>
          <t>YOU</t>
        </is>
      </c>
      <c r="AK6403" t="n">
        <v>21</v>
      </c>
      <c r="AL6403" t="inlineStr">
        <is>
          <t>Miss Glam Damar</t>
        </is>
      </c>
      <c r="AM6403" t="n">
        <v>1</v>
      </c>
      <c r="AN6403" t="n">
        <v>500000</v>
      </c>
      <c r="AO6403" t="n">
        <v>0</v>
      </c>
      <c r="AP6403" t="inlineStr"/>
      <c r="AQ6403" t="inlineStr"/>
    </row>
    <row r="6404">
      <c r="A6404" t="inlineStr">
        <is>
          <t>YOU</t>
        </is>
      </c>
      <c r="B6404" s="2">
        <f>"203003108258"</f>
        <v/>
      </c>
      <c r="C6404" t="inlineStr">
        <is>
          <t>YOU Cloud Paint Glassy Glow Lip Tint G02 Starry Pink 3gr</t>
        </is>
      </c>
      <c r="D6404" t="inlineStr">
        <is>
          <t>Miss Glam Damar</t>
        </is>
      </c>
      <c r="E6404" t="n">
        <v>40</v>
      </c>
      <c r="F6404" t="n">
        <v>0.04550000000000001</v>
      </c>
      <c r="G6404" t="n">
        <v>0.91</v>
      </c>
      <c r="H6404" t="n">
        <v>2</v>
      </c>
      <c r="I6404" t="n">
        <v>9</v>
      </c>
      <c r="J6404" t="n">
        <v>1</v>
      </c>
      <c r="K6404" t="n">
        <v>0</v>
      </c>
      <c r="L6404" t="n">
        <v>63920</v>
      </c>
      <c r="M6404" t="n">
        <v>79900</v>
      </c>
      <c r="N6404" t="n">
        <v>91</v>
      </c>
      <c r="O6404" t="n">
        <v>0.91</v>
      </c>
      <c r="P6404" t="n">
        <v>1</v>
      </c>
      <c r="Q6404" t="n">
        <v>0.05</v>
      </c>
      <c r="R6404" t="n">
        <v>1</v>
      </c>
      <c r="S6404" t="n">
        <v>3635.45</v>
      </c>
      <c r="T6404" t="n">
        <v>9</v>
      </c>
      <c r="U6404" t="n">
        <v>10</v>
      </c>
      <c r="V6404" t="n">
        <v>30</v>
      </c>
      <c r="W6404" t="n">
        <v>2</v>
      </c>
      <c r="X6404" t="n">
        <v>879.1208791208791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10397</v>
      </c>
      <c r="AG6404" t="n">
        <v>170</v>
      </c>
      <c r="AH6404" t="inlineStr">
        <is>
          <t>PT. JALUR MANDIRI UTAMA - PPN (PDG)</t>
        </is>
      </c>
      <c r="AI6404" t="n">
        <v>170</v>
      </c>
      <c r="AJ6404" t="inlineStr">
        <is>
          <t>YOU</t>
        </is>
      </c>
      <c r="AK6404" t="n">
        <v>21</v>
      </c>
      <c r="AL6404" t="inlineStr">
        <is>
          <t>Miss Glam Damar</t>
        </is>
      </c>
      <c r="AM6404" t="n">
        <v>1</v>
      </c>
      <c r="AN6404" t="n">
        <v>500000</v>
      </c>
      <c r="AO6404" t="n">
        <v>0</v>
      </c>
      <c r="AP6404" t="inlineStr"/>
      <c r="AQ6404" t="inlineStr"/>
    </row>
    <row r="6405">
      <c r="A6405" t="inlineStr">
        <is>
          <t>YOU</t>
        </is>
      </c>
      <c r="B6405" s="2">
        <f>"203003108347"</f>
        <v/>
      </c>
      <c r="C6405" t="inlineStr">
        <is>
          <t>YOU Cloud Paint Glassy Glow Lip Tint G03 Berry Amber 3gr</t>
        </is>
      </c>
      <c r="D6405" t="inlineStr">
        <is>
          <t>Miss Glam Damar</t>
        </is>
      </c>
      <c r="E6405" t="n">
        <v>24</v>
      </c>
      <c r="F6405" t="n">
        <v>0.0728</v>
      </c>
      <c r="G6405" t="n">
        <v>0.91</v>
      </c>
      <c r="H6405" t="n">
        <v>2</v>
      </c>
      <c r="I6405" t="n">
        <v>9</v>
      </c>
      <c r="J6405" t="n">
        <v>1</v>
      </c>
      <c r="K6405" t="n">
        <v>0</v>
      </c>
      <c r="L6405" t="n">
        <v>63920</v>
      </c>
      <c r="M6405" t="n">
        <v>79900</v>
      </c>
      <c r="N6405" t="n">
        <v>91</v>
      </c>
      <c r="O6405" t="n">
        <v>0.91</v>
      </c>
      <c r="P6405" t="n">
        <v>1</v>
      </c>
      <c r="Q6405" t="n">
        <v>0.12</v>
      </c>
      <c r="R6405" t="n">
        <v>2</v>
      </c>
      <c r="S6405" t="n">
        <v>5816.72</v>
      </c>
      <c r="T6405" t="n">
        <v>9</v>
      </c>
      <c r="U6405" t="n">
        <v>10</v>
      </c>
      <c r="V6405" t="n">
        <v>30</v>
      </c>
      <c r="W6405" t="n">
        <v>3</v>
      </c>
      <c r="X6405" t="n">
        <v>329.6703296703296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10397</v>
      </c>
      <c r="AG6405" t="n">
        <v>170</v>
      </c>
      <c r="AH6405" t="inlineStr">
        <is>
          <t>PT. JALUR MANDIRI UTAMA - PPN (PDG)</t>
        </is>
      </c>
      <c r="AI6405" t="n">
        <v>170</v>
      </c>
      <c r="AJ6405" t="inlineStr">
        <is>
          <t>YOU</t>
        </is>
      </c>
      <c r="AK6405" t="n">
        <v>21</v>
      </c>
      <c r="AL6405" t="inlineStr">
        <is>
          <t>Miss Glam Damar</t>
        </is>
      </c>
      <c r="AM6405" t="n">
        <v>1</v>
      </c>
      <c r="AN6405" t="n">
        <v>500000</v>
      </c>
      <c r="AO6405" t="n">
        <v>0</v>
      </c>
      <c r="AP6405" t="inlineStr"/>
      <c r="AQ6405" t="inlineStr"/>
    </row>
    <row r="6406">
      <c r="A6406" t="inlineStr">
        <is>
          <t>YOU</t>
        </is>
      </c>
      <c r="B6406" s="2">
        <f>"203003108435"</f>
        <v/>
      </c>
      <c r="C6406" t="inlineStr">
        <is>
          <t>YOU Cloud Paint Glassy Glow Lip Tint G04 Cocoa Charm 3gr</t>
        </is>
      </c>
      <c r="D6406" t="inlineStr">
        <is>
          <t>Miss Glam Damar</t>
        </is>
      </c>
      <c r="E6406" t="n">
        <v>54</v>
      </c>
      <c r="F6406" t="n">
        <v>0.0273</v>
      </c>
      <c r="G6406" t="n">
        <v>0.91</v>
      </c>
      <c r="H6406" t="n">
        <v>2</v>
      </c>
      <c r="I6406" t="n">
        <v>9</v>
      </c>
      <c r="J6406" t="n">
        <v>1</v>
      </c>
      <c r="K6406" t="n">
        <v>0</v>
      </c>
      <c r="L6406" t="n">
        <v>63920</v>
      </c>
      <c r="M6406" t="n">
        <v>79900</v>
      </c>
      <c r="N6406" t="n">
        <v>91</v>
      </c>
      <c r="O6406" t="n">
        <v>0.91</v>
      </c>
      <c r="P6406" t="n">
        <v>1</v>
      </c>
      <c r="Q6406" t="n">
        <v>0.05</v>
      </c>
      <c r="R6406" t="n">
        <v>1</v>
      </c>
      <c r="S6406" t="n">
        <v>2181.27</v>
      </c>
      <c r="T6406" t="n">
        <v>9</v>
      </c>
      <c r="U6406" t="n">
        <v>10</v>
      </c>
      <c r="V6406" t="n">
        <v>30</v>
      </c>
      <c r="W6406" t="n">
        <v>1</v>
      </c>
      <c r="X6406" t="n">
        <v>1978.021978021978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10397</v>
      </c>
      <c r="AG6406" t="n">
        <v>170</v>
      </c>
      <c r="AH6406" t="inlineStr">
        <is>
          <t>PT. JALUR MANDIRI UTAMA - PPN (PDG)</t>
        </is>
      </c>
      <c r="AI6406" t="n">
        <v>170</v>
      </c>
      <c r="AJ6406" t="inlineStr">
        <is>
          <t>YOU</t>
        </is>
      </c>
      <c r="AK6406" t="n">
        <v>21</v>
      </c>
      <c r="AL6406" t="inlineStr">
        <is>
          <t>Miss Glam Damar</t>
        </is>
      </c>
      <c r="AM6406" t="n">
        <v>1</v>
      </c>
      <c r="AN6406" t="n">
        <v>500000</v>
      </c>
      <c r="AO6406" t="n">
        <v>0</v>
      </c>
      <c r="AP6406" t="inlineStr"/>
      <c r="AQ6406" t="inlineStr"/>
    </row>
    <row r="6407">
      <c r="A6407" t="inlineStr">
        <is>
          <t>YOU</t>
        </is>
      </c>
      <c r="B6407" s="2">
        <f>"203003108547"</f>
        <v/>
      </c>
      <c r="C6407" t="inlineStr">
        <is>
          <t>YOU Cloud Paint Glassy Glow Lip Tint G05 Crimson Dream 3gr</t>
        </is>
      </c>
      <c r="D6407" t="inlineStr">
        <is>
          <t>Miss Glam Damar</t>
        </is>
      </c>
      <c r="E6407" t="n">
        <v>23</v>
      </c>
      <c r="F6407" t="n">
        <v>0.1365</v>
      </c>
      <c r="G6407" t="n">
        <v>1.82</v>
      </c>
      <c r="H6407" t="n">
        <v>2</v>
      </c>
      <c r="I6407" t="n">
        <v>9</v>
      </c>
      <c r="J6407" t="n">
        <v>1</v>
      </c>
      <c r="K6407" t="n">
        <v>0</v>
      </c>
      <c r="L6407" t="n">
        <v>63920</v>
      </c>
      <c r="M6407" t="n">
        <v>79900</v>
      </c>
      <c r="N6407" t="n">
        <v>91</v>
      </c>
      <c r="O6407" t="n">
        <v>0.91</v>
      </c>
      <c r="P6407" t="n">
        <v>1</v>
      </c>
      <c r="Q6407" t="n">
        <v>0.02</v>
      </c>
      <c r="R6407" t="n">
        <v>1</v>
      </c>
      <c r="S6407" t="n">
        <v>10906.35</v>
      </c>
      <c r="T6407" t="n">
        <v>17</v>
      </c>
      <c r="U6407" t="n">
        <v>18</v>
      </c>
      <c r="V6407" t="n">
        <v>30</v>
      </c>
      <c r="W6407" t="n">
        <v>5</v>
      </c>
      <c r="X6407" t="n">
        <v>168.4981684981685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10397</v>
      </c>
      <c r="AG6407" t="n">
        <v>170</v>
      </c>
      <c r="AH6407" t="inlineStr">
        <is>
          <t>PT. JALUR MANDIRI UTAMA - PPN (PDG)</t>
        </is>
      </c>
      <c r="AI6407" t="n">
        <v>170</v>
      </c>
      <c r="AJ6407" t="inlineStr">
        <is>
          <t>YOU</t>
        </is>
      </c>
      <c r="AK6407" t="n">
        <v>21</v>
      </c>
      <c r="AL6407" t="inlineStr">
        <is>
          <t>Miss Glam Damar</t>
        </is>
      </c>
      <c r="AM6407" t="n">
        <v>1</v>
      </c>
      <c r="AN6407" t="n">
        <v>500000</v>
      </c>
      <c r="AO6407" t="n">
        <v>0</v>
      </c>
      <c r="AP6407" t="inlineStr"/>
      <c r="AQ6407" t="inlineStr"/>
    </row>
    <row r="6408">
      <c r="A6408" t="inlineStr">
        <is>
          <t>YOU</t>
        </is>
      </c>
      <c r="B6408" s="2">
        <f>"203003108638"</f>
        <v/>
      </c>
      <c r="C6408" t="inlineStr">
        <is>
          <t>YOU Cloud Paint Glassy Glow Lip Tint G06 Peachy Nude 3gr</t>
        </is>
      </c>
      <c r="D6408" t="inlineStr">
        <is>
          <t>Miss Glam Damar</t>
        </is>
      </c>
      <c r="E6408" t="n">
        <v>46</v>
      </c>
      <c r="F6408" t="n">
        <v>0.0728</v>
      </c>
      <c r="G6408" t="n">
        <v>0.91</v>
      </c>
      <c r="H6408" t="n">
        <v>2</v>
      </c>
      <c r="I6408" t="n">
        <v>9</v>
      </c>
      <c r="J6408" t="n">
        <v>1</v>
      </c>
      <c r="K6408" t="n">
        <v>0</v>
      </c>
      <c r="L6408" t="n">
        <v>63920</v>
      </c>
      <c r="M6408" t="n">
        <v>79900</v>
      </c>
      <c r="N6408" t="n">
        <v>91</v>
      </c>
      <c r="O6408" t="n">
        <v>0.91</v>
      </c>
      <c r="P6408" t="n">
        <v>1</v>
      </c>
      <c r="Q6408" t="n">
        <v>0.07000000000000001</v>
      </c>
      <c r="R6408" t="n">
        <v>1</v>
      </c>
      <c r="S6408" t="n">
        <v>5816.72</v>
      </c>
      <c r="T6408" t="n">
        <v>9</v>
      </c>
      <c r="U6408" t="n">
        <v>10</v>
      </c>
      <c r="V6408" t="n">
        <v>30</v>
      </c>
      <c r="W6408" t="n">
        <v>3</v>
      </c>
      <c r="X6408" t="n">
        <v>631.8681318681319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10397</v>
      </c>
      <c r="AG6408" t="n">
        <v>170</v>
      </c>
      <c r="AH6408" t="inlineStr">
        <is>
          <t>PT. JALUR MANDIRI UTAMA - PPN (PDG)</t>
        </is>
      </c>
      <c r="AI6408" t="n">
        <v>170</v>
      </c>
      <c r="AJ6408" t="inlineStr">
        <is>
          <t>YOU</t>
        </is>
      </c>
      <c r="AK6408" t="n">
        <v>21</v>
      </c>
      <c r="AL6408" t="inlineStr">
        <is>
          <t>Miss Glam Damar</t>
        </is>
      </c>
      <c r="AM6408" t="n">
        <v>1</v>
      </c>
      <c r="AN6408" t="n">
        <v>500000</v>
      </c>
      <c r="AO6408" t="n">
        <v>0</v>
      </c>
      <c r="AP6408" t="inlineStr"/>
      <c r="AQ6408" t="inlineStr"/>
    </row>
    <row r="6409">
      <c r="A6409" t="inlineStr">
        <is>
          <t>YOU</t>
        </is>
      </c>
      <c r="B6409" s="2">
        <f>"203002193159"</f>
        <v/>
      </c>
      <c r="C6409" t="inlineStr">
        <is>
          <t>YOU Cloud Paint Matte Lasting Lip Cream R346 Whisper 3gr</t>
        </is>
      </c>
      <c r="D6409" t="inlineStr">
        <is>
          <t>Miss Glam Damar</t>
        </is>
      </c>
      <c r="E6409" t="n">
        <v>3</v>
      </c>
      <c r="F6409" t="n">
        <v>0.09100000000000001</v>
      </c>
      <c r="G6409" t="n">
        <v>0.91</v>
      </c>
      <c r="H6409" t="n">
        <v>2</v>
      </c>
      <c r="I6409" t="n">
        <v>9</v>
      </c>
      <c r="J6409" t="n">
        <v>1</v>
      </c>
      <c r="K6409" t="n">
        <v>0</v>
      </c>
      <c r="L6409" t="n">
        <v>63920</v>
      </c>
      <c r="M6409" t="n">
        <v>79900</v>
      </c>
      <c r="N6409" t="n">
        <v>91</v>
      </c>
      <c r="O6409" t="n">
        <v>0.91</v>
      </c>
      <c r="P6409" t="n">
        <v>1</v>
      </c>
      <c r="Q6409" t="n">
        <v>0.02</v>
      </c>
      <c r="R6409" t="n">
        <v>1</v>
      </c>
      <c r="S6409" t="n">
        <v>7270.900000000001</v>
      </c>
      <c r="T6409" t="n">
        <v>9</v>
      </c>
      <c r="U6409" t="n">
        <v>10</v>
      </c>
      <c r="V6409" t="n">
        <v>30</v>
      </c>
      <c r="W6409" t="n">
        <v>3</v>
      </c>
      <c r="X6409" t="n">
        <v>32.96703296703296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10397</v>
      </c>
      <c r="AG6409" t="n">
        <v>170</v>
      </c>
      <c r="AH6409" t="inlineStr">
        <is>
          <t>PT. JALUR MANDIRI UTAMA - PPN (PDG)</t>
        </is>
      </c>
      <c r="AI6409" t="n">
        <v>170</v>
      </c>
      <c r="AJ6409" t="inlineStr">
        <is>
          <t>YOU</t>
        </is>
      </c>
      <c r="AK6409" t="n">
        <v>21</v>
      </c>
      <c r="AL6409" t="inlineStr">
        <is>
          <t>Miss Glam Damar</t>
        </is>
      </c>
      <c r="AM6409" t="n">
        <v>1</v>
      </c>
      <c r="AN6409" t="n">
        <v>500000</v>
      </c>
      <c r="AO6409" t="n">
        <v>0</v>
      </c>
      <c r="AP6409" t="inlineStr"/>
      <c r="AQ6409" t="inlineStr"/>
    </row>
    <row r="6410">
      <c r="A6410" t="inlineStr">
        <is>
          <t>YOU</t>
        </is>
      </c>
      <c r="B6410" s="2">
        <f>"203002193518"</f>
        <v/>
      </c>
      <c r="C6410" t="inlineStr">
        <is>
          <t>YOU Cloud Paint Matte Lasting Lip Cream R448 Kindness 3gr</t>
        </is>
      </c>
      <c r="D6410" t="inlineStr">
        <is>
          <t>Miss Glam Damar</t>
        </is>
      </c>
      <c r="E6410" t="n">
        <v>74</v>
      </c>
      <c r="F6410" t="n">
        <v>0.19</v>
      </c>
      <c r="G6410" t="n">
        <v>1</v>
      </c>
      <c r="H6410" t="n">
        <v>2</v>
      </c>
      <c r="I6410" t="n">
        <v>9</v>
      </c>
      <c r="J6410" t="n">
        <v>1</v>
      </c>
      <c r="K6410" t="n">
        <v>0</v>
      </c>
      <c r="L6410" t="n">
        <v>63920</v>
      </c>
      <c r="M6410" t="n">
        <v>79900</v>
      </c>
      <c r="N6410" t="n">
        <v>91</v>
      </c>
      <c r="O6410" t="n">
        <v>0.91</v>
      </c>
      <c r="P6410" t="n">
        <v>0</v>
      </c>
      <c r="Q6410" t="n">
        <v>0.19</v>
      </c>
      <c r="R6410" t="n">
        <v>1</v>
      </c>
      <c r="S6410" t="n">
        <v>15181</v>
      </c>
      <c r="T6410" t="n">
        <v>9</v>
      </c>
      <c r="U6410" t="n">
        <v>10</v>
      </c>
      <c r="V6410" t="n">
        <v>30</v>
      </c>
      <c r="W6410" t="n">
        <v>6</v>
      </c>
      <c r="X6410" t="n">
        <v>389.4736842105263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10397</v>
      </c>
      <c r="AG6410" t="n">
        <v>170</v>
      </c>
      <c r="AH6410" t="inlineStr">
        <is>
          <t>PT. JALUR MANDIRI UTAMA - PPN (PDG)</t>
        </is>
      </c>
      <c r="AI6410" t="n">
        <v>170</v>
      </c>
      <c r="AJ6410" t="inlineStr">
        <is>
          <t>YOU</t>
        </is>
      </c>
      <c r="AK6410" t="n">
        <v>21</v>
      </c>
      <c r="AL6410" t="inlineStr">
        <is>
          <t>Miss Glam Damar</t>
        </is>
      </c>
      <c r="AM6410" t="n">
        <v>1</v>
      </c>
      <c r="AN6410" t="n">
        <v>500000</v>
      </c>
      <c r="AO6410" t="n">
        <v>0</v>
      </c>
      <c r="AP6410" t="inlineStr"/>
      <c r="AQ6410" t="inlineStr"/>
    </row>
    <row r="6411">
      <c r="A6411" t="inlineStr">
        <is>
          <t>YOU</t>
        </is>
      </c>
      <c r="B6411" s="2">
        <f>"203002193201"</f>
        <v/>
      </c>
      <c r="C6411" t="inlineStr">
        <is>
          <t>YOU Cloud Paint Matte Lasting Lip Cream R476 Passion 3gr</t>
        </is>
      </c>
      <c r="D6411" t="inlineStr">
        <is>
          <t>Miss Glam Damar</t>
        </is>
      </c>
      <c r="E6411" t="n">
        <v>67</v>
      </c>
      <c r="F6411" t="n">
        <v>0.1274</v>
      </c>
      <c r="G6411" t="n">
        <v>1.82</v>
      </c>
      <c r="H6411" t="n">
        <v>2</v>
      </c>
      <c r="I6411" t="n">
        <v>9</v>
      </c>
      <c r="J6411" t="n">
        <v>1</v>
      </c>
      <c r="K6411" t="n">
        <v>0</v>
      </c>
      <c r="L6411" t="n">
        <v>63920</v>
      </c>
      <c r="M6411" t="n">
        <v>79900</v>
      </c>
      <c r="N6411" t="n">
        <v>91</v>
      </c>
      <c r="O6411" t="n">
        <v>0.91</v>
      </c>
      <c r="P6411" t="n">
        <v>1</v>
      </c>
      <c r="Q6411" t="n">
        <v>0.32</v>
      </c>
      <c r="R6411" t="n">
        <v>2</v>
      </c>
      <c r="S6411" t="n">
        <v>10179.26</v>
      </c>
      <c r="T6411" t="n">
        <v>17</v>
      </c>
      <c r="U6411" t="n">
        <v>18</v>
      </c>
      <c r="V6411" t="n">
        <v>30</v>
      </c>
      <c r="W6411" t="n">
        <v>4</v>
      </c>
      <c r="X6411" t="n">
        <v>525.9026687598116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10397</v>
      </c>
      <c r="AG6411" t="n">
        <v>170</v>
      </c>
      <c r="AH6411" t="inlineStr">
        <is>
          <t>PT. JALUR MANDIRI UTAMA - PPN (PDG)</t>
        </is>
      </c>
      <c r="AI6411" t="n">
        <v>170</v>
      </c>
      <c r="AJ6411" t="inlineStr">
        <is>
          <t>YOU</t>
        </is>
      </c>
      <c r="AK6411" t="n">
        <v>21</v>
      </c>
      <c r="AL6411" t="inlineStr">
        <is>
          <t>Miss Glam Damar</t>
        </is>
      </c>
      <c r="AM6411" t="n">
        <v>1</v>
      </c>
      <c r="AN6411" t="n">
        <v>500000</v>
      </c>
      <c r="AO6411" t="n">
        <v>0</v>
      </c>
      <c r="AP6411" t="inlineStr"/>
      <c r="AQ6411" t="inlineStr"/>
    </row>
    <row r="6412">
      <c r="A6412" t="inlineStr">
        <is>
          <t>YOU</t>
        </is>
      </c>
      <c r="B6412" s="2">
        <f>"203002193610"</f>
        <v/>
      </c>
      <c r="C6412" t="inlineStr">
        <is>
          <t>YOU Cloud Paint Matte Lasting Lip Cream R565 Alert 3gr</t>
        </is>
      </c>
      <c r="D6412" t="inlineStr">
        <is>
          <t>Miss Glam Damar</t>
        </is>
      </c>
      <c r="E6412" t="n">
        <v>73</v>
      </c>
      <c r="F6412" t="n">
        <v>0.1729</v>
      </c>
      <c r="G6412" t="n">
        <v>1.82</v>
      </c>
      <c r="H6412" t="n">
        <v>2</v>
      </c>
      <c r="I6412" t="n">
        <v>9</v>
      </c>
      <c r="J6412" t="n">
        <v>1</v>
      </c>
      <c r="K6412" t="n">
        <v>0</v>
      </c>
      <c r="L6412" t="n">
        <v>63920</v>
      </c>
      <c r="M6412" t="n">
        <v>79900</v>
      </c>
      <c r="N6412" t="n">
        <v>91</v>
      </c>
      <c r="O6412" t="n">
        <v>0.91</v>
      </c>
      <c r="P6412" t="n">
        <v>1</v>
      </c>
      <c r="Q6412" t="n">
        <v>0.27</v>
      </c>
      <c r="R6412" t="n">
        <v>3</v>
      </c>
      <c r="S6412" t="n">
        <v>13814.71</v>
      </c>
      <c r="T6412" t="n">
        <v>17</v>
      </c>
      <c r="U6412" t="n">
        <v>18</v>
      </c>
      <c r="V6412" t="n">
        <v>30</v>
      </c>
      <c r="W6412" t="n">
        <v>6</v>
      </c>
      <c r="X6412" t="n">
        <v>422.2093695777907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10397</v>
      </c>
      <c r="AG6412" t="n">
        <v>170</v>
      </c>
      <c r="AH6412" t="inlineStr">
        <is>
          <t>PT. JALUR MANDIRI UTAMA - PPN (PDG)</t>
        </is>
      </c>
      <c r="AI6412" t="n">
        <v>170</v>
      </c>
      <c r="AJ6412" t="inlineStr">
        <is>
          <t>YOU</t>
        </is>
      </c>
      <c r="AK6412" t="n">
        <v>21</v>
      </c>
      <c r="AL6412" t="inlineStr">
        <is>
          <t>Miss Glam Damar</t>
        </is>
      </c>
      <c r="AM6412" t="n">
        <v>1</v>
      </c>
      <c r="AN6412" t="n">
        <v>500000</v>
      </c>
      <c r="AO6412" t="n">
        <v>0</v>
      </c>
      <c r="AP6412" t="inlineStr"/>
      <c r="AQ6412" t="inlineStr"/>
    </row>
    <row r="6413">
      <c r="A6413" t="inlineStr">
        <is>
          <t>YOU</t>
        </is>
      </c>
      <c r="B6413" s="2">
        <f>"203002193057"</f>
        <v/>
      </c>
      <c r="C6413" t="inlineStr">
        <is>
          <t>YOU Cloud Paint Matte Lasting Lip Cream R667 Allure 3gr</t>
        </is>
      </c>
      <c r="D6413" t="inlineStr">
        <is>
          <t>Miss Glam Damar</t>
        </is>
      </c>
      <c r="E6413" t="n">
        <v>80</v>
      </c>
      <c r="F6413" t="n">
        <v>0.9555000000000001</v>
      </c>
      <c r="G6413" t="n">
        <v>4.55</v>
      </c>
      <c r="H6413" t="n">
        <v>2</v>
      </c>
      <c r="I6413" t="n">
        <v>9</v>
      </c>
      <c r="J6413" t="n">
        <v>1</v>
      </c>
      <c r="K6413" t="n">
        <v>0</v>
      </c>
      <c r="L6413" t="n">
        <v>63920</v>
      </c>
      <c r="M6413" t="n">
        <v>79900</v>
      </c>
      <c r="N6413" t="n">
        <v>91</v>
      </c>
      <c r="O6413" t="n">
        <v>0.91</v>
      </c>
      <c r="P6413" t="n">
        <v>1</v>
      </c>
      <c r="Q6413" t="n">
        <v>0.58</v>
      </c>
      <c r="R6413" t="n">
        <v>4</v>
      </c>
      <c r="S6413" t="n">
        <v>76344.45000000001</v>
      </c>
      <c r="T6413" t="n">
        <v>40</v>
      </c>
      <c r="U6413" t="n">
        <v>42</v>
      </c>
      <c r="V6413" t="n">
        <v>30</v>
      </c>
      <c r="W6413" t="n">
        <v>29</v>
      </c>
      <c r="X6413" t="n">
        <v>83.72579801151228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10397</v>
      </c>
      <c r="AG6413" t="n">
        <v>170</v>
      </c>
      <c r="AH6413" t="inlineStr">
        <is>
          <t>PT. JALUR MANDIRI UTAMA - PPN (PDG)</t>
        </is>
      </c>
      <c r="AI6413" t="n">
        <v>170</v>
      </c>
      <c r="AJ6413" t="inlineStr">
        <is>
          <t>YOU</t>
        </is>
      </c>
      <c r="AK6413" t="n">
        <v>21</v>
      </c>
      <c r="AL6413" t="inlineStr">
        <is>
          <t>Miss Glam Damar</t>
        </is>
      </c>
      <c r="AM6413" t="n">
        <v>1</v>
      </c>
      <c r="AN6413" t="n">
        <v>500000</v>
      </c>
      <c r="AO6413" t="n">
        <v>0</v>
      </c>
      <c r="AP6413" t="inlineStr"/>
      <c r="AQ6413" t="inlineStr"/>
    </row>
    <row r="6414">
      <c r="A6414" t="inlineStr">
        <is>
          <t>YOU</t>
        </is>
      </c>
      <c r="B6414" s="2">
        <f>"203002193341"</f>
        <v/>
      </c>
      <c r="C6414" t="inlineStr">
        <is>
          <t>YOU Cloud Paint Matte Lasting Lip Cream R747 Inspire 3gr</t>
        </is>
      </c>
      <c r="D6414" t="inlineStr">
        <is>
          <t>Miss Glam Damar</t>
        </is>
      </c>
      <c r="E6414" t="n">
        <v>15</v>
      </c>
      <c r="F6414" t="n">
        <v>0.4277</v>
      </c>
      <c r="G6414" t="n">
        <v>2.73</v>
      </c>
      <c r="H6414" t="n">
        <v>2</v>
      </c>
      <c r="I6414" t="n">
        <v>9</v>
      </c>
      <c r="J6414" t="n">
        <v>1</v>
      </c>
      <c r="K6414" t="n">
        <v>0</v>
      </c>
      <c r="L6414" t="n">
        <v>63920</v>
      </c>
      <c r="M6414" t="n">
        <v>79900</v>
      </c>
      <c r="N6414" t="n">
        <v>91</v>
      </c>
      <c r="O6414" t="n">
        <v>0.91</v>
      </c>
      <c r="P6414" t="n">
        <v>1</v>
      </c>
      <c r="Q6414" t="n">
        <v>0.2</v>
      </c>
      <c r="R6414" t="n">
        <v>1</v>
      </c>
      <c r="S6414" t="n">
        <v>34173.23</v>
      </c>
      <c r="T6414" t="n">
        <v>24</v>
      </c>
      <c r="U6414" t="n">
        <v>25</v>
      </c>
      <c r="V6414" t="n">
        <v>30</v>
      </c>
      <c r="W6414" t="n">
        <v>13</v>
      </c>
      <c r="X6414" t="n">
        <v>35.07131166705635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10397</v>
      </c>
      <c r="AG6414" t="n">
        <v>170</v>
      </c>
      <c r="AH6414" t="inlineStr">
        <is>
          <t>PT. JALUR MANDIRI UTAMA - PPN (PDG)</t>
        </is>
      </c>
      <c r="AI6414" t="n">
        <v>170</v>
      </c>
      <c r="AJ6414" t="inlineStr">
        <is>
          <t>YOU</t>
        </is>
      </c>
      <c r="AK6414" t="n">
        <v>21</v>
      </c>
      <c r="AL6414" t="inlineStr">
        <is>
          <t>Miss Glam Damar</t>
        </is>
      </c>
      <c r="AM6414" t="n">
        <v>1</v>
      </c>
      <c r="AN6414" t="n">
        <v>500000</v>
      </c>
      <c r="AO6414" t="n">
        <v>0</v>
      </c>
      <c r="AP6414" t="inlineStr"/>
      <c r="AQ6414" t="inlineStr"/>
    </row>
    <row r="6415">
      <c r="A6415" t="inlineStr">
        <is>
          <t>YOU</t>
        </is>
      </c>
      <c r="B6415" s="2">
        <f>"203002193412"</f>
        <v/>
      </c>
      <c r="C6415" t="inlineStr">
        <is>
          <t>YOU Cloud Paint Matte Lasting Lip Cream R865 Dashing 3gr</t>
        </is>
      </c>
      <c r="D6415" t="inlineStr">
        <is>
          <t>Miss Glam Damar</t>
        </is>
      </c>
      <c r="E6415" t="n">
        <v>10</v>
      </c>
      <c r="F6415" t="n">
        <v>0.04550000000000001</v>
      </c>
      <c r="G6415" t="n">
        <v>0.91</v>
      </c>
      <c r="H6415" t="n">
        <v>2</v>
      </c>
      <c r="I6415" t="n">
        <v>9</v>
      </c>
      <c r="J6415" t="n">
        <v>1</v>
      </c>
      <c r="K6415" t="n">
        <v>0</v>
      </c>
      <c r="L6415" t="n">
        <v>63920</v>
      </c>
      <c r="M6415" t="n">
        <v>79900</v>
      </c>
      <c r="N6415" t="n">
        <v>91</v>
      </c>
      <c r="O6415" t="n">
        <v>0.91</v>
      </c>
      <c r="P6415" t="n">
        <v>1</v>
      </c>
      <c r="Q6415" t="n">
        <v>0.39</v>
      </c>
      <c r="R6415" t="n">
        <v>3</v>
      </c>
      <c r="S6415" t="n">
        <v>3635.45</v>
      </c>
      <c r="T6415" t="n">
        <v>9</v>
      </c>
      <c r="U6415" t="n">
        <v>10</v>
      </c>
      <c r="V6415" t="n">
        <v>30</v>
      </c>
      <c r="W6415" t="n">
        <v>2</v>
      </c>
      <c r="X6415" t="n">
        <v>219.7802197802198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10397</v>
      </c>
      <c r="AG6415" t="n">
        <v>170</v>
      </c>
      <c r="AH6415" t="inlineStr">
        <is>
          <t>PT. JALUR MANDIRI UTAMA - PPN (PDG)</t>
        </is>
      </c>
      <c r="AI6415" t="n">
        <v>170</v>
      </c>
      <c r="AJ6415" t="inlineStr">
        <is>
          <t>YOU</t>
        </is>
      </c>
      <c r="AK6415" t="n">
        <v>21</v>
      </c>
      <c r="AL6415" t="inlineStr">
        <is>
          <t>Miss Glam Damar</t>
        </is>
      </c>
      <c r="AM6415" t="n">
        <v>1</v>
      </c>
      <c r="AN6415" t="n">
        <v>500000</v>
      </c>
      <c r="AO6415" t="n">
        <v>0</v>
      </c>
      <c r="AP6415" t="inlineStr"/>
      <c r="AQ6415" t="inlineStr"/>
    </row>
    <row r="6416">
      <c r="A6416" t="inlineStr">
        <is>
          <t>YOU</t>
        </is>
      </c>
      <c r="B6416" s="2">
        <f>"20100179443"</f>
        <v/>
      </c>
      <c r="C6416" t="inlineStr">
        <is>
          <t>YOU Cloud Touch 3% Niacinamide Acne Defense Skin Tint C203 Pink Sand 20ml</t>
        </is>
      </c>
      <c r="D6416" t="inlineStr">
        <is>
          <t>Miss Glam Damar</t>
        </is>
      </c>
      <c r="E6416" t="n">
        <v>31</v>
      </c>
      <c r="F6416" t="n">
        <v>0.2457</v>
      </c>
      <c r="G6416" t="n">
        <v>0.91</v>
      </c>
      <c r="H6416" t="n">
        <v>2</v>
      </c>
      <c r="I6416" t="n">
        <v>9</v>
      </c>
      <c r="J6416" t="n">
        <v>1</v>
      </c>
      <c r="K6416" t="n">
        <v>0</v>
      </c>
      <c r="L6416" t="n">
        <v>90320</v>
      </c>
      <c r="M6416" t="n">
        <v>112900</v>
      </c>
      <c r="N6416" t="n">
        <v>91</v>
      </c>
      <c r="O6416" t="n">
        <v>0.91</v>
      </c>
      <c r="P6416" t="n">
        <v>1</v>
      </c>
      <c r="Q6416" t="n">
        <v>0.15</v>
      </c>
      <c r="R6416" t="n">
        <v>2</v>
      </c>
      <c r="S6416" t="n">
        <v>27739.53</v>
      </c>
      <c r="T6416" t="n">
        <v>8</v>
      </c>
      <c r="U6416" t="n">
        <v>9</v>
      </c>
      <c r="V6416" t="n">
        <v>30</v>
      </c>
      <c r="W6416" t="n">
        <v>8</v>
      </c>
      <c r="X6416" t="n">
        <v>126.1701261701262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10397</v>
      </c>
      <c r="AG6416" t="n">
        <v>170</v>
      </c>
      <c r="AH6416" t="inlineStr">
        <is>
          <t>PT. JALUR MANDIRI UTAMA - PPN (PDG)</t>
        </is>
      </c>
      <c r="AI6416" t="n">
        <v>170</v>
      </c>
      <c r="AJ6416" t="inlineStr">
        <is>
          <t>YOU</t>
        </is>
      </c>
      <c r="AK6416" t="n">
        <v>21</v>
      </c>
      <c r="AL6416" t="inlineStr">
        <is>
          <t>Miss Glam Damar</t>
        </is>
      </c>
      <c r="AM6416" t="n">
        <v>1</v>
      </c>
      <c r="AN6416" t="n">
        <v>500000</v>
      </c>
      <c r="AO6416" t="n">
        <v>0</v>
      </c>
      <c r="AP6416" t="inlineStr"/>
      <c r="AQ6416" t="inlineStr"/>
    </row>
    <row r="6417">
      <c r="A6417" t="inlineStr">
        <is>
          <t>YOU</t>
        </is>
      </c>
      <c r="B6417" s="2">
        <f>"20100179539"</f>
        <v/>
      </c>
      <c r="C6417" t="inlineStr">
        <is>
          <t>YOU Cloud Touch 3% Niacinamide Acne Defense Skin Tint C302 Fair Beige 20ml</t>
        </is>
      </c>
      <c r="D6417" t="inlineStr">
        <is>
          <t>Miss Glam Damar</t>
        </is>
      </c>
      <c r="E6417" t="n">
        <v>10</v>
      </c>
      <c r="F6417" t="n">
        <v>0.03</v>
      </c>
      <c r="G6417" t="n">
        <v>1</v>
      </c>
      <c r="H6417" t="n">
        <v>2</v>
      </c>
      <c r="I6417" t="n">
        <v>9</v>
      </c>
      <c r="J6417" t="n">
        <v>1</v>
      </c>
      <c r="K6417" t="n">
        <v>0</v>
      </c>
      <c r="L6417" t="n">
        <v>90320</v>
      </c>
      <c r="M6417" t="n">
        <v>112900</v>
      </c>
      <c r="N6417" t="n">
        <v>91</v>
      </c>
      <c r="O6417" t="n">
        <v>0.91</v>
      </c>
      <c r="P6417" t="n">
        <v>0</v>
      </c>
      <c r="Q6417" t="n">
        <v>0.03</v>
      </c>
      <c r="R6417" t="n">
        <v>1</v>
      </c>
      <c r="S6417" t="n">
        <v>3387</v>
      </c>
      <c r="T6417" t="n">
        <v>9</v>
      </c>
      <c r="U6417" t="n">
        <v>10</v>
      </c>
      <c r="V6417" t="n">
        <v>30</v>
      </c>
      <c r="W6417" t="n">
        <v>1</v>
      </c>
      <c r="X6417" t="n">
        <v>333.3333333333334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10397</v>
      </c>
      <c r="AG6417" t="n">
        <v>170</v>
      </c>
      <c r="AH6417" t="inlineStr">
        <is>
          <t>PT. JALUR MANDIRI UTAMA - PPN (PDG)</t>
        </is>
      </c>
      <c r="AI6417" t="n">
        <v>170</v>
      </c>
      <c r="AJ6417" t="inlineStr">
        <is>
          <t>YOU</t>
        </is>
      </c>
      <c r="AK6417" t="n">
        <v>21</v>
      </c>
      <c r="AL6417" t="inlineStr">
        <is>
          <t>Miss Glam Damar</t>
        </is>
      </c>
      <c r="AM6417" t="n">
        <v>1</v>
      </c>
      <c r="AN6417" t="n">
        <v>500000</v>
      </c>
      <c r="AO6417" t="n">
        <v>0</v>
      </c>
      <c r="AP6417" t="inlineStr"/>
      <c r="AQ6417" t="inlineStr"/>
    </row>
    <row r="6418">
      <c r="A6418" t="inlineStr">
        <is>
          <t>YOU</t>
        </is>
      </c>
      <c r="B6418" s="2">
        <f>"20100179623"</f>
        <v/>
      </c>
      <c r="C6418" t="inlineStr">
        <is>
          <t>YOU Cloud Touch 3% Niacinamide Acne Defense Skin Tint N402 Shell Ivory 20ml</t>
        </is>
      </c>
      <c r="D6418" t="inlineStr">
        <is>
          <t>Miss Glam Damar</t>
        </is>
      </c>
      <c r="E6418" t="n">
        <v>17</v>
      </c>
      <c r="F6418" t="n">
        <v>0.08</v>
      </c>
      <c r="G6418" t="n">
        <v>1</v>
      </c>
      <c r="H6418" t="n">
        <v>2</v>
      </c>
      <c r="I6418" t="n">
        <v>9</v>
      </c>
      <c r="J6418" t="n">
        <v>1</v>
      </c>
      <c r="K6418" t="n">
        <v>0</v>
      </c>
      <c r="L6418" t="n">
        <v>90320</v>
      </c>
      <c r="M6418" t="n">
        <v>112900</v>
      </c>
      <c r="N6418" t="n">
        <v>91</v>
      </c>
      <c r="O6418" t="n">
        <v>0.91</v>
      </c>
      <c r="P6418" t="n">
        <v>0</v>
      </c>
      <c r="Q6418" t="n">
        <v>0.08</v>
      </c>
      <c r="R6418" t="n">
        <v>1</v>
      </c>
      <c r="S6418" t="n">
        <v>9032</v>
      </c>
      <c r="T6418" t="n">
        <v>9</v>
      </c>
      <c r="U6418" t="n">
        <v>10</v>
      </c>
      <c r="V6418" t="n">
        <v>30</v>
      </c>
      <c r="W6418" t="n">
        <v>3</v>
      </c>
      <c r="X6418" t="n">
        <v>212.5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10397</v>
      </c>
      <c r="AG6418" t="n">
        <v>170</v>
      </c>
      <c r="AH6418" t="inlineStr">
        <is>
          <t>PT. JALUR MANDIRI UTAMA - PPN (PDG)</t>
        </is>
      </c>
      <c r="AI6418" t="n">
        <v>170</v>
      </c>
      <c r="AJ6418" t="inlineStr">
        <is>
          <t>YOU</t>
        </is>
      </c>
      <c r="AK6418" t="n">
        <v>21</v>
      </c>
      <c r="AL6418" t="inlineStr">
        <is>
          <t>Miss Glam Damar</t>
        </is>
      </c>
      <c r="AM6418" t="n">
        <v>1</v>
      </c>
      <c r="AN6418" t="n">
        <v>500000</v>
      </c>
      <c r="AO6418" t="n">
        <v>0</v>
      </c>
      <c r="AP6418" t="inlineStr"/>
      <c r="AQ6418" t="inlineStr"/>
    </row>
    <row r="6419">
      <c r="A6419" t="inlineStr">
        <is>
          <t>YOU</t>
        </is>
      </c>
      <c r="B6419" s="2">
        <f>"20100179734"</f>
        <v/>
      </c>
      <c r="C6419" t="inlineStr">
        <is>
          <t>YOU Cloud Touch 3% Niacinamide Acne Defense Skin Tint N504 Rose Vanilla 20ml</t>
        </is>
      </c>
      <c r="D6419" t="inlineStr">
        <is>
          <t>Miss Glam Damar</t>
        </is>
      </c>
      <c r="E6419" t="n">
        <v>27</v>
      </c>
      <c r="F6419" t="n">
        <v>0.3276</v>
      </c>
      <c r="G6419" t="n">
        <v>1.82</v>
      </c>
      <c r="H6419" t="n">
        <v>2</v>
      </c>
      <c r="I6419" t="n">
        <v>9</v>
      </c>
      <c r="J6419" t="n">
        <v>1</v>
      </c>
      <c r="K6419" t="n">
        <v>0</v>
      </c>
      <c r="L6419" t="n">
        <v>90320</v>
      </c>
      <c r="M6419" t="n">
        <v>112900</v>
      </c>
      <c r="N6419" t="n">
        <v>91</v>
      </c>
      <c r="O6419" t="n">
        <v>0.91</v>
      </c>
      <c r="P6419" t="n">
        <v>1</v>
      </c>
      <c r="Q6419" t="n">
        <v>0.32</v>
      </c>
      <c r="R6419" t="n">
        <v>2</v>
      </c>
      <c r="S6419" t="n">
        <v>36986.04</v>
      </c>
      <c r="T6419" t="n">
        <v>16</v>
      </c>
      <c r="U6419" t="n">
        <v>17</v>
      </c>
      <c r="V6419" t="n">
        <v>30</v>
      </c>
      <c r="W6419" t="n">
        <v>10</v>
      </c>
      <c r="X6419" t="n">
        <v>82.41758241758242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10397</v>
      </c>
      <c r="AG6419" t="n">
        <v>170</v>
      </c>
      <c r="AH6419" t="inlineStr">
        <is>
          <t>PT. JALUR MANDIRI UTAMA - PPN (PDG)</t>
        </is>
      </c>
      <c r="AI6419" t="n">
        <v>170</v>
      </c>
      <c r="AJ6419" t="inlineStr">
        <is>
          <t>YOU</t>
        </is>
      </c>
      <c r="AK6419" t="n">
        <v>21</v>
      </c>
      <c r="AL6419" t="inlineStr">
        <is>
          <t>Miss Glam Damar</t>
        </is>
      </c>
      <c r="AM6419" t="n">
        <v>1</v>
      </c>
      <c r="AN6419" t="n">
        <v>500000</v>
      </c>
      <c r="AO6419" t="n">
        <v>0</v>
      </c>
      <c r="AP6419" t="inlineStr"/>
      <c r="AQ6419" t="inlineStr"/>
    </row>
    <row r="6420">
      <c r="A6420" t="inlineStr">
        <is>
          <t>YOU</t>
        </is>
      </c>
      <c r="B6420" s="2">
        <f>"20100179816"</f>
        <v/>
      </c>
      <c r="C6420" t="inlineStr">
        <is>
          <t>YOU Cloud Touch 3% Niacinamide Acne Defense Skin Tint W702 Cedar Almond 20ml</t>
        </is>
      </c>
      <c r="D6420" t="inlineStr">
        <is>
          <t>Miss Glam Damar</t>
        </is>
      </c>
      <c r="E6420" t="n">
        <v>11</v>
      </c>
      <c r="F6420" t="n">
        <v>0.1729</v>
      </c>
      <c r="G6420" t="n">
        <v>1.82</v>
      </c>
      <c r="H6420" t="n">
        <v>2</v>
      </c>
      <c r="I6420" t="n">
        <v>9</v>
      </c>
      <c r="J6420" t="n">
        <v>1</v>
      </c>
      <c r="K6420" t="n">
        <v>0</v>
      </c>
      <c r="L6420" t="n">
        <v>90320</v>
      </c>
      <c r="M6420" t="n">
        <v>112900</v>
      </c>
      <c r="N6420" t="n">
        <v>91</v>
      </c>
      <c r="O6420" t="n">
        <v>0.91</v>
      </c>
      <c r="P6420" t="n">
        <v>1</v>
      </c>
      <c r="Q6420" t="n">
        <v>0.15</v>
      </c>
      <c r="R6420" t="n">
        <v>2</v>
      </c>
      <c r="S6420" t="n">
        <v>19520.41</v>
      </c>
      <c r="T6420" t="n">
        <v>17</v>
      </c>
      <c r="U6420" t="n">
        <v>18</v>
      </c>
      <c r="V6420" t="n">
        <v>30</v>
      </c>
      <c r="W6420" t="n">
        <v>6</v>
      </c>
      <c r="X6420" t="n">
        <v>63.62058993637941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10397</v>
      </c>
      <c r="AG6420" t="n">
        <v>170</v>
      </c>
      <c r="AH6420" t="inlineStr">
        <is>
          <t>PT. JALUR MANDIRI UTAMA - PPN (PDG)</t>
        </is>
      </c>
      <c r="AI6420" t="n">
        <v>170</v>
      </c>
      <c r="AJ6420" t="inlineStr">
        <is>
          <t>YOU</t>
        </is>
      </c>
      <c r="AK6420" t="n">
        <v>21</v>
      </c>
      <c r="AL6420" t="inlineStr">
        <is>
          <t>Miss Glam Damar</t>
        </is>
      </c>
      <c r="AM6420" t="n">
        <v>1</v>
      </c>
      <c r="AN6420" t="n">
        <v>500000</v>
      </c>
      <c r="AO6420" t="n">
        <v>0</v>
      </c>
      <c r="AP6420" t="inlineStr"/>
      <c r="AQ6420" t="inlineStr"/>
    </row>
    <row r="6421">
      <c r="A6421" t="inlineStr">
        <is>
          <t>YOU</t>
        </is>
      </c>
      <c r="B6421" s="2">
        <f>"20100179959"</f>
        <v/>
      </c>
      <c r="C6421" t="inlineStr">
        <is>
          <t>YOU Cloud Touch 3% Niacinamide Acne Defense Skin Tint W706 Warm Buff 20ml</t>
        </is>
      </c>
      <c r="D6421" t="inlineStr">
        <is>
          <t>Miss Glam Damar</t>
        </is>
      </c>
      <c r="E6421" t="n">
        <v>11</v>
      </c>
      <c r="F6421" t="n">
        <v>0.14</v>
      </c>
      <c r="G6421" t="n">
        <v>1</v>
      </c>
      <c r="H6421" t="n">
        <v>2</v>
      </c>
      <c r="I6421" t="n">
        <v>9</v>
      </c>
      <c r="J6421" t="n">
        <v>1</v>
      </c>
      <c r="K6421" t="n">
        <v>0</v>
      </c>
      <c r="L6421" t="n">
        <v>90320</v>
      </c>
      <c r="M6421" t="n">
        <v>112900</v>
      </c>
      <c r="N6421" t="n">
        <v>91</v>
      </c>
      <c r="O6421" t="n">
        <v>0.91</v>
      </c>
      <c r="P6421" t="n">
        <v>0</v>
      </c>
      <c r="Q6421" t="n">
        <v>0.14</v>
      </c>
      <c r="R6421" t="n">
        <v>1</v>
      </c>
      <c r="S6421" t="n">
        <v>15806</v>
      </c>
      <c r="T6421" t="n">
        <v>9</v>
      </c>
      <c r="U6421" t="n">
        <v>10</v>
      </c>
      <c r="V6421" t="n">
        <v>30</v>
      </c>
      <c r="W6421" t="n">
        <v>5</v>
      </c>
      <c r="X6421" t="n">
        <v>78.57142857142857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10397</v>
      </c>
      <c r="AG6421" t="n">
        <v>170</v>
      </c>
      <c r="AH6421" t="inlineStr">
        <is>
          <t>PT. JALUR MANDIRI UTAMA - PPN (PDG)</t>
        </is>
      </c>
      <c r="AI6421" t="n">
        <v>170</v>
      </c>
      <c r="AJ6421" t="inlineStr">
        <is>
          <t>YOU</t>
        </is>
      </c>
      <c r="AK6421" t="n">
        <v>21</v>
      </c>
      <c r="AL6421" t="inlineStr">
        <is>
          <t>Miss Glam Damar</t>
        </is>
      </c>
      <c r="AM6421" t="n">
        <v>1</v>
      </c>
      <c r="AN6421" t="n">
        <v>500000</v>
      </c>
      <c r="AO6421" t="n">
        <v>0</v>
      </c>
      <c r="AP6421" t="inlineStr"/>
      <c r="AQ6421" t="inlineStr"/>
    </row>
    <row r="6422">
      <c r="A6422" t="inlineStr">
        <is>
          <t>YOU</t>
        </is>
      </c>
      <c r="B6422" s="2">
        <f>"20100180043"</f>
        <v/>
      </c>
      <c r="C6422" t="inlineStr">
        <is>
          <t>YOU Cloud Touch 3% Niacinamide Acne Defense Skin Tint W708 Crème Beige 20ml</t>
        </is>
      </c>
      <c r="D6422" t="inlineStr">
        <is>
          <t>Miss Glam Damar</t>
        </is>
      </c>
      <c r="E6422" t="n">
        <v>11</v>
      </c>
      <c r="F6422" t="n">
        <v>0.3367</v>
      </c>
      <c r="G6422" t="n">
        <v>1.82</v>
      </c>
      <c r="H6422" t="n">
        <v>2</v>
      </c>
      <c r="I6422" t="n">
        <v>9</v>
      </c>
      <c r="J6422" t="n">
        <v>1</v>
      </c>
      <c r="K6422" t="n">
        <v>0</v>
      </c>
      <c r="L6422" t="n">
        <v>90320</v>
      </c>
      <c r="M6422" t="n">
        <v>112900</v>
      </c>
      <c r="N6422" t="n">
        <v>91</v>
      </c>
      <c r="O6422" t="n">
        <v>0.91</v>
      </c>
      <c r="P6422" t="n">
        <v>1</v>
      </c>
      <c r="Q6422" t="n">
        <v>0.14</v>
      </c>
      <c r="R6422" t="n">
        <v>1</v>
      </c>
      <c r="S6422" t="n">
        <v>38013.43</v>
      </c>
      <c r="T6422" t="n">
        <v>16</v>
      </c>
      <c r="U6422" t="n">
        <v>17</v>
      </c>
      <c r="V6422" t="n">
        <v>30</v>
      </c>
      <c r="W6422" t="n">
        <v>11</v>
      </c>
      <c r="X6422" t="n">
        <v>32.67003267003267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10397</v>
      </c>
      <c r="AG6422" t="n">
        <v>170</v>
      </c>
      <c r="AH6422" t="inlineStr">
        <is>
          <t>PT. JALUR MANDIRI UTAMA - PPN (PDG)</t>
        </is>
      </c>
      <c r="AI6422" t="n">
        <v>170</v>
      </c>
      <c r="AJ6422" t="inlineStr">
        <is>
          <t>YOU</t>
        </is>
      </c>
      <c r="AK6422" t="n">
        <v>21</v>
      </c>
      <c r="AL6422" t="inlineStr">
        <is>
          <t>Miss Glam Damar</t>
        </is>
      </c>
      <c r="AM6422" t="n">
        <v>1</v>
      </c>
      <c r="AN6422" t="n">
        <v>500000</v>
      </c>
      <c r="AO6422" t="n">
        <v>0</v>
      </c>
      <c r="AP6422" t="inlineStr"/>
      <c r="AQ6422" t="inlineStr"/>
    </row>
    <row r="6423">
      <c r="A6423" t="inlineStr">
        <is>
          <t>YOU</t>
        </is>
      </c>
      <c r="B6423" s="2">
        <f>"20100178948"</f>
        <v/>
      </c>
      <c r="C6423" t="inlineStr">
        <is>
          <t>YOU Cloud Touch 3% Niacinamide Brightening Skin Tint C203 Pink Sand 20ml</t>
        </is>
      </c>
      <c r="D6423" t="inlineStr">
        <is>
          <t>Miss Glam Damar</t>
        </is>
      </c>
      <c r="E6423" t="n">
        <v>14</v>
      </c>
      <c r="F6423" t="n">
        <v>0.0182</v>
      </c>
      <c r="G6423" t="n">
        <v>0</v>
      </c>
      <c r="H6423" t="n">
        <v>2</v>
      </c>
      <c r="I6423" t="n">
        <v>9</v>
      </c>
      <c r="J6423" t="n">
        <v>1</v>
      </c>
      <c r="K6423" t="n">
        <v>0</v>
      </c>
      <c r="L6423" t="n">
        <v>90320</v>
      </c>
      <c r="M6423" t="n">
        <v>112900</v>
      </c>
      <c r="N6423" t="n">
        <v>91</v>
      </c>
      <c r="O6423" t="n">
        <v>0.91</v>
      </c>
      <c r="P6423" t="n">
        <v>1</v>
      </c>
      <c r="Q6423" t="n">
        <v>0.32</v>
      </c>
      <c r="R6423" t="n">
        <v>3</v>
      </c>
      <c r="S6423" t="n">
        <v>2054.78</v>
      </c>
      <c r="T6423" t="n">
        <v>0</v>
      </c>
      <c r="U6423" t="n">
        <v>1</v>
      </c>
      <c r="V6423" t="n">
        <v>30</v>
      </c>
      <c r="W6423" t="n">
        <v>1</v>
      </c>
      <c r="X6423" t="n">
        <v>769.2307692307692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10397</v>
      </c>
      <c r="AG6423" t="n">
        <v>170</v>
      </c>
      <c r="AH6423" t="inlineStr">
        <is>
          <t>PT. JALUR MANDIRI UTAMA - PPN (PDG)</t>
        </is>
      </c>
      <c r="AI6423" t="n">
        <v>170</v>
      </c>
      <c r="AJ6423" t="inlineStr">
        <is>
          <t>YOU</t>
        </is>
      </c>
      <c r="AK6423" t="n">
        <v>21</v>
      </c>
      <c r="AL6423" t="inlineStr">
        <is>
          <t>Miss Glam Damar</t>
        </is>
      </c>
      <c r="AM6423" t="n">
        <v>1</v>
      </c>
      <c r="AN6423" t="n">
        <v>500000</v>
      </c>
      <c r="AO6423" t="n">
        <v>0</v>
      </c>
      <c r="AP6423" t="inlineStr"/>
      <c r="AQ6423" t="inlineStr"/>
    </row>
    <row r="6424">
      <c r="A6424" t="inlineStr">
        <is>
          <t>YOU</t>
        </is>
      </c>
      <c r="B6424" s="2">
        <f>"20100179038"</f>
        <v/>
      </c>
      <c r="C6424" t="inlineStr">
        <is>
          <t>YOU Cloud Touch 3% Niacinamide Brightening Skin Tint N402 Shell Ivory 20ml</t>
        </is>
      </c>
      <c r="D6424" t="inlineStr">
        <is>
          <t>Miss Glam Damar</t>
        </is>
      </c>
      <c r="E6424" t="n">
        <v>6</v>
      </c>
      <c r="F6424" t="n">
        <v>0.3367</v>
      </c>
      <c r="G6424" t="n">
        <v>2.73</v>
      </c>
      <c r="H6424" t="n">
        <v>2</v>
      </c>
      <c r="I6424" t="n">
        <v>9</v>
      </c>
      <c r="J6424" t="n">
        <v>1</v>
      </c>
      <c r="K6424" t="n">
        <v>0</v>
      </c>
      <c r="L6424" t="n">
        <v>90320</v>
      </c>
      <c r="M6424" t="n">
        <v>112900</v>
      </c>
      <c r="N6424" t="n">
        <v>91</v>
      </c>
      <c r="O6424" t="n">
        <v>0.91</v>
      </c>
      <c r="P6424" t="n">
        <v>1</v>
      </c>
      <c r="Q6424" t="n">
        <v>0.19</v>
      </c>
      <c r="R6424" t="n">
        <v>2</v>
      </c>
      <c r="S6424" t="n">
        <v>38013.43</v>
      </c>
      <c r="T6424" t="n">
        <v>24</v>
      </c>
      <c r="U6424" t="n">
        <v>25</v>
      </c>
      <c r="V6424" t="n">
        <v>30</v>
      </c>
      <c r="W6424" t="n">
        <v>11</v>
      </c>
      <c r="X6424" t="n">
        <v>17.82001782001782</v>
      </c>
      <c r="Y6424" t="n">
        <v>1</v>
      </c>
      <c r="Z6424" t="n">
        <v>5</v>
      </c>
      <c r="AA6424" t="n">
        <v>0</v>
      </c>
      <c r="AB6424" t="n">
        <v>5</v>
      </c>
      <c r="AC6424" t="n">
        <v>5</v>
      </c>
      <c r="AD6424" t="n">
        <v>0</v>
      </c>
      <c r="AE6424" t="n">
        <v>451600</v>
      </c>
      <c r="AF6424" t="n">
        <v>10397</v>
      </c>
      <c r="AG6424" t="n">
        <v>170</v>
      </c>
      <c r="AH6424" t="inlineStr">
        <is>
          <t>PT. JALUR MANDIRI UTAMA - PPN (PDG)</t>
        </is>
      </c>
      <c r="AI6424" t="n">
        <v>170</v>
      </c>
      <c r="AJ6424" t="inlineStr">
        <is>
          <t>YOU</t>
        </is>
      </c>
      <c r="AK6424" t="n">
        <v>21</v>
      </c>
      <c r="AL6424" t="inlineStr">
        <is>
          <t>Miss Glam Damar</t>
        </is>
      </c>
      <c r="AM6424" t="n">
        <v>1</v>
      </c>
      <c r="AN6424" t="n">
        <v>500000</v>
      </c>
      <c r="AO6424" t="n">
        <v>0</v>
      </c>
      <c r="AP6424" t="inlineStr"/>
      <c r="AQ6424" t="inlineStr"/>
    </row>
    <row r="6425">
      <c r="A6425" t="inlineStr">
        <is>
          <t>YOU</t>
        </is>
      </c>
      <c r="B6425" s="2">
        <f>"20100179133"</f>
        <v/>
      </c>
      <c r="C6425" t="inlineStr">
        <is>
          <t>YOU Cloud Touch 3% Niacinamide Brightening Skin Tint N504 Rose Vanilla 20ml</t>
        </is>
      </c>
      <c r="D6425" t="inlineStr">
        <is>
          <t>Miss Glam Damar</t>
        </is>
      </c>
      <c r="E6425" t="n">
        <v>2</v>
      </c>
      <c r="F6425" t="n">
        <v>0.2821</v>
      </c>
      <c r="G6425" t="n">
        <v>2.73</v>
      </c>
      <c r="H6425" t="n">
        <v>2</v>
      </c>
      <c r="I6425" t="n">
        <v>9</v>
      </c>
      <c r="J6425" t="n">
        <v>1</v>
      </c>
      <c r="K6425" t="n">
        <v>0</v>
      </c>
      <c r="L6425" t="n">
        <v>90320</v>
      </c>
      <c r="M6425" t="n">
        <v>112900</v>
      </c>
      <c r="N6425" t="n">
        <v>91</v>
      </c>
      <c r="O6425" t="n">
        <v>0.91</v>
      </c>
      <c r="P6425" t="n">
        <v>1</v>
      </c>
      <c r="Q6425" t="n">
        <v>0.27</v>
      </c>
      <c r="R6425" t="n">
        <v>2</v>
      </c>
      <c r="S6425" t="n">
        <v>31849.09</v>
      </c>
      <c r="T6425" t="n">
        <v>25</v>
      </c>
      <c r="U6425" t="n">
        <v>26</v>
      </c>
      <c r="V6425" t="n">
        <v>30</v>
      </c>
      <c r="W6425" t="n">
        <v>9</v>
      </c>
      <c r="X6425" t="n">
        <v>7.089684509039348</v>
      </c>
      <c r="Y6425" t="n">
        <v>1</v>
      </c>
      <c r="Z6425" t="n">
        <v>7</v>
      </c>
      <c r="AA6425" t="n">
        <v>1</v>
      </c>
      <c r="AB6425" t="n">
        <v>6</v>
      </c>
      <c r="AC6425" t="n">
        <v>6</v>
      </c>
      <c r="AD6425" t="n">
        <v>90320</v>
      </c>
      <c r="AE6425" t="n">
        <v>541920</v>
      </c>
      <c r="AF6425" t="n">
        <v>10397</v>
      </c>
      <c r="AG6425" t="n">
        <v>170</v>
      </c>
      <c r="AH6425" t="inlineStr">
        <is>
          <t>PT. JALUR MANDIRI UTAMA - PPN (PDG)</t>
        </is>
      </c>
      <c r="AI6425" t="n">
        <v>170</v>
      </c>
      <c r="AJ6425" t="inlineStr">
        <is>
          <t>YOU</t>
        </is>
      </c>
      <c r="AK6425" t="n">
        <v>21</v>
      </c>
      <c r="AL6425" t="inlineStr">
        <is>
          <t>Miss Glam Damar</t>
        </is>
      </c>
      <c r="AM6425" t="n">
        <v>1</v>
      </c>
      <c r="AN6425" t="n">
        <v>500000</v>
      </c>
      <c r="AO6425" t="n">
        <v>0</v>
      </c>
      <c r="AP6425" t="inlineStr"/>
      <c r="AQ6425" t="inlineStr"/>
    </row>
    <row r="6426">
      <c r="A6426" t="inlineStr">
        <is>
          <t>YOU</t>
        </is>
      </c>
      <c r="B6426" s="2">
        <f>"20100179232"</f>
        <v/>
      </c>
      <c r="C6426" t="inlineStr">
        <is>
          <t>YOU Cloud Touch 3% Niacinamide Brightening Skin Tint W706 Warm Buff 20ml</t>
        </is>
      </c>
      <c r="D6426" t="inlineStr">
        <is>
          <t>Miss Glam Damar</t>
        </is>
      </c>
      <c r="E6426" t="n">
        <v>9</v>
      </c>
      <c r="F6426" t="n">
        <v>0.3367</v>
      </c>
      <c r="G6426" t="n">
        <v>1.82</v>
      </c>
      <c r="H6426" t="n">
        <v>2</v>
      </c>
      <c r="I6426" t="n">
        <v>9</v>
      </c>
      <c r="J6426" t="n">
        <v>1</v>
      </c>
      <c r="K6426" t="n">
        <v>0</v>
      </c>
      <c r="L6426" t="n">
        <v>90320</v>
      </c>
      <c r="M6426" t="n">
        <v>112900</v>
      </c>
      <c r="N6426" t="n">
        <v>91</v>
      </c>
      <c r="O6426" t="n">
        <v>0.91</v>
      </c>
      <c r="P6426" t="n">
        <v>1</v>
      </c>
      <c r="Q6426" t="n">
        <v>0.14</v>
      </c>
      <c r="R6426" t="n">
        <v>3</v>
      </c>
      <c r="S6426" t="n">
        <v>38013.43</v>
      </c>
      <c r="T6426" t="n">
        <v>16</v>
      </c>
      <c r="U6426" t="n">
        <v>17</v>
      </c>
      <c r="V6426" t="n">
        <v>30</v>
      </c>
      <c r="W6426" t="n">
        <v>11</v>
      </c>
      <c r="X6426" t="n">
        <v>26.73002673002673</v>
      </c>
      <c r="Y6426" t="n">
        <v>1</v>
      </c>
      <c r="Z6426" t="n">
        <v>2</v>
      </c>
      <c r="AA6426" t="n">
        <v>0</v>
      </c>
      <c r="AB6426" t="n">
        <v>2</v>
      </c>
      <c r="AC6426" t="n">
        <v>2</v>
      </c>
      <c r="AD6426" t="n">
        <v>0</v>
      </c>
      <c r="AE6426" t="n">
        <v>180640</v>
      </c>
      <c r="AF6426" t="n">
        <v>10397</v>
      </c>
      <c r="AG6426" t="n">
        <v>170</v>
      </c>
      <c r="AH6426" t="inlineStr">
        <is>
          <t>PT. JALUR MANDIRI UTAMA - PPN (PDG)</t>
        </is>
      </c>
      <c r="AI6426" t="n">
        <v>170</v>
      </c>
      <c r="AJ6426" t="inlineStr">
        <is>
          <t>YOU</t>
        </is>
      </c>
      <c r="AK6426" t="n">
        <v>21</v>
      </c>
      <c r="AL6426" t="inlineStr">
        <is>
          <t>Miss Glam Damar</t>
        </is>
      </c>
      <c r="AM6426" t="n">
        <v>1</v>
      </c>
      <c r="AN6426" t="n">
        <v>500000</v>
      </c>
      <c r="AO6426" t="n">
        <v>0</v>
      </c>
      <c r="AP6426" t="inlineStr"/>
      <c r="AQ6426" t="inlineStr"/>
    </row>
    <row r="6427">
      <c r="A6427" t="inlineStr">
        <is>
          <t>YOU</t>
        </is>
      </c>
      <c r="B6427" s="2">
        <f>"20100179339"</f>
        <v/>
      </c>
      <c r="C6427" t="inlineStr">
        <is>
          <t>YOU Cloud Touch 3% Niacinamide Brightening Skin Tint W708 Crème Beige 20ml</t>
        </is>
      </c>
      <c r="D6427" t="inlineStr">
        <is>
          <t>Miss Glam Damar</t>
        </is>
      </c>
      <c r="E6427" t="n">
        <v>4</v>
      </c>
      <c r="F6427" t="n">
        <v>0.2</v>
      </c>
      <c r="G6427" t="n">
        <v>2</v>
      </c>
      <c r="H6427" t="n">
        <v>2</v>
      </c>
      <c r="I6427" t="n">
        <v>9</v>
      </c>
      <c r="J6427" t="n">
        <v>1</v>
      </c>
      <c r="K6427" t="n">
        <v>0</v>
      </c>
      <c r="L6427" t="n">
        <v>90320</v>
      </c>
      <c r="M6427" t="n">
        <v>112900</v>
      </c>
      <c r="N6427" t="n">
        <v>91</v>
      </c>
      <c r="O6427" t="n">
        <v>0.91</v>
      </c>
      <c r="P6427" t="n">
        <v>0</v>
      </c>
      <c r="Q6427" t="n">
        <v>0.2</v>
      </c>
      <c r="R6427" t="n">
        <v>2</v>
      </c>
      <c r="S6427" t="n">
        <v>22580</v>
      </c>
      <c r="T6427" t="n">
        <v>18</v>
      </c>
      <c r="U6427" t="n">
        <v>19</v>
      </c>
      <c r="V6427" t="n">
        <v>30</v>
      </c>
      <c r="W6427" t="n">
        <v>6</v>
      </c>
      <c r="X6427" t="n">
        <v>20</v>
      </c>
      <c r="Y6427" t="n">
        <v>1</v>
      </c>
      <c r="Z6427" t="n">
        <v>2</v>
      </c>
      <c r="AA6427" t="n">
        <v>0</v>
      </c>
      <c r="AB6427" t="n">
        <v>2</v>
      </c>
      <c r="AC6427" t="n">
        <v>2</v>
      </c>
      <c r="AD6427" t="n">
        <v>0</v>
      </c>
      <c r="AE6427" t="n">
        <v>180640</v>
      </c>
      <c r="AF6427" t="n">
        <v>10397</v>
      </c>
      <c r="AG6427" t="n">
        <v>170</v>
      </c>
      <c r="AH6427" t="inlineStr">
        <is>
          <t>PT. JALUR MANDIRI UTAMA - PPN (PDG)</t>
        </is>
      </c>
      <c r="AI6427" t="n">
        <v>170</v>
      </c>
      <c r="AJ6427" t="inlineStr">
        <is>
          <t>YOU</t>
        </is>
      </c>
      <c r="AK6427" t="n">
        <v>21</v>
      </c>
      <c r="AL6427" t="inlineStr">
        <is>
          <t>Miss Glam Damar</t>
        </is>
      </c>
      <c r="AM6427" t="n">
        <v>1</v>
      </c>
      <c r="AN6427" t="n">
        <v>500000</v>
      </c>
      <c r="AO6427" t="n">
        <v>0</v>
      </c>
      <c r="AP6427" t="inlineStr"/>
      <c r="AQ6427" t="inlineStr"/>
    </row>
    <row r="6428">
      <c r="A6428" t="inlineStr">
        <is>
          <t>YOU</t>
        </is>
      </c>
      <c r="B6428" s="2">
        <f>"20100640543"</f>
        <v/>
      </c>
      <c r="C6428" t="inlineStr">
        <is>
          <t>YOU Cloud Touch Blurring Filter Loose Powder 000 Translucent Pearl 15gr</t>
        </is>
      </c>
      <c r="D6428" t="inlineStr">
        <is>
          <t>Miss Glam Damar</t>
        </is>
      </c>
      <c r="E6428" t="n">
        <v>21</v>
      </c>
      <c r="F6428" t="n">
        <v>0.1365</v>
      </c>
      <c r="G6428" t="n">
        <v>2.73</v>
      </c>
      <c r="H6428" t="n">
        <v>2</v>
      </c>
      <c r="I6428" t="n">
        <v>9</v>
      </c>
      <c r="J6428" t="n">
        <v>1</v>
      </c>
      <c r="K6428" t="n">
        <v>0</v>
      </c>
      <c r="L6428" t="n">
        <v>63200</v>
      </c>
      <c r="M6428" t="n">
        <v>79000</v>
      </c>
      <c r="N6428" t="n">
        <v>91</v>
      </c>
      <c r="O6428" t="n">
        <v>0.91</v>
      </c>
      <c r="P6428" t="n">
        <v>1</v>
      </c>
      <c r="Q6428" t="n">
        <v>0.24</v>
      </c>
      <c r="R6428" t="n">
        <v>2</v>
      </c>
      <c r="S6428" t="n">
        <v>10783.5</v>
      </c>
      <c r="T6428" t="n">
        <v>25</v>
      </c>
      <c r="U6428" t="n">
        <v>26</v>
      </c>
      <c r="V6428" t="n">
        <v>30</v>
      </c>
      <c r="W6428" t="n">
        <v>5</v>
      </c>
      <c r="X6428" t="n">
        <v>153.8461538461538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10397</v>
      </c>
      <c r="AG6428" t="n">
        <v>170</v>
      </c>
      <c r="AH6428" t="inlineStr">
        <is>
          <t>PT. JALUR MANDIRI UTAMA - PPN (PDG)</t>
        </is>
      </c>
      <c r="AI6428" t="n">
        <v>170</v>
      </c>
      <c r="AJ6428" t="inlineStr">
        <is>
          <t>YOU</t>
        </is>
      </c>
      <c r="AK6428" t="n">
        <v>21</v>
      </c>
      <c r="AL6428" t="inlineStr">
        <is>
          <t>Miss Glam Damar</t>
        </is>
      </c>
      <c r="AM6428" t="n">
        <v>1</v>
      </c>
      <c r="AN6428" t="n">
        <v>500000</v>
      </c>
      <c r="AO6428" t="n">
        <v>0</v>
      </c>
      <c r="AP6428" t="inlineStr"/>
      <c r="AQ6428" t="inlineStr"/>
    </row>
    <row r="6429">
      <c r="A6429" t="inlineStr">
        <is>
          <t>YOU</t>
        </is>
      </c>
      <c r="B6429" s="2">
        <f>"20100640610"</f>
        <v/>
      </c>
      <c r="C6429" t="inlineStr">
        <is>
          <t>YOU Cloud Touch Blurring Filter Loose Powder C303 Light Matte 15gr</t>
        </is>
      </c>
      <c r="D6429" t="inlineStr">
        <is>
          <t>Miss Glam Damar</t>
        </is>
      </c>
      <c r="E6429" t="n">
        <v>8</v>
      </c>
      <c r="F6429" t="n">
        <v>0.4368</v>
      </c>
      <c r="G6429" t="n">
        <v>4.55</v>
      </c>
      <c r="H6429" t="n">
        <v>2</v>
      </c>
      <c r="I6429" t="n">
        <v>9</v>
      </c>
      <c r="J6429" t="n">
        <v>1</v>
      </c>
      <c r="K6429" t="n">
        <v>0</v>
      </c>
      <c r="L6429" t="n">
        <v>63200</v>
      </c>
      <c r="M6429" t="n">
        <v>79000</v>
      </c>
      <c r="N6429" t="n">
        <v>91</v>
      </c>
      <c r="O6429" t="n">
        <v>0.91</v>
      </c>
      <c r="P6429" t="n">
        <v>1</v>
      </c>
      <c r="Q6429" t="n">
        <v>0.29</v>
      </c>
      <c r="R6429" t="n">
        <v>2</v>
      </c>
      <c r="S6429" t="n">
        <v>34507.2</v>
      </c>
      <c r="T6429" t="n">
        <v>41</v>
      </c>
      <c r="U6429" t="n">
        <v>42</v>
      </c>
      <c r="V6429" t="n">
        <v>30</v>
      </c>
      <c r="W6429" t="n">
        <v>14</v>
      </c>
      <c r="X6429" t="n">
        <v>18.31501831501831</v>
      </c>
      <c r="Y6429" t="n">
        <v>1</v>
      </c>
      <c r="Z6429" t="n">
        <v>6</v>
      </c>
      <c r="AA6429" t="n">
        <v>0</v>
      </c>
      <c r="AB6429" t="n">
        <v>6</v>
      </c>
      <c r="AC6429" t="n">
        <v>6</v>
      </c>
      <c r="AD6429" t="n">
        <v>0</v>
      </c>
      <c r="AE6429" t="n">
        <v>379200</v>
      </c>
      <c r="AF6429" t="n">
        <v>10397</v>
      </c>
      <c r="AG6429" t="n">
        <v>170</v>
      </c>
      <c r="AH6429" t="inlineStr">
        <is>
          <t>PT. JALUR MANDIRI UTAMA - PPN (PDG)</t>
        </is>
      </c>
      <c r="AI6429" t="n">
        <v>170</v>
      </c>
      <c r="AJ6429" t="inlineStr">
        <is>
          <t>YOU</t>
        </is>
      </c>
      <c r="AK6429" t="n">
        <v>21</v>
      </c>
      <c r="AL6429" t="inlineStr">
        <is>
          <t>Miss Glam Damar</t>
        </is>
      </c>
      <c r="AM6429" t="n">
        <v>1</v>
      </c>
      <c r="AN6429" t="n">
        <v>500000</v>
      </c>
      <c r="AO6429" t="n">
        <v>0</v>
      </c>
      <c r="AP6429" t="inlineStr"/>
      <c r="AQ6429" t="inlineStr"/>
    </row>
    <row r="6430">
      <c r="A6430" t="inlineStr">
        <is>
          <t>YOU</t>
        </is>
      </c>
      <c r="B6430" s="2">
        <f>"20100640728"</f>
        <v/>
      </c>
      <c r="C6430" t="inlineStr">
        <is>
          <t>YOU Cloud Touch Blurring Filter Loose Powder N505 Neutral Pearl 15gr</t>
        </is>
      </c>
      <c r="D6430" t="inlineStr">
        <is>
          <t>Miss Glam Damar</t>
        </is>
      </c>
      <c r="E6430" t="n">
        <v>1</v>
      </c>
      <c r="F6430" t="n">
        <v>0.27</v>
      </c>
      <c r="G6430" t="n">
        <v>2</v>
      </c>
      <c r="H6430" t="n">
        <v>2</v>
      </c>
      <c r="I6430" t="n">
        <v>9</v>
      </c>
      <c r="J6430" t="n">
        <v>1</v>
      </c>
      <c r="K6430" t="n">
        <v>0</v>
      </c>
      <c r="L6430" t="n">
        <v>63200</v>
      </c>
      <c r="M6430" t="n">
        <v>79000</v>
      </c>
      <c r="N6430" t="n">
        <v>91</v>
      </c>
      <c r="O6430" t="n">
        <v>0.91</v>
      </c>
      <c r="P6430" t="n">
        <v>0</v>
      </c>
      <c r="Q6430" t="n">
        <v>0.27</v>
      </c>
      <c r="R6430" t="n">
        <v>2</v>
      </c>
      <c r="S6430" t="n">
        <v>21330</v>
      </c>
      <c r="T6430" t="n">
        <v>18</v>
      </c>
      <c r="U6430" t="n">
        <v>19</v>
      </c>
      <c r="V6430" t="n">
        <v>30</v>
      </c>
      <c r="W6430" t="n">
        <v>9</v>
      </c>
      <c r="X6430" t="n">
        <v>3.703703703703703</v>
      </c>
      <c r="Y6430" t="n">
        <v>1</v>
      </c>
      <c r="Z6430" t="n">
        <v>8</v>
      </c>
      <c r="AA6430" t="n">
        <v>2</v>
      </c>
      <c r="AB6430" t="n">
        <v>6</v>
      </c>
      <c r="AC6430" t="n">
        <v>6</v>
      </c>
      <c r="AD6430" t="n">
        <v>126400</v>
      </c>
      <c r="AE6430" t="n">
        <v>379200</v>
      </c>
      <c r="AF6430" t="n">
        <v>10397</v>
      </c>
      <c r="AG6430" t="n">
        <v>170</v>
      </c>
      <c r="AH6430" t="inlineStr">
        <is>
          <t>PT. JALUR MANDIRI UTAMA - PPN (PDG)</t>
        </is>
      </c>
      <c r="AI6430" t="n">
        <v>170</v>
      </c>
      <c r="AJ6430" t="inlineStr">
        <is>
          <t>YOU</t>
        </is>
      </c>
      <c r="AK6430" t="n">
        <v>21</v>
      </c>
      <c r="AL6430" t="inlineStr">
        <is>
          <t>Miss Glam Damar</t>
        </is>
      </c>
      <c r="AM6430" t="n">
        <v>1</v>
      </c>
      <c r="AN6430" t="n">
        <v>500000</v>
      </c>
      <c r="AO6430" t="n">
        <v>0</v>
      </c>
      <c r="AP6430" t="inlineStr"/>
      <c r="AQ6430" t="inlineStr"/>
    </row>
    <row r="6431">
      <c r="A6431" t="inlineStr">
        <is>
          <t>YOU</t>
        </is>
      </c>
      <c r="B6431" s="2">
        <f>"8991748006978"</f>
        <v/>
      </c>
      <c r="C6431" t="inlineStr">
        <is>
          <t>YOU Cloud Touch Blurring Skin Tint C203 Pink Sand</t>
        </is>
      </c>
      <c r="D6431" t="inlineStr">
        <is>
          <t>Miss Glam Damar</t>
        </is>
      </c>
      <c r="E6431" t="n">
        <v>15</v>
      </c>
      <c r="F6431" t="n">
        <v>0.2275</v>
      </c>
      <c r="G6431" t="n">
        <v>1.82</v>
      </c>
      <c r="H6431" t="n">
        <v>2</v>
      </c>
      <c r="I6431" t="n">
        <v>9</v>
      </c>
      <c r="J6431" t="n">
        <v>3</v>
      </c>
      <c r="K6431" t="n">
        <v>0</v>
      </c>
      <c r="L6431" t="n">
        <v>90320</v>
      </c>
      <c r="M6431" t="n">
        <v>112900</v>
      </c>
      <c r="N6431" t="n">
        <v>91</v>
      </c>
      <c r="O6431" t="n">
        <v>0.91</v>
      </c>
      <c r="P6431" t="n">
        <v>1</v>
      </c>
      <c r="Q6431" t="n">
        <v>0.05</v>
      </c>
      <c r="R6431" t="n">
        <v>1</v>
      </c>
      <c r="S6431" t="n">
        <v>25684.75</v>
      </c>
      <c r="T6431" t="n">
        <v>16</v>
      </c>
      <c r="U6431" t="n">
        <v>17</v>
      </c>
      <c r="V6431" t="n">
        <v>30</v>
      </c>
      <c r="W6431" t="n">
        <v>7</v>
      </c>
      <c r="X6431" t="n">
        <v>65.93406593406593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10397</v>
      </c>
      <c r="AG6431" t="n">
        <v>170</v>
      </c>
      <c r="AH6431" t="inlineStr">
        <is>
          <t>PT. JALUR MANDIRI UTAMA - PPN (PDG)</t>
        </is>
      </c>
      <c r="AI6431" t="n">
        <v>170</v>
      </c>
      <c r="AJ6431" t="inlineStr">
        <is>
          <t>YOU</t>
        </is>
      </c>
      <c r="AK6431" t="n">
        <v>21</v>
      </c>
      <c r="AL6431" t="inlineStr">
        <is>
          <t>Miss Glam Damar</t>
        </is>
      </c>
      <c r="AM6431" t="n">
        <v>1</v>
      </c>
      <c r="AN6431" t="n">
        <v>500000</v>
      </c>
      <c r="AO6431" t="n">
        <v>0</v>
      </c>
      <c r="AP6431" t="inlineStr"/>
      <c r="AQ6431" t="inlineStr"/>
    </row>
    <row r="6432">
      <c r="A6432" t="inlineStr">
        <is>
          <t>YOU</t>
        </is>
      </c>
      <c r="B6432" s="2">
        <f>"8991748006961"</f>
        <v/>
      </c>
      <c r="C6432" t="inlineStr">
        <is>
          <t>YOU Cloud Touch Blurring Skin Tint N402 Shell Ivory</t>
        </is>
      </c>
      <c r="D6432" t="inlineStr">
        <is>
          <t>Miss Glam Damar</t>
        </is>
      </c>
      <c r="E6432" t="n">
        <v>12</v>
      </c>
      <c r="F6432" t="n">
        <v>0.1365</v>
      </c>
      <c r="G6432" t="n">
        <v>1.82</v>
      </c>
      <c r="H6432" t="n">
        <v>2</v>
      </c>
      <c r="I6432" t="n">
        <v>9</v>
      </c>
      <c r="J6432" t="n">
        <v>3</v>
      </c>
      <c r="K6432" t="n">
        <v>0</v>
      </c>
      <c r="L6432" t="n">
        <v>90320</v>
      </c>
      <c r="M6432" t="n">
        <v>112900</v>
      </c>
      <c r="N6432" t="n">
        <v>91</v>
      </c>
      <c r="O6432" t="n">
        <v>0.91</v>
      </c>
      <c r="P6432" t="n">
        <v>1</v>
      </c>
      <c r="Q6432" t="n">
        <v>0.12</v>
      </c>
      <c r="R6432" t="n">
        <v>2</v>
      </c>
      <c r="S6432" t="n">
        <v>15410.85</v>
      </c>
      <c r="T6432" t="n">
        <v>17</v>
      </c>
      <c r="U6432" t="n">
        <v>18</v>
      </c>
      <c r="V6432" t="n">
        <v>30</v>
      </c>
      <c r="W6432" t="n">
        <v>5</v>
      </c>
      <c r="X6432" t="n">
        <v>87.91208791208791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10397</v>
      </c>
      <c r="AG6432" t="n">
        <v>170</v>
      </c>
      <c r="AH6432" t="inlineStr">
        <is>
          <t>PT. JALUR MANDIRI UTAMA - PPN (PDG)</t>
        </is>
      </c>
      <c r="AI6432" t="n">
        <v>170</v>
      </c>
      <c r="AJ6432" t="inlineStr">
        <is>
          <t>YOU</t>
        </is>
      </c>
      <c r="AK6432" t="n">
        <v>21</v>
      </c>
      <c r="AL6432" t="inlineStr">
        <is>
          <t>Miss Glam Damar</t>
        </is>
      </c>
      <c r="AM6432" t="n">
        <v>1</v>
      </c>
      <c r="AN6432" t="n">
        <v>500000</v>
      </c>
      <c r="AO6432" t="n">
        <v>0</v>
      </c>
      <c r="AP6432" t="inlineStr"/>
      <c r="AQ6432" t="inlineStr"/>
    </row>
    <row r="6433">
      <c r="A6433" t="inlineStr">
        <is>
          <t>YOU</t>
        </is>
      </c>
      <c r="B6433" s="2">
        <f>"8991748006985"</f>
        <v/>
      </c>
      <c r="C6433" t="inlineStr">
        <is>
          <t>YOU Cloud Touch Blurring Skin Tint N504 Rose Vanilla</t>
        </is>
      </c>
      <c r="D6433" t="inlineStr">
        <is>
          <t>Miss Glam Damar</t>
        </is>
      </c>
      <c r="E6433" t="n">
        <v>44</v>
      </c>
      <c r="F6433" t="n">
        <v>0.2457</v>
      </c>
      <c r="G6433" t="n">
        <v>1.82</v>
      </c>
      <c r="H6433" t="n">
        <v>2</v>
      </c>
      <c r="I6433" t="n">
        <v>9</v>
      </c>
      <c r="J6433" t="n">
        <v>3</v>
      </c>
      <c r="K6433" t="n">
        <v>0</v>
      </c>
      <c r="L6433" t="n">
        <v>90320</v>
      </c>
      <c r="M6433" t="n">
        <v>112900</v>
      </c>
      <c r="N6433" t="n">
        <v>91</v>
      </c>
      <c r="O6433" t="n">
        <v>0.91</v>
      </c>
      <c r="P6433" t="n">
        <v>1</v>
      </c>
      <c r="Q6433" t="n">
        <v>0.17</v>
      </c>
      <c r="R6433" t="n">
        <v>2</v>
      </c>
      <c r="S6433" t="n">
        <v>27739.53</v>
      </c>
      <c r="T6433" t="n">
        <v>16</v>
      </c>
      <c r="U6433" t="n">
        <v>17</v>
      </c>
      <c r="V6433" t="n">
        <v>30</v>
      </c>
      <c r="W6433" t="n">
        <v>8</v>
      </c>
      <c r="X6433" t="n">
        <v>179.0801790801791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10397</v>
      </c>
      <c r="AG6433" t="n">
        <v>170</v>
      </c>
      <c r="AH6433" t="inlineStr">
        <is>
          <t>PT. JALUR MANDIRI UTAMA - PPN (PDG)</t>
        </is>
      </c>
      <c r="AI6433" t="n">
        <v>170</v>
      </c>
      <c r="AJ6433" t="inlineStr">
        <is>
          <t>YOU</t>
        </is>
      </c>
      <c r="AK6433" t="n">
        <v>21</v>
      </c>
      <c r="AL6433" t="inlineStr">
        <is>
          <t>Miss Glam Damar</t>
        </is>
      </c>
      <c r="AM6433" t="n">
        <v>1</v>
      </c>
      <c r="AN6433" t="n">
        <v>500000</v>
      </c>
      <c r="AO6433" t="n">
        <v>0</v>
      </c>
      <c r="AP6433" t="inlineStr"/>
      <c r="AQ6433" t="inlineStr"/>
    </row>
    <row r="6434">
      <c r="A6434" t="inlineStr">
        <is>
          <t>YOU</t>
        </is>
      </c>
      <c r="B6434" s="2">
        <f>"8991748007012"</f>
        <v/>
      </c>
      <c r="C6434" t="inlineStr">
        <is>
          <t>YOU Cloud Touch Blurring Skin Tint N610 Golden Honey</t>
        </is>
      </c>
      <c r="D6434" t="inlineStr">
        <is>
          <t>Miss Glam Damar</t>
        </is>
      </c>
      <c r="E6434" t="n">
        <v>3</v>
      </c>
      <c r="F6434" t="n">
        <v>0.04550000000000001</v>
      </c>
      <c r="G6434" t="n">
        <v>0.91</v>
      </c>
      <c r="H6434" t="n">
        <v>2</v>
      </c>
      <c r="I6434" t="n">
        <v>9</v>
      </c>
      <c r="J6434" t="n">
        <v>3</v>
      </c>
      <c r="K6434" t="n">
        <v>0</v>
      </c>
      <c r="L6434" t="n">
        <v>90320</v>
      </c>
      <c r="M6434" t="n">
        <v>112900</v>
      </c>
      <c r="N6434" t="n">
        <v>91</v>
      </c>
      <c r="O6434" t="n">
        <v>0.91</v>
      </c>
      <c r="P6434" t="n">
        <v>1</v>
      </c>
      <c r="Q6434" t="n">
        <v>0.07000000000000001</v>
      </c>
      <c r="R6434" t="n">
        <v>1</v>
      </c>
      <c r="S6434" t="n">
        <v>5136.950000000001</v>
      </c>
      <c r="T6434" t="n">
        <v>9</v>
      </c>
      <c r="U6434" t="n">
        <v>10</v>
      </c>
      <c r="V6434" t="n">
        <v>30</v>
      </c>
      <c r="W6434" t="n">
        <v>2</v>
      </c>
      <c r="X6434" t="n">
        <v>65.93406593406593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10397</v>
      </c>
      <c r="AG6434" t="n">
        <v>170</v>
      </c>
      <c r="AH6434" t="inlineStr">
        <is>
          <t>PT. JALUR MANDIRI UTAMA - PPN (PDG)</t>
        </is>
      </c>
      <c r="AI6434" t="n">
        <v>170</v>
      </c>
      <c r="AJ6434" t="inlineStr">
        <is>
          <t>YOU</t>
        </is>
      </c>
      <c r="AK6434" t="n">
        <v>21</v>
      </c>
      <c r="AL6434" t="inlineStr">
        <is>
          <t>Miss Glam Damar</t>
        </is>
      </c>
      <c r="AM6434" t="n">
        <v>1</v>
      </c>
      <c r="AN6434" t="n">
        <v>500000</v>
      </c>
      <c r="AO6434" t="n">
        <v>0</v>
      </c>
      <c r="AP6434" t="inlineStr"/>
      <c r="AQ6434" t="inlineStr"/>
    </row>
    <row r="6435">
      <c r="A6435" t="inlineStr">
        <is>
          <t>YOU</t>
        </is>
      </c>
      <c r="B6435" s="2">
        <f>"8991748006992"</f>
        <v/>
      </c>
      <c r="C6435" t="inlineStr">
        <is>
          <t>YOU Cloud Touch Blurring Skin Tint W706 Warm Buff</t>
        </is>
      </c>
      <c r="D6435" t="inlineStr">
        <is>
          <t>Miss Glam Damar</t>
        </is>
      </c>
      <c r="E6435" t="n">
        <v>9</v>
      </c>
      <c r="F6435" t="n">
        <v>0.182</v>
      </c>
      <c r="G6435" t="n">
        <v>1.82</v>
      </c>
      <c r="H6435" t="n">
        <v>2</v>
      </c>
      <c r="I6435" t="n">
        <v>9</v>
      </c>
      <c r="J6435" t="n">
        <v>3</v>
      </c>
      <c r="K6435" t="n">
        <v>0</v>
      </c>
      <c r="L6435" t="n">
        <v>90320</v>
      </c>
      <c r="M6435" t="n">
        <v>112900</v>
      </c>
      <c r="N6435" t="n">
        <v>91</v>
      </c>
      <c r="O6435" t="n">
        <v>0.91</v>
      </c>
      <c r="P6435" t="n">
        <v>1</v>
      </c>
      <c r="Q6435" t="n">
        <v>0.1</v>
      </c>
      <c r="R6435" t="n">
        <v>2</v>
      </c>
      <c r="S6435" t="n">
        <v>20547.8</v>
      </c>
      <c r="T6435" t="n">
        <v>17</v>
      </c>
      <c r="U6435" t="n">
        <v>18</v>
      </c>
      <c r="V6435" t="n">
        <v>30</v>
      </c>
      <c r="W6435" t="n">
        <v>6</v>
      </c>
      <c r="X6435" t="n">
        <v>49.45054945054945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10397</v>
      </c>
      <c r="AG6435" t="n">
        <v>170</v>
      </c>
      <c r="AH6435" t="inlineStr">
        <is>
          <t>PT. JALUR MANDIRI UTAMA - PPN (PDG)</t>
        </is>
      </c>
      <c r="AI6435" t="n">
        <v>170</v>
      </c>
      <c r="AJ6435" t="inlineStr">
        <is>
          <t>YOU</t>
        </is>
      </c>
      <c r="AK6435" t="n">
        <v>21</v>
      </c>
      <c r="AL6435" t="inlineStr">
        <is>
          <t>Miss Glam Damar</t>
        </is>
      </c>
      <c r="AM6435" t="n">
        <v>1</v>
      </c>
      <c r="AN6435" t="n">
        <v>500000</v>
      </c>
      <c r="AO6435" t="n">
        <v>0</v>
      </c>
      <c r="AP6435" t="inlineStr"/>
      <c r="AQ6435" t="inlineStr"/>
    </row>
    <row r="6436">
      <c r="A6436" t="inlineStr">
        <is>
          <t>YOU</t>
        </is>
      </c>
      <c r="B6436" s="2">
        <f>"8991748007005"</f>
        <v/>
      </c>
      <c r="C6436" t="inlineStr">
        <is>
          <t>YOU Cloud Touch Blurring Skin Tint W708 Creme Beige 20ml</t>
        </is>
      </c>
      <c r="D6436" t="inlineStr">
        <is>
          <t>Miss Glam Damar</t>
        </is>
      </c>
      <c r="E6436" t="n">
        <v>25</v>
      </c>
      <c r="F6436" t="n">
        <v>0.1547</v>
      </c>
      <c r="G6436" t="n">
        <v>1.82</v>
      </c>
      <c r="H6436" t="n">
        <v>2</v>
      </c>
      <c r="I6436" t="n">
        <v>9</v>
      </c>
      <c r="J6436" t="n">
        <v>3</v>
      </c>
      <c r="K6436" t="n">
        <v>0</v>
      </c>
      <c r="L6436" t="n">
        <v>90320</v>
      </c>
      <c r="M6436" t="n">
        <v>112900</v>
      </c>
      <c r="N6436" t="n">
        <v>91</v>
      </c>
      <c r="O6436" t="n">
        <v>0.91</v>
      </c>
      <c r="P6436" t="n">
        <v>1</v>
      </c>
      <c r="Q6436" t="n">
        <v>0.08</v>
      </c>
      <c r="R6436" t="n">
        <v>2</v>
      </c>
      <c r="S6436" t="n">
        <v>17465.63</v>
      </c>
      <c r="T6436" t="n">
        <v>17</v>
      </c>
      <c r="U6436" t="n">
        <v>18</v>
      </c>
      <c r="V6436" t="n">
        <v>30</v>
      </c>
      <c r="W6436" t="n">
        <v>5</v>
      </c>
      <c r="X6436" t="n">
        <v>161.6031027795734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10397</v>
      </c>
      <c r="AG6436" t="n">
        <v>170</v>
      </c>
      <c r="AH6436" t="inlineStr">
        <is>
          <t>PT. JALUR MANDIRI UTAMA - PPN (PDG)</t>
        </is>
      </c>
      <c r="AI6436" t="n">
        <v>170</v>
      </c>
      <c r="AJ6436" t="inlineStr">
        <is>
          <t>YOU</t>
        </is>
      </c>
      <c r="AK6436" t="n">
        <v>21</v>
      </c>
      <c r="AL6436" t="inlineStr">
        <is>
          <t>Miss Glam Damar</t>
        </is>
      </c>
      <c r="AM6436" t="n">
        <v>1</v>
      </c>
      <c r="AN6436" t="n">
        <v>500000</v>
      </c>
      <c r="AO6436" t="n">
        <v>0</v>
      </c>
      <c r="AP6436" t="inlineStr"/>
      <c r="AQ6436" t="inlineStr"/>
    </row>
    <row r="6437">
      <c r="A6437" t="inlineStr">
        <is>
          <t>YOU</t>
        </is>
      </c>
      <c r="B6437" s="2">
        <f>"20100574834"</f>
        <v/>
      </c>
      <c r="C6437" t="inlineStr">
        <is>
          <t>YOU Cloud Touch Dreamy 3 In 1 Two-Way Cake C201 Bright Pearl 8gr</t>
        </is>
      </c>
      <c r="D6437" t="inlineStr">
        <is>
          <t>Miss Glam Damar</t>
        </is>
      </c>
      <c r="E6437" t="n">
        <v>23</v>
      </c>
      <c r="F6437" t="n">
        <v>0.08</v>
      </c>
      <c r="G6437" t="n">
        <v>1</v>
      </c>
      <c r="H6437" t="n">
        <v>2</v>
      </c>
      <c r="I6437" t="n">
        <v>9</v>
      </c>
      <c r="J6437" t="n">
        <v>1</v>
      </c>
      <c r="K6437" t="n">
        <v>0</v>
      </c>
      <c r="L6437" t="n">
        <v>71200</v>
      </c>
      <c r="M6437" t="n">
        <v>89000</v>
      </c>
      <c r="N6437" t="n">
        <v>91</v>
      </c>
      <c r="O6437" t="n">
        <v>0.91</v>
      </c>
      <c r="P6437" t="n">
        <v>0</v>
      </c>
      <c r="Q6437" t="n">
        <v>0.08</v>
      </c>
      <c r="R6437" t="n">
        <v>1</v>
      </c>
      <c r="S6437" t="n">
        <v>7120</v>
      </c>
      <c r="T6437" t="n">
        <v>9</v>
      </c>
      <c r="U6437" t="n">
        <v>10</v>
      </c>
      <c r="V6437" t="n">
        <v>30</v>
      </c>
      <c r="W6437" t="n">
        <v>3</v>
      </c>
      <c r="X6437" t="n">
        <v>287.5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10397</v>
      </c>
      <c r="AG6437" t="n">
        <v>170</v>
      </c>
      <c r="AH6437" t="inlineStr">
        <is>
          <t>PT. JALUR MANDIRI UTAMA - PPN (PDG)</t>
        </is>
      </c>
      <c r="AI6437" t="n">
        <v>170</v>
      </c>
      <c r="AJ6437" t="inlineStr">
        <is>
          <t>YOU</t>
        </is>
      </c>
      <c r="AK6437" t="n">
        <v>21</v>
      </c>
      <c r="AL6437" t="inlineStr">
        <is>
          <t>Miss Glam Damar</t>
        </is>
      </c>
      <c r="AM6437" t="n">
        <v>1</v>
      </c>
      <c r="AN6437" t="n">
        <v>500000</v>
      </c>
      <c r="AO6437" t="n">
        <v>0</v>
      </c>
      <c r="AP6437" t="inlineStr"/>
      <c r="AQ6437" t="inlineStr"/>
    </row>
    <row r="6438">
      <c r="A6438" t="inlineStr">
        <is>
          <t>YOU</t>
        </is>
      </c>
      <c r="B6438" s="2">
        <f>"20100574953"</f>
        <v/>
      </c>
      <c r="C6438" t="inlineStr">
        <is>
          <t>YOU Cloud Touch Dreamy 3 In 1 Two-Way Cake C202 Fair Matte 8gr</t>
        </is>
      </c>
      <c r="D6438" t="inlineStr">
        <is>
          <t>Miss Glam Damar</t>
        </is>
      </c>
      <c r="E6438" t="n">
        <v>28</v>
      </c>
      <c r="F6438" t="n">
        <v>0.05</v>
      </c>
      <c r="G6438" t="n">
        <v>1</v>
      </c>
      <c r="H6438" t="n">
        <v>2</v>
      </c>
      <c r="I6438" t="n">
        <v>9</v>
      </c>
      <c r="J6438" t="n">
        <v>1</v>
      </c>
      <c r="K6438" t="n">
        <v>0</v>
      </c>
      <c r="L6438" t="n">
        <v>71200</v>
      </c>
      <c r="M6438" t="n">
        <v>89000</v>
      </c>
      <c r="N6438" t="n">
        <v>91</v>
      </c>
      <c r="O6438" t="n">
        <v>0.91</v>
      </c>
      <c r="P6438" t="n">
        <v>0</v>
      </c>
      <c r="Q6438" t="n">
        <v>0.05</v>
      </c>
      <c r="R6438" t="n">
        <v>1</v>
      </c>
      <c r="S6438" t="n">
        <v>4450</v>
      </c>
      <c r="T6438" t="n">
        <v>9</v>
      </c>
      <c r="U6438" t="n">
        <v>10</v>
      </c>
      <c r="V6438" t="n">
        <v>30</v>
      </c>
      <c r="W6438" t="n">
        <v>2</v>
      </c>
      <c r="X6438" t="n">
        <v>560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10397</v>
      </c>
      <c r="AG6438" t="n">
        <v>170</v>
      </c>
      <c r="AH6438" t="inlineStr">
        <is>
          <t>PT. JALUR MANDIRI UTAMA - PPN (PDG)</t>
        </is>
      </c>
      <c r="AI6438" t="n">
        <v>170</v>
      </c>
      <c r="AJ6438" t="inlineStr">
        <is>
          <t>YOU</t>
        </is>
      </c>
      <c r="AK6438" t="n">
        <v>21</v>
      </c>
      <c r="AL6438" t="inlineStr">
        <is>
          <t>Miss Glam Damar</t>
        </is>
      </c>
      <c r="AM6438" t="n">
        <v>1</v>
      </c>
      <c r="AN6438" t="n">
        <v>500000</v>
      </c>
      <c r="AO6438" t="n">
        <v>0</v>
      </c>
      <c r="AP6438" t="inlineStr"/>
      <c r="AQ6438" t="inlineStr"/>
    </row>
    <row r="6439">
      <c r="A6439" t="inlineStr">
        <is>
          <t>YOU</t>
        </is>
      </c>
      <c r="B6439" s="2">
        <f>"20100575001"</f>
        <v/>
      </c>
      <c r="C6439" t="inlineStr">
        <is>
          <t>YOU Cloud Touch Dreamy 3 In 1 Two-Way Cake C403 Light Matte 8gr</t>
        </is>
      </c>
      <c r="D6439" t="inlineStr">
        <is>
          <t>Miss Glam Damar</t>
        </is>
      </c>
      <c r="E6439" t="n">
        <v>16</v>
      </c>
      <c r="F6439" t="n">
        <v>0.2002</v>
      </c>
      <c r="G6439" t="n">
        <v>1.82</v>
      </c>
      <c r="H6439" t="n">
        <v>2</v>
      </c>
      <c r="I6439" t="n">
        <v>9</v>
      </c>
      <c r="J6439" t="n">
        <v>1</v>
      </c>
      <c r="K6439" t="n">
        <v>0</v>
      </c>
      <c r="L6439" t="n">
        <v>71200</v>
      </c>
      <c r="M6439" t="n">
        <v>89000</v>
      </c>
      <c r="N6439" t="n">
        <v>91</v>
      </c>
      <c r="O6439" t="n">
        <v>0.91</v>
      </c>
      <c r="P6439" t="n">
        <v>1</v>
      </c>
      <c r="Q6439" t="n">
        <v>0.25</v>
      </c>
      <c r="R6439" t="n">
        <v>1</v>
      </c>
      <c r="S6439" t="n">
        <v>17817.8</v>
      </c>
      <c r="T6439" t="n">
        <v>16</v>
      </c>
      <c r="U6439" t="n">
        <v>17</v>
      </c>
      <c r="V6439" t="n">
        <v>30</v>
      </c>
      <c r="W6439" t="n">
        <v>7</v>
      </c>
      <c r="X6439" t="n">
        <v>79.92007992007991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10397</v>
      </c>
      <c r="AG6439" t="n">
        <v>170</v>
      </c>
      <c r="AH6439" t="inlineStr">
        <is>
          <t>PT. JALUR MANDIRI UTAMA - PPN (PDG)</t>
        </is>
      </c>
      <c r="AI6439" t="n">
        <v>170</v>
      </c>
      <c r="AJ6439" t="inlineStr">
        <is>
          <t>YOU</t>
        </is>
      </c>
      <c r="AK6439" t="n">
        <v>21</v>
      </c>
      <c r="AL6439" t="inlineStr">
        <is>
          <t>Miss Glam Damar</t>
        </is>
      </c>
      <c r="AM6439" t="n">
        <v>1</v>
      </c>
      <c r="AN6439" t="n">
        <v>500000</v>
      </c>
      <c r="AO6439" t="n">
        <v>0</v>
      </c>
      <c r="AP6439" t="inlineStr"/>
      <c r="AQ6439" t="inlineStr"/>
    </row>
    <row r="6440">
      <c r="A6440" t="inlineStr">
        <is>
          <t>YOU</t>
        </is>
      </c>
      <c r="B6440" s="2">
        <f>"20101207501"</f>
        <v/>
      </c>
      <c r="C6440" t="inlineStr">
        <is>
          <t>YOU Cloud Touch Dreamy Make Up Setting Spray 55ml</t>
        </is>
      </c>
      <c r="D6440" t="inlineStr">
        <is>
          <t>Miss Glam Damar</t>
        </is>
      </c>
      <c r="E6440" t="n">
        <v>58</v>
      </c>
      <c r="F6440" t="n">
        <v>0.3094</v>
      </c>
      <c r="G6440" t="n">
        <v>2.73</v>
      </c>
      <c r="H6440" t="n">
        <v>2</v>
      </c>
      <c r="I6440" t="n">
        <v>9</v>
      </c>
      <c r="J6440" t="n">
        <v>3</v>
      </c>
      <c r="K6440" t="n">
        <v>0</v>
      </c>
      <c r="L6440" t="n">
        <v>47200</v>
      </c>
      <c r="M6440" t="n">
        <v>59000</v>
      </c>
      <c r="N6440" t="n">
        <v>91</v>
      </c>
      <c r="O6440" t="n">
        <v>0.91</v>
      </c>
      <c r="P6440" t="n">
        <v>1</v>
      </c>
      <c r="Q6440" t="n">
        <v>0.14</v>
      </c>
      <c r="R6440" t="n">
        <v>1</v>
      </c>
      <c r="S6440" t="n">
        <v>18254.6</v>
      </c>
      <c r="T6440" t="n">
        <v>24</v>
      </c>
      <c r="U6440" t="n">
        <v>25</v>
      </c>
      <c r="V6440" t="n">
        <v>30</v>
      </c>
      <c r="W6440" t="n">
        <v>10</v>
      </c>
      <c r="X6440" t="n">
        <v>187.4595992243051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10397</v>
      </c>
      <c r="AG6440" t="n">
        <v>170</v>
      </c>
      <c r="AH6440" t="inlineStr">
        <is>
          <t>PT. JALUR MANDIRI UTAMA - PPN (PDG)</t>
        </is>
      </c>
      <c r="AI6440" t="n">
        <v>170</v>
      </c>
      <c r="AJ6440" t="inlineStr">
        <is>
          <t>YOU</t>
        </is>
      </c>
      <c r="AK6440" t="n">
        <v>21</v>
      </c>
      <c r="AL6440" t="inlineStr">
        <is>
          <t>Miss Glam Damar</t>
        </is>
      </c>
      <c r="AM6440" t="n">
        <v>1</v>
      </c>
      <c r="AN6440" t="n">
        <v>500000</v>
      </c>
      <c r="AO6440" t="n">
        <v>0</v>
      </c>
      <c r="AP6440" t="inlineStr"/>
      <c r="AQ6440" t="inlineStr"/>
    </row>
    <row r="6441">
      <c r="A6441" t="inlineStr">
        <is>
          <t>YOU</t>
        </is>
      </c>
      <c r="B6441" s="2">
        <f>"8991748003830"</f>
        <v/>
      </c>
      <c r="C6441" t="inlineStr">
        <is>
          <t>YOU Cloud Touch Fixing Tint P796 Misty Night</t>
        </is>
      </c>
      <c r="D6441" t="inlineStr">
        <is>
          <t>Miss Glam Damar</t>
        </is>
      </c>
      <c r="E6441" t="n">
        <v>16</v>
      </c>
      <c r="F6441" t="n">
        <v>0.0728</v>
      </c>
      <c r="G6441" t="n">
        <v>1.82</v>
      </c>
      <c r="H6441" t="n">
        <v>2</v>
      </c>
      <c r="I6441" t="n">
        <v>9</v>
      </c>
      <c r="J6441" t="n">
        <v>3</v>
      </c>
      <c r="K6441" t="n">
        <v>0</v>
      </c>
      <c r="L6441" t="n">
        <v>63920</v>
      </c>
      <c r="M6441" t="n">
        <v>79900</v>
      </c>
      <c r="N6441" t="n">
        <v>91</v>
      </c>
      <c r="O6441" t="n">
        <v>0.91</v>
      </c>
      <c r="P6441" t="n">
        <v>1</v>
      </c>
      <c r="Q6441" t="n">
        <v>0.08</v>
      </c>
      <c r="R6441" t="n">
        <v>1</v>
      </c>
      <c r="S6441" t="n">
        <v>5816.72</v>
      </c>
      <c r="T6441" t="n">
        <v>17</v>
      </c>
      <c r="U6441" t="n">
        <v>18</v>
      </c>
      <c r="V6441" t="n">
        <v>30</v>
      </c>
      <c r="W6441" t="n">
        <v>3</v>
      </c>
      <c r="X6441" t="n">
        <v>219.7802197802198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10397</v>
      </c>
      <c r="AG6441" t="n">
        <v>170</v>
      </c>
      <c r="AH6441" t="inlineStr">
        <is>
          <t>PT. JALUR MANDIRI UTAMA - PPN (PDG)</t>
        </is>
      </c>
      <c r="AI6441" t="n">
        <v>170</v>
      </c>
      <c r="AJ6441" t="inlineStr">
        <is>
          <t>YOU</t>
        </is>
      </c>
      <c r="AK6441" t="n">
        <v>21</v>
      </c>
      <c r="AL6441" t="inlineStr">
        <is>
          <t>Miss Glam Damar</t>
        </is>
      </c>
      <c r="AM6441" t="n">
        <v>1</v>
      </c>
      <c r="AN6441" t="n">
        <v>500000</v>
      </c>
      <c r="AO6441" t="n">
        <v>0</v>
      </c>
      <c r="AP6441" t="inlineStr"/>
      <c r="AQ6441" t="inlineStr"/>
    </row>
    <row r="6442">
      <c r="A6442" t="inlineStr">
        <is>
          <t>YOU</t>
        </is>
      </c>
      <c r="B6442" s="2">
        <f>"8991748003809"</f>
        <v/>
      </c>
      <c r="C6442" t="inlineStr">
        <is>
          <t>YOU Cloud Touch Fixing Tint R199 Airy Kiss</t>
        </is>
      </c>
      <c r="D6442" t="inlineStr">
        <is>
          <t>Miss Glam Damar</t>
        </is>
      </c>
      <c r="E6442" t="n">
        <v>1</v>
      </c>
      <c r="F6442" t="n">
        <v>0.0273</v>
      </c>
      <c r="G6442" t="n">
        <v>0.91</v>
      </c>
      <c r="H6442" t="n">
        <v>2</v>
      </c>
      <c r="I6442" t="n">
        <v>9</v>
      </c>
      <c r="J6442" t="n">
        <v>3</v>
      </c>
      <c r="K6442" t="n">
        <v>0</v>
      </c>
      <c r="L6442" t="n">
        <v>63920</v>
      </c>
      <c r="M6442" t="n">
        <v>79900</v>
      </c>
      <c r="N6442" t="n">
        <v>91</v>
      </c>
      <c r="O6442" t="n">
        <v>0.91</v>
      </c>
      <c r="P6442" t="n">
        <v>1</v>
      </c>
      <c r="Q6442" t="n">
        <v>0.02</v>
      </c>
      <c r="R6442" t="n">
        <v>1</v>
      </c>
      <c r="S6442" t="n">
        <v>2181.27</v>
      </c>
      <c r="T6442" t="n">
        <v>9</v>
      </c>
      <c r="U6442" t="n">
        <v>10</v>
      </c>
      <c r="V6442" t="n">
        <v>30</v>
      </c>
      <c r="W6442" t="n">
        <v>1</v>
      </c>
      <c r="X6442" t="n">
        <v>36.63003663003663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10397</v>
      </c>
      <c r="AG6442" t="n">
        <v>170</v>
      </c>
      <c r="AH6442" t="inlineStr">
        <is>
          <t>PT. JALUR MANDIRI UTAMA - PPN (PDG)</t>
        </is>
      </c>
      <c r="AI6442" t="n">
        <v>170</v>
      </c>
      <c r="AJ6442" t="inlineStr">
        <is>
          <t>YOU</t>
        </is>
      </c>
      <c r="AK6442" t="n">
        <v>21</v>
      </c>
      <c r="AL6442" t="inlineStr">
        <is>
          <t>Miss Glam Damar</t>
        </is>
      </c>
      <c r="AM6442" t="n">
        <v>1</v>
      </c>
      <c r="AN6442" t="n">
        <v>500000</v>
      </c>
      <c r="AO6442" t="n">
        <v>0</v>
      </c>
      <c r="AP6442" t="inlineStr"/>
      <c r="AQ6442" t="inlineStr"/>
    </row>
    <row r="6443">
      <c r="A6443" t="inlineStr">
        <is>
          <t>YOU</t>
        </is>
      </c>
      <c r="B6443" s="2">
        <f>"8991748003793"</f>
        <v/>
      </c>
      <c r="C6443" t="inlineStr">
        <is>
          <t>YOU Cloud Touch Fixing Tint R667 Puffy Sky</t>
        </is>
      </c>
      <c r="D6443" t="inlineStr">
        <is>
          <t>Miss Glam Damar</t>
        </is>
      </c>
      <c r="E6443" t="n">
        <v>0</v>
      </c>
      <c r="F6443" t="n">
        <v>0.2184</v>
      </c>
      <c r="G6443" t="n">
        <v>3.64</v>
      </c>
      <c r="H6443" t="n">
        <v>2</v>
      </c>
      <c r="I6443" t="n">
        <v>9</v>
      </c>
      <c r="J6443" t="n">
        <v>3</v>
      </c>
      <c r="K6443" t="n">
        <v>0</v>
      </c>
      <c r="L6443" t="n">
        <v>63920</v>
      </c>
      <c r="M6443" t="n">
        <v>79900</v>
      </c>
      <c r="N6443" t="n">
        <v>91</v>
      </c>
      <c r="O6443" t="n">
        <v>0.91</v>
      </c>
      <c r="P6443" t="n">
        <v>1</v>
      </c>
      <c r="Q6443" t="n">
        <v>0.05</v>
      </c>
      <c r="R6443" t="n">
        <v>1</v>
      </c>
      <c r="S6443" t="n">
        <v>17450.16</v>
      </c>
      <c r="T6443" t="n">
        <v>33</v>
      </c>
      <c r="U6443" t="n">
        <v>34</v>
      </c>
      <c r="V6443" t="n">
        <v>30</v>
      </c>
      <c r="W6443" t="n">
        <v>7</v>
      </c>
      <c r="X6443" t="n">
        <v>0</v>
      </c>
      <c r="Y6443" t="n">
        <v>1</v>
      </c>
      <c r="Z6443" t="n">
        <v>7</v>
      </c>
      <c r="AA6443" t="n">
        <v>2</v>
      </c>
      <c r="AB6443" t="n">
        <v>5</v>
      </c>
      <c r="AC6443" t="n">
        <v>5</v>
      </c>
      <c r="AD6443" t="n">
        <v>127840</v>
      </c>
      <c r="AE6443" t="n">
        <v>319600</v>
      </c>
      <c r="AF6443" t="n">
        <v>10397</v>
      </c>
      <c r="AG6443" t="n">
        <v>170</v>
      </c>
      <c r="AH6443" t="inlineStr">
        <is>
          <t>PT. JALUR MANDIRI UTAMA - PPN (PDG)</t>
        </is>
      </c>
      <c r="AI6443" t="n">
        <v>170</v>
      </c>
      <c r="AJ6443" t="inlineStr">
        <is>
          <t>YOU</t>
        </is>
      </c>
      <c r="AK6443" t="n">
        <v>21</v>
      </c>
      <c r="AL6443" t="inlineStr">
        <is>
          <t>Miss Glam Damar</t>
        </is>
      </c>
      <c r="AM6443" t="n">
        <v>1</v>
      </c>
      <c r="AN6443" t="n">
        <v>500000</v>
      </c>
      <c r="AO6443" t="n">
        <v>0</v>
      </c>
      <c r="AP6443" t="inlineStr"/>
      <c r="AQ6443" t="inlineStr"/>
    </row>
    <row r="6444">
      <c r="A6444" t="inlineStr">
        <is>
          <t>YOU</t>
        </is>
      </c>
      <c r="B6444" s="2">
        <f>"8991748003816"</f>
        <v/>
      </c>
      <c r="C6444" t="inlineStr">
        <is>
          <t>YOU Cloud Touch Fixing Tint R688 Blushing Sky</t>
        </is>
      </c>
      <c r="D6444" t="inlineStr">
        <is>
          <t>Miss Glam Damar</t>
        </is>
      </c>
      <c r="E6444" t="n">
        <v>7</v>
      </c>
      <c r="F6444" t="n">
        <v>0.1456</v>
      </c>
      <c r="G6444" t="n">
        <v>1.82</v>
      </c>
      <c r="H6444" t="n">
        <v>2</v>
      </c>
      <c r="I6444" t="n">
        <v>9</v>
      </c>
      <c r="J6444" t="n">
        <v>3</v>
      </c>
      <c r="K6444" t="n">
        <v>0</v>
      </c>
      <c r="L6444" t="n">
        <v>63920</v>
      </c>
      <c r="M6444" t="n">
        <v>79900</v>
      </c>
      <c r="N6444" t="n">
        <v>91</v>
      </c>
      <c r="O6444" t="n">
        <v>0.91</v>
      </c>
      <c r="P6444" t="n">
        <v>1</v>
      </c>
      <c r="Q6444" t="n">
        <v>0.03</v>
      </c>
      <c r="R6444" t="n">
        <v>1</v>
      </c>
      <c r="S6444" t="n">
        <v>11633.44</v>
      </c>
      <c r="T6444" t="n">
        <v>17</v>
      </c>
      <c r="U6444" t="n">
        <v>18</v>
      </c>
      <c r="V6444" t="n">
        <v>30</v>
      </c>
      <c r="W6444" t="n">
        <v>5</v>
      </c>
      <c r="X6444" t="n">
        <v>48.07692307692307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10397</v>
      </c>
      <c r="AG6444" t="n">
        <v>170</v>
      </c>
      <c r="AH6444" t="inlineStr">
        <is>
          <t>PT. JALUR MANDIRI UTAMA - PPN (PDG)</t>
        </is>
      </c>
      <c r="AI6444" t="n">
        <v>170</v>
      </c>
      <c r="AJ6444" t="inlineStr">
        <is>
          <t>YOU</t>
        </is>
      </c>
      <c r="AK6444" t="n">
        <v>21</v>
      </c>
      <c r="AL6444" t="inlineStr">
        <is>
          <t>Miss Glam Damar</t>
        </is>
      </c>
      <c r="AM6444" t="n">
        <v>1</v>
      </c>
      <c r="AN6444" t="n">
        <v>500000</v>
      </c>
      <c r="AO6444" t="n">
        <v>0</v>
      </c>
      <c r="AP6444" t="inlineStr"/>
      <c r="AQ6444" t="inlineStr"/>
    </row>
    <row r="6445">
      <c r="A6445" t="inlineStr">
        <is>
          <t>YOU</t>
        </is>
      </c>
      <c r="B6445" s="2">
        <f>"8991748006473"</f>
        <v/>
      </c>
      <c r="C6445" t="inlineStr">
        <is>
          <t>YOU Cloud Touch Fixing Tint R957 Peach Paradise 2.5gr</t>
        </is>
      </c>
      <c r="D6445" t="inlineStr">
        <is>
          <t>Miss Glam Damar</t>
        </is>
      </c>
      <c r="E6445" t="n">
        <v>25</v>
      </c>
      <c r="F6445" t="n">
        <v>0.0546</v>
      </c>
      <c r="G6445" t="n">
        <v>0.91</v>
      </c>
      <c r="H6445" t="n">
        <v>2</v>
      </c>
      <c r="I6445" t="n">
        <v>9</v>
      </c>
      <c r="J6445" t="n">
        <v>3</v>
      </c>
      <c r="K6445" t="n">
        <v>0</v>
      </c>
      <c r="L6445" t="n">
        <v>63920</v>
      </c>
      <c r="M6445" t="n">
        <v>79900</v>
      </c>
      <c r="N6445" t="n">
        <v>91</v>
      </c>
      <c r="O6445" t="n">
        <v>0.91</v>
      </c>
      <c r="P6445" t="n">
        <v>1</v>
      </c>
      <c r="Q6445" t="n">
        <v>0.9</v>
      </c>
      <c r="R6445" t="n">
        <v>14</v>
      </c>
      <c r="S6445" t="n">
        <v>4362.54</v>
      </c>
      <c r="T6445" t="n">
        <v>9</v>
      </c>
      <c r="U6445" t="n">
        <v>10</v>
      </c>
      <c r="V6445" t="n">
        <v>30</v>
      </c>
      <c r="W6445" t="n">
        <v>2</v>
      </c>
      <c r="X6445" t="n">
        <v>457.8754578754579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10397</v>
      </c>
      <c r="AG6445" t="n">
        <v>170</v>
      </c>
      <c r="AH6445" t="inlineStr">
        <is>
          <t>PT. JALUR MANDIRI UTAMA - PPN (PDG)</t>
        </is>
      </c>
      <c r="AI6445" t="n">
        <v>170</v>
      </c>
      <c r="AJ6445" t="inlineStr">
        <is>
          <t>YOU</t>
        </is>
      </c>
      <c r="AK6445" t="n">
        <v>21</v>
      </c>
      <c r="AL6445" t="inlineStr">
        <is>
          <t>Miss Glam Damar</t>
        </is>
      </c>
      <c r="AM6445" t="n">
        <v>1</v>
      </c>
      <c r="AN6445" t="n">
        <v>500000</v>
      </c>
      <c r="AO6445" t="n">
        <v>0</v>
      </c>
      <c r="AP6445" t="inlineStr"/>
      <c r="AQ6445" t="inlineStr"/>
    </row>
    <row r="6446">
      <c r="A6446" t="inlineStr">
        <is>
          <t>YOU</t>
        </is>
      </c>
      <c r="B6446" s="2">
        <f>"8991748005438"</f>
        <v/>
      </c>
      <c r="C6446" t="inlineStr">
        <is>
          <t>YOU Cloud Touch Juicy Tint R768 Bubbly Peach 2.5gr</t>
        </is>
      </c>
      <c r="D6446" t="inlineStr">
        <is>
          <t>Miss Glam Damar</t>
        </is>
      </c>
      <c r="E6446" t="n">
        <v>9</v>
      </c>
      <c r="F6446" t="n">
        <v>0.0182</v>
      </c>
      <c r="G6446" t="n">
        <v>0.91</v>
      </c>
      <c r="H6446" t="n">
        <v>2</v>
      </c>
      <c r="I6446" t="n">
        <v>9</v>
      </c>
      <c r="J6446" t="n">
        <v>3</v>
      </c>
      <c r="K6446" t="n">
        <v>0</v>
      </c>
      <c r="L6446" t="n">
        <v>55920</v>
      </c>
      <c r="M6446" t="n">
        <v>69900</v>
      </c>
      <c r="N6446" t="n">
        <v>91</v>
      </c>
      <c r="O6446" t="n">
        <v>0.91</v>
      </c>
      <c r="P6446" t="n">
        <v>1</v>
      </c>
      <c r="Q6446" t="n">
        <v>0.1</v>
      </c>
      <c r="R6446" t="n">
        <v>1</v>
      </c>
      <c r="S6446" t="n">
        <v>1272.18</v>
      </c>
      <c r="T6446" t="n">
        <v>9</v>
      </c>
      <c r="U6446" t="n">
        <v>10</v>
      </c>
      <c r="V6446" t="n">
        <v>30</v>
      </c>
      <c r="W6446" t="n">
        <v>1</v>
      </c>
      <c r="X6446" t="n">
        <v>494.5054945054945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10397</v>
      </c>
      <c r="AG6446" t="n">
        <v>170</v>
      </c>
      <c r="AH6446" t="inlineStr">
        <is>
          <t>PT. JALUR MANDIRI UTAMA - PPN (PDG)</t>
        </is>
      </c>
      <c r="AI6446" t="n">
        <v>170</v>
      </c>
      <c r="AJ6446" t="inlineStr">
        <is>
          <t>YOU</t>
        </is>
      </c>
      <c r="AK6446" t="n">
        <v>21</v>
      </c>
      <c r="AL6446" t="inlineStr">
        <is>
          <t>Miss Glam Damar</t>
        </is>
      </c>
      <c r="AM6446" t="n">
        <v>1</v>
      </c>
      <c r="AN6446" t="n">
        <v>500000</v>
      </c>
      <c r="AO6446" t="n">
        <v>0</v>
      </c>
      <c r="AP6446" t="inlineStr"/>
      <c r="AQ6446" t="inlineStr"/>
    </row>
    <row r="6447">
      <c r="A6447" t="inlineStr">
        <is>
          <t>YOU</t>
        </is>
      </c>
      <c r="B6447" s="2">
        <f>"8991748005421"</f>
        <v/>
      </c>
      <c r="C6447" t="inlineStr">
        <is>
          <t>YOU Cloud Touch Juicy Tint R776 Apple Candy 2.5gr</t>
        </is>
      </c>
      <c r="D6447" t="inlineStr">
        <is>
          <t>Miss Glam Damar</t>
        </is>
      </c>
      <c r="E6447" t="n">
        <v>4</v>
      </c>
      <c r="F6447" t="n">
        <v>0.04550000000000001</v>
      </c>
      <c r="G6447" t="n">
        <v>0.91</v>
      </c>
      <c r="H6447" t="n">
        <v>2</v>
      </c>
      <c r="I6447" t="n">
        <v>9</v>
      </c>
      <c r="J6447" t="n">
        <v>3</v>
      </c>
      <c r="K6447" t="n">
        <v>0</v>
      </c>
      <c r="L6447" t="n">
        <v>55920</v>
      </c>
      <c r="M6447" t="n">
        <v>69900</v>
      </c>
      <c r="N6447" t="n">
        <v>91</v>
      </c>
      <c r="O6447" t="n">
        <v>0.91</v>
      </c>
      <c r="P6447" t="n">
        <v>1</v>
      </c>
      <c r="Q6447" t="n">
        <v>0.03</v>
      </c>
      <c r="R6447" t="n">
        <v>2</v>
      </c>
      <c r="S6447" t="n">
        <v>3180.45</v>
      </c>
      <c r="T6447" t="n">
        <v>9</v>
      </c>
      <c r="U6447" t="n">
        <v>10</v>
      </c>
      <c r="V6447" t="n">
        <v>30</v>
      </c>
      <c r="W6447" t="n">
        <v>2</v>
      </c>
      <c r="X6447" t="n">
        <v>87.9120879120879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10397</v>
      </c>
      <c r="AG6447" t="n">
        <v>170</v>
      </c>
      <c r="AH6447" t="inlineStr">
        <is>
          <t>PT. JALUR MANDIRI UTAMA - PPN (PDG)</t>
        </is>
      </c>
      <c r="AI6447" t="n">
        <v>170</v>
      </c>
      <c r="AJ6447" t="inlineStr">
        <is>
          <t>YOU</t>
        </is>
      </c>
      <c r="AK6447" t="n">
        <v>21</v>
      </c>
      <c r="AL6447" t="inlineStr">
        <is>
          <t>Miss Glam Damar</t>
        </is>
      </c>
      <c r="AM6447" t="n">
        <v>1</v>
      </c>
      <c r="AN6447" t="n">
        <v>500000</v>
      </c>
      <c r="AO6447" t="n">
        <v>0</v>
      </c>
      <c r="AP6447" t="inlineStr"/>
      <c r="AQ6447" t="inlineStr"/>
    </row>
    <row r="6448">
      <c r="A6448" t="inlineStr">
        <is>
          <t>YOU</t>
        </is>
      </c>
      <c r="B6448" s="2">
        <f>"8991748005445"</f>
        <v/>
      </c>
      <c r="C6448" t="inlineStr">
        <is>
          <t>YOU Cloud Touch Juicy Tint R847 Coco Bliss 2.5gr</t>
        </is>
      </c>
      <c r="D6448" t="inlineStr">
        <is>
          <t>Miss Glam Damar</t>
        </is>
      </c>
      <c r="E6448" t="n">
        <v>30</v>
      </c>
      <c r="F6448" t="n">
        <v>0.0728</v>
      </c>
      <c r="G6448" t="n">
        <v>1.82</v>
      </c>
      <c r="H6448" t="n">
        <v>2</v>
      </c>
      <c r="I6448" t="n">
        <v>9</v>
      </c>
      <c r="J6448" t="n">
        <v>3</v>
      </c>
      <c r="K6448" t="n">
        <v>0</v>
      </c>
      <c r="L6448" t="n">
        <v>55920</v>
      </c>
      <c r="M6448" t="n">
        <v>69900</v>
      </c>
      <c r="N6448" t="n">
        <v>91</v>
      </c>
      <c r="O6448" t="n">
        <v>0.91</v>
      </c>
      <c r="P6448" t="n">
        <v>1</v>
      </c>
      <c r="Q6448" t="n">
        <v>0.14</v>
      </c>
      <c r="R6448" t="n">
        <v>2</v>
      </c>
      <c r="S6448" t="n">
        <v>5088.72</v>
      </c>
      <c r="T6448" t="n">
        <v>17</v>
      </c>
      <c r="U6448" t="n">
        <v>18</v>
      </c>
      <c r="V6448" t="n">
        <v>30</v>
      </c>
      <c r="W6448" t="n">
        <v>3</v>
      </c>
      <c r="X6448" t="n">
        <v>412.0879120879121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10397</v>
      </c>
      <c r="AG6448" t="n">
        <v>170</v>
      </c>
      <c r="AH6448" t="inlineStr">
        <is>
          <t>PT. JALUR MANDIRI UTAMA - PPN (PDG)</t>
        </is>
      </c>
      <c r="AI6448" t="n">
        <v>170</v>
      </c>
      <c r="AJ6448" t="inlineStr">
        <is>
          <t>YOU</t>
        </is>
      </c>
      <c r="AK6448" t="n">
        <v>21</v>
      </c>
      <c r="AL6448" t="inlineStr">
        <is>
          <t>Miss Glam Damar</t>
        </is>
      </c>
      <c r="AM6448" t="n">
        <v>1</v>
      </c>
      <c r="AN6448" t="n">
        <v>500000</v>
      </c>
      <c r="AO6448" t="n">
        <v>0</v>
      </c>
      <c r="AP6448" t="inlineStr"/>
      <c r="AQ6448" t="inlineStr"/>
    </row>
    <row r="6449">
      <c r="A6449" t="inlineStr">
        <is>
          <t>YOU</t>
        </is>
      </c>
      <c r="B6449" s="2">
        <f>"8997227896146"</f>
        <v/>
      </c>
      <c r="C6449" t="inlineStr">
        <is>
          <t>YOU Express On Point Eyeliner Black 0,5ml</t>
        </is>
      </c>
      <c r="D6449" t="inlineStr">
        <is>
          <t>Miss Glam Damar</t>
        </is>
      </c>
      <c r="E6449" t="n">
        <v>37</v>
      </c>
      <c r="F6449" t="n">
        <v>0.2184</v>
      </c>
      <c r="G6449" t="n">
        <v>1.82</v>
      </c>
      <c r="H6449" t="n">
        <v>2</v>
      </c>
      <c r="I6449" t="n">
        <v>9</v>
      </c>
      <c r="J6449" t="n">
        <v>3</v>
      </c>
      <c r="K6449" t="n">
        <v>0</v>
      </c>
      <c r="L6449" t="n">
        <v>39920</v>
      </c>
      <c r="M6449" t="n">
        <v>49900</v>
      </c>
      <c r="N6449" t="n">
        <v>91</v>
      </c>
      <c r="O6449" t="n">
        <v>0.91</v>
      </c>
      <c r="P6449" t="n">
        <v>1</v>
      </c>
      <c r="Q6449" t="n">
        <v>0.32</v>
      </c>
      <c r="R6449" t="n">
        <v>2</v>
      </c>
      <c r="S6449" t="n">
        <v>10898.16</v>
      </c>
      <c r="T6449" t="n">
        <v>16</v>
      </c>
      <c r="U6449" t="n">
        <v>17</v>
      </c>
      <c r="V6449" t="n">
        <v>30</v>
      </c>
      <c r="W6449" t="n">
        <v>7</v>
      </c>
      <c r="X6449" t="n">
        <v>169.4139194139194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10397</v>
      </c>
      <c r="AG6449" t="n">
        <v>170</v>
      </c>
      <c r="AH6449" t="inlineStr">
        <is>
          <t>PT. JALUR MANDIRI UTAMA - PPN (PDG)</t>
        </is>
      </c>
      <c r="AI6449" t="n">
        <v>170</v>
      </c>
      <c r="AJ6449" t="inlineStr">
        <is>
          <t>YOU</t>
        </is>
      </c>
      <c r="AK6449" t="n">
        <v>21</v>
      </c>
      <c r="AL6449" t="inlineStr">
        <is>
          <t>Miss Glam Damar</t>
        </is>
      </c>
      <c r="AM6449" t="n">
        <v>1</v>
      </c>
      <c r="AN6449" t="n">
        <v>500000</v>
      </c>
      <c r="AO6449" t="n">
        <v>0</v>
      </c>
      <c r="AP6449" t="inlineStr"/>
      <c r="AQ6449" t="inlineStr"/>
    </row>
    <row r="6450">
      <c r="A6450" t="inlineStr">
        <is>
          <t>YOU</t>
        </is>
      </c>
      <c r="B6450" s="2">
        <f>"20100706443"</f>
        <v/>
      </c>
      <c r="C6450" t="inlineStr">
        <is>
          <t>YOU Fit-Skin Mattifying Poreless Gel Primer 20ml</t>
        </is>
      </c>
      <c r="D6450" t="inlineStr">
        <is>
          <t>Miss Glam Damar</t>
        </is>
      </c>
      <c r="E6450" t="n">
        <v>23</v>
      </c>
      <c r="F6450" t="n">
        <v>0.2639</v>
      </c>
      <c r="G6450" t="n">
        <v>2.73</v>
      </c>
      <c r="H6450" t="n">
        <v>2</v>
      </c>
      <c r="I6450" t="n">
        <v>9</v>
      </c>
      <c r="J6450" t="n">
        <v>3</v>
      </c>
      <c r="K6450" t="n">
        <v>0</v>
      </c>
      <c r="L6450" t="n">
        <v>47200</v>
      </c>
      <c r="M6450" t="n">
        <v>59000</v>
      </c>
      <c r="N6450" t="n">
        <v>91</v>
      </c>
      <c r="O6450" t="n">
        <v>0.91</v>
      </c>
      <c r="P6450" t="n">
        <v>1</v>
      </c>
      <c r="Q6450" t="n">
        <v>0.53</v>
      </c>
      <c r="R6450" t="n">
        <v>3</v>
      </c>
      <c r="S6450" t="n">
        <v>15570.1</v>
      </c>
      <c r="T6450" t="n">
        <v>25</v>
      </c>
      <c r="U6450" t="n">
        <v>26</v>
      </c>
      <c r="V6450" t="n">
        <v>30</v>
      </c>
      <c r="W6450" t="n">
        <v>8</v>
      </c>
      <c r="X6450" t="n">
        <v>87.15422508525958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10397</v>
      </c>
      <c r="AG6450" t="n">
        <v>170</v>
      </c>
      <c r="AH6450" t="inlineStr">
        <is>
          <t>PT. JALUR MANDIRI UTAMA - PPN (PDG)</t>
        </is>
      </c>
      <c r="AI6450" t="n">
        <v>170</v>
      </c>
      <c r="AJ6450" t="inlineStr">
        <is>
          <t>YOU</t>
        </is>
      </c>
      <c r="AK6450" t="n">
        <v>21</v>
      </c>
      <c r="AL6450" t="inlineStr">
        <is>
          <t>Miss Glam Damar</t>
        </is>
      </c>
      <c r="AM6450" t="n">
        <v>1</v>
      </c>
      <c r="AN6450" t="n">
        <v>500000</v>
      </c>
      <c r="AO6450" t="n">
        <v>0</v>
      </c>
      <c r="AP6450" t="inlineStr"/>
      <c r="AQ6450" t="inlineStr"/>
    </row>
    <row r="6451">
      <c r="A6451" t="inlineStr">
        <is>
          <t>YOU</t>
        </is>
      </c>
      <c r="B6451" s="2">
        <f>"8991748003595"</f>
        <v/>
      </c>
      <c r="C6451" t="inlineStr">
        <is>
          <t>YOU Gentle Clean! Deep Cleansing Balm 10gr</t>
        </is>
      </c>
      <c r="D6451" t="inlineStr">
        <is>
          <t>Miss Glam Damar</t>
        </is>
      </c>
      <c r="E6451" t="n">
        <v>0</v>
      </c>
      <c r="F6451" t="n">
        <v>0.04</v>
      </c>
      <c r="G6451" t="n">
        <v>1</v>
      </c>
      <c r="H6451" t="n">
        <v>2</v>
      </c>
      <c r="I6451" t="n">
        <v>9</v>
      </c>
      <c r="J6451" t="n">
        <v>3</v>
      </c>
      <c r="K6451" t="n">
        <v>0</v>
      </c>
      <c r="L6451" t="n">
        <v>39240</v>
      </c>
      <c r="M6451" t="n">
        <v>49050</v>
      </c>
      <c r="N6451" t="n">
        <v>91</v>
      </c>
      <c r="O6451" t="n">
        <v>0.91</v>
      </c>
      <c r="P6451" t="n">
        <v>0</v>
      </c>
      <c r="Q6451" t="n">
        <v>0.04</v>
      </c>
      <c r="R6451" t="n">
        <v>1</v>
      </c>
      <c r="S6451" t="n">
        <v>1962</v>
      </c>
      <c r="T6451" t="n">
        <v>9</v>
      </c>
      <c r="U6451" t="n">
        <v>10</v>
      </c>
      <c r="V6451" t="n">
        <v>30</v>
      </c>
      <c r="W6451" t="n">
        <v>2</v>
      </c>
      <c r="X6451" t="n">
        <v>0</v>
      </c>
      <c r="Y6451" t="n">
        <v>1</v>
      </c>
      <c r="Z6451" t="n">
        <v>2</v>
      </c>
      <c r="AA6451" t="n">
        <v>1</v>
      </c>
      <c r="AB6451" t="n">
        <v>1</v>
      </c>
      <c r="AC6451" t="n">
        <v>3</v>
      </c>
      <c r="AD6451" t="n">
        <v>39240</v>
      </c>
      <c r="AE6451" t="n">
        <v>117720</v>
      </c>
      <c r="AF6451" t="n">
        <v>10397</v>
      </c>
      <c r="AG6451" t="n">
        <v>170</v>
      </c>
      <c r="AH6451" t="inlineStr">
        <is>
          <t>PT. JALUR MANDIRI UTAMA - PPN (PDG)</t>
        </is>
      </c>
      <c r="AI6451" t="n">
        <v>170</v>
      </c>
      <c r="AJ6451" t="inlineStr">
        <is>
          <t>YOU</t>
        </is>
      </c>
      <c r="AK6451" t="n">
        <v>21</v>
      </c>
      <c r="AL6451" t="inlineStr">
        <is>
          <t>Miss Glam Damar</t>
        </is>
      </c>
      <c r="AM6451" t="n">
        <v>1</v>
      </c>
      <c r="AN6451" t="n">
        <v>500000</v>
      </c>
      <c r="AO6451" t="n">
        <v>0</v>
      </c>
      <c r="AP6451" t="inlineStr"/>
      <c r="AQ6451" t="inlineStr"/>
    </row>
    <row r="6452">
      <c r="A6452" t="inlineStr">
        <is>
          <t>YOU</t>
        </is>
      </c>
      <c r="B6452" s="2">
        <f>"8991748012252"</f>
        <v/>
      </c>
      <c r="C6452" t="inlineStr">
        <is>
          <t>YOU Golden Age Deep Cleansing Facial Wash100gr (New)</t>
        </is>
      </c>
      <c r="D6452" t="inlineStr">
        <is>
          <t>Miss Glam Damar</t>
        </is>
      </c>
      <c r="E6452" t="n">
        <v>5</v>
      </c>
      <c r="F6452" t="n">
        <v>0.4277</v>
      </c>
      <c r="G6452" t="n">
        <v>4.55</v>
      </c>
      <c r="H6452" t="n">
        <v>2</v>
      </c>
      <c r="I6452" t="n">
        <v>9</v>
      </c>
      <c r="J6452" t="n">
        <v>3</v>
      </c>
      <c r="K6452" t="n">
        <v>0</v>
      </c>
      <c r="L6452" t="n">
        <v>47920</v>
      </c>
      <c r="M6452" t="n">
        <v>59900</v>
      </c>
      <c r="N6452" t="n">
        <v>91</v>
      </c>
      <c r="O6452" t="n">
        <v>0.91</v>
      </c>
      <c r="P6452" t="n">
        <v>1</v>
      </c>
      <c r="Q6452" t="n">
        <v>0.63</v>
      </c>
      <c r="R6452" t="n">
        <v>4</v>
      </c>
      <c r="S6452" t="n">
        <v>25619.23</v>
      </c>
      <c r="T6452" t="n">
        <v>41</v>
      </c>
      <c r="U6452" t="n">
        <v>42</v>
      </c>
      <c r="V6452" t="n">
        <v>30</v>
      </c>
      <c r="W6452" t="n">
        <v>13</v>
      </c>
      <c r="X6452" t="n">
        <v>11.69043722235212</v>
      </c>
      <c r="Y6452" t="n">
        <v>1</v>
      </c>
      <c r="Z6452" t="n">
        <v>8</v>
      </c>
      <c r="AA6452" t="n">
        <v>0</v>
      </c>
      <c r="AB6452" t="n">
        <v>8</v>
      </c>
      <c r="AC6452" t="n">
        <v>8</v>
      </c>
      <c r="AD6452" t="n">
        <v>0</v>
      </c>
      <c r="AE6452" t="n">
        <v>383360</v>
      </c>
      <c r="AF6452" t="n">
        <v>10397</v>
      </c>
      <c r="AG6452" t="n">
        <v>170</v>
      </c>
      <c r="AH6452" t="inlineStr">
        <is>
          <t>PT. JALUR MANDIRI UTAMA - PPN (PDG)</t>
        </is>
      </c>
      <c r="AI6452" t="n">
        <v>170</v>
      </c>
      <c r="AJ6452" t="inlineStr">
        <is>
          <t>YOU</t>
        </is>
      </c>
      <c r="AK6452" t="n">
        <v>21</v>
      </c>
      <c r="AL6452" t="inlineStr">
        <is>
          <t>Miss Glam Damar</t>
        </is>
      </c>
      <c r="AM6452" t="n">
        <v>1</v>
      </c>
      <c r="AN6452" t="n">
        <v>500000</v>
      </c>
      <c r="AO6452" t="n">
        <v>0</v>
      </c>
      <c r="AP6452" t="inlineStr"/>
      <c r="AQ6452" t="inlineStr"/>
    </row>
    <row r="6453">
      <c r="A6453" t="inlineStr">
        <is>
          <t>YOU</t>
        </is>
      </c>
      <c r="B6453" s="2">
        <f>"8991748007739"</f>
        <v/>
      </c>
      <c r="C6453" t="inlineStr">
        <is>
          <t>YOU Golden Age Illuminating Day Cream 18gr</t>
        </is>
      </c>
      <c r="D6453" t="inlineStr">
        <is>
          <t>Miss Glam Damar</t>
        </is>
      </c>
      <c r="E6453" t="n">
        <v>3</v>
      </c>
      <c r="F6453" t="n">
        <v>0.0728</v>
      </c>
      <c r="G6453" t="n">
        <v>0.91</v>
      </c>
      <c r="H6453" t="n">
        <v>2</v>
      </c>
      <c r="I6453" t="n">
        <v>9</v>
      </c>
      <c r="J6453" t="n">
        <v>3</v>
      </c>
      <c r="K6453" t="n">
        <v>0</v>
      </c>
      <c r="L6453" t="n">
        <v>46320</v>
      </c>
      <c r="M6453" t="n">
        <v>57900</v>
      </c>
      <c r="N6453" t="n">
        <v>91</v>
      </c>
      <c r="O6453" t="n">
        <v>0.91</v>
      </c>
      <c r="P6453" t="n">
        <v>1</v>
      </c>
      <c r="Q6453" t="n">
        <v>0.15</v>
      </c>
      <c r="R6453" t="n">
        <v>1</v>
      </c>
      <c r="S6453" t="n">
        <v>4215.12</v>
      </c>
      <c r="T6453" t="n">
        <v>9</v>
      </c>
      <c r="U6453" t="n">
        <v>10</v>
      </c>
      <c r="V6453" t="n">
        <v>30</v>
      </c>
      <c r="W6453" t="n">
        <v>3</v>
      </c>
      <c r="X6453" t="n">
        <v>41.2087912087912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10397</v>
      </c>
      <c r="AG6453" t="n">
        <v>170</v>
      </c>
      <c r="AH6453" t="inlineStr">
        <is>
          <t>PT. JALUR MANDIRI UTAMA - PPN (PDG)</t>
        </is>
      </c>
      <c r="AI6453" t="n">
        <v>170</v>
      </c>
      <c r="AJ6453" t="inlineStr">
        <is>
          <t>YOU</t>
        </is>
      </c>
      <c r="AK6453" t="n">
        <v>21</v>
      </c>
      <c r="AL6453" t="inlineStr">
        <is>
          <t>Miss Glam Damar</t>
        </is>
      </c>
      <c r="AM6453" t="n">
        <v>1</v>
      </c>
      <c r="AN6453" t="n">
        <v>500000</v>
      </c>
      <c r="AO6453" t="n">
        <v>0</v>
      </c>
      <c r="AP6453" t="inlineStr"/>
      <c r="AQ6453" t="inlineStr"/>
    </row>
    <row r="6454">
      <c r="A6454" t="inlineStr">
        <is>
          <t>YOU</t>
        </is>
      </c>
      <c r="B6454" s="2">
        <f>"8991748007722"</f>
        <v/>
      </c>
      <c r="C6454" t="inlineStr">
        <is>
          <t>YOU Golden Age Illuminating Day Cream 30gr (New) SPF 35 PA+++</t>
        </is>
      </c>
      <c r="D6454" t="inlineStr">
        <is>
          <t>Miss Glam Damar</t>
        </is>
      </c>
      <c r="E6454" t="n">
        <v>8</v>
      </c>
      <c r="F6454" t="n">
        <v>0.1092</v>
      </c>
      <c r="G6454" t="n">
        <v>0.91</v>
      </c>
      <c r="H6454" t="n">
        <v>2</v>
      </c>
      <c r="I6454" t="n">
        <v>9</v>
      </c>
      <c r="J6454" t="n">
        <v>3</v>
      </c>
      <c r="K6454" t="n">
        <v>0</v>
      </c>
      <c r="L6454" t="n">
        <v>95920</v>
      </c>
      <c r="M6454" t="n">
        <v>119900</v>
      </c>
      <c r="N6454" t="n">
        <v>91</v>
      </c>
      <c r="O6454" t="n">
        <v>0.91</v>
      </c>
      <c r="P6454" t="n">
        <v>1</v>
      </c>
      <c r="Q6454" t="n">
        <v>0.1</v>
      </c>
      <c r="R6454" t="n">
        <v>1</v>
      </c>
      <c r="S6454" t="n">
        <v>13093.08</v>
      </c>
      <c r="T6454" t="n">
        <v>8</v>
      </c>
      <c r="U6454" t="n">
        <v>9</v>
      </c>
      <c r="V6454" t="n">
        <v>30</v>
      </c>
      <c r="W6454" t="n">
        <v>4</v>
      </c>
      <c r="X6454" t="n">
        <v>73.26007326007326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10397</v>
      </c>
      <c r="AG6454" t="n">
        <v>170</v>
      </c>
      <c r="AH6454" t="inlineStr">
        <is>
          <t>PT. JALUR MANDIRI UTAMA - PPN (PDG)</t>
        </is>
      </c>
      <c r="AI6454" t="n">
        <v>170</v>
      </c>
      <c r="AJ6454" t="inlineStr">
        <is>
          <t>YOU</t>
        </is>
      </c>
      <c r="AK6454" t="n">
        <v>21</v>
      </c>
      <c r="AL6454" t="inlineStr">
        <is>
          <t>Miss Glam Damar</t>
        </is>
      </c>
      <c r="AM6454" t="n">
        <v>1</v>
      </c>
      <c r="AN6454" t="n">
        <v>500000</v>
      </c>
      <c r="AO6454" t="n">
        <v>0</v>
      </c>
      <c r="AP6454" t="inlineStr"/>
      <c r="AQ6454" t="inlineStr"/>
    </row>
    <row r="6455">
      <c r="A6455" t="inlineStr">
        <is>
          <t>YOU</t>
        </is>
      </c>
      <c r="B6455" s="2">
        <f>"8991748007685"</f>
        <v/>
      </c>
      <c r="C6455" t="inlineStr">
        <is>
          <t>YOU Golden Age Intensive Serum 20ml</t>
        </is>
      </c>
      <c r="D6455" t="inlineStr">
        <is>
          <t>Miss Glam Damar</t>
        </is>
      </c>
      <c r="E6455" t="n">
        <v>41</v>
      </c>
      <c r="F6455" t="n">
        <v>0.182</v>
      </c>
      <c r="G6455" t="n">
        <v>1.82</v>
      </c>
      <c r="H6455" t="n">
        <v>2</v>
      </c>
      <c r="I6455" t="n">
        <v>9</v>
      </c>
      <c r="J6455" t="n">
        <v>3</v>
      </c>
      <c r="K6455" t="n">
        <v>0</v>
      </c>
      <c r="L6455" t="n">
        <v>103120</v>
      </c>
      <c r="M6455" t="n">
        <v>128900</v>
      </c>
      <c r="N6455" t="n">
        <v>91</v>
      </c>
      <c r="O6455" t="n">
        <v>0.91</v>
      </c>
      <c r="P6455" t="n">
        <v>1</v>
      </c>
      <c r="Q6455" t="n">
        <v>0.31</v>
      </c>
      <c r="R6455" t="n">
        <v>3</v>
      </c>
      <c r="S6455" t="n">
        <v>23459.8</v>
      </c>
      <c r="T6455" t="n">
        <v>17</v>
      </c>
      <c r="U6455" t="n">
        <v>18</v>
      </c>
      <c r="V6455" t="n">
        <v>30</v>
      </c>
      <c r="W6455" t="n">
        <v>6</v>
      </c>
      <c r="X6455" t="n">
        <v>225.2747252747253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10397</v>
      </c>
      <c r="AG6455" t="n">
        <v>170</v>
      </c>
      <c r="AH6455" t="inlineStr">
        <is>
          <t>PT. JALUR MANDIRI UTAMA - PPN (PDG)</t>
        </is>
      </c>
      <c r="AI6455" t="n">
        <v>170</v>
      </c>
      <c r="AJ6455" t="inlineStr">
        <is>
          <t>YOU</t>
        </is>
      </c>
      <c r="AK6455" t="n">
        <v>21</v>
      </c>
      <c r="AL6455" t="inlineStr">
        <is>
          <t>Miss Glam Damar</t>
        </is>
      </c>
      <c r="AM6455" t="n">
        <v>1</v>
      </c>
      <c r="AN6455" t="n">
        <v>500000</v>
      </c>
      <c r="AO6455" t="n">
        <v>0</v>
      </c>
      <c r="AP6455" t="inlineStr"/>
      <c r="AQ6455" t="inlineStr"/>
    </row>
    <row r="6456">
      <c r="A6456" t="inlineStr">
        <is>
          <t>YOU</t>
        </is>
      </c>
      <c r="B6456" s="2">
        <f>"8991748007777"</f>
        <v/>
      </c>
      <c r="C6456" t="inlineStr">
        <is>
          <t>YOU Golden Age Revitalizing Night Cream 18gr</t>
        </is>
      </c>
      <c r="D6456" t="inlineStr">
        <is>
          <t>Miss Glam Damar</t>
        </is>
      </c>
      <c r="E6456" t="n">
        <v>6</v>
      </c>
      <c r="F6456" t="n">
        <v>0.09100000000000001</v>
      </c>
      <c r="G6456" t="n">
        <v>1.82</v>
      </c>
      <c r="H6456" t="n">
        <v>2</v>
      </c>
      <c r="I6456" t="n">
        <v>9</v>
      </c>
      <c r="J6456" t="n">
        <v>3</v>
      </c>
      <c r="K6456" t="n">
        <v>0</v>
      </c>
      <c r="L6456" t="n">
        <v>46320</v>
      </c>
      <c r="M6456" t="n">
        <v>57900</v>
      </c>
      <c r="N6456" t="n">
        <v>91</v>
      </c>
      <c r="O6456" t="n">
        <v>0.91</v>
      </c>
      <c r="P6456" t="n">
        <v>1</v>
      </c>
      <c r="Q6456" t="n">
        <v>0.14</v>
      </c>
      <c r="R6456" t="n">
        <v>2</v>
      </c>
      <c r="S6456" t="n">
        <v>5268.900000000001</v>
      </c>
      <c r="T6456" t="n">
        <v>17</v>
      </c>
      <c r="U6456" t="n">
        <v>18</v>
      </c>
      <c r="V6456" t="n">
        <v>30</v>
      </c>
      <c r="W6456" t="n">
        <v>3</v>
      </c>
      <c r="X6456" t="n">
        <v>65.93406593406593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10397</v>
      </c>
      <c r="AG6456" t="n">
        <v>170</v>
      </c>
      <c r="AH6456" t="inlineStr">
        <is>
          <t>PT. JALUR MANDIRI UTAMA - PPN (PDG)</t>
        </is>
      </c>
      <c r="AI6456" t="n">
        <v>170</v>
      </c>
      <c r="AJ6456" t="inlineStr">
        <is>
          <t>YOU</t>
        </is>
      </c>
      <c r="AK6456" t="n">
        <v>21</v>
      </c>
      <c r="AL6456" t="inlineStr">
        <is>
          <t>Miss Glam Damar</t>
        </is>
      </c>
      <c r="AM6456" t="n">
        <v>1</v>
      </c>
      <c r="AN6456" t="n">
        <v>500000</v>
      </c>
      <c r="AO6456" t="n">
        <v>0</v>
      </c>
      <c r="AP6456" t="inlineStr"/>
      <c r="AQ6456" t="inlineStr"/>
    </row>
    <row r="6457">
      <c r="A6457" t="inlineStr">
        <is>
          <t>YOU</t>
        </is>
      </c>
      <c r="B6457" s="2">
        <f>"8997227894005"</f>
        <v/>
      </c>
      <c r="C6457" t="inlineStr">
        <is>
          <t>YOU Golden Age Revitalizing Night Cream 30gr</t>
        </is>
      </c>
      <c r="D6457" t="inlineStr">
        <is>
          <t>Miss Glam Damar</t>
        </is>
      </c>
      <c r="E6457" t="n">
        <v>21</v>
      </c>
      <c r="F6457" t="n">
        <v>0.1365</v>
      </c>
      <c r="G6457" t="n">
        <v>1.82</v>
      </c>
      <c r="H6457" t="n">
        <v>2</v>
      </c>
      <c r="I6457" t="n">
        <v>9</v>
      </c>
      <c r="J6457" t="n">
        <v>3</v>
      </c>
      <c r="K6457" t="n">
        <v>0</v>
      </c>
      <c r="L6457" t="n">
        <v>95920</v>
      </c>
      <c r="M6457" t="n">
        <v>112500</v>
      </c>
      <c r="N6457" t="n">
        <v>91</v>
      </c>
      <c r="O6457" t="n">
        <v>0.91</v>
      </c>
      <c r="P6457" t="n">
        <v>1</v>
      </c>
      <c r="Q6457" t="n">
        <v>0.19</v>
      </c>
      <c r="R6457" t="n">
        <v>2</v>
      </c>
      <c r="S6457" t="n">
        <v>15356.25</v>
      </c>
      <c r="T6457" t="n">
        <v>17</v>
      </c>
      <c r="U6457" t="n">
        <v>18</v>
      </c>
      <c r="V6457" t="n">
        <v>30</v>
      </c>
      <c r="W6457" t="n">
        <v>5</v>
      </c>
      <c r="X6457" t="n">
        <v>153.8461538461538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10397</v>
      </c>
      <c r="AG6457" t="n">
        <v>170</v>
      </c>
      <c r="AH6457" t="inlineStr">
        <is>
          <t>PT. JALUR MANDIRI UTAMA - PPN (PDG)</t>
        </is>
      </c>
      <c r="AI6457" t="n">
        <v>170</v>
      </c>
      <c r="AJ6457" t="inlineStr">
        <is>
          <t>YOU</t>
        </is>
      </c>
      <c r="AK6457" t="n">
        <v>21</v>
      </c>
      <c r="AL6457" t="inlineStr">
        <is>
          <t>Miss Glam Damar</t>
        </is>
      </c>
      <c r="AM6457" t="n">
        <v>1</v>
      </c>
      <c r="AN6457" t="n">
        <v>500000</v>
      </c>
      <c r="AO6457" t="n">
        <v>0</v>
      </c>
      <c r="AP6457" t="inlineStr"/>
      <c r="AQ6457" t="inlineStr"/>
    </row>
    <row r="6458">
      <c r="A6458" t="inlineStr">
        <is>
          <t>YOU</t>
        </is>
      </c>
      <c r="B6458" s="2">
        <f>"8991748007814"</f>
        <v/>
      </c>
      <c r="C6458" t="inlineStr">
        <is>
          <t>YOU Golden Age Skin Refining Oil 20ml</t>
        </is>
      </c>
      <c r="D6458" t="inlineStr">
        <is>
          <t>Miss Glam Damar</t>
        </is>
      </c>
      <c r="E6458" t="n">
        <v>10</v>
      </c>
      <c r="F6458" t="n">
        <v>0.06370000000000001</v>
      </c>
      <c r="G6458" t="n">
        <v>0.91</v>
      </c>
      <c r="H6458" t="n">
        <v>2</v>
      </c>
      <c r="I6458" t="n">
        <v>9</v>
      </c>
      <c r="J6458" t="n">
        <v>3</v>
      </c>
      <c r="K6458" t="n">
        <v>0</v>
      </c>
      <c r="L6458" t="n">
        <v>111120</v>
      </c>
      <c r="M6458" t="n">
        <v>138900</v>
      </c>
      <c r="N6458" t="n">
        <v>91</v>
      </c>
      <c r="O6458" t="n">
        <v>0.91</v>
      </c>
      <c r="P6458" t="n">
        <v>1</v>
      </c>
      <c r="Q6458" t="n">
        <v>0.07000000000000001</v>
      </c>
      <c r="R6458" t="n">
        <v>2</v>
      </c>
      <c r="S6458" t="n">
        <v>8847.93</v>
      </c>
      <c r="T6458" t="n">
        <v>9</v>
      </c>
      <c r="U6458" t="n">
        <v>10</v>
      </c>
      <c r="V6458" t="n">
        <v>30</v>
      </c>
      <c r="W6458" t="n">
        <v>2</v>
      </c>
      <c r="X6458" t="n">
        <v>156.9858712715856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10397</v>
      </c>
      <c r="AG6458" t="n">
        <v>170</v>
      </c>
      <c r="AH6458" t="inlineStr">
        <is>
          <t>PT. JALUR MANDIRI UTAMA - PPN (PDG)</t>
        </is>
      </c>
      <c r="AI6458" t="n">
        <v>170</v>
      </c>
      <c r="AJ6458" t="inlineStr">
        <is>
          <t>YOU</t>
        </is>
      </c>
      <c r="AK6458" t="n">
        <v>21</v>
      </c>
      <c r="AL6458" t="inlineStr">
        <is>
          <t>Miss Glam Damar</t>
        </is>
      </c>
      <c r="AM6458" t="n">
        <v>1</v>
      </c>
      <c r="AN6458" t="n">
        <v>500000</v>
      </c>
      <c r="AO6458" t="n">
        <v>0</v>
      </c>
      <c r="AP6458" t="inlineStr"/>
      <c r="AQ6458" t="inlineStr"/>
    </row>
    <row r="6459">
      <c r="A6459" t="inlineStr">
        <is>
          <t>YOU</t>
        </is>
      </c>
      <c r="B6459" s="2">
        <f>"8991748003281"</f>
        <v/>
      </c>
      <c r="C6459" t="inlineStr">
        <is>
          <t>YOU Hy Amino Bye Bacteria Anti Bacterial Facial Wash 100gr</t>
        </is>
      </c>
      <c r="D6459" t="inlineStr">
        <is>
          <t>Miss Glam Damar</t>
        </is>
      </c>
      <c r="E6459" t="n">
        <v>52</v>
      </c>
      <c r="F6459" t="n">
        <v>0.8827</v>
      </c>
      <c r="G6459" t="n">
        <v>3.64</v>
      </c>
      <c r="H6459" t="n">
        <v>2</v>
      </c>
      <c r="I6459" t="n">
        <v>9</v>
      </c>
      <c r="J6459" t="n">
        <v>3</v>
      </c>
      <c r="K6459" t="n">
        <v>0</v>
      </c>
      <c r="L6459" t="n">
        <v>27920</v>
      </c>
      <c r="M6459" t="n">
        <v>34900</v>
      </c>
      <c r="N6459" t="n">
        <v>91</v>
      </c>
      <c r="O6459" t="n">
        <v>0.91</v>
      </c>
      <c r="P6459" t="n">
        <v>1</v>
      </c>
      <c r="Q6459" t="n">
        <v>0.29</v>
      </c>
      <c r="R6459" t="n">
        <v>3</v>
      </c>
      <c r="S6459" t="n">
        <v>30806.23</v>
      </c>
      <c r="T6459" t="n">
        <v>31</v>
      </c>
      <c r="U6459" t="n">
        <v>33</v>
      </c>
      <c r="V6459" t="n">
        <v>30</v>
      </c>
      <c r="W6459" t="n">
        <v>27</v>
      </c>
      <c r="X6459" t="n">
        <v>58.9101620029455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10397</v>
      </c>
      <c r="AG6459" t="n">
        <v>170</v>
      </c>
      <c r="AH6459" t="inlineStr">
        <is>
          <t>PT. JALUR MANDIRI UTAMA - PPN (PDG)</t>
        </is>
      </c>
      <c r="AI6459" t="n">
        <v>170</v>
      </c>
      <c r="AJ6459" t="inlineStr">
        <is>
          <t>YOU</t>
        </is>
      </c>
      <c r="AK6459" t="n">
        <v>21</v>
      </c>
      <c r="AL6459" t="inlineStr">
        <is>
          <t>Miss Glam Damar</t>
        </is>
      </c>
      <c r="AM6459" t="n">
        <v>1</v>
      </c>
      <c r="AN6459" t="n">
        <v>500000</v>
      </c>
      <c r="AO6459" t="n">
        <v>0</v>
      </c>
      <c r="AP6459" t="inlineStr"/>
      <c r="AQ6459" t="inlineStr"/>
    </row>
    <row r="6460">
      <c r="A6460" t="inlineStr">
        <is>
          <t>YOU</t>
        </is>
      </c>
      <c r="B6460" s="2">
        <f>"8991748003298"</f>
        <v/>
      </c>
      <c r="C6460" t="inlineStr">
        <is>
          <t>YOU Hy Amino Bye-Byeteria Facial Wash 50gr</t>
        </is>
      </c>
      <c r="D6460" t="inlineStr">
        <is>
          <t>Miss Glam Damar</t>
        </is>
      </c>
      <c r="E6460" t="n">
        <v>63</v>
      </c>
      <c r="F6460" t="n">
        <v>0.4368</v>
      </c>
      <c r="G6460" t="n">
        <v>1.82</v>
      </c>
      <c r="H6460" t="n">
        <v>2</v>
      </c>
      <c r="I6460" t="n">
        <v>9</v>
      </c>
      <c r="J6460" t="n">
        <v>3</v>
      </c>
      <c r="K6460" t="n">
        <v>0</v>
      </c>
      <c r="L6460" t="n">
        <v>16720</v>
      </c>
      <c r="M6460" t="n">
        <v>20900</v>
      </c>
      <c r="N6460" t="n">
        <v>91</v>
      </c>
      <c r="O6460" t="n">
        <v>0.91</v>
      </c>
      <c r="P6460" t="n">
        <v>1</v>
      </c>
      <c r="Q6460" t="n">
        <v>0.14</v>
      </c>
      <c r="R6460" t="n">
        <v>1</v>
      </c>
      <c r="S6460" t="n">
        <v>9129.120000000001</v>
      </c>
      <c r="T6460" t="n">
        <v>16</v>
      </c>
      <c r="U6460" t="n">
        <v>17</v>
      </c>
      <c r="V6460" t="n">
        <v>30</v>
      </c>
      <c r="W6460" t="n">
        <v>14</v>
      </c>
      <c r="X6460" t="n">
        <v>144.2307692307692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10397</v>
      </c>
      <c r="AG6460" t="n">
        <v>170</v>
      </c>
      <c r="AH6460" t="inlineStr">
        <is>
          <t>PT. JALUR MANDIRI UTAMA - PPN (PDG)</t>
        </is>
      </c>
      <c r="AI6460" t="n">
        <v>170</v>
      </c>
      <c r="AJ6460" t="inlineStr">
        <is>
          <t>YOU</t>
        </is>
      </c>
      <c r="AK6460" t="n">
        <v>21</v>
      </c>
      <c r="AL6460" t="inlineStr">
        <is>
          <t>Miss Glam Damar</t>
        </is>
      </c>
      <c r="AM6460" t="n">
        <v>1</v>
      </c>
      <c r="AN6460" t="n">
        <v>500000</v>
      </c>
      <c r="AO6460" t="n">
        <v>0</v>
      </c>
      <c r="AP6460" t="inlineStr"/>
      <c r="AQ6460" t="inlineStr"/>
    </row>
    <row r="6461">
      <c r="A6461" t="inlineStr">
        <is>
          <t>YOU</t>
        </is>
      </c>
      <c r="B6461" s="2">
        <f>"8991748001836"</f>
        <v/>
      </c>
      <c r="C6461" t="inlineStr">
        <is>
          <t>YOU Hy! Amino Ac-Ttack Anti-Acne Facial Wash 100gr</t>
        </is>
      </c>
      <c r="D6461" t="inlineStr">
        <is>
          <t>Miss Glam Damar</t>
        </is>
      </c>
      <c r="E6461" t="n">
        <v>0</v>
      </c>
      <c r="F6461" t="n">
        <v>0.1183</v>
      </c>
      <c r="G6461" t="n">
        <v>0.91</v>
      </c>
      <c r="H6461" t="n">
        <v>2</v>
      </c>
      <c r="I6461" t="n">
        <v>9</v>
      </c>
      <c r="J6461" t="n">
        <v>3</v>
      </c>
      <c r="K6461" t="n">
        <v>0</v>
      </c>
      <c r="L6461" t="n">
        <v>27920</v>
      </c>
      <c r="M6461" t="n">
        <v>34900</v>
      </c>
      <c r="N6461" t="n">
        <v>91</v>
      </c>
      <c r="O6461" t="n">
        <v>0.91</v>
      </c>
      <c r="P6461" t="n">
        <v>1</v>
      </c>
      <c r="Q6461" t="n">
        <v>0.18</v>
      </c>
      <c r="R6461" t="n">
        <v>3</v>
      </c>
      <c r="S6461" t="n">
        <v>4128.67</v>
      </c>
      <c r="T6461" t="n">
        <v>8</v>
      </c>
      <c r="U6461" t="n">
        <v>9</v>
      </c>
      <c r="V6461" t="n">
        <v>30</v>
      </c>
      <c r="W6461" t="n">
        <v>4</v>
      </c>
      <c r="X6461" t="n">
        <v>0</v>
      </c>
      <c r="Y6461" t="n">
        <v>1</v>
      </c>
      <c r="Z6461" t="n">
        <v>4</v>
      </c>
      <c r="AA6461" t="n">
        <v>2</v>
      </c>
      <c r="AB6461" t="n">
        <v>2</v>
      </c>
      <c r="AC6461" t="n">
        <v>3</v>
      </c>
      <c r="AD6461" t="n">
        <v>55840</v>
      </c>
      <c r="AE6461" t="n">
        <v>83760</v>
      </c>
      <c r="AF6461" t="n">
        <v>10397</v>
      </c>
      <c r="AG6461" t="n">
        <v>170</v>
      </c>
      <c r="AH6461" t="inlineStr">
        <is>
          <t>PT. JALUR MANDIRI UTAMA - PPN (PDG)</t>
        </is>
      </c>
      <c r="AI6461" t="n">
        <v>170</v>
      </c>
      <c r="AJ6461" t="inlineStr">
        <is>
          <t>YOU</t>
        </is>
      </c>
      <c r="AK6461" t="n">
        <v>21</v>
      </c>
      <c r="AL6461" t="inlineStr">
        <is>
          <t>Miss Glam Damar</t>
        </is>
      </c>
      <c r="AM6461" t="n">
        <v>1</v>
      </c>
      <c r="AN6461" t="n">
        <v>500000</v>
      </c>
      <c r="AO6461" t="n">
        <v>0</v>
      </c>
      <c r="AP6461" t="inlineStr"/>
      <c r="AQ6461" t="inlineStr"/>
    </row>
    <row r="6462">
      <c r="A6462" t="inlineStr">
        <is>
          <t>YOU</t>
        </is>
      </c>
      <c r="B6462" s="2">
        <f>"8991748001843"</f>
        <v/>
      </c>
      <c r="C6462" t="inlineStr">
        <is>
          <t>YOU Hy! Amino AC-Ttack Anti-Acne Facial Wash 50gr</t>
        </is>
      </c>
      <c r="D6462" t="inlineStr">
        <is>
          <t>Miss Glam Damar</t>
        </is>
      </c>
      <c r="E6462" t="n">
        <v>3</v>
      </c>
      <c r="F6462" t="n">
        <v>1.5379</v>
      </c>
      <c r="G6462" t="n">
        <v>10.92</v>
      </c>
      <c r="H6462" t="n">
        <v>2</v>
      </c>
      <c r="I6462" t="n">
        <v>9</v>
      </c>
      <c r="J6462" t="n">
        <v>3</v>
      </c>
      <c r="K6462" t="n">
        <v>0</v>
      </c>
      <c r="L6462" t="n">
        <v>16720</v>
      </c>
      <c r="M6462" t="n">
        <v>20900</v>
      </c>
      <c r="N6462" t="n">
        <v>91</v>
      </c>
      <c r="O6462" t="n">
        <v>0.91</v>
      </c>
      <c r="P6462" t="n">
        <v>1</v>
      </c>
      <c r="Q6462" t="n">
        <v>0.71</v>
      </c>
      <c r="R6462" t="n">
        <v>6</v>
      </c>
      <c r="S6462" t="n">
        <v>32142.11</v>
      </c>
      <c r="T6462" t="n">
        <v>96</v>
      </c>
      <c r="U6462" t="n">
        <v>100</v>
      </c>
      <c r="V6462" t="n">
        <v>30</v>
      </c>
      <c r="W6462" t="n">
        <v>47</v>
      </c>
      <c r="X6462" t="n">
        <v>1.950712009883607</v>
      </c>
      <c r="Y6462" t="n">
        <v>1</v>
      </c>
      <c r="Z6462" t="n">
        <v>44</v>
      </c>
      <c r="AA6462" t="n">
        <v>11</v>
      </c>
      <c r="AB6462" t="n">
        <v>33</v>
      </c>
      <c r="AC6462" t="n">
        <v>33</v>
      </c>
      <c r="AD6462" t="n">
        <v>183920</v>
      </c>
      <c r="AE6462" t="n">
        <v>551760</v>
      </c>
      <c r="AF6462" t="n">
        <v>10397</v>
      </c>
      <c r="AG6462" t="n">
        <v>170</v>
      </c>
      <c r="AH6462" t="inlineStr">
        <is>
          <t>PT. JALUR MANDIRI UTAMA - PPN (PDG)</t>
        </is>
      </c>
      <c r="AI6462" t="n">
        <v>170</v>
      </c>
      <c r="AJ6462" t="inlineStr">
        <is>
          <t>YOU</t>
        </is>
      </c>
      <c r="AK6462" t="n">
        <v>21</v>
      </c>
      <c r="AL6462" t="inlineStr">
        <is>
          <t>Miss Glam Damar</t>
        </is>
      </c>
      <c r="AM6462" t="n">
        <v>1</v>
      </c>
      <c r="AN6462" t="n">
        <v>500000</v>
      </c>
      <c r="AO6462" t="n">
        <v>0</v>
      </c>
      <c r="AP6462" t="inlineStr"/>
      <c r="AQ6462" t="inlineStr"/>
    </row>
    <row r="6463">
      <c r="A6463" t="inlineStr">
        <is>
          <t>YOU</t>
        </is>
      </c>
      <c r="B6463" s="2">
        <f>"8991748001850"</f>
        <v/>
      </c>
      <c r="C6463" t="inlineStr">
        <is>
          <t>YOU Hy! Amino Brightening Facial Wash 100gr</t>
        </is>
      </c>
      <c r="D6463" t="inlineStr">
        <is>
          <t>Miss Glam Damar</t>
        </is>
      </c>
      <c r="E6463" t="n">
        <v>7</v>
      </c>
      <c r="F6463" t="n">
        <v>0.2821</v>
      </c>
      <c r="G6463" t="n">
        <v>1.82</v>
      </c>
      <c r="H6463" t="n">
        <v>2</v>
      </c>
      <c r="I6463" t="n">
        <v>9</v>
      </c>
      <c r="J6463" t="n">
        <v>3</v>
      </c>
      <c r="K6463" t="n">
        <v>0</v>
      </c>
      <c r="L6463" t="n">
        <v>27920</v>
      </c>
      <c r="M6463" t="n">
        <v>34900</v>
      </c>
      <c r="N6463" t="n">
        <v>91</v>
      </c>
      <c r="O6463" t="n">
        <v>0.91</v>
      </c>
      <c r="P6463" t="n">
        <v>1</v>
      </c>
      <c r="Q6463" t="n">
        <v>0.14</v>
      </c>
      <c r="R6463" t="n">
        <v>1</v>
      </c>
      <c r="S6463" t="n">
        <v>9845.290000000001</v>
      </c>
      <c r="T6463" t="n">
        <v>16</v>
      </c>
      <c r="U6463" t="n">
        <v>17</v>
      </c>
      <c r="V6463" t="n">
        <v>30</v>
      </c>
      <c r="W6463" t="n">
        <v>9</v>
      </c>
      <c r="X6463" t="n">
        <v>24.81389578163772</v>
      </c>
      <c r="Y6463" t="n">
        <v>1</v>
      </c>
      <c r="Z6463" t="n">
        <v>2</v>
      </c>
      <c r="AA6463" t="n">
        <v>0</v>
      </c>
      <c r="AB6463" t="n">
        <v>2</v>
      </c>
      <c r="AC6463" t="n">
        <v>3</v>
      </c>
      <c r="AD6463" t="n">
        <v>0</v>
      </c>
      <c r="AE6463" t="n">
        <v>83760</v>
      </c>
      <c r="AF6463" t="n">
        <v>10397</v>
      </c>
      <c r="AG6463" t="n">
        <v>170</v>
      </c>
      <c r="AH6463" t="inlineStr">
        <is>
          <t>PT. JALUR MANDIRI UTAMA - PPN (PDG)</t>
        </is>
      </c>
      <c r="AI6463" t="n">
        <v>170</v>
      </c>
      <c r="AJ6463" t="inlineStr">
        <is>
          <t>YOU</t>
        </is>
      </c>
      <c r="AK6463" t="n">
        <v>21</v>
      </c>
      <c r="AL6463" t="inlineStr">
        <is>
          <t>Miss Glam Damar</t>
        </is>
      </c>
      <c r="AM6463" t="n">
        <v>1</v>
      </c>
      <c r="AN6463" t="n">
        <v>500000</v>
      </c>
      <c r="AO6463" t="n">
        <v>0</v>
      </c>
      <c r="AP6463" t="inlineStr"/>
      <c r="AQ6463" t="inlineStr"/>
    </row>
    <row r="6464">
      <c r="A6464" t="inlineStr">
        <is>
          <t>YOU</t>
        </is>
      </c>
      <c r="B6464" s="2">
        <f>"8991748001874"</f>
        <v/>
      </c>
      <c r="C6464" t="inlineStr">
        <is>
          <t>YOU Hy! Amino Contr-Oil Oil Control Facial Wash 100gr</t>
        </is>
      </c>
      <c r="D6464" t="inlineStr">
        <is>
          <t>Miss Glam Damar</t>
        </is>
      </c>
      <c r="E6464" t="n">
        <v>2</v>
      </c>
      <c r="F6464" t="n">
        <v>0.3549</v>
      </c>
      <c r="G6464" t="n">
        <v>2.73</v>
      </c>
      <c r="H6464" t="n">
        <v>2</v>
      </c>
      <c r="I6464" t="n">
        <v>9</v>
      </c>
      <c r="J6464" t="n">
        <v>3</v>
      </c>
      <c r="K6464" t="n">
        <v>0</v>
      </c>
      <c r="L6464" t="n">
        <v>27920</v>
      </c>
      <c r="M6464" t="n">
        <v>34900</v>
      </c>
      <c r="N6464" t="n">
        <v>91</v>
      </c>
      <c r="O6464" t="n">
        <v>0.91</v>
      </c>
      <c r="P6464" t="n">
        <v>1</v>
      </c>
      <c r="Q6464" t="n">
        <v>0.05</v>
      </c>
      <c r="R6464" t="n">
        <v>1</v>
      </c>
      <c r="S6464" t="n">
        <v>12386.01</v>
      </c>
      <c r="T6464" t="n">
        <v>24</v>
      </c>
      <c r="U6464" t="n">
        <v>25</v>
      </c>
      <c r="V6464" t="n">
        <v>30</v>
      </c>
      <c r="W6464" t="n">
        <v>11</v>
      </c>
      <c r="X6464" t="n">
        <v>5.635390250774865</v>
      </c>
      <c r="Y6464" t="n">
        <v>1</v>
      </c>
      <c r="Z6464" t="n">
        <v>9</v>
      </c>
      <c r="AA6464" t="n">
        <v>2</v>
      </c>
      <c r="AB6464" t="n">
        <v>7</v>
      </c>
      <c r="AC6464" t="n">
        <v>7</v>
      </c>
      <c r="AD6464" t="n">
        <v>55840</v>
      </c>
      <c r="AE6464" t="n">
        <v>195440</v>
      </c>
      <c r="AF6464" t="n">
        <v>10397</v>
      </c>
      <c r="AG6464" t="n">
        <v>170</v>
      </c>
      <c r="AH6464" t="inlineStr">
        <is>
          <t>PT. JALUR MANDIRI UTAMA - PPN (PDG)</t>
        </is>
      </c>
      <c r="AI6464" t="n">
        <v>170</v>
      </c>
      <c r="AJ6464" t="inlineStr">
        <is>
          <t>YOU</t>
        </is>
      </c>
      <c r="AK6464" t="n">
        <v>21</v>
      </c>
      <c r="AL6464" t="inlineStr">
        <is>
          <t>Miss Glam Damar</t>
        </is>
      </c>
      <c r="AM6464" t="n">
        <v>1</v>
      </c>
      <c r="AN6464" t="n">
        <v>500000</v>
      </c>
      <c r="AO6464" t="n">
        <v>0</v>
      </c>
      <c r="AP6464" t="inlineStr"/>
      <c r="AQ6464" t="inlineStr"/>
    </row>
    <row r="6465">
      <c r="A6465" t="inlineStr">
        <is>
          <t>YOU</t>
        </is>
      </c>
      <c r="B6465" s="2">
        <f>"8991748001881"</f>
        <v/>
      </c>
      <c r="C6465" t="inlineStr">
        <is>
          <t>YOU Hy! Amino Control-Oil, Oil Control Facial Wash 50gr</t>
        </is>
      </c>
      <c r="D6465" t="inlineStr">
        <is>
          <t>Miss Glam Damar</t>
        </is>
      </c>
      <c r="E6465" t="n">
        <v>49</v>
      </c>
      <c r="F6465" t="n">
        <v>0.3731</v>
      </c>
      <c r="G6465" t="n">
        <v>2.73</v>
      </c>
      <c r="H6465" t="n">
        <v>2</v>
      </c>
      <c r="I6465" t="n">
        <v>9</v>
      </c>
      <c r="J6465" t="n">
        <v>3</v>
      </c>
      <c r="K6465" t="n">
        <v>0</v>
      </c>
      <c r="L6465" t="n">
        <v>16720</v>
      </c>
      <c r="M6465" t="n">
        <v>20900</v>
      </c>
      <c r="N6465" t="n">
        <v>91</v>
      </c>
      <c r="O6465" t="n">
        <v>0.91</v>
      </c>
      <c r="P6465" t="n">
        <v>1</v>
      </c>
      <c r="Q6465" t="n">
        <v>0.1</v>
      </c>
      <c r="R6465" t="n">
        <v>1</v>
      </c>
      <c r="S6465" t="n">
        <v>7797.79</v>
      </c>
      <c r="T6465" t="n">
        <v>24</v>
      </c>
      <c r="U6465" t="n">
        <v>25</v>
      </c>
      <c r="V6465" t="n">
        <v>30</v>
      </c>
      <c r="W6465" t="n">
        <v>12</v>
      </c>
      <c r="X6465" t="n">
        <v>131.3320825515947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10397</v>
      </c>
      <c r="AG6465" t="n">
        <v>170</v>
      </c>
      <c r="AH6465" t="inlineStr">
        <is>
          <t>PT. JALUR MANDIRI UTAMA - PPN (PDG)</t>
        </is>
      </c>
      <c r="AI6465" t="n">
        <v>170</v>
      </c>
      <c r="AJ6465" t="inlineStr">
        <is>
          <t>YOU</t>
        </is>
      </c>
      <c r="AK6465" t="n">
        <v>21</v>
      </c>
      <c r="AL6465" t="inlineStr">
        <is>
          <t>Miss Glam Damar</t>
        </is>
      </c>
      <c r="AM6465" t="n">
        <v>1</v>
      </c>
      <c r="AN6465" t="n">
        <v>500000</v>
      </c>
      <c r="AO6465" t="n">
        <v>0</v>
      </c>
      <c r="AP6465" t="inlineStr"/>
      <c r="AQ6465" t="inlineStr"/>
    </row>
    <row r="6466">
      <c r="A6466" t="inlineStr">
        <is>
          <t>YOU</t>
        </is>
      </c>
      <c r="B6466" s="2">
        <f>"101001109728"</f>
        <v/>
      </c>
      <c r="C6466" t="inlineStr">
        <is>
          <t>YOU Hy! Amino Glowing Gentle Cleansing Facial Wash 50gr</t>
        </is>
      </c>
      <c r="D6466" t="inlineStr">
        <is>
          <t>Miss Glam Damar</t>
        </is>
      </c>
      <c r="E6466" t="n">
        <v>10</v>
      </c>
      <c r="F6466" t="n">
        <v>0.0182</v>
      </c>
      <c r="G6466" t="n">
        <v>0</v>
      </c>
      <c r="H6466" t="n">
        <v>2</v>
      </c>
      <c r="I6466" t="n">
        <v>9</v>
      </c>
      <c r="J6466" t="n">
        <v>1</v>
      </c>
      <c r="K6466" t="n">
        <v>0</v>
      </c>
      <c r="L6466" t="n">
        <v>16720</v>
      </c>
      <c r="M6466" t="n">
        <v>20900</v>
      </c>
      <c r="N6466" t="n">
        <v>91</v>
      </c>
      <c r="O6466" t="n">
        <v>0.91</v>
      </c>
      <c r="P6466" t="n">
        <v>1</v>
      </c>
      <c r="Q6466" t="n">
        <v>0.19</v>
      </c>
      <c r="R6466" t="n">
        <v>1</v>
      </c>
      <c r="S6466" t="n">
        <v>380.38</v>
      </c>
      <c r="T6466" t="n">
        <v>0</v>
      </c>
      <c r="U6466" t="n">
        <v>1</v>
      </c>
      <c r="V6466" t="n">
        <v>30</v>
      </c>
      <c r="W6466" t="n">
        <v>1</v>
      </c>
      <c r="X6466" t="n">
        <v>549.4505494505494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10397</v>
      </c>
      <c r="AG6466" t="n">
        <v>170</v>
      </c>
      <c r="AH6466" t="inlineStr">
        <is>
          <t>PT. JALUR MANDIRI UTAMA - PPN (PDG)</t>
        </is>
      </c>
      <c r="AI6466" t="n">
        <v>170</v>
      </c>
      <c r="AJ6466" t="inlineStr">
        <is>
          <t>YOU</t>
        </is>
      </c>
      <c r="AK6466" t="n">
        <v>21</v>
      </c>
      <c r="AL6466" t="inlineStr">
        <is>
          <t>Miss Glam Damar</t>
        </is>
      </c>
      <c r="AM6466" t="n">
        <v>1</v>
      </c>
      <c r="AN6466" t="n">
        <v>500000</v>
      </c>
      <c r="AO6466" t="n">
        <v>0</v>
      </c>
      <c r="AP6466" t="inlineStr"/>
      <c r="AQ6466" t="inlineStr"/>
    </row>
    <row r="6467">
      <c r="A6467" t="inlineStr">
        <is>
          <t>YOU</t>
        </is>
      </c>
      <c r="B6467" s="2">
        <f>"101001106313"</f>
        <v/>
      </c>
      <c r="C6467" t="inlineStr">
        <is>
          <t>YOU hY! Amino Glowing Gentle-Cleancing Facial Wash 100gr</t>
        </is>
      </c>
      <c r="D6467" t="inlineStr">
        <is>
          <t>Miss Glam Damar</t>
        </is>
      </c>
      <c r="E6467" t="n">
        <v>3</v>
      </c>
      <c r="F6467" t="n">
        <v>1.2467</v>
      </c>
      <c r="G6467" t="n">
        <v>4.55</v>
      </c>
      <c r="H6467" t="n">
        <v>2</v>
      </c>
      <c r="I6467" t="n">
        <v>9</v>
      </c>
      <c r="J6467" t="n">
        <v>3</v>
      </c>
      <c r="K6467" t="n">
        <v>0</v>
      </c>
      <c r="L6467" t="n">
        <v>27920</v>
      </c>
      <c r="M6467" t="n">
        <v>34900</v>
      </c>
      <c r="N6467" t="n">
        <v>91</v>
      </c>
      <c r="O6467" t="n">
        <v>0.91</v>
      </c>
      <c r="P6467" t="n">
        <v>1</v>
      </c>
      <c r="Q6467" t="n">
        <v>0.32</v>
      </c>
      <c r="R6467" t="n">
        <v>2</v>
      </c>
      <c r="S6467" t="n">
        <v>43509.83</v>
      </c>
      <c r="T6467" t="n">
        <v>39</v>
      </c>
      <c r="U6467" t="n">
        <v>42</v>
      </c>
      <c r="V6467" t="n">
        <v>30</v>
      </c>
      <c r="W6467" t="n">
        <v>38</v>
      </c>
      <c r="X6467" t="n">
        <v>2.406352771316275</v>
      </c>
      <c r="Y6467" t="n">
        <v>1</v>
      </c>
      <c r="Z6467" t="n">
        <v>35</v>
      </c>
      <c r="AA6467" t="n">
        <v>9</v>
      </c>
      <c r="AB6467" t="n">
        <v>26</v>
      </c>
      <c r="AC6467" t="n">
        <v>26</v>
      </c>
      <c r="AD6467" t="n">
        <v>251280</v>
      </c>
      <c r="AE6467" t="n">
        <v>725920</v>
      </c>
      <c r="AF6467" t="n">
        <v>10397</v>
      </c>
      <c r="AG6467" t="n">
        <v>170</v>
      </c>
      <c r="AH6467" t="inlineStr">
        <is>
          <t>PT. JALUR MANDIRI UTAMA - PPN (PDG)</t>
        </is>
      </c>
      <c r="AI6467" t="n">
        <v>170</v>
      </c>
      <c r="AJ6467" t="inlineStr">
        <is>
          <t>YOU</t>
        </is>
      </c>
      <c r="AK6467" t="n">
        <v>21</v>
      </c>
      <c r="AL6467" t="inlineStr">
        <is>
          <t>Miss Glam Damar</t>
        </is>
      </c>
      <c r="AM6467" t="n">
        <v>1</v>
      </c>
      <c r="AN6467" t="n">
        <v>500000</v>
      </c>
      <c r="AO6467" t="n">
        <v>0</v>
      </c>
      <c r="AP6467" t="inlineStr"/>
      <c r="AQ6467" t="inlineStr"/>
    </row>
    <row r="6468">
      <c r="A6468" t="inlineStr">
        <is>
          <t>YOU</t>
        </is>
      </c>
      <c r="B6468" s="2">
        <f>"8991748001829"</f>
        <v/>
      </c>
      <c r="C6468" t="inlineStr">
        <is>
          <t>YOU Hy! Amino Wow-tery, Hydrating Facial Wash 50gr</t>
        </is>
      </c>
      <c r="D6468" t="inlineStr">
        <is>
          <t>Miss Glam Damar</t>
        </is>
      </c>
      <c r="E6468" t="n">
        <v>14</v>
      </c>
      <c r="F6468" t="n">
        <v>0.2</v>
      </c>
      <c r="G6468" t="n">
        <v>2</v>
      </c>
      <c r="H6468" t="n">
        <v>2</v>
      </c>
      <c r="I6468" t="n">
        <v>9</v>
      </c>
      <c r="J6468" t="n">
        <v>3</v>
      </c>
      <c r="K6468" t="n">
        <v>0</v>
      </c>
      <c r="L6468" t="n">
        <v>15504</v>
      </c>
      <c r="M6468" t="n">
        <v>19380</v>
      </c>
      <c r="N6468" t="n">
        <v>91</v>
      </c>
      <c r="O6468" t="n">
        <v>0.91</v>
      </c>
      <c r="P6468" t="n">
        <v>0</v>
      </c>
      <c r="Q6468" t="n">
        <v>0.2</v>
      </c>
      <c r="R6468" t="n">
        <v>2</v>
      </c>
      <c r="S6468" t="n">
        <v>3876</v>
      </c>
      <c r="T6468" t="n">
        <v>18</v>
      </c>
      <c r="U6468" t="n">
        <v>19</v>
      </c>
      <c r="V6468" t="n">
        <v>30</v>
      </c>
      <c r="W6468" t="n">
        <v>6</v>
      </c>
      <c r="X6468" t="n">
        <v>70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10397</v>
      </c>
      <c r="AG6468" t="n">
        <v>170</v>
      </c>
      <c r="AH6468" t="inlineStr">
        <is>
          <t>PT. JALUR MANDIRI UTAMA - PPN (PDG)</t>
        </is>
      </c>
      <c r="AI6468" t="n">
        <v>170</v>
      </c>
      <c r="AJ6468" t="inlineStr">
        <is>
          <t>YOU</t>
        </is>
      </c>
      <c r="AK6468" t="n">
        <v>21</v>
      </c>
      <c r="AL6468" t="inlineStr">
        <is>
          <t>Miss Glam Damar</t>
        </is>
      </c>
      <c r="AM6468" t="n">
        <v>1</v>
      </c>
      <c r="AN6468" t="n">
        <v>500000</v>
      </c>
      <c r="AO6468" t="n">
        <v>0</v>
      </c>
      <c r="AP6468" t="inlineStr"/>
      <c r="AQ6468" t="inlineStr"/>
    </row>
    <row r="6469">
      <c r="A6469" t="inlineStr">
        <is>
          <t>YOU</t>
        </is>
      </c>
      <c r="B6469" s="2">
        <f>"101001116620"</f>
        <v/>
      </c>
      <c r="C6469" t="inlineStr">
        <is>
          <t>YOU Hy! Amino+ 1.5% Bha Fight Acne Gel Cleanser  100gr</t>
        </is>
      </c>
      <c r="D6469" t="inlineStr">
        <is>
          <t>Miss Glam Damar</t>
        </is>
      </c>
      <c r="E6469" t="n">
        <v>51</v>
      </c>
      <c r="F6469" t="n">
        <v>0.0273</v>
      </c>
      <c r="G6469" t="n">
        <v>0.91</v>
      </c>
      <c r="H6469" t="n">
        <v>2</v>
      </c>
      <c r="I6469" t="n">
        <v>9</v>
      </c>
      <c r="J6469" t="n">
        <v>1</v>
      </c>
      <c r="K6469" t="n">
        <v>0</v>
      </c>
      <c r="L6469" t="n">
        <v>27920</v>
      </c>
      <c r="M6469" t="n">
        <v>34900</v>
      </c>
      <c r="N6469" t="n">
        <v>91</v>
      </c>
      <c r="O6469" t="n">
        <v>0.91</v>
      </c>
      <c r="P6469" t="n">
        <v>1</v>
      </c>
      <c r="Q6469" t="n">
        <v>0.36</v>
      </c>
      <c r="R6469" t="n">
        <v>5</v>
      </c>
      <c r="S6469" t="n">
        <v>952.7700000000001</v>
      </c>
      <c r="T6469" t="n">
        <v>9</v>
      </c>
      <c r="U6469" t="n">
        <v>10</v>
      </c>
      <c r="V6469" t="n">
        <v>30</v>
      </c>
      <c r="W6469" t="n">
        <v>1</v>
      </c>
      <c r="X6469" t="n">
        <v>1868.131868131868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10397</v>
      </c>
      <c r="AG6469" t="n">
        <v>170</v>
      </c>
      <c r="AH6469" t="inlineStr">
        <is>
          <t>PT. JALUR MANDIRI UTAMA - PPN (PDG)</t>
        </is>
      </c>
      <c r="AI6469" t="n">
        <v>170</v>
      </c>
      <c r="AJ6469" t="inlineStr">
        <is>
          <t>YOU</t>
        </is>
      </c>
      <c r="AK6469" t="n">
        <v>21</v>
      </c>
      <c r="AL6469" t="inlineStr">
        <is>
          <t>Miss Glam Damar</t>
        </is>
      </c>
      <c r="AM6469" t="n">
        <v>1</v>
      </c>
      <c r="AN6469" t="n">
        <v>500000</v>
      </c>
      <c r="AO6469" t="n">
        <v>0</v>
      </c>
      <c r="AP6469" t="inlineStr"/>
      <c r="AQ6469" t="inlineStr"/>
    </row>
    <row r="6470">
      <c r="A6470" t="inlineStr">
        <is>
          <t>YOU</t>
        </is>
      </c>
      <c r="B6470" s="2">
        <f>"101001116728"</f>
        <v/>
      </c>
      <c r="C6470" t="inlineStr">
        <is>
          <t>YOU Hy! Amino+ 2% Niacinamide Brightening Gentle Cleanser  100gr</t>
        </is>
      </c>
      <c r="D6470" t="inlineStr">
        <is>
          <t>Miss Glam Damar</t>
        </is>
      </c>
      <c r="E6470" t="n">
        <v>39</v>
      </c>
      <c r="F6470" t="n">
        <v>0.1274</v>
      </c>
      <c r="G6470" t="n">
        <v>1.82</v>
      </c>
      <c r="H6470" t="n">
        <v>2</v>
      </c>
      <c r="I6470" t="n">
        <v>9</v>
      </c>
      <c r="J6470" t="n">
        <v>1</v>
      </c>
      <c r="K6470" t="n">
        <v>0</v>
      </c>
      <c r="L6470" t="n">
        <v>27920</v>
      </c>
      <c r="M6470" t="n">
        <v>34900</v>
      </c>
      <c r="N6470" t="n">
        <v>91</v>
      </c>
      <c r="O6470" t="n">
        <v>0.91</v>
      </c>
      <c r="P6470" t="n">
        <v>1</v>
      </c>
      <c r="Q6470" t="n">
        <v>0.15</v>
      </c>
      <c r="R6470" t="n">
        <v>2</v>
      </c>
      <c r="S6470" t="n">
        <v>4446.26</v>
      </c>
      <c r="T6470" t="n">
        <v>17</v>
      </c>
      <c r="U6470" t="n">
        <v>18</v>
      </c>
      <c r="V6470" t="n">
        <v>30</v>
      </c>
      <c r="W6470" t="n">
        <v>4</v>
      </c>
      <c r="X6470" t="n">
        <v>306.1224489795918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10397</v>
      </c>
      <c r="AG6470" t="n">
        <v>170</v>
      </c>
      <c r="AH6470" t="inlineStr">
        <is>
          <t>PT. JALUR MANDIRI UTAMA - PPN (PDG)</t>
        </is>
      </c>
      <c r="AI6470" t="n">
        <v>170</v>
      </c>
      <c r="AJ6470" t="inlineStr">
        <is>
          <t>YOU</t>
        </is>
      </c>
      <c r="AK6470" t="n">
        <v>21</v>
      </c>
      <c r="AL6470" t="inlineStr">
        <is>
          <t>Miss Glam Damar</t>
        </is>
      </c>
      <c r="AM6470" t="n">
        <v>1</v>
      </c>
      <c r="AN6470" t="n">
        <v>500000</v>
      </c>
      <c r="AO6470" t="n">
        <v>0</v>
      </c>
      <c r="AP6470" t="inlineStr"/>
      <c r="AQ6470" t="inlineStr"/>
    </row>
    <row r="6471">
      <c r="A6471" t="inlineStr">
        <is>
          <t>YOU</t>
        </is>
      </c>
      <c r="B6471" s="2">
        <f>"8997227898508"</f>
        <v/>
      </c>
      <c r="C6471" t="inlineStr">
        <is>
          <t>YOU Lashboom Ultra Volume Mascara 8gr</t>
        </is>
      </c>
      <c r="D6471" t="inlineStr">
        <is>
          <t>Miss Glam Damar</t>
        </is>
      </c>
      <c r="E6471" t="n">
        <v>15</v>
      </c>
      <c r="F6471" t="n">
        <v>0.7553</v>
      </c>
      <c r="G6471" t="n">
        <v>11.83</v>
      </c>
      <c r="H6471" t="n">
        <v>2</v>
      </c>
      <c r="I6471" t="n">
        <v>9</v>
      </c>
      <c r="J6471" t="n">
        <v>3</v>
      </c>
      <c r="K6471" t="n">
        <v>0</v>
      </c>
      <c r="L6471" t="n">
        <v>61520</v>
      </c>
      <c r="M6471" t="n">
        <v>76900</v>
      </c>
      <c r="N6471" t="n">
        <v>91</v>
      </c>
      <c r="O6471" t="n">
        <v>0.91</v>
      </c>
      <c r="P6471" t="n">
        <v>1</v>
      </c>
      <c r="Q6471" t="n">
        <v>1.44</v>
      </c>
      <c r="R6471" t="n">
        <v>6</v>
      </c>
      <c r="S6471" t="n">
        <v>58082.57</v>
      </c>
      <c r="T6471" t="n">
        <v>105</v>
      </c>
      <c r="U6471" t="n">
        <v>107</v>
      </c>
      <c r="V6471" t="n">
        <v>30</v>
      </c>
      <c r="W6471" t="n">
        <v>23</v>
      </c>
      <c r="X6471" t="n">
        <v>19.85965841387528</v>
      </c>
      <c r="Y6471" t="n">
        <v>1</v>
      </c>
      <c r="Z6471" t="n">
        <v>8</v>
      </c>
      <c r="AA6471" t="n">
        <v>0</v>
      </c>
      <c r="AB6471" t="n">
        <v>8</v>
      </c>
      <c r="AC6471" t="n">
        <v>8</v>
      </c>
      <c r="AD6471" t="n">
        <v>0</v>
      </c>
      <c r="AE6471" t="n">
        <v>492160</v>
      </c>
      <c r="AF6471" t="n">
        <v>10397</v>
      </c>
      <c r="AG6471" t="n">
        <v>170</v>
      </c>
      <c r="AH6471" t="inlineStr">
        <is>
          <t>PT. JALUR MANDIRI UTAMA - PPN (PDG)</t>
        </is>
      </c>
      <c r="AI6471" t="n">
        <v>170</v>
      </c>
      <c r="AJ6471" t="inlineStr">
        <is>
          <t>YOU</t>
        </is>
      </c>
      <c r="AK6471" t="n">
        <v>21</v>
      </c>
      <c r="AL6471" t="inlineStr">
        <is>
          <t>Miss Glam Damar</t>
        </is>
      </c>
      <c r="AM6471" t="n">
        <v>1</v>
      </c>
      <c r="AN6471" t="n">
        <v>500000</v>
      </c>
      <c r="AO6471" t="n">
        <v>0</v>
      </c>
      <c r="AP6471" t="inlineStr"/>
      <c r="AQ6471" t="inlineStr"/>
    </row>
    <row r="6472">
      <c r="A6472" t="inlineStr">
        <is>
          <t>YOU</t>
        </is>
      </c>
      <c r="B6472" s="2">
        <f>"8991748010760"</f>
        <v/>
      </c>
      <c r="C6472" t="inlineStr">
        <is>
          <t>YOU Lashtension Enhancing Fiber Mascara 9gr</t>
        </is>
      </c>
      <c r="D6472" t="inlineStr">
        <is>
          <t>Miss Glam Damar</t>
        </is>
      </c>
      <c r="E6472" t="n">
        <v>8</v>
      </c>
      <c r="F6472" t="n">
        <v>0.4641</v>
      </c>
      <c r="G6472" t="n">
        <v>1.82</v>
      </c>
      <c r="H6472" t="n">
        <v>2</v>
      </c>
      <c r="I6472" t="n">
        <v>9</v>
      </c>
      <c r="J6472" t="n">
        <v>3</v>
      </c>
      <c r="K6472" t="n">
        <v>0</v>
      </c>
      <c r="L6472" t="n">
        <v>43920</v>
      </c>
      <c r="M6472" t="n">
        <v>54900</v>
      </c>
      <c r="N6472" t="n">
        <v>91</v>
      </c>
      <c r="O6472" t="n">
        <v>0.91</v>
      </c>
      <c r="P6472" t="n">
        <v>1</v>
      </c>
      <c r="Q6472" t="n">
        <v>0.12</v>
      </c>
      <c r="R6472" t="n">
        <v>1</v>
      </c>
      <c r="S6472" t="n">
        <v>25479.09</v>
      </c>
      <c r="T6472" t="n">
        <v>16</v>
      </c>
      <c r="U6472" t="n">
        <v>17</v>
      </c>
      <c r="V6472" t="n">
        <v>30</v>
      </c>
      <c r="W6472" t="n">
        <v>14</v>
      </c>
      <c r="X6472" t="n">
        <v>17.23766429648783</v>
      </c>
      <c r="Y6472" t="n">
        <v>1</v>
      </c>
      <c r="Z6472" t="n">
        <v>6</v>
      </c>
      <c r="AA6472" t="n">
        <v>0</v>
      </c>
      <c r="AB6472" t="n">
        <v>6</v>
      </c>
      <c r="AC6472" t="n">
        <v>6</v>
      </c>
      <c r="AD6472" t="n">
        <v>0</v>
      </c>
      <c r="AE6472" t="n">
        <v>263520</v>
      </c>
      <c r="AF6472" t="n">
        <v>10397</v>
      </c>
      <c r="AG6472" t="n">
        <v>170</v>
      </c>
      <c r="AH6472" t="inlineStr">
        <is>
          <t>PT. JALUR MANDIRI UTAMA - PPN (PDG)</t>
        </is>
      </c>
      <c r="AI6472" t="n">
        <v>170</v>
      </c>
      <c r="AJ6472" t="inlineStr">
        <is>
          <t>YOU</t>
        </is>
      </c>
      <c r="AK6472" t="n">
        <v>21</v>
      </c>
      <c r="AL6472" t="inlineStr">
        <is>
          <t>Miss Glam Damar</t>
        </is>
      </c>
      <c r="AM6472" t="n">
        <v>1</v>
      </c>
      <c r="AN6472" t="n">
        <v>500000</v>
      </c>
      <c r="AO6472" t="n">
        <v>0</v>
      </c>
      <c r="AP6472" t="inlineStr"/>
      <c r="AQ6472" t="inlineStr"/>
    </row>
    <row r="6473">
      <c r="A6473" t="inlineStr">
        <is>
          <t>YOU</t>
        </is>
      </c>
      <c r="B6473" s="2">
        <f>"8997227894159"</f>
        <v/>
      </c>
      <c r="C6473" t="inlineStr">
        <is>
          <t>YOU Noutriwear + Airy Fit Loose Powder C302 Classic Ivory 15gr</t>
        </is>
      </c>
      <c r="D6473" t="inlineStr">
        <is>
          <t>Miss Glam Damar</t>
        </is>
      </c>
      <c r="E6473" t="n">
        <v>53</v>
      </c>
      <c r="F6473" t="n">
        <v>0.8918</v>
      </c>
      <c r="G6473" t="n">
        <v>2.73</v>
      </c>
      <c r="H6473" t="n">
        <v>2</v>
      </c>
      <c r="I6473" t="n">
        <v>9</v>
      </c>
      <c r="J6473" t="n">
        <v>3</v>
      </c>
      <c r="K6473" t="n">
        <v>0</v>
      </c>
      <c r="L6473" t="n">
        <v>55120</v>
      </c>
      <c r="M6473" t="n">
        <v>68900</v>
      </c>
      <c r="N6473" t="n">
        <v>91</v>
      </c>
      <c r="O6473" t="n">
        <v>0.91</v>
      </c>
      <c r="P6473" t="n">
        <v>1</v>
      </c>
      <c r="Q6473" t="n">
        <v>0.51</v>
      </c>
      <c r="R6473" t="n">
        <v>4</v>
      </c>
      <c r="S6473" t="n">
        <v>61445.02</v>
      </c>
      <c r="T6473" t="n">
        <v>23</v>
      </c>
      <c r="U6473" t="n">
        <v>25</v>
      </c>
      <c r="V6473" t="n">
        <v>30</v>
      </c>
      <c r="W6473" t="n">
        <v>27</v>
      </c>
      <c r="X6473" t="n">
        <v>59.43036555281453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10397</v>
      </c>
      <c r="AG6473" t="n">
        <v>170</v>
      </c>
      <c r="AH6473" t="inlineStr">
        <is>
          <t>PT. JALUR MANDIRI UTAMA - PPN (PDG)</t>
        </is>
      </c>
      <c r="AI6473" t="n">
        <v>170</v>
      </c>
      <c r="AJ6473" t="inlineStr">
        <is>
          <t>YOU</t>
        </is>
      </c>
      <c r="AK6473" t="n">
        <v>21</v>
      </c>
      <c r="AL6473" t="inlineStr">
        <is>
          <t>Miss Glam Damar</t>
        </is>
      </c>
      <c r="AM6473" t="n">
        <v>1</v>
      </c>
      <c r="AN6473" t="n">
        <v>500000</v>
      </c>
      <c r="AO6473" t="n">
        <v>0</v>
      </c>
      <c r="AP6473" t="inlineStr"/>
      <c r="AQ6473" t="inlineStr"/>
    </row>
    <row r="6474">
      <c r="A6474" t="inlineStr">
        <is>
          <t>YOU</t>
        </is>
      </c>
      <c r="B6474" s="2">
        <f>"8997227894463"</f>
        <v/>
      </c>
      <c r="C6474" t="inlineStr">
        <is>
          <t>YOU Noutriwear + Airy Fit Loose Powder N507 Shell Beige 15g</t>
        </is>
      </c>
      <c r="D6474" t="inlineStr">
        <is>
          <t>Miss Glam Damar</t>
        </is>
      </c>
      <c r="E6474" t="n">
        <v>32</v>
      </c>
      <c r="F6474" t="n">
        <v>0.5277999999999999</v>
      </c>
      <c r="G6474" t="n">
        <v>2.73</v>
      </c>
      <c r="H6474" t="n">
        <v>2</v>
      </c>
      <c r="I6474" t="n">
        <v>9</v>
      </c>
      <c r="J6474" t="n">
        <v>3</v>
      </c>
      <c r="K6474" t="n">
        <v>0</v>
      </c>
      <c r="L6474" t="n">
        <v>55120</v>
      </c>
      <c r="M6474" t="n">
        <v>68900</v>
      </c>
      <c r="N6474" t="n">
        <v>91</v>
      </c>
      <c r="O6474" t="n">
        <v>0.91</v>
      </c>
      <c r="P6474" t="n">
        <v>1</v>
      </c>
      <c r="Q6474" t="n">
        <v>0.31</v>
      </c>
      <c r="R6474" t="n">
        <v>3</v>
      </c>
      <c r="S6474" t="n">
        <v>36365.42</v>
      </c>
      <c r="T6474" t="n">
        <v>24</v>
      </c>
      <c r="U6474" t="n">
        <v>26</v>
      </c>
      <c r="V6474" t="n">
        <v>30</v>
      </c>
      <c r="W6474" t="n">
        <v>16</v>
      </c>
      <c r="X6474" t="n">
        <v>60.62902614626753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10397</v>
      </c>
      <c r="AG6474" t="n">
        <v>170</v>
      </c>
      <c r="AH6474" t="inlineStr">
        <is>
          <t>PT. JALUR MANDIRI UTAMA - PPN (PDG)</t>
        </is>
      </c>
      <c r="AI6474" t="n">
        <v>170</v>
      </c>
      <c r="AJ6474" t="inlineStr">
        <is>
          <t>YOU</t>
        </is>
      </c>
      <c r="AK6474" t="n">
        <v>21</v>
      </c>
      <c r="AL6474" t="inlineStr">
        <is>
          <t>Miss Glam Damar</t>
        </is>
      </c>
      <c r="AM6474" t="n">
        <v>1</v>
      </c>
      <c r="AN6474" t="n">
        <v>500000</v>
      </c>
      <c r="AO6474" t="n">
        <v>0</v>
      </c>
      <c r="AP6474" t="inlineStr"/>
      <c r="AQ6474" t="inlineStr"/>
    </row>
    <row r="6475">
      <c r="A6475" t="inlineStr">
        <is>
          <t>YOU</t>
        </is>
      </c>
      <c r="B6475" s="2">
        <f>"8997227894166"</f>
        <v/>
      </c>
      <c r="C6475" t="inlineStr">
        <is>
          <t>YOU Noutriwear + Airy Fit Loose Powder W804 Natural Buff 15g</t>
        </is>
      </c>
      <c r="D6475" t="inlineStr">
        <is>
          <t>Miss Glam Damar</t>
        </is>
      </c>
      <c r="E6475" t="n">
        <v>46</v>
      </c>
      <c r="F6475" t="n">
        <v>0.8372000000000001</v>
      </c>
      <c r="G6475" t="n">
        <v>2.73</v>
      </c>
      <c r="H6475" t="n">
        <v>2</v>
      </c>
      <c r="I6475" t="n">
        <v>9</v>
      </c>
      <c r="J6475" t="n">
        <v>3</v>
      </c>
      <c r="K6475" t="n">
        <v>0</v>
      </c>
      <c r="L6475" t="n">
        <v>55120</v>
      </c>
      <c r="M6475" t="n">
        <v>68900</v>
      </c>
      <c r="N6475" t="n">
        <v>91</v>
      </c>
      <c r="O6475" t="n">
        <v>0.91</v>
      </c>
      <c r="P6475" t="n">
        <v>1</v>
      </c>
      <c r="Q6475" t="n">
        <v>1.22</v>
      </c>
      <c r="R6475" t="n">
        <v>9</v>
      </c>
      <c r="S6475" t="n">
        <v>57683.08</v>
      </c>
      <c r="T6475" t="n">
        <v>23</v>
      </c>
      <c r="U6475" t="n">
        <v>25</v>
      </c>
      <c r="V6475" t="n">
        <v>30</v>
      </c>
      <c r="W6475" t="n">
        <v>26</v>
      </c>
      <c r="X6475" t="n">
        <v>54.94505494505494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10397</v>
      </c>
      <c r="AG6475" t="n">
        <v>170</v>
      </c>
      <c r="AH6475" t="inlineStr">
        <is>
          <t>PT. JALUR MANDIRI UTAMA - PPN (PDG)</t>
        </is>
      </c>
      <c r="AI6475" t="n">
        <v>170</v>
      </c>
      <c r="AJ6475" t="inlineStr">
        <is>
          <t>YOU</t>
        </is>
      </c>
      <c r="AK6475" t="n">
        <v>21</v>
      </c>
      <c r="AL6475" t="inlineStr">
        <is>
          <t>Miss Glam Damar</t>
        </is>
      </c>
      <c r="AM6475" t="n">
        <v>1</v>
      </c>
      <c r="AN6475" t="n">
        <v>500000</v>
      </c>
      <c r="AO6475" t="n">
        <v>0</v>
      </c>
      <c r="AP6475" t="inlineStr"/>
      <c r="AQ6475" t="inlineStr"/>
    </row>
    <row r="6476">
      <c r="A6476" t="inlineStr">
        <is>
          <t>YOU</t>
        </is>
      </c>
      <c r="B6476" s="2">
        <f>"8997227891608"</f>
        <v/>
      </c>
      <c r="C6476" t="inlineStr">
        <is>
          <t>YOU Noutriwear + Complete Cover Concealer 08 Rich 4,5g</t>
        </is>
      </c>
      <c r="D6476" t="inlineStr">
        <is>
          <t>Miss Glam Damar</t>
        </is>
      </c>
      <c r="E6476" t="n">
        <v>3</v>
      </c>
      <c r="F6476" t="n">
        <v>0.08</v>
      </c>
      <c r="G6476" t="n">
        <v>1</v>
      </c>
      <c r="H6476" t="n">
        <v>2</v>
      </c>
      <c r="I6476" t="n">
        <v>9</v>
      </c>
      <c r="J6476" t="n">
        <v>3</v>
      </c>
      <c r="K6476" t="n">
        <v>0</v>
      </c>
      <c r="L6476" t="n">
        <v>41520</v>
      </c>
      <c r="M6476" t="n">
        <v>51900</v>
      </c>
      <c r="N6476" t="n">
        <v>91</v>
      </c>
      <c r="O6476" t="n">
        <v>0.91</v>
      </c>
      <c r="P6476" t="n">
        <v>0</v>
      </c>
      <c r="Q6476" t="n">
        <v>0.08</v>
      </c>
      <c r="R6476" t="n">
        <v>1</v>
      </c>
      <c r="S6476" t="n">
        <v>4152</v>
      </c>
      <c r="T6476" t="n">
        <v>9</v>
      </c>
      <c r="U6476" t="n">
        <v>10</v>
      </c>
      <c r="V6476" t="n">
        <v>30</v>
      </c>
      <c r="W6476" t="n">
        <v>3</v>
      </c>
      <c r="X6476" t="n">
        <v>37.5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10397</v>
      </c>
      <c r="AG6476" t="n">
        <v>170</v>
      </c>
      <c r="AH6476" t="inlineStr">
        <is>
          <t>PT. JALUR MANDIRI UTAMA - PPN (PDG)</t>
        </is>
      </c>
      <c r="AI6476" t="n">
        <v>170</v>
      </c>
      <c r="AJ6476" t="inlineStr">
        <is>
          <t>YOU</t>
        </is>
      </c>
      <c r="AK6476" t="n">
        <v>21</v>
      </c>
      <c r="AL6476" t="inlineStr">
        <is>
          <t>Miss Glam Damar</t>
        </is>
      </c>
      <c r="AM6476" t="n">
        <v>1</v>
      </c>
      <c r="AN6476" t="n">
        <v>500000</v>
      </c>
      <c r="AO6476" t="n">
        <v>0</v>
      </c>
      <c r="AP6476" t="inlineStr"/>
      <c r="AQ6476" t="inlineStr"/>
    </row>
    <row r="6477">
      <c r="A6477" t="inlineStr">
        <is>
          <t>YOU</t>
        </is>
      </c>
      <c r="B6477" s="2">
        <f>"8997227891592"</f>
        <v/>
      </c>
      <c r="C6477" t="inlineStr">
        <is>
          <t>YOU Noutriwear + Complete Cover Concealer 5 Medium 4,5g</t>
        </is>
      </c>
      <c r="D6477" t="inlineStr">
        <is>
          <t>Miss Glam Damar</t>
        </is>
      </c>
      <c r="E6477" t="n">
        <v>15</v>
      </c>
      <c r="F6477" t="n">
        <v>0.06370000000000001</v>
      </c>
      <c r="G6477" t="n">
        <v>0.91</v>
      </c>
      <c r="H6477" t="n">
        <v>2</v>
      </c>
      <c r="I6477" t="n">
        <v>9</v>
      </c>
      <c r="J6477" t="n">
        <v>3</v>
      </c>
      <c r="K6477" t="n">
        <v>0</v>
      </c>
      <c r="L6477" t="n">
        <v>41520</v>
      </c>
      <c r="M6477" t="n">
        <v>51900</v>
      </c>
      <c r="N6477" t="n">
        <v>91</v>
      </c>
      <c r="O6477" t="n">
        <v>0.91</v>
      </c>
      <c r="P6477" t="n">
        <v>1</v>
      </c>
      <c r="Q6477" t="n">
        <v>0.46</v>
      </c>
      <c r="R6477" t="n">
        <v>2</v>
      </c>
      <c r="S6477" t="n">
        <v>3306.03</v>
      </c>
      <c r="T6477" t="n">
        <v>9</v>
      </c>
      <c r="U6477" t="n">
        <v>10</v>
      </c>
      <c r="V6477" t="n">
        <v>30</v>
      </c>
      <c r="W6477" t="n">
        <v>2</v>
      </c>
      <c r="X6477" t="n">
        <v>235.4788069073783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10397</v>
      </c>
      <c r="AG6477" t="n">
        <v>170</v>
      </c>
      <c r="AH6477" t="inlineStr">
        <is>
          <t>PT. JALUR MANDIRI UTAMA - PPN (PDG)</t>
        </is>
      </c>
      <c r="AI6477" t="n">
        <v>170</v>
      </c>
      <c r="AJ6477" t="inlineStr">
        <is>
          <t>YOU</t>
        </is>
      </c>
      <c r="AK6477" t="n">
        <v>21</v>
      </c>
      <c r="AL6477" t="inlineStr">
        <is>
          <t>Miss Glam Damar</t>
        </is>
      </c>
      <c r="AM6477" t="n">
        <v>1</v>
      </c>
      <c r="AN6477" t="n">
        <v>500000</v>
      </c>
      <c r="AO6477" t="n">
        <v>0</v>
      </c>
      <c r="AP6477" t="inlineStr"/>
      <c r="AQ6477" t="inlineStr"/>
    </row>
    <row r="6478">
      <c r="A6478" t="inlineStr">
        <is>
          <t>YOU</t>
        </is>
      </c>
      <c r="B6478" s="2">
        <f>"8997227896351"</f>
        <v/>
      </c>
      <c r="C6478" t="inlineStr">
        <is>
          <t>YOU Noutriwear + Flawless Cushion Foundation N508 Medium Beige 10gr</t>
        </is>
      </c>
      <c r="D6478" t="inlineStr">
        <is>
          <t>Miss Glam Damar</t>
        </is>
      </c>
      <c r="E6478" t="n">
        <v>52</v>
      </c>
      <c r="F6478" t="n">
        <v>0.06370000000000001</v>
      </c>
      <c r="G6478" t="n">
        <v>0.91</v>
      </c>
      <c r="H6478" t="n">
        <v>2</v>
      </c>
      <c r="I6478" t="n">
        <v>9</v>
      </c>
      <c r="J6478" t="n">
        <v>3</v>
      </c>
      <c r="K6478" t="n">
        <v>0</v>
      </c>
      <c r="L6478" t="n">
        <v>119920</v>
      </c>
      <c r="M6478" t="n">
        <v>149900</v>
      </c>
      <c r="N6478" t="n">
        <v>91</v>
      </c>
      <c r="O6478" t="n">
        <v>0.91</v>
      </c>
      <c r="P6478" t="n">
        <v>1</v>
      </c>
      <c r="Q6478" t="n">
        <v>0.05</v>
      </c>
      <c r="R6478" t="n">
        <v>1</v>
      </c>
      <c r="S6478" t="n">
        <v>9548.630000000001</v>
      </c>
      <c r="T6478" t="n">
        <v>9</v>
      </c>
      <c r="U6478" t="n">
        <v>10</v>
      </c>
      <c r="V6478" t="n">
        <v>30</v>
      </c>
      <c r="W6478" t="n">
        <v>2</v>
      </c>
      <c r="X6478" t="n">
        <v>816.3265306122448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10397</v>
      </c>
      <c r="AG6478" t="n">
        <v>170</v>
      </c>
      <c r="AH6478" t="inlineStr">
        <is>
          <t>PT. JALUR MANDIRI UTAMA - PPN (PDG)</t>
        </is>
      </c>
      <c r="AI6478" t="n">
        <v>170</v>
      </c>
      <c r="AJ6478" t="inlineStr">
        <is>
          <t>YOU</t>
        </is>
      </c>
      <c r="AK6478" t="n">
        <v>21</v>
      </c>
      <c r="AL6478" t="inlineStr">
        <is>
          <t>Miss Glam Damar</t>
        </is>
      </c>
      <c r="AM6478" t="n">
        <v>1</v>
      </c>
      <c r="AN6478" t="n">
        <v>500000</v>
      </c>
      <c r="AO6478" t="n">
        <v>0</v>
      </c>
      <c r="AP6478" t="inlineStr"/>
      <c r="AQ6478" t="inlineStr"/>
    </row>
    <row r="6479">
      <c r="A6479" t="inlineStr">
        <is>
          <t>YOU</t>
        </is>
      </c>
      <c r="B6479" s="2">
        <f>"8997227896320"</f>
        <v/>
      </c>
      <c r="C6479" t="inlineStr">
        <is>
          <t>YOU Noutriwear + Flawless Cushion Foundation W703 Warm Ivory 11g</t>
        </is>
      </c>
      <c r="D6479" t="inlineStr">
        <is>
          <t>Miss Glam Damar</t>
        </is>
      </c>
      <c r="E6479" t="n">
        <v>17</v>
      </c>
      <c r="F6479" t="n">
        <v>0.0273</v>
      </c>
      <c r="G6479" t="n">
        <v>0.91</v>
      </c>
      <c r="H6479" t="n">
        <v>2</v>
      </c>
      <c r="I6479" t="n">
        <v>9</v>
      </c>
      <c r="J6479" t="n">
        <v>3</v>
      </c>
      <c r="K6479" t="n">
        <v>0</v>
      </c>
      <c r="L6479" t="n">
        <v>119920</v>
      </c>
      <c r="M6479" t="n">
        <v>149900</v>
      </c>
      <c r="N6479" t="n">
        <v>91</v>
      </c>
      <c r="O6479" t="n">
        <v>0.91</v>
      </c>
      <c r="P6479" t="n">
        <v>1</v>
      </c>
      <c r="Q6479" t="n">
        <v>0.1</v>
      </c>
      <c r="R6479" t="n">
        <v>2</v>
      </c>
      <c r="S6479" t="n">
        <v>4092.27</v>
      </c>
      <c r="T6479" t="n">
        <v>9</v>
      </c>
      <c r="U6479" t="n">
        <v>10</v>
      </c>
      <c r="V6479" t="n">
        <v>30</v>
      </c>
      <c r="W6479" t="n">
        <v>1</v>
      </c>
      <c r="X6479" t="n">
        <v>622.7106227106227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10397</v>
      </c>
      <c r="AG6479" t="n">
        <v>170</v>
      </c>
      <c r="AH6479" t="inlineStr">
        <is>
          <t>PT. JALUR MANDIRI UTAMA - PPN (PDG)</t>
        </is>
      </c>
      <c r="AI6479" t="n">
        <v>170</v>
      </c>
      <c r="AJ6479" t="inlineStr">
        <is>
          <t>YOU</t>
        </is>
      </c>
      <c r="AK6479" t="n">
        <v>21</v>
      </c>
      <c r="AL6479" t="inlineStr">
        <is>
          <t>Miss Glam Damar</t>
        </is>
      </c>
      <c r="AM6479" t="n">
        <v>1</v>
      </c>
      <c r="AN6479" t="n">
        <v>500000</v>
      </c>
      <c r="AO6479" t="n">
        <v>0</v>
      </c>
      <c r="AP6479" t="inlineStr"/>
      <c r="AQ6479" t="inlineStr"/>
    </row>
    <row r="6480">
      <c r="A6480" t="inlineStr">
        <is>
          <t>YOU</t>
        </is>
      </c>
      <c r="B6480" s="2">
        <f>"8997227896344"</f>
        <v/>
      </c>
      <c r="C6480" t="inlineStr">
        <is>
          <t>YOU Noutriwear + Flawless Cushion Foundation W805 Yellow Beige 11g</t>
        </is>
      </c>
      <c r="D6480" t="inlineStr">
        <is>
          <t>Miss Glam Damar</t>
        </is>
      </c>
      <c r="E6480" t="n">
        <v>4</v>
      </c>
      <c r="F6480" t="n">
        <v>0.0273</v>
      </c>
      <c r="G6480" t="n">
        <v>0.91</v>
      </c>
      <c r="H6480" t="n">
        <v>2</v>
      </c>
      <c r="I6480" t="n">
        <v>9</v>
      </c>
      <c r="J6480" t="n">
        <v>3</v>
      </c>
      <c r="K6480" t="n">
        <v>0</v>
      </c>
      <c r="L6480" t="n">
        <v>119920</v>
      </c>
      <c r="M6480" t="n">
        <v>149900</v>
      </c>
      <c r="N6480" t="n">
        <v>91</v>
      </c>
      <c r="O6480" t="n">
        <v>0.91</v>
      </c>
      <c r="P6480" t="n">
        <v>1</v>
      </c>
      <c r="Q6480" t="n">
        <v>0.03</v>
      </c>
      <c r="R6480" t="n">
        <v>1</v>
      </c>
      <c r="S6480" t="n">
        <v>4092.27</v>
      </c>
      <c r="T6480" t="n">
        <v>9</v>
      </c>
      <c r="U6480" t="n">
        <v>10</v>
      </c>
      <c r="V6480" t="n">
        <v>30</v>
      </c>
      <c r="W6480" t="n">
        <v>1</v>
      </c>
      <c r="X6480" t="n">
        <v>146.5201465201465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10397</v>
      </c>
      <c r="AG6480" t="n">
        <v>170</v>
      </c>
      <c r="AH6480" t="inlineStr">
        <is>
          <t>PT. JALUR MANDIRI UTAMA - PPN (PDG)</t>
        </is>
      </c>
      <c r="AI6480" t="n">
        <v>170</v>
      </c>
      <c r="AJ6480" t="inlineStr">
        <is>
          <t>YOU</t>
        </is>
      </c>
      <c r="AK6480" t="n">
        <v>21</v>
      </c>
      <c r="AL6480" t="inlineStr">
        <is>
          <t>Miss Glam Damar</t>
        </is>
      </c>
      <c r="AM6480" t="n">
        <v>1</v>
      </c>
      <c r="AN6480" t="n">
        <v>500000</v>
      </c>
      <c r="AO6480" t="n">
        <v>0</v>
      </c>
      <c r="AP6480" t="inlineStr"/>
      <c r="AQ6480" t="inlineStr"/>
    </row>
    <row r="6481">
      <c r="A6481" t="inlineStr">
        <is>
          <t>YOU</t>
        </is>
      </c>
      <c r="B6481" s="2">
        <f>"8997227891615"</f>
        <v/>
      </c>
      <c r="C6481" t="inlineStr">
        <is>
          <t>YOU Noutriwear + Makeup Stay Lock Mist 55ml</t>
        </is>
      </c>
      <c r="D6481" t="inlineStr">
        <is>
          <t>Miss Glam Damar</t>
        </is>
      </c>
      <c r="E6481" t="n">
        <v>103</v>
      </c>
      <c r="F6481" t="n">
        <v>0.1547</v>
      </c>
      <c r="G6481" t="n">
        <v>0.91</v>
      </c>
      <c r="H6481" t="n">
        <v>2</v>
      </c>
      <c r="I6481" t="n">
        <v>9</v>
      </c>
      <c r="J6481" t="n">
        <v>3</v>
      </c>
      <c r="K6481" t="n">
        <v>0</v>
      </c>
      <c r="L6481" t="n">
        <v>43920</v>
      </c>
      <c r="M6481" t="n">
        <v>54900</v>
      </c>
      <c r="N6481" t="n">
        <v>91</v>
      </c>
      <c r="O6481" t="n">
        <v>0.91</v>
      </c>
      <c r="P6481" t="n">
        <v>1</v>
      </c>
      <c r="Q6481" t="n">
        <v>0.14</v>
      </c>
      <c r="R6481" t="n">
        <v>2</v>
      </c>
      <c r="S6481" t="n">
        <v>8493.030000000001</v>
      </c>
      <c r="T6481" t="n">
        <v>8</v>
      </c>
      <c r="U6481" t="n">
        <v>9</v>
      </c>
      <c r="V6481" t="n">
        <v>30</v>
      </c>
      <c r="W6481" t="n">
        <v>5</v>
      </c>
      <c r="X6481" t="n">
        <v>665.8047834518422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10397</v>
      </c>
      <c r="AG6481" t="n">
        <v>170</v>
      </c>
      <c r="AH6481" t="inlineStr">
        <is>
          <t>PT. JALUR MANDIRI UTAMA - PPN (PDG)</t>
        </is>
      </c>
      <c r="AI6481" t="n">
        <v>170</v>
      </c>
      <c r="AJ6481" t="inlineStr">
        <is>
          <t>YOU</t>
        </is>
      </c>
      <c r="AK6481" t="n">
        <v>21</v>
      </c>
      <c r="AL6481" t="inlineStr">
        <is>
          <t>Miss Glam Damar</t>
        </is>
      </c>
      <c r="AM6481" t="n">
        <v>1</v>
      </c>
      <c r="AN6481" t="n">
        <v>500000</v>
      </c>
      <c r="AO6481" t="n">
        <v>0</v>
      </c>
      <c r="AP6481" t="inlineStr"/>
      <c r="AQ6481" t="inlineStr"/>
    </row>
    <row r="6482">
      <c r="A6482" t="inlineStr">
        <is>
          <t>YOU</t>
        </is>
      </c>
      <c r="B6482" s="2">
        <f>"8997227891578"</f>
        <v/>
      </c>
      <c r="C6482" t="inlineStr">
        <is>
          <t>YOU Noutriwear + Silky Pressed Foundation N508 Medium Beige 7g</t>
        </is>
      </c>
      <c r="D6482" t="inlineStr">
        <is>
          <t>Miss Glam Damar</t>
        </is>
      </c>
      <c r="E6482" t="n">
        <v>2</v>
      </c>
      <c r="F6482" t="n">
        <v>0.09100000000000001</v>
      </c>
      <c r="G6482" t="n">
        <v>0.91</v>
      </c>
      <c r="H6482" t="n">
        <v>2</v>
      </c>
      <c r="I6482" t="n">
        <v>9</v>
      </c>
      <c r="J6482" t="n">
        <v>3</v>
      </c>
      <c r="K6482" t="n">
        <v>0</v>
      </c>
      <c r="L6482" t="n">
        <v>78320</v>
      </c>
      <c r="M6482" t="n">
        <v>97900</v>
      </c>
      <c r="N6482" t="n">
        <v>91</v>
      </c>
      <c r="O6482" t="n">
        <v>0.91</v>
      </c>
      <c r="P6482" t="n">
        <v>1</v>
      </c>
      <c r="Q6482" t="n">
        <v>0.14</v>
      </c>
      <c r="R6482" t="n">
        <v>1</v>
      </c>
      <c r="S6482" t="n">
        <v>8908.900000000001</v>
      </c>
      <c r="T6482" t="n">
        <v>9</v>
      </c>
      <c r="U6482" t="n">
        <v>10</v>
      </c>
      <c r="V6482" t="n">
        <v>30</v>
      </c>
      <c r="W6482" t="n">
        <v>3</v>
      </c>
      <c r="X6482" t="n">
        <v>21.97802197802197</v>
      </c>
      <c r="Y6482" t="n">
        <v>1</v>
      </c>
      <c r="Z6482" t="n">
        <v>1</v>
      </c>
      <c r="AA6482" t="n">
        <v>0</v>
      </c>
      <c r="AB6482" t="n">
        <v>1</v>
      </c>
      <c r="AC6482" t="n">
        <v>3</v>
      </c>
      <c r="AD6482" t="n">
        <v>0</v>
      </c>
      <c r="AE6482" t="n">
        <v>234960</v>
      </c>
      <c r="AF6482" t="n">
        <v>10397</v>
      </c>
      <c r="AG6482" t="n">
        <v>170</v>
      </c>
      <c r="AH6482" t="inlineStr">
        <is>
          <t>PT. JALUR MANDIRI UTAMA - PPN (PDG)</t>
        </is>
      </c>
      <c r="AI6482" t="n">
        <v>170</v>
      </c>
      <c r="AJ6482" t="inlineStr">
        <is>
          <t>YOU</t>
        </is>
      </c>
      <c r="AK6482" t="n">
        <v>21</v>
      </c>
      <c r="AL6482" t="inlineStr">
        <is>
          <t>Miss Glam Damar</t>
        </is>
      </c>
      <c r="AM6482" t="n">
        <v>1</v>
      </c>
      <c r="AN6482" t="n">
        <v>500000</v>
      </c>
      <c r="AO6482" t="n">
        <v>0</v>
      </c>
      <c r="AP6482" t="inlineStr"/>
      <c r="AQ6482" t="inlineStr"/>
    </row>
    <row r="6483">
      <c r="A6483" t="inlineStr">
        <is>
          <t>YOU</t>
        </is>
      </c>
      <c r="B6483" s="2">
        <f>"8997227896252"</f>
        <v/>
      </c>
      <c r="C6483" t="inlineStr">
        <is>
          <t>YOU Noutriwear + Velvet Liquid Foundation W805 Yellow Beige 20ml</t>
        </is>
      </c>
      <c r="D6483" t="inlineStr">
        <is>
          <t>Miss Glam Damar</t>
        </is>
      </c>
      <c r="E6483" t="n">
        <v>26</v>
      </c>
      <c r="F6483" t="n">
        <v>0.06370000000000001</v>
      </c>
      <c r="G6483" t="n">
        <v>0.91</v>
      </c>
      <c r="H6483" t="n">
        <v>2</v>
      </c>
      <c r="I6483" t="n">
        <v>9</v>
      </c>
      <c r="J6483" t="n">
        <v>3</v>
      </c>
      <c r="K6483" t="n">
        <v>0</v>
      </c>
      <c r="L6483" t="n">
        <v>78320</v>
      </c>
      <c r="M6483" t="n">
        <v>97900</v>
      </c>
      <c r="N6483" t="n">
        <v>91</v>
      </c>
      <c r="O6483" t="n">
        <v>0.91</v>
      </c>
      <c r="P6483" t="n">
        <v>1</v>
      </c>
      <c r="Q6483" t="n">
        <v>0.02</v>
      </c>
      <c r="R6483" t="n">
        <v>1</v>
      </c>
      <c r="S6483" t="n">
        <v>6236.23</v>
      </c>
      <c r="T6483" t="n">
        <v>9</v>
      </c>
      <c r="U6483" t="n">
        <v>10</v>
      </c>
      <c r="V6483" t="n">
        <v>30</v>
      </c>
      <c r="W6483" t="n">
        <v>2</v>
      </c>
      <c r="X6483" t="n">
        <v>408.1632653061224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10397</v>
      </c>
      <c r="AG6483" t="n">
        <v>170</v>
      </c>
      <c r="AH6483" t="inlineStr">
        <is>
          <t>PT. JALUR MANDIRI UTAMA - PPN (PDG)</t>
        </is>
      </c>
      <c r="AI6483" t="n">
        <v>170</v>
      </c>
      <c r="AJ6483" t="inlineStr">
        <is>
          <t>YOU</t>
        </is>
      </c>
      <c r="AK6483" t="n">
        <v>21</v>
      </c>
      <c r="AL6483" t="inlineStr">
        <is>
          <t>Miss Glam Damar</t>
        </is>
      </c>
      <c r="AM6483" t="n">
        <v>1</v>
      </c>
      <c r="AN6483" t="n">
        <v>500000</v>
      </c>
      <c r="AO6483" t="n">
        <v>0</v>
      </c>
      <c r="AP6483" t="inlineStr"/>
      <c r="AQ6483" t="inlineStr"/>
    </row>
    <row r="6484">
      <c r="A6484" t="inlineStr">
        <is>
          <t>YOU</t>
        </is>
      </c>
      <c r="B6484" s="2">
        <f>"8997227896337"</f>
        <v/>
      </c>
      <c r="C6484" t="inlineStr">
        <is>
          <t>YOU Noutriwear Flawless Cushion Foundation C034 Pink Nude 11gr</t>
        </is>
      </c>
      <c r="D6484" t="inlineStr">
        <is>
          <t>Miss Glam Damar</t>
        </is>
      </c>
      <c r="E6484" t="n">
        <v>27</v>
      </c>
      <c r="F6484" t="n">
        <v>0.1365</v>
      </c>
      <c r="G6484" t="n">
        <v>1.82</v>
      </c>
      <c r="H6484" t="n">
        <v>2</v>
      </c>
      <c r="I6484" t="n">
        <v>9</v>
      </c>
      <c r="J6484" t="n">
        <v>3</v>
      </c>
      <c r="K6484" t="n">
        <v>0</v>
      </c>
      <c r="L6484" t="n">
        <v>119920</v>
      </c>
      <c r="M6484" t="n">
        <v>149900</v>
      </c>
      <c r="N6484" t="n">
        <v>91</v>
      </c>
      <c r="O6484" t="n">
        <v>0.91</v>
      </c>
      <c r="P6484" t="n">
        <v>1</v>
      </c>
      <c r="Q6484" t="n">
        <v>0.05</v>
      </c>
      <c r="R6484" t="n">
        <v>1</v>
      </c>
      <c r="S6484" t="n">
        <v>20461.35</v>
      </c>
      <c r="T6484" t="n">
        <v>17</v>
      </c>
      <c r="U6484" t="n">
        <v>18</v>
      </c>
      <c r="V6484" t="n">
        <v>30</v>
      </c>
      <c r="W6484" t="n">
        <v>5</v>
      </c>
      <c r="X6484" t="n">
        <v>197.8021978021978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10397</v>
      </c>
      <c r="AG6484" t="n">
        <v>170</v>
      </c>
      <c r="AH6484" t="inlineStr">
        <is>
          <t>PT. JALUR MANDIRI UTAMA - PPN (PDG)</t>
        </is>
      </c>
      <c r="AI6484" t="n">
        <v>170</v>
      </c>
      <c r="AJ6484" t="inlineStr">
        <is>
          <t>YOU</t>
        </is>
      </c>
      <c r="AK6484" t="n">
        <v>21</v>
      </c>
      <c r="AL6484" t="inlineStr">
        <is>
          <t>Miss Glam Damar</t>
        </is>
      </c>
      <c r="AM6484" t="n">
        <v>1</v>
      </c>
      <c r="AN6484" t="n">
        <v>500000</v>
      </c>
      <c r="AO6484" t="n">
        <v>0</v>
      </c>
      <c r="AP6484" t="inlineStr"/>
      <c r="AQ6484" t="inlineStr"/>
    </row>
    <row r="6485">
      <c r="A6485" t="inlineStr">
        <is>
          <t>YOU</t>
        </is>
      </c>
      <c r="B6485" s="2">
        <f>"8991748004936"</f>
        <v/>
      </c>
      <c r="C6485" t="inlineStr">
        <is>
          <t>YOU Noutriwear Silky Pressed Foundation N609 Nude Tan 7gr</t>
        </is>
      </c>
      <c r="D6485" t="inlineStr">
        <is>
          <t>Miss Glam Damar</t>
        </is>
      </c>
      <c r="E6485" t="n">
        <v>18</v>
      </c>
      <c r="F6485" t="n">
        <v>0.1729</v>
      </c>
      <c r="G6485" t="n">
        <v>1.82</v>
      </c>
      <c r="H6485" t="n">
        <v>2</v>
      </c>
      <c r="I6485" t="n">
        <v>9</v>
      </c>
      <c r="J6485" t="n">
        <v>3</v>
      </c>
      <c r="K6485" t="n">
        <v>0</v>
      </c>
      <c r="L6485" t="n">
        <v>78320</v>
      </c>
      <c r="M6485" t="n">
        <v>97900</v>
      </c>
      <c r="N6485" t="n">
        <v>91</v>
      </c>
      <c r="O6485" t="n">
        <v>0.91</v>
      </c>
      <c r="P6485" t="n">
        <v>1</v>
      </c>
      <c r="Q6485" t="n">
        <v>0.17</v>
      </c>
      <c r="R6485" t="n">
        <v>2</v>
      </c>
      <c r="S6485" t="n">
        <v>16926.91</v>
      </c>
      <c r="T6485" t="n">
        <v>17</v>
      </c>
      <c r="U6485" t="n">
        <v>18</v>
      </c>
      <c r="V6485" t="n">
        <v>30</v>
      </c>
      <c r="W6485" t="n">
        <v>6</v>
      </c>
      <c r="X6485" t="n">
        <v>104.1064198958936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10397</v>
      </c>
      <c r="AG6485" t="n">
        <v>170</v>
      </c>
      <c r="AH6485" t="inlineStr">
        <is>
          <t>PT. JALUR MANDIRI UTAMA - PPN (PDG)</t>
        </is>
      </c>
      <c r="AI6485" t="n">
        <v>170</v>
      </c>
      <c r="AJ6485" t="inlineStr">
        <is>
          <t>YOU</t>
        </is>
      </c>
      <c r="AK6485" t="n">
        <v>21</v>
      </c>
      <c r="AL6485" t="inlineStr">
        <is>
          <t>Miss Glam Damar</t>
        </is>
      </c>
      <c r="AM6485" t="n">
        <v>1</v>
      </c>
      <c r="AN6485" t="n">
        <v>500000</v>
      </c>
      <c r="AO6485" t="n">
        <v>0</v>
      </c>
      <c r="AP6485" t="inlineStr"/>
      <c r="AQ6485" t="inlineStr"/>
    </row>
    <row r="6486">
      <c r="A6486" t="inlineStr">
        <is>
          <t>YOU</t>
        </is>
      </c>
      <c r="B6486" s="2">
        <f>"8997227894128"</f>
        <v/>
      </c>
      <c r="C6486" t="inlineStr">
        <is>
          <t>YOU Noutriwear Silky Pressed Foundation W805 Yellow Beige 7g</t>
        </is>
      </c>
      <c r="D6486" t="inlineStr">
        <is>
          <t>Miss Glam Damar</t>
        </is>
      </c>
      <c r="E6486" t="n">
        <v>30</v>
      </c>
      <c r="F6486" t="n">
        <v>0.06370000000000001</v>
      </c>
      <c r="G6486" t="n">
        <v>0.91</v>
      </c>
      <c r="H6486" t="n">
        <v>2</v>
      </c>
      <c r="I6486" t="n">
        <v>9</v>
      </c>
      <c r="J6486" t="n">
        <v>3</v>
      </c>
      <c r="K6486" t="n">
        <v>0</v>
      </c>
      <c r="L6486" t="n">
        <v>78320</v>
      </c>
      <c r="M6486" t="n">
        <v>97900</v>
      </c>
      <c r="N6486" t="n">
        <v>91</v>
      </c>
      <c r="O6486" t="n">
        <v>0.91</v>
      </c>
      <c r="P6486" t="n">
        <v>1</v>
      </c>
      <c r="Q6486" t="n">
        <v>0.07000000000000001</v>
      </c>
      <c r="R6486" t="n">
        <v>1</v>
      </c>
      <c r="S6486" t="n">
        <v>6236.23</v>
      </c>
      <c r="T6486" t="n">
        <v>9</v>
      </c>
      <c r="U6486" t="n">
        <v>10</v>
      </c>
      <c r="V6486" t="n">
        <v>30</v>
      </c>
      <c r="W6486" t="n">
        <v>2</v>
      </c>
      <c r="X6486" t="n">
        <v>470.9576138147566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10397</v>
      </c>
      <c r="AG6486" t="n">
        <v>170</v>
      </c>
      <c r="AH6486" t="inlineStr">
        <is>
          <t>PT. JALUR MANDIRI UTAMA - PPN (PDG)</t>
        </is>
      </c>
      <c r="AI6486" t="n">
        <v>170</v>
      </c>
      <c r="AJ6486" t="inlineStr">
        <is>
          <t>YOU</t>
        </is>
      </c>
      <c r="AK6486" t="n">
        <v>21</v>
      </c>
      <c r="AL6486" t="inlineStr">
        <is>
          <t>Miss Glam Damar</t>
        </is>
      </c>
      <c r="AM6486" t="n">
        <v>1</v>
      </c>
      <c r="AN6486" t="n">
        <v>500000</v>
      </c>
      <c r="AO6486" t="n">
        <v>0</v>
      </c>
      <c r="AP6486" t="inlineStr"/>
      <c r="AQ6486" t="inlineStr"/>
    </row>
    <row r="6487">
      <c r="A6487" t="inlineStr">
        <is>
          <t>YOU</t>
        </is>
      </c>
      <c r="B6487" s="2">
        <f>"8997227896313"</f>
        <v/>
      </c>
      <c r="C6487" t="inlineStr">
        <is>
          <t>YOU Noutriwear Velvet Liquid Foundation W709 Sand Beige 20ml</t>
        </is>
      </c>
      <c r="D6487" t="inlineStr">
        <is>
          <t>Miss Glam Damar</t>
        </is>
      </c>
      <c r="E6487" t="n">
        <v>1</v>
      </c>
      <c r="F6487" t="n">
        <v>0.06370000000000001</v>
      </c>
      <c r="G6487" t="n">
        <v>0.91</v>
      </c>
      <c r="H6487" t="n">
        <v>2</v>
      </c>
      <c r="I6487" t="n">
        <v>9</v>
      </c>
      <c r="J6487" t="n">
        <v>3</v>
      </c>
      <c r="K6487" t="n">
        <v>0</v>
      </c>
      <c r="L6487" t="n">
        <v>78320</v>
      </c>
      <c r="M6487" t="n">
        <v>97900</v>
      </c>
      <c r="N6487" t="n">
        <v>91</v>
      </c>
      <c r="O6487" t="n">
        <v>0.91</v>
      </c>
      <c r="P6487" t="n">
        <v>1</v>
      </c>
      <c r="Q6487" t="n">
        <v>0.05</v>
      </c>
      <c r="R6487" t="n">
        <v>1</v>
      </c>
      <c r="S6487" t="n">
        <v>6236.23</v>
      </c>
      <c r="T6487" t="n">
        <v>9</v>
      </c>
      <c r="U6487" t="n">
        <v>10</v>
      </c>
      <c r="V6487" t="n">
        <v>30</v>
      </c>
      <c r="W6487" t="n">
        <v>2</v>
      </c>
      <c r="X6487" t="n">
        <v>15.69858712715855</v>
      </c>
      <c r="Y6487" t="n">
        <v>1</v>
      </c>
      <c r="Z6487" t="n">
        <v>1</v>
      </c>
      <c r="AA6487" t="n">
        <v>0</v>
      </c>
      <c r="AB6487" t="n">
        <v>1</v>
      </c>
      <c r="AC6487" t="n">
        <v>3</v>
      </c>
      <c r="AD6487" t="n">
        <v>0</v>
      </c>
      <c r="AE6487" t="n">
        <v>234960</v>
      </c>
      <c r="AF6487" t="n">
        <v>10397</v>
      </c>
      <c r="AG6487" t="n">
        <v>170</v>
      </c>
      <c r="AH6487" t="inlineStr">
        <is>
          <t>PT. JALUR MANDIRI UTAMA - PPN (PDG)</t>
        </is>
      </c>
      <c r="AI6487" t="n">
        <v>170</v>
      </c>
      <c r="AJ6487" t="inlineStr">
        <is>
          <t>YOU</t>
        </is>
      </c>
      <c r="AK6487" t="n">
        <v>21</v>
      </c>
      <c r="AL6487" t="inlineStr">
        <is>
          <t>Miss Glam Damar</t>
        </is>
      </c>
      <c r="AM6487" t="n">
        <v>1</v>
      </c>
      <c r="AN6487" t="n">
        <v>500000</v>
      </c>
      <c r="AO6487" t="n">
        <v>0</v>
      </c>
      <c r="AP6487" t="inlineStr"/>
      <c r="AQ6487" t="inlineStr"/>
    </row>
    <row r="6488">
      <c r="A6488" t="inlineStr">
        <is>
          <t>YOU</t>
        </is>
      </c>
      <c r="B6488" s="2">
        <f>"8997227896245"</f>
        <v/>
      </c>
      <c r="C6488" t="inlineStr">
        <is>
          <t>YOU Noutrwear + Velvet Liquid Foundation C304 Pink Nude 20ml</t>
        </is>
      </c>
      <c r="D6488" t="inlineStr">
        <is>
          <t>Miss Glam Damar</t>
        </is>
      </c>
      <c r="E6488" t="n">
        <v>11</v>
      </c>
      <c r="F6488" t="n">
        <v>0.0273</v>
      </c>
      <c r="G6488" t="n">
        <v>0.91</v>
      </c>
      <c r="H6488" t="n">
        <v>2</v>
      </c>
      <c r="I6488" t="n">
        <v>9</v>
      </c>
      <c r="J6488" t="n">
        <v>3</v>
      </c>
      <c r="K6488" t="n">
        <v>0</v>
      </c>
      <c r="L6488" t="n">
        <v>78320</v>
      </c>
      <c r="M6488" t="n">
        <v>97900</v>
      </c>
      <c r="N6488" t="n">
        <v>91</v>
      </c>
      <c r="O6488" t="n">
        <v>0.91</v>
      </c>
      <c r="P6488" t="n">
        <v>1</v>
      </c>
      <c r="Q6488" t="n">
        <v>0.03</v>
      </c>
      <c r="R6488" t="n">
        <v>1</v>
      </c>
      <c r="S6488" t="n">
        <v>2672.67</v>
      </c>
      <c r="T6488" t="n">
        <v>9</v>
      </c>
      <c r="U6488" t="n">
        <v>10</v>
      </c>
      <c r="V6488" t="n">
        <v>30</v>
      </c>
      <c r="W6488" t="n">
        <v>1</v>
      </c>
      <c r="X6488" t="n">
        <v>402.9304029304029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10397</v>
      </c>
      <c r="AG6488" t="n">
        <v>170</v>
      </c>
      <c r="AH6488" t="inlineStr">
        <is>
          <t>PT. JALUR MANDIRI UTAMA - PPN (PDG)</t>
        </is>
      </c>
      <c r="AI6488" t="n">
        <v>170</v>
      </c>
      <c r="AJ6488" t="inlineStr">
        <is>
          <t>YOU</t>
        </is>
      </c>
      <c r="AK6488" t="n">
        <v>21</v>
      </c>
      <c r="AL6488" t="inlineStr">
        <is>
          <t>Miss Glam Damar</t>
        </is>
      </c>
      <c r="AM6488" t="n">
        <v>1</v>
      </c>
      <c r="AN6488" t="n">
        <v>500000</v>
      </c>
      <c r="AO6488" t="n">
        <v>0</v>
      </c>
      <c r="AP6488" t="inlineStr"/>
      <c r="AQ6488" t="inlineStr"/>
    </row>
    <row r="6489">
      <c r="A6489" t="inlineStr">
        <is>
          <t>YOU</t>
        </is>
      </c>
      <c r="B6489" s="2">
        <f>"8997227896115"</f>
        <v/>
      </c>
      <c r="C6489" t="inlineStr">
        <is>
          <t>YOU Prebiotic-Infused Micellar Cleansing Water 110ml</t>
        </is>
      </c>
      <c r="D6489" t="inlineStr">
        <is>
          <t>Miss Glam Damar</t>
        </is>
      </c>
      <c r="E6489" t="n">
        <v>10</v>
      </c>
      <c r="F6489" t="n">
        <v>0.4459</v>
      </c>
      <c r="G6489" t="n">
        <v>2.73</v>
      </c>
      <c r="H6489" t="n">
        <v>2</v>
      </c>
      <c r="I6489" t="n">
        <v>9</v>
      </c>
      <c r="J6489" t="n">
        <v>3</v>
      </c>
      <c r="K6489" t="n">
        <v>0</v>
      </c>
      <c r="L6489" t="n">
        <v>27120</v>
      </c>
      <c r="M6489" t="n">
        <v>33900</v>
      </c>
      <c r="N6489" t="n">
        <v>91</v>
      </c>
      <c r="O6489" t="n">
        <v>0.91</v>
      </c>
      <c r="P6489" t="n">
        <v>1</v>
      </c>
      <c r="Q6489" t="n">
        <v>0.19</v>
      </c>
      <c r="R6489" t="n">
        <v>2</v>
      </c>
      <c r="S6489" t="n">
        <v>15116.01</v>
      </c>
      <c r="T6489" t="n">
        <v>24</v>
      </c>
      <c r="U6489" t="n">
        <v>25</v>
      </c>
      <c r="V6489" t="n">
        <v>30</v>
      </c>
      <c r="W6489" t="n">
        <v>14</v>
      </c>
      <c r="X6489" t="n">
        <v>22.42655303879794</v>
      </c>
      <c r="Y6489" t="n">
        <v>1</v>
      </c>
      <c r="Z6489" t="n">
        <v>4</v>
      </c>
      <c r="AA6489" t="n">
        <v>0</v>
      </c>
      <c r="AB6489" t="n">
        <v>4</v>
      </c>
      <c r="AC6489" t="n">
        <v>4</v>
      </c>
      <c r="AD6489" t="n">
        <v>0</v>
      </c>
      <c r="AE6489" t="n">
        <v>108480</v>
      </c>
      <c r="AF6489" t="n">
        <v>10397</v>
      </c>
      <c r="AG6489" t="n">
        <v>170</v>
      </c>
      <c r="AH6489" t="inlineStr">
        <is>
          <t>PT. JALUR MANDIRI UTAMA - PPN (PDG)</t>
        </is>
      </c>
      <c r="AI6489" t="n">
        <v>170</v>
      </c>
      <c r="AJ6489" t="inlineStr">
        <is>
          <t>YOU</t>
        </is>
      </c>
      <c r="AK6489" t="n">
        <v>21</v>
      </c>
      <c r="AL6489" t="inlineStr">
        <is>
          <t>Miss Glam Damar</t>
        </is>
      </c>
      <c r="AM6489" t="n">
        <v>1</v>
      </c>
      <c r="AN6489" t="n">
        <v>500000</v>
      </c>
      <c r="AO6489" t="n">
        <v>0</v>
      </c>
      <c r="AP6489" t="inlineStr"/>
      <c r="AQ6489" t="inlineStr"/>
    </row>
    <row r="6490">
      <c r="A6490" t="inlineStr">
        <is>
          <t>YOU</t>
        </is>
      </c>
      <c r="B6490" s="2">
        <f>"10300147208"</f>
        <v/>
      </c>
      <c r="C6490" t="inlineStr">
        <is>
          <t>YOU Radiance Antioxidant Brightening Cream 30g</t>
        </is>
      </c>
      <c r="D6490" t="inlineStr">
        <is>
          <t>Miss Glam Damar</t>
        </is>
      </c>
      <c r="E6490" t="n">
        <v>21</v>
      </c>
      <c r="F6490" t="n">
        <v>0.2002</v>
      </c>
      <c r="G6490" t="n">
        <v>2.73</v>
      </c>
      <c r="H6490" t="n">
        <v>2</v>
      </c>
      <c r="I6490" t="n">
        <v>9</v>
      </c>
      <c r="J6490" t="n">
        <v>1</v>
      </c>
      <c r="K6490" t="n">
        <v>0</v>
      </c>
      <c r="L6490" t="n">
        <v>71920</v>
      </c>
      <c r="M6490" t="n">
        <v>89900</v>
      </c>
      <c r="N6490" t="n">
        <v>91</v>
      </c>
      <c r="O6490" t="n">
        <v>0.91</v>
      </c>
      <c r="P6490" t="n">
        <v>1</v>
      </c>
      <c r="Q6490" t="n">
        <v>0.66</v>
      </c>
      <c r="R6490" t="n">
        <v>3</v>
      </c>
      <c r="S6490" t="n">
        <v>17997.98</v>
      </c>
      <c r="T6490" t="n">
        <v>25</v>
      </c>
      <c r="U6490" t="n">
        <v>26</v>
      </c>
      <c r="V6490" t="n">
        <v>30</v>
      </c>
      <c r="W6490" t="n">
        <v>7</v>
      </c>
      <c r="X6490" t="n">
        <v>104.8951048951049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10397</v>
      </c>
      <c r="AG6490" t="n">
        <v>170</v>
      </c>
      <c r="AH6490" t="inlineStr">
        <is>
          <t>PT. JALUR MANDIRI UTAMA - PPN (PDG)</t>
        </is>
      </c>
      <c r="AI6490" t="n">
        <v>170</v>
      </c>
      <c r="AJ6490" t="inlineStr">
        <is>
          <t>YOU</t>
        </is>
      </c>
      <c r="AK6490" t="n">
        <v>21</v>
      </c>
      <c r="AL6490" t="inlineStr">
        <is>
          <t>Miss Glam Damar</t>
        </is>
      </c>
      <c r="AM6490" t="n">
        <v>1</v>
      </c>
      <c r="AN6490" t="n">
        <v>500000</v>
      </c>
      <c r="AO6490" t="n">
        <v>0</v>
      </c>
      <c r="AP6490" t="inlineStr"/>
      <c r="AQ6490" t="inlineStr"/>
    </row>
    <row r="6491">
      <c r="A6491" t="inlineStr">
        <is>
          <t>YOU</t>
        </is>
      </c>
      <c r="B6491" s="2">
        <f>"8991748012122"</f>
        <v/>
      </c>
      <c r="C6491" t="inlineStr">
        <is>
          <t>YOU Radiance Glow Active Night Gel Sakura Extract 3X VC Niacinamide 30gr</t>
        </is>
      </c>
      <c r="D6491" t="inlineStr">
        <is>
          <t>Miss Glam Damar</t>
        </is>
      </c>
      <c r="E6491" t="n">
        <v>11</v>
      </c>
      <c r="F6491" t="n">
        <v>0.2457</v>
      </c>
      <c r="G6491" t="n">
        <v>2.73</v>
      </c>
      <c r="H6491" t="n">
        <v>2</v>
      </c>
      <c r="I6491" t="n">
        <v>9</v>
      </c>
      <c r="J6491" t="n">
        <v>3</v>
      </c>
      <c r="K6491" t="n">
        <v>0</v>
      </c>
      <c r="L6491" t="n">
        <v>79920</v>
      </c>
      <c r="M6491" t="n">
        <v>99900</v>
      </c>
      <c r="N6491" t="n">
        <v>91</v>
      </c>
      <c r="O6491" t="n">
        <v>0.91</v>
      </c>
      <c r="P6491" t="n">
        <v>1</v>
      </c>
      <c r="Q6491" t="n">
        <v>0.03</v>
      </c>
      <c r="R6491" t="n">
        <v>1</v>
      </c>
      <c r="S6491" t="n">
        <v>24545.43</v>
      </c>
      <c r="T6491" t="n">
        <v>25</v>
      </c>
      <c r="U6491" t="n">
        <v>26</v>
      </c>
      <c r="V6491" t="n">
        <v>30</v>
      </c>
      <c r="W6491" t="n">
        <v>8</v>
      </c>
      <c r="X6491" t="n">
        <v>44.77004477004476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10397</v>
      </c>
      <c r="AG6491" t="n">
        <v>170</v>
      </c>
      <c r="AH6491" t="inlineStr">
        <is>
          <t>PT. JALUR MANDIRI UTAMA - PPN (PDG)</t>
        </is>
      </c>
      <c r="AI6491" t="n">
        <v>170</v>
      </c>
      <c r="AJ6491" t="inlineStr">
        <is>
          <t>YOU</t>
        </is>
      </c>
      <c r="AK6491" t="n">
        <v>21</v>
      </c>
      <c r="AL6491" t="inlineStr">
        <is>
          <t>Miss Glam Damar</t>
        </is>
      </c>
      <c r="AM6491" t="n">
        <v>1</v>
      </c>
      <c r="AN6491" t="n">
        <v>500000</v>
      </c>
      <c r="AO6491" t="n">
        <v>0</v>
      </c>
      <c r="AP6491" t="inlineStr"/>
      <c r="AQ6491" t="inlineStr"/>
    </row>
    <row r="6492">
      <c r="A6492" t="inlineStr">
        <is>
          <t>YOU</t>
        </is>
      </c>
      <c r="B6492" s="2">
        <f>"8991748012207"</f>
        <v/>
      </c>
      <c r="C6492" t="inlineStr">
        <is>
          <t>YOU Radiance Glow Advanced Day Cream Sakura Exctract 3X VC 30gr</t>
        </is>
      </c>
      <c r="D6492" t="inlineStr">
        <is>
          <t>Miss Glam Damar</t>
        </is>
      </c>
      <c r="E6492" t="n">
        <v>25</v>
      </c>
      <c r="F6492" t="n">
        <v>0.2275</v>
      </c>
      <c r="G6492" t="n">
        <v>1.82</v>
      </c>
      <c r="H6492" t="n">
        <v>2</v>
      </c>
      <c r="I6492" t="n">
        <v>9</v>
      </c>
      <c r="J6492" t="n">
        <v>3</v>
      </c>
      <c r="K6492" t="n">
        <v>0</v>
      </c>
      <c r="L6492" t="n">
        <v>79920</v>
      </c>
      <c r="M6492" t="n">
        <v>99900</v>
      </c>
      <c r="N6492" t="n">
        <v>91</v>
      </c>
      <c r="O6492" t="n">
        <v>0.91</v>
      </c>
      <c r="P6492" t="n">
        <v>1</v>
      </c>
      <c r="Q6492" t="n">
        <v>0.05</v>
      </c>
      <c r="R6492" t="n">
        <v>1</v>
      </c>
      <c r="S6492" t="n">
        <v>22727.25</v>
      </c>
      <c r="T6492" t="n">
        <v>16</v>
      </c>
      <c r="U6492" t="n">
        <v>17</v>
      </c>
      <c r="V6492" t="n">
        <v>30</v>
      </c>
      <c r="W6492" t="n">
        <v>7</v>
      </c>
      <c r="X6492" t="n">
        <v>109.8901098901099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10397</v>
      </c>
      <c r="AG6492" t="n">
        <v>170</v>
      </c>
      <c r="AH6492" t="inlineStr">
        <is>
          <t>PT. JALUR MANDIRI UTAMA - PPN (PDG)</t>
        </is>
      </c>
      <c r="AI6492" t="n">
        <v>170</v>
      </c>
      <c r="AJ6492" t="inlineStr">
        <is>
          <t>YOU</t>
        </is>
      </c>
      <c r="AK6492" t="n">
        <v>21</v>
      </c>
      <c r="AL6492" t="inlineStr">
        <is>
          <t>Miss Glam Damar</t>
        </is>
      </c>
      <c r="AM6492" t="n">
        <v>1</v>
      </c>
      <c r="AN6492" t="n">
        <v>500000</v>
      </c>
      <c r="AO6492" t="n">
        <v>0</v>
      </c>
      <c r="AP6492" t="inlineStr"/>
      <c r="AQ6492" t="inlineStr"/>
    </row>
    <row r="6493">
      <c r="A6493" t="inlineStr">
        <is>
          <t>YOU</t>
        </is>
      </c>
      <c r="B6493" s="2">
        <f>"8991748012832"</f>
        <v/>
      </c>
      <c r="C6493" t="inlineStr">
        <is>
          <t>YOU Radiance Glow Illuminating Serum (Sakura) 20ml</t>
        </is>
      </c>
      <c r="D6493" t="inlineStr">
        <is>
          <t>Miss Glam Damar</t>
        </is>
      </c>
      <c r="E6493" t="n">
        <v>34</v>
      </c>
      <c r="F6493" t="n">
        <v>0.5369</v>
      </c>
      <c r="G6493" t="n">
        <v>2.73</v>
      </c>
      <c r="H6493" t="n">
        <v>2</v>
      </c>
      <c r="I6493" t="n">
        <v>9</v>
      </c>
      <c r="J6493" t="n">
        <v>3</v>
      </c>
      <c r="K6493" t="n">
        <v>0</v>
      </c>
      <c r="L6493" t="n">
        <v>79920</v>
      </c>
      <c r="M6493" t="n">
        <v>99900</v>
      </c>
      <c r="N6493" t="n">
        <v>91</v>
      </c>
      <c r="O6493" t="n">
        <v>0.91</v>
      </c>
      <c r="P6493" t="n">
        <v>1</v>
      </c>
      <c r="Q6493" t="n">
        <v>0.2</v>
      </c>
      <c r="R6493" t="n">
        <v>2</v>
      </c>
      <c r="S6493" t="n">
        <v>53636.31</v>
      </c>
      <c r="T6493" t="n">
        <v>24</v>
      </c>
      <c r="U6493" t="n">
        <v>26</v>
      </c>
      <c r="V6493" t="n">
        <v>30</v>
      </c>
      <c r="W6493" t="n">
        <v>17</v>
      </c>
      <c r="X6493" t="n">
        <v>63.3265040044701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10397</v>
      </c>
      <c r="AG6493" t="n">
        <v>170</v>
      </c>
      <c r="AH6493" t="inlineStr">
        <is>
          <t>PT. JALUR MANDIRI UTAMA - PPN (PDG)</t>
        </is>
      </c>
      <c r="AI6493" t="n">
        <v>170</v>
      </c>
      <c r="AJ6493" t="inlineStr">
        <is>
          <t>YOU</t>
        </is>
      </c>
      <c r="AK6493" t="n">
        <v>21</v>
      </c>
      <c r="AL6493" t="inlineStr">
        <is>
          <t>Miss Glam Damar</t>
        </is>
      </c>
      <c r="AM6493" t="n">
        <v>1</v>
      </c>
      <c r="AN6493" t="n">
        <v>500000</v>
      </c>
      <c r="AO6493" t="n">
        <v>0</v>
      </c>
      <c r="AP6493" t="inlineStr"/>
      <c r="AQ6493" t="inlineStr"/>
    </row>
    <row r="6494">
      <c r="A6494" t="inlineStr">
        <is>
          <t>YOU</t>
        </is>
      </c>
      <c r="B6494" s="2">
        <f>"8991748012221"</f>
        <v/>
      </c>
      <c r="C6494" t="inlineStr">
        <is>
          <t>YOU Radiance Glow Purifying Facial Foam Sakura Extract 3X VC Niacinamide 100gr</t>
        </is>
      </c>
      <c r="D6494" t="inlineStr">
        <is>
          <t>Miss Glam Damar</t>
        </is>
      </c>
      <c r="E6494" t="n">
        <v>48</v>
      </c>
      <c r="F6494" t="n">
        <v>0.91</v>
      </c>
      <c r="G6494" t="n">
        <v>5.46</v>
      </c>
      <c r="H6494" t="n">
        <v>2</v>
      </c>
      <c r="I6494" t="n">
        <v>9</v>
      </c>
      <c r="J6494" t="n">
        <v>3</v>
      </c>
      <c r="K6494" t="n">
        <v>0</v>
      </c>
      <c r="L6494" t="n">
        <v>39920</v>
      </c>
      <c r="M6494" t="n">
        <v>49900</v>
      </c>
      <c r="N6494" t="n">
        <v>91</v>
      </c>
      <c r="O6494" t="n">
        <v>0.91</v>
      </c>
      <c r="P6494" t="n">
        <v>1</v>
      </c>
      <c r="Q6494" t="n">
        <v>0.44</v>
      </c>
      <c r="R6494" t="n">
        <v>3</v>
      </c>
      <c r="S6494" t="n">
        <v>45409</v>
      </c>
      <c r="T6494" t="n">
        <v>48</v>
      </c>
      <c r="U6494" t="n">
        <v>50</v>
      </c>
      <c r="V6494" t="n">
        <v>30</v>
      </c>
      <c r="W6494" t="n">
        <v>28</v>
      </c>
      <c r="X6494" t="n">
        <v>52.74725274725274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10397</v>
      </c>
      <c r="AG6494" t="n">
        <v>170</v>
      </c>
      <c r="AH6494" t="inlineStr">
        <is>
          <t>PT. JALUR MANDIRI UTAMA - PPN (PDG)</t>
        </is>
      </c>
      <c r="AI6494" t="n">
        <v>170</v>
      </c>
      <c r="AJ6494" t="inlineStr">
        <is>
          <t>YOU</t>
        </is>
      </c>
      <c r="AK6494" t="n">
        <v>21</v>
      </c>
      <c r="AL6494" t="inlineStr">
        <is>
          <t>Miss Glam Damar</t>
        </is>
      </c>
      <c r="AM6494" t="n">
        <v>1</v>
      </c>
      <c r="AN6494" t="n">
        <v>500000</v>
      </c>
      <c r="AO6494" t="n">
        <v>0</v>
      </c>
      <c r="AP6494" t="inlineStr"/>
      <c r="AQ6494" t="inlineStr"/>
    </row>
    <row r="6495">
      <c r="A6495" t="inlineStr">
        <is>
          <t>YOU</t>
        </is>
      </c>
      <c r="B6495" s="2">
        <f>"8991748012184"</f>
        <v/>
      </c>
      <c r="C6495" t="inlineStr">
        <is>
          <t>YOU Radiance Glow Toner Essence Sakura Extract 100ml</t>
        </is>
      </c>
      <c r="D6495" t="inlineStr">
        <is>
          <t>Miss Glam Damar</t>
        </is>
      </c>
      <c r="E6495" t="n">
        <v>6</v>
      </c>
      <c r="F6495" t="n">
        <v>0.1365</v>
      </c>
      <c r="G6495" t="n">
        <v>0.91</v>
      </c>
      <c r="H6495" t="n">
        <v>2</v>
      </c>
      <c r="I6495" t="n">
        <v>9</v>
      </c>
      <c r="J6495" t="n">
        <v>3</v>
      </c>
      <c r="K6495" t="n">
        <v>0</v>
      </c>
      <c r="L6495" t="n">
        <v>50320</v>
      </c>
      <c r="M6495" t="n">
        <v>62900</v>
      </c>
      <c r="N6495" t="n">
        <v>91</v>
      </c>
      <c r="O6495" t="n">
        <v>0.91</v>
      </c>
      <c r="P6495" t="n">
        <v>1</v>
      </c>
      <c r="Q6495" t="n">
        <v>0.17</v>
      </c>
      <c r="R6495" t="n">
        <v>1</v>
      </c>
      <c r="S6495" t="n">
        <v>8585.85</v>
      </c>
      <c r="T6495" t="n">
        <v>8</v>
      </c>
      <c r="U6495" t="n">
        <v>9</v>
      </c>
      <c r="V6495" t="n">
        <v>30</v>
      </c>
      <c r="W6495" t="n">
        <v>5</v>
      </c>
      <c r="X6495" t="n">
        <v>43.95604395604396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10397</v>
      </c>
      <c r="AG6495" t="n">
        <v>170</v>
      </c>
      <c r="AH6495" t="inlineStr">
        <is>
          <t>PT. JALUR MANDIRI UTAMA - PPN (PDG)</t>
        </is>
      </c>
      <c r="AI6495" t="n">
        <v>170</v>
      </c>
      <c r="AJ6495" t="inlineStr">
        <is>
          <t>YOU</t>
        </is>
      </c>
      <c r="AK6495" t="n">
        <v>21</v>
      </c>
      <c r="AL6495" t="inlineStr">
        <is>
          <t>Miss Glam Damar</t>
        </is>
      </c>
      <c r="AM6495" t="n">
        <v>1</v>
      </c>
      <c r="AN6495" t="n">
        <v>500000</v>
      </c>
      <c r="AO6495" t="n">
        <v>0</v>
      </c>
      <c r="AP6495" t="inlineStr"/>
      <c r="AQ6495" t="inlineStr"/>
    </row>
    <row r="6496">
      <c r="A6496" t="inlineStr">
        <is>
          <t>YOU</t>
        </is>
      </c>
      <c r="B6496" s="2">
        <f>"11200152330"</f>
        <v/>
      </c>
      <c r="C6496" t="inlineStr">
        <is>
          <t>YOU Radiance Plus Acne Brightening Serum  20ml</t>
        </is>
      </c>
      <c r="D6496" t="inlineStr">
        <is>
          <t>Miss Glam Damar</t>
        </is>
      </c>
      <c r="E6496" t="n">
        <v>49</v>
      </c>
      <c r="F6496" t="n">
        <v>0.1365</v>
      </c>
      <c r="G6496" t="n">
        <v>1.82</v>
      </c>
      <c r="H6496" t="n">
        <v>2</v>
      </c>
      <c r="I6496" t="n">
        <v>9</v>
      </c>
      <c r="J6496" t="n">
        <v>1</v>
      </c>
      <c r="K6496" t="n">
        <v>0</v>
      </c>
      <c r="L6496" t="n">
        <v>79920</v>
      </c>
      <c r="M6496" t="n">
        <v>99900</v>
      </c>
      <c r="N6496" t="n">
        <v>91</v>
      </c>
      <c r="O6496" t="n">
        <v>0.91</v>
      </c>
      <c r="P6496" t="n">
        <v>1</v>
      </c>
      <c r="Q6496" t="n">
        <v>0.03</v>
      </c>
      <c r="R6496" t="n">
        <v>1</v>
      </c>
      <c r="S6496" t="n">
        <v>13636.35</v>
      </c>
      <c r="T6496" t="n">
        <v>17</v>
      </c>
      <c r="U6496" t="n">
        <v>18</v>
      </c>
      <c r="V6496" t="n">
        <v>30</v>
      </c>
      <c r="W6496" t="n">
        <v>5</v>
      </c>
      <c r="X6496" t="n">
        <v>358.9743589743589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10397</v>
      </c>
      <c r="AG6496" t="n">
        <v>170</v>
      </c>
      <c r="AH6496" t="inlineStr">
        <is>
          <t>PT. JALUR MANDIRI UTAMA - PPN (PDG)</t>
        </is>
      </c>
      <c r="AI6496" t="n">
        <v>170</v>
      </c>
      <c r="AJ6496" t="inlineStr">
        <is>
          <t>YOU</t>
        </is>
      </c>
      <c r="AK6496" t="n">
        <v>21</v>
      </c>
      <c r="AL6496" t="inlineStr">
        <is>
          <t>Miss Glam Damar</t>
        </is>
      </c>
      <c r="AM6496" t="n">
        <v>1</v>
      </c>
      <c r="AN6496" t="n">
        <v>500000</v>
      </c>
      <c r="AO6496" t="n">
        <v>0</v>
      </c>
      <c r="AP6496" t="inlineStr"/>
      <c r="AQ6496" t="inlineStr"/>
    </row>
    <row r="6497">
      <c r="A6497" t="inlineStr">
        <is>
          <t>YOU</t>
        </is>
      </c>
      <c r="B6497" s="2">
        <f>"10300514855"</f>
        <v/>
      </c>
      <c r="C6497" t="inlineStr">
        <is>
          <t>YOU Radiance Renewal Brightening Moisturizer Gel 30g</t>
        </is>
      </c>
      <c r="D6497" t="inlineStr">
        <is>
          <t>Miss Glam Damar</t>
        </is>
      </c>
      <c r="E6497" t="n">
        <v>15</v>
      </c>
      <c r="F6497" t="n">
        <v>0.1547</v>
      </c>
      <c r="G6497" t="n">
        <v>1.82</v>
      </c>
      <c r="H6497" t="n">
        <v>2</v>
      </c>
      <c r="I6497" t="n">
        <v>9</v>
      </c>
      <c r="J6497" t="n">
        <v>1</v>
      </c>
      <c r="K6497" t="n">
        <v>0</v>
      </c>
      <c r="L6497" t="n">
        <v>71920</v>
      </c>
      <c r="M6497" t="n">
        <v>89900</v>
      </c>
      <c r="N6497" t="n">
        <v>91</v>
      </c>
      <c r="O6497" t="n">
        <v>0.91</v>
      </c>
      <c r="P6497" t="n">
        <v>1</v>
      </c>
      <c r="Q6497" t="n">
        <v>0.31</v>
      </c>
      <c r="R6497" t="n">
        <v>3</v>
      </c>
      <c r="S6497" t="n">
        <v>13907.53</v>
      </c>
      <c r="T6497" t="n">
        <v>17</v>
      </c>
      <c r="U6497" t="n">
        <v>18</v>
      </c>
      <c r="V6497" t="n">
        <v>30</v>
      </c>
      <c r="W6497" t="n">
        <v>5</v>
      </c>
      <c r="X6497" t="n">
        <v>96.96186166774402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10397</v>
      </c>
      <c r="AG6497" t="n">
        <v>170</v>
      </c>
      <c r="AH6497" t="inlineStr">
        <is>
          <t>PT. JALUR MANDIRI UTAMA - PPN (PDG)</t>
        </is>
      </c>
      <c r="AI6497" t="n">
        <v>170</v>
      </c>
      <c r="AJ6497" t="inlineStr">
        <is>
          <t>YOU</t>
        </is>
      </c>
      <c r="AK6497" t="n">
        <v>21</v>
      </c>
      <c r="AL6497" t="inlineStr">
        <is>
          <t>Miss Glam Damar</t>
        </is>
      </c>
      <c r="AM6497" t="n">
        <v>1</v>
      </c>
      <c r="AN6497" t="n">
        <v>500000</v>
      </c>
      <c r="AO6497" t="n">
        <v>0</v>
      </c>
      <c r="AP6497" t="inlineStr"/>
      <c r="AQ6497" t="inlineStr"/>
    </row>
    <row r="6498">
      <c r="A6498" t="inlineStr">
        <is>
          <t>YOU</t>
        </is>
      </c>
      <c r="B6498" s="2">
        <f>"8991748002147"</f>
        <v/>
      </c>
      <c r="C6498" t="inlineStr">
        <is>
          <t>YOU Radiance Up! Antioxidant Serum 20ml</t>
        </is>
      </c>
      <c r="D6498" t="inlineStr">
        <is>
          <t>Miss Glam Damar</t>
        </is>
      </c>
      <c r="E6498" t="n">
        <v>34</v>
      </c>
      <c r="F6498" t="n">
        <v>0.2457</v>
      </c>
      <c r="G6498" t="n">
        <v>1.82</v>
      </c>
      <c r="H6498" t="n">
        <v>2</v>
      </c>
      <c r="I6498" t="n">
        <v>9</v>
      </c>
      <c r="J6498" t="n">
        <v>3</v>
      </c>
      <c r="K6498" t="n">
        <v>0</v>
      </c>
      <c r="L6498" t="n">
        <v>100720</v>
      </c>
      <c r="M6498" t="n">
        <v>125900</v>
      </c>
      <c r="N6498" t="n">
        <v>91</v>
      </c>
      <c r="O6498" t="n">
        <v>0.91</v>
      </c>
      <c r="P6498" t="n">
        <v>1</v>
      </c>
      <c r="Q6498" t="n">
        <v>0.5600000000000001</v>
      </c>
      <c r="R6498" t="n">
        <v>6</v>
      </c>
      <c r="S6498" t="n">
        <v>30933.63</v>
      </c>
      <c r="T6498" t="n">
        <v>16</v>
      </c>
      <c r="U6498" t="n">
        <v>17</v>
      </c>
      <c r="V6498" t="n">
        <v>30</v>
      </c>
      <c r="W6498" t="n">
        <v>8</v>
      </c>
      <c r="X6498" t="n">
        <v>138.3801383801384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10397</v>
      </c>
      <c r="AG6498" t="n">
        <v>170</v>
      </c>
      <c r="AH6498" t="inlineStr">
        <is>
          <t>PT. JALUR MANDIRI UTAMA - PPN (PDG)</t>
        </is>
      </c>
      <c r="AI6498" t="n">
        <v>170</v>
      </c>
      <c r="AJ6498" t="inlineStr">
        <is>
          <t>YOU</t>
        </is>
      </c>
      <c r="AK6498" t="n">
        <v>21</v>
      </c>
      <c r="AL6498" t="inlineStr">
        <is>
          <t>Miss Glam Damar</t>
        </is>
      </c>
      <c r="AM6498" t="n">
        <v>1</v>
      </c>
      <c r="AN6498" t="n">
        <v>500000</v>
      </c>
      <c r="AO6498" t="n">
        <v>0</v>
      </c>
      <c r="AP6498" t="inlineStr"/>
      <c r="AQ6498" t="inlineStr"/>
    </row>
    <row r="6499">
      <c r="A6499" t="inlineStr">
        <is>
          <t>YOU</t>
        </is>
      </c>
      <c r="B6499" s="2">
        <f>"8991748002178"</f>
        <v/>
      </c>
      <c r="C6499" t="inlineStr">
        <is>
          <t>YOU Radiance Up! Deep Moisturizing Cream 30gr</t>
        </is>
      </c>
      <c r="D6499" t="inlineStr">
        <is>
          <t>Miss Glam Damar</t>
        </is>
      </c>
      <c r="E6499" t="n">
        <v>10</v>
      </c>
      <c r="F6499" t="n">
        <v>0.3185</v>
      </c>
      <c r="G6499" t="n">
        <v>2.73</v>
      </c>
      <c r="H6499" t="n">
        <v>2</v>
      </c>
      <c r="I6499" t="n">
        <v>9</v>
      </c>
      <c r="J6499" t="n">
        <v>3</v>
      </c>
      <c r="K6499" t="n">
        <v>0</v>
      </c>
      <c r="L6499" t="n">
        <v>100720</v>
      </c>
      <c r="M6499" t="n">
        <v>125900</v>
      </c>
      <c r="N6499" t="n">
        <v>91</v>
      </c>
      <c r="O6499" t="n">
        <v>0.91</v>
      </c>
      <c r="P6499" t="n">
        <v>1</v>
      </c>
      <c r="Q6499" t="n">
        <v>0.32</v>
      </c>
      <c r="R6499" t="n">
        <v>3</v>
      </c>
      <c r="S6499" t="n">
        <v>40099.15</v>
      </c>
      <c r="T6499" t="n">
        <v>24</v>
      </c>
      <c r="U6499" t="n">
        <v>25</v>
      </c>
      <c r="V6499" t="n">
        <v>30</v>
      </c>
      <c r="W6499" t="n">
        <v>10</v>
      </c>
      <c r="X6499" t="n">
        <v>31.39717425431711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10397</v>
      </c>
      <c r="AG6499" t="n">
        <v>170</v>
      </c>
      <c r="AH6499" t="inlineStr">
        <is>
          <t>PT. JALUR MANDIRI UTAMA - PPN (PDG)</t>
        </is>
      </c>
      <c r="AI6499" t="n">
        <v>170</v>
      </c>
      <c r="AJ6499" t="inlineStr">
        <is>
          <t>YOU</t>
        </is>
      </c>
      <c r="AK6499" t="n">
        <v>21</v>
      </c>
      <c r="AL6499" t="inlineStr">
        <is>
          <t>Miss Glam Damar</t>
        </is>
      </c>
      <c r="AM6499" t="n">
        <v>1</v>
      </c>
      <c r="AN6499" t="n">
        <v>500000</v>
      </c>
      <c r="AO6499" t="n">
        <v>0</v>
      </c>
      <c r="AP6499" t="inlineStr"/>
      <c r="AQ6499" t="inlineStr"/>
    </row>
    <row r="6500">
      <c r="A6500" t="inlineStr">
        <is>
          <t>YOU</t>
        </is>
      </c>
      <c r="B6500" s="2">
        <f>"8991748002116"</f>
        <v/>
      </c>
      <c r="C6500" t="inlineStr">
        <is>
          <t>YOU Radiance Up! Pure Cica Essence 100ml</t>
        </is>
      </c>
      <c r="D6500" t="inlineStr">
        <is>
          <t>Miss Glam Damar</t>
        </is>
      </c>
      <c r="E6500" t="n">
        <v>8</v>
      </c>
      <c r="F6500" t="n">
        <v>0.1365</v>
      </c>
      <c r="G6500" t="n">
        <v>0.91</v>
      </c>
      <c r="H6500" t="n">
        <v>2</v>
      </c>
      <c r="I6500" t="n">
        <v>9</v>
      </c>
      <c r="J6500" t="n">
        <v>3</v>
      </c>
      <c r="K6500" t="n">
        <v>0</v>
      </c>
      <c r="L6500" t="n">
        <v>100720</v>
      </c>
      <c r="M6500" t="n">
        <v>125900</v>
      </c>
      <c r="N6500" t="n">
        <v>91</v>
      </c>
      <c r="O6500" t="n">
        <v>0.91</v>
      </c>
      <c r="P6500" t="n">
        <v>1</v>
      </c>
      <c r="Q6500" t="n">
        <v>0.29</v>
      </c>
      <c r="R6500" t="n">
        <v>2</v>
      </c>
      <c r="S6500" t="n">
        <v>17185.35</v>
      </c>
      <c r="T6500" t="n">
        <v>8</v>
      </c>
      <c r="U6500" t="n">
        <v>9</v>
      </c>
      <c r="V6500" t="n">
        <v>30</v>
      </c>
      <c r="W6500" t="n">
        <v>5</v>
      </c>
      <c r="X6500" t="n">
        <v>58.60805860805861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10397</v>
      </c>
      <c r="AG6500" t="n">
        <v>170</v>
      </c>
      <c r="AH6500" t="inlineStr">
        <is>
          <t>PT. JALUR MANDIRI UTAMA - PPN (PDG)</t>
        </is>
      </c>
      <c r="AI6500" t="n">
        <v>170</v>
      </c>
      <c r="AJ6500" t="inlineStr">
        <is>
          <t>YOU</t>
        </is>
      </c>
      <c r="AK6500" t="n">
        <v>21</v>
      </c>
      <c r="AL6500" t="inlineStr">
        <is>
          <t>Miss Glam Damar</t>
        </is>
      </c>
      <c r="AM6500" t="n">
        <v>1</v>
      </c>
      <c r="AN6500" t="n">
        <v>500000</v>
      </c>
      <c r="AO6500" t="n">
        <v>0</v>
      </c>
      <c r="AP6500" t="inlineStr"/>
      <c r="AQ6500" t="inlineStr"/>
    </row>
    <row r="6501">
      <c r="A6501" t="inlineStr">
        <is>
          <t>YOU</t>
        </is>
      </c>
      <c r="B6501" s="2">
        <f>"11200152148"</f>
        <v/>
      </c>
      <c r="C6501" t="inlineStr">
        <is>
          <t>YOU Radiance Up! Spotless Brightening Serum 20ml</t>
        </is>
      </c>
      <c r="D6501" t="inlineStr">
        <is>
          <t>Miss Glam Damar</t>
        </is>
      </c>
      <c r="E6501" t="n">
        <v>66</v>
      </c>
      <c r="F6501" t="n">
        <v>0.2002</v>
      </c>
      <c r="G6501" t="n">
        <v>0.91</v>
      </c>
      <c r="H6501" t="n">
        <v>2</v>
      </c>
      <c r="I6501" t="n">
        <v>9</v>
      </c>
      <c r="J6501" t="n">
        <v>1</v>
      </c>
      <c r="K6501" t="n">
        <v>0</v>
      </c>
      <c r="L6501" t="n">
        <v>71920</v>
      </c>
      <c r="M6501" t="n">
        <v>106000</v>
      </c>
      <c r="N6501" t="n">
        <v>91</v>
      </c>
      <c r="O6501" t="n">
        <v>0.91</v>
      </c>
      <c r="P6501" t="n">
        <v>1</v>
      </c>
      <c r="Q6501" t="n">
        <v>0.39</v>
      </c>
      <c r="R6501" t="n">
        <v>4</v>
      </c>
      <c r="S6501" t="n">
        <v>21221.2</v>
      </c>
      <c r="T6501" t="n">
        <v>8</v>
      </c>
      <c r="U6501" t="n">
        <v>9</v>
      </c>
      <c r="V6501" t="n">
        <v>30</v>
      </c>
      <c r="W6501" t="n">
        <v>7</v>
      </c>
      <c r="X6501" t="n">
        <v>329.6703296703296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10397</v>
      </c>
      <c r="AG6501" t="n">
        <v>170</v>
      </c>
      <c r="AH6501" t="inlineStr">
        <is>
          <t>PT. JALUR MANDIRI UTAMA - PPN (PDG)</t>
        </is>
      </c>
      <c r="AI6501" t="n">
        <v>170</v>
      </c>
      <c r="AJ6501" t="inlineStr">
        <is>
          <t>YOU</t>
        </is>
      </c>
      <c r="AK6501" t="n">
        <v>21</v>
      </c>
      <c r="AL6501" t="inlineStr">
        <is>
          <t>Miss Glam Damar</t>
        </is>
      </c>
      <c r="AM6501" t="n">
        <v>1</v>
      </c>
      <c r="AN6501" t="n">
        <v>500000</v>
      </c>
      <c r="AO6501" t="n">
        <v>0</v>
      </c>
      <c r="AP6501" t="inlineStr"/>
      <c r="AQ6501" t="inlineStr"/>
    </row>
    <row r="6502">
      <c r="A6502" t="inlineStr">
        <is>
          <t>YOU</t>
        </is>
      </c>
      <c r="B6502" s="2">
        <f>"102002107634"</f>
        <v/>
      </c>
      <c r="C6502" t="inlineStr">
        <is>
          <t>YOU Reeffect Boost 12% Acid INTENSIVE Peeling Serum 20ml</t>
        </is>
      </c>
      <c r="D6502" t="inlineStr">
        <is>
          <t>Miss Glam Damar</t>
        </is>
      </c>
      <c r="E6502" t="n">
        <v>4</v>
      </c>
      <c r="F6502" t="n">
        <v>0.3276</v>
      </c>
      <c r="G6502" t="n">
        <v>2.73</v>
      </c>
      <c r="H6502" t="n">
        <v>2</v>
      </c>
      <c r="I6502" t="n">
        <v>9</v>
      </c>
      <c r="J6502" t="n">
        <v>3</v>
      </c>
      <c r="K6502" t="n">
        <v>0</v>
      </c>
      <c r="L6502" t="n">
        <v>71200</v>
      </c>
      <c r="M6502" t="n">
        <v>89000</v>
      </c>
      <c r="N6502" t="n">
        <v>91</v>
      </c>
      <c r="O6502" t="n">
        <v>0.91</v>
      </c>
      <c r="P6502" t="n">
        <v>1</v>
      </c>
      <c r="Q6502" t="n">
        <v>0.22</v>
      </c>
      <c r="R6502" t="n">
        <v>3</v>
      </c>
      <c r="S6502" t="n">
        <v>29156.4</v>
      </c>
      <c r="T6502" t="n">
        <v>24</v>
      </c>
      <c r="U6502" t="n">
        <v>25</v>
      </c>
      <c r="V6502" t="n">
        <v>30</v>
      </c>
      <c r="W6502" t="n">
        <v>10</v>
      </c>
      <c r="X6502" t="n">
        <v>12.21001221001221</v>
      </c>
      <c r="Y6502" t="n">
        <v>1</v>
      </c>
      <c r="Z6502" t="n">
        <v>6</v>
      </c>
      <c r="AA6502" t="n">
        <v>0</v>
      </c>
      <c r="AB6502" t="n">
        <v>6</v>
      </c>
      <c r="AC6502" t="n">
        <v>6</v>
      </c>
      <c r="AD6502" t="n">
        <v>0</v>
      </c>
      <c r="AE6502" t="n">
        <v>427200</v>
      </c>
      <c r="AF6502" t="n">
        <v>10397</v>
      </c>
      <c r="AG6502" t="n">
        <v>170</v>
      </c>
      <c r="AH6502" t="inlineStr">
        <is>
          <t>PT. JALUR MANDIRI UTAMA - PPN (PDG)</t>
        </is>
      </c>
      <c r="AI6502" t="n">
        <v>170</v>
      </c>
      <c r="AJ6502" t="inlineStr">
        <is>
          <t>YOU</t>
        </is>
      </c>
      <c r="AK6502" t="n">
        <v>21</v>
      </c>
      <c r="AL6502" t="inlineStr">
        <is>
          <t>Miss Glam Damar</t>
        </is>
      </c>
      <c r="AM6502" t="n">
        <v>1</v>
      </c>
      <c r="AN6502" t="n">
        <v>500000</v>
      </c>
      <c r="AO6502" t="n">
        <v>0</v>
      </c>
      <c r="AP6502" t="inlineStr"/>
      <c r="AQ6502" t="inlineStr"/>
    </row>
    <row r="6503">
      <c r="A6503" t="inlineStr">
        <is>
          <t>YOU</t>
        </is>
      </c>
      <c r="B6503" s="2">
        <f>"102002107708"</f>
        <v/>
      </c>
      <c r="C6503" t="inlineStr">
        <is>
          <t>YOU Reeffect Boost 12% Acid INTENSIVE Peeling Serum 30ml</t>
        </is>
      </c>
      <c r="D6503" t="inlineStr">
        <is>
          <t>Miss Glam Damar</t>
        </is>
      </c>
      <c r="E6503" t="n">
        <v>30</v>
      </c>
      <c r="F6503" t="n">
        <v>0.2457</v>
      </c>
      <c r="G6503" t="n">
        <v>1.82</v>
      </c>
      <c r="H6503" t="n">
        <v>2</v>
      </c>
      <c r="I6503" t="n">
        <v>9</v>
      </c>
      <c r="J6503" t="n">
        <v>3</v>
      </c>
      <c r="K6503" t="n">
        <v>0</v>
      </c>
      <c r="L6503" t="n">
        <v>87200</v>
      </c>
      <c r="M6503" t="n">
        <v>109000</v>
      </c>
      <c r="N6503" t="n">
        <v>91</v>
      </c>
      <c r="O6503" t="n">
        <v>0.91</v>
      </c>
      <c r="P6503" t="n">
        <v>1</v>
      </c>
      <c r="Q6503" t="n">
        <v>0.22</v>
      </c>
      <c r="R6503" t="n">
        <v>2</v>
      </c>
      <c r="S6503" t="n">
        <v>26781.3</v>
      </c>
      <c r="T6503" t="n">
        <v>16</v>
      </c>
      <c r="U6503" t="n">
        <v>17</v>
      </c>
      <c r="V6503" t="n">
        <v>30</v>
      </c>
      <c r="W6503" t="n">
        <v>8</v>
      </c>
      <c r="X6503" t="n">
        <v>122.1001221001221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10397</v>
      </c>
      <c r="AG6503" t="n">
        <v>170</v>
      </c>
      <c r="AH6503" t="inlineStr">
        <is>
          <t>PT. JALUR MANDIRI UTAMA - PPN (PDG)</t>
        </is>
      </c>
      <c r="AI6503" t="n">
        <v>170</v>
      </c>
      <c r="AJ6503" t="inlineStr">
        <is>
          <t>YOU</t>
        </is>
      </c>
      <c r="AK6503" t="n">
        <v>21</v>
      </c>
      <c r="AL6503" t="inlineStr">
        <is>
          <t>Miss Glam Damar</t>
        </is>
      </c>
      <c r="AM6503" t="n">
        <v>1</v>
      </c>
      <c r="AN6503" t="n">
        <v>500000</v>
      </c>
      <c r="AO6503" t="n">
        <v>0</v>
      </c>
      <c r="AP6503" t="inlineStr"/>
      <c r="AQ6503" t="inlineStr"/>
    </row>
    <row r="6504">
      <c r="A6504" t="inlineStr">
        <is>
          <t>YOU</t>
        </is>
      </c>
      <c r="B6504" s="2">
        <f>"102002107807"</f>
        <v/>
      </c>
      <c r="C6504" t="inlineStr">
        <is>
          <t>YOU Reeffect Boost 6% Acid Renewal Peeling Serum 20ml</t>
        </is>
      </c>
      <c r="D6504" t="inlineStr">
        <is>
          <t>Miss Glam Damar</t>
        </is>
      </c>
      <c r="E6504" t="n">
        <v>8</v>
      </c>
      <c r="F6504" t="n">
        <v>0.1092</v>
      </c>
      <c r="G6504" t="n">
        <v>1.82</v>
      </c>
      <c r="H6504" t="n">
        <v>2</v>
      </c>
      <c r="I6504" t="n">
        <v>9</v>
      </c>
      <c r="J6504" t="n">
        <v>3</v>
      </c>
      <c r="K6504" t="n">
        <v>0</v>
      </c>
      <c r="L6504" t="n">
        <v>63200</v>
      </c>
      <c r="M6504" t="n">
        <v>79000</v>
      </c>
      <c r="N6504" t="n">
        <v>91</v>
      </c>
      <c r="O6504" t="n">
        <v>0.91</v>
      </c>
      <c r="P6504" t="n">
        <v>1</v>
      </c>
      <c r="Q6504" t="n">
        <v>0.02</v>
      </c>
      <c r="R6504" t="n">
        <v>2</v>
      </c>
      <c r="S6504" t="n">
        <v>8626.800000000001</v>
      </c>
      <c r="T6504" t="n">
        <v>17</v>
      </c>
      <c r="U6504" t="n">
        <v>18</v>
      </c>
      <c r="V6504" t="n">
        <v>30</v>
      </c>
      <c r="W6504" t="n">
        <v>4</v>
      </c>
      <c r="X6504" t="n">
        <v>73.26007326007326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10397</v>
      </c>
      <c r="AG6504" t="n">
        <v>170</v>
      </c>
      <c r="AH6504" t="inlineStr">
        <is>
          <t>PT. JALUR MANDIRI UTAMA - PPN (PDG)</t>
        </is>
      </c>
      <c r="AI6504" t="n">
        <v>170</v>
      </c>
      <c r="AJ6504" t="inlineStr">
        <is>
          <t>YOU</t>
        </is>
      </c>
      <c r="AK6504" t="n">
        <v>21</v>
      </c>
      <c r="AL6504" t="inlineStr">
        <is>
          <t>Miss Glam Damar</t>
        </is>
      </c>
      <c r="AM6504" t="n">
        <v>1</v>
      </c>
      <c r="AN6504" t="n">
        <v>500000</v>
      </c>
      <c r="AO6504" t="n">
        <v>0</v>
      </c>
      <c r="AP6504" t="inlineStr"/>
      <c r="AQ6504" t="inlineStr"/>
    </row>
    <row r="6505">
      <c r="A6505" t="inlineStr">
        <is>
          <t>YOU</t>
        </is>
      </c>
      <c r="B6505" s="2">
        <f>"11200433147"</f>
        <v/>
      </c>
      <c r="C6505" t="inlineStr">
        <is>
          <t>YOU Reeffect Boost Advanced Retinol Serum 15ml</t>
        </is>
      </c>
      <c r="D6505" t="inlineStr">
        <is>
          <t>Miss Glam Damar</t>
        </is>
      </c>
      <c r="E6505" t="n">
        <v>1</v>
      </c>
      <c r="F6505" t="n">
        <v>0.0546</v>
      </c>
      <c r="G6505" t="n">
        <v>0.91</v>
      </c>
      <c r="H6505" t="n">
        <v>2</v>
      </c>
      <c r="I6505" t="n">
        <v>9</v>
      </c>
      <c r="J6505" t="n">
        <v>1</v>
      </c>
      <c r="K6505" t="n">
        <v>0</v>
      </c>
      <c r="L6505" t="n">
        <v>39200</v>
      </c>
      <c r="M6505" t="n">
        <v>49000</v>
      </c>
      <c r="N6505" t="n">
        <v>91</v>
      </c>
      <c r="O6505" t="n">
        <v>0.91</v>
      </c>
      <c r="P6505" t="n">
        <v>1</v>
      </c>
      <c r="Q6505" t="n">
        <v>0.19</v>
      </c>
      <c r="R6505" t="n">
        <v>2</v>
      </c>
      <c r="S6505" t="n">
        <v>2675.4</v>
      </c>
      <c r="T6505" t="n">
        <v>9</v>
      </c>
      <c r="U6505" t="n">
        <v>10</v>
      </c>
      <c r="V6505" t="n">
        <v>30</v>
      </c>
      <c r="W6505" t="n">
        <v>2</v>
      </c>
      <c r="X6505" t="n">
        <v>18.31501831501831</v>
      </c>
      <c r="Y6505" t="n">
        <v>1</v>
      </c>
      <c r="Z6505" t="n">
        <v>1</v>
      </c>
      <c r="AA6505" t="n">
        <v>0</v>
      </c>
      <c r="AB6505" t="n">
        <v>1</v>
      </c>
      <c r="AC6505" t="n">
        <v>1</v>
      </c>
      <c r="AD6505" t="n">
        <v>0</v>
      </c>
      <c r="AE6505" t="n">
        <v>39200</v>
      </c>
      <c r="AF6505" t="n">
        <v>10397</v>
      </c>
      <c r="AG6505" t="n">
        <v>170</v>
      </c>
      <c r="AH6505" t="inlineStr">
        <is>
          <t>PT. JALUR MANDIRI UTAMA - PPN (PDG)</t>
        </is>
      </c>
      <c r="AI6505" t="n">
        <v>170</v>
      </c>
      <c r="AJ6505" t="inlineStr">
        <is>
          <t>YOU</t>
        </is>
      </c>
      <c r="AK6505" t="n">
        <v>21</v>
      </c>
      <c r="AL6505" t="inlineStr">
        <is>
          <t>Miss Glam Damar</t>
        </is>
      </c>
      <c r="AM6505" t="n">
        <v>1</v>
      </c>
      <c r="AN6505" t="n">
        <v>500000</v>
      </c>
      <c r="AO6505" t="n">
        <v>0</v>
      </c>
      <c r="AP6505" t="inlineStr"/>
      <c r="AQ6505" t="inlineStr"/>
    </row>
    <row r="6506">
      <c r="A6506" t="inlineStr">
        <is>
          <t>YOU</t>
        </is>
      </c>
      <c r="B6506" s="2">
        <f>"10300726250"</f>
        <v/>
      </c>
      <c r="C6506" t="inlineStr">
        <is>
          <t>YOU Reeffect Boost Renewal Retinol Moisturizer 30gr</t>
        </is>
      </c>
      <c r="D6506" t="inlineStr">
        <is>
          <t>Miss Glam Damar</t>
        </is>
      </c>
      <c r="E6506" t="n">
        <v>-1</v>
      </c>
      <c r="F6506" t="n">
        <v>0.06370000000000001</v>
      </c>
      <c r="G6506" t="n">
        <v>0.91</v>
      </c>
      <c r="H6506" t="n">
        <v>2</v>
      </c>
      <c r="I6506" t="n">
        <v>9</v>
      </c>
      <c r="J6506" t="n">
        <v>1</v>
      </c>
      <c r="K6506" t="n">
        <v>0</v>
      </c>
      <c r="L6506" t="n">
        <v>39200</v>
      </c>
      <c r="M6506" t="n">
        <v>49000</v>
      </c>
      <c r="N6506" t="n">
        <v>91</v>
      </c>
      <c r="O6506" t="n">
        <v>0.91</v>
      </c>
      <c r="P6506" t="n">
        <v>1</v>
      </c>
      <c r="Q6506" t="n">
        <v>0.14</v>
      </c>
      <c r="R6506" t="n">
        <v>1</v>
      </c>
      <c r="S6506" t="n">
        <v>3121.3</v>
      </c>
      <c r="T6506" t="n">
        <v>9</v>
      </c>
      <c r="U6506" t="n">
        <v>10</v>
      </c>
      <c r="V6506" t="n">
        <v>30</v>
      </c>
      <c r="W6506" t="n">
        <v>2</v>
      </c>
      <c r="X6506" t="n">
        <v>-15.69858712715855</v>
      </c>
      <c r="Y6506" t="n">
        <v>1</v>
      </c>
      <c r="Z6506" t="n">
        <v>3</v>
      </c>
      <c r="AA6506" t="n">
        <v>2</v>
      </c>
      <c r="AB6506" t="n">
        <v>1</v>
      </c>
      <c r="AC6506" t="n">
        <v>1</v>
      </c>
      <c r="AD6506" t="n">
        <v>78400</v>
      </c>
      <c r="AE6506" t="n">
        <v>39200</v>
      </c>
      <c r="AF6506" t="n">
        <v>10397</v>
      </c>
      <c r="AG6506" t="n">
        <v>170</v>
      </c>
      <c r="AH6506" t="inlineStr">
        <is>
          <t>PT. JALUR MANDIRI UTAMA - PPN (PDG)</t>
        </is>
      </c>
      <c r="AI6506" t="n">
        <v>170</v>
      </c>
      <c r="AJ6506" t="inlineStr">
        <is>
          <t>YOU</t>
        </is>
      </c>
      <c r="AK6506" t="n">
        <v>21</v>
      </c>
      <c r="AL6506" t="inlineStr">
        <is>
          <t>Miss Glam Damar</t>
        </is>
      </c>
      <c r="AM6506" t="n">
        <v>1</v>
      </c>
      <c r="AN6506" t="n">
        <v>500000</v>
      </c>
      <c r="AO6506" t="n">
        <v>0</v>
      </c>
      <c r="AP6506" t="inlineStr"/>
      <c r="AQ6506" t="inlineStr"/>
    </row>
    <row r="6507">
      <c r="A6507" t="inlineStr">
        <is>
          <t>YOU</t>
        </is>
      </c>
      <c r="B6507" s="2">
        <f>"8991748006527"</f>
        <v/>
      </c>
      <c r="C6507" t="inlineStr">
        <is>
          <t>YOU Rouge Power Matte Lip Cream R346 Whisper New 5gr</t>
        </is>
      </c>
      <c r="D6507" t="inlineStr">
        <is>
          <t>Miss Glam Damar</t>
        </is>
      </c>
      <c r="E6507" t="n">
        <v>29</v>
      </c>
      <c r="F6507" t="n">
        <v>0.0273</v>
      </c>
      <c r="G6507" t="n">
        <v>0.91</v>
      </c>
      <c r="H6507" t="n">
        <v>2</v>
      </c>
      <c r="I6507" t="n">
        <v>9</v>
      </c>
      <c r="J6507" t="n">
        <v>3</v>
      </c>
      <c r="K6507" t="n">
        <v>0</v>
      </c>
      <c r="L6507" t="n">
        <v>63920</v>
      </c>
      <c r="M6507" t="n">
        <v>79900</v>
      </c>
      <c r="N6507" t="n">
        <v>91</v>
      </c>
      <c r="O6507" t="n">
        <v>0.91</v>
      </c>
      <c r="P6507" t="n">
        <v>1</v>
      </c>
      <c r="Q6507" t="n">
        <v>0.07000000000000001</v>
      </c>
      <c r="R6507" t="n">
        <v>2</v>
      </c>
      <c r="S6507" t="n">
        <v>2181.27</v>
      </c>
      <c r="T6507" t="n">
        <v>9</v>
      </c>
      <c r="U6507" t="n">
        <v>10</v>
      </c>
      <c r="V6507" t="n">
        <v>30</v>
      </c>
      <c r="W6507" t="n">
        <v>1</v>
      </c>
      <c r="X6507" t="n">
        <v>1062.271062271062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10397</v>
      </c>
      <c r="AG6507" t="n">
        <v>170</v>
      </c>
      <c r="AH6507" t="inlineStr">
        <is>
          <t>PT. JALUR MANDIRI UTAMA - PPN (PDG)</t>
        </is>
      </c>
      <c r="AI6507" t="n">
        <v>170</v>
      </c>
      <c r="AJ6507" t="inlineStr">
        <is>
          <t>YOU</t>
        </is>
      </c>
      <c r="AK6507" t="n">
        <v>21</v>
      </c>
      <c r="AL6507" t="inlineStr">
        <is>
          <t>Miss Glam Damar</t>
        </is>
      </c>
      <c r="AM6507" t="n">
        <v>1</v>
      </c>
      <c r="AN6507" t="n">
        <v>500000</v>
      </c>
      <c r="AO6507" t="n">
        <v>0</v>
      </c>
      <c r="AP6507" t="inlineStr"/>
      <c r="AQ6507" t="inlineStr"/>
    </row>
    <row r="6508">
      <c r="A6508" t="inlineStr">
        <is>
          <t>YOU</t>
        </is>
      </c>
      <c r="B6508" s="2">
        <f>"8991748003090"</f>
        <v/>
      </c>
      <c r="C6508" t="inlineStr">
        <is>
          <t>YOU Simplicity Cotton Lip Clay O146 Nude Latte 3,3gr</t>
        </is>
      </c>
      <c r="D6508" t="inlineStr">
        <is>
          <t>Miss Glam Damar</t>
        </is>
      </c>
      <c r="E6508" t="n">
        <v>2</v>
      </c>
      <c r="F6508" t="n">
        <v>0.1274</v>
      </c>
      <c r="G6508" t="n">
        <v>0.91</v>
      </c>
      <c r="H6508" t="n">
        <v>2</v>
      </c>
      <c r="I6508" t="n">
        <v>9</v>
      </c>
      <c r="J6508" t="n">
        <v>3</v>
      </c>
      <c r="K6508" t="n">
        <v>0</v>
      </c>
      <c r="L6508" t="n">
        <v>47520</v>
      </c>
      <c r="M6508" t="n">
        <v>59400</v>
      </c>
      <c r="N6508" t="n">
        <v>91</v>
      </c>
      <c r="O6508" t="n">
        <v>0.91</v>
      </c>
      <c r="P6508" t="n">
        <v>1</v>
      </c>
      <c r="Q6508" t="n">
        <v>0.03</v>
      </c>
      <c r="R6508" t="n">
        <v>1</v>
      </c>
      <c r="S6508" t="n">
        <v>7567.56</v>
      </c>
      <c r="T6508" t="n">
        <v>8</v>
      </c>
      <c r="U6508" t="n">
        <v>9</v>
      </c>
      <c r="V6508" t="n">
        <v>30</v>
      </c>
      <c r="W6508" t="n">
        <v>4</v>
      </c>
      <c r="X6508" t="n">
        <v>15.69858712715855</v>
      </c>
      <c r="Y6508" t="n">
        <v>1</v>
      </c>
      <c r="Z6508" t="n">
        <v>2</v>
      </c>
      <c r="AA6508" t="n">
        <v>0</v>
      </c>
      <c r="AB6508" t="n">
        <v>2</v>
      </c>
      <c r="AC6508" t="n">
        <v>3</v>
      </c>
      <c r="AD6508" t="n">
        <v>0</v>
      </c>
      <c r="AE6508" t="n">
        <v>142560</v>
      </c>
      <c r="AF6508" t="n">
        <v>10397</v>
      </c>
      <c r="AG6508" t="n">
        <v>170</v>
      </c>
      <c r="AH6508" t="inlineStr">
        <is>
          <t>PT. JALUR MANDIRI UTAMA - PPN (PDG)</t>
        </is>
      </c>
      <c r="AI6508" t="n">
        <v>170</v>
      </c>
      <c r="AJ6508" t="inlineStr">
        <is>
          <t>YOU</t>
        </is>
      </c>
      <c r="AK6508" t="n">
        <v>21</v>
      </c>
      <c r="AL6508" t="inlineStr">
        <is>
          <t>Miss Glam Damar</t>
        </is>
      </c>
      <c r="AM6508" t="n">
        <v>1</v>
      </c>
      <c r="AN6508" t="n">
        <v>500000</v>
      </c>
      <c r="AO6508" t="n">
        <v>0</v>
      </c>
      <c r="AP6508" t="inlineStr"/>
      <c r="AQ6508" t="inlineStr"/>
    </row>
    <row r="6509">
      <c r="A6509" t="inlineStr">
        <is>
          <t>YOU</t>
        </is>
      </c>
      <c r="B6509" s="2">
        <f>"8991748003120"</f>
        <v/>
      </c>
      <c r="C6509" t="inlineStr">
        <is>
          <t>YOU Simplicity Cotton Lip Clay R966 Sugar Rush 3,3gr</t>
        </is>
      </c>
      <c r="D6509" t="inlineStr">
        <is>
          <t>Miss Glam Damar</t>
        </is>
      </c>
      <c r="E6509" t="n">
        <v>9</v>
      </c>
      <c r="F6509" t="n">
        <v>0.2</v>
      </c>
      <c r="G6509" t="n">
        <v>3</v>
      </c>
      <c r="H6509" t="n">
        <v>2</v>
      </c>
      <c r="I6509" t="n">
        <v>9</v>
      </c>
      <c r="J6509" t="n">
        <v>3</v>
      </c>
      <c r="K6509" t="n">
        <v>0</v>
      </c>
      <c r="L6509" t="n">
        <v>47520</v>
      </c>
      <c r="M6509" t="n">
        <v>59400</v>
      </c>
      <c r="N6509" t="n">
        <v>91</v>
      </c>
      <c r="O6509" t="n">
        <v>0.91</v>
      </c>
      <c r="P6509" t="n">
        <v>0</v>
      </c>
      <c r="Q6509" t="n">
        <v>0.2</v>
      </c>
      <c r="R6509" t="n">
        <v>3</v>
      </c>
      <c r="S6509" t="n">
        <v>11880</v>
      </c>
      <c r="T6509" t="n">
        <v>27</v>
      </c>
      <c r="U6509" t="n">
        <v>28</v>
      </c>
      <c r="V6509" t="n">
        <v>30</v>
      </c>
      <c r="W6509" t="n">
        <v>6</v>
      </c>
      <c r="X6509" t="n">
        <v>45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10397</v>
      </c>
      <c r="AG6509" t="n">
        <v>170</v>
      </c>
      <c r="AH6509" t="inlineStr">
        <is>
          <t>PT. JALUR MANDIRI UTAMA - PPN (PDG)</t>
        </is>
      </c>
      <c r="AI6509" t="n">
        <v>170</v>
      </c>
      <c r="AJ6509" t="inlineStr">
        <is>
          <t>YOU</t>
        </is>
      </c>
      <c r="AK6509" t="n">
        <v>21</v>
      </c>
      <c r="AL6509" t="inlineStr">
        <is>
          <t>Miss Glam Damar</t>
        </is>
      </c>
      <c r="AM6509" t="n">
        <v>1</v>
      </c>
      <c r="AN6509" t="n">
        <v>500000</v>
      </c>
      <c r="AO6509" t="n">
        <v>0</v>
      </c>
      <c r="AP6509" t="inlineStr"/>
      <c r="AQ6509" t="inlineStr"/>
    </row>
    <row r="6510">
      <c r="A6510" t="inlineStr">
        <is>
          <t>YOU</t>
        </is>
      </c>
      <c r="B6510" s="2">
        <f>"8991748002864"</f>
        <v/>
      </c>
      <c r="C6510" t="inlineStr">
        <is>
          <t>YOU Simplicity Glowy CC Cushion C205 15ml</t>
        </is>
      </c>
      <c r="D6510" t="inlineStr">
        <is>
          <t>Miss Glam Damar</t>
        </is>
      </c>
      <c r="E6510" t="n">
        <v>5</v>
      </c>
      <c r="F6510" t="n">
        <v>0.03</v>
      </c>
      <c r="G6510" t="n">
        <v>1</v>
      </c>
      <c r="H6510" t="n">
        <v>2</v>
      </c>
      <c r="I6510" t="n">
        <v>9</v>
      </c>
      <c r="J6510" t="n">
        <v>3</v>
      </c>
      <c r="K6510" t="n">
        <v>0</v>
      </c>
      <c r="L6510" t="n">
        <v>79200</v>
      </c>
      <c r="M6510" t="n">
        <v>99000</v>
      </c>
      <c r="N6510" t="n">
        <v>91</v>
      </c>
      <c r="O6510" t="n">
        <v>0.91</v>
      </c>
      <c r="P6510" t="n">
        <v>0</v>
      </c>
      <c r="Q6510" t="n">
        <v>0.03</v>
      </c>
      <c r="R6510" t="n">
        <v>1</v>
      </c>
      <c r="S6510" t="n">
        <v>2970</v>
      </c>
      <c r="T6510" t="n">
        <v>9</v>
      </c>
      <c r="U6510" t="n">
        <v>10</v>
      </c>
      <c r="V6510" t="n">
        <v>30</v>
      </c>
      <c r="W6510" t="n">
        <v>1</v>
      </c>
      <c r="X6510" t="n">
        <v>166.6666666666667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10397</v>
      </c>
      <c r="AG6510" t="n">
        <v>170</v>
      </c>
      <c r="AH6510" t="inlineStr">
        <is>
          <t>PT. JALUR MANDIRI UTAMA - PPN (PDG)</t>
        </is>
      </c>
      <c r="AI6510" t="n">
        <v>170</v>
      </c>
      <c r="AJ6510" t="inlineStr">
        <is>
          <t>YOU</t>
        </is>
      </c>
      <c r="AK6510" t="n">
        <v>21</v>
      </c>
      <c r="AL6510" t="inlineStr">
        <is>
          <t>Miss Glam Damar</t>
        </is>
      </c>
      <c r="AM6510" t="n">
        <v>1</v>
      </c>
      <c r="AN6510" t="n">
        <v>500000</v>
      </c>
      <c r="AO6510" t="n">
        <v>0</v>
      </c>
      <c r="AP6510" t="inlineStr"/>
      <c r="AQ6510" t="inlineStr"/>
    </row>
    <row r="6511">
      <c r="A6511" t="inlineStr">
        <is>
          <t>YOU</t>
        </is>
      </c>
      <c r="B6511" s="2">
        <f>"8991748002932"</f>
        <v/>
      </c>
      <c r="C6511" t="inlineStr">
        <is>
          <t>YOU Simplicity Matte Lip Color 0079 I Love It 3,2gr</t>
        </is>
      </c>
      <c r="D6511" t="inlineStr">
        <is>
          <t>Miss Glam Damar</t>
        </is>
      </c>
      <c r="E6511" t="n">
        <v>31</v>
      </c>
      <c r="F6511" t="n">
        <v>0.3822</v>
      </c>
      <c r="G6511" t="n">
        <v>2.73</v>
      </c>
      <c r="H6511" t="n">
        <v>2</v>
      </c>
      <c r="I6511" t="n">
        <v>9</v>
      </c>
      <c r="J6511" t="n">
        <v>3</v>
      </c>
      <c r="K6511" t="n">
        <v>0</v>
      </c>
      <c r="L6511" t="n">
        <v>39240</v>
      </c>
      <c r="M6511" t="n">
        <v>49050</v>
      </c>
      <c r="N6511" t="n">
        <v>91</v>
      </c>
      <c r="O6511" t="n">
        <v>0.91</v>
      </c>
      <c r="P6511" t="n">
        <v>1</v>
      </c>
      <c r="Q6511" t="n">
        <v>0.1</v>
      </c>
      <c r="R6511" t="n">
        <v>2</v>
      </c>
      <c r="S6511" t="n">
        <v>18746.91</v>
      </c>
      <c r="T6511" t="n">
        <v>24</v>
      </c>
      <c r="U6511" t="n">
        <v>25</v>
      </c>
      <c r="V6511" t="n">
        <v>30</v>
      </c>
      <c r="W6511" t="n">
        <v>12</v>
      </c>
      <c r="X6511" t="n">
        <v>81.10936682365254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10397</v>
      </c>
      <c r="AG6511" t="n">
        <v>170</v>
      </c>
      <c r="AH6511" t="inlineStr">
        <is>
          <t>PT. JALUR MANDIRI UTAMA - PPN (PDG)</t>
        </is>
      </c>
      <c r="AI6511" t="n">
        <v>170</v>
      </c>
      <c r="AJ6511" t="inlineStr">
        <is>
          <t>YOU</t>
        </is>
      </c>
      <c r="AK6511" t="n">
        <v>21</v>
      </c>
      <c r="AL6511" t="inlineStr">
        <is>
          <t>Miss Glam Damar</t>
        </is>
      </c>
      <c r="AM6511" t="n">
        <v>1</v>
      </c>
      <c r="AN6511" t="n">
        <v>500000</v>
      </c>
      <c r="AO6511" t="n">
        <v>0</v>
      </c>
      <c r="AP6511" t="inlineStr"/>
      <c r="AQ6511" t="inlineStr"/>
    </row>
    <row r="6512">
      <c r="A6512" t="inlineStr">
        <is>
          <t>YOU</t>
        </is>
      </c>
      <c r="B6512" s="2">
        <f>"8991748002949"</f>
        <v/>
      </c>
      <c r="C6512" t="inlineStr">
        <is>
          <t>YOU Simplicity Matte Lip Color R779 High Five 3,2gr</t>
        </is>
      </c>
      <c r="D6512" t="inlineStr">
        <is>
          <t>Miss Glam Damar</t>
        </is>
      </c>
      <c r="E6512" t="n">
        <v>0</v>
      </c>
      <c r="F6512" t="n">
        <v>0.03</v>
      </c>
      <c r="G6512" t="n">
        <v>1</v>
      </c>
      <c r="H6512" t="n">
        <v>2</v>
      </c>
      <c r="I6512" t="n">
        <v>9</v>
      </c>
      <c r="J6512" t="n">
        <v>3</v>
      </c>
      <c r="K6512" t="n">
        <v>0</v>
      </c>
      <c r="L6512" t="n">
        <v>39240</v>
      </c>
      <c r="M6512" t="n">
        <v>49050</v>
      </c>
      <c r="N6512" t="n">
        <v>91</v>
      </c>
      <c r="O6512" t="n">
        <v>0.91</v>
      </c>
      <c r="P6512" t="n">
        <v>0</v>
      </c>
      <c r="Q6512" t="n">
        <v>0.03</v>
      </c>
      <c r="R6512" t="n">
        <v>1</v>
      </c>
      <c r="S6512" t="n">
        <v>1471.5</v>
      </c>
      <c r="T6512" t="n">
        <v>9</v>
      </c>
      <c r="U6512" t="n">
        <v>10</v>
      </c>
      <c r="V6512" t="n">
        <v>30</v>
      </c>
      <c r="W6512" t="n">
        <v>1</v>
      </c>
      <c r="X6512" t="n">
        <v>0</v>
      </c>
      <c r="Y6512" t="n">
        <v>1</v>
      </c>
      <c r="Z6512" t="n">
        <v>1</v>
      </c>
      <c r="AA6512" t="n">
        <v>1</v>
      </c>
      <c r="AB6512" t="n">
        <v>0</v>
      </c>
      <c r="AC6512" t="n">
        <v>0</v>
      </c>
      <c r="AD6512" t="n">
        <v>39240</v>
      </c>
      <c r="AE6512" t="n">
        <v>0</v>
      </c>
      <c r="AF6512" t="n">
        <v>10397</v>
      </c>
      <c r="AG6512" t="n">
        <v>170</v>
      </c>
      <c r="AH6512" t="inlineStr">
        <is>
          <t>PT. JALUR MANDIRI UTAMA - PPN (PDG)</t>
        </is>
      </c>
      <c r="AI6512" t="n">
        <v>170</v>
      </c>
      <c r="AJ6512" t="inlineStr">
        <is>
          <t>YOU</t>
        </is>
      </c>
      <c r="AK6512" t="n">
        <v>21</v>
      </c>
      <c r="AL6512" t="inlineStr">
        <is>
          <t>Miss Glam Damar</t>
        </is>
      </c>
      <c r="AM6512" t="n">
        <v>1</v>
      </c>
      <c r="AN6512" t="n">
        <v>500000</v>
      </c>
      <c r="AO6512" t="n">
        <v>0</v>
      </c>
      <c r="AP6512" t="inlineStr"/>
      <c r="AQ6512" t="inlineStr"/>
    </row>
    <row r="6513">
      <c r="A6513" t="inlineStr">
        <is>
          <t>YOU</t>
        </is>
      </c>
      <c r="B6513" s="2">
        <f>"8991748002796"</f>
        <v/>
      </c>
      <c r="C6513" t="inlineStr">
        <is>
          <t>YOU Simplicity Perfect BB Cream W705 Vanilla 25gr</t>
        </is>
      </c>
      <c r="D6513" t="inlineStr">
        <is>
          <t>Miss Glam Damar</t>
        </is>
      </c>
      <c r="E6513" t="n">
        <v>6</v>
      </c>
      <c r="F6513" t="n">
        <v>0.03</v>
      </c>
      <c r="G6513" t="n">
        <v>1</v>
      </c>
      <c r="H6513" t="n">
        <v>2</v>
      </c>
      <c r="I6513" t="n">
        <v>9</v>
      </c>
      <c r="J6513" t="n">
        <v>3</v>
      </c>
      <c r="K6513" t="n">
        <v>0</v>
      </c>
      <c r="L6513" t="n">
        <v>43200</v>
      </c>
      <c r="M6513" t="n">
        <v>54000</v>
      </c>
      <c r="N6513" t="n">
        <v>91</v>
      </c>
      <c r="O6513" t="n">
        <v>0.91</v>
      </c>
      <c r="P6513" t="n">
        <v>0</v>
      </c>
      <c r="Q6513" t="n">
        <v>0.03</v>
      </c>
      <c r="R6513" t="n">
        <v>1</v>
      </c>
      <c r="S6513" t="n">
        <v>1620</v>
      </c>
      <c r="T6513" t="n">
        <v>9</v>
      </c>
      <c r="U6513" t="n">
        <v>10</v>
      </c>
      <c r="V6513" t="n">
        <v>30</v>
      </c>
      <c r="W6513" t="n">
        <v>1</v>
      </c>
      <c r="X6513" t="n">
        <v>200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10397</v>
      </c>
      <c r="AG6513" t="n">
        <v>170</v>
      </c>
      <c r="AH6513" t="inlineStr">
        <is>
          <t>PT. JALUR MANDIRI UTAMA - PPN (PDG)</t>
        </is>
      </c>
      <c r="AI6513" t="n">
        <v>170</v>
      </c>
      <c r="AJ6513" t="inlineStr">
        <is>
          <t>YOU</t>
        </is>
      </c>
      <c r="AK6513" t="n">
        <v>21</v>
      </c>
      <c r="AL6513" t="inlineStr">
        <is>
          <t>Miss Glam Damar</t>
        </is>
      </c>
      <c r="AM6513" t="n">
        <v>1</v>
      </c>
      <c r="AN6513" t="n">
        <v>500000</v>
      </c>
      <c r="AO6513" t="n">
        <v>0</v>
      </c>
      <c r="AP6513" t="inlineStr"/>
      <c r="AQ6513" t="inlineStr"/>
    </row>
    <row r="6514">
      <c r="A6514" t="inlineStr">
        <is>
          <t>YOU</t>
        </is>
      </c>
      <c r="B6514" s="2">
        <f>"8997227894173"</f>
        <v/>
      </c>
      <c r="C6514" t="inlineStr">
        <is>
          <t>YOU Stay All Day Pen Eyeliner 1ml</t>
        </is>
      </c>
      <c r="D6514" t="inlineStr">
        <is>
          <t>Miss Glam Damar</t>
        </is>
      </c>
      <c r="E6514" t="n">
        <v>29</v>
      </c>
      <c r="F6514" t="n">
        <v>0.2639</v>
      </c>
      <c r="G6514" t="n">
        <v>2.73</v>
      </c>
      <c r="H6514" t="n">
        <v>2</v>
      </c>
      <c r="I6514" t="n">
        <v>9</v>
      </c>
      <c r="J6514" t="n">
        <v>3</v>
      </c>
      <c r="K6514" t="n">
        <v>0</v>
      </c>
      <c r="L6514" t="n">
        <v>60720</v>
      </c>
      <c r="M6514" t="n">
        <v>75900</v>
      </c>
      <c r="N6514" t="n">
        <v>91</v>
      </c>
      <c r="O6514" t="n">
        <v>0.91</v>
      </c>
      <c r="P6514" t="n">
        <v>1</v>
      </c>
      <c r="Q6514" t="n">
        <v>0.54</v>
      </c>
      <c r="R6514" t="n">
        <v>3</v>
      </c>
      <c r="S6514" t="n">
        <v>20030.01</v>
      </c>
      <c r="T6514" t="n">
        <v>25</v>
      </c>
      <c r="U6514" t="n">
        <v>26</v>
      </c>
      <c r="V6514" t="n">
        <v>30</v>
      </c>
      <c r="W6514" t="n">
        <v>8</v>
      </c>
      <c r="X6514" t="n">
        <v>109.8901098901099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10397</v>
      </c>
      <c r="AG6514" t="n">
        <v>170</v>
      </c>
      <c r="AH6514" t="inlineStr">
        <is>
          <t>PT. JALUR MANDIRI UTAMA - PPN (PDG)</t>
        </is>
      </c>
      <c r="AI6514" t="n">
        <v>170</v>
      </c>
      <c r="AJ6514" t="inlineStr">
        <is>
          <t>YOU</t>
        </is>
      </c>
      <c r="AK6514" t="n">
        <v>21</v>
      </c>
      <c r="AL6514" t="inlineStr">
        <is>
          <t>Miss Glam Damar</t>
        </is>
      </c>
      <c r="AM6514" t="n">
        <v>1</v>
      </c>
      <c r="AN6514" t="n">
        <v>500000</v>
      </c>
      <c r="AO6514" t="n">
        <v>0</v>
      </c>
      <c r="AP6514" t="inlineStr"/>
      <c r="AQ6514" t="inlineStr"/>
    </row>
    <row r="6515">
      <c r="A6515" t="inlineStr">
        <is>
          <t>YOU</t>
        </is>
      </c>
      <c r="B6515" s="2">
        <f>"10400615456"</f>
        <v/>
      </c>
      <c r="C6515" t="inlineStr">
        <is>
          <t>YOU Sunbrella 2% Niacinamide Brightening Sunscreen 30ml</t>
        </is>
      </c>
      <c r="D6515" t="inlineStr">
        <is>
          <t>Miss Glam Damar</t>
        </is>
      </c>
      <c r="E6515" t="n">
        <v>52</v>
      </c>
      <c r="F6515" t="n">
        <v>2.1931</v>
      </c>
      <c r="G6515" t="n">
        <v>10.01</v>
      </c>
      <c r="H6515" t="n">
        <v>2</v>
      </c>
      <c r="I6515" t="n">
        <v>9</v>
      </c>
      <c r="J6515" t="n">
        <v>1</v>
      </c>
      <c r="K6515" t="n">
        <v>0</v>
      </c>
      <c r="L6515" t="n">
        <v>47120</v>
      </c>
      <c r="M6515" t="n">
        <v>58900</v>
      </c>
      <c r="N6515" t="n">
        <v>91</v>
      </c>
      <c r="O6515" t="n">
        <v>0.91</v>
      </c>
      <c r="P6515" t="n">
        <v>1</v>
      </c>
      <c r="Q6515" t="n">
        <v>2.44</v>
      </c>
      <c r="R6515" t="n">
        <v>8</v>
      </c>
      <c r="S6515" t="n">
        <v>129173.59</v>
      </c>
      <c r="T6515" t="n">
        <v>86</v>
      </c>
      <c r="U6515" t="n">
        <v>91</v>
      </c>
      <c r="V6515" t="n">
        <v>30</v>
      </c>
      <c r="W6515" t="n">
        <v>66</v>
      </c>
      <c r="X6515" t="n">
        <v>23.71072910491997</v>
      </c>
      <c r="Y6515" t="n">
        <v>1</v>
      </c>
      <c r="Z6515" t="n">
        <v>14</v>
      </c>
      <c r="AA6515" t="n">
        <v>0</v>
      </c>
      <c r="AB6515" t="n">
        <v>14</v>
      </c>
      <c r="AC6515" t="n">
        <v>14</v>
      </c>
      <c r="AD6515" t="n">
        <v>0</v>
      </c>
      <c r="AE6515" t="n">
        <v>659680</v>
      </c>
      <c r="AF6515" t="n">
        <v>10397</v>
      </c>
      <c r="AG6515" t="n">
        <v>170</v>
      </c>
      <c r="AH6515" t="inlineStr">
        <is>
          <t>PT. JALUR MANDIRI UTAMA - PPN (PDG)</t>
        </is>
      </c>
      <c r="AI6515" t="n">
        <v>170</v>
      </c>
      <c r="AJ6515" t="inlineStr">
        <is>
          <t>YOU</t>
        </is>
      </c>
      <c r="AK6515" t="n">
        <v>21</v>
      </c>
      <c r="AL6515" t="inlineStr">
        <is>
          <t>Miss Glam Damar</t>
        </is>
      </c>
      <c r="AM6515" t="n">
        <v>1</v>
      </c>
      <c r="AN6515" t="n">
        <v>500000</v>
      </c>
      <c r="AO6515" t="n">
        <v>0</v>
      </c>
      <c r="AP6515" t="inlineStr"/>
      <c r="AQ6515" t="inlineStr"/>
    </row>
    <row r="6516">
      <c r="A6516" t="inlineStr">
        <is>
          <t>YOU</t>
        </is>
      </c>
      <c r="B6516" s="2">
        <f>"10400614658"</f>
        <v/>
      </c>
      <c r="C6516" t="inlineStr">
        <is>
          <t>YOU Sunbrella Acnecare Shield  Sunscreen 30ml</t>
        </is>
      </c>
      <c r="D6516" t="inlineStr">
        <is>
          <t>Miss Glam Damar</t>
        </is>
      </c>
      <c r="E6516" t="n">
        <v>31</v>
      </c>
      <c r="F6516" t="n">
        <v>0.2275</v>
      </c>
      <c r="G6516" t="n">
        <v>3.64</v>
      </c>
      <c r="H6516" t="n">
        <v>2</v>
      </c>
      <c r="I6516" t="n">
        <v>9</v>
      </c>
      <c r="J6516" t="n">
        <v>3</v>
      </c>
      <c r="K6516" t="n">
        <v>0</v>
      </c>
      <c r="L6516" t="n">
        <v>63920</v>
      </c>
      <c r="M6516" t="n">
        <v>79900</v>
      </c>
      <c r="N6516" t="n">
        <v>91</v>
      </c>
      <c r="O6516" t="n">
        <v>0.91</v>
      </c>
      <c r="P6516" t="n">
        <v>1</v>
      </c>
      <c r="Q6516" t="n">
        <v>0.12</v>
      </c>
      <c r="R6516" t="n">
        <v>1</v>
      </c>
      <c r="S6516" t="n">
        <v>18177.25</v>
      </c>
      <c r="T6516" t="n">
        <v>33</v>
      </c>
      <c r="U6516" t="n">
        <v>34</v>
      </c>
      <c r="V6516" t="n">
        <v>30</v>
      </c>
      <c r="W6516" t="n">
        <v>7</v>
      </c>
      <c r="X6516" t="n">
        <v>136.2637362637363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10397</v>
      </c>
      <c r="AG6516" t="n">
        <v>170</v>
      </c>
      <c r="AH6516" t="inlineStr">
        <is>
          <t>PT. JALUR MANDIRI UTAMA - PPN (PDG)</t>
        </is>
      </c>
      <c r="AI6516" t="n">
        <v>170</v>
      </c>
      <c r="AJ6516" t="inlineStr">
        <is>
          <t>YOU</t>
        </is>
      </c>
      <c r="AK6516" t="n">
        <v>21</v>
      </c>
      <c r="AL6516" t="inlineStr">
        <is>
          <t>Miss Glam Damar</t>
        </is>
      </c>
      <c r="AM6516" t="n">
        <v>1</v>
      </c>
      <c r="AN6516" t="n">
        <v>500000</v>
      </c>
      <c r="AO6516" t="n">
        <v>0</v>
      </c>
      <c r="AP6516" t="inlineStr"/>
      <c r="AQ6516" t="inlineStr"/>
    </row>
    <row r="6517">
      <c r="A6517" t="inlineStr">
        <is>
          <t>YOU</t>
        </is>
      </c>
      <c r="B6517" s="2">
        <f>"8991748006886"</f>
        <v/>
      </c>
      <c r="C6517" t="inlineStr">
        <is>
          <t>YOU Sunbrella Daily Defense Sunscreen Serum Suitable For All Skin 30ml</t>
        </is>
      </c>
      <c r="D6517" t="inlineStr">
        <is>
          <t>Miss Glam Damar</t>
        </is>
      </c>
      <c r="E6517" t="n">
        <v>30</v>
      </c>
      <c r="F6517" t="n">
        <v>1.82</v>
      </c>
      <c r="G6517" t="n">
        <v>9.1</v>
      </c>
      <c r="H6517" t="n">
        <v>2</v>
      </c>
      <c r="I6517" t="n">
        <v>9</v>
      </c>
      <c r="J6517" t="n">
        <v>3</v>
      </c>
      <c r="K6517" t="n">
        <v>0</v>
      </c>
      <c r="L6517" t="n">
        <v>27920</v>
      </c>
      <c r="M6517" t="n">
        <v>34900</v>
      </c>
      <c r="N6517" t="n">
        <v>91</v>
      </c>
      <c r="O6517" t="n">
        <v>0.91</v>
      </c>
      <c r="P6517" t="n">
        <v>1</v>
      </c>
      <c r="Q6517" t="n">
        <v>0.61</v>
      </c>
      <c r="R6517" t="n">
        <v>3</v>
      </c>
      <c r="S6517" t="n">
        <v>63518</v>
      </c>
      <c r="T6517" t="n">
        <v>79</v>
      </c>
      <c r="U6517" t="n">
        <v>83</v>
      </c>
      <c r="V6517" t="n">
        <v>30</v>
      </c>
      <c r="W6517" t="n">
        <v>55</v>
      </c>
      <c r="X6517" t="n">
        <v>16.48351648351648</v>
      </c>
      <c r="Y6517" t="n">
        <v>1</v>
      </c>
      <c r="Z6517" t="n">
        <v>25</v>
      </c>
      <c r="AA6517" t="n">
        <v>0</v>
      </c>
      <c r="AB6517" t="n">
        <v>25</v>
      </c>
      <c r="AC6517" t="n">
        <v>25</v>
      </c>
      <c r="AD6517" t="n">
        <v>0</v>
      </c>
      <c r="AE6517" t="n">
        <v>698000</v>
      </c>
      <c r="AF6517" t="n">
        <v>10397</v>
      </c>
      <c r="AG6517" t="n">
        <v>170</v>
      </c>
      <c r="AH6517" t="inlineStr">
        <is>
          <t>PT. JALUR MANDIRI UTAMA - PPN (PDG)</t>
        </is>
      </c>
      <c r="AI6517" t="n">
        <v>170</v>
      </c>
      <c r="AJ6517" t="inlineStr">
        <is>
          <t>YOU</t>
        </is>
      </c>
      <c r="AK6517" t="n">
        <v>21</v>
      </c>
      <c r="AL6517" t="inlineStr">
        <is>
          <t>Miss Glam Damar</t>
        </is>
      </c>
      <c r="AM6517" t="n">
        <v>1</v>
      </c>
      <c r="AN6517" t="n">
        <v>500000</v>
      </c>
      <c r="AO6517" t="n">
        <v>0</v>
      </c>
      <c r="AP6517" t="inlineStr"/>
      <c r="AQ6517" t="inlineStr"/>
    </row>
    <row r="6518">
      <c r="A6518" t="inlineStr">
        <is>
          <t>YOU</t>
        </is>
      </c>
      <c r="B6518" s="2">
        <f>"10400614509"</f>
        <v/>
      </c>
      <c r="C6518" t="inlineStr">
        <is>
          <t>YOU Sunbrella Gentlecare Physical Sunscreen 30ml</t>
        </is>
      </c>
      <c r="D6518" t="inlineStr">
        <is>
          <t>Miss Glam Damar</t>
        </is>
      </c>
      <c r="E6518" t="n">
        <v>22</v>
      </c>
      <c r="F6518" t="n">
        <v>0.2457</v>
      </c>
      <c r="G6518" t="n">
        <v>1.82</v>
      </c>
      <c r="H6518" t="n">
        <v>2</v>
      </c>
      <c r="I6518" t="n">
        <v>9</v>
      </c>
      <c r="J6518" t="n">
        <v>3</v>
      </c>
      <c r="K6518" t="n">
        <v>0</v>
      </c>
      <c r="L6518" t="n">
        <v>63920</v>
      </c>
      <c r="M6518" t="n">
        <v>79900</v>
      </c>
      <c r="N6518" t="n">
        <v>91</v>
      </c>
      <c r="O6518" t="n">
        <v>0.91</v>
      </c>
      <c r="P6518" t="n">
        <v>1</v>
      </c>
      <c r="Q6518" t="n">
        <v>0.31</v>
      </c>
      <c r="R6518" t="n">
        <v>4</v>
      </c>
      <c r="S6518" t="n">
        <v>19631.43</v>
      </c>
      <c r="T6518" t="n">
        <v>16</v>
      </c>
      <c r="U6518" t="n">
        <v>17</v>
      </c>
      <c r="V6518" t="n">
        <v>30</v>
      </c>
      <c r="W6518" t="n">
        <v>8</v>
      </c>
      <c r="X6518" t="n">
        <v>89.54008954008953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10397</v>
      </c>
      <c r="AG6518" t="n">
        <v>170</v>
      </c>
      <c r="AH6518" t="inlineStr">
        <is>
          <t>PT. JALUR MANDIRI UTAMA - PPN (PDG)</t>
        </is>
      </c>
      <c r="AI6518" t="n">
        <v>170</v>
      </c>
      <c r="AJ6518" t="inlineStr">
        <is>
          <t>YOU</t>
        </is>
      </c>
      <c r="AK6518" t="n">
        <v>21</v>
      </c>
      <c r="AL6518" t="inlineStr">
        <is>
          <t>Miss Glam Damar</t>
        </is>
      </c>
      <c r="AM6518" t="n">
        <v>1</v>
      </c>
      <c r="AN6518" t="n">
        <v>500000</v>
      </c>
      <c r="AO6518" t="n">
        <v>0</v>
      </c>
      <c r="AP6518" t="inlineStr"/>
      <c r="AQ6518" t="inlineStr"/>
    </row>
    <row r="6519">
      <c r="A6519" t="inlineStr">
        <is>
          <t>YOU</t>
        </is>
      </c>
      <c r="B6519" s="2">
        <f>"8991748004905"</f>
        <v/>
      </c>
      <c r="C6519" t="inlineStr">
        <is>
          <t>YOU Sunbrella Intensive Care Watery Sunscreen 30ml</t>
        </is>
      </c>
      <c r="D6519" t="inlineStr">
        <is>
          <t>Miss Glam Damar</t>
        </is>
      </c>
      <c r="E6519" t="n">
        <v>19</v>
      </c>
      <c r="F6519" t="n">
        <v>0.5733</v>
      </c>
      <c r="G6519" t="n">
        <v>2.73</v>
      </c>
      <c r="H6519" t="n">
        <v>2</v>
      </c>
      <c r="I6519" t="n">
        <v>9</v>
      </c>
      <c r="J6519" t="n">
        <v>3</v>
      </c>
      <c r="K6519" t="n">
        <v>0</v>
      </c>
      <c r="L6519" t="n">
        <v>71920</v>
      </c>
      <c r="M6519" t="n">
        <v>89900</v>
      </c>
      <c r="N6519" t="n">
        <v>91</v>
      </c>
      <c r="O6519" t="n">
        <v>0.91</v>
      </c>
      <c r="P6519" t="n">
        <v>1</v>
      </c>
      <c r="Q6519" t="n">
        <v>0.31</v>
      </c>
      <c r="R6519" t="n">
        <v>2</v>
      </c>
      <c r="S6519" t="n">
        <v>51539.67000000001</v>
      </c>
      <c r="T6519" t="n">
        <v>24</v>
      </c>
      <c r="U6519" t="n">
        <v>26</v>
      </c>
      <c r="V6519" t="n">
        <v>30</v>
      </c>
      <c r="W6519" t="n">
        <v>18</v>
      </c>
      <c r="X6519" t="n">
        <v>33.14146171289028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10397</v>
      </c>
      <c r="AG6519" t="n">
        <v>170</v>
      </c>
      <c r="AH6519" t="inlineStr">
        <is>
          <t>PT. JALUR MANDIRI UTAMA - PPN (PDG)</t>
        </is>
      </c>
      <c r="AI6519" t="n">
        <v>170</v>
      </c>
      <c r="AJ6519" t="inlineStr">
        <is>
          <t>YOU</t>
        </is>
      </c>
      <c r="AK6519" t="n">
        <v>21</v>
      </c>
      <c r="AL6519" t="inlineStr">
        <is>
          <t>Miss Glam Damar</t>
        </is>
      </c>
      <c r="AM6519" t="n">
        <v>1</v>
      </c>
      <c r="AN6519" t="n">
        <v>500000</v>
      </c>
      <c r="AO6519" t="n">
        <v>0</v>
      </c>
      <c r="AP6519" t="inlineStr"/>
      <c r="AQ6519" t="inlineStr"/>
    </row>
    <row r="6520">
      <c r="A6520" t="inlineStr">
        <is>
          <t>YOU</t>
        </is>
      </c>
      <c r="B6520" s="2">
        <f>"8991748006916"</f>
        <v/>
      </c>
      <c r="C6520" t="inlineStr">
        <is>
          <t>YOU Sunbrella Sunscreen Spray SPF 50+ PA++++ 50ml</t>
        </is>
      </c>
      <c r="D6520" t="inlineStr">
        <is>
          <t>Miss Glam Damar</t>
        </is>
      </c>
      <c r="E6520" t="n">
        <v>12</v>
      </c>
      <c r="F6520" t="n">
        <v>0.2457</v>
      </c>
      <c r="G6520" t="n">
        <v>2.73</v>
      </c>
      <c r="H6520" t="n">
        <v>2</v>
      </c>
      <c r="I6520" t="n">
        <v>9</v>
      </c>
      <c r="J6520" t="n">
        <v>3</v>
      </c>
      <c r="K6520" t="n">
        <v>0</v>
      </c>
      <c r="L6520" t="n">
        <v>55920</v>
      </c>
      <c r="M6520" t="n">
        <v>69900</v>
      </c>
      <c r="N6520" t="n">
        <v>91</v>
      </c>
      <c r="O6520" t="n">
        <v>0.91</v>
      </c>
      <c r="P6520" t="n">
        <v>1</v>
      </c>
      <c r="Q6520" t="n">
        <v>0.32</v>
      </c>
      <c r="R6520" t="n">
        <v>2</v>
      </c>
      <c r="S6520" t="n">
        <v>17174.43</v>
      </c>
      <c r="T6520" t="n">
        <v>25</v>
      </c>
      <c r="U6520" t="n">
        <v>26</v>
      </c>
      <c r="V6520" t="n">
        <v>30</v>
      </c>
      <c r="W6520" t="n">
        <v>8</v>
      </c>
      <c r="X6520" t="n">
        <v>48.84004884004884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10397</v>
      </c>
      <c r="AG6520" t="n">
        <v>170</v>
      </c>
      <c r="AH6520" t="inlineStr">
        <is>
          <t>PT. JALUR MANDIRI UTAMA - PPN (PDG)</t>
        </is>
      </c>
      <c r="AI6520" t="n">
        <v>170</v>
      </c>
      <c r="AJ6520" t="inlineStr">
        <is>
          <t>YOU</t>
        </is>
      </c>
      <c r="AK6520" t="n">
        <v>21</v>
      </c>
      <c r="AL6520" t="inlineStr">
        <is>
          <t>Miss Glam Damar</t>
        </is>
      </c>
      <c r="AM6520" t="n">
        <v>1</v>
      </c>
      <c r="AN6520" t="n">
        <v>500000</v>
      </c>
      <c r="AO6520" t="n">
        <v>0</v>
      </c>
      <c r="AP6520" t="inlineStr"/>
      <c r="AQ6520" t="inlineStr"/>
    </row>
    <row r="6521">
      <c r="A6521" t="inlineStr">
        <is>
          <t>YOU</t>
        </is>
      </c>
      <c r="B6521" s="2">
        <f>"8991748006909"</f>
        <v/>
      </c>
      <c r="C6521" t="inlineStr">
        <is>
          <t>YOU Sunbrella Tone Up UV Elixir Sunscreen 40ml</t>
        </is>
      </c>
      <c r="D6521" t="inlineStr">
        <is>
          <t>Miss Glam Damar</t>
        </is>
      </c>
      <c r="E6521" t="n">
        <v>18</v>
      </c>
      <c r="F6521" t="n">
        <v>1.1375</v>
      </c>
      <c r="G6521" t="n">
        <v>3.64</v>
      </c>
      <c r="H6521" t="n">
        <v>2</v>
      </c>
      <c r="I6521" t="n">
        <v>9</v>
      </c>
      <c r="J6521" t="n">
        <v>3</v>
      </c>
      <c r="K6521" t="n">
        <v>0</v>
      </c>
      <c r="L6521" t="n">
        <v>55920</v>
      </c>
      <c r="M6521" t="n">
        <v>69900</v>
      </c>
      <c r="N6521" t="n">
        <v>91</v>
      </c>
      <c r="O6521" t="n">
        <v>0.91</v>
      </c>
      <c r="P6521" t="n">
        <v>1</v>
      </c>
      <c r="Q6521" t="n">
        <v>0.8100000000000001</v>
      </c>
      <c r="R6521" t="n">
        <v>3</v>
      </c>
      <c r="S6521" t="n">
        <v>79511.25</v>
      </c>
      <c r="T6521" t="n">
        <v>31</v>
      </c>
      <c r="U6521" t="n">
        <v>34</v>
      </c>
      <c r="V6521" t="n">
        <v>30</v>
      </c>
      <c r="W6521" t="n">
        <v>35</v>
      </c>
      <c r="X6521" t="n">
        <v>15.82417582417582</v>
      </c>
      <c r="Y6521" t="n">
        <v>1</v>
      </c>
      <c r="Z6521" t="n">
        <v>17</v>
      </c>
      <c r="AA6521" t="n">
        <v>0</v>
      </c>
      <c r="AB6521" t="n">
        <v>17</v>
      </c>
      <c r="AC6521" t="n">
        <v>17</v>
      </c>
      <c r="AD6521" t="n">
        <v>0</v>
      </c>
      <c r="AE6521" t="n">
        <v>950640</v>
      </c>
      <c r="AF6521" t="n">
        <v>10397</v>
      </c>
      <c r="AG6521" t="n">
        <v>170</v>
      </c>
      <c r="AH6521" t="inlineStr">
        <is>
          <t>PT. JALUR MANDIRI UTAMA - PPN (PDG)</t>
        </is>
      </c>
      <c r="AI6521" t="n">
        <v>170</v>
      </c>
      <c r="AJ6521" t="inlineStr">
        <is>
          <t>YOU</t>
        </is>
      </c>
      <c r="AK6521" t="n">
        <v>21</v>
      </c>
      <c r="AL6521" t="inlineStr">
        <is>
          <t>Miss Glam Damar</t>
        </is>
      </c>
      <c r="AM6521" t="n">
        <v>1</v>
      </c>
      <c r="AN6521" t="n">
        <v>500000</v>
      </c>
      <c r="AO6521" t="n">
        <v>0</v>
      </c>
      <c r="AP6521" t="inlineStr"/>
      <c r="AQ6521" t="inlineStr"/>
    </row>
    <row r="6522">
      <c r="A6522" t="inlineStr">
        <is>
          <t>YOU</t>
        </is>
      </c>
      <c r="B6522" s="2">
        <f>"10400206721"</f>
        <v/>
      </c>
      <c r="C6522" t="inlineStr">
        <is>
          <t>YOU Sunbrella Ultra Airy Outdoor Sunscreen Spray 50ml</t>
        </is>
      </c>
      <c r="D6522" t="inlineStr">
        <is>
          <t>Miss Glam Damar</t>
        </is>
      </c>
      <c r="E6522" t="n">
        <v>21</v>
      </c>
      <c r="F6522" t="n">
        <v>0.2184</v>
      </c>
      <c r="G6522" t="n">
        <v>2.73</v>
      </c>
      <c r="H6522" t="n">
        <v>2</v>
      </c>
      <c r="I6522" t="n">
        <v>9</v>
      </c>
      <c r="J6522" t="n">
        <v>1</v>
      </c>
      <c r="K6522" t="n">
        <v>0</v>
      </c>
      <c r="L6522" t="n">
        <v>55920</v>
      </c>
      <c r="M6522" t="n">
        <v>69900</v>
      </c>
      <c r="N6522" t="n">
        <v>91</v>
      </c>
      <c r="O6522" t="n">
        <v>0.91</v>
      </c>
      <c r="P6522" t="n">
        <v>1</v>
      </c>
      <c r="Q6522" t="n">
        <v>0.14</v>
      </c>
      <c r="R6522" t="n">
        <v>1</v>
      </c>
      <c r="S6522" t="n">
        <v>15266.16</v>
      </c>
      <c r="T6522" t="n">
        <v>25</v>
      </c>
      <c r="U6522" t="n">
        <v>26</v>
      </c>
      <c r="V6522" t="n">
        <v>30</v>
      </c>
      <c r="W6522" t="n">
        <v>7</v>
      </c>
      <c r="X6522" t="n">
        <v>96.15384615384615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10397</v>
      </c>
      <c r="AG6522" t="n">
        <v>170</v>
      </c>
      <c r="AH6522" t="inlineStr">
        <is>
          <t>PT. JALUR MANDIRI UTAMA - PPN (PDG)</t>
        </is>
      </c>
      <c r="AI6522" t="n">
        <v>170</v>
      </c>
      <c r="AJ6522" t="inlineStr">
        <is>
          <t>YOU</t>
        </is>
      </c>
      <c r="AK6522" t="n">
        <v>21</v>
      </c>
      <c r="AL6522" t="inlineStr">
        <is>
          <t>Miss Glam Damar</t>
        </is>
      </c>
      <c r="AM6522" t="n">
        <v>1</v>
      </c>
      <c r="AN6522" t="n">
        <v>500000</v>
      </c>
      <c r="AO6522" t="n">
        <v>0</v>
      </c>
      <c r="AP6522" t="inlineStr"/>
      <c r="AQ6522" t="inlineStr"/>
    </row>
    <row r="6523">
      <c r="A6523" t="inlineStr">
        <is>
          <t>YOU</t>
        </is>
      </c>
      <c r="B6523" s="2">
        <f>"8997227894074"</f>
        <v/>
      </c>
      <c r="C6523" t="inlineStr">
        <is>
          <t>YOU Teardrop Brow Definer BR01 Dark Brown 0,25gr</t>
        </is>
      </c>
      <c r="D6523" t="inlineStr">
        <is>
          <t>Miss Glam Damar</t>
        </is>
      </c>
      <c r="E6523" t="n">
        <v>1</v>
      </c>
      <c r="F6523" t="n">
        <v>0.39</v>
      </c>
      <c r="G6523" t="n">
        <v>4</v>
      </c>
      <c r="H6523" t="n">
        <v>2</v>
      </c>
      <c r="I6523" t="n">
        <v>9</v>
      </c>
      <c r="J6523" t="n">
        <v>3</v>
      </c>
      <c r="K6523" t="n">
        <v>0</v>
      </c>
      <c r="L6523" t="n">
        <v>31920</v>
      </c>
      <c r="M6523" t="n">
        <v>39900</v>
      </c>
      <c r="N6523" t="n">
        <v>91</v>
      </c>
      <c r="O6523" t="n">
        <v>0.91</v>
      </c>
      <c r="P6523" t="n">
        <v>0</v>
      </c>
      <c r="Q6523" t="n">
        <v>0.39</v>
      </c>
      <c r="R6523" t="n">
        <v>4</v>
      </c>
      <c r="S6523" t="n">
        <v>15561</v>
      </c>
      <c r="T6523" t="n">
        <v>36</v>
      </c>
      <c r="U6523" t="n">
        <v>37</v>
      </c>
      <c r="V6523" t="n">
        <v>30</v>
      </c>
      <c r="W6523" t="n">
        <v>12</v>
      </c>
      <c r="X6523" t="n">
        <v>2.564102564102564</v>
      </c>
      <c r="Y6523" t="n">
        <v>1</v>
      </c>
      <c r="Z6523" t="n">
        <v>11</v>
      </c>
      <c r="AA6523" t="n">
        <v>3</v>
      </c>
      <c r="AB6523" t="n">
        <v>8</v>
      </c>
      <c r="AC6523" t="n">
        <v>8</v>
      </c>
      <c r="AD6523" t="n">
        <v>95760</v>
      </c>
      <c r="AE6523" t="n">
        <v>255360</v>
      </c>
      <c r="AF6523" t="n">
        <v>10397</v>
      </c>
      <c r="AG6523" t="n">
        <v>170</v>
      </c>
      <c r="AH6523" t="inlineStr">
        <is>
          <t>PT. JALUR MANDIRI UTAMA - PPN (PDG)</t>
        </is>
      </c>
      <c r="AI6523" t="n">
        <v>170</v>
      </c>
      <c r="AJ6523" t="inlineStr">
        <is>
          <t>YOU</t>
        </is>
      </c>
      <c r="AK6523" t="n">
        <v>21</v>
      </c>
      <c r="AL6523" t="inlineStr">
        <is>
          <t>Miss Glam Damar</t>
        </is>
      </c>
      <c r="AM6523" t="n">
        <v>1</v>
      </c>
      <c r="AN6523" t="n">
        <v>500000</v>
      </c>
      <c r="AO6523" t="n">
        <v>0</v>
      </c>
      <c r="AP6523" t="inlineStr"/>
      <c r="AQ6523" t="inlineStr"/>
    </row>
    <row r="6524">
      <c r="A6524" t="inlineStr">
        <is>
          <t>YOU</t>
        </is>
      </c>
      <c r="B6524" s="2">
        <f>"8997227895118"</f>
        <v/>
      </c>
      <c r="C6524" t="inlineStr">
        <is>
          <t>YOU Teardrop Brow Definer Br03 Ash Brown 0,25gr</t>
        </is>
      </c>
      <c r="D6524" t="inlineStr">
        <is>
          <t>Miss Glam Damar</t>
        </is>
      </c>
      <c r="E6524" t="n">
        <v>0</v>
      </c>
      <c r="F6524" t="n">
        <v>0.06370000000000001</v>
      </c>
      <c r="G6524" t="n">
        <v>0.91</v>
      </c>
      <c r="H6524" t="n">
        <v>2</v>
      </c>
      <c r="I6524" t="n">
        <v>9</v>
      </c>
      <c r="J6524" t="n">
        <v>3</v>
      </c>
      <c r="K6524" t="n">
        <v>0</v>
      </c>
      <c r="L6524" t="n">
        <v>31920</v>
      </c>
      <c r="M6524" t="n">
        <v>39900</v>
      </c>
      <c r="N6524" t="n">
        <v>91</v>
      </c>
      <c r="O6524" t="n">
        <v>0.91</v>
      </c>
      <c r="P6524" t="n">
        <v>1</v>
      </c>
      <c r="Q6524" t="n">
        <v>0.34</v>
      </c>
      <c r="R6524" t="n">
        <v>3</v>
      </c>
      <c r="S6524" t="n">
        <v>2541.63</v>
      </c>
      <c r="T6524" t="n">
        <v>9</v>
      </c>
      <c r="U6524" t="n">
        <v>10</v>
      </c>
      <c r="V6524" t="n">
        <v>30</v>
      </c>
      <c r="W6524" t="n">
        <v>2</v>
      </c>
      <c r="X6524" t="n">
        <v>0</v>
      </c>
      <c r="Y6524" t="n">
        <v>1</v>
      </c>
      <c r="Z6524" t="n">
        <v>2</v>
      </c>
      <c r="AA6524" t="n">
        <v>1</v>
      </c>
      <c r="AB6524" t="n">
        <v>1</v>
      </c>
      <c r="AC6524" t="n">
        <v>3</v>
      </c>
      <c r="AD6524" t="n">
        <v>31920</v>
      </c>
      <c r="AE6524" t="n">
        <v>95760</v>
      </c>
      <c r="AF6524" t="n">
        <v>10397</v>
      </c>
      <c r="AG6524" t="n">
        <v>170</v>
      </c>
      <c r="AH6524" t="inlineStr">
        <is>
          <t>PT. JALUR MANDIRI UTAMA - PPN (PDG)</t>
        </is>
      </c>
      <c r="AI6524" t="n">
        <v>170</v>
      </c>
      <c r="AJ6524" t="inlineStr">
        <is>
          <t>YOU</t>
        </is>
      </c>
      <c r="AK6524" t="n">
        <v>21</v>
      </c>
      <c r="AL6524" t="inlineStr">
        <is>
          <t>Miss Glam Damar</t>
        </is>
      </c>
      <c r="AM6524" t="n">
        <v>1</v>
      </c>
      <c r="AN6524" t="n">
        <v>500000</v>
      </c>
      <c r="AO6524" t="n">
        <v>0</v>
      </c>
      <c r="AP6524" t="inlineStr"/>
      <c r="AQ6524" t="inlineStr"/>
    </row>
    <row r="6525">
      <c r="A6525" t="inlineStr">
        <is>
          <t>YOU</t>
        </is>
      </c>
      <c r="B6525" s="2">
        <f>"8997227894708"</f>
        <v/>
      </c>
      <c r="C6525" t="inlineStr">
        <is>
          <t>YOU Teardrop Brow Definer Gy04 Charcoal Grey 0,25gr</t>
        </is>
      </c>
      <c r="D6525" t="inlineStr">
        <is>
          <t>Miss Glam Damar</t>
        </is>
      </c>
      <c r="E6525" t="n">
        <v>15</v>
      </c>
      <c r="F6525" t="n">
        <v>0.2821</v>
      </c>
      <c r="G6525" t="n">
        <v>1.82</v>
      </c>
      <c r="H6525" t="n">
        <v>2</v>
      </c>
      <c r="I6525" t="n">
        <v>9</v>
      </c>
      <c r="J6525" t="n">
        <v>3</v>
      </c>
      <c r="K6525" t="n">
        <v>0</v>
      </c>
      <c r="L6525" t="n">
        <v>31920</v>
      </c>
      <c r="M6525" t="n">
        <v>39900</v>
      </c>
      <c r="N6525" t="n">
        <v>91</v>
      </c>
      <c r="O6525" t="n">
        <v>0.91</v>
      </c>
      <c r="P6525" t="n">
        <v>1</v>
      </c>
      <c r="Q6525" t="n">
        <v>0.05</v>
      </c>
      <c r="R6525" t="n">
        <v>1</v>
      </c>
      <c r="S6525" t="n">
        <v>11255.79</v>
      </c>
      <c r="T6525" t="n">
        <v>16</v>
      </c>
      <c r="U6525" t="n">
        <v>17</v>
      </c>
      <c r="V6525" t="n">
        <v>30</v>
      </c>
      <c r="W6525" t="n">
        <v>9</v>
      </c>
      <c r="X6525" t="n">
        <v>53.1726338177951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10397</v>
      </c>
      <c r="AG6525" t="n">
        <v>170</v>
      </c>
      <c r="AH6525" t="inlineStr">
        <is>
          <t>PT. JALUR MANDIRI UTAMA - PPN (PDG)</t>
        </is>
      </c>
      <c r="AI6525" t="n">
        <v>170</v>
      </c>
      <c r="AJ6525" t="inlineStr">
        <is>
          <t>YOU</t>
        </is>
      </c>
      <c r="AK6525" t="n">
        <v>21</v>
      </c>
      <c r="AL6525" t="inlineStr">
        <is>
          <t>Miss Glam Damar</t>
        </is>
      </c>
      <c r="AM6525" t="n">
        <v>1</v>
      </c>
      <c r="AN6525" t="n">
        <v>500000</v>
      </c>
      <c r="AO6525" t="n">
        <v>0</v>
      </c>
      <c r="AP6525" t="inlineStr"/>
      <c r="AQ6525" t="inlineStr"/>
    </row>
    <row r="6526">
      <c r="A6526" t="inlineStr">
        <is>
          <t>YOU</t>
        </is>
      </c>
      <c r="B6526" s="2">
        <f>"8997227898836"</f>
        <v/>
      </c>
      <c r="C6526" t="inlineStr">
        <is>
          <t>YOU Triple UV Elixir Spf 50 PA++ 30ml</t>
        </is>
      </c>
      <c r="D6526" t="inlineStr">
        <is>
          <t>Miss Glam Damar</t>
        </is>
      </c>
      <c r="E6526" t="n">
        <v>7</v>
      </c>
      <c r="F6526" t="n">
        <v>2.73</v>
      </c>
      <c r="G6526" t="n">
        <v>9.1</v>
      </c>
      <c r="H6526" t="n">
        <v>2</v>
      </c>
      <c r="I6526" t="n">
        <v>9</v>
      </c>
      <c r="J6526" t="n">
        <v>3</v>
      </c>
      <c r="K6526" t="n">
        <v>0</v>
      </c>
      <c r="L6526" t="n">
        <v>47920</v>
      </c>
      <c r="M6526" t="n">
        <v>59900</v>
      </c>
      <c r="N6526" t="n">
        <v>91</v>
      </c>
      <c r="O6526" t="n">
        <v>0.91</v>
      </c>
      <c r="P6526" t="n">
        <v>1</v>
      </c>
      <c r="Q6526" t="n">
        <v>2.29</v>
      </c>
      <c r="R6526" t="n">
        <v>12</v>
      </c>
      <c r="S6526" t="n">
        <v>163527</v>
      </c>
      <c r="T6526" t="n">
        <v>77</v>
      </c>
      <c r="U6526" t="n">
        <v>83</v>
      </c>
      <c r="V6526" t="n">
        <v>30</v>
      </c>
      <c r="W6526" t="n">
        <v>82</v>
      </c>
      <c r="X6526" t="n">
        <v>2.564102564102564</v>
      </c>
      <c r="Y6526" t="n">
        <v>1</v>
      </c>
      <c r="Z6526" t="n">
        <v>75</v>
      </c>
      <c r="AA6526" t="n">
        <v>18</v>
      </c>
      <c r="AB6526" t="n">
        <v>57</v>
      </c>
      <c r="AC6526" t="n">
        <v>57</v>
      </c>
      <c r="AD6526" t="n">
        <v>862560</v>
      </c>
      <c r="AE6526" t="n">
        <v>2731440</v>
      </c>
      <c r="AF6526" t="n">
        <v>10397</v>
      </c>
      <c r="AG6526" t="n">
        <v>170</v>
      </c>
      <c r="AH6526" t="inlineStr">
        <is>
          <t>PT. JALUR MANDIRI UTAMA - PPN (PDG)</t>
        </is>
      </c>
      <c r="AI6526" t="n">
        <v>170</v>
      </c>
      <c r="AJ6526" t="inlineStr">
        <is>
          <t>YOU</t>
        </is>
      </c>
      <c r="AK6526" t="n">
        <v>21</v>
      </c>
      <c r="AL6526" t="inlineStr">
        <is>
          <t>Miss Glam Damar</t>
        </is>
      </c>
      <c r="AM6526" t="n">
        <v>1</v>
      </c>
      <c r="AN6526" t="n">
        <v>500000</v>
      </c>
      <c r="AO6526" t="n">
        <v>0</v>
      </c>
      <c r="AP6526" t="inlineStr"/>
      <c r="AQ6526" t="inlineStr"/>
    </row>
    <row r="6527">
      <c r="A6527" t="inlineStr">
        <is>
          <t>YU CHUN</t>
        </is>
      </c>
      <c r="B6527" s="2">
        <f>"8997014402932"</f>
        <v/>
      </c>
      <c r="C6527" t="inlineStr">
        <is>
          <t>YU CHUN Mei Cordyceps Brightening Cleanser 100ml</t>
        </is>
      </c>
      <c r="D6527" t="inlineStr">
        <is>
          <t>Miss Glam Damar</t>
        </is>
      </c>
      <c r="E6527" t="n">
        <v>1</v>
      </c>
      <c r="F6527" t="n">
        <v>0.04550000000000001</v>
      </c>
      <c r="G6527" t="n">
        <v>0.91</v>
      </c>
      <c r="H6527" t="n">
        <v>3</v>
      </c>
      <c r="I6527" t="n">
        <v>9</v>
      </c>
      <c r="J6527" t="n">
        <v>3</v>
      </c>
      <c r="K6527" t="n">
        <v>0</v>
      </c>
      <c r="L6527" t="n">
        <v>31968</v>
      </c>
      <c r="M6527" t="n">
        <v>38000</v>
      </c>
      <c r="N6527" t="n">
        <v>91</v>
      </c>
      <c r="O6527" t="n">
        <v>0.91</v>
      </c>
      <c r="P6527" t="n">
        <v>1</v>
      </c>
      <c r="Q6527" t="n">
        <v>0.03</v>
      </c>
      <c r="R6527" t="n">
        <v>1</v>
      </c>
      <c r="S6527" t="n">
        <v>1729</v>
      </c>
      <c r="T6527" t="n">
        <v>9</v>
      </c>
      <c r="U6527" t="n">
        <v>10</v>
      </c>
      <c r="V6527" t="n">
        <v>30</v>
      </c>
      <c r="W6527" t="n">
        <v>2</v>
      </c>
      <c r="X6527" t="n">
        <v>21.97802197802197</v>
      </c>
      <c r="Y6527" t="n">
        <v>1</v>
      </c>
      <c r="Z6527" t="n">
        <v>1</v>
      </c>
      <c r="AA6527" t="n">
        <v>0</v>
      </c>
      <c r="AB6527" t="n">
        <v>1</v>
      </c>
      <c r="AC6527" t="n">
        <v>3</v>
      </c>
      <c r="AD6527" t="n">
        <v>0</v>
      </c>
      <c r="AE6527" t="n">
        <v>95904</v>
      </c>
      <c r="AF6527" t="n">
        <v>1724</v>
      </c>
      <c r="AG6527" t="n">
        <v>3114</v>
      </c>
      <c r="AH6527" t="inlineStr">
        <is>
          <t>CV. TRIJAYA AGUNG UTAMA - PPN (PDG)</t>
        </is>
      </c>
      <c r="AI6527" t="n">
        <v>489</v>
      </c>
      <c r="AJ6527" t="inlineStr">
        <is>
          <t>YU CHUN</t>
        </is>
      </c>
      <c r="AK6527" t="n">
        <v>21</v>
      </c>
      <c r="AL6527" t="inlineStr">
        <is>
          <t>Miss Glam Damar</t>
        </is>
      </c>
      <c r="AM6527" t="n">
        <v>0</v>
      </c>
      <c r="AN6527" t="n">
        <v>500000</v>
      </c>
      <c r="AO6527" t="n">
        <v>0</v>
      </c>
      <c r="AP6527" t="inlineStr"/>
      <c r="AQ6527" t="inlineStr"/>
    </row>
    <row r="6528">
      <c r="A6528" t="inlineStr">
        <is>
          <t>YU CHUN</t>
        </is>
      </c>
      <c r="B6528" s="2">
        <f>"8997014402703"</f>
        <v/>
      </c>
      <c r="C6528" t="inlineStr">
        <is>
          <t>YU CHUN Mei Cordyceps Lightening Day Cream 30gr</t>
        </is>
      </c>
      <c r="D6528" t="inlineStr">
        <is>
          <t>Miss Glam Damar</t>
        </is>
      </c>
      <c r="E6528" t="n">
        <v>2</v>
      </c>
      <c r="F6528" t="n">
        <v>0.1092</v>
      </c>
      <c r="G6528" t="n">
        <v>0.91</v>
      </c>
      <c r="H6528" t="n">
        <v>3</v>
      </c>
      <c r="I6528" t="n">
        <v>9</v>
      </c>
      <c r="J6528" t="n">
        <v>3</v>
      </c>
      <c r="K6528" t="n">
        <v>0</v>
      </c>
      <c r="L6528" t="n">
        <v>39627</v>
      </c>
      <c r="M6528" t="n">
        <v>47000</v>
      </c>
      <c r="N6528" t="n">
        <v>91</v>
      </c>
      <c r="O6528" t="n">
        <v>0.91</v>
      </c>
      <c r="P6528" t="n">
        <v>1</v>
      </c>
      <c r="Q6528" t="n">
        <v>0.08</v>
      </c>
      <c r="R6528" t="n">
        <v>2</v>
      </c>
      <c r="S6528" t="n">
        <v>5132.400000000001</v>
      </c>
      <c r="T6528" t="n">
        <v>8</v>
      </c>
      <c r="U6528" t="n">
        <v>9</v>
      </c>
      <c r="V6528" t="n">
        <v>30</v>
      </c>
      <c r="W6528" t="n">
        <v>4</v>
      </c>
      <c r="X6528" t="n">
        <v>18.31501831501831</v>
      </c>
      <c r="Y6528" t="n">
        <v>1</v>
      </c>
      <c r="Z6528" t="n">
        <v>2</v>
      </c>
      <c r="AA6528" t="n">
        <v>0</v>
      </c>
      <c r="AB6528" t="n">
        <v>2</v>
      </c>
      <c r="AC6528" t="n">
        <v>3</v>
      </c>
      <c r="AD6528" t="n">
        <v>0</v>
      </c>
      <c r="AE6528" t="n">
        <v>118881</v>
      </c>
      <c r="AF6528" t="n">
        <v>1724</v>
      </c>
      <c r="AG6528" t="n">
        <v>3114</v>
      </c>
      <c r="AH6528" t="inlineStr">
        <is>
          <t>CV. TRIJAYA AGUNG UTAMA - PPN (PDG)</t>
        </is>
      </c>
      <c r="AI6528" t="n">
        <v>489</v>
      </c>
      <c r="AJ6528" t="inlineStr">
        <is>
          <t>YU CHUN</t>
        </is>
      </c>
      <c r="AK6528" t="n">
        <v>21</v>
      </c>
      <c r="AL6528" t="inlineStr">
        <is>
          <t>Miss Glam Damar</t>
        </is>
      </c>
      <c r="AM6528" t="n">
        <v>0</v>
      </c>
      <c r="AN6528" t="n">
        <v>500000</v>
      </c>
      <c r="AO6528" t="n">
        <v>0</v>
      </c>
      <c r="AP6528" t="inlineStr"/>
      <c r="AQ6528" t="inlineStr"/>
    </row>
    <row r="6529">
      <c r="A6529" t="inlineStr">
        <is>
          <t>YU CHUN</t>
        </is>
      </c>
      <c r="B6529" s="2">
        <f>"8997014402710"</f>
        <v/>
      </c>
      <c r="C6529" t="inlineStr">
        <is>
          <t>YU CHUN Mei Cordyceps Lightening Night Cream 30g</t>
        </is>
      </c>
      <c r="D6529" t="inlineStr">
        <is>
          <t>Miss Glam Damar</t>
        </is>
      </c>
      <c r="E6529" t="n">
        <v>4</v>
      </c>
      <c r="F6529" t="n">
        <v>0.0728</v>
      </c>
      <c r="G6529" t="n">
        <v>0.91</v>
      </c>
      <c r="H6529" t="n">
        <v>3</v>
      </c>
      <c r="I6529" t="n">
        <v>9</v>
      </c>
      <c r="J6529" t="n">
        <v>3</v>
      </c>
      <c r="K6529" t="n">
        <v>0</v>
      </c>
      <c r="L6529" t="n">
        <v>39627</v>
      </c>
      <c r="M6529" t="n">
        <v>47000</v>
      </c>
      <c r="N6529" t="n">
        <v>91</v>
      </c>
      <c r="O6529" t="n">
        <v>0.91</v>
      </c>
      <c r="P6529" t="n">
        <v>1</v>
      </c>
      <c r="Q6529" t="n">
        <v>0.07000000000000001</v>
      </c>
      <c r="R6529" t="n">
        <v>2</v>
      </c>
      <c r="S6529" t="n">
        <v>3421.6</v>
      </c>
      <c r="T6529" t="n">
        <v>8</v>
      </c>
      <c r="U6529" t="n">
        <v>9</v>
      </c>
      <c r="V6529" t="n">
        <v>30</v>
      </c>
      <c r="W6529" t="n">
        <v>3</v>
      </c>
      <c r="X6529" t="n">
        <v>54.94505494505494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1724</v>
      </c>
      <c r="AG6529" t="n">
        <v>3114</v>
      </c>
      <c r="AH6529" t="inlineStr">
        <is>
          <t>CV. TRIJAYA AGUNG UTAMA - PPN (PDG)</t>
        </is>
      </c>
      <c r="AI6529" t="n">
        <v>489</v>
      </c>
      <c r="AJ6529" t="inlineStr">
        <is>
          <t>YU CHUN</t>
        </is>
      </c>
      <c r="AK6529" t="n">
        <v>21</v>
      </c>
      <c r="AL6529" t="inlineStr">
        <is>
          <t>Miss Glam Damar</t>
        </is>
      </c>
      <c r="AM6529" t="n">
        <v>0</v>
      </c>
      <c r="AN6529" t="n">
        <v>500000</v>
      </c>
      <c r="AO6529" t="n">
        <v>0</v>
      </c>
      <c r="AP6529" t="inlineStr"/>
      <c r="AQ6529" t="inlineStr"/>
    </row>
    <row r="6530">
      <c r="A6530" t="inlineStr">
        <is>
          <t>YU CHUN</t>
        </is>
      </c>
      <c r="B6530" s="2">
        <f>"8997014402918"</f>
        <v/>
      </c>
      <c r="C6530" t="inlineStr">
        <is>
          <t>YU CHUN Mei Serum Whitening Essence 30ml</t>
        </is>
      </c>
      <c r="D6530" t="inlineStr">
        <is>
          <t>Miss Glam Damar</t>
        </is>
      </c>
      <c r="E6530" t="n">
        <v>3</v>
      </c>
      <c r="F6530" t="n">
        <v>0.04550000000000001</v>
      </c>
      <c r="G6530" t="n">
        <v>0.91</v>
      </c>
      <c r="H6530" t="n">
        <v>3</v>
      </c>
      <c r="I6530" t="n">
        <v>9</v>
      </c>
      <c r="J6530" t="n">
        <v>3</v>
      </c>
      <c r="K6530" t="n">
        <v>0</v>
      </c>
      <c r="L6530" t="n">
        <v>51948</v>
      </c>
      <c r="M6530" t="n">
        <v>61500</v>
      </c>
      <c r="N6530" t="n">
        <v>91</v>
      </c>
      <c r="O6530" t="n">
        <v>0.91</v>
      </c>
      <c r="P6530" t="n">
        <v>1</v>
      </c>
      <c r="Q6530" t="n">
        <v>0.02</v>
      </c>
      <c r="R6530" t="n">
        <v>1</v>
      </c>
      <c r="S6530" t="n">
        <v>2798.25</v>
      </c>
      <c r="T6530" t="n">
        <v>9</v>
      </c>
      <c r="U6530" t="n">
        <v>10</v>
      </c>
      <c r="V6530" t="n">
        <v>30</v>
      </c>
      <c r="W6530" t="n">
        <v>2</v>
      </c>
      <c r="X6530" t="n">
        <v>65.93406593406593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1724</v>
      </c>
      <c r="AG6530" t="n">
        <v>3114</v>
      </c>
      <c r="AH6530" t="inlineStr">
        <is>
          <t>CV. TRIJAYA AGUNG UTAMA - PPN (PDG)</t>
        </is>
      </c>
      <c r="AI6530" t="n">
        <v>489</v>
      </c>
      <c r="AJ6530" t="inlineStr">
        <is>
          <t>YU CHUN</t>
        </is>
      </c>
      <c r="AK6530" t="n">
        <v>21</v>
      </c>
      <c r="AL6530" t="inlineStr">
        <is>
          <t>Miss Glam Damar</t>
        </is>
      </c>
      <c r="AM6530" t="n">
        <v>0</v>
      </c>
      <c r="AN6530" t="n">
        <v>500000</v>
      </c>
      <c r="AO6530" t="n">
        <v>0</v>
      </c>
      <c r="AP6530" t="inlineStr"/>
      <c r="AQ6530" t="inlineStr"/>
    </row>
    <row r="6531">
      <c r="A6531" t="inlineStr">
        <is>
          <t>ZWITSAL</t>
        </is>
      </c>
      <c r="B6531" s="2">
        <f>"8999999561567"</f>
        <v/>
      </c>
      <c r="C6531" t="inlineStr">
        <is>
          <t>ZWITSAL Eau De Zwitsal Body Mist 100ml</t>
        </is>
      </c>
      <c r="D6531" t="inlineStr">
        <is>
          <t>Miss Glam Damar</t>
        </is>
      </c>
      <c r="E6531" t="n">
        <v>30</v>
      </c>
      <c r="F6531" t="n">
        <v>1.2012</v>
      </c>
      <c r="G6531" t="n">
        <v>6.37</v>
      </c>
      <c r="H6531" t="n">
        <v>3</v>
      </c>
      <c r="I6531" t="n">
        <v>5</v>
      </c>
      <c r="J6531" t="n">
        <v>3</v>
      </c>
      <c r="K6531" t="n">
        <v>0</v>
      </c>
      <c r="L6531" t="n">
        <v>24735</v>
      </c>
      <c r="M6531" t="n">
        <v>35500</v>
      </c>
      <c r="N6531" t="n">
        <v>91</v>
      </c>
      <c r="O6531" t="n">
        <v>0.91</v>
      </c>
      <c r="P6531" t="n">
        <v>1</v>
      </c>
      <c r="Q6531" t="n">
        <v>0.34</v>
      </c>
      <c r="R6531" t="n">
        <v>4</v>
      </c>
      <c r="S6531" t="n">
        <v>42642.6</v>
      </c>
      <c r="T6531" t="n">
        <v>29</v>
      </c>
      <c r="U6531" t="n">
        <v>33</v>
      </c>
      <c r="V6531" t="n">
        <v>30</v>
      </c>
      <c r="W6531" t="n">
        <v>37</v>
      </c>
      <c r="X6531" t="n">
        <v>24.97502497502498</v>
      </c>
      <c r="Y6531" t="n">
        <v>1</v>
      </c>
      <c r="Z6531" t="n">
        <v>7</v>
      </c>
      <c r="AA6531" t="n">
        <v>0</v>
      </c>
      <c r="AB6531" t="n">
        <v>7</v>
      </c>
      <c r="AC6531" t="n">
        <v>7</v>
      </c>
      <c r="AD6531" t="n">
        <v>0</v>
      </c>
      <c r="AE6531" t="n">
        <v>173145</v>
      </c>
      <c r="AF6531" t="n">
        <v>1587</v>
      </c>
      <c r="AG6531" t="n">
        <v>361</v>
      </c>
      <c r="AH6531" t="inlineStr">
        <is>
          <t>CV. SERBA SERBI - PPN (PDG)</t>
        </is>
      </c>
      <c r="AI6531" t="n">
        <v>364</v>
      </c>
      <c r="AJ6531" t="inlineStr">
        <is>
          <t>ZWITSAL</t>
        </is>
      </c>
      <c r="AK6531" t="n">
        <v>21</v>
      </c>
      <c r="AL6531" t="inlineStr">
        <is>
          <t>Miss Glam Damar</t>
        </is>
      </c>
      <c r="AM6531" t="n">
        <v>2</v>
      </c>
      <c r="AN6531" t="n">
        <v>500000</v>
      </c>
      <c r="AO6531" t="n">
        <v>0</v>
      </c>
      <c r="AP6531" t="inlineStr"/>
      <c r="AQ6531" t="inlineStr"/>
    </row>
    <row r="6532">
      <c r="A6532" t="inlineStr">
        <is>
          <t>AVAIL</t>
        </is>
      </c>
      <c r="B6532" s="2">
        <f>"6921434400065"</f>
        <v/>
      </c>
      <c r="C6532" t="inlineStr">
        <is>
          <t>AVAIL Feminie Comfort Pantyliner 20 Lembar</t>
        </is>
      </c>
      <c r="D6532" t="inlineStr">
        <is>
          <t>Miss Glam Damar</t>
        </is>
      </c>
      <c r="E6532" t="n">
        <v>30</v>
      </c>
      <c r="F6532" t="n">
        <v>0.1365</v>
      </c>
      <c r="G6532" t="n">
        <v>1.82</v>
      </c>
      <c r="H6532" t="n">
        <v>1</v>
      </c>
      <c r="I6532" t="n">
        <v>2</v>
      </c>
      <c r="J6532" t="n">
        <v>3</v>
      </c>
      <c r="K6532" t="n">
        <v>0</v>
      </c>
      <c r="L6532" t="n">
        <v>36000</v>
      </c>
      <c r="M6532" t="n">
        <v>42500</v>
      </c>
      <c r="N6532" t="n">
        <v>91</v>
      </c>
      <c r="O6532" t="n">
        <v>0.91</v>
      </c>
      <c r="P6532" t="n">
        <v>1</v>
      </c>
      <c r="Q6532" t="n">
        <v>0.17</v>
      </c>
      <c r="R6532" t="n">
        <v>2</v>
      </c>
      <c r="S6532" t="n">
        <v>5801.25</v>
      </c>
      <c r="T6532" t="n">
        <v>4</v>
      </c>
      <c r="U6532" t="n">
        <v>5</v>
      </c>
      <c r="V6532" t="n">
        <v>30</v>
      </c>
      <c r="W6532" t="n">
        <v>5</v>
      </c>
      <c r="X6532" t="n">
        <v>219.7802197802198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inlineStr"/>
      <c r="AG6532" t="inlineStr"/>
      <c r="AH6532" t="inlineStr"/>
      <c r="AI6532" t="n">
        <v>0</v>
      </c>
      <c r="AJ6532" t="inlineStr"/>
      <c r="AK6532" t="n">
        <v>0</v>
      </c>
      <c r="AL6532" t="inlineStr"/>
      <c r="AM6532" t="n">
        <v>0</v>
      </c>
      <c r="AN6532" t="n">
        <v>0</v>
      </c>
      <c r="AO6532" t="n">
        <v>0</v>
      </c>
      <c r="AP6532" t="inlineStr"/>
      <c r="AQ6532" t="inlineStr"/>
    </row>
    <row r="6533">
      <c r="A6533" t="inlineStr">
        <is>
          <t>AVAIL</t>
        </is>
      </c>
      <c r="B6533" s="2">
        <f>"6921434400058"</f>
        <v/>
      </c>
      <c r="C6533" t="inlineStr">
        <is>
          <t>AVAIL Feminine Comfort Night Use 10 Lembar</t>
        </is>
      </c>
      <c r="D6533" t="inlineStr">
        <is>
          <t>Miss Glam Damar</t>
        </is>
      </c>
      <c r="E6533" t="n">
        <v>7</v>
      </c>
      <c r="F6533" t="n">
        <v>0.0182</v>
      </c>
      <c r="G6533" t="n">
        <v>0.91</v>
      </c>
      <c r="H6533" t="n">
        <v>1</v>
      </c>
      <c r="I6533" t="n">
        <v>2</v>
      </c>
      <c r="J6533" t="n">
        <v>3</v>
      </c>
      <c r="K6533" t="n">
        <v>0</v>
      </c>
      <c r="L6533" t="n">
        <v>40000</v>
      </c>
      <c r="M6533" t="n">
        <v>48500</v>
      </c>
      <c r="N6533" t="n">
        <v>91</v>
      </c>
      <c r="O6533" t="n">
        <v>0.91</v>
      </c>
      <c r="P6533" t="n">
        <v>1</v>
      </c>
      <c r="Q6533" t="n">
        <v>0.05</v>
      </c>
      <c r="R6533" t="n">
        <v>1</v>
      </c>
      <c r="S6533" t="n">
        <v>882.7</v>
      </c>
      <c r="T6533" t="n">
        <v>2</v>
      </c>
      <c r="U6533" t="n">
        <v>3</v>
      </c>
      <c r="V6533" t="n">
        <v>30</v>
      </c>
      <c r="W6533" t="n">
        <v>1</v>
      </c>
      <c r="X6533" t="n">
        <v>384.6153846153846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inlineStr"/>
      <c r="AG6533" t="inlineStr"/>
      <c r="AH6533" t="inlineStr"/>
      <c r="AI6533" t="n">
        <v>0</v>
      </c>
      <c r="AJ6533" t="inlineStr"/>
      <c r="AK6533" t="n">
        <v>0</v>
      </c>
      <c r="AL6533" t="inlineStr"/>
      <c r="AM6533" t="n">
        <v>0</v>
      </c>
      <c r="AN6533" t="n">
        <v>0</v>
      </c>
      <c r="AO6533" t="n">
        <v>0</v>
      </c>
      <c r="AP6533" t="inlineStr"/>
      <c r="AQ6533" t="inlineStr"/>
    </row>
    <row r="6534">
      <c r="A6534" t="inlineStr">
        <is>
          <t>AVAIL</t>
        </is>
      </c>
      <c r="B6534" s="2">
        <f>"6921434400041"</f>
        <v/>
      </c>
      <c r="C6534" t="inlineStr">
        <is>
          <t>AVAIL Feminine Comfort Sanitary Pad Day Use 10 Pads</t>
        </is>
      </c>
      <c r="D6534" t="inlineStr">
        <is>
          <t>Miss Glam Damar</t>
        </is>
      </c>
      <c r="E6534" t="n">
        <v>9</v>
      </c>
      <c r="F6534" t="n">
        <v>0.0273</v>
      </c>
      <c r="G6534" t="n">
        <v>0.91</v>
      </c>
      <c r="H6534" t="n">
        <v>1</v>
      </c>
      <c r="I6534" t="n">
        <v>2</v>
      </c>
      <c r="J6534" t="n">
        <v>3</v>
      </c>
      <c r="K6534" t="n">
        <v>0</v>
      </c>
      <c r="L6534" t="n">
        <v>45000</v>
      </c>
      <c r="M6534" t="n">
        <v>55000</v>
      </c>
      <c r="N6534" t="n">
        <v>91</v>
      </c>
      <c r="O6534" t="n">
        <v>0.91</v>
      </c>
      <c r="P6534" t="n">
        <v>1</v>
      </c>
      <c r="Q6534" t="n">
        <v>0.02</v>
      </c>
      <c r="R6534" t="n">
        <v>1</v>
      </c>
      <c r="S6534" t="n">
        <v>1501.5</v>
      </c>
      <c r="T6534" t="n">
        <v>2</v>
      </c>
      <c r="U6534" t="n">
        <v>3</v>
      </c>
      <c r="V6534" t="n">
        <v>30</v>
      </c>
      <c r="W6534" t="n">
        <v>1</v>
      </c>
      <c r="X6534" t="n">
        <v>329.6703296703296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inlineStr"/>
      <c r="AG6534" t="inlineStr"/>
      <c r="AH6534" t="inlineStr"/>
      <c r="AI6534" t="n">
        <v>0</v>
      </c>
      <c r="AJ6534" t="inlineStr"/>
      <c r="AK6534" t="n">
        <v>0</v>
      </c>
      <c r="AL6534" t="inlineStr"/>
      <c r="AM6534" t="n">
        <v>0</v>
      </c>
      <c r="AN6534" t="n">
        <v>0</v>
      </c>
      <c r="AO6534" t="n">
        <v>0</v>
      </c>
      <c r="AP6534" t="inlineStr"/>
      <c r="AQ6534" t="inlineStr"/>
    </row>
    <row r="6535">
      <c r="A6535" t="inlineStr">
        <is>
          <t>B.U.T</t>
        </is>
      </c>
      <c r="B6535" s="2">
        <f>"203002185116"</f>
        <v/>
      </c>
      <c r="C6535" t="inlineStr">
        <is>
          <t>B.U.T Soft Matte Creamy Liquid Lip Cream Ceramide Vitamin C 01 Nude Dreams Anti UV Lipcream 4ml</t>
        </is>
      </c>
      <c r="D6535" t="inlineStr">
        <is>
          <t>Miss Glam Damar</t>
        </is>
      </c>
      <c r="E6535" t="n">
        <v>4</v>
      </c>
      <c r="F6535" t="n">
        <v>0.02</v>
      </c>
      <c r="G6535" t="n">
        <v>1</v>
      </c>
      <c r="H6535" t="n">
        <v>1</v>
      </c>
      <c r="I6535" t="n">
        <v>2</v>
      </c>
      <c r="J6535" t="n">
        <v>1</v>
      </c>
      <c r="K6535" t="n">
        <v>0</v>
      </c>
      <c r="L6535" t="n">
        <v>58002</v>
      </c>
      <c r="M6535" t="n">
        <v>80000</v>
      </c>
      <c r="N6535" t="n">
        <v>91</v>
      </c>
      <c r="O6535" t="n">
        <v>0.91</v>
      </c>
      <c r="P6535" t="n">
        <v>0</v>
      </c>
      <c r="Q6535" t="n">
        <v>0.02</v>
      </c>
      <c r="R6535" t="n">
        <v>1</v>
      </c>
      <c r="S6535" t="n">
        <v>1600</v>
      </c>
      <c r="T6535" t="n">
        <v>2</v>
      </c>
      <c r="U6535" t="n">
        <v>3</v>
      </c>
      <c r="V6535" t="n">
        <v>30</v>
      </c>
      <c r="W6535" t="n">
        <v>1</v>
      </c>
      <c r="X6535" t="n">
        <v>200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inlineStr"/>
      <c r="AG6535" t="inlineStr"/>
      <c r="AH6535" t="inlineStr"/>
      <c r="AI6535" t="n">
        <v>0</v>
      </c>
      <c r="AJ6535" t="inlineStr"/>
      <c r="AK6535" t="n">
        <v>0</v>
      </c>
      <c r="AL6535" t="inlineStr"/>
      <c r="AM6535" t="n">
        <v>0</v>
      </c>
      <c r="AN6535" t="n">
        <v>0</v>
      </c>
      <c r="AO6535" t="n">
        <v>0</v>
      </c>
      <c r="AP6535" t="inlineStr"/>
      <c r="AQ6535" t="inlineStr"/>
    </row>
    <row r="6536">
      <c r="A6536" t="inlineStr">
        <is>
          <t>B.U.T</t>
        </is>
      </c>
      <c r="B6536" s="2">
        <f>"203002185429"</f>
        <v/>
      </c>
      <c r="C6536" t="inlineStr">
        <is>
          <t>B.U.T Soft Matte Creamy Liquid Lip Cream Ceramide Vitamin C 05 Touch Red Anti UV Lipcream 4,0ml</t>
        </is>
      </c>
      <c r="D6536" t="inlineStr">
        <is>
          <t>Miss Glam Damar</t>
        </is>
      </c>
      <c r="E6536" t="n">
        <v>2</v>
      </c>
      <c r="F6536" t="n">
        <v>0.02</v>
      </c>
      <c r="G6536" t="n">
        <v>1</v>
      </c>
      <c r="H6536" t="n">
        <v>1</v>
      </c>
      <c r="I6536" t="n">
        <v>2</v>
      </c>
      <c r="J6536" t="n">
        <v>1</v>
      </c>
      <c r="K6536" t="n">
        <v>0</v>
      </c>
      <c r="L6536" t="n">
        <v>61922</v>
      </c>
      <c r="M6536" t="n">
        <v>80000</v>
      </c>
      <c r="N6536" t="n">
        <v>91</v>
      </c>
      <c r="O6536" t="n">
        <v>0.91</v>
      </c>
      <c r="P6536" t="n">
        <v>0</v>
      </c>
      <c r="Q6536" t="n">
        <v>0.02</v>
      </c>
      <c r="R6536" t="n">
        <v>1</v>
      </c>
      <c r="S6536" t="n">
        <v>1600</v>
      </c>
      <c r="T6536" t="n">
        <v>2</v>
      </c>
      <c r="U6536" t="n">
        <v>3</v>
      </c>
      <c r="V6536" t="n">
        <v>30</v>
      </c>
      <c r="W6536" t="n">
        <v>1</v>
      </c>
      <c r="X6536" t="n">
        <v>100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inlineStr"/>
      <c r="AG6536" t="inlineStr"/>
      <c r="AH6536" t="inlineStr"/>
      <c r="AI6536" t="n">
        <v>0</v>
      </c>
      <c r="AJ6536" t="inlineStr"/>
      <c r="AK6536" t="n">
        <v>0</v>
      </c>
      <c r="AL6536" t="inlineStr"/>
      <c r="AM6536" t="n">
        <v>0</v>
      </c>
      <c r="AN6536" t="n">
        <v>0</v>
      </c>
      <c r="AO6536" t="n">
        <v>0</v>
      </c>
      <c r="AP6536" t="inlineStr"/>
      <c r="AQ6536" t="inlineStr"/>
    </row>
    <row r="6537">
      <c r="A6537" t="inlineStr">
        <is>
          <t>FLIMTY</t>
        </is>
      </c>
      <c r="B6537" s="2">
        <f>"8997230500863"</f>
        <v/>
      </c>
      <c r="C6537" t="inlineStr">
        <is>
          <t>FLIMTY Minuman Serbuk Rasa Blackcurrant 240gr</t>
        </is>
      </c>
      <c r="D6537" t="inlineStr">
        <is>
          <t>Miss Glam Damar</t>
        </is>
      </c>
      <c r="E6537" t="n">
        <v>6</v>
      </c>
      <c r="F6537" t="n">
        <v>0.2002</v>
      </c>
      <c r="G6537" t="n">
        <v>2.73</v>
      </c>
      <c r="H6537" t="n">
        <v>1</v>
      </c>
      <c r="I6537" t="n">
        <v>2</v>
      </c>
      <c r="J6537" t="n">
        <v>3</v>
      </c>
      <c r="K6537" t="n">
        <v>4</v>
      </c>
      <c r="L6537" t="n">
        <v>212400</v>
      </c>
      <c r="M6537" t="n">
        <v>249000</v>
      </c>
      <c r="N6537" t="n">
        <v>91</v>
      </c>
      <c r="O6537" t="n">
        <v>0.91</v>
      </c>
      <c r="P6537" t="n">
        <v>1</v>
      </c>
      <c r="Q6537" t="n">
        <v>0.39</v>
      </c>
      <c r="R6537" t="n">
        <v>2</v>
      </c>
      <c r="S6537" t="n">
        <v>49849.8</v>
      </c>
      <c r="T6537" t="n">
        <v>6</v>
      </c>
      <c r="U6537" t="n">
        <v>7</v>
      </c>
      <c r="V6537" t="n">
        <v>30</v>
      </c>
      <c r="W6537" t="n">
        <v>7</v>
      </c>
      <c r="X6537" t="n">
        <v>29.97002997002997</v>
      </c>
      <c r="Y6537" t="n">
        <v>1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inlineStr"/>
      <c r="AG6537" t="inlineStr"/>
      <c r="AH6537" t="inlineStr"/>
      <c r="AI6537" t="n">
        <v>0</v>
      </c>
      <c r="AJ6537" t="inlineStr"/>
      <c r="AK6537" t="n">
        <v>0</v>
      </c>
      <c r="AL6537" t="inlineStr"/>
      <c r="AM6537" t="n">
        <v>0</v>
      </c>
      <c r="AN6537" t="n">
        <v>0</v>
      </c>
      <c r="AO6537" t="n">
        <v>0</v>
      </c>
      <c r="AP6537" t="inlineStr"/>
      <c r="AQ6537" t="inlineStr"/>
    </row>
    <row r="6538">
      <c r="A6538" t="inlineStr">
        <is>
          <t>FLIMTY</t>
        </is>
      </c>
      <c r="B6538" s="2">
        <f>"60100301747"</f>
        <v/>
      </c>
      <c r="C6538" t="inlineStr">
        <is>
          <t>FLIMTY Minuman Serbuk Rasa Blackcurrant sachet @15gr</t>
        </is>
      </c>
      <c r="D6538" t="inlineStr">
        <is>
          <t>Miss Glam Damar</t>
        </is>
      </c>
      <c r="E6538" t="n">
        <v>7</v>
      </c>
      <c r="F6538" t="n">
        <v>0.49</v>
      </c>
      <c r="G6538" t="n">
        <v>2</v>
      </c>
      <c r="H6538" t="n">
        <v>1</v>
      </c>
      <c r="I6538" t="n">
        <v>2</v>
      </c>
      <c r="J6538" t="n">
        <v>3</v>
      </c>
      <c r="K6538" t="n">
        <v>0</v>
      </c>
      <c r="L6538" t="n">
        <v>12500</v>
      </c>
      <c r="M6538" t="n">
        <v>20000</v>
      </c>
      <c r="N6538" t="n">
        <v>91</v>
      </c>
      <c r="O6538" t="n">
        <v>0.91</v>
      </c>
      <c r="P6538" t="n">
        <v>0</v>
      </c>
      <c r="Q6538" t="n">
        <v>0.49</v>
      </c>
      <c r="R6538" t="n">
        <v>2</v>
      </c>
      <c r="S6538" t="n">
        <v>9800</v>
      </c>
      <c r="T6538" t="n">
        <v>4</v>
      </c>
      <c r="U6538" t="n">
        <v>5</v>
      </c>
      <c r="V6538" t="n">
        <v>30</v>
      </c>
      <c r="W6538" t="n">
        <v>15</v>
      </c>
      <c r="X6538" t="n">
        <v>14.28571428571429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inlineStr"/>
      <c r="AG6538" t="inlineStr"/>
      <c r="AH6538" t="inlineStr"/>
      <c r="AI6538" t="n">
        <v>0</v>
      </c>
      <c r="AJ6538" t="inlineStr"/>
      <c r="AK6538" t="n">
        <v>0</v>
      </c>
      <c r="AL6538" t="inlineStr"/>
      <c r="AM6538" t="n">
        <v>0</v>
      </c>
      <c r="AN6538" t="n">
        <v>0</v>
      </c>
      <c r="AO6538" t="n">
        <v>0</v>
      </c>
      <c r="AP6538" t="inlineStr"/>
      <c r="AQ6538" t="inlineStr"/>
    </row>
    <row r="6539">
      <c r="A6539" t="inlineStr">
        <is>
          <t>FLIMTY</t>
        </is>
      </c>
      <c r="B6539" s="2">
        <f>"8997236237091"</f>
        <v/>
      </c>
      <c r="C6539" t="inlineStr">
        <is>
          <t>FLIMTY Minuman Serbuk Rasa Mangga Sachet @15gr</t>
        </is>
      </c>
      <c r="D6539" t="inlineStr">
        <is>
          <t>Miss Glam Damar</t>
        </is>
      </c>
      <c r="E6539" t="n">
        <v>15</v>
      </c>
      <c r="F6539" t="n">
        <v>0.47</v>
      </c>
      <c r="G6539" t="n">
        <v>3</v>
      </c>
      <c r="H6539" t="n">
        <v>1</v>
      </c>
      <c r="I6539" t="n">
        <v>2</v>
      </c>
      <c r="J6539" t="n">
        <v>3</v>
      </c>
      <c r="K6539" t="n">
        <v>0</v>
      </c>
      <c r="L6539" t="n">
        <v>12500</v>
      </c>
      <c r="M6539" t="n">
        <v>20000</v>
      </c>
      <c r="N6539" t="n">
        <v>91</v>
      </c>
      <c r="O6539" t="n">
        <v>0.91</v>
      </c>
      <c r="P6539" t="n">
        <v>0</v>
      </c>
      <c r="Q6539" t="n">
        <v>0.47</v>
      </c>
      <c r="R6539" t="n">
        <v>3</v>
      </c>
      <c r="S6539" t="n">
        <v>9400</v>
      </c>
      <c r="T6539" t="n">
        <v>6</v>
      </c>
      <c r="U6539" t="n">
        <v>7</v>
      </c>
      <c r="V6539" t="n">
        <v>30</v>
      </c>
      <c r="W6539" t="n">
        <v>15</v>
      </c>
      <c r="X6539" t="n">
        <v>31.91489361702128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inlineStr"/>
      <c r="AG6539" t="inlineStr"/>
      <c r="AH6539" t="inlineStr"/>
      <c r="AI6539" t="n">
        <v>0</v>
      </c>
      <c r="AJ6539" t="inlineStr"/>
      <c r="AK6539" t="n">
        <v>0</v>
      </c>
      <c r="AL6539" t="inlineStr"/>
      <c r="AM6539" t="n">
        <v>0</v>
      </c>
      <c r="AN6539" t="n">
        <v>0</v>
      </c>
      <c r="AO6539" t="n">
        <v>0</v>
      </c>
      <c r="AP6539" t="inlineStr"/>
      <c r="AQ6539" t="inlineStr"/>
    </row>
    <row r="6540">
      <c r="A6540" t="inlineStr">
        <is>
          <t>FLIMTY</t>
        </is>
      </c>
      <c r="B6540" s="2">
        <f>"8997236237084"</f>
        <v/>
      </c>
      <c r="C6540" t="inlineStr">
        <is>
          <t>FLIMTY Minuman Serbuk Rasa Mango 240gr</t>
        </is>
      </c>
      <c r="D6540" t="inlineStr">
        <is>
          <t>Miss Glam Damar</t>
        </is>
      </c>
      <c r="E6540" t="n">
        <v>9</v>
      </c>
      <c r="F6540" t="n">
        <v>0.27</v>
      </c>
      <c r="G6540" t="n">
        <v>2</v>
      </c>
      <c r="H6540" t="n">
        <v>1</v>
      </c>
      <c r="I6540" t="n">
        <v>2</v>
      </c>
      <c r="J6540" t="n">
        <v>3</v>
      </c>
      <c r="K6540" t="n">
        <v>0</v>
      </c>
      <c r="L6540" t="n">
        <v>212400</v>
      </c>
      <c r="M6540" t="n">
        <v>249000</v>
      </c>
      <c r="N6540" t="n">
        <v>91</v>
      </c>
      <c r="O6540" t="n">
        <v>0.91</v>
      </c>
      <c r="P6540" t="n">
        <v>0</v>
      </c>
      <c r="Q6540" t="n">
        <v>0.27</v>
      </c>
      <c r="R6540" t="n">
        <v>2</v>
      </c>
      <c r="S6540" t="n">
        <v>67230</v>
      </c>
      <c r="T6540" t="n">
        <v>4</v>
      </c>
      <c r="U6540" t="n">
        <v>5</v>
      </c>
      <c r="V6540" t="n">
        <v>30</v>
      </c>
      <c r="W6540" t="n">
        <v>9</v>
      </c>
      <c r="X6540" t="n">
        <v>33.33333333333333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inlineStr"/>
      <c r="AG6540" t="inlineStr"/>
      <c r="AH6540" t="inlineStr"/>
      <c r="AI6540" t="n">
        <v>0</v>
      </c>
      <c r="AJ6540" t="inlineStr"/>
      <c r="AK6540" t="n">
        <v>0</v>
      </c>
      <c r="AL6540" t="inlineStr"/>
      <c r="AM6540" t="n">
        <v>0</v>
      </c>
      <c r="AN6540" t="n">
        <v>0</v>
      </c>
      <c r="AO6540" t="n">
        <v>0</v>
      </c>
      <c r="AP6540" t="inlineStr"/>
      <c r="AQ6540" t="inlineStr"/>
    </row>
    <row r="6541">
      <c r="A6541" t="inlineStr">
        <is>
          <t>FLIMTY</t>
        </is>
      </c>
      <c r="B6541" s="2">
        <f>"19996230582"</f>
        <v/>
      </c>
      <c r="C6541" t="inlineStr">
        <is>
          <t>FLIMTY Minuman Serbuk Rasa Rasberry 240gr</t>
        </is>
      </c>
      <c r="D6541" t="inlineStr">
        <is>
          <t>Miss Glam Damar</t>
        </is>
      </c>
      <c r="E6541" t="n">
        <v>4</v>
      </c>
      <c r="F6541" t="n">
        <v>0.09100000000000001</v>
      </c>
      <c r="G6541" t="n">
        <v>1.82</v>
      </c>
      <c r="H6541" t="n">
        <v>1</v>
      </c>
      <c r="I6541" t="n">
        <v>2</v>
      </c>
      <c r="J6541" t="n">
        <v>3</v>
      </c>
      <c r="K6541" t="n">
        <v>4</v>
      </c>
      <c r="L6541" t="n">
        <v>212400</v>
      </c>
      <c r="M6541" t="n">
        <v>249000</v>
      </c>
      <c r="N6541" t="n">
        <v>91</v>
      </c>
      <c r="O6541" t="n">
        <v>0.91</v>
      </c>
      <c r="P6541" t="n">
        <v>1</v>
      </c>
      <c r="Q6541" t="n">
        <v>0.22</v>
      </c>
      <c r="R6541" t="n">
        <v>1</v>
      </c>
      <c r="S6541" t="n">
        <v>22659</v>
      </c>
      <c r="T6541" t="n">
        <v>4</v>
      </c>
      <c r="U6541" t="n">
        <v>5</v>
      </c>
      <c r="V6541" t="n">
        <v>30</v>
      </c>
      <c r="W6541" t="n">
        <v>3</v>
      </c>
      <c r="X6541" t="n">
        <v>43.95604395604395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inlineStr"/>
      <c r="AG6541" t="inlineStr"/>
      <c r="AH6541" t="inlineStr"/>
      <c r="AI6541" t="n">
        <v>0</v>
      </c>
      <c r="AJ6541" t="inlineStr"/>
      <c r="AK6541" t="n">
        <v>0</v>
      </c>
      <c r="AL6541" t="inlineStr"/>
      <c r="AM6541" t="n">
        <v>0</v>
      </c>
      <c r="AN6541" t="n">
        <v>0</v>
      </c>
      <c r="AO6541" t="n">
        <v>0</v>
      </c>
      <c r="AP6541" t="inlineStr"/>
      <c r="AQ6541" t="inlineStr"/>
    </row>
    <row r="6542">
      <c r="A6542" t="inlineStr">
        <is>
          <t>FLIMTY</t>
        </is>
      </c>
      <c r="B6542" s="2">
        <f>"8997230500856"</f>
        <v/>
      </c>
      <c r="C6542" t="inlineStr">
        <is>
          <t>FLIMTY Minuman Serbuk Rasa Raspberry Sachet @15gr</t>
        </is>
      </c>
      <c r="D6542" t="inlineStr">
        <is>
          <t>Miss Glam Damar</t>
        </is>
      </c>
      <c r="E6542" t="n">
        <v>3</v>
      </c>
      <c r="F6542" t="n">
        <v>0.63</v>
      </c>
      <c r="G6542" t="n">
        <v>3</v>
      </c>
      <c r="H6542" t="n">
        <v>1</v>
      </c>
      <c r="I6542" t="n">
        <v>2</v>
      </c>
      <c r="J6542" t="n">
        <v>3</v>
      </c>
      <c r="K6542" t="n">
        <v>0</v>
      </c>
      <c r="L6542" t="n">
        <v>12500</v>
      </c>
      <c r="M6542" t="n">
        <v>20000</v>
      </c>
      <c r="N6542" t="n">
        <v>91</v>
      </c>
      <c r="O6542" t="n">
        <v>0.91</v>
      </c>
      <c r="P6542" t="n">
        <v>0</v>
      </c>
      <c r="Q6542" t="n">
        <v>0.63</v>
      </c>
      <c r="R6542" t="n">
        <v>3</v>
      </c>
      <c r="S6542" t="n">
        <v>12600</v>
      </c>
      <c r="T6542" t="n">
        <v>6</v>
      </c>
      <c r="U6542" t="n">
        <v>7</v>
      </c>
      <c r="V6542" t="n">
        <v>30</v>
      </c>
      <c r="W6542" t="n">
        <v>19</v>
      </c>
      <c r="X6542" t="n">
        <v>4.761904761904762</v>
      </c>
      <c r="Y6542" t="n">
        <v>1</v>
      </c>
      <c r="Z6542" t="n">
        <v>16</v>
      </c>
      <c r="AA6542" t="n">
        <v>0</v>
      </c>
      <c r="AB6542" t="n">
        <v>16</v>
      </c>
      <c r="AC6542" t="n">
        <v>16</v>
      </c>
      <c r="AD6542" t="n">
        <v>0</v>
      </c>
      <c r="AE6542" t="n">
        <v>200000</v>
      </c>
      <c r="AF6542" t="inlineStr"/>
      <c r="AG6542" t="inlineStr"/>
      <c r="AH6542" t="inlineStr"/>
      <c r="AI6542" t="n">
        <v>0</v>
      </c>
      <c r="AJ6542" t="inlineStr"/>
      <c r="AK6542" t="n">
        <v>0</v>
      </c>
      <c r="AL6542" t="inlineStr"/>
      <c r="AM6542" t="n">
        <v>0</v>
      </c>
      <c r="AN6542" t="n">
        <v>0</v>
      </c>
      <c r="AO6542" t="n">
        <v>0</v>
      </c>
      <c r="AP6542" t="inlineStr"/>
      <c r="AQ6542" t="inlineStr"/>
    </row>
    <row r="6543">
      <c r="A6543" t="inlineStr">
        <is>
          <t>GOSMILE</t>
        </is>
      </c>
      <c r="B6543" s="2">
        <f>"6957148427357"</f>
        <v/>
      </c>
      <c r="C6543" t="inlineStr">
        <is>
          <t>GO SMILE Bad Breath Go Away Mouthspray Mix Berries 10ml</t>
        </is>
      </c>
      <c r="D6543" t="inlineStr">
        <is>
          <t>Miss Glam Damar</t>
        </is>
      </c>
      <c r="E6543" t="n">
        <v>6</v>
      </c>
      <c r="F6543" t="n">
        <v>0.09100000000000001</v>
      </c>
      <c r="G6543" t="n">
        <v>0.91</v>
      </c>
      <c r="H6543" t="n">
        <v>1</v>
      </c>
      <c r="I6543" t="n">
        <v>2</v>
      </c>
      <c r="J6543" t="n">
        <v>3</v>
      </c>
      <c r="K6543" t="n">
        <v>0</v>
      </c>
      <c r="L6543" t="n">
        <v>31507</v>
      </c>
      <c r="M6543" t="n">
        <v>60000</v>
      </c>
      <c r="N6543" t="n">
        <v>91</v>
      </c>
      <c r="O6543" t="n">
        <v>0.91</v>
      </c>
      <c r="P6543" t="n">
        <v>1</v>
      </c>
      <c r="Q6543" t="n">
        <v>0.2</v>
      </c>
      <c r="R6543" t="n">
        <v>2</v>
      </c>
      <c r="S6543" t="n">
        <v>5460.000000000001</v>
      </c>
      <c r="T6543" t="n">
        <v>2</v>
      </c>
      <c r="U6543" t="n">
        <v>3</v>
      </c>
      <c r="V6543" t="n">
        <v>30</v>
      </c>
      <c r="W6543" t="n">
        <v>3</v>
      </c>
      <c r="X6543" t="n">
        <v>65.93406593406593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inlineStr"/>
      <c r="AG6543" t="inlineStr"/>
      <c r="AH6543" t="inlineStr"/>
      <c r="AI6543" t="n">
        <v>0</v>
      </c>
      <c r="AJ6543" t="inlineStr"/>
      <c r="AK6543" t="n">
        <v>0</v>
      </c>
      <c r="AL6543" t="inlineStr"/>
      <c r="AM6543" t="n">
        <v>0</v>
      </c>
      <c r="AN6543" t="n">
        <v>0</v>
      </c>
      <c r="AO6543" t="n">
        <v>0</v>
      </c>
      <c r="AP6543" t="inlineStr"/>
      <c r="AQ6543" t="inlineStr"/>
    </row>
    <row r="6544">
      <c r="A6544" t="inlineStr">
        <is>
          <t>GOSMILE</t>
        </is>
      </c>
      <c r="B6544" s="2">
        <f>"6957148427364"</f>
        <v/>
      </c>
      <c r="C6544" t="inlineStr">
        <is>
          <t>GO SMILE Bad Breath Go Away Mouthspray Peach 10ml</t>
        </is>
      </c>
      <c r="D6544" t="inlineStr">
        <is>
          <t>Miss Glam Damar</t>
        </is>
      </c>
      <c r="E6544" t="n">
        <v>7</v>
      </c>
      <c r="F6544" t="n">
        <v>0.06370000000000001</v>
      </c>
      <c r="G6544" t="n">
        <v>0.91</v>
      </c>
      <c r="H6544" t="n">
        <v>1</v>
      </c>
      <c r="I6544" t="n">
        <v>2</v>
      </c>
      <c r="J6544" t="n">
        <v>3</v>
      </c>
      <c r="K6544" t="n">
        <v>0</v>
      </c>
      <c r="L6544" t="n">
        <v>23289</v>
      </c>
      <c r="M6544" t="n">
        <v>53000</v>
      </c>
      <c r="N6544" t="n">
        <v>91</v>
      </c>
      <c r="O6544" t="n">
        <v>0.91</v>
      </c>
      <c r="P6544" t="n">
        <v>1</v>
      </c>
      <c r="Q6544" t="n">
        <v>0.19</v>
      </c>
      <c r="R6544" t="n">
        <v>1</v>
      </c>
      <c r="S6544" t="n">
        <v>3376.1</v>
      </c>
      <c r="T6544" t="n">
        <v>2</v>
      </c>
      <c r="U6544" t="n">
        <v>3</v>
      </c>
      <c r="V6544" t="n">
        <v>30</v>
      </c>
      <c r="W6544" t="n">
        <v>2</v>
      </c>
      <c r="X6544" t="n">
        <v>109.8901098901099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inlineStr"/>
      <c r="AG6544" t="inlineStr"/>
      <c r="AH6544" t="inlineStr"/>
      <c r="AI6544" t="n">
        <v>0</v>
      </c>
      <c r="AJ6544" t="inlineStr"/>
      <c r="AK6544" t="n">
        <v>0</v>
      </c>
      <c r="AL6544" t="inlineStr"/>
      <c r="AM6544" t="n">
        <v>0</v>
      </c>
      <c r="AN6544" t="n">
        <v>0</v>
      </c>
      <c r="AO6544" t="n">
        <v>0</v>
      </c>
      <c r="AP6544" t="inlineStr"/>
      <c r="AQ6544" t="inlineStr"/>
    </row>
    <row r="6545">
      <c r="A6545" t="inlineStr">
        <is>
          <t>GOSMILE</t>
        </is>
      </c>
      <c r="B6545" s="2">
        <f>"6957148427999"</f>
        <v/>
      </c>
      <c r="C6545" t="inlineStr">
        <is>
          <t>GO SMILE Clean And Shine 100gr</t>
        </is>
      </c>
      <c r="D6545" t="inlineStr">
        <is>
          <t>Miss Glam Damar</t>
        </is>
      </c>
      <c r="E6545" t="n">
        <v>0</v>
      </c>
      <c r="F6545" t="n">
        <v>0.0728</v>
      </c>
      <c r="G6545" t="n">
        <v>0.91</v>
      </c>
      <c r="H6545" t="n">
        <v>1</v>
      </c>
      <c r="I6545" t="n">
        <v>2</v>
      </c>
      <c r="J6545" t="n">
        <v>3</v>
      </c>
      <c r="K6545" t="n">
        <v>0</v>
      </c>
      <c r="L6545" t="n">
        <v>16262</v>
      </c>
      <c r="M6545" t="n">
        <v>35000</v>
      </c>
      <c r="N6545" t="n">
        <v>91</v>
      </c>
      <c r="O6545" t="n">
        <v>0.91</v>
      </c>
      <c r="P6545" t="n">
        <v>1</v>
      </c>
      <c r="Q6545" t="n">
        <v>0.12</v>
      </c>
      <c r="R6545" t="n">
        <v>2</v>
      </c>
      <c r="S6545" t="n">
        <v>2548</v>
      </c>
      <c r="T6545" t="n">
        <v>2</v>
      </c>
      <c r="U6545" t="n">
        <v>3</v>
      </c>
      <c r="V6545" t="n">
        <v>30</v>
      </c>
      <c r="W6545" t="n">
        <v>3</v>
      </c>
      <c r="X6545" t="n">
        <v>0</v>
      </c>
      <c r="Y6545" t="n">
        <v>1</v>
      </c>
      <c r="Z6545" t="n">
        <v>3</v>
      </c>
      <c r="AA6545" t="n">
        <v>1</v>
      </c>
      <c r="AB6545" t="n">
        <v>2</v>
      </c>
      <c r="AC6545" t="n">
        <v>3</v>
      </c>
      <c r="AD6545" t="n">
        <v>16262</v>
      </c>
      <c r="AE6545" t="n">
        <v>48786</v>
      </c>
      <c r="AF6545" t="inlineStr"/>
      <c r="AG6545" t="inlineStr"/>
      <c r="AH6545" t="inlineStr"/>
      <c r="AI6545" t="n">
        <v>0</v>
      </c>
      <c r="AJ6545" t="inlineStr"/>
      <c r="AK6545" t="n">
        <v>0</v>
      </c>
      <c r="AL6545" t="inlineStr"/>
      <c r="AM6545" t="n">
        <v>0</v>
      </c>
      <c r="AN6545" t="n">
        <v>0</v>
      </c>
      <c r="AO6545" t="n">
        <v>0</v>
      </c>
      <c r="AP6545" t="inlineStr"/>
      <c r="AQ6545" t="inlineStr"/>
    </row>
    <row r="6546">
      <c r="A6546" t="inlineStr">
        <is>
          <t>GOSMILE</t>
        </is>
      </c>
      <c r="B6546" s="2">
        <f>"6957148428569"</f>
        <v/>
      </c>
      <c r="C6546" t="inlineStr">
        <is>
          <t>GO SMILE Dental White Patch 5pcs</t>
        </is>
      </c>
      <c r="D6546" t="inlineStr">
        <is>
          <t>Miss Glam Damar</t>
        </is>
      </c>
      <c r="E6546" t="n">
        <v>5</v>
      </c>
      <c r="F6546" t="n">
        <v>0.0182</v>
      </c>
      <c r="G6546" t="n">
        <v>0.91</v>
      </c>
      <c r="H6546" t="n">
        <v>1</v>
      </c>
      <c r="I6546" t="n">
        <v>2</v>
      </c>
      <c r="J6546" t="n">
        <v>3</v>
      </c>
      <c r="K6546" t="n">
        <v>0</v>
      </c>
      <c r="L6546" t="n">
        <v>44130</v>
      </c>
      <c r="M6546" t="n">
        <v>85000</v>
      </c>
      <c r="N6546" t="n">
        <v>91</v>
      </c>
      <c r="O6546" t="n">
        <v>0.91</v>
      </c>
      <c r="P6546" t="n">
        <v>1</v>
      </c>
      <c r="Q6546" t="n">
        <v>0.07000000000000001</v>
      </c>
      <c r="R6546" t="n">
        <v>1</v>
      </c>
      <c r="S6546" t="n">
        <v>1547</v>
      </c>
      <c r="T6546" t="n">
        <v>2</v>
      </c>
      <c r="U6546" t="n">
        <v>3</v>
      </c>
      <c r="V6546" t="n">
        <v>30</v>
      </c>
      <c r="W6546" t="n">
        <v>1</v>
      </c>
      <c r="X6546" t="n">
        <v>274.7252747252747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inlineStr"/>
      <c r="AG6546" t="inlineStr"/>
      <c r="AH6546" t="inlineStr"/>
      <c r="AI6546" t="n">
        <v>0</v>
      </c>
      <c r="AJ6546" t="inlineStr"/>
      <c r="AK6546" t="n">
        <v>0</v>
      </c>
      <c r="AL6546" t="inlineStr"/>
      <c r="AM6546" t="n">
        <v>0</v>
      </c>
      <c r="AN6546" t="n">
        <v>0</v>
      </c>
      <c r="AO6546" t="n">
        <v>0</v>
      </c>
      <c r="AP6546" t="inlineStr"/>
      <c r="AQ6546" t="inlineStr"/>
    </row>
    <row r="6547">
      <c r="A6547" t="inlineStr">
        <is>
          <t>HAIR &amp; ME</t>
        </is>
      </c>
      <c r="B6547" s="2">
        <f>"8997025311988"</f>
        <v/>
      </c>
      <c r="C6547" t="inlineStr">
        <is>
          <t>HAIR &amp; ME Hair Spa Avocado 300gr</t>
        </is>
      </c>
      <c r="D6547" t="inlineStr">
        <is>
          <t>Miss Glam Damar</t>
        </is>
      </c>
      <c r="E6547" t="n">
        <v>4</v>
      </c>
      <c r="F6547" t="n">
        <v>0.05</v>
      </c>
      <c r="G6547" t="n">
        <v>1</v>
      </c>
      <c r="H6547" t="n">
        <v>1</v>
      </c>
      <c r="I6547" t="n">
        <v>2</v>
      </c>
      <c r="J6547" t="n">
        <v>3</v>
      </c>
      <c r="K6547" t="n">
        <v>0</v>
      </c>
      <c r="L6547" t="n">
        <v>34000</v>
      </c>
      <c r="M6547" t="n">
        <v>42500</v>
      </c>
      <c r="N6547" t="n">
        <v>91</v>
      </c>
      <c r="O6547" t="n">
        <v>0.91</v>
      </c>
      <c r="P6547" t="n">
        <v>0</v>
      </c>
      <c r="Q6547" t="n">
        <v>0.05</v>
      </c>
      <c r="R6547" t="n">
        <v>1</v>
      </c>
      <c r="S6547" t="n">
        <v>2125</v>
      </c>
      <c r="T6547" t="n">
        <v>2</v>
      </c>
      <c r="U6547" t="n">
        <v>3</v>
      </c>
      <c r="V6547" t="n">
        <v>30</v>
      </c>
      <c r="W6547" t="n">
        <v>2</v>
      </c>
      <c r="X6547" t="n">
        <v>80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inlineStr"/>
      <c r="AG6547" t="inlineStr"/>
      <c r="AH6547" t="inlineStr"/>
      <c r="AI6547" t="n">
        <v>0</v>
      </c>
      <c r="AJ6547" t="inlineStr"/>
      <c r="AK6547" t="n">
        <v>0</v>
      </c>
      <c r="AL6547" t="inlineStr"/>
      <c r="AM6547" t="n">
        <v>0</v>
      </c>
      <c r="AN6547" t="n">
        <v>0</v>
      </c>
      <c r="AO6547" t="n">
        <v>0</v>
      </c>
      <c r="AP6547" t="inlineStr"/>
      <c r="AQ6547" t="inlineStr"/>
    </row>
    <row r="6548">
      <c r="A6548" t="inlineStr">
        <is>
          <t>HAIR &amp; ME</t>
        </is>
      </c>
      <c r="B6548" s="2">
        <f>"8997025312015"</f>
        <v/>
      </c>
      <c r="C6548" t="inlineStr">
        <is>
          <t>HAIR &amp; ME Hair Spa Blue Yogurt 300gr</t>
        </is>
      </c>
      <c r="D6548" t="inlineStr">
        <is>
          <t>Miss Glam Damar</t>
        </is>
      </c>
      <c r="E6548" t="n">
        <v>6</v>
      </c>
      <c r="F6548" t="n">
        <v>0.0273</v>
      </c>
      <c r="G6548" t="n">
        <v>0.91</v>
      </c>
      <c r="H6548" t="n">
        <v>1</v>
      </c>
      <c r="I6548" t="n">
        <v>2</v>
      </c>
      <c r="J6548" t="n">
        <v>3</v>
      </c>
      <c r="K6548" t="n">
        <v>0</v>
      </c>
      <c r="L6548" t="n">
        <v>34000</v>
      </c>
      <c r="M6548" t="n">
        <v>42500</v>
      </c>
      <c r="N6548" t="n">
        <v>91</v>
      </c>
      <c r="O6548" t="n">
        <v>0.91</v>
      </c>
      <c r="P6548" t="n">
        <v>1</v>
      </c>
      <c r="Q6548" t="n">
        <v>0.03</v>
      </c>
      <c r="R6548" t="n">
        <v>1</v>
      </c>
      <c r="S6548" t="n">
        <v>1160.25</v>
      </c>
      <c r="T6548" t="n">
        <v>2</v>
      </c>
      <c r="U6548" t="n">
        <v>3</v>
      </c>
      <c r="V6548" t="n">
        <v>30</v>
      </c>
      <c r="W6548" t="n">
        <v>1</v>
      </c>
      <c r="X6548" t="n">
        <v>219.7802197802198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inlineStr"/>
      <c r="AG6548" t="inlineStr"/>
      <c r="AH6548" t="inlineStr"/>
      <c r="AI6548" t="n">
        <v>0</v>
      </c>
      <c r="AJ6548" t="inlineStr"/>
      <c r="AK6548" t="n">
        <v>0</v>
      </c>
      <c r="AL6548" t="inlineStr"/>
      <c r="AM6548" t="n">
        <v>0</v>
      </c>
      <c r="AN6548" t="n">
        <v>0</v>
      </c>
      <c r="AO6548" t="n">
        <v>0</v>
      </c>
      <c r="AP6548" t="inlineStr"/>
      <c r="AQ6548" t="inlineStr"/>
    </row>
    <row r="6549">
      <c r="A6549" t="inlineStr">
        <is>
          <t>HAIR &amp; ME</t>
        </is>
      </c>
      <c r="B6549" s="2">
        <f>"8997025312008"</f>
        <v/>
      </c>
      <c r="C6549" t="inlineStr">
        <is>
          <t>HAIR &amp; ME Hair Spa Ginseng 300gr</t>
        </is>
      </c>
      <c r="D6549" t="inlineStr">
        <is>
          <t>Miss Glam Damar</t>
        </is>
      </c>
      <c r="E6549" t="n">
        <v>0</v>
      </c>
      <c r="F6549" t="n">
        <v>0.0182</v>
      </c>
      <c r="G6549" t="n">
        <v>0.91</v>
      </c>
      <c r="H6549" t="n">
        <v>1</v>
      </c>
      <c r="I6549" t="n">
        <v>2</v>
      </c>
      <c r="J6549" t="n">
        <v>3</v>
      </c>
      <c r="K6549" t="n">
        <v>0</v>
      </c>
      <c r="L6549" t="n">
        <v>34000</v>
      </c>
      <c r="M6549" t="n">
        <v>42500</v>
      </c>
      <c r="N6549" t="n">
        <v>91</v>
      </c>
      <c r="O6549" t="n">
        <v>0.91</v>
      </c>
      <c r="P6549" t="n">
        <v>1</v>
      </c>
      <c r="Q6549" t="n">
        <v>0.05</v>
      </c>
      <c r="R6549" t="n">
        <v>1</v>
      </c>
      <c r="S6549" t="n">
        <v>773.5</v>
      </c>
      <c r="T6549" t="n">
        <v>2</v>
      </c>
      <c r="U6549" t="n">
        <v>3</v>
      </c>
      <c r="V6549" t="n">
        <v>30</v>
      </c>
      <c r="W6549" t="n">
        <v>1</v>
      </c>
      <c r="X6549" t="n">
        <v>0</v>
      </c>
      <c r="Y6549" t="n">
        <v>1</v>
      </c>
      <c r="Z6549" t="n">
        <v>1</v>
      </c>
      <c r="AA6549" t="n">
        <v>1</v>
      </c>
      <c r="AB6549" t="n">
        <v>0</v>
      </c>
      <c r="AC6549" t="n">
        <v>0</v>
      </c>
      <c r="AD6549" t="n">
        <v>34000</v>
      </c>
      <c r="AE6549" t="n">
        <v>0</v>
      </c>
      <c r="AF6549" t="inlineStr"/>
      <c r="AG6549" t="inlineStr"/>
      <c r="AH6549" t="inlineStr"/>
      <c r="AI6549" t="n">
        <v>0</v>
      </c>
      <c r="AJ6549" t="inlineStr"/>
      <c r="AK6549" t="n">
        <v>0</v>
      </c>
      <c r="AL6549" t="inlineStr"/>
      <c r="AM6549" t="n">
        <v>0</v>
      </c>
      <c r="AN6549" t="n">
        <v>0</v>
      </c>
      <c r="AO6549" t="n">
        <v>0</v>
      </c>
      <c r="AP6549" t="inlineStr"/>
      <c r="AQ6549" t="inlineStr"/>
    </row>
    <row r="6550">
      <c r="A6550" t="inlineStr">
        <is>
          <t>HAIR &amp; ME</t>
        </is>
      </c>
      <c r="B6550" s="2">
        <f>"8997025311971"</f>
        <v/>
      </c>
      <c r="C6550" t="inlineStr">
        <is>
          <t>HAIR &amp; ME Hair Spa Honey 300gr</t>
        </is>
      </c>
      <c r="D6550" t="inlineStr">
        <is>
          <t>Miss Glam Damar</t>
        </is>
      </c>
      <c r="E6550" t="n">
        <v>0</v>
      </c>
      <c r="F6550" t="n">
        <v>0.0182</v>
      </c>
      <c r="G6550" t="n">
        <v>0.91</v>
      </c>
      <c r="H6550" t="n">
        <v>1</v>
      </c>
      <c r="I6550" t="n">
        <v>2</v>
      </c>
      <c r="J6550" t="n">
        <v>3</v>
      </c>
      <c r="K6550" t="n">
        <v>0</v>
      </c>
      <c r="L6550" t="n">
        <v>34000</v>
      </c>
      <c r="M6550" t="n">
        <v>42500</v>
      </c>
      <c r="N6550" t="n">
        <v>91</v>
      </c>
      <c r="O6550" t="n">
        <v>0.91</v>
      </c>
      <c r="P6550" t="n">
        <v>1</v>
      </c>
      <c r="Q6550" t="n">
        <v>0.03</v>
      </c>
      <c r="R6550" t="n">
        <v>1</v>
      </c>
      <c r="S6550" t="n">
        <v>773.5</v>
      </c>
      <c r="T6550" t="n">
        <v>2</v>
      </c>
      <c r="U6550" t="n">
        <v>3</v>
      </c>
      <c r="V6550" t="n">
        <v>30</v>
      </c>
      <c r="W6550" t="n">
        <v>1</v>
      </c>
      <c r="X6550" t="n">
        <v>0</v>
      </c>
      <c r="Y6550" t="n">
        <v>1</v>
      </c>
      <c r="Z6550" t="n">
        <v>1</v>
      </c>
      <c r="AA6550" t="n">
        <v>1</v>
      </c>
      <c r="AB6550" t="n">
        <v>0</v>
      </c>
      <c r="AC6550" t="n">
        <v>0</v>
      </c>
      <c r="AD6550" t="n">
        <v>34000</v>
      </c>
      <c r="AE6550" t="n">
        <v>0</v>
      </c>
      <c r="AF6550" t="inlineStr"/>
      <c r="AG6550" t="inlineStr"/>
      <c r="AH6550" t="inlineStr"/>
      <c r="AI6550" t="n">
        <v>0</v>
      </c>
      <c r="AJ6550" t="inlineStr"/>
      <c r="AK6550" t="n">
        <v>0</v>
      </c>
      <c r="AL6550" t="inlineStr"/>
      <c r="AM6550" t="n">
        <v>0</v>
      </c>
      <c r="AN6550" t="n">
        <v>0</v>
      </c>
      <c r="AO6550" t="n">
        <v>0</v>
      </c>
      <c r="AP6550" t="inlineStr"/>
      <c r="AQ6550" t="inlineStr"/>
    </row>
    <row r="6551">
      <c r="A6551" t="inlineStr">
        <is>
          <t>HALOCA BEAUTY</t>
        </is>
      </c>
      <c r="B6551" s="2">
        <f>"6957148431705"</f>
        <v/>
      </c>
      <c r="C6551" t="inlineStr">
        <is>
          <t>HALOCA BEAUTY 9D Whitening Essence Booster Night Lotion Chomosome Alpha Arbutin 250gr</t>
        </is>
      </c>
      <c r="D6551" t="inlineStr">
        <is>
          <t>Miss Glam Damar</t>
        </is>
      </c>
      <c r="E6551" t="n">
        <v>0</v>
      </c>
      <c r="F6551" t="n">
        <v>0.0182</v>
      </c>
      <c r="G6551" t="n">
        <v>0.91</v>
      </c>
      <c r="H6551" t="n">
        <v>1</v>
      </c>
      <c r="I6551" t="n">
        <v>2</v>
      </c>
      <c r="J6551" t="n">
        <v>3</v>
      </c>
      <c r="K6551" t="n">
        <v>0</v>
      </c>
      <c r="L6551" t="n">
        <v>85000</v>
      </c>
      <c r="M6551" t="n">
        <v>140000</v>
      </c>
      <c r="N6551" t="n">
        <v>91</v>
      </c>
      <c r="O6551" t="n">
        <v>0.91</v>
      </c>
      <c r="P6551" t="n">
        <v>1</v>
      </c>
      <c r="Q6551" t="n">
        <v>0.07000000000000001</v>
      </c>
      <c r="R6551" t="n">
        <v>1</v>
      </c>
      <c r="S6551" t="n">
        <v>2548</v>
      </c>
      <c r="T6551" t="n">
        <v>2</v>
      </c>
      <c r="U6551" t="n">
        <v>3</v>
      </c>
      <c r="V6551" t="n">
        <v>30</v>
      </c>
      <c r="W6551" t="n">
        <v>1</v>
      </c>
      <c r="X6551" t="n">
        <v>0</v>
      </c>
      <c r="Y6551" t="n">
        <v>1</v>
      </c>
      <c r="Z6551" t="n">
        <v>1</v>
      </c>
      <c r="AA6551" t="n">
        <v>1</v>
      </c>
      <c r="AB6551" t="n">
        <v>0</v>
      </c>
      <c r="AC6551" t="n">
        <v>0</v>
      </c>
      <c r="AD6551" t="n">
        <v>85000</v>
      </c>
      <c r="AE6551" t="n">
        <v>0</v>
      </c>
      <c r="AF6551" t="inlineStr"/>
      <c r="AG6551" t="inlineStr"/>
      <c r="AH6551" t="inlineStr"/>
      <c r="AI6551" t="n">
        <v>0</v>
      </c>
      <c r="AJ6551" t="inlineStr"/>
      <c r="AK6551" t="n">
        <v>0</v>
      </c>
      <c r="AL6551" t="inlineStr"/>
      <c r="AM6551" t="n">
        <v>0</v>
      </c>
      <c r="AN6551" t="n">
        <v>0</v>
      </c>
      <c r="AO6551" t="n">
        <v>0</v>
      </c>
      <c r="AP6551" t="inlineStr"/>
      <c r="AQ6551" t="inlineStr"/>
    </row>
    <row r="6552">
      <c r="A6552" t="inlineStr">
        <is>
          <t>HNH</t>
        </is>
      </c>
      <c r="B6552" s="2">
        <f>"101001108351"</f>
        <v/>
      </c>
      <c r="C6552" t="inlineStr">
        <is>
          <t>HNH Facial Wash Ultimate 100ml</t>
        </is>
      </c>
      <c r="D6552" t="inlineStr">
        <is>
          <t>Miss Glam Damar</t>
        </is>
      </c>
      <c r="E6552" t="n">
        <v>3</v>
      </c>
      <c r="F6552" t="n">
        <v>0.03</v>
      </c>
      <c r="G6552" t="n">
        <v>1</v>
      </c>
      <c r="H6552" t="n">
        <v>1</v>
      </c>
      <c r="I6552" t="n">
        <v>2</v>
      </c>
      <c r="J6552" t="n">
        <v>1</v>
      </c>
      <c r="K6552" t="n">
        <v>0</v>
      </c>
      <c r="L6552" t="n">
        <v>65589</v>
      </c>
      <c r="M6552" t="n">
        <v>80000</v>
      </c>
      <c r="N6552" t="n">
        <v>91</v>
      </c>
      <c r="O6552" t="n">
        <v>0.91</v>
      </c>
      <c r="P6552" t="n">
        <v>0</v>
      </c>
      <c r="Q6552" t="n">
        <v>0.03</v>
      </c>
      <c r="R6552" t="n">
        <v>1</v>
      </c>
      <c r="S6552" t="n">
        <v>2400</v>
      </c>
      <c r="T6552" t="n">
        <v>2</v>
      </c>
      <c r="U6552" t="n">
        <v>3</v>
      </c>
      <c r="V6552" t="n">
        <v>30</v>
      </c>
      <c r="W6552" t="n">
        <v>1</v>
      </c>
      <c r="X6552" t="n">
        <v>100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inlineStr"/>
      <c r="AG6552" t="inlineStr"/>
      <c r="AH6552" t="inlineStr"/>
      <c r="AI6552" t="n">
        <v>0</v>
      </c>
      <c r="AJ6552" t="inlineStr"/>
      <c r="AK6552" t="n">
        <v>0</v>
      </c>
      <c r="AL6552" t="inlineStr"/>
      <c r="AM6552" t="n">
        <v>0</v>
      </c>
      <c r="AN6552" t="n">
        <v>0</v>
      </c>
      <c r="AO6552" t="n">
        <v>0</v>
      </c>
      <c r="AP6552" t="inlineStr"/>
      <c r="AQ6552" t="inlineStr"/>
    </row>
    <row r="6553">
      <c r="A6553" t="inlineStr">
        <is>
          <t>INITO</t>
        </is>
      </c>
      <c r="B6553" s="2">
        <f>"30800306313"</f>
        <v/>
      </c>
      <c r="C6553" t="inlineStr">
        <is>
          <t>INITO Lady Ultra Slim Night 290mm</t>
        </is>
      </c>
      <c r="D6553" t="inlineStr">
        <is>
          <t>Miss Glam Damar</t>
        </is>
      </c>
      <c r="E6553" t="n">
        <v>0</v>
      </c>
      <c r="F6553" t="n">
        <v>0.06370000000000001</v>
      </c>
      <c r="G6553" t="n">
        <v>0.91</v>
      </c>
      <c r="H6553" t="n">
        <v>1</v>
      </c>
      <c r="I6553" t="n">
        <v>2</v>
      </c>
      <c r="J6553" t="n">
        <v>1</v>
      </c>
      <c r="K6553" t="n">
        <v>0</v>
      </c>
      <c r="L6553" t="n">
        <v>16294</v>
      </c>
      <c r="M6553" t="n">
        <v>22000</v>
      </c>
      <c r="N6553" t="n">
        <v>91</v>
      </c>
      <c r="O6553" t="n">
        <v>0.91</v>
      </c>
      <c r="P6553" t="n">
        <v>1</v>
      </c>
      <c r="Q6553" t="n">
        <v>0.05</v>
      </c>
      <c r="R6553" t="n">
        <v>1</v>
      </c>
      <c r="S6553" t="n">
        <v>1401.4</v>
      </c>
      <c r="T6553" t="n">
        <v>2</v>
      </c>
      <c r="U6553" t="n">
        <v>3</v>
      </c>
      <c r="V6553" t="n">
        <v>30</v>
      </c>
      <c r="W6553" t="n">
        <v>2</v>
      </c>
      <c r="X6553" t="n">
        <v>0</v>
      </c>
      <c r="Y6553" t="n">
        <v>1</v>
      </c>
      <c r="Z6553" t="n">
        <v>2</v>
      </c>
      <c r="AA6553" t="n">
        <v>1</v>
      </c>
      <c r="AB6553" t="n">
        <v>1</v>
      </c>
      <c r="AC6553" t="n">
        <v>1</v>
      </c>
      <c r="AD6553" t="n">
        <v>16294</v>
      </c>
      <c r="AE6553" t="n">
        <v>16294</v>
      </c>
      <c r="AF6553" t="inlineStr"/>
      <c r="AG6553" t="inlineStr"/>
      <c r="AH6553" t="inlineStr"/>
      <c r="AI6553" t="n">
        <v>0</v>
      </c>
      <c r="AJ6553" t="inlineStr"/>
      <c r="AK6553" t="n">
        <v>0</v>
      </c>
      <c r="AL6553" t="inlineStr"/>
      <c r="AM6553" t="n">
        <v>0</v>
      </c>
      <c r="AN6553" t="n">
        <v>0</v>
      </c>
      <c r="AO6553" t="n">
        <v>0</v>
      </c>
      <c r="AP6553" t="inlineStr"/>
      <c r="AQ6553" t="inlineStr"/>
    </row>
    <row r="6554">
      <c r="A6554" t="inlineStr">
        <is>
          <t>ISTY</t>
        </is>
      </c>
      <c r="B6554" s="2">
        <f>"30400254226"</f>
        <v/>
      </c>
      <c r="C6554" t="inlineStr">
        <is>
          <t>ISTY Baccarat Eau De Parfum 30ml</t>
        </is>
      </c>
      <c r="D6554" t="inlineStr">
        <is>
          <t>Miss Glam Damar</t>
        </is>
      </c>
      <c r="E6554" t="n">
        <v>17</v>
      </c>
      <c r="F6554" t="n">
        <v>0.09100000000000001</v>
      </c>
      <c r="G6554" t="n">
        <v>1.82</v>
      </c>
      <c r="H6554" t="n">
        <v>1</v>
      </c>
      <c r="I6554" t="n">
        <v>2</v>
      </c>
      <c r="J6554" t="n">
        <v>1</v>
      </c>
      <c r="K6554" t="n">
        <v>0</v>
      </c>
      <c r="L6554" t="n">
        <v>10500</v>
      </c>
      <c r="M6554" t="n">
        <v>18500</v>
      </c>
      <c r="N6554" t="n">
        <v>91</v>
      </c>
      <c r="O6554" t="n">
        <v>0.91</v>
      </c>
      <c r="P6554" t="n">
        <v>1</v>
      </c>
      <c r="Q6554" t="n">
        <v>0.02</v>
      </c>
      <c r="R6554" t="n">
        <v>1</v>
      </c>
      <c r="S6554" t="n">
        <v>1683.5</v>
      </c>
      <c r="T6554" t="n">
        <v>4</v>
      </c>
      <c r="U6554" t="n">
        <v>5</v>
      </c>
      <c r="V6554" t="n">
        <v>30</v>
      </c>
      <c r="W6554" t="n">
        <v>3</v>
      </c>
      <c r="X6554" t="n">
        <v>186.8131868131868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5903</v>
      </c>
      <c r="AG6554" t="n">
        <v>1</v>
      </c>
      <c r="AH6554" t="inlineStr">
        <is>
          <t>PT. BERSAMA DISTRIVERSA INDONESIA (DC CIPUTAT)</t>
        </is>
      </c>
      <c r="AI6554" t="n">
        <v>2284</v>
      </c>
      <c r="AJ6554" t="inlineStr">
        <is>
          <t>ISTY</t>
        </is>
      </c>
      <c r="AK6554" t="n">
        <v>43</v>
      </c>
      <c r="AL6554" t="inlineStr">
        <is>
          <t>Miss Glam Soeta</t>
        </is>
      </c>
      <c r="AM6554" t="n">
        <v>3</v>
      </c>
      <c r="AN6554" t="n">
        <v>500000</v>
      </c>
      <c r="AO6554" t="n">
        <v>0</v>
      </c>
      <c r="AP6554" t="inlineStr"/>
      <c r="AQ6554" t="inlineStr"/>
    </row>
    <row r="6555">
      <c r="A6555" t="inlineStr">
        <is>
          <t>ISTY</t>
        </is>
      </c>
      <c r="B6555" s="2">
        <f>"30400254444"</f>
        <v/>
      </c>
      <c r="C6555" t="inlineStr">
        <is>
          <t>ISTY Nagita Eau De Parfum 30ml</t>
        </is>
      </c>
      <c r="D6555" t="inlineStr">
        <is>
          <t>Miss Glam Damar</t>
        </is>
      </c>
      <c r="E6555" t="n">
        <v>23</v>
      </c>
      <c r="F6555" t="n">
        <v>0.06370000000000001</v>
      </c>
      <c r="G6555" t="n">
        <v>1.82</v>
      </c>
      <c r="H6555" t="n">
        <v>1</v>
      </c>
      <c r="I6555" t="n">
        <v>2</v>
      </c>
      <c r="J6555" t="n">
        <v>1</v>
      </c>
      <c r="K6555" t="n">
        <v>0</v>
      </c>
      <c r="L6555" t="n">
        <v>10500</v>
      </c>
      <c r="M6555" t="n">
        <v>18500</v>
      </c>
      <c r="N6555" t="n">
        <v>91</v>
      </c>
      <c r="O6555" t="n">
        <v>0.91</v>
      </c>
      <c r="P6555" t="n">
        <v>1</v>
      </c>
      <c r="Q6555" t="n">
        <v>0.02</v>
      </c>
      <c r="R6555" t="n">
        <v>1</v>
      </c>
      <c r="S6555" t="n">
        <v>1178.45</v>
      </c>
      <c r="T6555" t="n">
        <v>4</v>
      </c>
      <c r="U6555" t="n">
        <v>5</v>
      </c>
      <c r="V6555" t="n">
        <v>30</v>
      </c>
      <c r="W6555" t="n">
        <v>2</v>
      </c>
      <c r="X6555" t="n">
        <v>361.0675039246468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5903</v>
      </c>
      <c r="AG6555" t="n">
        <v>1</v>
      </c>
      <c r="AH6555" t="inlineStr">
        <is>
          <t>PT. BERSAMA DISTRIVERSA INDONESIA (DC CIPUTAT)</t>
        </is>
      </c>
      <c r="AI6555" t="n">
        <v>2284</v>
      </c>
      <c r="AJ6555" t="inlineStr">
        <is>
          <t>ISTY</t>
        </is>
      </c>
      <c r="AK6555" t="n">
        <v>43</v>
      </c>
      <c r="AL6555" t="inlineStr">
        <is>
          <t>Miss Glam Soeta</t>
        </is>
      </c>
      <c r="AM6555" t="n">
        <v>3</v>
      </c>
      <c r="AN6555" t="n">
        <v>500000</v>
      </c>
      <c r="AO6555" t="n">
        <v>0</v>
      </c>
      <c r="AP6555" t="inlineStr"/>
      <c r="AQ6555" t="inlineStr"/>
    </row>
    <row r="6556">
      <c r="A6556" t="inlineStr">
        <is>
          <t>ISTY</t>
        </is>
      </c>
      <c r="B6556" s="2">
        <f>"30400254521"</f>
        <v/>
      </c>
      <c r="C6556" t="inlineStr">
        <is>
          <t>ISTY Secret Scandal Eau De Parfum 30ml</t>
        </is>
      </c>
      <c r="D6556" t="inlineStr">
        <is>
          <t>Miss Glam Damar</t>
        </is>
      </c>
      <c r="E6556" t="n">
        <v>15</v>
      </c>
      <c r="F6556" t="n">
        <v>0.0819</v>
      </c>
      <c r="G6556" t="n">
        <v>1.82</v>
      </c>
      <c r="H6556" t="n">
        <v>1</v>
      </c>
      <c r="I6556" t="n">
        <v>2</v>
      </c>
      <c r="J6556" t="n">
        <v>1</v>
      </c>
      <c r="K6556" t="n">
        <v>0</v>
      </c>
      <c r="L6556" t="n">
        <v>10500</v>
      </c>
      <c r="M6556" t="n">
        <v>18500</v>
      </c>
      <c r="N6556" t="n">
        <v>91</v>
      </c>
      <c r="O6556" t="n">
        <v>0.91</v>
      </c>
      <c r="P6556" t="n">
        <v>1</v>
      </c>
      <c r="Q6556" t="n">
        <v>0.03</v>
      </c>
      <c r="R6556" t="n">
        <v>1</v>
      </c>
      <c r="S6556" t="n">
        <v>1515.15</v>
      </c>
      <c r="T6556" t="n">
        <v>4</v>
      </c>
      <c r="U6556" t="n">
        <v>5</v>
      </c>
      <c r="V6556" t="n">
        <v>30</v>
      </c>
      <c r="W6556" t="n">
        <v>3</v>
      </c>
      <c r="X6556" t="n">
        <v>183.1501831501832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5903</v>
      </c>
      <c r="AG6556" t="n">
        <v>1</v>
      </c>
      <c r="AH6556" t="inlineStr">
        <is>
          <t>PT. BERSAMA DISTRIVERSA INDONESIA (DC CIPUTAT)</t>
        </is>
      </c>
      <c r="AI6556" t="n">
        <v>2284</v>
      </c>
      <c r="AJ6556" t="inlineStr">
        <is>
          <t>ISTY</t>
        </is>
      </c>
      <c r="AK6556" t="n">
        <v>43</v>
      </c>
      <c r="AL6556" t="inlineStr">
        <is>
          <t>Miss Glam Soeta</t>
        </is>
      </c>
      <c r="AM6556" t="n">
        <v>3</v>
      </c>
      <c r="AN6556" t="n">
        <v>500000</v>
      </c>
      <c r="AO6556" t="n">
        <v>0</v>
      </c>
      <c r="AP6556" t="inlineStr"/>
      <c r="AQ6556" t="inlineStr"/>
    </row>
    <row r="6557">
      <c r="A6557" t="inlineStr">
        <is>
          <t>ISTY</t>
        </is>
      </c>
      <c r="B6557" s="2">
        <f>"30400254739"</f>
        <v/>
      </c>
      <c r="C6557" t="inlineStr">
        <is>
          <t>ISTY Vanilla Cake Eau De Parfum 30ml</t>
        </is>
      </c>
      <c r="D6557" t="inlineStr">
        <is>
          <t>Miss Glam Damar</t>
        </is>
      </c>
      <c r="E6557" t="n">
        <v>9</v>
      </c>
      <c r="F6557" t="n">
        <v>0.0819</v>
      </c>
      <c r="G6557" t="n">
        <v>0.91</v>
      </c>
      <c r="H6557" t="n">
        <v>1</v>
      </c>
      <c r="I6557" t="n">
        <v>2</v>
      </c>
      <c r="J6557" t="n">
        <v>1</v>
      </c>
      <c r="K6557" t="n">
        <v>0</v>
      </c>
      <c r="L6557" t="n">
        <v>10500</v>
      </c>
      <c r="M6557" t="n">
        <v>18500</v>
      </c>
      <c r="N6557" t="n">
        <v>91</v>
      </c>
      <c r="O6557" t="n">
        <v>0.91</v>
      </c>
      <c r="P6557" t="n">
        <v>1</v>
      </c>
      <c r="Q6557" t="n">
        <v>0.1</v>
      </c>
      <c r="R6557" t="n">
        <v>1</v>
      </c>
      <c r="S6557" t="n">
        <v>1515.15</v>
      </c>
      <c r="T6557" t="n">
        <v>2</v>
      </c>
      <c r="U6557" t="n">
        <v>3</v>
      </c>
      <c r="V6557" t="n">
        <v>30</v>
      </c>
      <c r="W6557" t="n">
        <v>3</v>
      </c>
      <c r="X6557" t="n">
        <v>109.8901098901099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5903</v>
      </c>
      <c r="AG6557" t="n">
        <v>1</v>
      </c>
      <c r="AH6557" t="inlineStr">
        <is>
          <t>PT. BERSAMA DISTRIVERSA INDONESIA (DC CIPUTAT)</t>
        </is>
      </c>
      <c r="AI6557" t="n">
        <v>2284</v>
      </c>
      <c r="AJ6557" t="inlineStr">
        <is>
          <t>ISTY</t>
        </is>
      </c>
      <c r="AK6557" t="n">
        <v>43</v>
      </c>
      <c r="AL6557" t="inlineStr">
        <is>
          <t>Miss Glam Soeta</t>
        </is>
      </c>
      <c r="AM6557" t="n">
        <v>3</v>
      </c>
      <c r="AN6557" t="n">
        <v>500000</v>
      </c>
      <c r="AO6557" t="n">
        <v>0</v>
      </c>
      <c r="AP6557" t="inlineStr"/>
      <c r="AQ6557" t="inlineStr"/>
    </row>
    <row r="6558">
      <c r="A6558" t="inlineStr">
        <is>
          <t>JACQUELLE BEAUTE</t>
        </is>
      </c>
      <c r="B6558" s="2">
        <f>"50101116428"</f>
        <v/>
      </c>
      <c r="C6558" t="inlineStr">
        <is>
          <t>JACQUELLE BEAUTE 2 IN 1 Lilac Brush #2</t>
        </is>
      </c>
      <c r="D6558" t="inlineStr">
        <is>
          <t>Miss Glam Damar</t>
        </is>
      </c>
      <c r="E6558" t="n">
        <v>3</v>
      </c>
      <c r="F6558" t="n">
        <v>0.0182</v>
      </c>
      <c r="G6558" t="n">
        <v>0.91</v>
      </c>
      <c r="H6558" t="n">
        <v>1</v>
      </c>
      <c r="I6558" t="n">
        <v>2</v>
      </c>
      <c r="J6558" t="n">
        <v>1</v>
      </c>
      <c r="K6558" t="n">
        <v>0</v>
      </c>
      <c r="L6558" t="n">
        <v>69951</v>
      </c>
      <c r="M6558" t="n">
        <v>97500</v>
      </c>
      <c r="N6558" t="n">
        <v>91</v>
      </c>
      <c r="O6558" t="n">
        <v>0.91</v>
      </c>
      <c r="P6558" t="n">
        <v>1</v>
      </c>
      <c r="Q6558" t="n">
        <v>0.05</v>
      </c>
      <c r="R6558" t="n">
        <v>1</v>
      </c>
      <c r="S6558" t="n">
        <v>1774.5</v>
      </c>
      <c r="T6558" t="n">
        <v>2</v>
      </c>
      <c r="U6558" t="n">
        <v>3</v>
      </c>
      <c r="V6558" t="n">
        <v>30</v>
      </c>
      <c r="W6558" t="n">
        <v>1</v>
      </c>
      <c r="X6558" t="n">
        <v>164.8351648351648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inlineStr"/>
      <c r="AG6558" t="inlineStr"/>
      <c r="AH6558" t="inlineStr"/>
      <c r="AI6558" t="n">
        <v>0</v>
      </c>
      <c r="AJ6558" t="inlineStr"/>
      <c r="AK6558" t="n">
        <v>0</v>
      </c>
      <c r="AL6558" t="inlineStr"/>
      <c r="AM6558" t="n">
        <v>0</v>
      </c>
      <c r="AN6558" t="n">
        <v>0</v>
      </c>
      <c r="AO6558" t="n">
        <v>0</v>
      </c>
      <c r="AP6558" t="inlineStr"/>
      <c r="AQ6558" t="inlineStr"/>
    </row>
    <row r="6559">
      <c r="A6559" t="inlineStr">
        <is>
          <t>JACQUELLE BEAUTE</t>
        </is>
      </c>
      <c r="B6559" s="2">
        <f>"8995917722775"</f>
        <v/>
      </c>
      <c r="C6559" t="inlineStr">
        <is>
          <t>JACQUELLE BEAUTE Brush Cleanser Soap 55gr</t>
        </is>
      </c>
      <c r="D6559" t="inlineStr">
        <is>
          <t>Miss Glam Damar</t>
        </is>
      </c>
      <c r="E6559" t="n">
        <v>5</v>
      </c>
      <c r="F6559" t="n">
        <v>0.02</v>
      </c>
      <c r="G6559" t="n">
        <v>1</v>
      </c>
      <c r="H6559" t="n">
        <v>1</v>
      </c>
      <c r="I6559" t="n">
        <v>2</v>
      </c>
      <c r="J6559" t="n">
        <v>3</v>
      </c>
      <c r="K6559" t="n">
        <v>0</v>
      </c>
      <c r="L6559" t="n">
        <v>20471</v>
      </c>
      <c r="M6559" t="n">
        <v>30000</v>
      </c>
      <c r="N6559" t="n">
        <v>91</v>
      </c>
      <c r="O6559" t="n">
        <v>0.91</v>
      </c>
      <c r="P6559" t="n">
        <v>0</v>
      </c>
      <c r="Q6559" t="n">
        <v>0.02</v>
      </c>
      <c r="R6559" t="n">
        <v>1</v>
      </c>
      <c r="S6559" t="n">
        <v>600</v>
      </c>
      <c r="T6559" t="n">
        <v>2</v>
      </c>
      <c r="U6559" t="n">
        <v>3</v>
      </c>
      <c r="V6559" t="n">
        <v>30</v>
      </c>
      <c r="W6559" t="n">
        <v>1</v>
      </c>
      <c r="X6559" t="n">
        <v>250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inlineStr"/>
      <c r="AG6559" t="inlineStr"/>
      <c r="AH6559" t="inlineStr"/>
      <c r="AI6559" t="n">
        <v>0</v>
      </c>
      <c r="AJ6559" t="inlineStr"/>
      <c r="AK6559" t="n">
        <v>0</v>
      </c>
      <c r="AL6559" t="inlineStr"/>
      <c r="AM6559" t="n">
        <v>0</v>
      </c>
      <c r="AN6559" t="n">
        <v>0</v>
      </c>
      <c r="AO6559" t="n">
        <v>0</v>
      </c>
      <c r="AP6559" t="inlineStr"/>
      <c r="AQ6559" t="inlineStr"/>
    </row>
    <row r="6560">
      <c r="A6560" t="inlineStr">
        <is>
          <t>JACQUELLE BEAUTE</t>
        </is>
      </c>
      <c r="B6560" s="2">
        <f>"8995917742612"</f>
        <v/>
      </c>
      <c r="C6560" t="inlineStr">
        <is>
          <t>JACQUELLE BEAUTE EggGang Beauty Sponge Coffee</t>
        </is>
      </c>
      <c r="D6560" t="inlineStr">
        <is>
          <t>Miss Glam Damar</t>
        </is>
      </c>
      <c r="E6560" t="n">
        <v>11</v>
      </c>
      <c r="F6560" t="n">
        <v>0.0273</v>
      </c>
      <c r="G6560" t="n">
        <v>0.91</v>
      </c>
      <c r="H6560" t="n">
        <v>1</v>
      </c>
      <c r="I6560" t="n">
        <v>2</v>
      </c>
      <c r="J6560" t="n">
        <v>3</v>
      </c>
      <c r="K6560" t="n">
        <v>0</v>
      </c>
      <c r="L6560" t="n">
        <v>39871</v>
      </c>
      <c r="M6560" t="n">
        <v>60000</v>
      </c>
      <c r="N6560" t="n">
        <v>91</v>
      </c>
      <c r="O6560" t="n">
        <v>0.91</v>
      </c>
      <c r="P6560" t="n">
        <v>1</v>
      </c>
      <c r="Q6560" t="n">
        <v>0.02</v>
      </c>
      <c r="R6560" t="n">
        <v>1</v>
      </c>
      <c r="S6560" t="n">
        <v>1638</v>
      </c>
      <c r="T6560" t="n">
        <v>2</v>
      </c>
      <c r="U6560" t="n">
        <v>3</v>
      </c>
      <c r="V6560" t="n">
        <v>30</v>
      </c>
      <c r="W6560" t="n">
        <v>1</v>
      </c>
      <c r="X6560" t="n">
        <v>402.9304029304029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inlineStr"/>
      <c r="AG6560" t="inlineStr"/>
      <c r="AH6560" t="inlineStr"/>
      <c r="AI6560" t="n">
        <v>0</v>
      </c>
      <c r="AJ6560" t="inlineStr"/>
      <c r="AK6560" t="n">
        <v>0</v>
      </c>
      <c r="AL6560" t="inlineStr"/>
      <c r="AM6560" t="n">
        <v>0</v>
      </c>
      <c r="AN6560" t="n">
        <v>0</v>
      </c>
      <c r="AO6560" t="n">
        <v>0</v>
      </c>
      <c r="AP6560" t="inlineStr"/>
      <c r="AQ6560" t="inlineStr"/>
    </row>
    <row r="6561">
      <c r="A6561" t="inlineStr">
        <is>
          <t>JACQUELLE BEAUTE</t>
        </is>
      </c>
      <c r="B6561" s="2">
        <f>"50100985636"</f>
        <v/>
      </c>
      <c r="C6561" t="inlineStr">
        <is>
          <t>JACQUELLE BEAUTE Flat EggGang Beauty Sponge Coffee</t>
        </is>
      </c>
      <c r="D6561" t="inlineStr">
        <is>
          <t>Miss Glam Damar</t>
        </is>
      </c>
      <c r="E6561" t="n">
        <v>1</v>
      </c>
      <c r="F6561" t="n">
        <v>0.09100000000000001</v>
      </c>
      <c r="G6561" t="n">
        <v>1.82</v>
      </c>
      <c r="H6561" t="n">
        <v>1</v>
      </c>
      <c r="I6561" t="n">
        <v>2</v>
      </c>
      <c r="J6561" t="n">
        <v>1</v>
      </c>
      <c r="K6561" t="n">
        <v>0</v>
      </c>
      <c r="L6561" t="n">
        <v>24730</v>
      </c>
      <c r="M6561" t="n">
        <v>35000</v>
      </c>
      <c r="N6561" t="n">
        <v>91</v>
      </c>
      <c r="O6561" t="n">
        <v>0.91</v>
      </c>
      <c r="P6561" t="n">
        <v>1</v>
      </c>
      <c r="Q6561" t="n">
        <v>0.14</v>
      </c>
      <c r="R6561" t="n">
        <v>2</v>
      </c>
      <c r="S6561" t="n">
        <v>3185</v>
      </c>
      <c r="T6561" t="n">
        <v>4</v>
      </c>
      <c r="U6561" t="n">
        <v>5</v>
      </c>
      <c r="V6561" t="n">
        <v>30</v>
      </c>
      <c r="W6561" t="n">
        <v>3</v>
      </c>
      <c r="X6561" t="n">
        <v>10.98901098901099</v>
      </c>
      <c r="Y6561" t="n">
        <v>1</v>
      </c>
      <c r="Z6561" t="n">
        <v>2</v>
      </c>
      <c r="AA6561" t="n">
        <v>0</v>
      </c>
      <c r="AB6561" t="n">
        <v>2</v>
      </c>
      <c r="AC6561" t="n">
        <v>2</v>
      </c>
      <c r="AD6561" t="n">
        <v>0</v>
      </c>
      <c r="AE6561" t="n">
        <v>49460</v>
      </c>
      <c r="AF6561" t="inlineStr"/>
      <c r="AG6561" t="inlineStr"/>
      <c r="AH6561" t="inlineStr"/>
      <c r="AI6561" t="n">
        <v>0</v>
      </c>
      <c r="AJ6561" t="inlineStr"/>
      <c r="AK6561" t="n">
        <v>0</v>
      </c>
      <c r="AL6561" t="inlineStr"/>
      <c r="AM6561" t="n">
        <v>0</v>
      </c>
      <c r="AN6561" t="n">
        <v>0</v>
      </c>
      <c r="AO6561" t="n">
        <v>0</v>
      </c>
      <c r="AP6561" t="inlineStr"/>
      <c r="AQ6561" t="inlineStr"/>
    </row>
    <row r="6562">
      <c r="A6562" t="inlineStr">
        <is>
          <t>JACQUELLE BEAUTE</t>
        </is>
      </c>
      <c r="B6562" s="2">
        <f>"11300301939"</f>
        <v/>
      </c>
      <c r="C6562" t="inlineStr">
        <is>
          <t>JACQUELLE BEAUTY Oil Control Paper Disney Animal &amp; Fairy Collection Kertas Minyak Wajah Isi 50s Jacq</t>
        </is>
      </c>
      <c r="D6562" t="inlineStr">
        <is>
          <t>Miss Glam Damar</t>
        </is>
      </c>
      <c r="E6562" t="n">
        <v>10</v>
      </c>
      <c r="F6562" t="n">
        <v>0.0182</v>
      </c>
      <c r="G6562" t="n">
        <v>0</v>
      </c>
      <c r="H6562" t="n">
        <v>1</v>
      </c>
      <c r="I6562" t="n">
        <v>2</v>
      </c>
      <c r="J6562" t="n">
        <v>1</v>
      </c>
      <c r="K6562" t="n">
        <v>0</v>
      </c>
      <c r="L6562" t="n">
        <v>20874</v>
      </c>
      <c r="M6562" t="n">
        <v>30000</v>
      </c>
      <c r="N6562" t="n">
        <v>91</v>
      </c>
      <c r="O6562" t="n">
        <v>0.91</v>
      </c>
      <c r="P6562" t="n">
        <v>1</v>
      </c>
      <c r="Q6562" t="n">
        <v>0.03</v>
      </c>
      <c r="R6562" t="n">
        <v>1</v>
      </c>
      <c r="S6562" t="n">
        <v>546</v>
      </c>
      <c r="T6562" t="n">
        <v>0</v>
      </c>
      <c r="U6562" t="n">
        <v>1</v>
      </c>
      <c r="V6562" t="n">
        <v>30</v>
      </c>
      <c r="W6562" t="n">
        <v>1</v>
      </c>
      <c r="X6562" t="n">
        <v>549.4505494505494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inlineStr"/>
      <c r="AG6562" t="inlineStr"/>
      <c r="AH6562" t="inlineStr"/>
      <c r="AI6562" t="n">
        <v>0</v>
      </c>
      <c r="AJ6562" t="inlineStr"/>
      <c r="AK6562" t="n">
        <v>0</v>
      </c>
      <c r="AL6562" t="inlineStr"/>
      <c r="AM6562" t="n">
        <v>0</v>
      </c>
      <c r="AN6562" t="n">
        <v>0</v>
      </c>
      <c r="AO6562" t="n">
        <v>0</v>
      </c>
      <c r="AP6562" t="inlineStr"/>
      <c r="AQ6562" t="inlineStr"/>
    </row>
    <row r="6563">
      <c r="A6563" t="inlineStr">
        <is>
          <t>JACQUELLE BEAUTE</t>
        </is>
      </c>
      <c r="B6563" s="2">
        <f>"11300302009"</f>
        <v/>
      </c>
      <c r="C6563" t="inlineStr">
        <is>
          <t>JACQUELLE BEAUTY Oil Control Paper Disney Animal &amp; Fairy Collection Kertas Minyak Wajah Isi 50s Tink</t>
        </is>
      </c>
      <c r="D6563" t="inlineStr">
        <is>
          <t>Miss Glam Damar</t>
        </is>
      </c>
      <c r="E6563" t="n">
        <v>9</v>
      </c>
      <c r="F6563" t="n">
        <v>0.05</v>
      </c>
      <c r="G6563" t="n">
        <v>1</v>
      </c>
      <c r="H6563" t="n">
        <v>1</v>
      </c>
      <c r="I6563" t="n">
        <v>2</v>
      </c>
      <c r="J6563" t="n">
        <v>1</v>
      </c>
      <c r="K6563" t="n">
        <v>0</v>
      </c>
      <c r="L6563" t="n">
        <v>20874</v>
      </c>
      <c r="M6563" t="n">
        <v>30000</v>
      </c>
      <c r="N6563" t="n">
        <v>91</v>
      </c>
      <c r="O6563" t="n">
        <v>0.91</v>
      </c>
      <c r="P6563" t="n">
        <v>0</v>
      </c>
      <c r="Q6563" t="n">
        <v>0.05</v>
      </c>
      <c r="R6563" t="n">
        <v>1</v>
      </c>
      <c r="S6563" t="n">
        <v>1500</v>
      </c>
      <c r="T6563" t="n">
        <v>2</v>
      </c>
      <c r="U6563" t="n">
        <v>3</v>
      </c>
      <c r="V6563" t="n">
        <v>30</v>
      </c>
      <c r="W6563" t="n">
        <v>2</v>
      </c>
      <c r="X6563" t="n">
        <v>180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inlineStr"/>
      <c r="AG6563" t="inlineStr"/>
      <c r="AH6563" t="inlineStr"/>
      <c r="AI6563" t="n">
        <v>0</v>
      </c>
      <c r="AJ6563" t="inlineStr"/>
      <c r="AK6563" t="n">
        <v>0</v>
      </c>
      <c r="AL6563" t="inlineStr"/>
      <c r="AM6563" t="n">
        <v>0</v>
      </c>
      <c r="AN6563" t="n">
        <v>0</v>
      </c>
      <c r="AO6563" t="n">
        <v>0</v>
      </c>
      <c r="AP6563" t="inlineStr"/>
      <c r="AQ6563" t="inlineStr"/>
    </row>
    <row r="6564">
      <c r="A6564" t="inlineStr">
        <is>
          <t>JACQUELLE BEAUTE</t>
        </is>
      </c>
      <c r="B6564" s="2">
        <f>"50200146617"</f>
        <v/>
      </c>
      <c r="C6564" t="inlineStr">
        <is>
          <t>JACQUELLE L Tapered Brush Diamond Series</t>
        </is>
      </c>
      <c r="D6564" t="inlineStr">
        <is>
          <t>Miss Glam Damar</t>
        </is>
      </c>
      <c r="E6564" t="n">
        <v>2</v>
      </c>
      <c r="F6564" t="n">
        <v>0.0182</v>
      </c>
      <c r="G6564" t="n">
        <v>0</v>
      </c>
      <c r="H6564" t="n">
        <v>1</v>
      </c>
      <c r="I6564" t="n">
        <v>2</v>
      </c>
      <c r="J6564" t="n">
        <v>3</v>
      </c>
      <c r="K6564" t="n">
        <v>0</v>
      </c>
      <c r="L6564" t="n">
        <v>62886</v>
      </c>
      <c r="M6564" t="n">
        <v>87500</v>
      </c>
      <c r="N6564" t="n">
        <v>91</v>
      </c>
      <c r="O6564" t="n">
        <v>0.91</v>
      </c>
      <c r="P6564" t="n">
        <v>1</v>
      </c>
      <c r="Q6564" t="n">
        <v>0.07000000000000001</v>
      </c>
      <c r="R6564" t="n">
        <v>1</v>
      </c>
      <c r="S6564" t="n">
        <v>1592.5</v>
      </c>
      <c r="T6564" t="n">
        <v>0</v>
      </c>
      <c r="U6564" t="n">
        <v>1</v>
      </c>
      <c r="V6564" t="n">
        <v>30</v>
      </c>
      <c r="W6564" t="n">
        <v>1</v>
      </c>
      <c r="X6564" t="n">
        <v>109.8901098901099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inlineStr"/>
      <c r="AG6564" t="inlineStr"/>
      <c r="AH6564" t="inlineStr"/>
      <c r="AI6564" t="n">
        <v>0</v>
      </c>
      <c r="AJ6564" t="inlineStr"/>
      <c r="AK6564" t="n">
        <v>0</v>
      </c>
      <c r="AL6564" t="inlineStr"/>
      <c r="AM6564" t="n">
        <v>0</v>
      </c>
      <c r="AN6564" t="n">
        <v>0</v>
      </c>
      <c r="AO6564" t="n">
        <v>0</v>
      </c>
      <c r="AP6564" t="inlineStr"/>
      <c r="AQ6564" t="inlineStr"/>
    </row>
    <row r="6565">
      <c r="A6565" t="inlineStr">
        <is>
          <t>JACQUELLE BEAUTE</t>
        </is>
      </c>
      <c r="B6565" s="2">
        <f>"50200477931"</f>
        <v/>
      </c>
      <c r="C6565" t="inlineStr">
        <is>
          <t>JACQUELLE Sponge Egg Gang Beauty Matcha</t>
        </is>
      </c>
      <c r="D6565" t="inlineStr">
        <is>
          <t>Miss Glam Damar</t>
        </is>
      </c>
      <c r="E6565" t="n">
        <v>5</v>
      </c>
      <c r="F6565" t="n">
        <v>0.02</v>
      </c>
      <c r="G6565" t="n">
        <v>0</v>
      </c>
      <c r="H6565" t="n">
        <v>1</v>
      </c>
      <c r="I6565" t="n">
        <v>2</v>
      </c>
      <c r="J6565" t="n">
        <v>3</v>
      </c>
      <c r="K6565" t="n">
        <v>0</v>
      </c>
      <c r="L6565" t="n">
        <v>39871</v>
      </c>
      <c r="M6565" t="n">
        <v>55500</v>
      </c>
      <c r="N6565" t="n">
        <v>91</v>
      </c>
      <c r="O6565" t="n">
        <v>0.91</v>
      </c>
      <c r="P6565" t="n">
        <v>0</v>
      </c>
      <c r="Q6565" t="n">
        <v>0.02</v>
      </c>
      <c r="R6565" t="n">
        <v>0</v>
      </c>
      <c r="S6565" t="n">
        <v>1110</v>
      </c>
      <c r="T6565" t="n">
        <v>0</v>
      </c>
      <c r="U6565" t="n">
        <v>1</v>
      </c>
      <c r="V6565" t="n">
        <v>30</v>
      </c>
      <c r="W6565" t="n">
        <v>1</v>
      </c>
      <c r="X6565" t="n">
        <v>250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inlineStr"/>
      <c r="AG6565" t="inlineStr"/>
      <c r="AH6565" t="inlineStr"/>
      <c r="AI6565" t="n">
        <v>0</v>
      </c>
      <c r="AJ6565" t="inlineStr"/>
      <c r="AK6565" t="n">
        <v>0</v>
      </c>
      <c r="AL6565" t="inlineStr"/>
      <c r="AM6565" t="n">
        <v>0</v>
      </c>
      <c r="AN6565" t="n">
        <v>0</v>
      </c>
      <c r="AO6565" t="n">
        <v>0</v>
      </c>
      <c r="AP6565" t="inlineStr"/>
      <c r="AQ6565" t="inlineStr"/>
    </row>
    <row r="6566">
      <c r="A6566" t="inlineStr">
        <is>
          <t>JAGIYA</t>
        </is>
      </c>
      <c r="B6566" s="2">
        <f>"796554493107"</f>
        <v/>
      </c>
      <c r="C6566" t="inlineStr">
        <is>
          <t>JAGIYA Cherry Blossom Wax 175gr New</t>
        </is>
      </c>
      <c r="D6566" t="inlineStr">
        <is>
          <t>Miss Glam Damar</t>
        </is>
      </c>
      <c r="E6566" t="n">
        <v>2</v>
      </c>
      <c r="F6566" t="n">
        <v>0.06370000000000001</v>
      </c>
      <c r="G6566" t="n">
        <v>0.91</v>
      </c>
      <c r="H6566" t="n">
        <v>1</v>
      </c>
      <c r="I6566" t="n">
        <v>2</v>
      </c>
      <c r="J6566" t="n">
        <v>3</v>
      </c>
      <c r="K6566" t="n">
        <v>0</v>
      </c>
      <c r="L6566" t="n">
        <v>37904</v>
      </c>
      <c r="M6566" t="n">
        <v>57500</v>
      </c>
      <c r="N6566" t="n">
        <v>91</v>
      </c>
      <c r="O6566" t="n">
        <v>0.91</v>
      </c>
      <c r="P6566" t="n">
        <v>1</v>
      </c>
      <c r="Q6566" t="n">
        <v>0.07000000000000001</v>
      </c>
      <c r="R6566" t="n">
        <v>1</v>
      </c>
      <c r="S6566" t="n">
        <v>3662.75</v>
      </c>
      <c r="T6566" t="n">
        <v>2</v>
      </c>
      <c r="U6566" t="n">
        <v>3</v>
      </c>
      <c r="V6566" t="n">
        <v>30</v>
      </c>
      <c r="W6566" t="n">
        <v>2</v>
      </c>
      <c r="X6566" t="n">
        <v>31.39717425431711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inlineStr"/>
      <c r="AG6566" t="inlineStr"/>
      <c r="AH6566" t="inlineStr"/>
      <c r="AI6566" t="n">
        <v>0</v>
      </c>
      <c r="AJ6566" t="inlineStr"/>
      <c r="AK6566" t="n">
        <v>0</v>
      </c>
      <c r="AL6566" t="inlineStr"/>
      <c r="AM6566" t="n">
        <v>0</v>
      </c>
      <c r="AN6566" t="n">
        <v>0</v>
      </c>
      <c r="AO6566" t="n">
        <v>0</v>
      </c>
      <c r="AP6566" t="inlineStr"/>
      <c r="AQ6566" t="inlineStr"/>
    </row>
    <row r="6567">
      <c r="A6567" t="inlineStr">
        <is>
          <t>KUNTZE</t>
        </is>
      </c>
      <c r="B6567" s="2">
        <f>"9780536521521"</f>
        <v/>
      </c>
      <c r="C6567" t="inlineStr">
        <is>
          <t>KUNTZE Tumitku 30ml</t>
        </is>
      </c>
      <c r="D6567" t="inlineStr">
        <is>
          <t>Miss Glam Damar</t>
        </is>
      </c>
      <c r="E6567" t="n">
        <v>0</v>
      </c>
      <c r="F6567" t="n">
        <v>0.9737000000000001</v>
      </c>
      <c r="G6567" t="n">
        <v>3.64</v>
      </c>
      <c r="H6567" t="n">
        <v>1</v>
      </c>
      <c r="I6567" t="n">
        <v>2</v>
      </c>
      <c r="J6567" t="n">
        <v>3</v>
      </c>
      <c r="K6567" t="n">
        <v>0</v>
      </c>
      <c r="L6567" t="n">
        <v>13812</v>
      </c>
      <c r="M6567" t="n">
        <v>21500</v>
      </c>
      <c r="N6567" t="n">
        <v>91</v>
      </c>
      <c r="O6567" t="n">
        <v>0.91</v>
      </c>
      <c r="P6567" t="n">
        <v>1</v>
      </c>
      <c r="Q6567" t="n">
        <v>0.24</v>
      </c>
      <c r="R6567" t="n">
        <v>2</v>
      </c>
      <c r="S6567" t="n">
        <v>20934.55</v>
      </c>
      <c r="T6567" t="n">
        <v>7</v>
      </c>
      <c r="U6567" t="n">
        <v>8</v>
      </c>
      <c r="V6567" t="n">
        <v>30</v>
      </c>
      <c r="W6567" t="n">
        <v>30</v>
      </c>
      <c r="X6567" t="n">
        <v>0</v>
      </c>
      <c r="Y6567" t="n">
        <v>1</v>
      </c>
      <c r="Z6567" t="n">
        <v>30</v>
      </c>
      <c r="AA6567" t="n">
        <v>2</v>
      </c>
      <c r="AB6567" t="n">
        <v>28</v>
      </c>
      <c r="AC6567" t="n">
        <v>28</v>
      </c>
      <c r="AD6567" t="n">
        <v>27624</v>
      </c>
      <c r="AE6567" t="n">
        <v>386736</v>
      </c>
      <c r="AF6567" t="n">
        <v>6275</v>
      </c>
      <c r="AG6567" t="n">
        <v>1</v>
      </c>
      <c r="AH6567" t="inlineStr">
        <is>
          <t>PT. BERSAMA DISTRIVERSA INDONESIA (DC CIPUTAT)</t>
        </is>
      </c>
      <c r="AI6567" t="n">
        <v>478</v>
      </c>
      <c r="AJ6567" t="inlineStr">
        <is>
          <t>KUNTZE</t>
        </is>
      </c>
      <c r="AK6567" t="n">
        <v>43</v>
      </c>
      <c r="AL6567" t="inlineStr">
        <is>
          <t>Miss Glam Soeta</t>
        </is>
      </c>
      <c r="AM6567" t="n">
        <v>3</v>
      </c>
      <c r="AN6567" t="n">
        <v>500000</v>
      </c>
      <c r="AO6567" t="n">
        <v>0</v>
      </c>
      <c r="AP6567" t="inlineStr"/>
      <c r="AQ6567" t="inlineStr"/>
    </row>
    <row r="6568">
      <c r="A6568" t="inlineStr">
        <is>
          <t>LA PERSONAL</t>
        </is>
      </c>
      <c r="B6568" s="2">
        <f>"10600209735"</f>
        <v/>
      </c>
      <c r="C6568" t="inlineStr">
        <is>
          <t>LA PERSONAL Miracle Patch Yellow 36P 0.25mm</t>
        </is>
      </c>
      <c r="D6568" t="inlineStr">
        <is>
          <t>Miss Glam Damar</t>
        </is>
      </c>
      <c r="E6568" t="n">
        <v>5</v>
      </c>
      <c r="F6568" t="n">
        <v>0.0273</v>
      </c>
      <c r="G6568" t="n">
        <v>0.91</v>
      </c>
      <c r="H6568" t="n">
        <v>1</v>
      </c>
      <c r="I6568" t="n">
        <v>2</v>
      </c>
      <c r="J6568" t="n">
        <v>3</v>
      </c>
      <c r="K6568" t="n">
        <v>0</v>
      </c>
      <c r="L6568" t="n">
        <v>28112</v>
      </c>
      <c r="M6568" t="n">
        <v>39000</v>
      </c>
      <c r="N6568" t="n">
        <v>91</v>
      </c>
      <c r="O6568" t="n">
        <v>0.91</v>
      </c>
      <c r="P6568" t="n">
        <v>1</v>
      </c>
      <c r="Q6568" t="n">
        <v>0.12</v>
      </c>
      <c r="R6568" t="n">
        <v>2</v>
      </c>
      <c r="S6568" t="n">
        <v>1064.7</v>
      </c>
      <c r="T6568" t="n">
        <v>2</v>
      </c>
      <c r="U6568" t="n">
        <v>3</v>
      </c>
      <c r="V6568" t="n">
        <v>30</v>
      </c>
      <c r="W6568" t="n">
        <v>1</v>
      </c>
      <c r="X6568" t="n">
        <v>183.1501831501832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inlineStr"/>
      <c r="AG6568" t="inlineStr"/>
      <c r="AH6568" t="inlineStr"/>
      <c r="AI6568" t="n">
        <v>0</v>
      </c>
      <c r="AJ6568" t="inlineStr"/>
      <c r="AK6568" t="n">
        <v>0</v>
      </c>
      <c r="AL6568" t="inlineStr"/>
      <c r="AM6568" t="n">
        <v>0</v>
      </c>
      <c r="AN6568" t="n">
        <v>0</v>
      </c>
      <c r="AO6568" t="n">
        <v>0</v>
      </c>
      <c r="AP6568" t="inlineStr"/>
      <c r="AQ6568" t="inlineStr"/>
    </row>
    <row r="6569">
      <c r="A6569" t="inlineStr">
        <is>
          <t>M&amp;S BEAUTY</t>
        </is>
      </c>
      <c r="B6569" s="2">
        <f>"30400440239"</f>
        <v/>
      </c>
      <c r="C6569" t="inlineStr">
        <is>
          <t>M&amp;S BEAUTY Floral Collection Geranium Anti Respirant Roll on 50ml</t>
        </is>
      </c>
      <c r="D6569" t="inlineStr">
        <is>
          <t>Miss Glam Damar</t>
        </is>
      </c>
      <c r="E6569" t="n">
        <v>4</v>
      </c>
      <c r="F6569" t="n">
        <v>0.03</v>
      </c>
      <c r="G6569" t="n">
        <v>1</v>
      </c>
      <c r="H6569" t="n">
        <v>1</v>
      </c>
      <c r="I6569" t="n">
        <v>2</v>
      </c>
      <c r="J6569" t="n">
        <v>3</v>
      </c>
      <c r="K6569" t="n">
        <v>0</v>
      </c>
      <c r="L6569" t="n">
        <v>101156</v>
      </c>
      <c r="M6569" t="n">
        <v>131500</v>
      </c>
      <c r="N6569" t="n">
        <v>91</v>
      </c>
      <c r="O6569" t="n">
        <v>0.91</v>
      </c>
      <c r="P6569" t="n">
        <v>0</v>
      </c>
      <c r="Q6569" t="n">
        <v>0.03</v>
      </c>
      <c r="R6569" t="n">
        <v>1</v>
      </c>
      <c r="S6569" t="n">
        <v>3945</v>
      </c>
      <c r="T6569" t="n">
        <v>2</v>
      </c>
      <c r="U6569" t="n">
        <v>3</v>
      </c>
      <c r="V6569" t="n">
        <v>30</v>
      </c>
      <c r="W6569" t="n">
        <v>1</v>
      </c>
      <c r="X6569" t="n">
        <v>133.3333333333333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inlineStr"/>
      <c r="AG6569" t="inlineStr"/>
      <c r="AH6569" t="inlineStr"/>
      <c r="AI6569" t="n">
        <v>0</v>
      </c>
      <c r="AJ6569" t="inlineStr"/>
      <c r="AK6569" t="n">
        <v>0</v>
      </c>
      <c r="AL6569" t="inlineStr"/>
      <c r="AM6569" t="n">
        <v>0</v>
      </c>
      <c r="AN6569" t="n">
        <v>0</v>
      </c>
      <c r="AO6569" t="n">
        <v>0</v>
      </c>
      <c r="AP6569" t="inlineStr"/>
      <c r="AQ6569" t="inlineStr"/>
    </row>
    <row r="6570">
      <c r="A6570" t="inlineStr">
        <is>
          <t>M&amp;S BEAUTY</t>
        </is>
      </c>
      <c r="B6570" s="2">
        <f>"30400421429"</f>
        <v/>
      </c>
      <c r="C6570" t="inlineStr">
        <is>
          <t>M&amp;S BEAUTY Floral Collection Lavender Anti Respirant Roll on 50ml</t>
        </is>
      </c>
      <c r="D6570" t="inlineStr">
        <is>
          <t>Miss Glam Damar</t>
        </is>
      </c>
      <c r="E6570" t="n">
        <v>8</v>
      </c>
      <c r="F6570" t="n">
        <v>0.03</v>
      </c>
      <c r="G6570" t="n">
        <v>2</v>
      </c>
      <c r="H6570" t="n">
        <v>1</v>
      </c>
      <c r="I6570" t="n">
        <v>2</v>
      </c>
      <c r="J6570" t="n">
        <v>3</v>
      </c>
      <c r="K6570" t="n">
        <v>0</v>
      </c>
      <c r="L6570" t="n">
        <v>101292</v>
      </c>
      <c r="M6570" t="n">
        <v>131500</v>
      </c>
      <c r="N6570" t="n">
        <v>91</v>
      </c>
      <c r="O6570" t="n">
        <v>0.91</v>
      </c>
      <c r="P6570" t="n">
        <v>0</v>
      </c>
      <c r="Q6570" t="n">
        <v>0.03</v>
      </c>
      <c r="R6570" t="n">
        <v>2</v>
      </c>
      <c r="S6570" t="n">
        <v>3945</v>
      </c>
      <c r="T6570" t="n">
        <v>4</v>
      </c>
      <c r="U6570" t="n">
        <v>5</v>
      </c>
      <c r="V6570" t="n">
        <v>30</v>
      </c>
      <c r="W6570" t="n">
        <v>1</v>
      </c>
      <c r="X6570" t="n">
        <v>266.6666666666667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inlineStr"/>
      <c r="AG6570" t="inlineStr"/>
      <c r="AH6570" t="inlineStr"/>
      <c r="AI6570" t="n">
        <v>0</v>
      </c>
      <c r="AJ6570" t="inlineStr"/>
      <c r="AK6570" t="n">
        <v>0</v>
      </c>
      <c r="AL6570" t="inlineStr"/>
      <c r="AM6570" t="n">
        <v>0</v>
      </c>
      <c r="AN6570" t="n">
        <v>0</v>
      </c>
      <c r="AO6570" t="n">
        <v>0</v>
      </c>
      <c r="AP6570" t="inlineStr"/>
      <c r="AQ6570" t="inlineStr"/>
    </row>
    <row r="6571">
      <c r="A6571" t="inlineStr">
        <is>
          <t>MABELLO</t>
        </is>
      </c>
      <c r="B6571" s="2">
        <f>"8991071920002"</f>
        <v/>
      </c>
      <c r="C6571" t="inlineStr">
        <is>
          <t>MABELLO Lulur Badan Bedda Lotong Original 300gr</t>
        </is>
      </c>
      <c r="D6571" t="inlineStr">
        <is>
          <t>Miss Glam Damar</t>
        </is>
      </c>
      <c r="E6571" t="n">
        <v>0</v>
      </c>
      <c r="F6571" t="n">
        <v>0.0546</v>
      </c>
      <c r="G6571" t="n">
        <v>0.91</v>
      </c>
      <c r="H6571" t="n">
        <v>1</v>
      </c>
      <c r="I6571" t="n">
        <v>2</v>
      </c>
      <c r="J6571" t="n">
        <v>3</v>
      </c>
      <c r="K6571" t="n">
        <v>0</v>
      </c>
      <c r="L6571" t="n">
        <v>51286</v>
      </c>
      <c r="M6571" t="n">
        <v>68800</v>
      </c>
      <c r="N6571" t="n">
        <v>91</v>
      </c>
      <c r="O6571" t="n">
        <v>0.91</v>
      </c>
      <c r="P6571" t="n">
        <v>1</v>
      </c>
      <c r="Q6571" t="n">
        <v>0.19</v>
      </c>
      <c r="R6571" t="n">
        <v>1</v>
      </c>
      <c r="S6571" t="n">
        <v>3756.48</v>
      </c>
      <c r="T6571" t="n">
        <v>2</v>
      </c>
      <c r="U6571" t="n">
        <v>3</v>
      </c>
      <c r="V6571" t="n">
        <v>30</v>
      </c>
      <c r="W6571" t="n">
        <v>2</v>
      </c>
      <c r="X6571" t="n">
        <v>0</v>
      </c>
      <c r="Y6571" t="n">
        <v>1</v>
      </c>
      <c r="Z6571" t="n">
        <v>2</v>
      </c>
      <c r="AA6571" t="n">
        <v>1</v>
      </c>
      <c r="AB6571" t="n">
        <v>1</v>
      </c>
      <c r="AC6571" t="n">
        <v>3</v>
      </c>
      <c r="AD6571" t="n">
        <v>51286</v>
      </c>
      <c r="AE6571" t="n">
        <v>153858</v>
      </c>
      <c r="AF6571" t="inlineStr"/>
      <c r="AG6571" t="inlineStr"/>
      <c r="AH6571" t="inlineStr"/>
      <c r="AI6571" t="n">
        <v>0</v>
      </c>
      <c r="AJ6571" t="inlineStr"/>
      <c r="AK6571" t="n">
        <v>0</v>
      </c>
      <c r="AL6571" t="inlineStr"/>
      <c r="AM6571" t="n">
        <v>0</v>
      </c>
      <c r="AN6571" t="n">
        <v>0</v>
      </c>
      <c r="AO6571" t="n">
        <v>0</v>
      </c>
      <c r="AP6571" t="inlineStr"/>
      <c r="AQ6571" t="inlineStr"/>
    </row>
    <row r="6572">
      <c r="A6572" t="inlineStr">
        <is>
          <t>MABELLO</t>
        </is>
      </c>
      <c r="B6572" s="2">
        <f>"8991071920026"</f>
        <v/>
      </c>
      <c r="C6572" t="inlineStr">
        <is>
          <t>MABELLO Lulur Organic Bedda Lotong 100g</t>
        </is>
      </c>
      <c r="D6572" t="inlineStr">
        <is>
          <t>Miss Glam Damar</t>
        </is>
      </c>
      <c r="E6572" t="n">
        <v>0</v>
      </c>
      <c r="F6572" t="n">
        <v>0.1456</v>
      </c>
      <c r="G6572" t="n">
        <v>0.91</v>
      </c>
      <c r="H6572" t="n">
        <v>1</v>
      </c>
      <c r="I6572" t="n">
        <v>2</v>
      </c>
      <c r="J6572" t="n">
        <v>3</v>
      </c>
      <c r="K6572" t="n">
        <v>0</v>
      </c>
      <c r="L6572" t="n">
        <v>23129</v>
      </c>
      <c r="M6572" t="n">
        <v>30000</v>
      </c>
      <c r="N6572" t="n">
        <v>91</v>
      </c>
      <c r="O6572" t="n">
        <v>0.91</v>
      </c>
      <c r="P6572" t="n">
        <v>1</v>
      </c>
      <c r="Q6572" t="n">
        <v>0.17</v>
      </c>
      <c r="R6572" t="n">
        <v>1</v>
      </c>
      <c r="S6572" t="n">
        <v>4368</v>
      </c>
      <c r="T6572" t="n">
        <v>2</v>
      </c>
      <c r="U6572" t="n">
        <v>3</v>
      </c>
      <c r="V6572" t="n">
        <v>30</v>
      </c>
      <c r="W6572" t="n">
        <v>5</v>
      </c>
      <c r="X6572" t="n">
        <v>0</v>
      </c>
      <c r="Y6572" t="n">
        <v>1</v>
      </c>
      <c r="Z6572" t="n">
        <v>5</v>
      </c>
      <c r="AA6572" t="n">
        <v>1</v>
      </c>
      <c r="AB6572" t="n">
        <v>4</v>
      </c>
      <c r="AC6572" t="n">
        <v>4</v>
      </c>
      <c r="AD6572" t="n">
        <v>23129</v>
      </c>
      <c r="AE6572" t="n">
        <v>92516</v>
      </c>
      <c r="AF6572" t="inlineStr"/>
      <c r="AG6572" t="inlineStr"/>
      <c r="AH6572" t="inlineStr"/>
      <c r="AI6572" t="n">
        <v>0</v>
      </c>
      <c r="AJ6572" t="inlineStr"/>
      <c r="AK6572" t="n">
        <v>0</v>
      </c>
      <c r="AL6572" t="inlineStr"/>
      <c r="AM6572" t="n">
        <v>0</v>
      </c>
      <c r="AN6572" t="n">
        <v>0</v>
      </c>
      <c r="AO6572" t="n">
        <v>0</v>
      </c>
      <c r="AP6572" t="inlineStr"/>
      <c r="AQ6572" t="inlineStr"/>
    </row>
    <row r="6573">
      <c r="A6573" t="inlineStr">
        <is>
          <t>MABELLO</t>
        </is>
      </c>
      <c r="B6573" s="2">
        <f>"8991071920095"</f>
        <v/>
      </c>
      <c r="C6573" t="inlineStr">
        <is>
          <t>MABELLO Sabun Beras Daun Kelor 60gr</t>
        </is>
      </c>
      <c r="D6573" t="inlineStr">
        <is>
          <t>Miss Glam Damar</t>
        </is>
      </c>
      <c r="E6573" t="n">
        <v>6</v>
      </c>
      <c r="F6573" t="n">
        <v>0.03</v>
      </c>
      <c r="G6573" t="n">
        <v>1</v>
      </c>
      <c r="H6573" t="n">
        <v>1</v>
      </c>
      <c r="I6573" t="n">
        <v>2</v>
      </c>
      <c r="J6573" t="n">
        <v>3</v>
      </c>
      <c r="K6573" t="n">
        <v>0</v>
      </c>
      <c r="L6573" t="n">
        <v>21191</v>
      </c>
      <c r="M6573" t="n">
        <v>27000</v>
      </c>
      <c r="N6573" t="n">
        <v>91</v>
      </c>
      <c r="O6573" t="n">
        <v>0.91</v>
      </c>
      <c r="P6573" t="n">
        <v>0</v>
      </c>
      <c r="Q6573" t="n">
        <v>0.03</v>
      </c>
      <c r="R6573" t="n">
        <v>1</v>
      </c>
      <c r="S6573" t="n">
        <v>810</v>
      </c>
      <c r="T6573" t="n">
        <v>2</v>
      </c>
      <c r="U6573" t="n">
        <v>3</v>
      </c>
      <c r="V6573" t="n">
        <v>30</v>
      </c>
      <c r="W6573" t="n">
        <v>1</v>
      </c>
      <c r="X6573" t="n">
        <v>200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inlineStr"/>
      <c r="AG6573" t="inlineStr"/>
      <c r="AH6573" t="inlineStr"/>
      <c r="AI6573" t="n">
        <v>0</v>
      </c>
      <c r="AJ6573" t="inlineStr"/>
      <c r="AK6573" t="n">
        <v>0</v>
      </c>
      <c r="AL6573" t="inlineStr"/>
      <c r="AM6573" t="n">
        <v>0</v>
      </c>
      <c r="AN6573" t="n">
        <v>0</v>
      </c>
      <c r="AO6573" t="n">
        <v>0</v>
      </c>
      <c r="AP6573" t="inlineStr"/>
      <c r="AQ6573" t="inlineStr"/>
    </row>
    <row r="6574">
      <c r="A6574" t="inlineStr">
        <is>
          <t>MABELLO</t>
        </is>
      </c>
      <c r="B6574" s="2">
        <f>"8991071920088"</f>
        <v/>
      </c>
      <c r="C6574" t="inlineStr">
        <is>
          <t>MABELLO Sabun Beras Temulawak 60gr</t>
        </is>
      </c>
      <c r="D6574" t="inlineStr">
        <is>
          <t>Miss Glam Damar</t>
        </is>
      </c>
      <c r="E6574" t="n">
        <v>5</v>
      </c>
      <c r="F6574" t="n">
        <v>0.03</v>
      </c>
      <c r="G6574" t="n">
        <v>1</v>
      </c>
      <c r="H6574" t="n">
        <v>1</v>
      </c>
      <c r="I6574" t="n">
        <v>2</v>
      </c>
      <c r="J6574" t="n">
        <v>3</v>
      </c>
      <c r="K6574" t="n">
        <v>0</v>
      </c>
      <c r="L6574" t="n">
        <v>22311</v>
      </c>
      <c r="M6574" t="n">
        <v>27000</v>
      </c>
      <c r="N6574" t="n">
        <v>91</v>
      </c>
      <c r="O6574" t="n">
        <v>0.91</v>
      </c>
      <c r="P6574" t="n">
        <v>0</v>
      </c>
      <c r="Q6574" t="n">
        <v>0.03</v>
      </c>
      <c r="R6574" t="n">
        <v>1</v>
      </c>
      <c r="S6574" t="n">
        <v>810</v>
      </c>
      <c r="T6574" t="n">
        <v>2</v>
      </c>
      <c r="U6574" t="n">
        <v>3</v>
      </c>
      <c r="V6574" t="n">
        <v>30</v>
      </c>
      <c r="W6574" t="n">
        <v>1</v>
      </c>
      <c r="X6574" t="n">
        <v>166.6666666666667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inlineStr"/>
      <c r="AG6574" t="inlineStr"/>
      <c r="AH6574" t="inlineStr"/>
      <c r="AI6574" t="n">
        <v>0</v>
      </c>
      <c r="AJ6574" t="inlineStr"/>
      <c r="AK6574" t="n">
        <v>0</v>
      </c>
      <c r="AL6574" t="inlineStr"/>
      <c r="AM6574" t="n">
        <v>0</v>
      </c>
      <c r="AN6574" t="n">
        <v>0</v>
      </c>
      <c r="AO6574" t="n">
        <v>0</v>
      </c>
      <c r="AP6574" t="inlineStr"/>
      <c r="AQ6574" t="inlineStr"/>
    </row>
    <row r="6575">
      <c r="A6575" t="inlineStr">
        <is>
          <t>MERCREDI</t>
        </is>
      </c>
      <c r="B6575" s="2">
        <f>"50100449726"</f>
        <v/>
      </c>
      <c r="C6575" t="inlineStr">
        <is>
          <t>MERCREDI Lash Adhesive 5gr</t>
        </is>
      </c>
      <c r="D6575" t="inlineStr">
        <is>
          <t>Miss Glam Damar</t>
        </is>
      </c>
      <c r="E6575" t="n">
        <v>3</v>
      </c>
      <c r="F6575" t="n">
        <v>0.0273</v>
      </c>
      <c r="G6575" t="n">
        <v>0.91</v>
      </c>
      <c r="H6575" t="n">
        <v>1</v>
      </c>
      <c r="I6575" t="n">
        <v>2</v>
      </c>
      <c r="J6575" t="n">
        <v>1</v>
      </c>
      <c r="K6575" t="n">
        <v>0</v>
      </c>
      <c r="L6575" t="n">
        <v>73500</v>
      </c>
      <c r="M6575" t="n">
        <v>98000</v>
      </c>
      <c r="N6575" t="n">
        <v>91</v>
      </c>
      <c r="O6575" t="n">
        <v>0.91</v>
      </c>
      <c r="P6575" t="n">
        <v>1</v>
      </c>
      <c r="Q6575" t="n">
        <v>0.05</v>
      </c>
      <c r="R6575" t="n">
        <v>2</v>
      </c>
      <c r="S6575" t="n">
        <v>2675.4</v>
      </c>
      <c r="T6575" t="n">
        <v>2</v>
      </c>
      <c r="U6575" t="n">
        <v>3</v>
      </c>
      <c r="V6575" t="n">
        <v>30</v>
      </c>
      <c r="W6575" t="n">
        <v>1</v>
      </c>
      <c r="X6575" t="n">
        <v>109.8901098901099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inlineStr"/>
      <c r="AG6575" t="inlineStr"/>
      <c r="AH6575" t="inlineStr"/>
      <c r="AI6575" t="n">
        <v>0</v>
      </c>
      <c r="AJ6575" t="inlineStr"/>
      <c r="AK6575" t="n">
        <v>0</v>
      </c>
      <c r="AL6575" t="inlineStr"/>
      <c r="AM6575" t="n">
        <v>0</v>
      </c>
      <c r="AN6575" t="n">
        <v>0</v>
      </c>
      <c r="AO6575" t="n">
        <v>0</v>
      </c>
      <c r="AP6575" t="inlineStr"/>
      <c r="AQ6575" t="inlineStr"/>
    </row>
    <row r="6576">
      <c r="A6576" t="inlineStr">
        <is>
          <t>MERCREDI</t>
        </is>
      </c>
      <c r="B6576" s="2">
        <f>"50100443906"</f>
        <v/>
      </c>
      <c r="C6576" t="inlineStr">
        <is>
          <t>MERCREDI Luxe 532</t>
        </is>
      </c>
      <c r="D6576" t="inlineStr">
        <is>
          <t>Miss Glam Damar</t>
        </is>
      </c>
      <c r="E6576" t="n">
        <v>1</v>
      </c>
      <c r="F6576" t="n">
        <v>0.1092</v>
      </c>
      <c r="G6576" t="n">
        <v>0.91</v>
      </c>
      <c r="H6576" t="n">
        <v>1</v>
      </c>
      <c r="I6576" t="n">
        <v>2</v>
      </c>
      <c r="J6576" t="n">
        <v>1</v>
      </c>
      <c r="K6576" t="n">
        <v>0</v>
      </c>
      <c r="L6576" t="n">
        <v>18901</v>
      </c>
      <c r="M6576" t="n">
        <v>28000</v>
      </c>
      <c r="N6576" t="n">
        <v>91</v>
      </c>
      <c r="O6576" t="n">
        <v>0.91</v>
      </c>
      <c r="P6576" t="n">
        <v>1</v>
      </c>
      <c r="Q6576" t="n">
        <v>0.08</v>
      </c>
      <c r="R6576" t="n">
        <v>1</v>
      </c>
      <c r="S6576" t="n">
        <v>3057.6</v>
      </c>
      <c r="T6576" t="n">
        <v>2</v>
      </c>
      <c r="U6576" t="n">
        <v>3</v>
      </c>
      <c r="V6576" t="n">
        <v>30</v>
      </c>
      <c r="W6576" t="n">
        <v>4</v>
      </c>
      <c r="X6576" t="n">
        <v>9.157509157509157</v>
      </c>
      <c r="Y6576" t="n">
        <v>1</v>
      </c>
      <c r="Z6576" t="n">
        <v>3</v>
      </c>
      <c r="AA6576" t="n">
        <v>0</v>
      </c>
      <c r="AB6576" t="n">
        <v>3</v>
      </c>
      <c r="AC6576" t="n">
        <v>3</v>
      </c>
      <c r="AD6576" t="n">
        <v>0</v>
      </c>
      <c r="AE6576" t="n">
        <v>56703</v>
      </c>
      <c r="AF6576" t="inlineStr"/>
      <c r="AG6576" t="inlineStr"/>
      <c r="AH6576" t="inlineStr"/>
      <c r="AI6576" t="n">
        <v>0</v>
      </c>
      <c r="AJ6576" t="inlineStr"/>
      <c r="AK6576" t="n">
        <v>0</v>
      </c>
      <c r="AL6576" t="inlineStr"/>
      <c r="AM6576" t="n">
        <v>0</v>
      </c>
      <c r="AN6576" t="n">
        <v>0</v>
      </c>
      <c r="AO6576" t="n">
        <v>0</v>
      </c>
      <c r="AP6576" t="inlineStr"/>
      <c r="AQ6576" t="inlineStr"/>
    </row>
    <row r="6577">
      <c r="A6577" t="inlineStr">
        <is>
          <t>MERCREDI</t>
        </is>
      </c>
      <c r="B6577" s="2">
        <f>"20100642721"</f>
        <v/>
      </c>
      <c r="C6577" t="inlineStr">
        <is>
          <t>MERCREDI Poudre D'Essence Couture Powder Velvet Skin Translucent 02 10gr</t>
        </is>
      </c>
      <c r="D6577" t="inlineStr">
        <is>
          <t>Miss Glam Damar</t>
        </is>
      </c>
      <c r="E6577" t="n">
        <v>5</v>
      </c>
      <c r="F6577" t="n">
        <v>0.0182</v>
      </c>
      <c r="G6577" t="n">
        <v>0.91</v>
      </c>
      <c r="H6577" t="n">
        <v>1</v>
      </c>
      <c r="I6577" t="n">
        <v>2</v>
      </c>
      <c r="J6577" t="n">
        <v>1</v>
      </c>
      <c r="K6577" t="n">
        <v>0</v>
      </c>
      <c r="L6577" t="n">
        <v>93209</v>
      </c>
      <c r="M6577" t="n">
        <v>138000</v>
      </c>
      <c r="N6577" t="n">
        <v>91</v>
      </c>
      <c r="O6577" t="n">
        <v>0.91</v>
      </c>
      <c r="P6577" t="n">
        <v>1</v>
      </c>
      <c r="Q6577" t="n">
        <v>0.02</v>
      </c>
      <c r="R6577" t="n">
        <v>1</v>
      </c>
      <c r="S6577" t="n">
        <v>2511.6</v>
      </c>
      <c r="T6577" t="n">
        <v>2</v>
      </c>
      <c r="U6577" t="n">
        <v>3</v>
      </c>
      <c r="V6577" t="n">
        <v>30</v>
      </c>
      <c r="W6577" t="n">
        <v>1</v>
      </c>
      <c r="X6577" t="n">
        <v>274.7252747252747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inlineStr"/>
      <c r="AG6577" t="inlineStr"/>
      <c r="AH6577" t="inlineStr"/>
      <c r="AI6577" t="n">
        <v>0</v>
      </c>
      <c r="AJ6577" t="inlineStr"/>
      <c r="AK6577" t="n">
        <v>0</v>
      </c>
      <c r="AL6577" t="inlineStr"/>
      <c r="AM6577" t="n">
        <v>0</v>
      </c>
      <c r="AN6577" t="n">
        <v>0</v>
      </c>
      <c r="AO6577" t="n">
        <v>0</v>
      </c>
      <c r="AP6577" t="inlineStr"/>
      <c r="AQ6577" t="inlineStr"/>
    </row>
    <row r="6578">
      <c r="A6578" t="inlineStr">
        <is>
          <t>MERCREDI</t>
        </is>
      </c>
      <c r="B6578" s="2">
        <f>"20100576554"</f>
        <v/>
      </c>
      <c r="C6578" t="inlineStr">
        <is>
          <t>MERCREDI Skinfinate Luxe Flawless Finish Powder-Sand 8gr</t>
        </is>
      </c>
      <c r="D6578" t="inlineStr">
        <is>
          <t>Miss Glam Damar</t>
        </is>
      </c>
      <c r="E6578" t="n">
        <v>3</v>
      </c>
      <c r="F6578" t="n">
        <v>0.04550000000000001</v>
      </c>
      <c r="G6578" t="n">
        <v>0.91</v>
      </c>
      <c r="H6578" t="n">
        <v>1</v>
      </c>
      <c r="I6578" t="n">
        <v>2</v>
      </c>
      <c r="J6578" t="n">
        <v>1</v>
      </c>
      <c r="K6578" t="n">
        <v>0</v>
      </c>
      <c r="L6578" t="n">
        <v>93209</v>
      </c>
      <c r="M6578" t="n">
        <v>138000</v>
      </c>
      <c r="N6578" t="n">
        <v>91</v>
      </c>
      <c r="O6578" t="n">
        <v>0.91</v>
      </c>
      <c r="P6578" t="n">
        <v>1</v>
      </c>
      <c r="Q6578" t="n">
        <v>0.02</v>
      </c>
      <c r="R6578" t="n">
        <v>0</v>
      </c>
      <c r="S6578" t="n">
        <v>6279.000000000001</v>
      </c>
      <c r="T6578" t="n">
        <v>2</v>
      </c>
      <c r="U6578" t="n">
        <v>3</v>
      </c>
      <c r="V6578" t="n">
        <v>30</v>
      </c>
      <c r="W6578" t="n">
        <v>2</v>
      </c>
      <c r="X6578" t="n">
        <v>65.93406593406593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inlineStr"/>
      <c r="AG6578" t="inlineStr"/>
      <c r="AH6578" t="inlineStr"/>
      <c r="AI6578" t="n">
        <v>0</v>
      </c>
      <c r="AJ6578" t="inlineStr"/>
      <c r="AK6578" t="n">
        <v>0</v>
      </c>
      <c r="AL6578" t="inlineStr"/>
      <c r="AM6578" t="n">
        <v>0</v>
      </c>
      <c r="AN6578" t="n">
        <v>0</v>
      </c>
      <c r="AO6578" t="n">
        <v>0</v>
      </c>
      <c r="AP6578" t="inlineStr"/>
      <c r="AQ6578" t="inlineStr"/>
    </row>
    <row r="6579">
      <c r="A6579" t="inlineStr">
        <is>
          <t>MERCREDI</t>
        </is>
      </c>
      <c r="B6579" s="2">
        <f>"20100576721"</f>
        <v/>
      </c>
      <c r="C6579" t="inlineStr">
        <is>
          <t>MERCREDI Skinfinate Luxe Flawless Finish Powder-Vanilla 8gr</t>
        </is>
      </c>
      <c r="D6579" t="inlineStr">
        <is>
          <t>Miss Glam Damar</t>
        </is>
      </c>
      <c r="E6579" t="n">
        <v>2</v>
      </c>
      <c r="F6579" t="n">
        <v>0.0182</v>
      </c>
      <c r="G6579" t="n">
        <v>0.91</v>
      </c>
      <c r="H6579" t="n">
        <v>1</v>
      </c>
      <c r="I6579" t="n">
        <v>2</v>
      </c>
      <c r="J6579" t="n">
        <v>1</v>
      </c>
      <c r="K6579" t="n">
        <v>0</v>
      </c>
      <c r="L6579" t="n">
        <v>93209</v>
      </c>
      <c r="M6579" t="n">
        <v>138000</v>
      </c>
      <c r="N6579" t="n">
        <v>91</v>
      </c>
      <c r="O6579" t="n">
        <v>0.91</v>
      </c>
      <c r="P6579" t="n">
        <v>1</v>
      </c>
      <c r="Q6579" t="n">
        <v>0.02</v>
      </c>
      <c r="R6579" t="n">
        <v>1</v>
      </c>
      <c r="S6579" t="n">
        <v>2511.6</v>
      </c>
      <c r="T6579" t="n">
        <v>2</v>
      </c>
      <c r="U6579" t="n">
        <v>3</v>
      </c>
      <c r="V6579" t="n">
        <v>30</v>
      </c>
      <c r="W6579" t="n">
        <v>1</v>
      </c>
      <c r="X6579" t="n">
        <v>109.8901098901099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inlineStr"/>
      <c r="AG6579" t="inlineStr"/>
      <c r="AH6579" t="inlineStr"/>
      <c r="AI6579" t="n">
        <v>0</v>
      </c>
      <c r="AJ6579" t="inlineStr"/>
      <c r="AK6579" t="n">
        <v>0</v>
      </c>
      <c r="AL6579" t="inlineStr"/>
      <c r="AM6579" t="n">
        <v>0</v>
      </c>
      <c r="AN6579" t="n">
        <v>0</v>
      </c>
      <c r="AO6579" t="n">
        <v>0</v>
      </c>
      <c r="AP6579" t="inlineStr"/>
      <c r="AQ6579" t="inlineStr"/>
    </row>
    <row r="6580">
      <c r="A6580" t="inlineStr">
        <is>
          <t>MUSIC FLOWER</t>
        </is>
      </c>
      <c r="B6580" s="2">
        <f>"20200465011"</f>
        <v/>
      </c>
      <c r="C6580" t="inlineStr">
        <is>
          <t>MUSIC FLOWER 2 in 1 Eyebrow &amp; Eyeliner Black Gel Dua Use 24H 3gr</t>
        </is>
      </c>
      <c r="D6580" t="inlineStr">
        <is>
          <t>Miss Glam Damar</t>
        </is>
      </c>
      <c r="E6580" t="n">
        <v>0</v>
      </c>
      <c r="F6580" t="n">
        <v>0.03</v>
      </c>
      <c r="G6580" t="n">
        <v>1</v>
      </c>
      <c r="H6580" t="n">
        <v>1</v>
      </c>
      <c r="I6580" t="n">
        <v>2</v>
      </c>
      <c r="J6580" t="n">
        <v>1</v>
      </c>
      <c r="K6580" t="n">
        <v>0</v>
      </c>
      <c r="L6580" t="n">
        <v>39300</v>
      </c>
      <c r="M6580" t="n">
        <v>48000</v>
      </c>
      <c r="N6580" t="n">
        <v>91</v>
      </c>
      <c r="O6580" t="n">
        <v>0.91</v>
      </c>
      <c r="P6580" t="n">
        <v>0</v>
      </c>
      <c r="Q6580" t="n">
        <v>0.03</v>
      </c>
      <c r="R6580" t="n">
        <v>1</v>
      </c>
      <c r="S6580" t="n">
        <v>1440</v>
      </c>
      <c r="T6580" t="n">
        <v>2</v>
      </c>
      <c r="U6580" t="n">
        <v>3</v>
      </c>
      <c r="V6580" t="n">
        <v>30</v>
      </c>
      <c r="W6580" t="n">
        <v>1</v>
      </c>
      <c r="X6580" t="n">
        <v>0</v>
      </c>
      <c r="Y6580" t="n">
        <v>1</v>
      </c>
      <c r="Z6580" t="n">
        <v>1</v>
      </c>
      <c r="AA6580" t="n">
        <v>1</v>
      </c>
      <c r="AB6580" t="n">
        <v>0</v>
      </c>
      <c r="AC6580" t="n">
        <v>0</v>
      </c>
      <c r="AD6580" t="n">
        <v>39300</v>
      </c>
      <c r="AE6580" t="n">
        <v>0</v>
      </c>
      <c r="AF6580" t="inlineStr"/>
      <c r="AG6580" t="inlineStr"/>
      <c r="AH6580" t="inlineStr"/>
      <c r="AI6580" t="n">
        <v>0</v>
      </c>
      <c r="AJ6580" t="inlineStr"/>
      <c r="AK6580" t="n">
        <v>0</v>
      </c>
      <c r="AL6580" t="inlineStr"/>
      <c r="AM6580" t="n">
        <v>0</v>
      </c>
      <c r="AN6580" t="n">
        <v>0</v>
      </c>
      <c r="AO6580" t="n">
        <v>0</v>
      </c>
      <c r="AP6580" t="inlineStr"/>
      <c r="AQ6580" t="inlineStr"/>
    </row>
    <row r="6581">
      <c r="A6581" t="inlineStr">
        <is>
          <t>MYKONOS</t>
        </is>
      </c>
      <c r="B6581" s="2">
        <f>"3475932544453"</f>
        <v/>
      </c>
      <c r="C6581" t="inlineStr">
        <is>
          <t>MYKONOS  Eau De Parfum Dark Secret 100ml</t>
        </is>
      </c>
      <c r="D6581" t="inlineStr">
        <is>
          <t>Miss Glam Damar</t>
        </is>
      </c>
      <c r="E6581" t="n">
        <v>4</v>
      </c>
      <c r="F6581" t="n">
        <v>0.06370000000000001</v>
      </c>
      <c r="G6581" t="n">
        <v>0.91</v>
      </c>
      <c r="H6581" t="n">
        <v>1</v>
      </c>
      <c r="I6581" t="n">
        <v>2</v>
      </c>
      <c r="J6581" t="n">
        <v>3</v>
      </c>
      <c r="K6581" t="n">
        <v>0</v>
      </c>
      <c r="L6581" t="n">
        <v>245589</v>
      </c>
      <c r="M6581" t="n">
        <v>348000</v>
      </c>
      <c r="N6581" t="n">
        <v>91</v>
      </c>
      <c r="O6581" t="n">
        <v>0.91</v>
      </c>
      <c r="P6581" t="n">
        <v>1</v>
      </c>
      <c r="Q6581" t="n">
        <v>0.02</v>
      </c>
      <c r="R6581" t="n">
        <v>1</v>
      </c>
      <c r="S6581" t="n">
        <v>22167.6</v>
      </c>
      <c r="T6581" t="n">
        <v>2</v>
      </c>
      <c r="U6581" t="n">
        <v>3</v>
      </c>
      <c r="V6581" t="n">
        <v>30</v>
      </c>
      <c r="W6581" t="n">
        <v>2</v>
      </c>
      <c r="X6581" t="n">
        <v>62.79434850863422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inlineStr"/>
      <c r="AG6581" t="inlineStr"/>
      <c r="AH6581" t="inlineStr"/>
      <c r="AI6581" t="n">
        <v>0</v>
      </c>
      <c r="AJ6581" t="inlineStr"/>
      <c r="AK6581" t="n">
        <v>0</v>
      </c>
      <c r="AL6581" t="inlineStr"/>
      <c r="AM6581" t="n">
        <v>0</v>
      </c>
      <c r="AN6581" t="n">
        <v>0</v>
      </c>
      <c r="AO6581" t="n">
        <v>0</v>
      </c>
      <c r="AP6581" t="inlineStr"/>
      <c r="AQ6581" t="inlineStr"/>
    </row>
    <row r="6582">
      <c r="A6582" t="inlineStr">
        <is>
          <t>MYKONOS</t>
        </is>
      </c>
      <c r="B6582" s="2">
        <f>"30400255320"</f>
        <v/>
      </c>
      <c r="C6582" t="inlineStr">
        <is>
          <t>MYKONOS Affair Extrait De Parfume 15ml</t>
        </is>
      </c>
      <c r="D6582" t="inlineStr">
        <is>
          <t>Miss Glam Damar</t>
        </is>
      </c>
      <c r="E6582" t="n">
        <v>6</v>
      </c>
      <c r="F6582" t="n">
        <v>0.06370000000000001</v>
      </c>
      <c r="G6582" t="n">
        <v>0.91</v>
      </c>
      <c r="H6582" t="n">
        <v>1</v>
      </c>
      <c r="I6582" t="n">
        <v>2</v>
      </c>
      <c r="J6582" t="n">
        <v>1</v>
      </c>
      <c r="K6582" t="n">
        <v>0</v>
      </c>
      <c r="L6582" t="n">
        <v>56045</v>
      </c>
      <c r="M6582" t="n">
        <v>75000</v>
      </c>
      <c r="N6582" t="n">
        <v>91</v>
      </c>
      <c r="O6582" t="n">
        <v>0.91</v>
      </c>
      <c r="P6582" t="n">
        <v>1</v>
      </c>
      <c r="Q6582" t="n">
        <v>0.12</v>
      </c>
      <c r="R6582" t="n">
        <v>2</v>
      </c>
      <c r="S6582" t="n">
        <v>4777.500000000001</v>
      </c>
      <c r="T6582" t="n">
        <v>2</v>
      </c>
      <c r="U6582" t="n">
        <v>3</v>
      </c>
      <c r="V6582" t="n">
        <v>30</v>
      </c>
      <c r="W6582" t="n">
        <v>2</v>
      </c>
      <c r="X6582" t="n">
        <v>94.19152276295132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inlineStr"/>
      <c r="AG6582" t="inlineStr"/>
      <c r="AH6582" t="inlineStr"/>
      <c r="AI6582" t="n">
        <v>0</v>
      </c>
      <c r="AJ6582" t="inlineStr"/>
      <c r="AK6582" t="n">
        <v>0</v>
      </c>
      <c r="AL6582" t="inlineStr"/>
      <c r="AM6582" t="n">
        <v>0</v>
      </c>
      <c r="AN6582" t="n">
        <v>0</v>
      </c>
      <c r="AO6582" t="n">
        <v>0</v>
      </c>
      <c r="AP6582" t="inlineStr"/>
      <c r="AQ6582" t="inlineStr"/>
    </row>
    <row r="6583">
      <c r="A6583" t="inlineStr">
        <is>
          <t>MYKONOS</t>
        </is>
      </c>
      <c r="B6583" s="2">
        <f>"3475932544514"</f>
        <v/>
      </c>
      <c r="C6583" t="inlineStr">
        <is>
          <t>MYKONOS Black Opera Eau De Parfum 15ml</t>
        </is>
      </c>
      <c r="D6583" t="inlineStr">
        <is>
          <t>Miss Glam Damar</t>
        </is>
      </c>
      <c r="E6583" t="n">
        <v>12</v>
      </c>
      <c r="F6583" t="n">
        <v>0.02</v>
      </c>
      <c r="G6583" t="n">
        <v>0</v>
      </c>
      <c r="H6583" t="n">
        <v>1</v>
      </c>
      <c r="I6583" t="n">
        <v>2</v>
      </c>
      <c r="J6583" t="n">
        <v>3</v>
      </c>
      <c r="K6583" t="n">
        <v>0</v>
      </c>
      <c r="L6583" t="n">
        <v>56081</v>
      </c>
      <c r="M6583" t="n">
        <v>79000</v>
      </c>
      <c r="N6583" t="n">
        <v>91</v>
      </c>
      <c r="O6583" t="n">
        <v>0.91</v>
      </c>
      <c r="P6583" t="n">
        <v>0</v>
      </c>
      <c r="Q6583" t="n">
        <v>0.02</v>
      </c>
      <c r="R6583" t="n">
        <v>0</v>
      </c>
      <c r="S6583" t="n">
        <v>1580</v>
      </c>
      <c r="T6583" t="n">
        <v>0</v>
      </c>
      <c r="U6583" t="n">
        <v>1</v>
      </c>
      <c r="V6583" t="n">
        <v>30</v>
      </c>
      <c r="W6583" t="n">
        <v>1</v>
      </c>
      <c r="X6583" t="n">
        <v>600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inlineStr"/>
      <c r="AG6583" t="inlineStr"/>
      <c r="AH6583" t="inlineStr"/>
      <c r="AI6583" t="n">
        <v>0</v>
      </c>
      <c r="AJ6583" t="inlineStr"/>
      <c r="AK6583" t="n">
        <v>0</v>
      </c>
      <c r="AL6583" t="inlineStr"/>
      <c r="AM6583" t="n">
        <v>0</v>
      </c>
      <c r="AN6583" t="n">
        <v>0</v>
      </c>
      <c r="AO6583" t="n">
        <v>0</v>
      </c>
      <c r="AP6583" t="inlineStr"/>
      <c r="AQ6583" t="inlineStr"/>
    </row>
    <row r="6584">
      <c r="A6584" t="inlineStr">
        <is>
          <t>MYKONOS</t>
        </is>
      </c>
      <c r="B6584" s="2">
        <f>"3475932544736"</f>
        <v/>
      </c>
      <c r="C6584" t="inlineStr">
        <is>
          <t>MYKONOS Cafe Drops Eau De Parfum 50ml</t>
        </is>
      </c>
      <c r="D6584" t="inlineStr">
        <is>
          <t>Miss Glam Damar</t>
        </is>
      </c>
      <c r="E6584" t="n">
        <v>4</v>
      </c>
      <c r="F6584" t="n">
        <v>0.03</v>
      </c>
      <c r="G6584" t="n">
        <v>1</v>
      </c>
      <c r="H6584" t="n">
        <v>1</v>
      </c>
      <c r="I6584" t="n">
        <v>2</v>
      </c>
      <c r="J6584" t="n">
        <v>3</v>
      </c>
      <c r="K6584" t="n">
        <v>0</v>
      </c>
      <c r="L6584" t="n">
        <v>120765</v>
      </c>
      <c r="M6584" t="n">
        <v>178000</v>
      </c>
      <c r="N6584" t="n">
        <v>91</v>
      </c>
      <c r="O6584" t="n">
        <v>0.91</v>
      </c>
      <c r="P6584" t="n">
        <v>0</v>
      </c>
      <c r="Q6584" t="n">
        <v>0.03</v>
      </c>
      <c r="R6584" t="n">
        <v>1</v>
      </c>
      <c r="S6584" t="n">
        <v>5340</v>
      </c>
      <c r="T6584" t="n">
        <v>2</v>
      </c>
      <c r="U6584" t="n">
        <v>3</v>
      </c>
      <c r="V6584" t="n">
        <v>30</v>
      </c>
      <c r="W6584" t="n">
        <v>1</v>
      </c>
      <c r="X6584" t="n">
        <v>133.3333333333333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inlineStr"/>
      <c r="AG6584" t="inlineStr"/>
      <c r="AH6584" t="inlineStr"/>
      <c r="AI6584" t="n">
        <v>0</v>
      </c>
      <c r="AJ6584" t="inlineStr"/>
      <c r="AK6584" t="n">
        <v>0</v>
      </c>
      <c r="AL6584" t="inlineStr"/>
      <c r="AM6584" t="n">
        <v>0</v>
      </c>
      <c r="AN6584" t="n">
        <v>0</v>
      </c>
      <c r="AO6584" t="n">
        <v>0</v>
      </c>
      <c r="AP6584" t="inlineStr"/>
      <c r="AQ6584" t="inlineStr"/>
    </row>
    <row r="6585">
      <c r="A6585" t="inlineStr">
        <is>
          <t>MYKONOS</t>
        </is>
      </c>
      <c r="B6585" s="2">
        <f>"30400190114"</f>
        <v/>
      </c>
      <c r="C6585" t="inlineStr">
        <is>
          <t>MYKONOS California Blue Extrair De Parfum 50 ml</t>
        </is>
      </c>
      <c r="D6585" t="inlineStr">
        <is>
          <t>Miss Glam Damar</t>
        </is>
      </c>
      <c r="E6585" t="n">
        <v>7</v>
      </c>
      <c r="F6585" t="n">
        <v>0.1183</v>
      </c>
      <c r="G6585" t="n">
        <v>1.82</v>
      </c>
      <c r="H6585" t="n">
        <v>1</v>
      </c>
      <c r="I6585" t="n">
        <v>2</v>
      </c>
      <c r="J6585" t="n">
        <v>1</v>
      </c>
      <c r="K6585" t="n">
        <v>0</v>
      </c>
      <c r="L6585" t="n">
        <v>131536</v>
      </c>
      <c r="M6585" t="n">
        <v>188000</v>
      </c>
      <c r="N6585" t="n">
        <v>91</v>
      </c>
      <c r="O6585" t="n">
        <v>0.91</v>
      </c>
      <c r="P6585" t="n">
        <v>1</v>
      </c>
      <c r="Q6585" t="n">
        <v>0.07000000000000001</v>
      </c>
      <c r="R6585" t="n">
        <v>1</v>
      </c>
      <c r="S6585" t="n">
        <v>22240.4</v>
      </c>
      <c r="T6585" t="n">
        <v>4</v>
      </c>
      <c r="U6585" t="n">
        <v>5</v>
      </c>
      <c r="V6585" t="n">
        <v>30</v>
      </c>
      <c r="W6585" t="n">
        <v>4</v>
      </c>
      <c r="X6585" t="n">
        <v>59.17159763313609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inlineStr"/>
      <c r="AG6585" t="inlineStr"/>
      <c r="AH6585" t="inlineStr"/>
      <c r="AI6585" t="n">
        <v>0</v>
      </c>
      <c r="AJ6585" t="inlineStr"/>
      <c r="AK6585" t="n">
        <v>0</v>
      </c>
      <c r="AL6585" t="inlineStr"/>
      <c r="AM6585" t="n">
        <v>0</v>
      </c>
      <c r="AN6585" t="n">
        <v>0</v>
      </c>
      <c r="AO6585" t="n">
        <v>0</v>
      </c>
      <c r="AP6585" t="inlineStr"/>
      <c r="AQ6585" t="inlineStr"/>
    </row>
    <row r="6586">
      <c r="A6586" t="inlineStr">
        <is>
          <t>MYKONOS</t>
        </is>
      </c>
      <c r="B6586" s="2">
        <f>"30400194522"</f>
        <v/>
      </c>
      <c r="C6586" t="inlineStr">
        <is>
          <t>MYKONOS California Club 50ml</t>
        </is>
      </c>
      <c r="D6586" t="inlineStr">
        <is>
          <t>Miss Glam Damar</t>
        </is>
      </c>
      <c r="E6586" t="n">
        <v>0</v>
      </c>
      <c r="F6586" t="n">
        <v>0.1274</v>
      </c>
      <c r="G6586" t="n">
        <v>1.82</v>
      </c>
      <c r="H6586" t="n">
        <v>1</v>
      </c>
      <c r="I6586" t="n">
        <v>2</v>
      </c>
      <c r="J6586" t="n">
        <v>1</v>
      </c>
      <c r="K6586" t="n">
        <v>24</v>
      </c>
      <c r="L6586" t="n">
        <v>131496</v>
      </c>
      <c r="M6586" t="n">
        <v>177000</v>
      </c>
      <c r="N6586" t="n">
        <v>91</v>
      </c>
      <c r="O6586" t="n">
        <v>0.91</v>
      </c>
      <c r="P6586" t="n">
        <v>1</v>
      </c>
      <c r="Q6586" t="n">
        <v>0.22</v>
      </c>
      <c r="R6586" t="n">
        <v>2</v>
      </c>
      <c r="S6586" t="n">
        <v>22549.8</v>
      </c>
      <c r="T6586" t="n">
        <v>4</v>
      </c>
      <c r="U6586" t="n">
        <v>5</v>
      </c>
      <c r="V6586" t="n">
        <v>30</v>
      </c>
      <c r="W6586" t="n">
        <v>4</v>
      </c>
      <c r="X6586" t="n">
        <v>0</v>
      </c>
      <c r="Y6586" t="n">
        <v>1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inlineStr"/>
      <c r="AG6586" t="inlineStr"/>
      <c r="AH6586" t="inlineStr"/>
      <c r="AI6586" t="n">
        <v>0</v>
      </c>
      <c r="AJ6586" t="inlineStr"/>
      <c r="AK6586" t="n">
        <v>0</v>
      </c>
      <c r="AL6586" t="inlineStr"/>
      <c r="AM6586" t="n">
        <v>0</v>
      </c>
      <c r="AN6586" t="n">
        <v>0</v>
      </c>
      <c r="AO6586" t="n">
        <v>0</v>
      </c>
      <c r="AP6586" t="inlineStr"/>
      <c r="AQ6586" t="inlineStr"/>
    </row>
    <row r="6587">
      <c r="A6587" t="inlineStr">
        <is>
          <t>MYKONOS</t>
        </is>
      </c>
      <c r="B6587" s="2">
        <f>"3475932543876"</f>
        <v/>
      </c>
      <c r="C6587" t="inlineStr">
        <is>
          <t>MYKONOS Coconut Dreams Eau De Parfum 50ml</t>
        </is>
      </c>
      <c r="D6587" t="inlineStr">
        <is>
          <t>Miss Glam Damar</t>
        </is>
      </c>
      <c r="E6587" t="n">
        <v>8</v>
      </c>
      <c r="F6587" t="n">
        <v>0.0182</v>
      </c>
      <c r="G6587" t="n">
        <v>0.91</v>
      </c>
      <c r="H6587" t="n">
        <v>1</v>
      </c>
      <c r="I6587" t="n">
        <v>2</v>
      </c>
      <c r="J6587" t="n">
        <v>3</v>
      </c>
      <c r="K6587" t="n">
        <v>0</v>
      </c>
      <c r="L6587" t="n">
        <v>91741</v>
      </c>
      <c r="M6587" t="n">
        <v>126200</v>
      </c>
      <c r="N6587" t="n">
        <v>91</v>
      </c>
      <c r="O6587" t="n">
        <v>0.91</v>
      </c>
      <c r="P6587" t="n">
        <v>1</v>
      </c>
      <c r="Q6587" t="n">
        <v>0.03</v>
      </c>
      <c r="R6587" t="n">
        <v>1</v>
      </c>
      <c r="S6587" t="n">
        <v>2296.84</v>
      </c>
      <c r="T6587" t="n">
        <v>2</v>
      </c>
      <c r="U6587" t="n">
        <v>3</v>
      </c>
      <c r="V6587" t="n">
        <v>30</v>
      </c>
      <c r="W6587" t="n">
        <v>1</v>
      </c>
      <c r="X6587" t="n">
        <v>439.5604395604395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inlineStr"/>
      <c r="AG6587" t="inlineStr"/>
      <c r="AH6587" t="inlineStr"/>
      <c r="AI6587" t="n">
        <v>0</v>
      </c>
      <c r="AJ6587" t="inlineStr"/>
      <c r="AK6587" t="n">
        <v>0</v>
      </c>
      <c r="AL6587" t="inlineStr"/>
      <c r="AM6587" t="n">
        <v>0</v>
      </c>
      <c r="AN6587" t="n">
        <v>0</v>
      </c>
      <c r="AO6587" t="n">
        <v>0</v>
      </c>
      <c r="AP6587" t="inlineStr"/>
      <c r="AQ6587" t="inlineStr"/>
    </row>
    <row r="6588">
      <c r="A6588" t="inlineStr">
        <is>
          <t>MYKONOS</t>
        </is>
      </c>
      <c r="B6588" s="2">
        <f>"3475932544712"</f>
        <v/>
      </c>
      <c r="C6588" t="inlineStr">
        <is>
          <t>MYKONOS Down To Earth Extrait De Parfum 50ml</t>
        </is>
      </c>
      <c r="D6588" t="inlineStr">
        <is>
          <t>Miss Glam Damar</t>
        </is>
      </c>
      <c r="E6588" t="n">
        <v>3</v>
      </c>
      <c r="F6588" t="n">
        <v>0.05</v>
      </c>
      <c r="G6588" t="n">
        <v>1</v>
      </c>
      <c r="H6588" t="n">
        <v>1</v>
      </c>
      <c r="I6588" t="n">
        <v>2</v>
      </c>
      <c r="J6588" t="n">
        <v>3</v>
      </c>
      <c r="K6588" t="n">
        <v>0</v>
      </c>
      <c r="L6588" t="n">
        <v>121217</v>
      </c>
      <c r="M6588" t="n">
        <v>160000</v>
      </c>
      <c r="N6588" t="n">
        <v>91</v>
      </c>
      <c r="O6588" t="n">
        <v>0.91</v>
      </c>
      <c r="P6588" t="n">
        <v>0</v>
      </c>
      <c r="Q6588" t="n">
        <v>0.05</v>
      </c>
      <c r="R6588" t="n">
        <v>1</v>
      </c>
      <c r="S6588" t="n">
        <v>8000</v>
      </c>
      <c r="T6588" t="n">
        <v>2</v>
      </c>
      <c r="U6588" t="n">
        <v>3</v>
      </c>
      <c r="V6588" t="n">
        <v>30</v>
      </c>
      <c r="W6588" t="n">
        <v>2</v>
      </c>
      <c r="X6588" t="n">
        <v>60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inlineStr"/>
      <c r="AG6588" t="inlineStr"/>
      <c r="AH6588" t="inlineStr"/>
      <c r="AI6588" t="n">
        <v>0</v>
      </c>
      <c r="AJ6588" t="inlineStr"/>
      <c r="AK6588" t="n">
        <v>0</v>
      </c>
      <c r="AL6588" t="inlineStr"/>
      <c r="AM6588" t="n">
        <v>0</v>
      </c>
      <c r="AN6588" t="n">
        <v>0</v>
      </c>
      <c r="AO6588" t="n">
        <v>0</v>
      </c>
      <c r="AP6588" t="inlineStr"/>
      <c r="AQ6588" t="inlineStr"/>
    </row>
    <row r="6589">
      <c r="A6589" t="inlineStr">
        <is>
          <t>MYKONOS</t>
        </is>
      </c>
      <c r="B6589" s="2">
        <f>"3475932544231"</f>
        <v/>
      </c>
      <c r="C6589" t="inlineStr">
        <is>
          <t>MYKONOS Eau De Parfum Aphrodite 100ml</t>
        </is>
      </c>
      <c r="D6589" t="inlineStr">
        <is>
          <t>Miss Glam Damar</t>
        </is>
      </c>
      <c r="E6589" t="n">
        <v>1</v>
      </c>
      <c r="F6589" t="n">
        <v>0.0273</v>
      </c>
      <c r="G6589" t="n">
        <v>0.91</v>
      </c>
      <c r="H6589" t="n">
        <v>1</v>
      </c>
      <c r="I6589" t="n">
        <v>2</v>
      </c>
      <c r="J6589" t="n">
        <v>3</v>
      </c>
      <c r="K6589" t="n">
        <v>0</v>
      </c>
      <c r="L6589" t="n">
        <v>203870</v>
      </c>
      <c r="M6589" t="n">
        <v>279500</v>
      </c>
      <c r="N6589" t="n">
        <v>91</v>
      </c>
      <c r="O6589" t="n">
        <v>0.91</v>
      </c>
      <c r="P6589" t="n">
        <v>1</v>
      </c>
      <c r="Q6589" t="n">
        <v>0.05</v>
      </c>
      <c r="R6589" t="n">
        <v>1</v>
      </c>
      <c r="S6589" t="n">
        <v>7630.35</v>
      </c>
      <c r="T6589" t="n">
        <v>2</v>
      </c>
      <c r="U6589" t="n">
        <v>3</v>
      </c>
      <c r="V6589" t="n">
        <v>30</v>
      </c>
      <c r="W6589" t="n">
        <v>1</v>
      </c>
      <c r="X6589" t="n">
        <v>36.63003663003663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inlineStr"/>
      <c r="AG6589" t="inlineStr"/>
      <c r="AH6589" t="inlineStr"/>
      <c r="AI6589" t="n">
        <v>0</v>
      </c>
      <c r="AJ6589" t="inlineStr"/>
      <c r="AK6589" t="n">
        <v>0</v>
      </c>
      <c r="AL6589" t="inlineStr"/>
      <c r="AM6589" t="n">
        <v>0</v>
      </c>
      <c r="AN6589" t="n">
        <v>0</v>
      </c>
      <c r="AO6589" t="n">
        <v>0</v>
      </c>
      <c r="AP6589" t="inlineStr"/>
      <c r="AQ6589" t="inlineStr"/>
    </row>
    <row r="6590">
      <c r="A6590" t="inlineStr">
        <is>
          <t>MYKONOS</t>
        </is>
      </c>
      <c r="B6590" s="2">
        <f>"3475932543654"</f>
        <v/>
      </c>
      <c r="C6590" t="inlineStr">
        <is>
          <t>MYKONOS Eau De Parfum Baby Love 50ml</t>
        </is>
      </c>
      <c r="D6590" t="inlineStr">
        <is>
          <t>Miss Glam Damar</t>
        </is>
      </c>
      <c r="E6590" t="n">
        <v>13</v>
      </c>
      <c r="F6590" t="n">
        <v>0.03</v>
      </c>
      <c r="G6590" t="n">
        <v>1</v>
      </c>
      <c r="H6590" t="n">
        <v>1</v>
      </c>
      <c r="I6590" t="n">
        <v>2</v>
      </c>
      <c r="J6590" t="n">
        <v>3</v>
      </c>
      <c r="K6590" t="n">
        <v>0</v>
      </c>
      <c r="L6590" t="n">
        <v>78513</v>
      </c>
      <c r="M6590" t="n">
        <v>102500</v>
      </c>
      <c r="N6590" t="n">
        <v>91</v>
      </c>
      <c r="O6590" t="n">
        <v>0.91</v>
      </c>
      <c r="P6590" t="n">
        <v>0</v>
      </c>
      <c r="Q6590" t="n">
        <v>0.03</v>
      </c>
      <c r="R6590" t="n">
        <v>1</v>
      </c>
      <c r="S6590" t="n">
        <v>3075</v>
      </c>
      <c r="T6590" t="n">
        <v>2</v>
      </c>
      <c r="U6590" t="n">
        <v>3</v>
      </c>
      <c r="V6590" t="n">
        <v>30</v>
      </c>
      <c r="W6590" t="n">
        <v>1</v>
      </c>
      <c r="X6590" t="n">
        <v>433.3333333333334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inlineStr"/>
      <c r="AG6590" t="inlineStr"/>
      <c r="AH6590" t="inlineStr"/>
      <c r="AI6590" t="n">
        <v>0</v>
      </c>
      <c r="AJ6590" t="inlineStr"/>
      <c r="AK6590" t="n">
        <v>0</v>
      </c>
      <c r="AL6590" t="inlineStr"/>
      <c r="AM6590" t="n">
        <v>0</v>
      </c>
      <c r="AN6590" t="n">
        <v>0</v>
      </c>
      <c r="AO6590" t="n">
        <v>0</v>
      </c>
      <c r="AP6590" t="inlineStr"/>
      <c r="AQ6590" t="inlineStr"/>
    </row>
    <row r="6591">
      <c r="A6591" t="inlineStr">
        <is>
          <t>MYKONOS</t>
        </is>
      </c>
      <c r="B6591" s="2">
        <f>"3475932544125"</f>
        <v/>
      </c>
      <c r="C6591" t="inlineStr">
        <is>
          <t>MYKONOS Eau De Parfum Berry Caramel Pancake 50ml</t>
        </is>
      </c>
      <c r="D6591" t="inlineStr">
        <is>
          <t>Miss Glam Damar</t>
        </is>
      </c>
      <c r="E6591" t="n">
        <v>8</v>
      </c>
      <c r="F6591" t="n">
        <v>0.07000000000000001</v>
      </c>
      <c r="G6591" t="n">
        <v>1</v>
      </c>
      <c r="H6591" t="n">
        <v>1</v>
      </c>
      <c r="I6591" t="n">
        <v>2</v>
      </c>
      <c r="J6591" t="n">
        <v>3</v>
      </c>
      <c r="K6591" t="n">
        <v>0</v>
      </c>
      <c r="L6591" t="n">
        <v>90048</v>
      </c>
      <c r="M6591" t="n">
        <v>126500</v>
      </c>
      <c r="N6591" t="n">
        <v>91</v>
      </c>
      <c r="O6591" t="n">
        <v>0.91</v>
      </c>
      <c r="P6591" t="n">
        <v>0</v>
      </c>
      <c r="Q6591" t="n">
        <v>0.07000000000000001</v>
      </c>
      <c r="R6591" t="n">
        <v>1</v>
      </c>
      <c r="S6591" t="n">
        <v>8855</v>
      </c>
      <c r="T6591" t="n">
        <v>2</v>
      </c>
      <c r="U6591" t="n">
        <v>3</v>
      </c>
      <c r="V6591" t="n">
        <v>30</v>
      </c>
      <c r="W6591" t="n">
        <v>3</v>
      </c>
      <c r="X6591" t="n">
        <v>114.2857142857143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inlineStr"/>
      <c r="AG6591" t="inlineStr"/>
      <c r="AH6591" t="inlineStr"/>
      <c r="AI6591" t="n">
        <v>0</v>
      </c>
      <c r="AJ6591" t="inlineStr"/>
      <c r="AK6591" t="n">
        <v>0</v>
      </c>
      <c r="AL6591" t="inlineStr"/>
      <c r="AM6591" t="n">
        <v>0</v>
      </c>
      <c r="AN6591" t="n">
        <v>0</v>
      </c>
      <c r="AO6591" t="n">
        <v>0</v>
      </c>
      <c r="AP6591" t="inlineStr"/>
      <c r="AQ6591" t="inlineStr"/>
    </row>
    <row r="6592">
      <c r="A6592" t="inlineStr">
        <is>
          <t>MYKONOS</t>
        </is>
      </c>
      <c r="B6592" s="2">
        <f>"3475932543845"</f>
        <v/>
      </c>
      <c r="C6592" t="inlineStr">
        <is>
          <t>MYKONOS Eau De Parfum Black Opera 100ml</t>
        </is>
      </c>
      <c r="D6592" t="inlineStr">
        <is>
          <t>Miss Glam Damar</t>
        </is>
      </c>
      <c r="E6592" t="n">
        <v>3</v>
      </c>
      <c r="F6592" t="n">
        <v>0.03</v>
      </c>
      <c r="G6592" t="n">
        <v>1</v>
      </c>
      <c r="H6592" t="n">
        <v>1</v>
      </c>
      <c r="I6592" t="n">
        <v>2</v>
      </c>
      <c r="J6592" t="n">
        <v>3</v>
      </c>
      <c r="K6592" t="n">
        <v>0</v>
      </c>
      <c r="L6592" t="n">
        <v>191803</v>
      </c>
      <c r="M6592" t="n">
        <v>238000</v>
      </c>
      <c r="N6592" t="n">
        <v>91</v>
      </c>
      <c r="O6592" t="n">
        <v>0.91</v>
      </c>
      <c r="P6592" t="n">
        <v>0</v>
      </c>
      <c r="Q6592" t="n">
        <v>0.03</v>
      </c>
      <c r="R6592" t="n">
        <v>1</v>
      </c>
      <c r="S6592" t="n">
        <v>7140</v>
      </c>
      <c r="T6592" t="n">
        <v>2</v>
      </c>
      <c r="U6592" t="n">
        <v>3</v>
      </c>
      <c r="V6592" t="n">
        <v>30</v>
      </c>
      <c r="W6592" t="n">
        <v>1</v>
      </c>
      <c r="X6592" t="n">
        <v>100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inlineStr"/>
      <c r="AG6592" t="inlineStr"/>
      <c r="AH6592" t="inlineStr"/>
      <c r="AI6592" t="n">
        <v>0</v>
      </c>
      <c r="AJ6592" t="inlineStr"/>
      <c r="AK6592" t="n">
        <v>0</v>
      </c>
      <c r="AL6592" t="inlineStr"/>
      <c r="AM6592" t="n">
        <v>0</v>
      </c>
      <c r="AN6592" t="n">
        <v>0</v>
      </c>
      <c r="AO6592" t="n">
        <v>0</v>
      </c>
      <c r="AP6592" t="inlineStr"/>
      <c r="AQ6592" t="inlineStr"/>
    </row>
    <row r="6593">
      <c r="A6593" t="inlineStr">
        <is>
          <t>MYKONOS</t>
        </is>
      </c>
      <c r="B6593" s="2">
        <f>"3475932543753"</f>
        <v/>
      </c>
      <c r="C6593" t="inlineStr">
        <is>
          <t>MYKONOS Eau De Parfum Blossom 50ml</t>
        </is>
      </c>
      <c r="D6593" t="inlineStr">
        <is>
          <t>Miss Glam Damar</t>
        </is>
      </c>
      <c r="E6593" t="n">
        <v>0</v>
      </c>
      <c r="F6593" t="n">
        <v>0.0182</v>
      </c>
      <c r="G6593" t="n">
        <v>0.91</v>
      </c>
      <c r="H6593" t="n">
        <v>1</v>
      </c>
      <c r="I6593" t="n">
        <v>2</v>
      </c>
      <c r="J6593" t="n">
        <v>3</v>
      </c>
      <c r="K6593" t="n">
        <v>0</v>
      </c>
      <c r="L6593" t="n">
        <v>83675</v>
      </c>
      <c r="M6593" t="n">
        <v>100700</v>
      </c>
      <c r="N6593" t="n">
        <v>91</v>
      </c>
      <c r="O6593" t="n">
        <v>0.91</v>
      </c>
      <c r="P6593" t="n">
        <v>1</v>
      </c>
      <c r="Q6593" t="n">
        <v>0.04</v>
      </c>
      <c r="R6593" t="n">
        <v>1</v>
      </c>
      <c r="S6593" t="n">
        <v>1832.74</v>
      </c>
      <c r="T6593" t="n">
        <v>2</v>
      </c>
      <c r="U6593" t="n">
        <v>3</v>
      </c>
      <c r="V6593" t="n">
        <v>30</v>
      </c>
      <c r="W6593" t="n">
        <v>1</v>
      </c>
      <c r="X6593" t="n">
        <v>0</v>
      </c>
      <c r="Y6593" t="n">
        <v>1</v>
      </c>
      <c r="Z6593" t="n">
        <v>1</v>
      </c>
      <c r="AA6593" t="n">
        <v>1</v>
      </c>
      <c r="AB6593" t="n">
        <v>0</v>
      </c>
      <c r="AC6593" t="n">
        <v>0</v>
      </c>
      <c r="AD6593" t="n">
        <v>83675</v>
      </c>
      <c r="AE6593" t="n">
        <v>0</v>
      </c>
      <c r="AF6593" t="inlineStr"/>
      <c r="AG6593" t="inlineStr"/>
      <c r="AH6593" t="inlineStr"/>
      <c r="AI6593" t="n">
        <v>0</v>
      </c>
      <c r="AJ6593" t="inlineStr"/>
      <c r="AK6593" t="n">
        <v>0</v>
      </c>
      <c r="AL6593" t="inlineStr"/>
      <c r="AM6593" t="n">
        <v>0</v>
      </c>
      <c r="AN6593" t="n">
        <v>0</v>
      </c>
      <c r="AO6593" t="n">
        <v>0</v>
      </c>
      <c r="AP6593" t="inlineStr"/>
      <c r="AQ6593" t="inlineStr"/>
    </row>
    <row r="6594">
      <c r="A6594" t="inlineStr">
        <is>
          <t>MYKONOS</t>
        </is>
      </c>
      <c r="B6594" s="2">
        <f>"3475932544484"</f>
        <v/>
      </c>
      <c r="C6594" t="inlineStr">
        <is>
          <t>MYKONOS Eau De Parfum Dark Secret 15ml</t>
        </is>
      </c>
      <c r="D6594" t="inlineStr">
        <is>
          <t>Miss Glam Damar</t>
        </is>
      </c>
      <c r="E6594" t="n">
        <v>22</v>
      </c>
      <c r="F6594" t="n">
        <v>0.1365</v>
      </c>
      <c r="G6594" t="n">
        <v>1.82</v>
      </c>
      <c r="H6594" t="n">
        <v>1</v>
      </c>
      <c r="I6594" t="n">
        <v>2</v>
      </c>
      <c r="J6594" t="n">
        <v>3</v>
      </c>
      <c r="K6594" t="n">
        <v>0</v>
      </c>
      <c r="L6594" t="n">
        <v>56081</v>
      </c>
      <c r="M6594" t="n">
        <v>67000</v>
      </c>
      <c r="N6594" t="n">
        <v>91</v>
      </c>
      <c r="O6594" t="n">
        <v>0.91</v>
      </c>
      <c r="P6594" t="n">
        <v>1</v>
      </c>
      <c r="Q6594" t="n">
        <v>0.1</v>
      </c>
      <c r="R6594" t="n">
        <v>2</v>
      </c>
      <c r="S6594" t="n">
        <v>9145.5</v>
      </c>
      <c r="T6594" t="n">
        <v>4</v>
      </c>
      <c r="U6594" t="n">
        <v>5</v>
      </c>
      <c r="V6594" t="n">
        <v>30</v>
      </c>
      <c r="W6594" t="n">
        <v>5</v>
      </c>
      <c r="X6594" t="n">
        <v>161.1721611721612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inlineStr"/>
      <c r="AG6594" t="inlineStr"/>
      <c r="AH6594" t="inlineStr"/>
      <c r="AI6594" t="n">
        <v>0</v>
      </c>
      <c r="AJ6594" t="inlineStr"/>
      <c r="AK6594" t="n">
        <v>0</v>
      </c>
      <c r="AL6594" t="inlineStr"/>
      <c r="AM6594" t="n">
        <v>0</v>
      </c>
      <c r="AN6594" t="n">
        <v>0</v>
      </c>
      <c r="AO6594" t="n">
        <v>0</v>
      </c>
      <c r="AP6594" t="inlineStr"/>
      <c r="AQ6594" t="inlineStr"/>
    </row>
    <row r="6595">
      <c r="A6595" t="inlineStr">
        <is>
          <t>MYKONOS</t>
        </is>
      </c>
      <c r="B6595" s="2">
        <f>"3475932544194"</f>
        <v/>
      </c>
      <c r="C6595" t="inlineStr">
        <is>
          <t>MYKONOS Eau De Parfum Enchanted 50ml</t>
        </is>
      </c>
      <c r="D6595" t="inlineStr">
        <is>
          <t>Miss Glam Damar</t>
        </is>
      </c>
      <c r="E6595" t="n">
        <v>0</v>
      </c>
      <c r="F6595" t="n">
        <v>0.2366</v>
      </c>
      <c r="G6595" t="n">
        <v>1.82</v>
      </c>
      <c r="H6595" t="n">
        <v>1</v>
      </c>
      <c r="I6595" t="n">
        <v>2</v>
      </c>
      <c r="J6595" t="n">
        <v>3</v>
      </c>
      <c r="K6595" t="n">
        <v>24</v>
      </c>
      <c r="L6595" t="n">
        <v>111031</v>
      </c>
      <c r="M6595" t="n">
        <v>152000</v>
      </c>
      <c r="N6595" t="n">
        <v>91</v>
      </c>
      <c r="O6595" t="n">
        <v>0.91</v>
      </c>
      <c r="P6595" t="n">
        <v>1</v>
      </c>
      <c r="Q6595" t="n">
        <v>0.1</v>
      </c>
      <c r="R6595" t="n">
        <v>1</v>
      </c>
      <c r="S6595" t="n">
        <v>35963.2</v>
      </c>
      <c r="T6595" t="n">
        <v>4</v>
      </c>
      <c r="U6595" t="n">
        <v>5</v>
      </c>
      <c r="V6595" t="n">
        <v>30</v>
      </c>
      <c r="W6595" t="n">
        <v>8</v>
      </c>
      <c r="X6595" t="n">
        <v>0</v>
      </c>
      <c r="Y6595" t="n">
        <v>1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inlineStr"/>
      <c r="AG6595" t="inlineStr"/>
      <c r="AH6595" t="inlineStr"/>
      <c r="AI6595" t="n">
        <v>0</v>
      </c>
      <c r="AJ6595" t="inlineStr"/>
      <c r="AK6595" t="n">
        <v>0</v>
      </c>
      <c r="AL6595" t="inlineStr"/>
      <c r="AM6595" t="n">
        <v>0</v>
      </c>
      <c r="AN6595" t="n">
        <v>0</v>
      </c>
      <c r="AO6595" t="n">
        <v>0</v>
      </c>
      <c r="AP6595" t="inlineStr"/>
      <c r="AQ6595" t="inlineStr"/>
    </row>
    <row r="6596">
      <c r="A6596" t="inlineStr">
        <is>
          <t>MYKONOS</t>
        </is>
      </c>
      <c r="B6596" s="2">
        <f>"3475932543838"</f>
        <v/>
      </c>
      <c r="C6596" t="inlineStr">
        <is>
          <t>MYKONOS Eau De Parfum Moroccan Vanilla 100ml</t>
        </is>
      </c>
      <c r="D6596" t="inlineStr">
        <is>
          <t>Miss Glam Damar</t>
        </is>
      </c>
      <c r="E6596" t="n">
        <v>3</v>
      </c>
      <c r="F6596" t="n">
        <v>0.08</v>
      </c>
      <c r="G6596" t="n">
        <v>1</v>
      </c>
      <c r="H6596" t="n">
        <v>1</v>
      </c>
      <c r="I6596" t="n">
        <v>2</v>
      </c>
      <c r="J6596" t="n">
        <v>3</v>
      </c>
      <c r="K6596" t="n">
        <v>0</v>
      </c>
      <c r="L6596" t="n">
        <v>210049</v>
      </c>
      <c r="M6596" t="n">
        <v>288000</v>
      </c>
      <c r="N6596" t="n">
        <v>91</v>
      </c>
      <c r="O6596" t="n">
        <v>0.91</v>
      </c>
      <c r="P6596" t="n">
        <v>0</v>
      </c>
      <c r="Q6596" t="n">
        <v>0.08</v>
      </c>
      <c r="R6596" t="n">
        <v>1</v>
      </c>
      <c r="S6596" t="n">
        <v>23040</v>
      </c>
      <c r="T6596" t="n">
        <v>2</v>
      </c>
      <c r="U6596" t="n">
        <v>3</v>
      </c>
      <c r="V6596" t="n">
        <v>30</v>
      </c>
      <c r="W6596" t="n">
        <v>3</v>
      </c>
      <c r="X6596" t="n">
        <v>37.5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inlineStr"/>
      <c r="AG6596" t="inlineStr"/>
      <c r="AH6596" t="inlineStr"/>
      <c r="AI6596" t="n">
        <v>0</v>
      </c>
      <c r="AJ6596" t="inlineStr"/>
      <c r="AK6596" t="n">
        <v>0</v>
      </c>
      <c r="AL6596" t="inlineStr"/>
      <c r="AM6596" t="n">
        <v>0</v>
      </c>
      <c r="AN6596" t="n">
        <v>0</v>
      </c>
      <c r="AO6596" t="n">
        <v>0</v>
      </c>
      <c r="AP6596" t="inlineStr"/>
      <c r="AQ6596" t="inlineStr"/>
    </row>
    <row r="6597">
      <c r="A6597" t="inlineStr">
        <is>
          <t>MYKONOS</t>
        </is>
      </c>
      <c r="B6597" s="2">
        <f>"3475932544415"</f>
        <v/>
      </c>
      <c r="C6597" t="inlineStr">
        <is>
          <t>MYKONOS Eau De Parfum Pink Beach 50ml</t>
        </is>
      </c>
      <c r="D6597" t="inlineStr">
        <is>
          <t>Miss Glam Damar</t>
        </is>
      </c>
      <c r="E6597" t="n">
        <v>3</v>
      </c>
      <c r="F6597" t="n">
        <v>0.3003</v>
      </c>
      <c r="G6597" t="n">
        <v>2.73</v>
      </c>
      <c r="H6597" t="n">
        <v>1</v>
      </c>
      <c r="I6597" t="n">
        <v>2</v>
      </c>
      <c r="J6597" t="n">
        <v>3</v>
      </c>
      <c r="K6597" t="n">
        <v>0</v>
      </c>
      <c r="L6597" t="n">
        <v>96329</v>
      </c>
      <c r="M6597" t="n">
        <v>168000</v>
      </c>
      <c r="N6597" t="n">
        <v>91</v>
      </c>
      <c r="O6597" t="n">
        <v>0.91</v>
      </c>
      <c r="P6597" t="n">
        <v>1</v>
      </c>
      <c r="Q6597" t="n">
        <v>0.15</v>
      </c>
      <c r="R6597" t="n">
        <v>2</v>
      </c>
      <c r="S6597" t="n">
        <v>50450.4</v>
      </c>
      <c r="T6597" t="n">
        <v>6</v>
      </c>
      <c r="U6597" t="n">
        <v>7</v>
      </c>
      <c r="V6597" t="n">
        <v>30</v>
      </c>
      <c r="W6597" t="n">
        <v>10</v>
      </c>
      <c r="X6597" t="n">
        <v>9.990009990009989</v>
      </c>
      <c r="Y6597" t="n">
        <v>1</v>
      </c>
      <c r="Z6597" t="n">
        <v>7</v>
      </c>
      <c r="AA6597" t="n">
        <v>0</v>
      </c>
      <c r="AB6597" t="n">
        <v>7</v>
      </c>
      <c r="AC6597" t="n">
        <v>7</v>
      </c>
      <c r="AD6597" t="n">
        <v>0</v>
      </c>
      <c r="AE6597" t="n">
        <v>674303</v>
      </c>
      <c r="AF6597" t="inlineStr"/>
      <c r="AG6597" t="inlineStr"/>
      <c r="AH6597" t="inlineStr"/>
      <c r="AI6597" t="n">
        <v>0</v>
      </c>
      <c r="AJ6597" t="inlineStr"/>
      <c r="AK6597" t="n">
        <v>0</v>
      </c>
      <c r="AL6597" t="inlineStr"/>
      <c r="AM6597" t="n">
        <v>0</v>
      </c>
      <c r="AN6597" t="n">
        <v>0</v>
      </c>
      <c r="AO6597" t="n">
        <v>0</v>
      </c>
      <c r="AP6597" t="inlineStr"/>
      <c r="AQ6597" t="inlineStr"/>
    </row>
    <row r="6598">
      <c r="A6598" t="inlineStr">
        <is>
          <t>MYKONOS</t>
        </is>
      </c>
      <c r="B6598" s="2">
        <f>"3475932544309"</f>
        <v/>
      </c>
      <c r="C6598" t="inlineStr">
        <is>
          <t>MYKONOS Eau De Parfum Rouge is Blush 50ml</t>
        </is>
      </c>
      <c r="D6598" t="inlineStr">
        <is>
          <t>Miss Glam Damar</t>
        </is>
      </c>
      <c r="E6598" t="n">
        <v>5</v>
      </c>
      <c r="F6598" t="n">
        <v>0.0182</v>
      </c>
      <c r="G6598" t="n">
        <v>0.91</v>
      </c>
      <c r="H6598" t="n">
        <v>1</v>
      </c>
      <c r="I6598" t="n">
        <v>2</v>
      </c>
      <c r="J6598" t="n">
        <v>3</v>
      </c>
      <c r="K6598" t="n">
        <v>0</v>
      </c>
      <c r="L6598" t="n">
        <v>121544</v>
      </c>
      <c r="M6598" t="n">
        <v>178500</v>
      </c>
      <c r="N6598" t="n">
        <v>91</v>
      </c>
      <c r="O6598" t="n">
        <v>0.91</v>
      </c>
      <c r="P6598" t="n">
        <v>1</v>
      </c>
      <c r="Q6598" t="n">
        <v>0.02</v>
      </c>
      <c r="R6598" t="n">
        <v>0</v>
      </c>
      <c r="S6598" t="n">
        <v>3248.7</v>
      </c>
      <c r="T6598" t="n">
        <v>2</v>
      </c>
      <c r="U6598" t="n">
        <v>3</v>
      </c>
      <c r="V6598" t="n">
        <v>30</v>
      </c>
      <c r="W6598" t="n">
        <v>1</v>
      </c>
      <c r="X6598" t="n">
        <v>274.7252747252747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inlineStr"/>
      <c r="AG6598" t="inlineStr"/>
      <c r="AH6598" t="inlineStr"/>
      <c r="AI6598" t="n">
        <v>0</v>
      </c>
      <c r="AJ6598" t="inlineStr"/>
      <c r="AK6598" t="n">
        <v>0</v>
      </c>
      <c r="AL6598" t="inlineStr"/>
      <c r="AM6598" t="n">
        <v>0</v>
      </c>
      <c r="AN6598" t="n">
        <v>0</v>
      </c>
      <c r="AO6598" t="n">
        <v>0</v>
      </c>
      <c r="AP6598" t="inlineStr"/>
      <c r="AQ6598" t="inlineStr"/>
    </row>
    <row r="6599">
      <c r="A6599" t="inlineStr">
        <is>
          <t>MYKONOS</t>
        </is>
      </c>
      <c r="B6599" s="2">
        <f>"3475932544460"</f>
        <v/>
      </c>
      <c r="C6599" t="inlineStr">
        <is>
          <t>MYKONOS Eau De Parfum Sparkling Rose 100ml</t>
        </is>
      </c>
      <c r="D6599" t="inlineStr">
        <is>
          <t>Miss Glam Damar</t>
        </is>
      </c>
      <c r="E6599" t="n">
        <v>4</v>
      </c>
      <c r="F6599" t="n">
        <v>0.02</v>
      </c>
      <c r="G6599" t="n">
        <v>1</v>
      </c>
      <c r="H6599" t="n">
        <v>1</v>
      </c>
      <c r="I6599" t="n">
        <v>2</v>
      </c>
      <c r="J6599" t="n">
        <v>3</v>
      </c>
      <c r="K6599" t="n">
        <v>0</v>
      </c>
      <c r="L6599" t="n">
        <v>233210</v>
      </c>
      <c r="M6599" t="n">
        <v>279000</v>
      </c>
      <c r="N6599" t="n">
        <v>91</v>
      </c>
      <c r="O6599" t="n">
        <v>0.91</v>
      </c>
      <c r="P6599" t="n">
        <v>0</v>
      </c>
      <c r="Q6599" t="n">
        <v>0.02</v>
      </c>
      <c r="R6599" t="n">
        <v>1</v>
      </c>
      <c r="S6599" t="n">
        <v>5580</v>
      </c>
      <c r="T6599" t="n">
        <v>2</v>
      </c>
      <c r="U6599" t="n">
        <v>3</v>
      </c>
      <c r="V6599" t="n">
        <v>30</v>
      </c>
      <c r="W6599" t="n">
        <v>1</v>
      </c>
      <c r="X6599" t="n">
        <v>200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inlineStr"/>
      <c r="AG6599" t="inlineStr"/>
      <c r="AH6599" t="inlineStr"/>
      <c r="AI6599" t="n">
        <v>0</v>
      </c>
      <c r="AJ6599" t="inlineStr"/>
      <c r="AK6599" t="n">
        <v>0</v>
      </c>
      <c r="AL6599" t="inlineStr"/>
      <c r="AM6599" t="n">
        <v>0</v>
      </c>
      <c r="AN6599" t="n">
        <v>0</v>
      </c>
      <c r="AO6599" t="n">
        <v>0</v>
      </c>
      <c r="AP6599" t="inlineStr"/>
      <c r="AQ6599" t="inlineStr"/>
    </row>
    <row r="6600">
      <c r="A6600" t="inlineStr">
        <is>
          <t>MYKONOS</t>
        </is>
      </c>
      <c r="B6600" s="2">
        <f>"3475932544132"</f>
        <v/>
      </c>
      <c r="C6600" t="inlineStr">
        <is>
          <t>MYKONOS Eau De Parfum Stilettos 50ml</t>
        </is>
      </c>
      <c r="D6600" t="inlineStr">
        <is>
          <t>Miss Glam Damar</t>
        </is>
      </c>
      <c r="E6600" t="n">
        <v>2</v>
      </c>
      <c r="F6600" t="n">
        <v>0.0273</v>
      </c>
      <c r="G6600" t="n">
        <v>0.91</v>
      </c>
      <c r="H6600" t="n">
        <v>1</v>
      </c>
      <c r="I6600" t="n">
        <v>2</v>
      </c>
      <c r="J6600" t="n">
        <v>3</v>
      </c>
      <c r="K6600" t="n">
        <v>0</v>
      </c>
      <c r="L6600" t="n">
        <v>91335</v>
      </c>
      <c r="M6600" t="n">
        <v>126500</v>
      </c>
      <c r="N6600" t="n">
        <v>91</v>
      </c>
      <c r="O6600" t="n">
        <v>0.91</v>
      </c>
      <c r="P6600" t="n">
        <v>1</v>
      </c>
      <c r="Q6600" t="n">
        <v>0.03</v>
      </c>
      <c r="R6600" t="n">
        <v>1</v>
      </c>
      <c r="S6600" t="n">
        <v>3453.45</v>
      </c>
      <c r="T6600" t="n">
        <v>2</v>
      </c>
      <c r="U6600" t="n">
        <v>3</v>
      </c>
      <c r="V6600" t="n">
        <v>30</v>
      </c>
      <c r="W6600" t="n">
        <v>1</v>
      </c>
      <c r="X6600" t="n">
        <v>73.26007326007326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inlineStr"/>
      <c r="AG6600" t="inlineStr"/>
      <c r="AH6600" t="inlineStr"/>
      <c r="AI6600" t="n">
        <v>0</v>
      </c>
      <c r="AJ6600" t="inlineStr"/>
      <c r="AK6600" t="n">
        <v>0</v>
      </c>
      <c r="AL6600" t="inlineStr"/>
      <c r="AM6600" t="n">
        <v>0</v>
      </c>
      <c r="AN6600" t="n">
        <v>0</v>
      </c>
      <c r="AO6600" t="n">
        <v>0</v>
      </c>
      <c r="AP6600" t="inlineStr"/>
      <c r="AQ6600" t="inlineStr"/>
    </row>
    <row r="6601">
      <c r="A6601" t="inlineStr">
        <is>
          <t>MYKONOS</t>
        </is>
      </c>
      <c r="B6601" s="2">
        <f>"3475932543883"</f>
        <v/>
      </c>
      <c r="C6601" t="inlineStr">
        <is>
          <t>MYKONOS Eau De Parfum Vanilla Clouds 50ml</t>
        </is>
      </c>
      <c r="D6601" t="inlineStr">
        <is>
          <t>Miss Glam Damar</t>
        </is>
      </c>
      <c r="E6601" t="n">
        <v>0</v>
      </c>
      <c r="F6601" t="n">
        <v>0.3458</v>
      </c>
      <c r="G6601" t="n">
        <v>1.82</v>
      </c>
      <c r="H6601" t="n">
        <v>1</v>
      </c>
      <c r="I6601" t="n">
        <v>2</v>
      </c>
      <c r="J6601" t="n">
        <v>3</v>
      </c>
      <c r="K6601" t="n">
        <v>24</v>
      </c>
      <c r="L6601" t="n">
        <v>91673</v>
      </c>
      <c r="M6601" t="n">
        <v>126200</v>
      </c>
      <c r="N6601" t="n">
        <v>91</v>
      </c>
      <c r="O6601" t="n">
        <v>0.91</v>
      </c>
      <c r="P6601" t="n">
        <v>1</v>
      </c>
      <c r="Q6601" t="n">
        <v>0.1</v>
      </c>
      <c r="R6601" t="n">
        <v>2</v>
      </c>
      <c r="S6601" t="n">
        <v>43639.96</v>
      </c>
      <c r="T6601" t="n">
        <v>4</v>
      </c>
      <c r="U6601" t="n">
        <v>5</v>
      </c>
      <c r="V6601" t="n">
        <v>30</v>
      </c>
      <c r="W6601" t="n">
        <v>11</v>
      </c>
      <c r="X6601" t="n">
        <v>0</v>
      </c>
      <c r="Y6601" t="n">
        <v>1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inlineStr"/>
      <c r="AG6601" t="inlineStr"/>
      <c r="AH6601" t="inlineStr"/>
      <c r="AI6601" t="n">
        <v>0</v>
      </c>
      <c r="AJ6601" t="inlineStr"/>
      <c r="AK6601" t="n">
        <v>0</v>
      </c>
      <c r="AL6601" t="inlineStr"/>
      <c r="AM6601" t="n">
        <v>0</v>
      </c>
      <c r="AN6601" t="n">
        <v>0</v>
      </c>
      <c r="AO6601" t="n">
        <v>0</v>
      </c>
      <c r="AP6601" t="inlineStr"/>
      <c r="AQ6601" t="inlineStr"/>
    </row>
    <row r="6602">
      <c r="A6602" t="inlineStr">
        <is>
          <t>MYKONOS</t>
        </is>
      </c>
      <c r="B6602" s="2">
        <f>"3475932544217"</f>
        <v/>
      </c>
      <c r="C6602" t="inlineStr">
        <is>
          <t>MYKONOS Eau De Parfum Xoxo Rosy 50ml</t>
        </is>
      </c>
      <c r="D6602" t="inlineStr">
        <is>
          <t>Miss Glam Damar</t>
        </is>
      </c>
      <c r="E6602" t="n">
        <v>4</v>
      </c>
      <c r="F6602" t="n">
        <v>0.04550000000000001</v>
      </c>
      <c r="G6602" t="n">
        <v>0.91</v>
      </c>
      <c r="H6602" t="n">
        <v>1</v>
      </c>
      <c r="I6602" t="n">
        <v>2</v>
      </c>
      <c r="J6602" t="n">
        <v>3</v>
      </c>
      <c r="K6602" t="n">
        <v>0</v>
      </c>
      <c r="L6602" t="n">
        <v>91335</v>
      </c>
      <c r="M6602" t="n">
        <v>129000</v>
      </c>
      <c r="N6602" t="n">
        <v>91</v>
      </c>
      <c r="O6602" t="n">
        <v>0.91</v>
      </c>
      <c r="P6602" t="n">
        <v>1</v>
      </c>
      <c r="Q6602" t="n">
        <v>0.02</v>
      </c>
      <c r="R6602" t="n">
        <v>1</v>
      </c>
      <c r="S6602" t="n">
        <v>5869.500000000001</v>
      </c>
      <c r="T6602" t="n">
        <v>2</v>
      </c>
      <c r="U6602" t="n">
        <v>3</v>
      </c>
      <c r="V6602" t="n">
        <v>30</v>
      </c>
      <c r="W6602" t="n">
        <v>2</v>
      </c>
      <c r="X6602" t="n">
        <v>87.9120879120879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inlineStr"/>
      <c r="AG6602" t="inlineStr"/>
      <c r="AH6602" t="inlineStr"/>
      <c r="AI6602" t="n">
        <v>0</v>
      </c>
      <c r="AJ6602" t="inlineStr"/>
      <c r="AK6602" t="n">
        <v>0</v>
      </c>
      <c r="AL6602" t="inlineStr"/>
      <c r="AM6602" t="n">
        <v>0</v>
      </c>
      <c r="AN6602" t="n">
        <v>0</v>
      </c>
      <c r="AO6602" t="n">
        <v>0</v>
      </c>
      <c r="AP6602" t="inlineStr"/>
      <c r="AQ6602" t="inlineStr"/>
    </row>
    <row r="6603">
      <c r="A6603" t="inlineStr">
        <is>
          <t>MYKONOS</t>
        </is>
      </c>
      <c r="B6603" s="2">
        <f>"3475932544354"</f>
        <v/>
      </c>
      <c r="C6603" t="inlineStr">
        <is>
          <t>MYKONOS Eau De Parfum Zora 50ml</t>
        </is>
      </c>
      <c r="D6603" t="inlineStr">
        <is>
          <t>Miss Glam Damar</t>
        </is>
      </c>
      <c r="E6603" t="n">
        <v>1</v>
      </c>
      <c r="F6603" t="n">
        <v>0.03</v>
      </c>
      <c r="G6603" t="n">
        <v>1</v>
      </c>
      <c r="H6603" t="n">
        <v>1</v>
      </c>
      <c r="I6603" t="n">
        <v>2</v>
      </c>
      <c r="J6603" t="n">
        <v>3</v>
      </c>
      <c r="K6603" t="n">
        <v>0</v>
      </c>
      <c r="L6603" t="n">
        <v>95901</v>
      </c>
      <c r="M6603" t="n">
        <v>148000</v>
      </c>
      <c r="N6603" t="n">
        <v>91</v>
      </c>
      <c r="O6603" t="n">
        <v>0.91</v>
      </c>
      <c r="P6603" t="n">
        <v>0</v>
      </c>
      <c r="Q6603" t="n">
        <v>0.03</v>
      </c>
      <c r="R6603" t="n">
        <v>1</v>
      </c>
      <c r="S6603" t="n">
        <v>4440</v>
      </c>
      <c r="T6603" t="n">
        <v>2</v>
      </c>
      <c r="U6603" t="n">
        <v>3</v>
      </c>
      <c r="V6603" t="n">
        <v>30</v>
      </c>
      <c r="W6603" t="n">
        <v>1</v>
      </c>
      <c r="X6603" t="n">
        <v>33.33333333333334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inlineStr"/>
      <c r="AG6603" t="inlineStr"/>
      <c r="AH6603" t="inlineStr"/>
      <c r="AI6603" t="n">
        <v>0</v>
      </c>
      <c r="AJ6603" t="inlineStr"/>
      <c r="AK6603" t="n">
        <v>0</v>
      </c>
      <c r="AL6603" t="inlineStr"/>
      <c r="AM6603" t="n">
        <v>0</v>
      </c>
      <c r="AN6603" t="n">
        <v>0</v>
      </c>
      <c r="AO6603" t="n">
        <v>0</v>
      </c>
      <c r="AP6603" t="inlineStr"/>
      <c r="AQ6603" t="inlineStr"/>
    </row>
    <row r="6604">
      <c r="A6604" t="inlineStr">
        <is>
          <t>MYKONOS</t>
        </is>
      </c>
      <c r="B6604" s="2">
        <f>"3475932544316"</f>
        <v/>
      </c>
      <c r="C6604" t="inlineStr">
        <is>
          <t>MYKONOS Eau De Perfume Aphrodite 50ml</t>
        </is>
      </c>
      <c r="D6604" t="inlineStr">
        <is>
          <t>Miss Glam Damar</t>
        </is>
      </c>
      <c r="E6604" t="n">
        <v>11</v>
      </c>
      <c r="F6604" t="n">
        <v>0.1092</v>
      </c>
      <c r="G6604" t="n">
        <v>0.91</v>
      </c>
      <c r="H6604" t="n">
        <v>1</v>
      </c>
      <c r="I6604" t="n">
        <v>2</v>
      </c>
      <c r="J6604" t="n">
        <v>3</v>
      </c>
      <c r="K6604" t="n">
        <v>0</v>
      </c>
      <c r="L6604" t="n">
        <v>111142</v>
      </c>
      <c r="M6604" t="n">
        <v>148000</v>
      </c>
      <c r="N6604" t="n">
        <v>91</v>
      </c>
      <c r="O6604" t="n">
        <v>0.91</v>
      </c>
      <c r="P6604" t="n">
        <v>1</v>
      </c>
      <c r="Q6604" t="n">
        <v>0.05</v>
      </c>
      <c r="R6604" t="n">
        <v>1</v>
      </c>
      <c r="S6604" t="n">
        <v>16161.6</v>
      </c>
      <c r="T6604" t="n">
        <v>2</v>
      </c>
      <c r="U6604" t="n">
        <v>3</v>
      </c>
      <c r="V6604" t="n">
        <v>30</v>
      </c>
      <c r="W6604" t="n">
        <v>4</v>
      </c>
      <c r="X6604" t="n">
        <v>100.7326007326007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inlineStr"/>
      <c r="AG6604" t="inlineStr"/>
      <c r="AH6604" t="inlineStr"/>
      <c r="AI6604" t="n">
        <v>0</v>
      </c>
      <c r="AJ6604" t="inlineStr"/>
      <c r="AK6604" t="n">
        <v>0</v>
      </c>
      <c r="AL6604" t="inlineStr"/>
      <c r="AM6604" t="n">
        <v>0</v>
      </c>
      <c r="AN6604" t="n">
        <v>0</v>
      </c>
      <c r="AO6604" t="n">
        <v>0</v>
      </c>
      <c r="AP6604" t="inlineStr"/>
      <c r="AQ6604" t="inlineStr"/>
    </row>
    <row r="6605">
      <c r="A6605" t="inlineStr">
        <is>
          <t>MYKONOS</t>
        </is>
      </c>
      <c r="B6605" s="2">
        <f>"3475932544422"</f>
        <v/>
      </c>
      <c r="C6605" t="inlineStr">
        <is>
          <t>MYKONOS Eau De Perfume Paradise 50ml</t>
        </is>
      </c>
      <c r="D6605" t="inlineStr">
        <is>
          <t>Miss Glam Damar</t>
        </is>
      </c>
      <c r="E6605" t="n">
        <v>0</v>
      </c>
      <c r="F6605" t="n">
        <v>0.06370000000000001</v>
      </c>
      <c r="G6605" t="n">
        <v>0.91</v>
      </c>
      <c r="H6605" t="n">
        <v>1</v>
      </c>
      <c r="I6605" t="n">
        <v>2</v>
      </c>
      <c r="J6605" t="n">
        <v>3</v>
      </c>
      <c r="K6605" t="n">
        <v>6</v>
      </c>
      <c r="L6605" t="n">
        <v>100468</v>
      </c>
      <c r="M6605" t="n">
        <v>168000</v>
      </c>
      <c r="N6605" t="n">
        <v>91</v>
      </c>
      <c r="O6605" t="n">
        <v>0.91</v>
      </c>
      <c r="P6605" t="n">
        <v>1</v>
      </c>
      <c r="Q6605" t="n">
        <v>0.02</v>
      </c>
      <c r="R6605" t="n">
        <v>1</v>
      </c>
      <c r="S6605" t="n">
        <v>10701.6</v>
      </c>
      <c r="T6605" t="n">
        <v>2</v>
      </c>
      <c r="U6605" t="n">
        <v>3</v>
      </c>
      <c r="V6605" t="n">
        <v>30</v>
      </c>
      <c r="W6605" t="n">
        <v>2</v>
      </c>
      <c r="X6605" t="n">
        <v>0</v>
      </c>
      <c r="Y6605" t="n">
        <v>1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inlineStr"/>
      <c r="AG6605" t="inlineStr"/>
      <c r="AH6605" t="inlineStr"/>
      <c r="AI6605" t="n">
        <v>0</v>
      </c>
      <c r="AJ6605" t="inlineStr"/>
      <c r="AK6605" t="n">
        <v>0</v>
      </c>
      <c r="AL6605" t="inlineStr"/>
      <c r="AM6605" t="n">
        <v>0</v>
      </c>
      <c r="AN6605" t="n">
        <v>0</v>
      </c>
      <c r="AO6605" t="n">
        <v>0</v>
      </c>
      <c r="AP6605" t="inlineStr"/>
      <c r="AQ6605" t="inlineStr"/>
    </row>
    <row r="6606">
      <c r="A6606" t="inlineStr">
        <is>
          <t>MYKONOS</t>
        </is>
      </c>
      <c r="B6606" s="2">
        <f>"3475932543937"</f>
        <v/>
      </c>
      <c r="C6606" t="inlineStr">
        <is>
          <t>MYKONOS Extrait De Parfum Enchanted 100ml</t>
        </is>
      </c>
      <c r="D6606" t="inlineStr">
        <is>
          <t>Miss Glam Damar</t>
        </is>
      </c>
      <c r="E6606" t="n">
        <v>1</v>
      </c>
      <c r="F6606" t="n">
        <v>0.09100000000000001</v>
      </c>
      <c r="G6606" t="n">
        <v>0.91</v>
      </c>
      <c r="H6606" t="n">
        <v>1</v>
      </c>
      <c r="I6606" t="n">
        <v>2</v>
      </c>
      <c r="J6606" t="n">
        <v>3</v>
      </c>
      <c r="K6606" t="n">
        <v>0</v>
      </c>
      <c r="L6606" t="n">
        <v>182335</v>
      </c>
      <c r="M6606" t="n">
        <v>239000</v>
      </c>
      <c r="N6606" t="n">
        <v>91</v>
      </c>
      <c r="O6606" t="n">
        <v>0.91</v>
      </c>
      <c r="P6606" t="n">
        <v>1</v>
      </c>
      <c r="Q6606" t="n">
        <v>0.07000000000000001</v>
      </c>
      <c r="R6606" t="n">
        <v>1</v>
      </c>
      <c r="S6606" t="n">
        <v>21749</v>
      </c>
      <c r="T6606" t="n">
        <v>2</v>
      </c>
      <c r="U6606" t="n">
        <v>3</v>
      </c>
      <c r="V6606" t="n">
        <v>30</v>
      </c>
      <c r="W6606" t="n">
        <v>3</v>
      </c>
      <c r="X6606" t="n">
        <v>10.98901098901099</v>
      </c>
      <c r="Y6606" t="n">
        <v>1</v>
      </c>
      <c r="Z6606" t="n">
        <v>2</v>
      </c>
      <c r="AA6606" t="n">
        <v>0</v>
      </c>
      <c r="AB6606" t="n">
        <v>2</v>
      </c>
      <c r="AC6606" t="n">
        <v>3</v>
      </c>
      <c r="AD6606" t="n">
        <v>0</v>
      </c>
      <c r="AE6606" t="n">
        <v>547005</v>
      </c>
      <c r="AF6606" t="inlineStr"/>
      <c r="AG6606" t="inlineStr"/>
      <c r="AH6606" t="inlineStr"/>
      <c r="AI6606" t="n">
        <v>0</v>
      </c>
      <c r="AJ6606" t="inlineStr"/>
      <c r="AK6606" t="n">
        <v>0</v>
      </c>
      <c r="AL6606" t="inlineStr"/>
      <c r="AM6606" t="n">
        <v>0</v>
      </c>
      <c r="AN6606" t="n">
        <v>0</v>
      </c>
      <c r="AO6606" t="n">
        <v>0</v>
      </c>
      <c r="AP6606" t="inlineStr"/>
      <c r="AQ6606" t="inlineStr"/>
    </row>
    <row r="6607">
      <c r="A6607" t="inlineStr">
        <is>
          <t>MYKONOS</t>
        </is>
      </c>
      <c r="B6607" s="2">
        <f>"3475932544521"</f>
        <v/>
      </c>
      <c r="C6607" t="inlineStr">
        <is>
          <t>MYKONOS Extrait De Parfum Musk Aura 15ml</t>
        </is>
      </c>
      <c r="D6607" t="inlineStr">
        <is>
          <t>Miss Glam Damar</t>
        </is>
      </c>
      <c r="E6607" t="n">
        <v>3</v>
      </c>
      <c r="F6607" t="n">
        <v>0.04550000000000001</v>
      </c>
      <c r="G6607" t="n">
        <v>0.91</v>
      </c>
      <c r="H6607" t="n">
        <v>1</v>
      </c>
      <c r="I6607" t="n">
        <v>2</v>
      </c>
      <c r="J6607" t="n">
        <v>3</v>
      </c>
      <c r="K6607" t="n">
        <v>0</v>
      </c>
      <c r="L6607" t="n">
        <v>55815</v>
      </c>
      <c r="M6607" t="n">
        <v>75000</v>
      </c>
      <c r="N6607" t="n">
        <v>91</v>
      </c>
      <c r="O6607" t="n">
        <v>0.91</v>
      </c>
      <c r="P6607" t="n">
        <v>1</v>
      </c>
      <c r="Q6607" t="n">
        <v>0.08</v>
      </c>
      <c r="R6607" t="n">
        <v>2</v>
      </c>
      <c r="S6607" t="n">
        <v>3412.5</v>
      </c>
      <c r="T6607" t="n">
        <v>2</v>
      </c>
      <c r="U6607" t="n">
        <v>3</v>
      </c>
      <c r="V6607" t="n">
        <v>30</v>
      </c>
      <c r="W6607" t="n">
        <v>2</v>
      </c>
      <c r="X6607" t="n">
        <v>65.93406593406593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inlineStr"/>
      <c r="AG6607" t="inlineStr"/>
      <c r="AH6607" t="inlineStr"/>
      <c r="AI6607" t="n">
        <v>0</v>
      </c>
      <c r="AJ6607" t="inlineStr"/>
      <c r="AK6607" t="n">
        <v>0</v>
      </c>
      <c r="AL6607" t="inlineStr"/>
      <c r="AM6607" t="n">
        <v>0</v>
      </c>
      <c r="AN6607" t="n">
        <v>0</v>
      </c>
      <c r="AO6607" t="n">
        <v>0</v>
      </c>
      <c r="AP6607" t="inlineStr"/>
      <c r="AQ6607" t="inlineStr"/>
    </row>
    <row r="6608">
      <c r="A6608" t="inlineStr">
        <is>
          <t>MYKONOS</t>
        </is>
      </c>
      <c r="B6608" s="2">
        <f>"30400194923"</f>
        <v/>
      </c>
      <c r="C6608" t="inlineStr">
        <is>
          <t>MYKONOS Extrait De Parfum On The Rock 100ml</t>
        </is>
      </c>
      <c r="D6608" t="inlineStr">
        <is>
          <t>Miss Glam Damar</t>
        </is>
      </c>
      <c r="E6608" t="n">
        <v>0</v>
      </c>
      <c r="F6608" t="n">
        <v>0.0182</v>
      </c>
      <c r="G6608" t="n">
        <v>0.91</v>
      </c>
      <c r="H6608" t="n">
        <v>1</v>
      </c>
      <c r="I6608" t="n">
        <v>2</v>
      </c>
      <c r="J6608" t="n">
        <v>1</v>
      </c>
      <c r="K6608" t="n">
        <v>0</v>
      </c>
      <c r="L6608" t="n">
        <v>246683</v>
      </c>
      <c r="M6608" t="n">
        <v>350000</v>
      </c>
      <c r="N6608" t="n">
        <v>91</v>
      </c>
      <c r="O6608" t="n">
        <v>0.91</v>
      </c>
      <c r="P6608" t="n">
        <v>1</v>
      </c>
      <c r="Q6608" t="n">
        <v>0.06</v>
      </c>
      <c r="R6608" t="n">
        <v>1</v>
      </c>
      <c r="S6608" t="n">
        <v>6370</v>
      </c>
      <c r="T6608" t="n">
        <v>2</v>
      </c>
      <c r="U6608" t="n">
        <v>3</v>
      </c>
      <c r="V6608" t="n">
        <v>30</v>
      </c>
      <c r="W6608" t="n">
        <v>1</v>
      </c>
      <c r="X6608" t="n">
        <v>0</v>
      </c>
      <c r="Y6608" t="n">
        <v>1</v>
      </c>
      <c r="Z6608" t="n">
        <v>1</v>
      </c>
      <c r="AA6608" t="n">
        <v>1</v>
      </c>
      <c r="AB6608" t="n">
        <v>0</v>
      </c>
      <c r="AC6608" t="n">
        <v>0</v>
      </c>
      <c r="AD6608" t="n">
        <v>246683</v>
      </c>
      <c r="AE6608" t="n">
        <v>0</v>
      </c>
      <c r="AF6608" t="inlineStr"/>
      <c r="AG6608" t="inlineStr"/>
      <c r="AH6608" t="inlineStr"/>
      <c r="AI6608" t="n">
        <v>0</v>
      </c>
      <c r="AJ6608" t="inlineStr"/>
      <c r="AK6608" t="n">
        <v>0</v>
      </c>
      <c r="AL6608" t="inlineStr"/>
      <c r="AM6608" t="n">
        <v>0</v>
      </c>
      <c r="AN6608" t="n">
        <v>0</v>
      </c>
      <c r="AO6608" t="n">
        <v>0</v>
      </c>
      <c r="AP6608" t="inlineStr"/>
      <c r="AQ6608" t="inlineStr"/>
    </row>
    <row r="6609">
      <c r="A6609" t="inlineStr">
        <is>
          <t>MYKONOS</t>
        </is>
      </c>
      <c r="B6609" s="2">
        <f>"30400195030"</f>
        <v/>
      </c>
      <c r="C6609" t="inlineStr">
        <is>
          <t>MYKONOS Extrait De Parfum Royal Ispahan 15ml</t>
        </is>
      </c>
      <c r="D6609" t="inlineStr">
        <is>
          <t>Miss Glam Damar</t>
        </is>
      </c>
      <c r="E6609" t="n">
        <v>0</v>
      </c>
      <c r="F6609" t="n">
        <v>0.07000000000000001</v>
      </c>
      <c r="G6609" t="n">
        <v>2</v>
      </c>
      <c r="H6609" t="n">
        <v>1</v>
      </c>
      <c r="I6609" t="n">
        <v>2</v>
      </c>
      <c r="J6609" t="n">
        <v>1</v>
      </c>
      <c r="K6609" t="n">
        <v>0</v>
      </c>
      <c r="L6609" t="n">
        <v>55931</v>
      </c>
      <c r="M6609" t="n">
        <v>75000</v>
      </c>
      <c r="N6609" t="n">
        <v>91</v>
      </c>
      <c r="O6609" t="n">
        <v>0.91</v>
      </c>
      <c r="P6609" t="n">
        <v>0</v>
      </c>
      <c r="Q6609" t="n">
        <v>0.07000000000000001</v>
      </c>
      <c r="R6609" t="n">
        <v>2</v>
      </c>
      <c r="S6609" t="n">
        <v>5250.000000000001</v>
      </c>
      <c r="T6609" t="n">
        <v>4</v>
      </c>
      <c r="U6609" t="n">
        <v>5</v>
      </c>
      <c r="V6609" t="n">
        <v>30</v>
      </c>
      <c r="W6609" t="n">
        <v>3</v>
      </c>
      <c r="X6609" t="n">
        <v>0</v>
      </c>
      <c r="Y6609" t="n">
        <v>1</v>
      </c>
      <c r="Z6609" t="n">
        <v>3</v>
      </c>
      <c r="AA6609" t="n">
        <v>1</v>
      </c>
      <c r="AB6609" t="n">
        <v>2</v>
      </c>
      <c r="AC6609" t="n">
        <v>2</v>
      </c>
      <c r="AD6609" t="n">
        <v>55931</v>
      </c>
      <c r="AE6609" t="n">
        <v>111862</v>
      </c>
      <c r="AF6609" t="inlineStr"/>
      <c r="AG6609" t="inlineStr"/>
      <c r="AH6609" t="inlineStr"/>
      <c r="AI6609" t="n">
        <v>0</v>
      </c>
      <c r="AJ6609" t="inlineStr"/>
      <c r="AK6609" t="n">
        <v>0</v>
      </c>
      <c r="AL6609" t="inlineStr"/>
      <c r="AM6609" t="n">
        <v>0</v>
      </c>
      <c r="AN6609" t="n">
        <v>0</v>
      </c>
      <c r="AO6609" t="n">
        <v>0</v>
      </c>
      <c r="AP6609" t="inlineStr"/>
      <c r="AQ6609" t="inlineStr"/>
    </row>
    <row r="6610">
      <c r="A6610" t="inlineStr">
        <is>
          <t>MYKONOS</t>
        </is>
      </c>
      <c r="B6610" s="2">
        <f>"3475932544477"</f>
        <v/>
      </c>
      <c r="C6610" t="inlineStr">
        <is>
          <t>MYKONOS Extrait De Parfum Satin Blanc 100ml</t>
        </is>
      </c>
      <c r="D6610" t="inlineStr">
        <is>
          <t>Miss Glam Damar</t>
        </is>
      </c>
      <c r="E6610" t="n">
        <v>1</v>
      </c>
      <c r="F6610" t="n">
        <v>0.05</v>
      </c>
      <c r="G6610" t="n">
        <v>1</v>
      </c>
      <c r="H6610" t="n">
        <v>1</v>
      </c>
      <c r="I6610" t="n">
        <v>2</v>
      </c>
      <c r="J6610" t="n">
        <v>3</v>
      </c>
      <c r="K6610" t="n">
        <v>0</v>
      </c>
      <c r="L6610" t="n">
        <v>243453</v>
      </c>
      <c r="M6610" t="n">
        <v>295000</v>
      </c>
      <c r="N6610" t="n">
        <v>91</v>
      </c>
      <c r="O6610" t="n">
        <v>0.91</v>
      </c>
      <c r="P6610" t="n">
        <v>0</v>
      </c>
      <c r="Q6610" t="n">
        <v>0.05</v>
      </c>
      <c r="R6610" t="n">
        <v>1</v>
      </c>
      <c r="S6610" t="n">
        <v>14750</v>
      </c>
      <c r="T6610" t="n">
        <v>2</v>
      </c>
      <c r="U6610" t="n">
        <v>3</v>
      </c>
      <c r="V6610" t="n">
        <v>30</v>
      </c>
      <c r="W6610" t="n">
        <v>2</v>
      </c>
      <c r="X6610" t="n">
        <v>20</v>
      </c>
      <c r="Y6610" t="n">
        <v>1</v>
      </c>
      <c r="Z6610" t="n">
        <v>1</v>
      </c>
      <c r="AA6610" t="n">
        <v>0</v>
      </c>
      <c r="AB6610" t="n">
        <v>1</v>
      </c>
      <c r="AC6610" t="n">
        <v>3</v>
      </c>
      <c r="AD6610" t="n">
        <v>0</v>
      </c>
      <c r="AE6610" t="n">
        <v>730359</v>
      </c>
      <c r="AF6610" t="inlineStr"/>
      <c r="AG6610" t="inlineStr"/>
      <c r="AH6610" t="inlineStr"/>
      <c r="AI6610" t="n">
        <v>0</v>
      </c>
      <c r="AJ6610" t="inlineStr"/>
      <c r="AK6610" t="n">
        <v>0</v>
      </c>
      <c r="AL6610" t="inlineStr"/>
      <c r="AM6610" t="n">
        <v>0</v>
      </c>
      <c r="AN6610" t="n">
        <v>0</v>
      </c>
      <c r="AO6610" t="n">
        <v>0</v>
      </c>
      <c r="AP6610" t="inlineStr"/>
      <c r="AQ6610" t="inlineStr"/>
    </row>
    <row r="6611">
      <c r="A6611" t="inlineStr">
        <is>
          <t>MYKONOS</t>
        </is>
      </c>
      <c r="B6611" s="2">
        <f>"30400187647"</f>
        <v/>
      </c>
      <c r="C6611" t="inlineStr">
        <is>
          <t>MYKONOS Extrait De Parfum Utopia 15ml</t>
        </is>
      </c>
      <c r="D6611" t="inlineStr">
        <is>
          <t>Miss Glam Damar</t>
        </is>
      </c>
      <c r="E6611" t="n">
        <v>0</v>
      </c>
      <c r="F6611" t="n">
        <v>0.17</v>
      </c>
      <c r="G6611" t="n">
        <v>2</v>
      </c>
      <c r="H6611" t="n">
        <v>1</v>
      </c>
      <c r="I6611" t="n">
        <v>2</v>
      </c>
      <c r="J6611" t="n">
        <v>1</v>
      </c>
      <c r="K6611" t="n">
        <v>0</v>
      </c>
      <c r="L6611" t="n">
        <v>56064</v>
      </c>
      <c r="M6611" t="n">
        <v>79000</v>
      </c>
      <c r="N6611" t="n">
        <v>91</v>
      </c>
      <c r="O6611" t="n">
        <v>0.91</v>
      </c>
      <c r="P6611" t="n">
        <v>0</v>
      </c>
      <c r="Q6611" t="n">
        <v>0.17</v>
      </c>
      <c r="R6611" t="n">
        <v>2</v>
      </c>
      <c r="S6611" t="n">
        <v>13430</v>
      </c>
      <c r="T6611" t="n">
        <v>4</v>
      </c>
      <c r="U6611" t="n">
        <v>5</v>
      </c>
      <c r="V6611" t="n">
        <v>30</v>
      </c>
      <c r="W6611" t="n">
        <v>6</v>
      </c>
      <c r="X6611" t="n">
        <v>0</v>
      </c>
      <c r="Y6611" t="n">
        <v>1</v>
      </c>
      <c r="Z6611" t="n">
        <v>6</v>
      </c>
      <c r="AA6611" t="n">
        <v>1</v>
      </c>
      <c r="AB6611" t="n">
        <v>5</v>
      </c>
      <c r="AC6611" t="n">
        <v>5</v>
      </c>
      <c r="AD6611" t="n">
        <v>56064</v>
      </c>
      <c r="AE6611" t="n">
        <v>280320</v>
      </c>
      <c r="AF6611" t="inlineStr"/>
      <c r="AG6611" t="inlineStr"/>
      <c r="AH6611" t="inlineStr"/>
      <c r="AI6611" t="n">
        <v>0</v>
      </c>
      <c r="AJ6611" t="inlineStr"/>
      <c r="AK6611" t="n">
        <v>0</v>
      </c>
      <c r="AL6611" t="inlineStr"/>
      <c r="AM6611" t="n">
        <v>0</v>
      </c>
      <c r="AN6611" t="n">
        <v>0</v>
      </c>
      <c r="AO6611" t="n">
        <v>0</v>
      </c>
      <c r="AP6611" t="inlineStr"/>
      <c r="AQ6611" t="inlineStr"/>
    </row>
    <row r="6612">
      <c r="A6612" t="inlineStr">
        <is>
          <t>MYKONOS</t>
        </is>
      </c>
      <c r="B6612" s="2">
        <f>"30400190529"</f>
        <v/>
      </c>
      <c r="C6612" t="inlineStr">
        <is>
          <t>MYKONOS Hawaiian Crush 15 ml</t>
        </is>
      </c>
      <c r="D6612" t="inlineStr">
        <is>
          <t>Miss Glam Damar</t>
        </is>
      </c>
      <c r="E6612" t="n">
        <v>1</v>
      </c>
      <c r="F6612" t="n">
        <v>0.0819</v>
      </c>
      <c r="G6612" t="n">
        <v>1.82</v>
      </c>
      <c r="H6612" t="n">
        <v>1</v>
      </c>
      <c r="I6612" t="n">
        <v>2</v>
      </c>
      <c r="J6612" t="n">
        <v>1</v>
      </c>
      <c r="K6612" t="n">
        <v>0</v>
      </c>
      <c r="L6612" t="n">
        <v>55815</v>
      </c>
      <c r="M6612" t="n">
        <v>67000</v>
      </c>
      <c r="N6612" t="n">
        <v>91</v>
      </c>
      <c r="O6612" t="n">
        <v>0.91</v>
      </c>
      <c r="P6612" t="n">
        <v>1</v>
      </c>
      <c r="Q6612" t="n">
        <v>0.07000000000000001</v>
      </c>
      <c r="R6612" t="n">
        <v>1</v>
      </c>
      <c r="S6612" t="n">
        <v>5487.3</v>
      </c>
      <c r="T6612" t="n">
        <v>4</v>
      </c>
      <c r="U6612" t="n">
        <v>5</v>
      </c>
      <c r="V6612" t="n">
        <v>30</v>
      </c>
      <c r="W6612" t="n">
        <v>3</v>
      </c>
      <c r="X6612" t="n">
        <v>12.21001221001221</v>
      </c>
      <c r="Y6612" t="n">
        <v>1</v>
      </c>
      <c r="Z6612" t="n">
        <v>2</v>
      </c>
      <c r="AA6612" t="n">
        <v>0</v>
      </c>
      <c r="AB6612" t="n">
        <v>2</v>
      </c>
      <c r="AC6612" t="n">
        <v>2</v>
      </c>
      <c r="AD6612" t="n">
        <v>0</v>
      </c>
      <c r="AE6612" t="n">
        <v>111630</v>
      </c>
      <c r="AF6612" t="inlineStr"/>
      <c r="AG6612" t="inlineStr"/>
      <c r="AH6612" t="inlineStr"/>
      <c r="AI6612" t="n">
        <v>0</v>
      </c>
      <c r="AJ6612" t="inlineStr"/>
      <c r="AK6612" t="n">
        <v>0</v>
      </c>
      <c r="AL6612" t="inlineStr"/>
      <c r="AM6612" t="n">
        <v>0</v>
      </c>
      <c r="AN6612" t="n">
        <v>0</v>
      </c>
      <c r="AO6612" t="n">
        <v>0</v>
      </c>
      <c r="AP6612" t="inlineStr"/>
      <c r="AQ6612" t="inlineStr"/>
    </row>
    <row r="6613">
      <c r="A6613" t="inlineStr">
        <is>
          <t>MYKONOS</t>
        </is>
      </c>
      <c r="B6613" s="2">
        <f>"30400190315"</f>
        <v/>
      </c>
      <c r="C6613" t="inlineStr">
        <is>
          <t>MYKONOS Hawaiian Crush 50ml</t>
        </is>
      </c>
      <c r="D6613" t="inlineStr">
        <is>
          <t>Miss Glam Damar</t>
        </is>
      </c>
      <c r="E6613" t="n">
        <v>2</v>
      </c>
      <c r="F6613" t="n">
        <v>0.0182</v>
      </c>
      <c r="G6613" t="n">
        <v>0.91</v>
      </c>
      <c r="H6613" t="n">
        <v>1</v>
      </c>
      <c r="I6613" t="n">
        <v>2</v>
      </c>
      <c r="J6613" t="n">
        <v>1</v>
      </c>
      <c r="K6613" t="n">
        <v>0</v>
      </c>
      <c r="L6613" t="n">
        <v>141061</v>
      </c>
      <c r="M6613" t="n">
        <v>177000</v>
      </c>
      <c r="N6613" t="n">
        <v>91</v>
      </c>
      <c r="O6613" t="n">
        <v>0.91</v>
      </c>
      <c r="P6613" t="n">
        <v>1</v>
      </c>
      <c r="Q6613" t="n">
        <v>0.03</v>
      </c>
      <c r="R6613" t="n">
        <v>1</v>
      </c>
      <c r="S6613" t="n">
        <v>3221.4</v>
      </c>
      <c r="T6613" t="n">
        <v>2</v>
      </c>
      <c r="U6613" t="n">
        <v>3</v>
      </c>
      <c r="V6613" t="n">
        <v>30</v>
      </c>
      <c r="W6613" t="n">
        <v>1</v>
      </c>
      <c r="X6613" t="n">
        <v>109.8901098901099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inlineStr"/>
      <c r="AG6613" t="inlineStr"/>
      <c r="AH6613" t="inlineStr"/>
      <c r="AI6613" t="n">
        <v>0</v>
      </c>
      <c r="AJ6613" t="inlineStr"/>
      <c r="AK6613" t="n">
        <v>0</v>
      </c>
      <c r="AL6613" t="inlineStr"/>
      <c r="AM6613" t="n">
        <v>0</v>
      </c>
      <c r="AN6613" t="n">
        <v>0</v>
      </c>
      <c r="AO6613" t="n">
        <v>0</v>
      </c>
      <c r="AP6613" t="inlineStr"/>
      <c r="AQ6613" t="inlineStr"/>
    </row>
    <row r="6614">
      <c r="A6614" t="inlineStr">
        <is>
          <t>MYKONOS</t>
        </is>
      </c>
      <c r="B6614" s="2">
        <f>"30400194630"</f>
        <v/>
      </c>
      <c r="C6614" t="inlineStr">
        <is>
          <t>MYKONOS Luminos EDP 50ml</t>
        </is>
      </c>
      <c r="D6614" t="inlineStr">
        <is>
          <t>Miss Glam Damar</t>
        </is>
      </c>
      <c r="E6614" t="n">
        <v>0</v>
      </c>
      <c r="F6614" t="n">
        <v>0.12</v>
      </c>
      <c r="G6614" t="n">
        <v>2</v>
      </c>
      <c r="H6614" t="n">
        <v>1</v>
      </c>
      <c r="I6614" t="n">
        <v>2</v>
      </c>
      <c r="J6614" t="n">
        <v>1</v>
      </c>
      <c r="K6614" t="n">
        <v>0</v>
      </c>
      <c r="L6614" t="n">
        <v>163096</v>
      </c>
      <c r="M6614" t="n">
        <v>219000</v>
      </c>
      <c r="N6614" t="n">
        <v>91</v>
      </c>
      <c r="O6614" t="n">
        <v>0.91</v>
      </c>
      <c r="P6614" t="n">
        <v>0</v>
      </c>
      <c r="Q6614" t="n">
        <v>0.12</v>
      </c>
      <c r="R6614" t="n">
        <v>2</v>
      </c>
      <c r="S6614" t="n">
        <v>26280</v>
      </c>
      <c r="T6614" t="n">
        <v>4</v>
      </c>
      <c r="U6614" t="n">
        <v>5</v>
      </c>
      <c r="V6614" t="n">
        <v>30</v>
      </c>
      <c r="W6614" t="n">
        <v>4</v>
      </c>
      <c r="X6614" t="n">
        <v>0</v>
      </c>
      <c r="Y6614" t="n">
        <v>1</v>
      </c>
      <c r="Z6614" t="n">
        <v>4</v>
      </c>
      <c r="AA6614" t="n">
        <v>1</v>
      </c>
      <c r="AB6614" t="n">
        <v>3</v>
      </c>
      <c r="AC6614" t="n">
        <v>3</v>
      </c>
      <c r="AD6614" t="n">
        <v>163096</v>
      </c>
      <c r="AE6614" t="n">
        <v>489288</v>
      </c>
      <c r="AF6614" t="inlineStr"/>
      <c r="AG6614" t="inlineStr"/>
      <c r="AH6614" t="inlineStr"/>
      <c r="AI6614" t="n">
        <v>0</v>
      </c>
      <c r="AJ6614" t="inlineStr"/>
      <c r="AK6614" t="n">
        <v>0</v>
      </c>
      <c r="AL6614" t="inlineStr"/>
      <c r="AM6614" t="n">
        <v>0</v>
      </c>
      <c r="AN6614" t="n">
        <v>0</v>
      </c>
      <c r="AO6614" t="n">
        <v>0</v>
      </c>
      <c r="AP6614" t="inlineStr"/>
      <c r="AQ6614" t="inlineStr"/>
    </row>
    <row r="6615">
      <c r="A6615" t="inlineStr">
        <is>
          <t>MYKONOS</t>
        </is>
      </c>
      <c r="B6615" s="2">
        <f>"3475932544651"</f>
        <v/>
      </c>
      <c r="C6615" t="inlineStr">
        <is>
          <t>MYKONOS Milk Drops Extrait De Parfum 50ml</t>
        </is>
      </c>
      <c r="D6615" t="inlineStr">
        <is>
          <t>Miss Glam Damar</t>
        </is>
      </c>
      <c r="E6615" t="n">
        <v>12</v>
      </c>
      <c r="F6615" t="n">
        <v>0.0182</v>
      </c>
      <c r="G6615" t="n">
        <v>0.91</v>
      </c>
      <c r="H6615" t="n">
        <v>1</v>
      </c>
      <c r="I6615" t="n">
        <v>2</v>
      </c>
      <c r="J6615" t="n">
        <v>3</v>
      </c>
      <c r="K6615" t="n">
        <v>0</v>
      </c>
      <c r="L6615" t="n">
        <v>152949</v>
      </c>
      <c r="M6615" t="n">
        <v>189500</v>
      </c>
      <c r="N6615" t="n">
        <v>91</v>
      </c>
      <c r="O6615" t="n">
        <v>0.91</v>
      </c>
      <c r="P6615" t="n">
        <v>1</v>
      </c>
      <c r="Q6615" t="n">
        <v>0.05</v>
      </c>
      <c r="R6615" t="n">
        <v>2</v>
      </c>
      <c r="S6615" t="n">
        <v>3448.9</v>
      </c>
      <c r="T6615" t="n">
        <v>2</v>
      </c>
      <c r="U6615" t="n">
        <v>3</v>
      </c>
      <c r="V6615" t="n">
        <v>30</v>
      </c>
      <c r="W6615" t="n">
        <v>1</v>
      </c>
      <c r="X6615" t="n">
        <v>659.3406593406593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inlineStr"/>
      <c r="AG6615" t="inlineStr"/>
      <c r="AH6615" t="inlineStr"/>
      <c r="AI6615" t="n">
        <v>0</v>
      </c>
      <c r="AJ6615" t="inlineStr"/>
      <c r="AK6615" t="n">
        <v>0</v>
      </c>
      <c r="AL6615" t="inlineStr"/>
      <c r="AM6615" t="n">
        <v>0</v>
      </c>
      <c r="AN6615" t="n">
        <v>0</v>
      </c>
      <c r="AO6615" t="n">
        <v>0</v>
      </c>
      <c r="AP6615" t="inlineStr"/>
      <c r="AQ6615" t="inlineStr"/>
    </row>
    <row r="6616">
      <c r="A6616" t="inlineStr">
        <is>
          <t>MYKONOS</t>
        </is>
      </c>
      <c r="B6616" s="2">
        <f>"3475932544507"</f>
        <v/>
      </c>
      <c r="C6616" t="inlineStr">
        <is>
          <t>MYKONOS Moroccon Vanilla Eau De Parfum 15ml</t>
        </is>
      </c>
      <c r="D6616" t="inlineStr">
        <is>
          <t>Miss Glam Damar</t>
        </is>
      </c>
      <c r="E6616" t="n">
        <v>7</v>
      </c>
      <c r="F6616" t="n">
        <v>0.2</v>
      </c>
      <c r="G6616" t="n">
        <v>2</v>
      </c>
      <c r="H6616" t="n">
        <v>1</v>
      </c>
      <c r="I6616" t="n">
        <v>2</v>
      </c>
      <c r="J6616" t="n">
        <v>3</v>
      </c>
      <c r="K6616" t="n">
        <v>0</v>
      </c>
      <c r="L6616" t="n">
        <v>56081</v>
      </c>
      <c r="M6616" t="n">
        <v>67000</v>
      </c>
      <c r="N6616" t="n">
        <v>91</v>
      </c>
      <c r="O6616" t="n">
        <v>0.91</v>
      </c>
      <c r="P6616" t="n">
        <v>0</v>
      </c>
      <c r="Q6616" t="n">
        <v>0.2</v>
      </c>
      <c r="R6616" t="n">
        <v>2</v>
      </c>
      <c r="S6616" t="n">
        <v>13400</v>
      </c>
      <c r="T6616" t="n">
        <v>4</v>
      </c>
      <c r="U6616" t="n">
        <v>5</v>
      </c>
      <c r="V6616" t="n">
        <v>30</v>
      </c>
      <c r="W6616" t="n">
        <v>6</v>
      </c>
      <c r="X6616" t="n">
        <v>35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inlineStr"/>
      <c r="AG6616" t="inlineStr"/>
      <c r="AH6616" t="inlineStr"/>
      <c r="AI6616" t="n">
        <v>0</v>
      </c>
      <c r="AJ6616" t="inlineStr"/>
      <c r="AK6616" t="n">
        <v>0</v>
      </c>
      <c r="AL6616" t="inlineStr"/>
      <c r="AM6616" t="n">
        <v>0</v>
      </c>
      <c r="AN6616" t="n">
        <v>0</v>
      </c>
      <c r="AO6616" t="n">
        <v>0</v>
      </c>
      <c r="AP6616" t="inlineStr"/>
      <c r="AQ6616" t="inlineStr"/>
    </row>
    <row r="6617">
      <c r="A6617" t="inlineStr">
        <is>
          <t>MYKONOS</t>
        </is>
      </c>
      <c r="B6617" s="2">
        <f>"30400190402"</f>
        <v/>
      </c>
      <c r="C6617" t="inlineStr">
        <is>
          <t>MYKONOS On The Rock 15ml</t>
        </is>
      </c>
      <c r="D6617" t="inlineStr">
        <is>
          <t>Miss Glam Damar</t>
        </is>
      </c>
      <c r="E6617" t="n">
        <v>0</v>
      </c>
      <c r="F6617" t="n">
        <v>0.09100000000000001</v>
      </c>
      <c r="G6617" t="n">
        <v>0.91</v>
      </c>
      <c r="H6617" t="n">
        <v>1</v>
      </c>
      <c r="I6617" t="n">
        <v>2</v>
      </c>
      <c r="J6617" t="n">
        <v>1</v>
      </c>
      <c r="K6617" t="n">
        <v>24</v>
      </c>
      <c r="L6617" t="n">
        <v>56064</v>
      </c>
      <c r="M6617" t="n">
        <v>67000</v>
      </c>
      <c r="N6617" t="n">
        <v>91</v>
      </c>
      <c r="O6617" t="n">
        <v>0.91</v>
      </c>
      <c r="P6617" t="n">
        <v>1</v>
      </c>
      <c r="Q6617" t="n">
        <v>0.21</v>
      </c>
      <c r="R6617" t="n">
        <v>2</v>
      </c>
      <c r="S6617" t="n">
        <v>6097.000000000001</v>
      </c>
      <c r="T6617" t="n">
        <v>2</v>
      </c>
      <c r="U6617" t="n">
        <v>3</v>
      </c>
      <c r="V6617" t="n">
        <v>30</v>
      </c>
      <c r="W6617" t="n">
        <v>3</v>
      </c>
      <c r="X6617" t="n">
        <v>0</v>
      </c>
      <c r="Y6617" t="n">
        <v>1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inlineStr"/>
      <c r="AG6617" t="inlineStr"/>
      <c r="AH6617" t="inlineStr"/>
      <c r="AI6617" t="n">
        <v>0</v>
      </c>
      <c r="AJ6617" t="inlineStr"/>
      <c r="AK6617" t="n">
        <v>0</v>
      </c>
      <c r="AL6617" t="inlineStr"/>
      <c r="AM6617" t="n">
        <v>0</v>
      </c>
      <c r="AN6617" t="n">
        <v>0</v>
      </c>
      <c r="AO6617" t="n">
        <v>0</v>
      </c>
      <c r="AP6617" t="inlineStr"/>
      <c r="AQ6617" t="inlineStr"/>
    </row>
    <row r="6618">
      <c r="A6618" t="inlineStr">
        <is>
          <t>MYKONOS</t>
        </is>
      </c>
      <c r="B6618" s="2">
        <f>"3475932544545"</f>
        <v/>
      </c>
      <c r="C6618" t="inlineStr">
        <is>
          <t>MYKONOS Satin Blanc Extrait De Parfum 15ml</t>
        </is>
      </c>
      <c r="D6618" t="inlineStr">
        <is>
          <t>Miss Glam Damar</t>
        </is>
      </c>
      <c r="E6618" t="n">
        <v>0</v>
      </c>
      <c r="F6618" t="n">
        <v>0.3276</v>
      </c>
      <c r="G6618" t="n">
        <v>1.82</v>
      </c>
      <c r="H6618" t="n">
        <v>1</v>
      </c>
      <c r="I6618" t="n">
        <v>2</v>
      </c>
      <c r="J6618" t="n">
        <v>3</v>
      </c>
      <c r="K6618" t="n">
        <v>0</v>
      </c>
      <c r="L6618" t="n">
        <v>56064</v>
      </c>
      <c r="M6618" t="n">
        <v>67000</v>
      </c>
      <c r="N6618" t="n">
        <v>91</v>
      </c>
      <c r="O6618" t="n">
        <v>0.91</v>
      </c>
      <c r="P6618" t="n">
        <v>1</v>
      </c>
      <c r="Q6618" t="n">
        <v>0.17</v>
      </c>
      <c r="R6618" t="n">
        <v>2</v>
      </c>
      <c r="S6618" t="n">
        <v>21949.2</v>
      </c>
      <c r="T6618" t="n">
        <v>4</v>
      </c>
      <c r="U6618" t="n">
        <v>5</v>
      </c>
      <c r="V6618" t="n">
        <v>30</v>
      </c>
      <c r="W6618" t="n">
        <v>10</v>
      </c>
      <c r="X6618" t="n">
        <v>0</v>
      </c>
      <c r="Y6618" t="n">
        <v>1</v>
      </c>
      <c r="Z6618" t="n">
        <v>10</v>
      </c>
      <c r="AA6618" t="n">
        <v>1</v>
      </c>
      <c r="AB6618" t="n">
        <v>9</v>
      </c>
      <c r="AC6618" t="n">
        <v>9</v>
      </c>
      <c r="AD6618" t="n">
        <v>56064</v>
      </c>
      <c r="AE6618" t="n">
        <v>504576</v>
      </c>
      <c r="AF6618" t="inlineStr"/>
      <c r="AG6618" t="inlineStr"/>
      <c r="AH6618" t="inlineStr"/>
      <c r="AI6618" t="n">
        <v>0</v>
      </c>
      <c r="AJ6618" t="inlineStr"/>
      <c r="AK6618" t="n">
        <v>0</v>
      </c>
      <c r="AL6618" t="inlineStr"/>
      <c r="AM6618" t="n">
        <v>0</v>
      </c>
      <c r="AN6618" t="n">
        <v>0</v>
      </c>
      <c r="AO6618" t="n">
        <v>0</v>
      </c>
      <c r="AP6618" t="inlineStr"/>
      <c r="AQ6618" t="inlineStr"/>
    </row>
    <row r="6619">
      <c r="A6619" t="inlineStr">
        <is>
          <t>MYKONOS</t>
        </is>
      </c>
      <c r="B6619" s="2">
        <f>"3475932544552"</f>
        <v/>
      </c>
      <c r="C6619" t="inlineStr">
        <is>
          <t>MYKONOS Sparkling Rose Extrait De Parfum 15ml</t>
        </is>
      </c>
      <c r="D6619" t="inlineStr">
        <is>
          <t>Miss Glam Damar</t>
        </is>
      </c>
      <c r="E6619" t="n">
        <v>0</v>
      </c>
      <c r="F6619" t="n">
        <v>0.2457</v>
      </c>
      <c r="G6619" t="n">
        <v>1.82</v>
      </c>
      <c r="H6619" t="n">
        <v>1</v>
      </c>
      <c r="I6619" t="n">
        <v>2</v>
      </c>
      <c r="J6619" t="n">
        <v>3</v>
      </c>
      <c r="K6619" t="n">
        <v>24</v>
      </c>
      <c r="L6619" t="n">
        <v>56027</v>
      </c>
      <c r="M6619" t="n">
        <v>67000</v>
      </c>
      <c r="N6619" t="n">
        <v>91</v>
      </c>
      <c r="O6619" t="n">
        <v>0.91</v>
      </c>
      <c r="P6619" t="n">
        <v>1</v>
      </c>
      <c r="Q6619" t="n">
        <v>0.02</v>
      </c>
      <c r="R6619" t="n">
        <v>1</v>
      </c>
      <c r="S6619" t="n">
        <v>16461.9</v>
      </c>
      <c r="T6619" t="n">
        <v>4</v>
      </c>
      <c r="U6619" t="n">
        <v>5</v>
      </c>
      <c r="V6619" t="n">
        <v>30</v>
      </c>
      <c r="W6619" t="n">
        <v>8</v>
      </c>
      <c r="X6619" t="n">
        <v>0</v>
      </c>
      <c r="Y6619" t="n">
        <v>1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inlineStr"/>
      <c r="AG6619" t="inlineStr"/>
      <c r="AH6619" t="inlineStr"/>
      <c r="AI6619" t="n">
        <v>0</v>
      </c>
      <c r="AJ6619" t="inlineStr"/>
      <c r="AK6619" t="n">
        <v>0</v>
      </c>
      <c r="AL6619" t="inlineStr"/>
      <c r="AM6619" t="n">
        <v>0</v>
      </c>
      <c r="AN6619" t="n">
        <v>0</v>
      </c>
      <c r="AO6619" t="n">
        <v>0</v>
      </c>
      <c r="AP6619" t="inlineStr"/>
      <c r="AQ6619" t="inlineStr"/>
    </row>
    <row r="6620">
      <c r="A6620" t="inlineStr">
        <is>
          <t>MYKONOS</t>
        </is>
      </c>
      <c r="B6620" s="2">
        <f>"3475932544699"</f>
        <v/>
      </c>
      <c r="C6620" t="inlineStr">
        <is>
          <t>MYKONOS Tea Poetry 15ml</t>
        </is>
      </c>
      <c r="D6620" t="inlineStr">
        <is>
          <t>Miss Glam Damar</t>
        </is>
      </c>
      <c r="E6620" t="n">
        <v>3</v>
      </c>
      <c r="F6620" t="n">
        <v>0.05</v>
      </c>
      <c r="G6620" t="n">
        <v>1</v>
      </c>
      <c r="H6620" t="n">
        <v>1</v>
      </c>
      <c r="I6620" t="n">
        <v>2</v>
      </c>
      <c r="J6620" t="n">
        <v>3</v>
      </c>
      <c r="K6620" t="n">
        <v>0</v>
      </c>
      <c r="L6620" t="n">
        <v>56064</v>
      </c>
      <c r="M6620" t="n">
        <v>66500</v>
      </c>
      <c r="N6620" t="n">
        <v>91</v>
      </c>
      <c r="O6620" t="n">
        <v>0.91</v>
      </c>
      <c r="P6620" t="n">
        <v>0</v>
      </c>
      <c r="Q6620" t="n">
        <v>0.05</v>
      </c>
      <c r="R6620" t="n">
        <v>1</v>
      </c>
      <c r="S6620" t="n">
        <v>3325</v>
      </c>
      <c r="T6620" t="n">
        <v>2</v>
      </c>
      <c r="U6620" t="n">
        <v>3</v>
      </c>
      <c r="V6620" t="n">
        <v>30</v>
      </c>
      <c r="W6620" t="n">
        <v>2</v>
      </c>
      <c r="X6620" t="n">
        <v>60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inlineStr"/>
      <c r="AG6620" t="inlineStr"/>
      <c r="AH6620" t="inlineStr"/>
      <c r="AI6620" t="n">
        <v>0</v>
      </c>
      <c r="AJ6620" t="inlineStr"/>
      <c r="AK6620" t="n">
        <v>0</v>
      </c>
      <c r="AL6620" t="inlineStr"/>
      <c r="AM6620" t="n">
        <v>0</v>
      </c>
      <c r="AN6620" t="n">
        <v>0</v>
      </c>
      <c r="AO6620" t="n">
        <v>0</v>
      </c>
      <c r="AP6620" t="inlineStr"/>
      <c r="AQ6620" t="inlineStr"/>
    </row>
    <row r="6621">
      <c r="A6621" t="inlineStr">
        <is>
          <t>MYKONOS</t>
        </is>
      </c>
      <c r="B6621" s="2">
        <f>"30400196940"</f>
        <v/>
      </c>
      <c r="C6621" t="inlineStr">
        <is>
          <t>MYKONOS x Jumbo Memoir Of Meri 50ml</t>
        </is>
      </c>
      <c r="D6621" t="inlineStr">
        <is>
          <t>Miss Glam Damar</t>
        </is>
      </c>
      <c r="E6621" t="n">
        <v>0</v>
      </c>
      <c r="F6621" t="n">
        <v>0.02</v>
      </c>
      <c r="G6621" t="n">
        <v>1</v>
      </c>
      <c r="H6621" t="n">
        <v>1</v>
      </c>
      <c r="I6621" t="n">
        <v>2</v>
      </c>
      <c r="J6621" t="n">
        <v>1</v>
      </c>
      <c r="K6621" t="n">
        <v>0</v>
      </c>
      <c r="L6621" t="n">
        <v>183816</v>
      </c>
      <c r="M6621" t="n">
        <v>239000</v>
      </c>
      <c r="N6621" t="n">
        <v>91</v>
      </c>
      <c r="O6621" t="n">
        <v>0.91</v>
      </c>
      <c r="P6621" t="n">
        <v>0</v>
      </c>
      <c r="Q6621" t="n">
        <v>0.02</v>
      </c>
      <c r="R6621" t="n">
        <v>1</v>
      </c>
      <c r="S6621" t="n">
        <v>4780</v>
      </c>
      <c r="T6621" t="n">
        <v>2</v>
      </c>
      <c r="U6621" t="n">
        <v>3</v>
      </c>
      <c r="V6621" t="n">
        <v>30</v>
      </c>
      <c r="W6621" t="n">
        <v>1</v>
      </c>
      <c r="X6621" t="n">
        <v>0</v>
      </c>
      <c r="Y6621" t="n">
        <v>1</v>
      </c>
      <c r="Z6621" t="n">
        <v>1</v>
      </c>
      <c r="AA6621" t="n">
        <v>1</v>
      </c>
      <c r="AB6621" t="n">
        <v>0</v>
      </c>
      <c r="AC6621" t="n">
        <v>0</v>
      </c>
      <c r="AD6621" t="n">
        <v>183816</v>
      </c>
      <c r="AE6621" t="n">
        <v>0</v>
      </c>
      <c r="AF6621" t="inlineStr"/>
      <c r="AG6621" t="inlineStr"/>
      <c r="AH6621" t="inlineStr"/>
      <c r="AI6621" t="n">
        <v>0</v>
      </c>
      <c r="AJ6621" t="inlineStr"/>
      <c r="AK6621" t="n">
        <v>0</v>
      </c>
      <c r="AL6621" t="inlineStr"/>
      <c r="AM6621" t="n">
        <v>0</v>
      </c>
      <c r="AN6621" t="n">
        <v>0</v>
      </c>
      <c r="AO6621" t="n">
        <v>0</v>
      </c>
      <c r="AP6621" t="inlineStr"/>
      <c r="AQ6621" t="inlineStr"/>
    </row>
    <row r="6622">
      <c r="A6622" t="inlineStr">
        <is>
          <t>MYKONOS</t>
        </is>
      </c>
      <c r="B6622" s="2">
        <f>"30400197057"</f>
        <v/>
      </c>
      <c r="C6622" t="inlineStr">
        <is>
          <t>MYKONOS x Jumbo Once Upon Don 50ml</t>
        </is>
      </c>
      <c r="D6622" t="inlineStr">
        <is>
          <t>Miss Glam Damar</t>
        </is>
      </c>
      <c r="E6622" t="n">
        <v>2</v>
      </c>
      <c r="F6622" t="n">
        <v>0.02</v>
      </c>
      <c r="G6622" t="n">
        <v>1</v>
      </c>
      <c r="H6622" t="n">
        <v>1</v>
      </c>
      <c r="I6622" t="n">
        <v>2</v>
      </c>
      <c r="J6622" t="n">
        <v>1</v>
      </c>
      <c r="K6622" t="n">
        <v>0</v>
      </c>
      <c r="L6622" t="n">
        <v>183816</v>
      </c>
      <c r="M6622" t="n">
        <v>239000</v>
      </c>
      <c r="N6622" t="n">
        <v>91</v>
      </c>
      <c r="O6622" t="n">
        <v>0.91</v>
      </c>
      <c r="P6622" t="n">
        <v>0</v>
      </c>
      <c r="Q6622" t="n">
        <v>0.02</v>
      </c>
      <c r="R6622" t="n">
        <v>1</v>
      </c>
      <c r="S6622" t="n">
        <v>4780</v>
      </c>
      <c r="T6622" t="n">
        <v>2</v>
      </c>
      <c r="U6622" t="n">
        <v>3</v>
      </c>
      <c r="V6622" t="n">
        <v>30</v>
      </c>
      <c r="W6622" t="n">
        <v>1</v>
      </c>
      <c r="X6622" t="n">
        <v>100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inlineStr"/>
      <c r="AG6622" t="inlineStr"/>
      <c r="AH6622" t="inlineStr"/>
      <c r="AI6622" t="n">
        <v>0</v>
      </c>
      <c r="AJ6622" t="inlineStr"/>
      <c r="AK6622" t="n">
        <v>0</v>
      </c>
      <c r="AL6622" t="inlineStr"/>
      <c r="AM6622" t="n">
        <v>0</v>
      </c>
      <c r="AN6622" t="n">
        <v>0</v>
      </c>
      <c r="AO6622" t="n">
        <v>0</v>
      </c>
      <c r="AP6622" t="inlineStr"/>
      <c r="AQ6622" t="inlineStr"/>
    </row>
    <row r="6623">
      <c r="A6623" t="inlineStr">
        <is>
          <t>MYKONOS</t>
        </is>
      </c>
      <c r="B6623" s="2">
        <f>"30400190252"</f>
        <v/>
      </c>
      <c r="C6623" t="inlineStr">
        <is>
          <t>MYKONOS X SAPEYEEE Chai Crema Latte 50 ml</t>
        </is>
      </c>
      <c r="D6623" t="inlineStr">
        <is>
          <t>Miss Glam Damar</t>
        </is>
      </c>
      <c r="E6623" t="n">
        <v>2</v>
      </c>
      <c r="F6623" t="n">
        <v>0.02</v>
      </c>
      <c r="G6623" t="n">
        <v>1</v>
      </c>
      <c r="H6623" t="n">
        <v>1</v>
      </c>
      <c r="I6623" t="n">
        <v>2</v>
      </c>
      <c r="J6623" t="n">
        <v>1</v>
      </c>
      <c r="K6623" t="n">
        <v>0</v>
      </c>
      <c r="L6623" t="n">
        <v>151739</v>
      </c>
      <c r="M6623" t="n">
        <v>215000</v>
      </c>
      <c r="N6623" t="n">
        <v>91</v>
      </c>
      <c r="O6623" t="n">
        <v>0.91</v>
      </c>
      <c r="P6623" t="n">
        <v>0</v>
      </c>
      <c r="Q6623" t="n">
        <v>0.02</v>
      </c>
      <c r="R6623" t="n">
        <v>1</v>
      </c>
      <c r="S6623" t="n">
        <v>4300</v>
      </c>
      <c r="T6623" t="n">
        <v>2</v>
      </c>
      <c r="U6623" t="n">
        <v>3</v>
      </c>
      <c r="V6623" t="n">
        <v>30</v>
      </c>
      <c r="W6623" t="n">
        <v>1</v>
      </c>
      <c r="X6623" t="n">
        <v>100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inlineStr"/>
      <c r="AG6623" t="inlineStr"/>
      <c r="AH6623" t="inlineStr"/>
      <c r="AI6623" t="n">
        <v>0</v>
      </c>
      <c r="AJ6623" t="inlineStr"/>
      <c r="AK6623" t="n">
        <v>0</v>
      </c>
      <c r="AL6623" t="inlineStr"/>
      <c r="AM6623" t="n">
        <v>0</v>
      </c>
      <c r="AN6623" t="n">
        <v>0</v>
      </c>
      <c r="AO6623" t="n">
        <v>0</v>
      </c>
      <c r="AP6623" t="inlineStr"/>
      <c r="AQ6623" t="inlineStr"/>
    </row>
    <row r="6624">
      <c r="A6624" t="inlineStr">
        <is>
          <t>NARA</t>
        </is>
      </c>
      <c r="B6624" s="2">
        <f>"20001010"</f>
        <v/>
      </c>
      <c r="C6624" t="inlineStr">
        <is>
          <t>NARA Profesional Hair Cool Spa Mask 500gr</t>
        </is>
      </c>
      <c r="D6624" t="inlineStr">
        <is>
          <t>Miss Glam Damar</t>
        </is>
      </c>
      <c r="E6624" t="n">
        <v>0</v>
      </c>
      <c r="F6624" t="n">
        <v>0.02</v>
      </c>
      <c r="G6624" t="n">
        <v>1</v>
      </c>
      <c r="H6624" t="n">
        <v>1</v>
      </c>
      <c r="I6624" t="n">
        <v>2</v>
      </c>
      <c r="J6624" t="n">
        <v>3</v>
      </c>
      <c r="K6624" t="n">
        <v>0</v>
      </c>
      <c r="L6624" t="n">
        <v>50807</v>
      </c>
      <c r="M6624" t="n">
        <v>82000</v>
      </c>
      <c r="N6624" t="n">
        <v>91</v>
      </c>
      <c r="O6624" t="n">
        <v>0.91</v>
      </c>
      <c r="P6624" t="n">
        <v>0</v>
      </c>
      <c r="Q6624" t="n">
        <v>0.02</v>
      </c>
      <c r="R6624" t="n">
        <v>1</v>
      </c>
      <c r="S6624" t="n">
        <v>1640</v>
      </c>
      <c r="T6624" t="n">
        <v>2</v>
      </c>
      <c r="U6624" t="n">
        <v>3</v>
      </c>
      <c r="V6624" t="n">
        <v>30</v>
      </c>
      <c r="W6624" t="n">
        <v>1</v>
      </c>
      <c r="X6624" t="n">
        <v>0</v>
      </c>
      <c r="Y6624" t="n">
        <v>1</v>
      </c>
      <c r="Z6624" t="n">
        <v>1</v>
      </c>
      <c r="AA6624" t="n">
        <v>1</v>
      </c>
      <c r="AB6624" t="n">
        <v>0</v>
      </c>
      <c r="AC6624" t="n">
        <v>0</v>
      </c>
      <c r="AD6624" t="n">
        <v>50807</v>
      </c>
      <c r="AE6624" t="n">
        <v>0</v>
      </c>
      <c r="AF6624" t="inlineStr"/>
      <c r="AG6624" t="inlineStr"/>
      <c r="AH6624" t="inlineStr"/>
      <c r="AI6624" t="n">
        <v>0</v>
      </c>
      <c r="AJ6624" t="inlineStr"/>
      <c r="AK6624" t="n">
        <v>0</v>
      </c>
      <c r="AL6624" t="inlineStr"/>
      <c r="AM6624" t="n">
        <v>0</v>
      </c>
      <c r="AN6624" t="n">
        <v>0</v>
      </c>
      <c r="AO6624" t="n">
        <v>0</v>
      </c>
      <c r="AP6624" t="inlineStr"/>
      <c r="AQ6624" t="inlineStr"/>
    </row>
    <row r="6625">
      <c r="A6625" t="inlineStr">
        <is>
          <t>PINKROULETTE</t>
        </is>
      </c>
      <c r="B6625" s="2">
        <f>"10500534122"</f>
        <v/>
      </c>
      <c r="C6625" t="inlineStr">
        <is>
          <t>PINKROULETTE Face Mask Chicago With Strawberry Whitening &amp; Brightening 60gr</t>
        </is>
      </c>
      <c r="D6625" t="inlineStr">
        <is>
          <t>Miss Glam Damar</t>
        </is>
      </c>
      <c r="E6625" t="n">
        <v>2</v>
      </c>
      <c r="F6625" t="n">
        <v>0.02</v>
      </c>
      <c r="G6625" t="n">
        <v>1</v>
      </c>
      <c r="H6625" t="n">
        <v>1</v>
      </c>
      <c r="I6625" t="n">
        <v>2</v>
      </c>
      <c r="J6625" t="n">
        <v>3</v>
      </c>
      <c r="K6625" t="n">
        <v>0</v>
      </c>
      <c r="L6625" t="n">
        <v>34999</v>
      </c>
      <c r="M6625" t="n">
        <v>50000</v>
      </c>
      <c r="N6625" t="n">
        <v>91</v>
      </c>
      <c r="O6625" t="n">
        <v>0.91</v>
      </c>
      <c r="P6625" t="n">
        <v>0</v>
      </c>
      <c r="Q6625" t="n">
        <v>0.02</v>
      </c>
      <c r="R6625" t="n">
        <v>1</v>
      </c>
      <c r="S6625" t="n">
        <v>1000</v>
      </c>
      <c r="T6625" t="n">
        <v>2</v>
      </c>
      <c r="U6625" t="n">
        <v>3</v>
      </c>
      <c r="V6625" t="n">
        <v>30</v>
      </c>
      <c r="W6625" t="n">
        <v>1</v>
      </c>
      <c r="X6625" t="n">
        <v>100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inlineStr"/>
      <c r="AG6625" t="inlineStr"/>
      <c r="AH6625" t="inlineStr"/>
      <c r="AI6625" t="n">
        <v>0</v>
      </c>
      <c r="AJ6625" t="inlineStr"/>
      <c r="AK6625" t="n">
        <v>0</v>
      </c>
      <c r="AL6625" t="inlineStr"/>
      <c r="AM6625" t="n">
        <v>0</v>
      </c>
      <c r="AN6625" t="n">
        <v>0</v>
      </c>
      <c r="AO6625" t="n">
        <v>0</v>
      </c>
      <c r="AP6625" t="inlineStr"/>
      <c r="AQ6625" t="inlineStr"/>
    </row>
    <row r="6626">
      <c r="A6626" t="inlineStr">
        <is>
          <t>PINKROULETTE</t>
        </is>
      </c>
      <c r="B6626" s="2">
        <f>"10500580749"</f>
        <v/>
      </c>
      <c r="C6626" t="inlineStr">
        <is>
          <t>PINKROULETTE Wash Off Mask Beverly Milk With Marine Collagen 60gr</t>
        </is>
      </c>
      <c r="D6626" t="inlineStr">
        <is>
          <t>Miss Glam Damar</t>
        </is>
      </c>
      <c r="E6626" t="n">
        <v>0</v>
      </c>
      <c r="F6626" t="n">
        <v>0.09100000000000001</v>
      </c>
      <c r="G6626" t="n">
        <v>0.91</v>
      </c>
      <c r="H6626" t="n">
        <v>1</v>
      </c>
      <c r="I6626" t="n">
        <v>2</v>
      </c>
      <c r="J6626" t="n">
        <v>3</v>
      </c>
      <c r="K6626" t="n">
        <v>0</v>
      </c>
      <c r="L6626" t="n">
        <v>41172</v>
      </c>
      <c r="M6626" t="n">
        <v>51500</v>
      </c>
      <c r="N6626" t="n">
        <v>91</v>
      </c>
      <c r="O6626" t="n">
        <v>0.91</v>
      </c>
      <c r="P6626" t="n">
        <v>1</v>
      </c>
      <c r="Q6626" t="n">
        <v>0.05</v>
      </c>
      <c r="R6626" t="n">
        <v>1</v>
      </c>
      <c r="S6626" t="n">
        <v>4686.500000000001</v>
      </c>
      <c r="T6626" t="n">
        <v>2</v>
      </c>
      <c r="U6626" t="n">
        <v>3</v>
      </c>
      <c r="V6626" t="n">
        <v>30</v>
      </c>
      <c r="W6626" t="n">
        <v>3</v>
      </c>
      <c r="X6626" t="n">
        <v>0</v>
      </c>
      <c r="Y6626" t="n">
        <v>1</v>
      </c>
      <c r="Z6626" t="n">
        <v>3</v>
      </c>
      <c r="AA6626" t="n">
        <v>1</v>
      </c>
      <c r="AB6626" t="n">
        <v>2</v>
      </c>
      <c r="AC6626" t="n">
        <v>3</v>
      </c>
      <c r="AD6626" t="n">
        <v>41172</v>
      </c>
      <c r="AE6626" t="n">
        <v>123516</v>
      </c>
      <c r="AF6626" t="inlineStr"/>
      <c r="AG6626" t="inlineStr"/>
      <c r="AH6626" t="inlineStr"/>
      <c r="AI6626" t="n">
        <v>0</v>
      </c>
      <c r="AJ6626" t="inlineStr"/>
      <c r="AK6626" t="n">
        <v>0</v>
      </c>
      <c r="AL6626" t="inlineStr"/>
      <c r="AM6626" t="n">
        <v>0</v>
      </c>
      <c r="AN6626" t="n">
        <v>0</v>
      </c>
      <c r="AO6626" t="n">
        <v>0</v>
      </c>
      <c r="AP6626" t="inlineStr"/>
      <c r="AQ6626" t="inlineStr"/>
    </row>
    <row r="6627">
      <c r="A6627" t="inlineStr">
        <is>
          <t>PINKROULETTE</t>
        </is>
      </c>
      <c r="B6627" s="2">
        <f>"10500581945"</f>
        <v/>
      </c>
      <c r="C6627" t="inlineStr">
        <is>
          <t>PINKROULETTE Wash Off Mask Coffee With Centella Asiatica Dubai 60gr</t>
        </is>
      </c>
      <c r="D6627" t="inlineStr">
        <is>
          <t>Miss Glam Damar</t>
        </is>
      </c>
      <c r="E6627" t="n">
        <v>0</v>
      </c>
      <c r="F6627" t="n">
        <v>0.03</v>
      </c>
      <c r="G6627" t="n">
        <v>1</v>
      </c>
      <c r="H6627" t="n">
        <v>1</v>
      </c>
      <c r="I6627" t="n">
        <v>2</v>
      </c>
      <c r="J6627" t="n">
        <v>3</v>
      </c>
      <c r="K6627" t="n">
        <v>0</v>
      </c>
      <c r="L6627" t="n">
        <v>35000</v>
      </c>
      <c r="M6627" t="n">
        <v>50000</v>
      </c>
      <c r="N6627" t="n">
        <v>91</v>
      </c>
      <c r="O6627" t="n">
        <v>0.91</v>
      </c>
      <c r="P6627" t="n">
        <v>0</v>
      </c>
      <c r="Q6627" t="n">
        <v>0.03</v>
      </c>
      <c r="R6627" t="n">
        <v>1</v>
      </c>
      <c r="S6627" t="n">
        <v>1500</v>
      </c>
      <c r="T6627" t="n">
        <v>2</v>
      </c>
      <c r="U6627" t="n">
        <v>3</v>
      </c>
      <c r="V6627" t="n">
        <v>30</v>
      </c>
      <c r="W6627" t="n">
        <v>1</v>
      </c>
      <c r="X6627" t="n">
        <v>0</v>
      </c>
      <c r="Y6627" t="n">
        <v>1</v>
      </c>
      <c r="Z6627" t="n">
        <v>1</v>
      </c>
      <c r="AA6627" t="n">
        <v>1</v>
      </c>
      <c r="AB6627" t="n">
        <v>0</v>
      </c>
      <c r="AC6627" t="n">
        <v>0</v>
      </c>
      <c r="AD6627" t="n">
        <v>35000</v>
      </c>
      <c r="AE6627" t="n">
        <v>0</v>
      </c>
      <c r="AF6627" t="inlineStr"/>
      <c r="AG6627" t="inlineStr"/>
      <c r="AH6627" t="inlineStr"/>
      <c r="AI6627" t="n">
        <v>0</v>
      </c>
      <c r="AJ6627" t="inlineStr"/>
      <c r="AK6627" t="n">
        <v>0</v>
      </c>
      <c r="AL6627" t="inlineStr"/>
      <c r="AM6627" t="n">
        <v>0</v>
      </c>
      <c r="AN6627" t="n">
        <v>0</v>
      </c>
      <c r="AO6627" t="n">
        <v>0</v>
      </c>
      <c r="AP6627" t="inlineStr"/>
      <c r="AQ6627" t="inlineStr"/>
    </row>
    <row r="6628">
      <c r="A6628" t="inlineStr">
        <is>
          <t>ROSE ALL DAY</t>
        </is>
      </c>
      <c r="B6628" s="2">
        <f>"20200467150"</f>
        <v/>
      </c>
      <c r="C6628" t="inlineStr">
        <is>
          <t>ROSE ALL DAY Brow fix Micro Pencil Dark Brown 0.3gr</t>
        </is>
      </c>
      <c r="D6628" t="inlineStr">
        <is>
          <t>Miss Glam Damar</t>
        </is>
      </c>
      <c r="E6628" t="n">
        <v>4</v>
      </c>
      <c r="F6628" t="n">
        <v>0.03</v>
      </c>
      <c r="G6628" t="n">
        <v>2</v>
      </c>
      <c r="H6628" t="n">
        <v>1</v>
      </c>
      <c r="I6628" t="n">
        <v>2</v>
      </c>
      <c r="J6628" t="n">
        <v>1</v>
      </c>
      <c r="K6628" t="n">
        <v>0</v>
      </c>
      <c r="L6628" t="n">
        <v>79200</v>
      </c>
      <c r="M6628" t="n">
        <v>99000</v>
      </c>
      <c r="N6628" t="n">
        <v>91</v>
      </c>
      <c r="O6628" t="n">
        <v>0.91</v>
      </c>
      <c r="P6628" t="n">
        <v>0</v>
      </c>
      <c r="Q6628" t="n">
        <v>0.03</v>
      </c>
      <c r="R6628" t="n">
        <v>2</v>
      </c>
      <c r="S6628" t="n">
        <v>2970</v>
      </c>
      <c r="T6628" t="n">
        <v>4</v>
      </c>
      <c r="U6628" t="n">
        <v>5</v>
      </c>
      <c r="V6628" t="n">
        <v>30</v>
      </c>
      <c r="W6628" t="n">
        <v>1</v>
      </c>
      <c r="X6628" t="n">
        <v>133.3333333333333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inlineStr"/>
      <c r="AG6628" t="inlineStr"/>
      <c r="AH6628" t="inlineStr"/>
      <c r="AI6628" t="n">
        <v>0</v>
      </c>
      <c r="AJ6628" t="inlineStr"/>
      <c r="AK6628" t="n">
        <v>0</v>
      </c>
      <c r="AL6628" t="inlineStr"/>
      <c r="AM6628" t="n">
        <v>0</v>
      </c>
      <c r="AN6628" t="n">
        <v>0</v>
      </c>
      <c r="AO6628" t="n">
        <v>0</v>
      </c>
      <c r="AP6628" t="inlineStr"/>
      <c r="AQ6628" t="inlineStr"/>
    </row>
    <row r="6629">
      <c r="A6629" t="inlineStr">
        <is>
          <t>ROSE ALL DAY</t>
        </is>
      </c>
      <c r="B6629" s="2">
        <f>"20100963747"</f>
        <v/>
      </c>
      <c r="C6629" t="inlineStr">
        <is>
          <t>ROSE ALL DAY Cheeky Flush Liquid Blush Ma Cherie 3.5gr</t>
        </is>
      </c>
      <c r="D6629" t="inlineStr">
        <is>
          <t>Miss Glam Damar</t>
        </is>
      </c>
      <c r="E6629" t="n">
        <v>0</v>
      </c>
      <c r="F6629" t="n">
        <v>0.02</v>
      </c>
      <c r="G6629" t="n">
        <v>1</v>
      </c>
      <c r="H6629" t="n">
        <v>1</v>
      </c>
      <c r="I6629" t="n">
        <v>2</v>
      </c>
      <c r="J6629" t="n">
        <v>1</v>
      </c>
      <c r="K6629" t="n">
        <v>0</v>
      </c>
      <c r="L6629" t="n">
        <v>79200</v>
      </c>
      <c r="M6629" t="n">
        <v>99000</v>
      </c>
      <c r="N6629" t="n">
        <v>91</v>
      </c>
      <c r="O6629" t="n">
        <v>0.91</v>
      </c>
      <c r="P6629" t="n">
        <v>0</v>
      </c>
      <c r="Q6629" t="n">
        <v>0.02</v>
      </c>
      <c r="R6629" t="n">
        <v>1</v>
      </c>
      <c r="S6629" t="n">
        <v>1980</v>
      </c>
      <c r="T6629" t="n">
        <v>2</v>
      </c>
      <c r="U6629" t="n">
        <v>3</v>
      </c>
      <c r="V6629" t="n">
        <v>30</v>
      </c>
      <c r="W6629" t="n">
        <v>1</v>
      </c>
      <c r="X6629" t="n">
        <v>0</v>
      </c>
      <c r="Y6629" t="n">
        <v>1</v>
      </c>
      <c r="Z6629" t="n">
        <v>1</v>
      </c>
      <c r="AA6629" t="n">
        <v>1</v>
      </c>
      <c r="AB6629" t="n">
        <v>0</v>
      </c>
      <c r="AC6629" t="n">
        <v>0</v>
      </c>
      <c r="AD6629" t="n">
        <v>79200</v>
      </c>
      <c r="AE6629" t="n">
        <v>0</v>
      </c>
      <c r="AF6629" t="inlineStr"/>
      <c r="AG6629" t="inlineStr"/>
      <c r="AH6629" t="inlineStr"/>
      <c r="AI6629" t="n">
        <v>0</v>
      </c>
      <c r="AJ6629" t="inlineStr"/>
      <c r="AK6629" t="n">
        <v>0</v>
      </c>
      <c r="AL6629" t="inlineStr"/>
      <c r="AM6629" t="n">
        <v>0</v>
      </c>
      <c r="AN6629" t="n">
        <v>0</v>
      </c>
      <c r="AO6629" t="n">
        <v>0</v>
      </c>
      <c r="AP6629" t="inlineStr"/>
      <c r="AQ6629" t="inlineStr"/>
    </row>
    <row r="6630">
      <c r="A6630" t="inlineStr">
        <is>
          <t>ROSE ALL DAY</t>
        </is>
      </c>
      <c r="B6630" s="2">
        <f>"20100963815"</f>
        <v/>
      </c>
      <c r="C6630" t="inlineStr">
        <is>
          <t>ROSE ALL DAY Cheeky Flush Liquid Blush Summer Crush 3.5gr</t>
        </is>
      </c>
      <c r="D6630" t="inlineStr">
        <is>
          <t>Miss Glam Damar</t>
        </is>
      </c>
      <c r="E6630" t="n">
        <v>1</v>
      </c>
      <c r="F6630" t="n">
        <v>0.02</v>
      </c>
      <c r="G6630" t="n">
        <v>1</v>
      </c>
      <c r="H6630" t="n">
        <v>1</v>
      </c>
      <c r="I6630" t="n">
        <v>2</v>
      </c>
      <c r="J6630" t="n">
        <v>1</v>
      </c>
      <c r="K6630" t="n">
        <v>0</v>
      </c>
      <c r="L6630" t="n">
        <v>79200</v>
      </c>
      <c r="M6630" t="n">
        <v>99000</v>
      </c>
      <c r="N6630" t="n">
        <v>91</v>
      </c>
      <c r="O6630" t="n">
        <v>0.91</v>
      </c>
      <c r="P6630" t="n">
        <v>0</v>
      </c>
      <c r="Q6630" t="n">
        <v>0.02</v>
      </c>
      <c r="R6630" t="n">
        <v>1</v>
      </c>
      <c r="S6630" t="n">
        <v>1980</v>
      </c>
      <c r="T6630" t="n">
        <v>2</v>
      </c>
      <c r="U6630" t="n">
        <v>3</v>
      </c>
      <c r="V6630" t="n">
        <v>30</v>
      </c>
      <c r="W6630" t="n">
        <v>1</v>
      </c>
      <c r="X6630" t="n">
        <v>50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inlineStr"/>
      <c r="AG6630" t="inlineStr"/>
      <c r="AH6630" t="inlineStr"/>
      <c r="AI6630" t="n">
        <v>0</v>
      </c>
      <c r="AJ6630" t="inlineStr"/>
      <c r="AK6630" t="n">
        <v>0</v>
      </c>
      <c r="AL6630" t="inlineStr"/>
      <c r="AM6630" t="n">
        <v>0</v>
      </c>
      <c r="AN6630" t="n">
        <v>0</v>
      </c>
      <c r="AO6630" t="n">
        <v>0</v>
      </c>
      <c r="AP6630" t="inlineStr"/>
      <c r="AQ6630" t="inlineStr"/>
    </row>
    <row r="6631">
      <c r="A6631" t="inlineStr">
        <is>
          <t>ROSE ALL DAY</t>
        </is>
      </c>
      <c r="B6631" s="2">
        <f>"20300445648"</f>
        <v/>
      </c>
      <c r="C6631" t="inlineStr">
        <is>
          <t>ROSE ALL DAY Frosty Coat Lip Oil Watermelon Glaze 3gr</t>
        </is>
      </c>
      <c r="D6631" t="inlineStr">
        <is>
          <t>Miss Glam Damar</t>
        </is>
      </c>
      <c r="E6631" t="n">
        <v>3</v>
      </c>
      <c r="F6631" t="n">
        <v>0.02</v>
      </c>
      <c r="G6631" t="n">
        <v>1</v>
      </c>
      <c r="H6631" t="n">
        <v>1</v>
      </c>
      <c r="I6631" t="n">
        <v>2</v>
      </c>
      <c r="J6631" t="n">
        <v>1</v>
      </c>
      <c r="K6631" t="n">
        <v>0</v>
      </c>
      <c r="L6631" t="n">
        <v>79200</v>
      </c>
      <c r="M6631" t="n">
        <v>99000</v>
      </c>
      <c r="N6631" t="n">
        <v>91</v>
      </c>
      <c r="O6631" t="n">
        <v>0.91</v>
      </c>
      <c r="P6631" t="n">
        <v>0</v>
      </c>
      <c r="Q6631" t="n">
        <v>0.02</v>
      </c>
      <c r="R6631" t="n">
        <v>1</v>
      </c>
      <c r="S6631" t="n">
        <v>1980</v>
      </c>
      <c r="T6631" t="n">
        <v>2</v>
      </c>
      <c r="U6631" t="n">
        <v>3</v>
      </c>
      <c r="V6631" t="n">
        <v>30</v>
      </c>
      <c r="W6631" t="n">
        <v>1</v>
      </c>
      <c r="X6631" t="n">
        <v>150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inlineStr"/>
      <c r="AG6631" t="inlineStr"/>
      <c r="AH6631" t="inlineStr"/>
      <c r="AI6631" t="n">
        <v>0</v>
      </c>
      <c r="AJ6631" t="inlineStr"/>
      <c r="AK6631" t="n">
        <v>0</v>
      </c>
      <c r="AL6631" t="inlineStr"/>
      <c r="AM6631" t="n">
        <v>0</v>
      </c>
      <c r="AN6631" t="n">
        <v>0</v>
      </c>
      <c r="AO6631" t="n">
        <v>0</v>
      </c>
      <c r="AP6631" t="inlineStr"/>
      <c r="AQ6631" t="inlineStr"/>
    </row>
    <row r="6632">
      <c r="A6632" t="inlineStr">
        <is>
          <t>ROSE ALL DAY</t>
        </is>
      </c>
      <c r="B6632" s="2">
        <f>"8997227082211"</f>
        <v/>
      </c>
      <c r="C6632" t="inlineStr">
        <is>
          <t>ROSE ALL DAY Lip Mousse Sugar The Powerpuff Girls Edition 2,5gr</t>
        </is>
      </c>
      <c r="D6632" t="inlineStr">
        <is>
          <t>Miss Glam Damar</t>
        </is>
      </c>
      <c r="E6632" t="n">
        <v>1</v>
      </c>
      <c r="F6632" t="n">
        <v>0.02</v>
      </c>
      <c r="G6632" t="n">
        <v>1</v>
      </c>
      <c r="H6632" t="n">
        <v>1</v>
      </c>
      <c r="I6632" t="n">
        <v>2</v>
      </c>
      <c r="J6632" t="n">
        <v>3</v>
      </c>
      <c r="K6632" t="n">
        <v>0</v>
      </c>
      <c r="L6632" t="n">
        <v>74250</v>
      </c>
      <c r="M6632" t="n">
        <v>99000</v>
      </c>
      <c r="N6632" t="n">
        <v>91</v>
      </c>
      <c r="O6632" t="n">
        <v>0.91</v>
      </c>
      <c r="P6632" t="n">
        <v>0</v>
      </c>
      <c r="Q6632" t="n">
        <v>0.02</v>
      </c>
      <c r="R6632" t="n">
        <v>1</v>
      </c>
      <c r="S6632" t="n">
        <v>1980</v>
      </c>
      <c r="T6632" t="n">
        <v>2</v>
      </c>
      <c r="U6632" t="n">
        <v>3</v>
      </c>
      <c r="V6632" t="n">
        <v>30</v>
      </c>
      <c r="W6632" t="n">
        <v>1</v>
      </c>
      <c r="X6632" t="n">
        <v>50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inlineStr"/>
      <c r="AG6632" t="inlineStr"/>
      <c r="AH6632" t="inlineStr"/>
      <c r="AI6632" t="n">
        <v>0</v>
      </c>
      <c r="AJ6632" t="inlineStr"/>
      <c r="AK6632" t="n">
        <v>0</v>
      </c>
      <c r="AL6632" t="inlineStr"/>
      <c r="AM6632" t="n">
        <v>0</v>
      </c>
      <c r="AN6632" t="n">
        <v>0</v>
      </c>
      <c r="AO6632" t="n">
        <v>0</v>
      </c>
      <c r="AP6632" t="inlineStr"/>
      <c r="AQ6632" t="inlineStr"/>
    </row>
    <row r="6633">
      <c r="A6633" t="inlineStr">
        <is>
          <t>ROSE ALL DAY</t>
        </is>
      </c>
      <c r="B6633" s="2">
        <f>"8997227082310"</f>
        <v/>
      </c>
      <c r="C6633" t="inlineStr">
        <is>
          <t>ROSE ALL DAY The Masterminal Eyeshadow Palette The Powerpuff Girls Edition 4,5gr</t>
        </is>
      </c>
      <c r="D6633" t="inlineStr">
        <is>
          <t>Miss Glam Damar</t>
        </is>
      </c>
      <c r="E6633" t="n">
        <v>1</v>
      </c>
      <c r="F6633" t="n">
        <v>0.02</v>
      </c>
      <c r="G6633" t="n">
        <v>1</v>
      </c>
      <c r="H6633" t="n">
        <v>1</v>
      </c>
      <c r="I6633" t="n">
        <v>2</v>
      </c>
      <c r="J6633" t="n">
        <v>3</v>
      </c>
      <c r="K6633" t="n">
        <v>0</v>
      </c>
      <c r="L6633" t="n">
        <v>74093</v>
      </c>
      <c r="M6633" t="n">
        <v>89000</v>
      </c>
      <c r="N6633" t="n">
        <v>91</v>
      </c>
      <c r="O6633" t="n">
        <v>0.91</v>
      </c>
      <c r="P6633" t="n">
        <v>0</v>
      </c>
      <c r="Q6633" t="n">
        <v>0.02</v>
      </c>
      <c r="R6633" t="n">
        <v>1</v>
      </c>
      <c r="S6633" t="n">
        <v>1780</v>
      </c>
      <c r="T6633" t="n">
        <v>2</v>
      </c>
      <c r="U6633" t="n">
        <v>3</v>
      </c>
      <c r="V6633" t="n">
        <v>30</v>
      </c>
      <c r="W6633" t="n">
        <v>1</v>
      </c>
      <c r="X6633" t="n">
        <v>50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inlineStr"/>
      <c r="AG6633" t="inlineStr"/>
      <c r="AH6633" t="inlineStr"/>
      <c r="AI6633" t="n">
        <v>0</v>
      </c>
      <c r="AJ6633" t="inlineStr"/>
      <c r="AK6633" t="n">
        <v>0</v>
      </c>
      <c r="AL6633" t="inlineStr"/>
      <c r="AM6633" t="n">
        <v>0</v>
      </c>
      <c r="AN6633" t="n">
        <v>0</v>
      </c>
      <c r="AO6633" t="n">
        <v>0</v>
      </c>
      <c r="AP6633" t="inlineStr"/>
      <c r="AQ6633" t="inlineStr"/>
    </row>
    <row r="6634">
      <c r="A6634" t="inlineStr">
        <is>
          <t>ROSE ALL DAY</t>
        </is>
      </c>
      <c r="B6634" s="2">
        <f>"8997227080934"</f>
        <v/>
      </c>
      <c r="C6634" t="inlineStr">
        <is>
          <t>ROSE ALL DAY Thunder Lash Lengthening Mascara Black 8g</t>
        </is>
      </c>
      <c r="D6634" t="inlineStr">
        <is>
          <t>Miss Glam Damar</t>
        </is>
      </c>
      <c r="E6634" t="n">
        <v>13</v>
      </c>
      <c r="F6634" t="n">
        <v>0.07000000000000001</v>
      </c>
      <c r="G6634" t="n">
        <v>1</v>
      </c>
      <c r="H6634" t="n">
        <v>1</v>
      </c>
      <c r="I6634" t="n">
        <v>2</v>
      </c>
      <c r="J6634" t="n">
        <v>3</v>
      </c>
      <c r="K6634" t="n">
        <v>0</v>
      </c>
      <c r="L6634" t="n">
        <v>103200</v>
      </c>
      <c r="M6634" t="n">
        <v>129000</v>
      </c>
      <c r="N6634" t="n">
        <v>91</v>
      </c>
      <c r="O6634" t="n">
        <v>0.91</v>
      </c>
      <c r="P6634" t="n">
        <v>0</v>
      </c>
      <c r="Q6634" t="n">
        <v>0.07000000000000001</v>
      </c>
      <c r="R6634" t="n">
        <v>1</v>
      </c>
      <c r="S6634" t="n">
        <v>9030</v>
      </c>
      <c r="T6634" t="n">
        <v>2</v>
      </c>
      <c r="U6634" t="n">
        <v>3</v>
      </c>
      <c r="V6634" t="n">
        <v>30</v>
      </c>
      <c r="W6634" t="n">
        <v>3</v>
      </c>
      <c r="X6634" t="n">
        <v>185.7142857142857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inlineStr"/>
      <c r="AG6634" t="inlineStr"/>
      <c r="AH6634" t="inlineStr"/>
      <c r="AI6634" t="n">
        <v>0</v>
      </c>
      <c r="AJ6634" t="inlineStr"/>
      <c r="AK6634" t="n">
        <v>0</v>
      </c>
      <c r="AL6634" t="inlineStr"/>
      <c r="AM6634" t="n">
        <v>0</v>
      </c>
      <c r="AN6634" t="n">
        <v>0</v>
      </c>
      <c r="AO6634" t="n">
        <v>0</v>
      </c>
      <c r="AP6634" t="inlineStr"/>
      <c r="AQ6634" t="inlineStr"/>
    </row>
    <row r="6635">
      <c r="A6635" t="inlineStr">
        <is>
          <t>SEBAMED</t>
        </is>
      </c>
      <c r="B6635" s="2">
        <f>"4103040135025"</f>
        <v/>
      </c>
      <c r="C6635" t="inlineStr">
        <is>
          <t>SEBAMED Clear Face AntiPimple Gel 10ml</t>
        </is>
      </c>
      <c r="D6635" t="inlineStr">
        <is>
          <t>Miss Glam Damar</t>
        </is>
      </c>
      <c r="E6635" t="n">
        <v>1</v>
      </c>
      <c r="F6635" t="n">
        <v>0.05</v>
      </c>
      <c r="G6635" t="n">
        <v>1</v>
      </c>
      <c r="H6635" t="n">
        <v>1</v>
      </c>
      <c r="I6635" t="n">
        <v>2</v>
      </c>
      <c r="J6635" t="n">
        <v>3</v>
      </c>
      <c r="K6635" t="n">
        <v>0</v>
      </c>
      <c r="L6635" t="n">
        <v>104000</v>
      </c>
      <c r="M6635" t="n">
        <v>130000</v>
      </c>
      <c r="N6635" t="n">
        <v>91</v>
      </c>
      <c r="O6635" t="n">
        <v>0.91</v>
      </c>
      <c r="P6635" t="n">
        <v>0</v>
      </c>
      <c r="Q6635" t="n">
        <v>0.05</v>
      </c>
      <c r="R6635" t="n">
        <v>1</v>
      </c>
      <c r="S6635" t="n">
        <v>6500</v>
      </c>
      <c r="T6635" t="n">
        <v>2</v>
      </c>
      <c r="U6635" t="n">
        <v>3</v>
      </c>
      <c r="V6635" t="n">
        <v>30</v>
      </c>
      <c r="W6635" t="n">
        <v>2</v>
      </c>
      <c r="X6635" t="n">
        <v>20</v>
      </c>
      <c r="Y6635" t="n">
        <v>1</v>
      </c>
      <c r="Z6635" t="n">
        <v>1</v>
      </c>
      <c r="AA6635" t="n">
        <v>0</v>
      </c>
      <c r="AB6635" t="n">
        <v>1</v>
      </c>
      <c r="AC6635" t="n">
        <v>3</v>
      </c>
      <c r="AD6635" t="n">
        <v>0</v>
      </c>
      <c r="AE6635" t="n">
        <v>312000</v>
      </c>
      <c r="AF6635" t="inlineStr"/>
      <c r="AG6635" t="inlineStr"/>
      <c r="AH6635" t="inlineStr"/>
      <c r="AI6635" t="n">
        <v>0</v>
      </c>
      <c r="AJ6635" t="inlineStr"/>
      <c r="AK6635" t="n">
        <v>0</v>
      </c>
      <c r="AL6635" t="inlineStr"/>
      <c r="AM6635" t="n">
        <v>0</v>
      </c>
      <c r="AN6635" t="n">
        <v>0</v>
      </c>
      <c r="AO6635" t="n">
        <v>0</v>
      </c>
      <c r="AP6635" t="inlineStr"/>
      <c r="AQ6635" t="inlineStr"/>
    </row>
    <row r="6636">
      <c r="A6636" t="inlineStr">
        <is>
          <t>SECRET GARDEN</t>
        </is>
      </c>
      <c r="B6636" s="2">
        <f>"30100167756"</f>
        <v/>
      </c>
      <c r="C6636" t="inlineStr">
        <is>
          <t>SECRET GARDEN Bath Bomb Mercury 100gr</t>
        </is>
      </c>
      <c r="D6636" t="inlineStr">
        <is>
          <t>Miss Glam Damar</t>
        </is>
      </c>
      <c r="E6636" t="n">
        <v>1</v>
      </c>
      <c r="F6636" t="n">
        <v>0.03</v>
      </c>
      <c r="G6636" t="n">
        <v>1</v>
      </c>
      <c r="H6636" t="n">
        <v>1</v>
      </c>
      <c r="I6636" t="n">
        <v>2</v>
      </c>
      <c r="J6636" t="n">
        <v>1</v>
      </c>
      <c r="K6636" t="n">
        <v>0</v>
      </c>
      <c r="L6636" t="n">
        <v>37161</v>
      </c>
      <c r="M6636" t="n">
        <v>44000</v>
      </c>
      <c r="N6636" t="n">
        <v>91</v>
      </c>
      <c r="O6636" t="n">
        <v>0.91</v>
      </c>
      <c r="P6636" t="n">
        <v>0</v>
      </c>
      <c r="Q6636" t="n">
        <v>0.03</v>
      </c>
      <c r="R6636" t="n">
        <v>1</v>
      </c>
      <c r="S6636" t="n">
        <v>1320</v>
      </c>
      <c r="T6636" t="n">
        <v>2</v>
      </c>
      <c r="U6636" t="n">
        <v>3</v>
      </c>
      <c r="V6636" t="n">
        <v>30</v>
      </c>
      <c r="W6636" t="n">
        <v>1</v>
      </c>
      <c r="X6636" t="n">
        <v>33.33333333333334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inlineStr"/>
      <c r="AG6636" t="inlineStr"/>
      <c r="AH6636" t="inlineStr"/>
      <c r="AI6636" t="n">
        <v>0</v>
      </c>
      <c r="AJ6636" t="inlineStr"/>
      <c r="AK6636" t="n">
        <v>0</v>
      </c>
      <c r="AL6636" t="inlineStr"/>
      <c r="AM6636" t="n">
        <v>0</v>
      </c>
      <c r="AN6636" t="n">
        <v>0</v>
      </c>
      <c r="AO6636" t="n">
        <v>0</v>
      </c>
      <c r="AP6636" t="inlineStr"/>
      <c r="AQ6636" t="inlineStr"/>
    </row>
    <row r="6637">
      <c r="A6637" t="inlineStr">
        <is>
          <t>SECRET GARDEN</t>
        </is>
      </c>
      <c r="B6637" s="2">
        <f>"30100167858"</f>
        <v/>
      </c>
      <c r="C6637" t="inlineStr">
        <is>
          <t>SECRET GARDEN Bath Bomb Venus 100gr</t>
        </is>
      </c>
      <c r="D6637" t="inlineStr">
        <is>
          <t>Miss Glam Damar</t>
        </is>
      </c>
      <c r="E6637" t="n">
        <v>0</v>
      </c>
      <c r="F6637" t="n">
        <v>0.04550000000000001</v>
      </c>
      <c r="G6637" t="n">
        <v>1.82</v>
      </c>
      <c r="H6637" t="n">
        <v>1</v>
      </c>
      <c r="I6637" t="n">
        <v>2</v>
      </c>
      <c r="J6637" t="n">
        <v>1</v>
      </c>
      <c r="K6637" t="n">
        <v>0</v>
      </c>
      <c r="L6637" t="n">
        <v>37161</v>
      </c>
      <c r="M6637" t="n">
        <v>44000</v>
      </c>
      <c r="N6637" t="n">
        <v>91</v>
      </c>
      <c r="O6637" t="n">
        <v>0.91</v>
      </c>
      <c r="P6637" t="n">
        <v>1</v>
      </c>
      <c r="Q6637" t="n">
        <v>0.08</v>
      </c>
      <c r="R6637" t="n">
        <v>2</v>
      </c>
      <c r="S6637" t="n">
        <v>2002</v>
      </c>
      <c r="T6637" t="n">
        <v>4</v>
      </c>
      <c r="U6637" t="n">
        <v>5</v>
      </c>
      <c r="V6637" t="n">
        <v>30</v>
      </c>
      <c r="W6637" t="n">
        <v>2</v>
      </c>
      <c r="X6637" t="n">
        <v>0</v>
      </c>
      <c r="Y6637" t="n">
        <v>1</v>
      </c>
      <c r="Z6637" t="n">
        <v>2</v>
      </c>
      <c r="AA6637" t="n">
        <v>1</v>
      </c>
      <c r="AB6637" t="n">
        <v>1</v>
      </c>
      <c r="AC6637" t="n">
        <v>1</v>
      </c>
      <c r="AD6637" t="n">
        <v>37161</v>
      </c>
      <c r="AE6637" t="n">
        <v>37161</v>
      </c>
      <c r="AF6637" t="inlineStr"/>
      <c r="AG6637" t="inlineStr"/>
      <c r="AH6637" t="inlineStr"/>
      <c r="AI6637" t="n">
        <v>0</v>
      </c>
      <c r="AJ6637" t="inlineStr"/>
      <c r="AK6637" t="n">
        <v>0</v>
      </c>
      <c r="AL6637" t="inlineStr"/>
      <c r="AM6637" t="n">
        <v>0</v>
      </c>
      <c r="AN6637" t="n">
        <v>0</v>
      </c>
      <c r="AO6637" t="n">
        <v>0</v>
      </c>
      <c r="AP6637" t="inlineStr"/>
      <c r="AQ6637" t="inlineStr"/>
    </row>
    <row r="6638">
      <c r="A6638" t="inlineStr">
        <is>
          <t>SECRET GARDEN</t>
        </is>
      </c>
      <c r="B6638" s="2">
        <f>"10100823719"</f>
        <v/>
      </c>
      <c r="C6638" t="inlineStr">
        <is>
          <t>SECRET GARDEN Exfoliating Loofah Soap Green Tea 100gr</t>
        </is>
      </c>
      <c r="D6638" t="inlineStr">
        <is>
          <t>Miss Glam Damar</t>
        </is>
      </c>
      <c r="E6638" t="n">
        <v>0</v>
      </c>
      <c r="F6638" t="n">
        <v>0.0182</v>
      </c>
      <c r="G6638" t="n">
        <v>0.91</v>
      </c>
      <c r="H6638" t="n">
        <v>1</v>
      </c>
      <c r="I6638" t="n">
        <v>2</v>
      </c>
      <c r="J6638" t="n">
        <v>1</v>
      </c>
      <c r="K6638" t="n">
        <v>0</v>
      </c>
      <c r="L6638" t="n">
        <v>49300</v>
      </c>
      <c r="M6638" t="n">
        <v>58000</v>
      </c>
      <c r="N6638" t="n">
        <v>91</v>
      </c>
      <c r="O6638" t="n">
        <v>0.91</v>
      </c>
      <c r="P6638" t="n">
        <v>1</v>
      </c>
      <c r="Q6638" t="n">
        <v>0.06</v>
      </c>
      <c r="R6638" t="n">
        <v>1</v>
      </c>
      <c r="S6638" t="n">
        <v>1055.6</v>
      </c>
      <c r="T6638" t="n">
        <v>2</v>
      </c>
      <c r="U6638" t="n">
        <v>3</v>
      </c>
      <c r="V6638" t="n">
        <v>30</v>
      </c>
      <c r="W6638" t="n">
        <v>1</v>
      </c>
      <c r="X6638" t="n">
        <v>0</v>
      </c>
      <c r="Y6638" t="n">
        <v>1</v>
      </c>
      <c r="Z6638" t="n">
        <v>1</v>
      </c>
      <c r="AA6638" t="n">
        <v>1</v>
      </c>
      <c r="AB6638" t="n">
        <v>0</v>
      </c>
      <c r="AC6638" t="n">
        <v>0</v>
      </c>
      <c r="AD6638" t="n">
        <v>49300</v>
      </c>
      <c r="AE6638" t="n">
        <v>0</v>
      </c>
      <c r="AF6638" t="inlineStr"/>
      <c r="AG6638" t="inlineStr"/>
      <c r="AH6638" t="inlineStr"/>
      <c r="AI6638" t="n">
        <v>0</v>
      </c>
      <c r="AJ6638" t="inlineStr"/>
      <c r="AK6638" t="n">
        <v>0</v>
      </c>
      <c r="AL6638" t="inlineStr"/>
      <c r="AM6638" t="n">
        <v>0</v>
      </c>
      <c r="AN6638" t="n">
        <v>0</v>
      </c>
      <c r="AO6638" t="n">
        <v>0</v>
      </c>
      <c r="AP6638" t="inlineStr"/>
      <c r="AQ6638" t="inlineStr"/>
    </row>
    <row r="6639">
      <c r="A6639" t="inlineStr">
        <is>
          <t>SECRET GARDEN</t>
        </is>
      </c>
      <c r="B6639" s="2">
        <f>"10100823813"</f>
        <v/>
      </c>
      <c r="C6639" t="inlineStr">
        <is>
          <t>SECRET GARDEN Exfoliating Loofah Soap Olive 100gr</t>
        </is>
      </c>
      <c r="D6639" t="inlineStr">
        <is>
          <t>Miss Glam Damar</t>
        </is>
      </c>
      <c r="E6639" t="n">
        <v>0</v>
      </c>
      <c r="F6639" t="n">
        <v>0.0182</v>
      </c>
      <c r="G6639" t="n">
        <v>0.91</v>
      </c>
      <c r="H6639" t="n">
        <v>1</v>
      </c>
      <c r="I6639" t="n">
        <v>2</v>
      </c>
      <c r="J6639" t="n">
        <v>1</v>
      </c>
      <c r="K6639" t="n">
        <v>0</v>
      </c>
      <c r="L6639" t="n">
        <v>49300</v>
      </c>
      <c r="M6639" t="n">
        <v>58000</v>
      </c>
      <c r="N6639" t="n">
        <v>91</v>
      </c>
      <c r="O6639" t="n">
        <v>0.91</v>
      </c>
      <c r="P6639" t="n">
        <v>1</v>
      </c>
      <c r="Q6639" t="n">
        <v>0.04</v>
      </c>
      <c r="R6639" t="n">
        <v>1</v>
      </c>
      <c r="S6639" t="n">
        <v>1055.6</v>
      </c>
      <c r="T6639" t="n">
        <v>2</v>
      </c>
      <c r="U6639" t="n">
        <v>3</v>
      </c>
      <c r="V6639" t="n">
        <v>30</v>
      </c>
      <c r="W6639" t="n">
        <v>1</v>
      </c>
      <c r="X6639" t="n">
        <v>0</v>
      </c>
      <c r="Y6639" t="n">
        <v>1</v>
      </c>
      <c r="Z6639" t="n">
        <v>1</v>
      </c>
      <c r="AA6639" t="n">
        <v>1</v>
      </c>
      <c r="AB6639" t="n">
        <v>0</v>
      </c>
      <c r="AC6639" t="n">
        <v>0</v>
      </c>
      <c r="AD6639" t="n">
        <v>49300</v>
      </c>
      <c r="AE6639" t="n">
        <v>0</v>
      </c>
      <c r="AF6639" t="inlineStr"/>
      <c r="AG6639" t="inlineStr"/>
      <c r="AH6639" t="inlineStr"/>
      <c r="AI6639" t="n">
        <v>0</v>
      </c>
      <c r="AJ6639" t="inlineStr"/>
      <c r="AK6639" t="n">
        <v>0</v>
      </c>
      <c r="AL6639" t="inlineStr"/>
      <c r="AM6639" t="n">
        <v>0</v>
      </c>
      <c r="AN6639" t="n">
        <v>0</v>
      </c>
      <c r="AO6639" t="n">
        <v>0</v>
      </c>
      <c r="AP6639" t="inlineStr"/>
      <c r="AQ6639" t="inlineStr"/>
    </row>
    <row r="6640">
      <c r="A6640" t="inlineStr">
        <is>
          <t>SMITH</t>
        </is>
      </c>
      <c r="B6640" s="2">
        <f>"8992871210294"</f>
        <v/>
      </c>
      <c r="C6640" t="inlineStr">
        <is>
          <t>SMITH Ocean Dust Styling Volumizing Hair Powder 11gr</t>
        </is>
      </c>
      <c r="D6640" t="inlineStr">
        <is>
          <t>Miss Glam Damar</t>
        </is>
      </c>
      <c r="E6640" t="n">
        <v>0</v>
      </c>
      <c r="F6640" t="n">
        <v>0.05</v>
      </c>
      <c r="G6640" t="n">
        <v>1</v>
      </c>
      <c r="H6640" t="n">
        <v>1</v>
      </c>
      <c r="I6640" t="n">
        <v>2</v>
      </c>
      <c r="J6640" t="n">
        <v>3</v>
      </c>
      <c r="K6640" t="n">
        <v>0</v>
      </c>
      <c r="L6640" t="n">
        <v>63055</v>
      </c>
      <c r="M6640" t="n">
        <v>75000</v>
      </c>
      <c r="N6640" t="n">
        <v>91</v>
      </c>
      <c r="O6640" t="n">
        <v>0.91</v>
      </c>
      <c r="P6640" t="n">
        <v>0</v>
      </c>
      <c r="Q6640" t="n">
        <v>0.05</v>
      </c>
      <c r="R6640" t="n">
        <v>1</v>
      </c>
      <c r="S6640" t="n">
        <v>3750</v>
      </c>
      <c r="T6640" t="n">
        <v>2</v>
      </c>
      <c r="U6640" t="n">
        <v>3</v>
      </c>
      <c r="V6640" t="n">
        <v>30</v>
      </c>
      <c r="W6640" t="n">
        <v>2</v>
      </c>
      <c r="X6640" t="n">
        <v>0</v>
      </c>
      <c r="Y6640" t="n">
        <v>1</v>
      </c>
      <c r="Z6640" t="n">
        <v>2</v>
      </c>
      <c r="AA6640" t="n">
        <v>1</v>
      </c>
      <c r="AB6640" t="n">
        <v>1</v>
      </c>
      <c r="AC6640" t="n">
        <v>3</v>
      </c>
      <c r="AD6640" t="n">
        <v>63055</v>
      </c>
      <c r="AE6640" t="n">
        <v>189165</v>
      </c>
      <c r="AF6640" t="inlineStr"/>
      <c r="AG6640" t="inlineStr"/>
      <c r="AH6640" t="inlineStr"/>
      <c r="AI6640" t="n">
        <v>0</v>
      </c>
      <c r="AJ6640" t="inlineStr"/>
      <c r="AK6640" t="n">
        <v>0</v>
      </c>
      <c r="AL6640" t="inlineStr"/>
      <c r="AM6640" t="n">
        <v>0</v>
      </c>
      <c r="AN6640" t="n">
        <v>0</v>
      </c>
      <c r="AO6640" t="n">
        <v>0</v>
      </c>
      <c r="AP6640" t="inlineStr"/>
      <c r="AQ6640" t="inlineStr"/>
    </row>
    <row r="6641">
      <c r="A6641" t="inlineStr">
        <is>
          <t>SOME BY MI</t>
        </is>
      </c>
      <c r="B6641" s="2">
        <f>"8809326334224"</f>
        <v/>
      </c>
      <c r="C6641" t="inlineStr">
        <is>
          <t>SOME BY MI 30 Days AHA BHA PHA Miracle Cream 60gr</t>
        </is>
      </c>
      <c r="D6641" t="inlineStr">
        <is>
          <t>Miss Glam Damar</t>
        </is>
      </c>
      <c r="E6641" t="n">
        <v>3</v>
      </c>
      <c r="F6641" t="n">
        <v>0.02</v>
      </c>
      <c r="G6641" t="n">
        <v>1</v>
      </c>
      <c r="H6641" t="n">
        <v>1</v>
      </c>
      <c r="I6641" t="n">
        <v>2</v>
      </c>
      <c r="J6641" t="n">
        <v>3</v>
      </c>
      <c r="K6641" t="n">
        <v>0</v>
      </c>
      <c r="L6641" t="n">
        <v>165488</v>
      </c>
      <c r="M6641" t="n">
        <v>204000</v>
      </c>
      <c r="N6641" t="n">
        <v>91</v>
      </c>
      <c r="O6641" t="n">
        <v>0.91</v>
      </c>
      <c r="P6641" t="n">
        <v>0</v>
      </c>
      <c r="Q6641" t="n">
        <v>0.02</v>
      </c>
      <c r="R6641" t="n">
        <v>1</v>
      </c>
      <c r="S6641" t="n">
        <v>4080</v>
      </c>
      <c r="T6641" t="n">
        <v>2</v>
      </c>
      <c r="U6641" t="n">
        <v>3</v>
      </c>
      <c r="V6641" t="n">
        <v>30</v>
      </c>
      <c r="W6641" t="n">
        <v>1</v>
      </c>
      <c r="X6641" t="n">
        <v>150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inlineStr"/>
      <c r="AG6641" t="inlineStr"/>
      <c r="AH6641" t="inlineStr"/>
      <c r="AI6641" t="n">
        <v>0</v>
      </c>
      <c r="AJ6641" t="inlineStr"/>
      <c r="AK6641" t="n">
        <v>0</v>
      </c>
      <c r="AL6641" t="inlineStr"/>
      <c r="AM6641" t="n">
        <v>0</v>
      </c>
      <c r="AN6641" t="n">
        <v>0</v>
      </c>
      <c r="AO6641" t="n">
        <v>0</v>
      </c>
      <c r="AP6641" t="inlineStr"/>
      <c r="AQ6641" t="inlineStr"/>
    </row>
    <row r="6642">
      <c r="A6642" t="inlineStr">
        <is>
          <t>SOME BY MI</t>
        </is>
      </c>
      <c r="B6642" s="2">
        <f>"8809326333661"</f>
        <v/>
      </c>
      <c r="C6642" t="inlineStr">
        <is>
          <t>SOME BY MI AHA BHA PHA 30 Days Miracle Toner 150ml</t>
        </is>
      </c>
      <c r="D6642" t="inlineStr">
        <is>
          <t>Miss Glam Damar</t>
        </is>
      </c>
      <c r="E6642" t="n">
        <v>0</v>
      </c>
      <c r="F6642" t="n">
        <v>0.0273</v>
      </c>
      <c r="G6642" t="n">
        <v>0.91</v>
      </c>
      <c r="H6642" t="n">
        <v>1</v>
      </c>
      <c r="I6642" t="n">
        <v>2</v>
      </c>
      <c r="J6642" t="n">
        <v>3</v>
      </c>
      <c r="K6642" t="n">
        <v>0</v>
      </c>
      <c r="L6642" t="n">
        <v>150484</v>
      </c>
      <c r="M6642" t="n">
        <v>191000</v>
      </c>
      <c r="N6642" t="n">
        <v>91</v>
      </c>
      <c r="O6642" t="n">
        <v>0.91</v>
      </c>
      <c r="P6642" t="n">
        <v>1</v>
      </c>
      <c r="Q6642" t="n">
        <v>0.05</v>
      </c>
      <c r="R6642" t="n">
        <v>1</v>
      </c>
      <c r="S6642" t="n">
        <v>5214.3</v>
      </c>
      <c r="T6642" t="n">
        <v>2</v>
      </c>
      <c r="U6642" t="n">
        <v>3</v>
      </c>
      <c r="V6642" t="n">
        <v>30</v>
      </c>
      <c r="W6642" t="n">
        <v>1</v>
      </c>
      <c r="X6642" t="n">
        <v>0</v>
      </c>
      <c r="Y6642" t="n">
        <v>1</v>
      </c>
      <c r="Z6642" t="n">
        <v>1</v>
      </c>
      <c r="AA6642" t="n">
        <v>1</v>
      </c>
      <c r="AB6642" t="n">
        <v>0</v>
      </c>
      <c r="AC6642" t="n">
        <v>0</v>
      </c>
      <c r="AD6642" t="n">
        <v>150484</v>
      </c>
      <c r="AE6642" t="n">
        <v>0</v>
      </c>
      <c r="AF6642" t="inlineStr"/>
      <c r="AG6642" t="inlineStr"/>
      <c r="AH6642" t="inlineStr"/>
      <c r="AI6642" t="n">
        <v>0</v>
      </c>
      <c r="AJ6642" t="inlineStr"/>
      <c r="AK6642" t="n">
        <v>0</v>
      </c>
      <c r="AL6642" t="inlineStr"/>
      <c r="AM6642" t="n">
        <v>0</v>
      </c>
      <c r="AN6642" t="n">
        <v>0</v>
      </c>
      <c r="AO6642" t="n">
        <v>0</v>
      </c>
      <c r="AP6642" t="inlineStr"/>
      <c r="AQ6642" t="inlineStr"/>
    </row>
    <row r="6643">
      <c r="A6643" t="inlineStr">
        <is>
          <t>SOME BY MI</t>
        </is>
      </c>
      <c r="B6643" s="2">
        <f>"8809647390268"</f>
        <v/>
      </c>
      <c r="C6643" t="inlineStr">
        <is>
          <t>SOME BY MI AHA BHA PHA Miracle Toner 100ml</t>
        </is>
      </c>
      <c r="D6643" t="inlineStr">
        <is>
          <t>Miss Glam Damar</t>
        </is>
      </c>
      <c r="E6643" t="n">
        <v>0</v>
      </c>
      <c r="F6643" t="n">
        <v>0.0364</v>
      </c>
      <c r="G6643" t="n">
        <v>0.91</v>
      </c>
      <c r="H6643" t="n">
        <v>1</v>
      </c>
      <c r="I6643" t="n">
        <v>2</v>
      </c>
      <c r="J6643" t="n">
        <v>3</v>
      </c>
      <c r="K6643" t="n">
        <v>0</v>
      </c>
      <c r="L6643" t="n">
        <v>112904</v>
      </c>
      <c r="M6643" t="n">
        <v>135000</v>
      </c>
      <c r="N6643" t="n">
        <v>91</v>
      </c>
      <c r="O6643" t="n">
        <v>0.91</v>
      </c>
      <c r="P6643" t="n">
        <v>1</v>
      </c>
      <c r="Q6643" t="n">
        <v>0.03</v>
      </c>
      <c r="R6643" t="n">
        <v>1</v>
      </c>
      <c r="S6643" t="n">
        <v>4914</v>
      </c>
      <c r="T6643" t="n">
        <v>2</v>
      </c>
      <c r="U6643" t="n">
        <v>3</v>
      </c>
      <c r="V6643" t="n">
        <v>30</v>
      </c>
      <c r="W6643" t="n">
        <v>2</v>
      </c>
      <c r="X6643" t="n">
        <v>0</v>
      </c>
      <c r="Y6643" t="n">
        <v>1</v>
      </c>
      <c r="Z6643" t="n">
        <v>2</v>
      </c>
      <c r="AA6643" t="n">
        <v>1</v>
      </c>
      <c r="AB6643" t="n">
        <v>1</v>
      </c>
      <c r="AC6643" t="n">
        <v>3</v>
      </c>
      <c r="AD6643" t="n">
        <v>112904</v>
      </c>
      <c r="AE6643" t="n">
        <v>338712</v>
      </c>
      <c r="AF6643" t="inlineStr"/>
      <c r="AG6643" t="inlineStr"/>
      <c r="AH6643" t="inlineStr"/>
      <c r="AI6643" t="n">
        <v>0</v>
      </c>
      <c r="AJ6643" t="inlineStr"/>
      <c r="AK6643" t="n">
        <v>0</v>
      </c>
      <c r="AL6643" t="inlineStr"/>
      <c r="AM6643" t="n">
        <v>0</v>
      </c>
      <c r="AN6643" t="n">
        <v>0</v>
      </c>
      <c r="AO6643" t="n">
        <v>0</v>
      </c>
      <c r="AP6643" t="inlineStr"/>
      <c r="AQ6643" t="inlineStr"/>
    </row>
    <row r="6644">
      <c r="A6644" t="inlineStr">
        <is>
          <t>SOME BY MI</t>
        </is>
      </c>
      <c r="B6644" s="2">
        <f>"8809647390244"</f>
        <v/>
      </c>
      <c r="C6644" t="inlineStr">
        <is>
          <t>SOME BY MI Bye Bye Blackhead Miracle Green Tea Buble Cleanser 120g</t>
        </is>
      </c>
      <c r="D6644" t="inlineStr">
        <is>
          <t>Miss Glam Damar</t>
        </is>
      </c>
      <c r="E6644" t="n">
        <v>6</v>
      </c>
      <c r="F6644" t="n">
        <v>0.02</v>
      </c>
      <c r="G6644" t="n">
        <v>1</v>
      </c>
      <c r="H6644" t="n">
        <v>1</v>
      </c>
      <c r="I6644" t="n">
        <v>2</v>
      </c>
      <c r="J6644" t="n">
        <v>3</v>
      </c>
      <c r="K6644" t="n">
        <v>0</v>
      </c>
      <c r="L6644" t="n">
        <v>196666</v>
      </c>
      <c r="M6644" t="n">
        <v>231500</v>
      </c>
      <c r="N6644" t="n">
        <v>91</v>
      </c>
      <c r="O6644" t="n">
        <v>0.91</v>
      </c>
      <c r="P6644" t="n">
        <v>0</v>
      </c>
      <c r="Q6644" t="n">
        <v>0.02</v>
      </c>
      <c r="R6644" t="n">
        <v>1</v>
      </c>
      <c r="S6644" t="n">
        <v>4630</v>
      </c>
      <c r="T6644" t="n">
        <v>2</v>
      </c>
      <c r="U6644" t="n">
        <v>3</v>
      </c>
      <c r="V6644" t="n">
        <v>30</v>
      </c>
      <c r="W6644" t="n">
        <v>1</v>
      </c>
      <c r="X6644" t="n">
        <v>300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inlineStr"/>
      <c r="AG6644" t="inlineStr"/>
      <c r="AH6644" t="inlineStr"/>
      <c r="AI6644" t="n">
        <v>0</v>
      </c>
      <c r="AJ6644" t="inlineStr"/>
      <c r="AK6644" t="n">
        <v>0</v>
      </c>
      <c r="AL6644" t="inlineStr"/>
      <c r="AM6644" t="n">
        <v>0</v>
      </c>
      <c r="AN6644" t="n">
        <v>0</v>
      </c>
      <c r="AO6644" t="n">
        <v>0</v>
      </c>
      <c r="AP6644" t="inlineStr"/>
      <c r="AQ6644" t="inlineStr"/>
    </row>
    <row r="6645">
      <c r="A6645" t="inlineStr">
        <is>
          <t>SOME BY MI</t>
        </is>
      </c>
      <c r="B6645" s="2">
        <f>"8809647390626"</f>
        <v/>
      </c>
      <c r="C6645" t="inlineStr">
        <is>
          <t>SOME BY MI Miracle Repair LOW pH Gel Cleanser 30ml</t>
        </is>
      </c>
      <c r="D6645" t="inlineStr">
        <is>
          <t>Miss Glam Damar</t>
        </is>
      </c>
      <c r="E6645" t="n">
        <v>4</v>
      </c>
      <c r="F6645" t="n">
        <v>0.0182</v>
      </c>
      <c r="G6645" t="n">
        <v>0.91</v>
      </c>
      <c r="H6645" t="n">
        <v>1</v>
      </c>
      <c r="I6645" t="n">
        <v>2</v>
      </c>
      <c r="J6645" t="n">
        <v>3</v>
      </c>
      <c r="K6645" t="n">
        <v>0</v>
      </c>
      <c r="L6645" t="n">
        <v>40522</v>
      </c>
      <c r="M6645" t="n">
        <v>48000</v>
      </c>
      <c r="N6645" t="n">
        <v>91</v>
      </c>
      <c r="O6645" t="n">
        <v>0.91</v>
      </c>
      <c r="P6645" t="n">
        <v>1</v>
      </c>
      <c r="Q6645" t="n">
        <v>0.02</v>
      </c>
      <c r="R6645" t="n">
        <v>1</v>
      </c>
      <c r="S6645" t="n">
        <v>873.6</v>
      </c>
      <c r="T6645" t="n">
        <v>2</v>
      </c>
      <c r="U6645" t="n">
        <v>3</v>
      </c>
      <c r="V6645" t="n">
        <v>30</v>
      </c>
      <c r="W6645" t="n">
        <v>1</v>
      </c>
      <c r="X6645" t="n">
        <v>219.7802197802198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inlineStr"/>
      <c r="AG6645" t="inlineStr"/>
      <c r="AH6645" t="inlineStr"/>
      <c r="AI6645" t="n">
        <v>0</v>
      </c>
      <c r="AJ6645" t="inlineStr"/>
      <c r="AK6645" t="n">
        <v>0</v>
      </c>
      <c r="AL6645" t="inlineStr"/>
      <c r="AM6645" t="n">
        <v>0</v>
      </c>
      <c r="AN6645" t="n">
        <v>0</v>
      </c>
      <c r="AO6645" t="n">
        <v>0</v>
      </c>
      <c r="AP6645" t="inlineStr"/>
      <c r="AQ6645" t="inlineStr"/>
    </row>
    <row r="6646">
      <c r="A6646" t="inlineStr">
        <is>
          <t>SOME BY MI</t>
        </is>
      </c>
      <c r="B6646" s="2">
        <f>"8809647390442"</f>
        <v/>
      </c>
      <c r="C6646" t="inlineStr">
        <is>
          <t>SOME BY MI Snail Truecica Miracle Repair Serum 10ml</t>
        </is>
      </c>
      <c r="D6646" t="inlineStr">
        <is>
          <t>Miss Glam Damar</t>
        </is>
      </c>
      <c r="E6646" t="n">
        <v>7</v>
      </c>
      <c r="F6646" t="n">
        <v>0.0364</v>
      </c>
      <c r="G6646" t="n">
        <v>0.91</v>
      </c>
      <c r="H6646" t="n">
        <v>1</v>
      </c>
      <c r="I6646" t="n">
        <v>2</v>
      </c>
      <c r="J6646" t="n">
        <v>3</v>
      </c>
      <c r="K6646" t="n">
        <v>0</v>
      </c>
      <c r="L6646" t="n">
        <v>40522</v>
      </c>
      <c r="M6646" t="n">
        <v>57500</v>
      </c>
      <c r="N6646" t="n">
        <v>91</v>
      </c>
      <c r="O6646" t="n">
        <v>0.91</v>
      </c>
      <c r="P6646" t="n">
        <v>1</v>
      </c>
      <c r="Q6646" t="n">
        <v>0.1</v>
      </c>
      <c r="R6646" t="n">
        <v>2</v>
      </c>
      <c r="S6646" t="n">
        <v>2093</v>
      </c>
      <c r="T6646" t="n">
        <v>2</v>
      </c>
      <c r="U6646" t="n">
        <v>3</v>
      </c>
      <c r="V6646" t="n">
        <v>30</v>
      </c>
      <c r="W6646" t="n">
        <v>2</v>
      </c>
      <c r="X6646" t="n">
        <v>192.3076923076923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inlineStr"/>
      <c r="AG6646" t="inlineStr"/>
      <c r="AH6646" t="inlineStr"/>
      <c r="AI6646" t="n">
        <v>0</v>
      </c>
      <c r="AJ6646" t="inlineStr"/>
      <c r="AK6646" t="n">
        <v>0</v>
      </c>
      <c r="AL6646" t="inlineStr"/>
      <c r="AM6646" t="n">
        <v>0</v>
      </c>
      <c r="AN6646" t="n">
        <v>0</v>
      </c>
      <c r="AO6646" t="n">
        <v>0</v>
      </c>
      <c r="AP6646" t="inlineStr"/>
      <c r="AQ6646" t="inlineStr"/>
    </row>
    <row r="6647">
      <c r="A6647" t="inlineStr">
        <is>
          <t>SOME BY MI</t>
        </is>
      </c>
      <c r="B6647" s="2">
        <f>"8809647390534"</f>
        <v/>
      </c>
      <c r="C6647" t="inlineStr">
        <is>
          <t>SOME BY MI Snail Truecica Miracle Repair Starter Kit</t>
        </is>
      </c>
      <c r="D6647" t="inlineStr">
        <is>
          <t>Miss Glam Damar</t>
        </is>
      </c>
      <c r="E6647" t="n">
        <v>1</v>
      </c>
      <c r="F6647" t="n">
        <v>0.05</v>
      </c>
      <c r="G6647" t="n">
        <v>1</v>
      </c>
      <c r="H6647" t="n">
        <v>1</v>
      </c>
      <c r="I6647" t="n">
        <v>2</v>
      </c>
      <c r="J6647" t="n">
        <v>3</v>
      </c>
      <c r="K6647" t="n">
        <v>0</v>
      </c>
      <c r="L6647" t="n">
        <v>162084</v>
      </c>
      <c r="M6647" t="n">
        <v>206500</v>
      </c>
      <c r="N6647" t="n">
        <v>91</v>
      </c>
      <c r="O6647" t="n">
        <v>0.91</v>
      </c>
      <c r="P6647" t="n">
        <v>0</v>
      </c>
      <c r="Q6647" t="n">
        <v>0.05</v>
      </c>
      <c r="R6647" t="n">
        <v>1</v>
      </c>
      <c r="S6647" t="n">
        <v>10325</v>
      </c>
      <c r="T6647" t="n">
        <v>2</v>
      </c>
      <c r="U6647" t="n">
        <v>3</v>
      </c>
      <c r="V6647" t="n">
        <v>30</v>
      </c>
      <c r="W6647" t="n">
        <v>2</v>
      </c>
      <c r="X6647" t="n">
        <v>20</v>
      </c>
      <c r="Y6647" t="n">
        <v>1</v>
      </c>
      <c r="Z6647" t="n">
        <v>1</v>
      </c>
      <c r="AA6647" t="n">
        <v>0</v>
      </c>
      <c r="AB6647" t="n">
        <v>1</v>
      </c>
      <c r="AC6647" t="n">
        <v>3</v>
      </c>
      <c r="AD6647" t="n">
        <v>0</v>
      </c>
      <c r="AE6647" t="n">
        <v>486252</v>
      </c>
      <c r="AF6647" t="inlineStr"/>
      <c r="AG6647" t="inlineStr"/>
      <c r="AH6647" t="inlineStr"/>
      <c r="AI6647" t="n">
        <v>0</v>
      </c>
      <c r="AJ6647" t="inlineStr"/>
      <c r="AK6647" t="n">
        <v>0</v>
      </c>
      <c r="AL6647" t="inlineStr"/>
      <c r="AM6647" t="n">
        <v>0</v>
      </c>
      <c r="AN6647" t="n">
        <v>0</v>
      </c>
      <c r="AO6647" t="n">
        <v>0</v>
      </c>
      <c r="AP6647" t="inlineStr"/>
      <c r="AQ6647" t="inlineStr"/>
    </row>
    <row r="6648">
      <c r="A6648" t="inlineStr">
        <is>
          <t>SOME BY MI</t>
        </is>
      </c>
      <c r="B6648" s="2">
        <f>"8809647390602"</f>
        <v/>
      </c>
      <c r="C6648" t="inlineStr">
        <is>
          <t>SOME BY MI Snail Truecica Miracle Repair Toner 30ml</t>
        </is>
      </c>
      <c r="D6648" t="inlineStr">
        <is>
          <t>Miss Glam Damar</t>
        </is>
      </c>
      <c r="E6648" t="n">
        <v>0</v>
      </c>
      <c r="F6648" t="n">
        <v>0.03</v>
      </c>
      <c r="G6648" t="n">
        <v>1</v>
      </c>
      <c r="H6648" t="n">
        <v>1</v>
      </c>
      <c r="I6648" t="n">
        <v>2</v>
      </c>
      <c r="J6648" t="n">
        <v>3</v>
      </c>
      <c r="K6648" t="n">
        <v>0</v>
      </c>
      <c r="L6648" t="n">
        <v>38418</v>
      </c>
      <c r="M6648" t="n">
        <v>51000</v>
      </c>
      <c r="N6648" t="n">
        <v>91</v>
      </c>
      <c r="O6648" t="n">
        <v>0.91</v>
      </c>
      <c r="P6648" t="n">
        <v>0</v>
      </c>
      <c r="Q6648" t="n">
        <v>0.03</v>
      </c>
      <c r="R6648" t="n">
        <v>1</v>
      </c>
      <c r="S6648" t="n">
        <v>1530</v>
      </c>
      <c r="T6648" t="n">
        <v>2</v>
      </c>
      <c r="U6648" t="n">
        <v>3</v>
      </c>
      <c r="V6648" t="n">
        <v>30</v>
      </c>
      <c r="W6648" t="n">
        <v>1</v>
      </c>
      <c r="X6648" t="n">
        <v>0</v>
      </c>
      <c r="Y6648" t="n">
        <v>1</v>
      </c>
      <c r="Z6648" t="n">
        <v>1</v>
      </c>
      <c r="AA6648" t="n">
        <v>1</v>
      </c>
      <c r="AB6648" t="n">
        <v>0</v>
      </c>
      <c r="AC6648" t="n">
        <v>0</v>
      </c>
      <c r="AD6648" t="n">
        <v>38418</v>
      </c>
      <c r="AE6648" t="n">
        <v>0</v>
      </c>
      <c r="AF6648" t="inlineStr"/>
      <c r="AG6648" t="inlineStr"/>
      <c r="AH6648" t="inlineStr"/>
      <c r="AI6648" t="n">
        <v>0</v>
      </c>
      <c r="AJ6648" t="inlineStr"/>
      <c r="AK6648" t="n">
        <v>0</v>
      </c>
      <c r="AL6648" t="inlineStr"/>
      <c r="AM6648" t="n">
        <v>0</v>
      </c>
      <c r="AN6648" t="n">
        <v>0</v>
      </c>
      <c r="AO6648" t="n">
        <v>0</v>
      </c>
      <c r="AP6648" t="inlineStr"/>
      <c r="AQ6648" t="inlineStr"/>
    </row>
    <row r="6649">
      <c r="A6649" t="inlineStr">
        <is>
          <t>SOME BY MI</t>
        </is>
      </c>
      <c r="B6649" s="2">
        <f>"8809647393078"</f>
        <v/>
      </c>
      <c r="C6649" t="inlineStr">
        <is>
          <t>SOME BY MI YUJA NIACIN Anti Blemish Serum Clinical Solution 50ml</t>
        </is>
      </c>
      <c r="D6649" t="inlineStr">
        <is>
          <t>Miss Glam Damar</t>
        </is>
      </c>
      <c r="E6649" t="n">
        <v>0</v>
      </c>
      <c r="F6649" t="n">
        <v>0.04550000000000001</v>
      </c>
      <c r="G6649" t="n">
        <v>1.82</v>
      </c>
      <c r="H6649" t="n">
        <v>1</v>
      </c>
      <c r="I6649" t="n">
        <v>2</v>
      </c>
      <c r="J6649" t="n">
        <v>3</v>
      </c>
      <c r="K6649" t="n">
        <v>0</v>
      </c>
      <c r="L6649" t="n">
        <v>188227</v>
      </c>
      <c r="M6649" t="n">
        <v>221500</v>
      </c>
      <c r="N6649" t="n">
        <v>91</v>
      </c>
      <c r="O6649" t="n">
        <v>0.91</v>
      </c>
      <c r="P6649" t="n">
        <v>1</v>
      </c>
      <c r="Q6649" t="n">
        <v>0.03</v>
      </c>
      <c r="R6649" t="n">
        <v>1</v>
      </c>
      <c r="S6649" t="n">
        <v>10078.25</v>
      </c>
      <c r="T6649" t="n">
        <v>4</v>
      </c>
      <c r="U6649" t="n">
        <v>5</v>
      </c>
      <c r="V6649" t="n">
        <v>30</v>
      </c>
      <c r="W6649" t="n">
        <v>2</v>
      </c>
      <c r="X6649" t="n">
        <v>0</v>
      </c>
      <c r="Y6649" t="n">
        <v>1</v>
      </c>
      <c r="Z6649" t="n">
        <v>2</v>
      </c>
      <c r="AA6649" t="n">
        <v>1</v>
      </c>
      <c r="AB6649" t="n">
        <v>1</v>
      </c>
      <c r="AC6649" t="n">
        <v>3</v>
      </c>
      <c r="AD6649" t="n">
        <v>188227</v>
      </c>
      <c r="AE6649" t="n">
        <v>564681</v>
      </c>
      <c r="AF6649" t="inlineStr"/>
      <c r="AG6649" t="inlineStr"/>
      <c r="AH6649" t="inlineStr"/>
      <c r="AI6649" t="n">
        <v>0</v>
      </c>
      <c r="AJ6649" t="inlineStr"/>
      <c r="AK6649" t="n">
        <v>0</v>
      </c>
      <c r="AL6649" t="inlineStr"/>
      <c r="AM6649" t="n">
        <v>0</v>
      </c>
      <c r="AN6649" t="n">
        <v>0</v>
      </c>
      <c r="AO6649" t="n">
        <v>0</v>
      </c>
      <c r="AP6649" t="inlineStr"/>
      <c r="AQ6649" t="inlineStr"/>
    </row>
    <row r="6650">
      <c r="A6650" t="inlineStr">
        <is>
          <t>SUNPLAY</t>
        </is>
      </c>
      <c r="B6650" s="2">
        <f>"8992821103515"</f>
        <v/>
      </c>
      <c r="C6650" t="inlineStr">
        <is>
          <t>SUNPLAY Cool Ultra Protection SPF101 30gr</t>
        </is>
      </c>
      <c r="D6650" t="inlineStr">
        <is>
          <t>Miss Glam Damar</t>
        </is>
      </c>
      <c r="E6650" t="n">
        <v>0</v>
      </c>
      <c r="F6650" t="n">
        <v>0.05</v>
      </c>
      <c r="G6650" t="n">
        <v>1</v>
      </c>
      <c r="H6650" t="n">
        <v>1</v>
      </c>
      <c r="I6650" t="n">
        <v>2</v>
      </c>
      <c r="J6650" t="n">
        <v>3</v>
      </c>
      <c r="K6650" t="n">
        <v>0</v>
      </c>
      <c r="L6650" t="n">
        <v>64306</v>
      </c>
      <c r="M6650" t="n">
        <v>87000</v>
      </c>
      <c r="N6650" t="n">
        <v>91</v>
      </c>
      <c r="O6650" t="n">
        <v>0.91</v>
      </c>
      <c r="P6650" t="n">
        <v>0</v>
      </c>
      <c r="Q6650" t="n">
        <v>0.05</v>
      </c>
      <c r="R6650" t="n">
        <v>1</v>
      </c>
      <c r="S6650" t="n">
        <v>4350</v>
      </c>
      <c r="T6650" t="n">
        <v>2</v>
      </c>
      <c r="U6650" t="n">
        <v>3</v>
      </c>
      <c r="V6650" t="n">
        <v>30</v>
      </c>
      <c r="W6650" t="n">
        <v>2</v>
      </c>
      <c r="X6650" t="n">
        <v>0</v>
      </c>
      <c r="Y6650" t="n">
        <v>1</v>
      </c>
      <c r="Z6650" t="n">
        <v>2</v>
      </c>
      <c r="AA6650" t="n">
        <v>1</v>
      </c>
      <c r="AB6650" t="n">
        <v>1</v>
      </c>
      <c r="AC6650" t="n">
        <v>3</v>
      </c>
      <c r="AD6650" t="n">
        <v>64306</v>
      </c>
      <c r="AE6650" t="n">
        <v>192918</v>
      </c>
      <c r="AF6650" t="n">
        <v>10915</v>
      </c>
      <c r="AG6650" t="n">
        <v>2001</v>
      </c>
      <c r="AH6650" t="inlineStr">
        <is>
          <t>PT. MENSA BINA SUKSES - PPN (PKU)</t>
        </is>
      </c>
      <c r="AI6650" t="n">
        <v>383</v>
      </c>
      <c r="AJ6650" t="inlineStr">
        <is>
          <t>SUNPLAY</t>
        </is>
      </c>
      <c r="AK6650" t="n">
        <v>8</v>
      </c>
      <c r="AL6650" t="inlineStr">
        <is>
          <t>Miss Glam Pekanbaru</t>
        </is>
      </c>
      <c r="AM6650" t="n">
        <v>3</v>
      </c>
      <c r="AN6650" t="n">
        <v>500000</v>
      </c>
      <c r="AO6650" t="n">
        <v>0</v>
      </c>
      <c r="AP6650" t="inlineStr"/>
      <c r="AQ6650" t="inlineStr"/>
    </row>
    <row r="6651">
      <c r="A6651" t="inlineStr">
        <is>
          <t>SUNPLAY</t>
        </is>
      </c>
      <c r="B6651" s="2">
        <f>"8992821103867"</f>
        <v/>
      </c>
      <c r="C6651" t="inlineStr">
        <is>
          <t>SUNPLAY Ultra Protection Sunscreen Spray Spf50+ PA++++ 50gr</t>
        </is>
      </c>
      <c r="D6651" t="inlineStr">
        <is>
          <t>Miss Glam Damar</t>
        </is>
      </c>
      <c r="E6651" t="n">
        <v>2</v>
      </c>
      <c r="F6651" t="n">
        <v>0.02</v>
      </c>
      <c r="G6651" t="n">
        <v>1</v>
      </c>
      <c r="H6651" t="n">
        <v>1</v>
      </c>
      <c r="I6651" t="n">
        <v>2</v>
      </c>
      <c r="J6651" t="n">
        <v>3</v>
      </c>
      <c r="K6651" t="n">
        <v>0</v>
      </c>
      <c r="L6651" t="n">
        <v>81918</v>
      </c>
      <c r="M6651" t="n">
        <v>96500</v>
      </c>
      <c r="N6651" t="n">
        <v>91</v>
      </c>
      <c r="O6651" t="n">
        <v>0.91</v>
      </c>
      <c r="P6651" t="n">
        <v>0</v>
      </c>
      <c r="Q6651" t="n">
        <v>0.02</v>
      </c>
      <c r="R6651" t="n">
        <v>1</v>
      </c>
      <c r="S6651" t="n">
        <v>1930</v>
      </c>
      <c r="T6651" t="n">
        <v>2</v>
      </c>
      <c r="U6651" t="n">
        <v>3</v>
      </c>
      <c r="V6651" t="n">
        <v>30</v>
      </c>
      <c r="W6651" t="n">
        <v>1</v>
      </c>
      <c r="X6651" t="n">
        <v>100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10915</v>
      </c>
      <c r="AG6651" t="n">
        <v>2001</v>
      </c>
      <c r="AH6651" t="inlineStr">
        <is>
          <t>PT. MENSA BINA SUKSES - PPN (PKU)</t>
        </is>
      </c>
      <c r="AI6651" t="n">
        <v>383</v>
      </c>
      <c r="AJ6651" t="inlineStr">
        <is>
          <t>SUNPLAY</t>
        </is>
      </c>
      <c r="AK6651" t="n">
        <v>8</v>
      </c>
      <c r="AL6651" t="inlineStr">
        <is>
          <t>Miss Glam Pekanbaru</t>
        </is>
      </c>
      <c r="AM6651" t="n">
        <v>3</v>
      </c>
      <c r="AN6651" t="n">
        <v>500000</v>
      </c>
      <c r="AO6651" t="n">
        <v>0</v>
      </c>
      <c r="AP6651" t="inlineStr"/>
      <c r="AQ6651" t="inlineStr"/>
    </row>
    <row r="6652">
      <c r="A6652" t="inlineStr">
        <is>
          <t>THE AUBREE</t>
        </is>
      </c>
      <c r="B6652" s="2">
        <f>"10200200323"</f>
        <v/>
      </c>
      <c r="C6652" t="inlineStr">
        <is>
          <t>THE AUBREE Niacinamide Skin Booster 30ml</t>
        </is>
      </c>
      <c r="D6652" t="inlineStr">
        <is>
          <t>Miss Glam Damar</t>
        </is>
      </c>
      <c r="E6652" t="n">
        <v>6</v>
      </c>
      <c r="F6652" t="n">
        <v>0.02</v>
      </c>
      <c r="G6652" t="n">
        <v>1</v>
      </c>
      <c r="H6652" t="n">
        <v>1</v>
      </c>
      <c r="I6652" t="n">
        <v>2</v>
      </c>
      <c r="J6652" t="n">
        <v>3</v>
      </c>
      <c r="K6652" t="n">
        <v>0</v>
      </c>
      <c r="L6652" t="n">
        <v>73171</v>
      </c>
      <c r="M6652" t="n">
        <v>99000</v>
      </c>
      <c r="N6652" t="n">
        <v>91</v>
      </c>
      <c r="O6652" t="n">
        <v>0.91</v>
      </c>
      <c r="P6652" t="n">
        <v>0</v>
      </c>
      <c r="Q6652" t="n">
        <v>0.02</v>
      </c>
      <c r="R6652" t="n">
        <v>1</v>
      </c>
      <c r="S6652" t="n">
        <v>1980</v>
      </c>
      <c r="T6652" t="n">
        <v>2</v>
      </c>
      <c r="U6652" t="n">
        <v>3</v>
      </c>
      <c r="V6652" t="n">
        <v>30</v>
      </c>
      <c r="W6652" t="n">
        <v>1</v>
      </c>
      <c r="X6652" t="n">
        <v>300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inlineStr"/>
      <c r="AG6652" t="inlineStr"/>
      <c r="AH6652" t="inlineStr"/>
      <c r="AI6652" t="n">
        <v>0</v>
      </c>
      <c r="AJ6652" t="inlineStr"/>
      <c r="AK6652" t="n">
        <v>0</v>
      </c>
      <c r="AL6652" t="inlineStr"/>
      <c r="AM6652" t="n">
        <v>0</v>
      </c>
      <c r="AN6652" t="n">
        <v>0</v>
      </c>
      <c r="AO6652" t="n">
        <v>0</v>
      </c>
      <c r="AP6652" t="inlineStr"/>
      <c r="AQ6652" t="inlineStr"/>
    </row>
    <row r="6653">
      <c r="A6653" t="inlineStr">
        <is>
          <t>THIS IS YOUR</t>
        </is>
      </c>
      <c r="B6653" s="2">
        <f>"10200161059"</f>
        <v/>
      </c>
      <c r="C6653" t="inlineStr">
        <is>
          <t>THIS IS YOUR Clarifying Toner Smooth &amp; Clear Skin Gentle Exfoliating Toner 100ml</t>
        </is>
      </c>
      <c r="D6653" t="inlineStr">
        <is>
          <t>Miss Glam Damar</t>
        </is>
      </c>
      <c r="E6653" t="n">
        <v>14</v>
      </c>
      <c r="F6653" t="n">
        <v>0.0273</v>
      </c>
      <c r="G6653" t="n">
        <v>0.91</v>
      </c>
      <c r="H6653" t="n">
        <v>1</v>
      </c>
      <c r="I6653" t="n">
        <v>2</v>
      </c>
      <c r="J6653" t="n">
        <v>1</v>
      </c>
      <c r="K6653" t="n">
        <v>0</v>
      </c>
      <c r="L6653" t="n">
        <v>62992</v>
      </c>
      <c r="M6653" t="n">
        <v>89000</v>
      </c>
      <c r="N6653" t="n">
        <v>91</v>
      </c>
      <c r="O6653" t="n">
        <v>0.91</v>
      </c>
      <c r="P6653" t="n">
        <v>1</v>
      </c>
      <c r="Q6653" t="n">
        <v>0.03</v>
      </c>
      <c r="R6653" t="n">
        <v>1</v>
      </c>
      <c r="S6653" t="n">
        <v>2429.7</v>
      </c>
      <c r="T6653" t="n">
        <v>2</v>
      </c>
      <c r="U6653" t="n">
        <v>3</v>
      </c>
      <c r="V6653" t="n">
        <v>30</v>
      </c>
      <c r="W6653" t="n">
        <v>1</v>
      </c>
      <c r="X6653" t="n">
        <v>512.8205128205128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8903</v>
      </c>
      <c r="AG6653" t="n">
        <v>1</v>
      </c>
      <c r="AH6653" t="inlineStr">
        <is>
          <t>PT. BERSAMA DISTRIVERSA INDONESIA (DC CIPUTAT)</t>
        </is>
      </c>
      <c r="AI6653" t="n">
        <v>2318</v>
      </c>
      <c r="AJ6653" t="inlineStr">
        <is>
          <t>THIS IS YOUR</t>
        </is>
      </c>
      <c r="AK6653" t="n">
        <v>43</v>
      </c>
      <c r="AL6653" t="inlineStr">
        <is>
          <t>Miss Glam Soeta</t>
        </is>
      </c>
      <c r="AM6653" t="n">
        <v>2</v>
      </c>
      <c r="AN6653" t="n">
        <v>500000</v>
      </c>
      <c r="AO6653" t="n">
        <v>0</v>
      </c>
      <c r="AP6653" t="inlineStr"/>
      <c r="AQ6653" t="inlineStr"/>
    </row>
    <row r="6654">
      <c r="A6654" t="inlineStr">
        <is>
          <t>THIS IS YOUR</t>
        </is>
      </c>
      <c r="B6654" s="2">
        <f>"10300318434"</f>
        <v/>
      </c>
      <c r="C6654" t="inlineStr">
        <is>
          <t>THIS IS YOUR Glowing Everyday Beyond Edition Shooting Refreshing Face Spray 75ml</t>
        </is>
      </c>
      <c r="D6654" t="inlineStr">
        <is>
          <t>Miss Glam Damar</t>
        </is>
      </c>
      <c r="E6654" t="n">
        <v>10</v>
      </c>
      <c r="F6654" t="n">
        <v>0.0728</v>
      </c>
      <c r="G6654" t="n">
        <v>0.91</v>
      </c>
      <c r="H6654" t="n">
        <v>1</v>
      </c>
      <c r="I6654" t="n">
        <v>2</v>
      </c>
      <c r="J6654" t="n">
        <v>1</v>
      </c>
      <c r="K6654" t="n">
        <v>0</v>
      </c>
      <c r="L6654" t="n">
        <v>61028</v>
      </c>
      <c r="M6654" t="n">
        <v>79000</v>
      </c>
      <c r="N6654" t="n">
        <v>91</v>
      </c>
      <c r="O6654" t="n">
        <v>0.91</v>
      </c>
      <c r="P6654" t="n">
        <v>1</v>
      </c>
      <c r="Q6654" t="n">
        <v>0.1</v>
      </c>
      <c r="R6654" t="n">
        <v>2</v>
      </c>
      <c r="S6654" t="n">
        <v>5751.200000000001</v>
      </c>
      <c r="T6654" t="n">
        <v>2</v>
      </c>
      <c r="U6654" t="n">
        <v>3</v>
      </c>
      <c r="V6654" t="n">
        <v>30</v>
      </c>
      <c r="W6654" t="n">
        <v>3</v>
      </c>
      <c r="X6654" t="n">
        <v>137.3626373626373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8903</v>
      </c>
      <c r="AG6654" t="n">
        <v>1</v>
      </c>
      <c r="AH6654" t="inlineStr">
        <is>
          <t>PT. BERSAMA DISTRIVERSA INDONESIA (DC CIPUTAT)</t>
        </is>
      </c>
      <c r="AI6654" t="n">
        <v>2318</v>
      </c>
      <c r="AJ6654" t="inlineStr">
        <is>
          <t>THIS IS YOUR</t>
        </is>
      </c>
      <c r="AK6654" t="n">
        <v>43</v>
      </c>
      <c r="AL6654" t="inlineStr">
        <is>
          <t>Miss Glam Soeta</t>
        </is>
      </c>
      <c r="AM6654" t="n">
        <v>2</v>
      </c>
      <c r="AN6654" t="n">
        <v>500000</v>
      </c>
      <c r="AO6654" t="n">
        <v>0</v>
      </c>
      <c r="AP6654" t="inlineStr"/>
      <c r="AQ6654" t="inlineStr"/>
    </row>
    <row r="6655">
      <c r="A6655" t="inlineStr">
        <is>
          <t>VIO</t>
        </is>
      </c>
      <c r="B6655" s="2">
        <f>"8994942028593"</f>
        <v/>
      </c>
      <c r="C6655" t="inlineStr">
        <is>
          <t>VIO Acne Shield Patch 24patch</t>
        </is>
      </c>
      <c r="D6655" t="inlineStr">
        <is>
          <t>Miss Glam Damar</t>
        </is>
      </c>
      <c r="E6655" t="n">
        <v>0</v>
      </c>
      <c r="F6655" t="n">
        <v>0.4095</v>
      </c>
      <c r="G6655" t="n">
        <v>3.64</v>
      </c>
      <c r="H6655" t="n">
        <v>1</v>
      </c>
      <c r="I6655" t="n">
        <v>2</v>
      </c>
      <c r="J6655" t="n">
        <v>3</v>
      </c>
      <c r="K6655" t="n">
        <v>0</v>
      </c>
      <c r="L6655" t="n">
        <v>31080</v>
      </c>
      <c r="M6655" t="n">
        <v>38000</v>
      </c>
      <c r="N6655" t="n">
        <v>91</v>
      </c>
      <c r="O6655" t="n">
        <v>0.91</v>
      </c>
      <c r="P6655" t="n">
        <v>1</v>
      </c>
      <c r="Q6655" t="n">
        <v>0.53</v>
      </c>
      <c r="R6655" t="n">
        <v>3</v>
      </c>
      <c r="S6655" t="n">
        <v>15561</v>
      </c>
      <c r="T6655" t="n">
        <v>7</v>
      </c>
      <c r="U6655" t="n">
        <v>8</v>
      </c>
      <c r="V6655" t="n">
        <v>30</v>
      </c>
      <c r="W6655" t="n">
        <v>13</v>
      </c>
      <c r="X6655" t="n">
        <v>0</v>
      </c>
      <c r="Y6655" t="n">
        <v>1</v>
      </c>
      <c r="Z6655" t="n">
        <v>13</v>
      </c>
      <c r="AA6655" t="n">
        <v>1</v>
      </c>
      <c r="AB6655" t="n">
        <v>12</v>
      </c>
      <c r="AC6655" t="n">
        <v>12</v>
      </c>
      <c r="AD6655" t="n">
        <v>31080</v>
      </c>
      <c r="AE6655" t="n">
        <v>372960</v>
      </c>
      <c r="AF6655" t="inlineStr"/>
      <c r="AG6655" t="inlineStr"/>
      <c r="AH6655" t="inlineStr"/>
      <c r="AI6655" t="n">
        <v>0</v>
      </c>
      <c r="AJ6655" t="inlineStr"/>
      <c r="AK6655" t="n">
        <v>0</v>
      </c>
      <c r="AL6655" t="inlineStr"/>
      <c r="AM6655" t="n">
        <v>0</v>
      </c>
      <c r="AN6655" t="n">
        <v>0</v>
      </c>
      <c r="AO6655" t="n">
        <v>0</v>
      </c>
      <c r="AP6655" t="inlineStr"/>
      <c r="AQ6655" t="inlineStr"/>
    </row>
    <row r="6656">
      <c r="A6656" t="inlineStr">
        <is>
          <t>VIO</t>
        </is>
      </c>
      <c r="B6656" s="2">
        <f>"8994942031203"</f>
        <v/>
      </c>
      <c r="C6656" t="inlineStr">
        <is>
          <t>VIO Acne Shield Patch 24patch Holographic Zodiac</t>
        </is>
      </c>
      <c r="D6656" t="inlineStr">
        <is>
          <t>Miss Glam Damar</t>
        </is>
      </c>
      <c r="E6656" t="n">
        <v>73</v>
      </c>
      <c r="F6656" t="n">
        <v>0.06370000000000001</v>
      </c>
      <c r="G6656" t="n">
        <v>1.82</v>
      </c>
      <c r="H6656" t="n">
        <v>1</v>
      </c>
      <c r="I6656" t="n">
        <v>2</v>
      </c>
      <c r="J6656" t="n">
        <v>3</v>
      </c>
      <c r="K6656" t="n">
        <v>0</v>
      </c>
      <c r="L6656" t="n">
        <v>31968</v>
      </c>
      <c r="M6656" t="n">
        <v>44000</v>
      </c>
      <c r="N6656" t="n">
        <v>91</v>
      </c>
      <c r="O6656" t="n">
        <v>0.91</v>
      </c>
      <c r="P6656" t="n">
        <v>1</v>
      </c>
      <c r="Q6656" t="n">
        <v>0.07000000000000001</v>
      </c>
      <c r="R6656" t="n">
        <v>1</v>
      </c>
      <c r="S6656" t="n">
        <v>2802.8</v>
      </c>
      <c r="T6656" t="n">
        <v>4</v>
      </c>
      <c r="U6656" t="n">
        <v>5</v>
      </c>
      <c r="V6656" t="n">
        <v>30</v>
      </c>
      <c r="W6656" t="n">
        <v>2</v>
      </c>
      <c r="X6656" t="n">
        <v>1145.996860282575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inlineStr"/>
      <c r="AG6656" t="inlineStr"/>
      <c r="AH6656" t="inlineStr"/>
      <c r="AI6656" t="n">
        <v>0</v>
      </c>
      <c r="AJ6656" t="inlineStr"/>
      <c r="AK6656" t="n">
        <v>0</v>
      </c>
      <c r="AL6656" t="inlineStr"/>
      <c r="AM6656" t="n">
        <v>0</v>
      </c>
      <c r="AN6656" t="n">
        <v>0</v>
      </c>
      <c r="AO6656" t="n">
        <v>0</v>
      </c>
      <c r="AP6656" t="inlineStr"/>
      <c r="AQ6656" t="inlineStr"/>
    </row>
    <row r="6657">
      <c r="A6657" t="inlineStr">
        <is>
          <t>VIO</t>
        </is>
      </c>
      <c r="B6657" s="2">
        <f>"8994942030787"</f>
        <v/>
      </c>
      <c r="C6657" t="inlineStr">
        <is>
          <t>VIO Acne Shield Patch Cute Animals 24patches</t>
        </is>
      </c>
      <c r="D6657" t="inlineStr">
        <is>
          <t>Miss Glam Damar</t>
        </is>
      </c>
      <c r="E6657" t="n">
        <v>87</v>
      </c>
      <c r="F6657" t="n">
        <v>0.4459</v>
      </c>
      <c r="G6657" t="n">
        <v>1.82</v>
      </c>
      <c r="H6657" t="n">
        <v>1</v>
      </c>
      <c r="I6657" t="n">
        <v>2</v>
      </c>
      <c r="J6657" t="n">
        <v>3</v>
      </c>
      <c r="K6657" t="n">
        <v>0</v>
      </c>
      <c r="L6657" t="n">
        <v>29970</v>
      </c>
      <c r="M6657" t="n">
        <v>39500</v>
      </c>
      <c r="N6657" t="n">
        <v>91</v>
      </c>
      <c r="O6657" t="n">
        <v>0.91</v>
      </c>
      <c r="P6657" t="n">
        <v>1</v>
      </c>
      <c r="Q6657" t="n">
        <v>0.42</v>
      </c>
      <c r="R6657" t="n">
        <v>3</v>
      </c>
      <c r="S6657" t="n">
        <v>17613.05</v>
      </c>
      <c r="T6657" t="n">
        <v>4</v>
      </c>
      <c r="U6657" t="n">
        <v>5</v>
      </c>
      <c r="V6657" t="n">
        <v>30</v>
      </c>
      <c r="W6657" t="n">
        <v>14</v>
      </c>
      <c r="X6657" t="n">
        <v>195.111011437542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inlineStr"/>
      <c r="AG6657" t="inlineStr"/>
      <c r="AH6657" t="inlineStr"/>
      <c r="AI6657" t="n">
        <v>0</v>
      </c>
      <c r="AJ6657" t="inlineStr"/>
      <c r="AK6657" t="n">
        <v>0</v>
      </c>
      <c r="AL6657" t="inlineStr"/>
      <c r="AM6657" t="n">
        <v>0</v>
      </c>
      <c r="AN6657" t="n">
        <v>0</v>
      </c>
      <c r="AO6657" t="n">
        <v>0</v>
      </c>
      <c r="AP6657" t="inlineStr"/>
      <c r="AQ6657" t="inlineStr"/>
    </row>
    <row r="6658">
      <c r="A6658" t="inlineStr">
        <is>
          <t>VIO</t>
        </is>
      </c>
      <c r="B6658" s="2">
        <f>"8994942031357"</f>
        <v/>
      </c>
      <c r="C6658" t="inlineStr">
        <is>
          <t>VIO Acne Shield Patch Meow Meow 24 Hydrocolloid Patches</t>
        </is>
      </c>
      <c r="D6658" t="inlineStr">
        <is>
          <t>Miss Glam Damar</t>
        </is>
      </c>
      <c r="E6658" t="n">
        <v>3</v>
      </c>
      <c r="F6658" t="n">
        <v>0.08</v>
      </c>
      <c r="G6658" t="n">
        <v>1</v>
      </c>
      <c r="H6658" t="n">
        <v>1</v>
      </c>
      <c r="I6658" t="n">
        <v>2</v>
      </c>
      <c r="J6658" t="n">
        <v>3</v>
      </c>
      <c r="K6658" t="n">
        <v>0</v>
      </c>
      <c r="L6658" t="n">
        <v>29970</v>
      </c>
      <c r="M6658" t="n">
        <v>41000</v>
      </c>
      <c r="N6658" t="n">
        <v>91</v>
      </c>
      <c r="O6658" t="n">
        <v>0.91</v>
      </c>
      <c r="P6658" t="n">
        <v>0</v>
      </c>
      <c r="Q6658" t="n">
        <v>0.08</v>
      </c>
      <c r="R6658" t="n">
        <v>1</v>
      </c>
      <c r="S6658" t="n">
        <v>3280</v>
      </c>
      <c r="T6658" t="n">
        <v>2</v>
      </c>
      <c r="U6658" t="n">
        <v>3</v>
      </c>
      <c r="V6658" t="n">
        <v>30</v>
      </c>
      <c r="W6658" t="n">
        <v>3</v>
      </c>
      <c r="X6658" t="n">
        <v>37.5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inlineStr"/>
      <c r="AG6658" t="inlineStr"/>
      <c r="AH6658" t="inlineStr"/>
      <c r="AI6658" t="n">
        <v>0</v>
      </c>
      <c r="AJ6658" t="inlineStr"/>
      <c r="AK6658" t="n">
        <v>0</v>
      </c>
      <c r="AL6658" t="inlineStr"/>
      <c r="AM6658" t="n">
        <v>0</v>
      </c>
      <c r="AN6658" t="n">
        <v>0</v>
      </c>
      <c r="AO6658" t="n">
        <v>0</v>
      </c>
      <c r="AP6658" t="inlineStr"/>
      <c r="AQ6658" t="inlineStr"/>
    </row>
    <row r="6659">
      <c r="A6659" t="inlineStr">
        <is>
          <t>VIO</t>
        </is>
      </c>
      <c r="B6659" s="2">
        <f>"8994942031197"</f>
        <v/>
      </c>
      <c r="C6659" t="inlineStr">
        <is>
          <t>VIO Acne Shield Patch Mochi Moji Hydrocolloid</t>
        </is>
      </c>
      <c r="D6659" t="inlineStr">
        <is>
          <t>Miss Glam Damar</t>
        </is>
      </c>
      <c r="E6659" t="n">
        <v>74</v>
      </c>
      <c r="F6659" t="n">
        <v>0.06370000000000001</v>
      </c>
      <c r="G6659" t="n">
        <v>0.91</v>
      </c>
      <c r="H6659" t="n">
        <v>1</v>
      </c>
      <c r="I6659" t="n">
        <v>2</v>
      </c>
      <c r="J6659" t="n">
        <v>3</v>
      </c>
      <c r="K6659" t="n">
        <v>0</v>
      </c>
      <c r="L6659" t="n">
        <v>29970</v>
      </c>
      <c r="M6659" t="n">
        <v>41000</v>
      </c>
      <c r="N6659" t="n">
        <v>91</v>
      </c>
      <c r="O6659" t="n">
        <v>0.91</v>
      </c>
      <c r="P6659" t="n">
        <v>1</v>
      </c>
      <c r="Q6659" t="n">
        <v>0.02</v>
      </c>
      <c r="R6659" t="n">
        <v>1</v>
      </c>
      <c r="S6659" t="n">
        <v>2611.7</v>
      </c>
      <c r="T6659" t="n">
        <v>2</v>
      </c>
      <c r="U6659" t="n">
        <v>3</v>
      </c>
      <c r="V6659" t="n">
        <v>30</v>
      </c>
      <c r="W6659" t="n">
        <v>2</v>
      </c>
      <c r="X6659" t="n">
        <v>1161.695447409733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inlineStr"/>
      <c r="AG6659" t="inlineStr"/>
      <c r="AH6659" t="inlineStr"/>
      <c r="AI6659" t="n">
        <v>0</v>
      </c>
      <c r="AJ6659" t="inlineStr"/>
      <c r="AK6659" t="n">
        <v>0</v>
      </c>
      <c r="AL6659" t="inlineStr"/>
      <c r="AM6659" t="n">
        <v>0</v>
      </c>
      <c r="AN6659" t="n">
        <v>0</v>
      </c>
      <c r="AO6659" t="n">
        <v>0</v>
      </c>
      <c r="AP6659" t="inlineStr"/>
      <c r="AQ6659" t="inlineStr"/>
    </row>
    <row r="6660">
      <c r="A6660" t="inlineStr">
        <is>
          <t>VIO</t>
        </is>
      </c>
      <c r="B6660" s="2">
        <f>"8994942031227"</f>
        <v/>
      </c>
      <c r="C6660" t="inlineStr">
        <is>
          <t>VIO Acne Shield Patch Petite Ocean 24 Hydrocolloid Patches</t>
        </is>
      </c>
      <c r="D6660" t="inlineStr">
        <is>
          <t>Miss Glam Damar</t>
        </is>
      </c>
      <c r="E6660" t="n">
        <v>6</v>
      </c>
      <c r="F6660" t="n">
        <v>0.09100000000000001</v>
      </c>
      <c r="G6660" t="n">
        <v>0.91</v>
      </c>
      <c r="H6660" t="n">
        <v>1</v>
      </c>
      <c r="I6660" t="n">
        <v>2</v>
      </c>
      <c r="J6660" t="n">
        <v>3</v>
      </c>
      <c r="K6660" t="n">
        <v>0</v>
      </c>
      <c r="L6660" t="n">
        <v>31968</v>
      </c>
      <c r="M6660" t="n">
        <v>44000</v>
      </c>
      <c r="N6660" t="n">
        <v>91</v>
      </c>
      <c r="O6660" t="n">
        <v>0.91</v>
      </c>
      <c r="P6660" t="n">
        <v>1</v>
      </c>
      <c r="Q6660" t="n">
        <v>0.15</v>
      </c>
      <c r="R6660" t="n">
        <v>1</v>
      </c>
      <c r="S6660" t="n">
        <v>4004</v>
      </c>
      <c r="T6660" t="n">
        <v>2</v>
      </c>
      <c r="U6660" t="n">
        <v>3</v>
      </c>
      <c r="V6660" t="n">
        <v>30</v>
      </c>
      <c r="W6660" t="n">
        <v>3</v>
      </c>
      <c r="X6660" t="n">
        <v>65.93406593406593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inlineStr"/>
      <c r="AG6660" t="inlineStr"/>
      <c r="AH6660" t="inlineStr"/>
      <c r="AI6660" t="n">
        <v>0</v>
      </c>
      <c r="AJ6660" t="inlineStr"/>
      <c r="AK6660" t="n">
        <v>0</v>
      </c>
      <c r="AL6660" t="inlineStr"/>
      <c r="AM6660" t="n">
        <v>0</v>
      </c>
      <c r="AN6660" t="n">
        <v>0</v>
      </c>
      <c r="AO6660" t="n">
        <v>0</v>
      </c>
      <c r="AP6660" t="inlineStr"/>
      <c r="AQ6660" t="inlineStr"/>
    </row>
    <row r="6661">
      <c r="A6661" t="inlineStr">
        <is>
          <t>VIO</t>
        </is>
      </c>
      <c r="B6661" s="2">
        <f>"8994942031135"</f>
        <v/>
      </c>
      <c r="C6661" t="inlineStr">
        <is>
          <t>VIO Acne Shield Patch Spring Blossom 20 Patches</t>
        </is>
      </c>
      <c r="D6661" t="inlineStr">
        <is>
          <t>Miss Glam Damar</t>
        </is>
      </c>
      <c r="E6661" t="n">
        <v>77</v>
      </c>
      <c r="F6661" t="n">
        <v>0.0182</v>
      </c>
      <c r="G6661" t="n">
        <v>0.91</v>
      </c>
      <c r="H6661" t="n">
        <v>1</v>
      </c>
      <c r="I6661" t="n">
        <v>2</v>
      </c>
      <c r="J6661" t="n">
        <v>3</v>
      </c>
      <c r="K6661" t="n">
        <v>0</v>
      </c>
      <c r="L6661" t="n">
        <v>34965</v>
      </c>
      <c r="M6661" t="n">
        <v>48000</v>
      </c>
      <c r="N6661" t="n">
        <v>91</v>
      </c>
      <c r="O6661" t="n">
        <v>0.91</v>
      </c>
      <c r="P6661" t="n">
        <v>1</v>
      </c>
      <c r="Q6661" t="n">
        <v>0.07000000000000001</v>
      </c>
      <c r="R6661" t="n">
        <v>1</v>
      </c>
      <c r="S6661" t="n">
        <v>873.6</v>
      </c>
      <c r="T6661" t="n">
        <v>2</v>
      </c>
      <c r="U6661" t="n">
        <v>3</v>
      </c>
      <c r="V6661" t="n">
        <v>30</v>
      </c>
      <c r="W6661" t="n">
        <v>1</v>
      </c>
      <c r="X6661" t="n">
        <v>4230.76923076923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inlineStr"/>
      <c r="AG6661" t="inlineStr"/>
      <c r="AH6661" t="inlineStr"/>
      <c r="AI6661" t="n">
        <v>0</v>
      </c>
      <c r="AJ6661" t="inlineStr"/>
      <c r="AK6661" t="n">
        <v>0</v>
      </c>
      <c r="AL6661" t="inlineStr"/>
      <c r="AM6661" t="n">
        <v>0</v>
      </c>
      <c r="AN6661" t="n">
        <v>0</v>
      </c>
      <c r="AO6661" t="n">
        <v>0</v>
      </c>
      <c r="AP6661" t="inlineStr"/>
      <c r="AQ6661" t="inlineStr"/>
    </row>
    <row r="6662">
      <c r="A6662" t="inlineStr">
        <is>
          <t>VIO</t>
        </is>
      </c>
      <c r="B6662" s="2">
        <f>"8994942031128"</f>
        <v/>
      </c>
      <c r="C6662" t="inlineStr">
        <is>
          <t>VIO Twinkle Twinkle Acne Shield Patch 20 Patches</t>
        </is>
      </c>
      <c r="D6662" t="inlineStr">
        <is>
          <t>Miss Glam Damar</t>
        </is>
      </c>
      <c r="E6662" t="n">
        <v>234</v>
      </c>
      <c r="F6662" t="n">
        <v>0.1274</v>
      </c>
      <c r="G6662" t="n">
        <v>0.91</v>
      </c>
      <c r="H6662" t="n">
        <v>1</v>
      </c>
      <c r="I6662" t="n">
        <v>2</v>
      </c>
      <c r="J6662" t="n">
        <v>3</v>
      </c>
      <c r="K6662" t="n">
        <v>0</v>
      </c>
      <c r="L6662" t="n">
        <v>34965</v>
      </c>
      <c r="M6662" t="n">
        <v>48000</v>
      </c>
      <c r="N6662" t="n">
        <v>91</v>
      </c>
      <c r="O6662" t="n">
        <v>0.91</v>
      </c>
      <c r="P6662" t="n">
        <v>1</v>
      </c>
      <c r="Q6662" t="n">
        <v>0.05</v>
      </c>
      <c r="R6662" t="n">
        <v>1</v>
      </c>
      <c r="S6662" t="n">
        <v>6115.200000000001</v>
      </c>
      <c r="T6662" t="n">
        <v>2</v>
      </c>
      <c r="U6662" t="n">
        <v>3</v>
      </c>
      <c r="V6662" t="n">
        <v>30</v>
      </c>
      <c r="W6662" t="n">
        <v>4</v>
      </c>
      <c r="X6662" t="n">
        <v>1836.734693877551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inlineStr"/>
      <c r="AG6662" t="inlineStr"/>
      <c r="AH6662" t="inlineStr"/>
      <c r="AI6662" t="n">
        <v>0</v>
      </c>
      <c r="AJ6662" t="inlineStr"/>
      <c r="AK6662" t="n">
        <v>0</v>
      </c>
      <c r="AL6662" t="inlineStr"/>
      <c r="AM6662" t="n">
        <v>0</v>
      </c>
      <c r="AN6662" t="n">
        <v>0</v>
      </c>
      <c r="AO6662" t="n">
        <v>0</v>
      </c>
      <c r="AP6662" t="inlineStr"/>
      <c r="AQ6662" t="inlineStr"/>
    </row>
    <row r="6663">
      <c r="A6663" t="inlineStr">
        <is>
          <t>WET N WILD</t>
        </is>
      </c>
      <c r="B6663" s="2">
        <f>"77802479112"</f>
        <v/>
      </c>
      <c r="C6663" t="inlineStr">
        <is>
          <t>WET N WILD Brush Makeup Brush Fan</t>
        </is>
      </c>
      <c r="D6663" t="inlineStr">
        <is>
          <t>Miss Glam Damar</t>
        </is>
      </c>
      <c r="E6663" t="n">
        <v>4</v>
      </c>
      <c r="F6663" t="n">
        <v>0.02</v>
      </c>
      <c r="G6663" t="n">
        <v>1</v>
      </c>
      <c r="H6663" t="n">
        <v>1</v>
      </c>
      <c r="I6663" t="n">
        <v>2</v>
      </c>
      <c r="J6663" t="n">
        <v>3</v>
      </c>
      <c r="K6663" t="n">
        <v>0</v>
      </c>
      <c r="L6663" t="n">
        <v>37757</v>
      </c>
      <c r="M6663" t="n">
        <v>55000</v>
      </c>
      <c r="N6663" t="n">
        <v>91</v>
      </c>
      <c r="O6663" t="n">
        <v>0.91</v>
      </c>
      <c r="P6663" t="n">
        <v>0</v>
      </c>
      <c r="Q6663" t="n">
        <v>0.02</v>
      </c>
      <c r="R6663" t="n">
        <v>1</v>
      </c>
      <c r="S6663" t="n">
        <v>1100</v>
      </c>
      <c r="T6663" t="n">
        <v>2</v>
      </c>
      <c r="U6663" t="n">
        <v>3</v>
      </c>
      <c r="V6663" t="n">
        <v>30</v>
      </c>
      <c r="W6663" t="n">
        <v>1</v>
      </c>
      <c r="X6663" t="n">
        <v>200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inlineStr"/>
      <c r="AG6663" t="inlineStr"/>
      <c r="AH6663" t="inlineStr"/>
      <c r="AI6663" t="n">
        <v>0</v>
      </c>
      <c r="AJ6663" t="inlineStr"/>
      <c r="AK6663" t="n">
        <v>0</v>
      </c>
      <c r="AL6663" t="inlineStr"/>
      <c r="AM6663" t="n">
        <v>0</v>
      </c>
      <c r="AN6663" t="n">
        <v>0</v>
      </c>
      <c r="AO6663" t="n">
        <v>0</v>
      </c>
      <c r="AP6663" t="inlineStr"/>
      <c r="AQ6663" t="inlineStr"/>
    </row>
    <row r="6664">
      <c r="A6664" t="inlineStr">
        <is>
          <t>YP LOGY</t>
        </is>
      </c>
      <c r="B6664" s="2">
        <f>"8997018369668"</f>
        <v/>
      </c>
      <c r="C6664" t="inlineStr">
        <is>
          <t>YP LOGY Hair Tonic Anti Dabdruff 100ml</t>
        </is>
      </c>
      <c r="D6664" t="inlineStr">
        <is>
          <t>Miss Glam Damar</t>
        </is>
      </c>
      <c r="E6664" t="n">
        <v>0</v>
      </c>
      <c r="F6664" t="n">
        <v>0.03</v>
      </c>
      <c r="G6664" t="n">
        <v>1</v>
      </c>
      <c r="H6664" t="n">
        <v>1</v>
      </c>
      <c r="I6664" t="n">
        <v>2</v>
      </c>
      <c r="J6664" t="n">
        <v>3</v>
      </c>
      <c r="K6664" t="n">
        <v>0</v>
      </c>
      <c r="L6664" t="n">
        <v>23222</v>
      </c>
      <c r="M6664" t="n">
        <v>30500</v>
      </c>
      <c r="N6664" t="n">
        <v>91</v>
      </c>
      <c r="O6664" t="n">
        <v>0.91</v>
      </c>
      <c r="P6664" t="n">
        <v>0</v>
      </c>
      <c r="Q6664" t="n">
        <v>0.03</v>
      </c>
      <c r="R6664" t="n">
        <v>1</v>
      </c>
      <c r="S6664" t="n">
        <v>915</v>
      </c>
      <c r="T6664" t="n">
        <v>2</v>
      </c>
      <c r="U6664" t="n">
        <v>3</v>
      </c>
      <c r="V6664" t="n">
        <v>30</v>
      </c>
      <c r="W6664" t="n">
        <v>1</v>
      </c>
      <c r="X6664" t="n">
        <v>0</v>
      </c>
      <c r="Y6664" t="n">
        <v>1</v>
      </c>
      <c r="Z6664" t="n">
        <v>1</v>
      </c>
      <c r="AA6664" t="n">
        <v>1</v>
      </c>
      <c r="AB6664" t="n">
        <v>0</v>
      </c>
      <c r="AC6664" t="n">
        <v>0</v>
      </c>
      <c r="AD6664" t="n">
        <v>23222</v>
      </c>
      <c r="AE6664" t="n">
        <v>0</v>
      </c>
      <c r="AF6664" t="inlineStr"/>
      <c r="AG6664" t="inlineStr"/>
      <c r="AH6664" t="inlineStr"/>
      <c r="AI6664" t="n">
        <v>0</v>
      </c>
      <c r="AJ6664" t="inlineStr"/>
      <c r="AK6664" t="n">
        <v>0</v>
      </c>
      <c r="AL6664" t="inlineStr"/>
      <c r="AM6664" t="n">
        <v>0</v>
      </c>
      <c r="AN6664" t="n">
        <v>0</v>
      </c>
      <c r="AO6664" t="n">
        <v>0</v>
      </c>
      <c r="AP6664" t="inlineStr"/>
      <c r="AQ6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2025-11-26T15:20:28Z</dcterms:created>
  <dcterms:modified xsi:type="dcterms:W3CDTF">2025-11-26T15:20:30Z</dcterms:modified>
</cp:coreProperties>
</file>